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oH/Documents/convz/OFM/codes/convz-mario/daily_gcs2gbq/schemas/"/>
    </mc:Choice>
  </mc:AlternateContent>
  <xr:revisionPtr revIDLastSave="0" documentId="13_ncr:1_{2384D914-336F-7F4C-8B48-8792B7C28186}" xr6:coauthVersionLast="47" xr6:coauthVersionMax="47" xr10:uidLastSave="{00000000-0000-0000-0000-000000000000}"/>
  <bookViews>
    <workbookView xWindow="14380" yWindow="2580" windowWidth="23100" windowHeight="16960" firstSheet="3" activeTab="8" xr2:uid="{00000000-000D-0000-FFFF-FFFF00000000}"/>
  </bookViews>
  <sheets>
    <sheet name="Pivot" sheetId="1" r:id="rId1"/>
    <sheet name="Esitmate_source" sheetId="2" r:id="rId2"/>
    <sheet name="TableSize-Officemate" sheetId="3" r:id="rId3"/>
    <sheet name="Field-Officemate" sheetId="4" r:id="rId4"/>
    <sheet name="TableSize-Mercury" sheetId="5" r:id="rId5"/>
    <sheet name="TableSize-TMS" sheetId="6" r:id="rId6"/>
    <sheet name="Field-Mercury" sheetId="7" r:id="rId7"/>
    <sheet name="TableSize-ERP" sheetId="8" r:id="rId8"/>
    <sheet name="Field-ERP" sheetId="9" r:id="rId9"/>
    <sheet name="TableSize-Franchise" sheetId="10" r:id="rId10"/>
    <sheet name="Field-TMS" sheetId="11" r:id="rId11"/>
    <sheet name="Field-Franchise" sheetId="12" r:id="rId12"/>
    <sheet name="TableSize-MDS" sheetId="13" r:id="rId13"/>
    <sheet name="Field-MDS" sheetId="14" r:id="rId14"/>
    <sheet name="TableSize-Epro" sheetId="15" r:id="rId15"/>
    <sheet name="Field-Epro" sheetId="16" r:id="rId16"/>
    <sheet name="TableSize-ESB" sheetId="17" r:id="rId17"/>
    <sheet name="Field-ESB" sheetId="18" r:id="rId18"/>
    <sheet name="OFM_TableSize-T1C" sheetId="19" state="hidden" r:id="rId19"/>
    <sheet name="OFM_Field-T1C" sheetId="20" state="hidden" r:id="rId20"/>
    <sheet name="TableSize-Saleforce" sheetId="21" r:id="rId21"/>
    <sheet name="Field-Salesforce" sheetId="22" r:id="rId22"/>
    <sheet name="TableSize-MongoDB" sheetId="23" r:id="rId23"/>
    <sheet name="Field-MongoDB" sheetId="24" r:id="rId24"/>
    <sheet name="TableSize-PIM" sheetId="25" r:id="rId25"/>
    <sheet name="Field-PIM" sheetId="26" r:id="rId26"/>
    <sheet name="B2S_Field-T1C" sheetId="27" state="hidden" r:id="rId27"/>
    <sheet name="B2S_TableSize-T1C" sheetId="28" state="hidden" r:id="rId28"/>
    <sheet name="B2S (Magento) Size" sheetId="29" state="hidden" r:id="rId29"/>
    <sheet name="Field-B2S(Mangento)" sheetId="30" state="hidden" r:id="rId30"/>
  </sheets>
  <definedNames>
    <definedName name="_xlnm._FilterDatabase" localSheetId="15" hidden="1">'Field-Epro'!$A$1:$I$240</definedName>
    <definedName name="_xlnm._FilterDatabase" localSheetId="8" hidden="1">'Field-ERP'!$A$1:$J$1618</definedName>
    <definedName name="_xlnm._FilterDatabase" localSheetId="11" hidden="1">'Field-Franchise'!$A$1:$K$803</definedName>
    <definedName name="_xlnm._FilterDatabase" localSheetId="13" hidden="1">'Field-MDS'!$A$1:$H$1813</definedName>
    <definedName name="_xlnm._FilterDatabase" localSheetId="6" hidden="1">'Field-Mercury'!$A$1:$J$697</definedName>
    <definedName name="_xlnm._FilterDatabase" localSheetId="23" hidden="1">'Field-MongoDB'!$A$1:$D$84</definedName>
    <definedName name="_xlnm._FilterDatabase" localSheetId="3" hidden="1">'Field-Officemate'!$A$1:$N$3406</definedName>
    <definedName name="_xlnm._FilterDatabase" localSheetId="25" hidden="1">'Field-PIM'!$A$1:$E$426</definedName>
    <definedName name="_xlnm._FilterDatabase" localSheetId="21" hidden="1">'Field-Salesforce'!$A$1:$G$1843</definedName>
    <definedName name="_xlnm._FilterDatabase" localSheetId="10" hidden="1">'Field-TMS'!$A$1:$J$578</definedName>
    <definedName name="_xlnm._FilterDatabase" localSheetId="14" hidden="1">'TableSize-Epro'!$A$1:$I$109</definedName>
    <definedName name="_xlnm._FilterDatabase" localSheetId="7" hidden="1">'TableSize-ERP'!$A$1:$P$55</definedName>
    <definedName name="_xlnm._FilterDatabase" localSheetId="2" hidden="1">'TableSize-Officemate'!$A$1:$Y$121</definedName>
    <definedName name="Z_A0CA8EE6_C3FD_483E_B827_5E17CF54F8CF_.wvu.FilterData" localSheetId="3" hidden="1">'Field-Officemate'!$A$1:$K$3350</definedName>
    <definedName name="Z_A0CA8EE6_C3FD_483E_B827_5E17CF54F8CF_.wvu.FilterData" localSheetId="2" hidden="1">'TableSize-Officemate'!$A$1:$O$121</definedName>
    <definedName name="Z_B6CC7702_36CF_47B7_ADA2_1CC0A983C11D_.wvu.FilterData" localSheetId="3" hidden="1">'Field-Officemate'!$A$1:$K$3406</definedName>
    <definedName name="Z_B6CC7702_36CF_47B7_ADA2_1CC0A983C11D_.wvu.FilterData" localSheetId="2" hidden="1">'TableSize-Officemate'!$A$1:$O$121</definedName>
    <definedName name="Z_D2464F85_EDE4_4567_AE99_72086A9419EC_.wvu.FilterData" localSheetId="8" hidden="1">'Field-ERP'!$A$1:$J$1618</definedName>
    <definedName name="Z_D2464F85_EDE4_4567_AE99_72086A9419EC_.wvu.FilterData" localSheetId="13" hidden="1">'Field-MDS'!$A$1:$H$1813</definedName>
    <definedName name="Z_D2464F85_EDE4_4567_AE99_72086A9419EC_.wvu.FilterData" localSheetId="3" hidden="1">'Field-Officemate'!$A$1:$K$3350</definedName>
    <definedName name="Z_D2464F85_EDE4_4567_AE99_72086A9419EC_.wvu.FilterData" localSheetId="7" hidden="1">'TableSize-ERP'!$A$1:$AA$55</definedName>
    <definedName name="Z_D2464F85_EDE4_4567_AE99_72086A9419EC_.wvu.FilterData" localSheetId="2" hidden="1">'TableSize-Officemate'!$A$1:$O$121</definedName>
    <definedName name="Z_D2464F85_EDE4_4567_AE99_72086A9419EC_.wvu.FilterData" localSheetId="5" hidden="1">'TableSize-TMS'!$A$1:$O$32</definedName>
    <definedName name="Z_E96974DA_9B5B_461A_B8C1_DC954E19D43B_.wvu.FilterData" localSheetId="3" hidden="1">'Field-Officemate'!$A$1:$L$3350</definedName>
    <definedName name="Z_E96974DA_9B5B_461A_B8C1_DC954E19D43B_.wvu.FilterData" localSheetId="2" hidden="1">'TableSize-Officemate'!$A$1:$O$121</definedName>
    <definedName name="Z_F05A81A4_6578_44A4_8272_038EE39689EA_.wvu.FilterData" localSheetId="3" hidden="1">'Field-Officemate'!$A$1:$K$3350</definedName>
    <definedName name="Z_F05A81A4_6578_44A4_8272_038EE39689EA_.wvu.FilterData" localSheetId="2" hidden="1">'TableSize-Officemate'!$A$1:$Y$121</definedName>
    <definedName name="Z_FE7867AD_1D49_48D8_B79F_E8F0C7D87759_.wvu.FilterData" localSheetId="3" hidden="1">'Field-Officemate'!$A$1:$K$3350</definedName>
  </definedNames>
  <calcPr calcId="191029"/>
  <customWorkbookViews>
    <customWorkbookView name="Filter 1" guid="{D2464F85-EDE4-4567-AE99-72086A9419EC}" maximized="1" windowWidth="0" windowHeight="0" activeSheetId="0"/>
    <customWorkbookView name="Filter 3" guid="{A0CA8EE6-C3FD-483E-B827-5E17CF54F8CF}" maximized="1" windowWidth="0" windowHeight="0" activeSheetId="0"/>
    <customWorkbookView name="Filter 2" guid="{B6CC7702-36CF-47B7-ADA2-1CC0A983C11D}" maximized="1" windowWidth="0" windowHeight="0" activeSheetId="0"/>
    <customWorkbookView name="Filter 5" guid="{F05A81A4-6578-44A4-8272-038EE39689EA}" maximized="1" windowWidth="0" windowHeight="0" activeSheetId="0"/>
    <customWorkbookView name="Filter 4" guid="{E96974DA-9B5B-461A-B8C1-DC954E19D43B}" maximized="1" windowWidth="0" windowHeight="0" activeSheetId="0"/>
    <customWorkbookView name="Filter 6" guid="{FE7867AD-1D49-48D8-B79F-E8F0C7D8775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5" i="9" l="1"/>
  <c r="H74" i="9"/>
  <c r="K3405" i="4"/>
  <c r="K3404" i="4"/>
  <c r="K3403" i="4"/>
  <c r="K3402" i="4"/>
  <c r="K3401" i="4"/>
  <c r="K3400" i="4"/>
  <c r="K3399" i="4"/>
  <c r="K3398" i="4"/>
  <c r="K3397" i="4"/>
  <c r="K3396" i="4"/>
  <c r="K3395" i="4"/>
  <c r="K3394" i="4"/>
  <c r="K3393" i="4"/>
  <c r="K3392" i="4"/>
  <c r="K3391" i="4"/>
  <c r="K3390" i="4"/>
  <c r="K3389" i="4"/>
  <c r="K3388" i="4"/>
  <c r="K3387" i="4"/>
  <c r="K3386" i="4"/>
  <c r="K3385" i="4"/>
  <c r="K3384" i="4"/>
  <c r="K3383" i="4"/>
  <c r="K3382" i="4"/>
  <c r="K3381" i="4"/>
  <c r="K3380" i="4"/>
  <c r="K3379" i="4"/>
  <c r="K3378" i="4"/>
  <c r="K3377" i="4"/>
  <c r="K3376" i="4"/>
  <c r="K3375" i="4"/>
  <c r="K3374" i="4"/>
  <c r="K3373" i="4"/>
  <c r="K3372" i="4"/>
  <c r="K3371" i="4"/>
  <c r="K3370" i="4"/>
  <c r="K3350" i="4"/>
  <c r="K3349" i="4"/>
  <c r="K3348" i="4"/>
  <c r="K3347" i="4"/>
  <c r="K3346" i="4"/>
  <c r="K3345" i="4"/>
  <c r="K3344" i="4"/>
  <c r="K3343" i="4"/>
  <c r="K3342" i="4"/>
  <c r="K3341" i="4"/>
  <c r="K3340" i="4"/>
  <c r="K3339" i="4"/>
  <c r="K3338" i="4"/>
  <c r="K3337" i="4"/>
  <c r="K3336" i="4"/>
  <c r="K3335" i="4"/>
  <c r="K3334" i="4"/>
  <c r="K3333" i="4"/>
  <c r="K3332" i="4"/>
  <c r="K3331" i="4"/>
  <c r="K3330" i="4"/>
  <c r="K3329" i="4"/>
  <c r="K3328" i="4"/>
  <c r="K3327" i="4"/>
  <c r="K3326" i="4"/>
  <c r="K3325" i="4"/>
  <c r="K3324" i="4"/>
  <c r="K3323" i="4"/>
  <c r="K3322" i="4"/>
  <c r="K3321" i="4"/>
  <c r="K3320" i="4"/>
  <c r="K3319" i="4"/>
  <c r="K3318" i="4"/>
  <c r="K3317" i="4"/>
  <c r="K3316" i="4"/>
  <c r="K3315" i="4"/>
  <c r="K3314" i="4"/>
  <c r="K3313" i="4"/>
  <c r="K3312" i="4"/>
  <c r="K3311" i="4"/>
  <c r="K3310" i="4"/>
  <c r="K3309" i="4"/>
  <c r="K3308" i="4"/>
  <c r="K3307" i="4"/>
  <c r="K3306" i="4"/>
  <c r="K3305" i="4"/>
  <c r="K3304" i="4"/>
  <c r="K3303" i="4"/>
  <c r="K3302" i="4"/>
  <c r="K3301" i="4"/>
  <c r="K3300" i="4"/>
  <c r="K3299" i="4"/>
  <c r="K3298" i="4"/>
  <c r="K3297" i="4"/>
  <c r="K3296" i="4"/>
  <c r="K3295" i="4"/>
  <c r="K3294" i="4"/>
  <c r="K3293" i="4"/>
  <c r="K3292" i="4"/>
  <c r="K3291" i="4"/>
  <c r="K3290" i="4"/>
  <c r="K3289" i="4"/>
  <c r="K3288" i="4"/>
  <c r="K3287" i="4"/>
  <c r="K3286" i="4"/>
  <c r="K3285" i="4"/>
  <c r="K3284" i="4"/>
  <c r="K3283" i="4"/>
  <c r="K3282" i="4"/>
  <c r="K3281" i="4"/>
  <c r="K3280" i="4"/>
  <c r="K3279" i="4"/>
  <c r="K3278" i="4"/>
  <c r="K3277" i="4"/>
  <c r="K3276" i="4"/>
  <c r="K3275" i="4"/>
  <c r="K3274" i="4"/>
  <c r="K3273" i="4"/>
  <c r="K3272" i="4"/>
  <c r="K3271" i="4"/>
  <c r="K3270" i="4"/>
  <c r="K3269" i="4"/>
  <c r="K3268" i="4"/>
  <c r="K3267" i="4"/>
  <c r="K3266" i="4"/>
  <c r="K3265" i="4"/>
  <c r="K3264" i="4"/>
  <c r="K3263" i="4"/>
  <c r="K3262" i="4"/>
  <c r="K3261" i="4"/>
  <c r="K3260" i="4"/>
  <c r="K3259" i="4"/>
  <c r="K3258" i="4"/>
  <c r="K3257" i="4"/>
  <c r="K3256" i="4"/>
  <c r="K3255" i="4"/>
  <c r="K3254" i="4"/>
  <c r="K3253" i="4"/>
  <c r="K3252" i="4"/>
  <c r="K3251" i="4"/>
  <c r="K3250" i="4"/>
  <c r="K3249" i="4"/>
  <c r="K3248" i="4"/>
  <c r="K3247" i="4"/>
  <c r="K3246" i="4"/>
  <c r="K3245" i="4"/>
  <c r="K3244" i="4"/>
  <c r="K3243" i="4"/>
  <c r="K3242" i="4"/>
  <c r="K3241" i="4"/>
  <c r="K3240" i="4"/>
  <c r="K3239" i="4"/>
  <c r="K3238" i="4"/>
  <c r="K3237" i="4"/>
  <c r="K3236" i="4"/>
  <c r="K3235" i="4"/>
  <c r="K3234" i="4"/>
  <c r="K3233" i="4"/>
  <c r="K3232" i="4"/>
  <c r="K3231" i="4"/>
  <c r="K3230" i="4"/>
  <c r="K3229" i="4"/>
  <c r="K3228" i="4"/>
  <c r="K3227" i="4"/>
  <c r="K3226" i="4"/>
  <c r="K3225" i="4"/>
  <c r="K3224" i="4"/>
  <c r="K3223" i="4"/>
  <c r="K3222" i="4"/>
  <c r="K3221" i="4"/>
  <c r="K3220" i="4"/>
  <c r="K3219" i="4"/>
  <c r="K3218" i="4"/>
  <c r="K3217" i="4"/>
  <c r="K3216" i="4"/>
  <c r="K3215" i="4"/>
  <c r="K3214" i="4"/>
  <c r="K3213" i="4"/>
  <c r="K3212" i="4"/>
  <c r="K3211" i="4"/>
  <c r="K3210" i="4"/>
  <c r="K3209" i="4"/>
  <c r="K3208" i="4"/>
  <c r="K3207" i="4"/>
  <c r="K3206" i="4"/>
  <c r="K3205" i="4"/>
  <c r="K3204" i="4"/>
  <c r="K3203" i="4"/>
  <c r="K3202" i="4"/>
  <c r="K3201" i="4"/>
  <c r="K3200" i="4"/>
  <c r="K3199" i="4"/>
  <c r="K3198" i="4"/>
  <c r="K3197" i="4"/>
  <c r="K3196" i="4"/>
  <c r="K3195" i="4"/>
  <c r="K3194" i="4"/>
  <c r="K3193" i="4"/>
  <c r="K3192" i="4"/>
  <c r="K3191" i="4"/>
  <c r="K3190" i="4"/>
  <c r="K3189" i="4"/>
  <c r="K3188" i="4"/>
  <c r="K3187" i="4"/>
  <c r="K3186" i="4"/>
  <c r="K3185" i="4"/>
  <c r="K3184" i="4"/>
  <c r="K3183" i="4"/>
  <c r="K3182" i="4"/>
  <c r="K3181" i="4"/>
  <c r="K3180" i="4"/>
  <c r="K3179" i="4"/>
  <c r="K3178" i="4"/>
  <c r="K3177" i="4"/>
  <c r="K3176" i="4"/>
  <c r="K3175" i="4"/>
  <c r="K3174" i="4"/>
  <c r="K3173" i="4"/>
  <c r="K3172" i="4"/>
  <c r="K3171" i="4"/>
  <c r="K3170" i="4"/>
  <c r="K3169" i="4"/>
  <c r="K3168" i="4"/>
  <c r="K3167" i="4"/>
  <c r="K3166" i="4"/>
  <c r="K3165" i="4"/>
  <c r="K3164" i="4"/>
  <c r="K3163" i="4"/>
  <c r="K3162" i="4"/>
  <c r="K3161" i="4"/>
  <c r="K3160" i="4"/>
  <c r="K3159" i="4"/>
  <c r="K3158" i="4"/>
  <c r="K3157" i="4"/>
  <c r="K3156" i="4"/>
  <c r="K3155" i="4"/>
  <c r="K3154" i="4"/>
  <c r="K3153" i="4"/>
  <c r="K3152" i="4"/>
  <c r="K3151" i="4"/>
  <c r="K3150" i="4"/>
  <c r="K3149" i="4"/>
  <c r="K3148" i="4"/>
  <c r="K3147" i="4"/>
  <c r="K3146" i="4"/>
  <c r="K3145" i="4"/>
  <c r="K3144" i="4"/>
  <c r="K3143" i="4"/>
  <c r="K3142" i="4"/>
  <c r="K3141" i="4"/>
  <c r="K3140" i="4"/>
  <c r="K3139" i="4"/>
  <c r="K3138" i="4"/>
  <c r="K3137" i="4"/>
  <c r="K3136" i="4"/>
  <c r="K3135" i="4"/>
  <c r="K3134" i="4"/>
  <c r="K3133" i="4"/>
  <c r="K3132" i="4"/>
  <c r="K3131" i="4"/>
  <c r="K3130" i="4"/>
  <c r="K3129" i="4"/>
  <c r="K3128" i="4"/>
  <c r="K3127" i="4"/>
  <c r="K3126" i="4"/>
  <c r="K3125" i="4"/>
  <c r="K3124" i="4"/>
  <c r="K3123" i="4"/>
  <c r="K3122" i="4"/>
  <c r="K3121" i="4"/>
  <c r="K3120" i="4"/>
  <c r="K3119" i="4"/>
  <c r="K3118" i="4"/>
  <c r="K3117" i="4"/>
  <c r="K3116" i="4"/>
  <c r="K3115" i="4"/>
  <c r="K3114" i="4"/>
  <c r="K3113" i="4"/>
  <c r="K3112" i="4"/>
  <c r="K3111" i="4"/>
  <c r="K3110" i="4"/>
  <c r="K3109" i="4"/>
  <c r="K3108" i="4"/>
  <c r="K3107" i="4"/>
  <c r="K3106" i="4"/>
  <c r="K3105" i="4"/>
  <c r="K3104" i="4"/>
  <c r="K3103" i="4"/>
  <c r="K3102" i="4"/>
  <c r="K3101" i="4"/>
  <c r="K3100" i="4"/>
  <c r="K3099" i="4"/>
  <c r="K3098" i="4"/>
  <c r="K3097" i="4"/>
  <c r="K3096" i="4"/>
  <c r="K3095" i="4"/>
  <c r="K3094" i="4"/>
  <c r="K3093" i="4"/>
  <c r="K3092" i="4"/>
  <c r="K3091" i="4"/>
  <c r="K3090" i="4"/>
  <c r="K3089" i="4"/>
  <c r="K3088" i="4"/>
  <c r="K3087" i="4"/>
  <c r="K3086" i="4"/>
  <c r="K3085" i="4"/>
  <c r="K3084" i="4"/>
  <c r="K3083" i="4"/>
  <c r="K3082" i="4"/>
  <c r="K3081" i="4"/>
  <c r="K3080" i="4"/>
  <c r="K3079" i="4"/>
  <c r="K3077" i="4"/>
  <c r="K3076" i="4"/>
  <c r="K3075" i="4"/>
  <c r="K3074" i="4"/>
  <c r="K3073" i="4"/>
  <c r="K3072" i="4"/>
  <c r="K3071" i="4"/>
  <c r="K3070" i="4"/>
  <c r="K3069" i="4"/>
  <c r="K3068" i="4"/>
  <c r="K3067" i="4"/>
  <c r="K3066" i="4"/>
  <c r="K3065" i="4"/>
  <c r="K3064" i="4"/>
  <c r="K3063" i="4"/>
  <c r="K3062" i="4"/>
  <c r="K3061" i="4"/>
  <c r="K3060" i="4"/>
  <c r="K3059" i="4"/>
  <c r="K3058" i="4"/>
  <c r="K3057" i="4"/>
  <c r="K3056" i="4"/>
  <c r="K3055" i="4"/>
  <c r="K3054" i="4"/>
  <c r="K3053" i="4"/>
  <c r="K3052" i="4"/>
  <c r="K3051" i="4"/>
  <c r="K3050" i="4"/>
  <c r="K3049" i="4"/>
  <c r="K3048" i="4"/>
  <c r="K3047" i="4"/>
  <c r="K3046" i="4"/>
  <c r="K3045" i="4"/>
  <c r="K3044" i="4"/>
  <c r="K3043" i="4"/>
  <c r="K3042" i="4"/>
  <c r="K3041" i="4"/>
  <c r="K3040" i="4"/>
  <c r="K3039" i="4"/>
  <c r="K3038" i="4"/>
  <c r="K3037" i="4"/>
  <c r="K3036" i="4"/>
  <c r="K3035" i="4"/>
  <c r="K3034" i="4"/>
  <c r="K3033" i="4"/>
  <c r="K3032" i="4"/>
  <c r="K3031" i="4"/>
  <c r="K3030" i="4"/>
  <c r="K3029" i="4"/>
  <c r="K3028" i="4"/>
  <c r="K3027" i="4"/>
  <c r="K3026" i="4"/>
  <c r="K3025" i="4"/>
  <c r="K3024" i="4"/>
  <c r="K3023" i="4"/>
  <c r="K3022" i="4"/>
  <c r="K3021" i="4"/>
  <c r="K3020" i="4"/>
  <c r="K3019" i="4"/>
  <c r="K3018" i="4"/>
  <c r="K3017" i="4"/>
  <c r="K3016" i="4"/>
  <c r="K3015" i="4"/>
  <c r="K3014" i="4"/>
  <c r="K3013" i="4"/>
  <c r="K3012" i="4"/>
  <c r="K3011" i="4"/>
  <c r="K3010" i="4"/>
  <c r="K3009" i="4"/>
  <c r="K3008" i="4"/>
  <c r="K3007" i="4"/>
  <c r="K3006" i="4"/>
  <c r="K3005" i="4"/>
  <c r="K3004" i="4"/>
  <c r="K3003" i="4"/>
  <c r="K3002" i="4"/>
  <c r="K3001" i="4"/>
  <c r="K3000" i="4"/>
  <c r="K2999" i="4"/>
  <c r="K2998" i="4"/>
  <c r="K2997" i="4"/>
  <c r="K2996" i="4"/>
  <c r="K2995" i="4"/>
  <c r="K2994" i="4"/>
  <c r="K2993" i="4"/>
  <c r="K2992" i="4"/>
  <c r="K2991" i="4"/>
  <c r="K2990" i="4"/>
  <c r="K2989" i="4"/>
  <c r="K2988" i="4"/>
  <c r="K2987" i="4"/>
  <c r="K2986" i="4"/>
  <c r="K2985" i="4"/>
  <c r="K2984" i="4"/>
  <c r="K2983" i="4"/>
  <c r="K2982" i="4"/>
  <c r="K2981" i="4"/>
  <c r="K2980" i="4"/>
  <c r="K2979" i="4"/>
  <c r="K2978" i="4"/>
  <c r="K2977" i="4"/>
  <c r="K2976" i="4"/>
  <c r="K2975" i="4"/>
  <c r="K2974" i="4"/>
  <c r="K2973" i="4"/>
  <c r="K2972" i="4"/>
  <c r="K2971" i="4"/>
  <c r="K2970" i="4"/>
  <c r="K2969" i="4"/>
  <c r="K2968" i="4"/>
  <c r="K2967" i="4"/>
  <c r="K2966" i="4"/>
  <c r="K2965" i="4"/>
  <c r="K2964" i="4"/>
  <c r="K2963" i="4"/>
  <c r="K2962" i="4"/>
  <c r="K2961" i="4"/>
  <c r="K2960" i="4"/>
  <c r="K2959" i="4"/>
  <c r="K2958" i="4"/>
  <c r="K2957" i="4"/>
  <c r="K2956" i="4"/>
  <c r="K2955" i="4"/>
  <c r="K2954" i="4"/>
  <c r="K2953" i="4"/>
  <c r="K2952" i="4"/>
  <c r="K2951" i="4"/>
  <c r="K2950" i="4"/>
  <c r="K2949" i="4"/>
  <c r="K2948" i="4"/>
  <c r="K2947" i="4"/>
  <c r="K2946" i="4"/>
  <c r="K2945" i="4"/>
  <c r="K2944" i="4"/>
  <c r="K2943" i="4"/>
  <c r="K2942" i="4"/>
  <c r="K2941" i="4"/>
  <c r="K2940" i="4"/>
  <c r="K2939" i="4"/>
  <c r="K2938" i="4"/>
  <c r="K2937" i="4"/>
  <c r="K2936" i="4"/>
  <c r="K2935" i="4"/>
  <c r="K2934" i="4"/>
  <c r="K2933" i="4"/>
  <c r="K2932" i="4"/>
  <c r="K2931" i="4"/>
  <c r="K2930" i="4"/>
  <c r="K2929" i="4"/>
  <c r="K2928" i="4"/>
  <c r="K2927" i="4"/>
  <c r="K2926" i="4"/>
  <c r="K2925" i="4"/>
  <c r="K2924" i="4"/>
  <c r="K2923" i="4"/>
  <c r="K2922" i="4"/>
  <c r="K2921" i="4"/>
  <c r="K2920" i="4"/>
  <c r="K2919" i="4"/>
  <c r="K2918" i="4"/>
  <c r="K2917" i="4"/>
  <c r="K2916" i="4"/>
  <c r="K2915" i="4"/>
  <c r="K2914" i="4"/>
  <c r="K2913" i="4"/>
  <c r="K2912" i="4"/>
  <c r="K2911" i="4"/>
  <c r="K2910" i="4"/>
  <c r="K2909" i="4"/>
  <c r="K2908" i="4"/>
  <c r="K2907" i="4"/>
  <c r="K2906" i="4"/>
  <c r="K2905" i="4"/>
  <c r="K2904" i="4"/>
  <c r="K2903" i="4"/>
  <c r="K2902" i="4"/>
  <c r="K2901" i="4"/>
  <c r="K2900" i="4"/>
  <c r="K2899" i="4"/>
  <c r="K2898" i="4"/>
  <c r="K2897" i="4"/>
  <c r="K2896" i="4"/>
  <c r="K2895" i="4"/>
  <c r="K2894" i="4"/>
  <c r="K2893" i="4"/>
  <c r="K2892" i="4"/>
  <c r="K2891" i="4"/>
  <c r="K2890" i="4"/>
  <c r="K2889" i="4"/>
  <c r="K2888" i="4"/>
  <c r="K2887" i="4"/>
  <c r="K2886" i="4"/>
  <c r="K2885" i="4"/>
  <c r="K2884" i="4"/>
  <c r="K2883" i="4"/>
  <c r="K2882" i="4"/>
  <c r="K2881" i="4"/>
  <c r="K2880" i="4"/>
  <c r="K2879" i="4"/>
  <c r="K2878" i="4"/>
  <c r="K2877" i="4"/>
  <c r="K2876" i="4"/>
  <c r="K2875" i="4"/>
  <c r="K2874" i="4"/>
  <c r="K2873" i="4"/>
  <c r="K2872" i="4"/>
  <c r="K2871" i="4"/>
  <c r="K2870" i="4"/>
  <c r="K2869" i="4"/>
  <c r="K2868" i="4"/>
  <c r="K2867" i="4"/>
  <c r="K2866" i="4"/>
  <c r="K2865" i="4"/>
  <c r="K2864" i="4"/>
  <c r="K2863" i="4"/>
  <c r="K2862" i="4"/>
  <c r="K2861" i="4"/>
  <c r="K2860" i="4"/>
  <c r="K2859" i="4"/>
  <c r="K2858" i="4"/>
  <c r="K2857" i="4"/>
  <c r="K2856" i="4"/>
  <c r="K2855" i="4"/>
  <c r="K2854" i="4"/>
  <c r="K2853" i="4"/>
  <c r="K2852" i="4"/>
  <c r="K2851" i="4"/>
  <c r="K2850" i="4"/>
  <c r="K2849" i="4"/>
  <c r="K2848" i="4"/>
  <c r="K2847" i="4"/>
  <c r="K2846" i="4"/>
  <c r="K2845" i="4"/>
  <c r="K2844" i="4"/>
  <c r="K2843" i="4"/>
  <c r="K2842" i="4"/>
  <c r="K2841" i="4"/>
  <c r="K2840" i="4"/>
  <c r="K2839" i="4"/>
  <c r="K2838" i="4"/>
  <c r="K2837" i="4"/>
  <c r="K2836" i="4"/>
  <c r="K2835" i="4"/>
  <c r="K2834" i="4"/>
  <c r="K2833" i="4"/>
  <c r="K2832" i="4"/>
  <c r="K2831" i="4"/>
  <c r="K2830" i="4"/>
  <c r="K2829" i="4"/>
  <c r="K2828" i="4"/>
  <c r="K2827" i="4"/>
  <c r="K2826" i="4"/>
  <c r="K2825" i="4"/>
  <c r="K2824" i="4"/>
  <c r="K2823" i="4"/>
  <c r="K2822" i="4"/>
  <c r="K2821" i="4"/>
  <c r="K2820" i="4"/>
  <c r="K2819" i="4"/>
  <c r="K2818" i="4"/>
  <c r="K2817" i="4"/>
  <c r="K2816" i="4"/>
  <c r="K2815" i="4"/>
  <c r="K2814" i="4"/>
  <c r="K2813" i="4"/>
  <c r="K2812" i="4"/>
  <c r="K2811" i="4"/>
  <c r="K2810" i="4"/>
  <c r="K2809" i="4"/>
  <c r="K2808" i="4"/>
  <c r="K2807" i="4"/>
  <c r="K2806" i="4"/>
  <c r="K2805" i="4"/>
  <c r="K2804" i="4"/>
  <c r="K2803" i="4"/>
  <c r="K2802" i="4"/>
  <c r="K2801" i="4"/>
  <c r="K2800" i="4"/>
  <c r="K2799" i="4"/>
  <c r="K2798" i="4"/>
  <c r="K2797" i="4"/>
  <c r="K2796" i="4"/>
  <c r="K2795" i="4"/>
  <c r="K2794" i="4"/>
  <c r="K2793" i="4"/>
  <c r="K2792" i="4"/>
  <c r="K2791" i="4"/>
  <c r="K2790" i="4"/>
  <c r="K2789" i="4"/>
  <c r="K2788" i="4"/>
  <c r="K2787" i="4"/>
  <c r="K2786" i="4"/>
  <c r="K2785" i="4"/>
  <c r="K2784" i="4"/>
  <c r="K2783" i="4"/>
  <c r="K2782" i="4"/>
  <c r="K2781" i="4"/>
  <c r="K2780" i="4"/>
  <c r="K2779" i="4"/>
  <c r="K2777" i="4"/>
  <c r="K2776" i="4"/>
  <c r="K2775" i="4"/>
  <c r="K2774" i="4"/>
  <c r="K2773" i="4"/>
  <c r="K2772" i="4"/>
  <c r="K2771" i="4"/>
  <c r="K2770" i="4"/>
  <c r="K2769" i="4"/>
  <c r="K2768" i="4"/>
  <c r="K2767" i="4"/>
  <c r="K2766" i="4"/>
  <c r="K2765" i="4"/>
  <c r="K2764" i="4"/>
  <c r="K2763" i="4"/>
  <c r="K2762" i="4"/>
  <c r="K2761" i="4"/>
  <c r="K2760" i="4"/>
  <c r="K2759" i="4"/>
  <c r="K2758" i="4"/>
  <c r="K2757" i="4"/>
  <c r="K2756" i="4"/>
  <c r="K2755" i="4"/>
  <c r="K2754" i="4"/>
  <c r="K2753" i="4"/>
  <c r="K2752" i="4"/>
  <c r="K2751" i="4"/>
  <c r="K2750" i="4"/>
  <c r="K2749" i="4"/>
  <c r="K2748" i="4"/>
  <c r="K2747" i="4"/>
  <c r="K2746" i="4"/>
  <c r="K2745" i="4"/>
  <c r="K2744" i="4"/>
  <c r="K2743" i="4"/>
  <c r="K2742" i="4"/>
  <c r="K2741" i="4"/>
  <c r="K2740" i="4"/>
  <c r="K2739" i="4"/>
  <c r="K2738" i="4"/>
  <c r="K2737" i="4"/>
  <c r="K2736" i="4"/>
  <c r="K2735" i="4"/>
  <c r="K2734" i="4"/>
  <c r="K2733" i="4"/>
  <c r="K2732" i="4"/>
  <c r="K2731" i="4"/>
  <c r="K2730" i="4"/>
  <c r="K2729" i="4"/>
  <c r="K2728" i="4"/>
  <c r="K2727" i="4"/>
  <c r="K2726" i="4"/>
  <c r="K2725" i="4"/>
  <c r="K2724" i="4"/>
  <c r="K2723" i="4"/>
  <c r="K2722" i="4"/>
  <c r="K2721" i="4"/>
  <c r="K2720" i="4"/>
  <c r="K2719" i="4"/>
  <c r="K2718" i="4"/>
  <c r="K2717" i="4"/>
  <c r="K2716" i="4"/>
  <c r="K2715" i="4"/>
  <c r="K2714" i="4"/>
  <c r="K2713" i="4"/>
  <c r="K2712" i="4"/>
  <c r="K2710" i="4"/>
  <c r="K2709" i="4"/>
  <c r="K2708" i="4"/>
  <c r="K2707" i="4"/>
  <c r="K2706" i="4"/>
  <c r="K2705" i="4"/>
  <c r="K2704" i="4"/>
  <c r="K2703" i="4"/>
  <c r="K2702" i="4"/>
  <c r="K2701" i="4"/>
  <c r="K2700" i="4"/>
  <c r="K2699" i="4"/>
  <c r="K2698" i="4"/>
  <c r="K2697" i="4"/>
  <c r="K2696" i="4"/>
  <c r="K2695" i="4"/>
  <c r="K2694" i="4"/>
  <c r="K2693" i="4"/>
  <c r="K2692" i="4"/>
  <c r="K2691" i="4"/>
  <c r="K2690" i="4"/>
  <c r="K2689" i="4"/>
  <c r="K2688" i="4"/>
  <c r="K2687" i="4"/>
  <c r="K2686" i="4"/>
  <c r="K2685" i="4"/>
  <c r="K2684" i="4"/>
  <c r="K2683" i="4"/>
  <c r="K2682" i="4"/>
  <c r="K2681" i="4"/>
  <c r="K2680" i="4"/>
  <c r="K2679" i="4"/>
  <c r="K2678" i="4"/>
  <c r="K2677" i="4"/>
  <c r="K2676" i="4"/>
  <c r="K2675" i="4"/>
  <c r="K2674" i="4"/>
  <c r="K2673" i="4"/>
  <c r="K2672" i="4"/>
  <c r="K2671" i="4"/>
  <c r="K2670" i="4"/>
  <c r="K2669" i="4"/>
  <c r="K2668" i="4"/>
  <c r="K2667" i="4"/>
  <c r="K2666" i="4"/>
  <c r="K2665" i="4"/>
  <c r="K2664" i="4"/>
  <c r="K2663" i="4"/>
  <c r="K2662" i="4"/>
  <c r="K2661" i="4"/>
  <c r="K2660" i="4"/>
  <c r="K2659" i="4"/>
  <c r="K2658" i="4"/>
  <c r="K2657" i="4"/>
  <c r="K2656" i="4"/>
  <c r="K2655" i="4"/>
  <c r="K2654" i="4"/>
  <c r="K2653" i="4"/>
  <c r="K2652" i="4"/>
  <c r="K2651" i="4"/>
  <c r="K2650" i="4"/>
  <c r="K2649" i="4"/>
  <c r="K2648" i="4"/>
  <c r="K2647" i="4"/>
  <c r="K2646" i="4"/>
  <c r="K2645" i="4"/>
  <c r="K2644" i="4"/>
  <c r="K2643" i="4"/>
  <c r="K2642" i="4"/>
  <c r="K2641" i="4"/>
  <c r="K2640" i="4"/>
  <c r="K2639" i="4"/>
  <c r="K2638" i="4"/>
  <c r="K2637" i="4"/>
  <c r="K2636" i="4"/>
  <c r="K2635" i="4"/>
  <c r="K2634" i="4"/>
  <c r="K2633" i="4"/>
  <c r="K2632" i="4"/>
  <c r="K2631" i="4"/>
  <c r="K2630" i="4"/>
  <c r="K2629" i="4"/>
  <c r="K2628" i="4"/>
  <c r="K2627" i="4"/>
  <c r="K2626" i="4"/>
  <c r="K2625" i="4"/>
  <c r="K2624" i="4"/>
  <c r="K2623" i="4"/>
  <c r="K2622" i="4"/>
  <c r="K2621" i="4"/>
  <c r="K2620" i="4"/>
  <c r="K2619" i="4"/>
  <c r="K2618" i="4"/>
  <c r="K2617" i="4"/>
  <c r="K2616" i="4"/>
  <c r="K2615" i="4"/>
  <c r="K2614" i="4"/>
  <c r="K2613" i="4"/>
  <c r="K2612" i="4"/>
  <c r="K2611" i="4"/>
  <c r="K2610" i="4"/>
  <c r="K2609" i="4"/>
  <c r="K2608" i="4"/>
  <c r="K2607" i="4"/>
  <c r="K2606" i="4"/>
  <c r="K2605" i="4"/>
  <c r="K2604" i="4"/>
  <c r="K2603" i="4"/>
  <c r="K2602" i="4"/>
  <c r="K2601" i="4"/>
  <c r="K2600" i="4"/>
  <c r="K2599" i="4"/>
  <c r="K2598" i="4"/>
  <c r="K2597" i="4"/>
  <c r="K2596" i="4"/>
  <c r="K2595" i="4"/>
  <c r="K2594" i="4"/>
  <c r="K2593" i="4"/>
  <c r="K2592" i="4"/>
  <c r="K2591" i="4"/>
  <c r="K2590" i="4"/>
  <c r="K2589" i="4"/>
  <c r="K2588" i="4"/>
  <c r="K2587" i="4"/>
  <c r="K2586" i="4"/>
  <c r="K2585" i="4"/>
  <c r="K2584" i="4"/>
  <c r="K2583" i="4"/>
  <c r="K2582" i="4"/>
  <c r="K2581" i="4"/>
  <c r="K2580" i="4"/>
  <c r="K2579" i="4"/>
  <c r="K2578" i="4"/>
  <c r="K2577" i="4"/>
  <c r="K2576" i="4"/>
  <c r="K2575" i="4"/>
  <c r="K2574" i="4"/>
  <c r="K2573" i="4"/>
  <c r="K2572" i="4"/>
  <c r="K2571" i="4"/>
  <c r="K2570" i="4"/>
  <c r="K2569" i="4"/>
  <c r="K2568" i="4"/>
  <c r="K2567" i="4"/>
  <c r="K2566" i="4"/>
  <c r="K2565" i="4"/>
  <c r="K2564" i="4"/>
  <c r="K2563" i="4"/>
  <c r="K2562" i="4"/>
  <c r="K2561" i="4"/>
  <c r="K2560" i="4"/>
  <c r="K2559" i="4"/>
  <c r="K2558" i="4"/>
  <c r="K2557" i="4"/>
  <c r="K2556" i="4"/>
  <c r="K2555" i="4"/>
  <c r="K2554" i="4"/>
  <c r="K2553" i="4"/>
  <c r="K2552" i="4"/>
  <c r="K2551" i="4"/>
  <c r="K2550" i="4"/>
  <c r="K2549" i="4"/>
  <c r="K2548" i="4"/>
  <c r="K2547" i="4"/>
  <c r="K2546" i="4"/>
  <c r="K2545" i="4"/>
  <c r="K2544" i="4"/>
  <c r="K2543" i="4"/>
  <c r="K2542" i="4"/>
  <c r="K2541" i="4"/>
  <c r="K2540" i="4"/>
  <c r="K2539" i="4"/>
  <c r="K2538" i="4"/>
  <c r="K2537" i="4"/>
  <c r="K2536" i="4"/>
  <c r="K2535" i="4"/>
  <c r="K2534" i="4"/>
  <c r="K2533" i="4"/>
  <c r="K2532" i="4"/>
  <c r="K2531" i="4"/>
  <c r="K2530" i="4"/>
  <c r="K2529" i="4"/>
  <c r="K2528" i="4"/>
  <c r="K2527" i="4"/>
  <c r="K2526" i="4"/>
  <c r="K2525" i="4"/>
  <c r="K2524" i="4"/>
  <c r="K2523" i="4"/>
  <c r="K2522" i="4"/>
  <c r="K2521" i="4"/>
  <c r="K2520" i="4"/>
  <c r="K2519" i="4"/>
  <c r="K2518" i="4"/>
  <c r="K2517" i="4"/>
  <c r="K2516" i="4"/>
  <c r="K2515" i="4"/>
  <c r="K2514" i="4"/>
  <c r="K2513" i="4"/>
  <c r="K2512" i="4"/>
  <c r="K2511" i="4"/>
  <c r="K2510" i="4"/>
  <c r="K2509" i="4"/>
  <c r="K2508" i="4"/>
  <c r="K2507" i="4"/>
  <c r="K2506" i="4"/>
  <c r="K2505" i="4"/>
  <c r="K2504" i="4"/>
  <c r="K2503" i="4"/>
  <c r="K2502" i="4"/>
  <c r="K2501" i="4"/>
  <c r="K2500" i="4"/>
  <c r="K2499" i="4"/>
  <c r="K2498" i="4"/>
  <c r="K2497" i="4"/>
  <c r="K2496" i="4"/>
  <c r="K2495" i="4"/>
  <c r="K2494" i="4"/>
  <c r="K2493" i="4"/>
  <c r="K2492" i="4"/>
  <c r="K2491" i="4"/>
  <c r="K2490" i="4"/>
  <c r="K2489" i="4"/>
  <c r="K2488" i="4"/>
  <c r="K2487" i="4"/>
  <c r="K2486" i="4"/>
  <c r="K2485" i="4"/>
  <c r="K2484" i="4"/>
  <c r="K2483" i="4"/>
  <c r="K2482" i="4"/>
  <c r="K2481" i="4"/>
  <c r="K2480" i="4"/>
  <c r="K2479" i="4"/>
  <c r="K2478" i="4"/>
  <c r="K2477" i="4"/>
  <c r="K2476" i="4"/>
  <c r="K2475" i="4"/>
  <c r="K2474" i="4"/>
  <c r="K2473" i="4"/>
  <c r="K2472" i="4"/>
  <c r="K2471" i="4"/>
  <c r="K2470" i="4"/>
  <c r="K2469" i="4"/>
  <c r="K2468" i="4"/>
  <c r="K2467" i="4"/>
  <c r="K2466" i="4"/>
  <c r="K2465" i="4"/>
  <c r="K2464" i="4"/>
  <c r="K2463" i="4"/>
  <c r="K2462" i="4"/>
  <c r="K2461" i="4"/>
  <c r="K2460" i="4"/>
  <c r="K2459" i="4"/>
  <c r="K2458" i="4"/>
  <c r="K2457" i="4"/>
  <c r="K2456" i="4"/>
  <c r="K2455" i="4"/>
  <c r="K2454" i="4"/>
  <c r="K2453" i="4"/>
  <c r="K2452" i="4"/>
  <c r="K2451" i="4"/>
  <c r="K2450" i="4"/>
  <c r="K2449" i="4"/>
  <c r="K2448" i="4"/>
  <c r="K2447" i="4"/>
  <c r="K2446" i="4"/>
  <c r="K2445" i="4"/>
  <c r="K2444" i="4"/>
  <c r="K2443" i="4"/>
  <c r="K2442" i="4"/>
  <c r="K2441" i="4"/>
  <c r="K2440" i="4"/>
  <c r="K2439" i="4"/>
  <c r="K2438" i="4"/>
  <c r="K2437" i="4"/>
  <c r="K2436" i="4"/>
  <c r="K2435" i="4"/>
  <c r="K2434" i="4"/>
  <c r="K2433" i="4"/>
  <c r="K2432" i="4"/>
  <c r="K2431" i="4"/>
  <c r="K2430" i="4"/>
  <c r="K2429" i="4"/>
  <c r="K2428" i="4"/>
  <c r="K2427" i="4"/>
  <c r="K2426" i="4"/>
  <c r="K2425" i="4"/>
  <c r="K2424" i="4"/>
  <c r="K2423" i="4"/>
  <c r="K2422" i="4"/>
  <c r="K2421" i="4"/>
  <c r="K2420" i="4"/>
  <c r="K2419" i="4"/>
  <c r="K2418" i="4"/>
  <c r="K2417" i="4"/>
  <c r="K2416" i="4"/>
  <c r="K2415" i="4"/>
  <c r="K2414" i="4"/>
  <c r="K2413" i="4"/>
  <c r="K2412" i="4"/>
  <c r="K2411" i="4"/>
  <c r="K2410" i="4"/>
  <c r="K2409" i="4"/>
  <c r="K2408" i="4"/>
  <c r="K2407" i="4"/>
  <c r="K2406" i="4"/>
  <c r="K2405" i="4"/>
  <c r="K2404" i="4"/>
  <c r="K2403" i="4"/>
  <c r="K2402" i="4"/>
  <c r="K2401" i="4"/>
  <c r="K2400" i="4"/>
  <c r="K2399" i="4"/>
  <c r="K2398" i="4"/>
  <c r="K2397" i="4"/>
  <c r="K2396" i="4"/>
  <c r="K2395" i="4"/>
  <c r="K2394" i="4"/>
  <c r="K2393" i="4"/>
  <c r="K2392" i="4"/>
  <c r="K2391" i="4"/>
  <c r="K2390" i="4"/>
  <c r="K2389" i="4"/>
  <c r="K2388" i="4"/>
  <c r="K2387" i="4"/>
  <c r="K2386" i="4"/>
  <c r="K2385" i="4"/>
  <c r="K2384" i="4"/>
  <c r="K2383" i="4"/>
  <c r="K2382" i="4"/>
  <c r="K2381" i="4"/>
  <c r="K2380" i="4"/>
  <c r="K2379" i="4"/>
  <c r="K2378" i="4"/>
  <c r="K2377" i="4"/>
  <c r="K2376" i="4"/>
  <c r="K2375" i="4"/>
  <c r="K2374" i="4"/>
  <c r="K2373" i="4"/>
  <c r="K2372" i="4"/>
  <c r="K2371" i="4"/>
  <c r="K2370" i="4"/>
  <c r="K2369" i="4"/>
  <c r="K2368" i="4"/>
  <c r="K2367" i="4"/>
  <c r="K2366" i="4"/>
  <c r="K2365" i="4"/>
  <c r="K2364" i="4"/>
  <c r="K2363" i="4"/>
  <c r="K2362" i="4"/>
  <c r="K2361" i="4"/>
  <c r="K2360" i="4"/>
  <c r="K2359" i="4"/>
  <c r="K2358" i="4"/>
  <c r="K2357" i="4"/>
  <c r="K2356" i="4"/>
  <c r="K2355" i="4"/>
  <c r="K2354" i="4"/>
  <c r="K2353" i="4"/>
  <c r="K2352" i="4"/>
  <c r="K2351" i="4"/>
  <c r="K2350" i="4"/>
  <c r="K2349" i="4"/>
  <c r="K2348" i="4"/>
  <c r="K2347" i="4"/>
  <c r="K2346" i="4"/>
  <c r="K2345" i="4"/>
  <c r="K2344" i="4"/>
  <c r="K2343" i="4"/>
  <c r="K2342" i="4"/>
  <c r="K2341" i="4"/>
  <c r="K2340" i="4"/>
  <c r="K2339" i="4"/>
  <c r="K2338" i="4"/>
  <c r="K2337" i="4"/>
  <c r="K2336" i="4"/>
  <c r="K2335" i="4"/>
  <c r="K2334" i="4"/>
  <c r="K2333" i="4"/>
  <c r="K2332" i="4"/>
  <c r="K2331" i="4"/>
  <c r="K2330" i="4"/>
  <c r="K2329" i="4"/>
  <c r="K2328" i="4"/>
  <c r="K2327" i="4"/>
  <c r="K2326" i="4"/>
  <c r="K2325" i="4"/>
  <c r="K2324" i="4"/>
  <c r="K2323" i="4"/>
  <c r="K2322" i="4"/>
  <c r="K2321" i="4"/>
  <c r="K2320" i="4"/>
  <c r="K2319" i="4"/>
  <c r="K2318" i="4"/>
  <c r="K2317" i="4"/>
  <c r="K2316" i="4"/>
  <c r="K2315" i="4"/>
  <c r="K2314" i="4"/>
  <c r="K2313" i="4"/>
  <c r="K2312" i="4"/>
  <c r="K2311" i="4"/>
  <c r="K2310" i="4"/>
  <c r="K2309" i="4"/>
  <c r="K2308" i="4"/>
  <c r="K2307" i="4"/>
  <c r="K2306" i="4"/>
  <c r="K2305" i="4"/>
  <c r="K2304" i="4"/>
  <c r="K2303" i="4"/>
  <c r="K2302" i="4"/>
  <c r="K2301" i="4"/>
  <c r="K2300" i="4"/>
  <c r="K2299" i="4"/>
  <c r="K2298" i="4"/>
  <c r="K2297" i="4"/>
  <c r="K2296" i="4"/>
  <c r="K2295" i="4"/>
  <c r="K2294" i="4"/>
  <c r="K2293" i="4"/>
  <c r="K2292" i="4"/>
  <c r="K2291" i="4"/>
  <c r="K2290" i="4"/>
  <c r="K2289" i="4"/>
  <c r="K2288" i="4"/>
  <c r="K2287" i="4"/>
  <c r="K2286" i="4"/>
  <c r="K2285" i="4"/>
  <c r="K2284" i="4"/>
  <c r="K2283" i="4"/>
  <c r="K2282" i="4"/>
  <c r="K2281" i="4"/>
  <c r="K2280" i="4"/>
  <c r="K2279" i="4"/>
  <c r="K2278" i="4"/>
  <c r="K2277" i="4"/>
  <c r="K2276" i="4"/>
  <c r="K2275" i="4"/>
  <c r="K2274" i="4"/>
  <c r="K2273" i="4"/>
  <c r="K2272" i="4"/>
  <c r="K2271" i="4"/>
  <c r="K2270" i="4"/>
  <c r="K2269" i="4"/>
  <c r="K2268" i="4"/>
  <c r="K2267" i="4"/>
  <c r="K2266" i="4"/>
  <c r="K2265" i="4"/>
  <c r="K2264" i="4"/>
  <c r="K2263" i="4"/>
  <c r="K2262" i="4"/>
  <c r="K2261" i="4"/>
  <c r="K2260" i="4"/>
  <c r="K2259" i="4"/>
  <c r="K2258" i="4"/>
  <c r="K2257" i="4"/>
  <c r="K2256" i="4"/>
  <c r="K2255" i="4"/>
  <c r="K2254" i="4"/>
  <c r="K2253" i="4"/>
  <c r="K2252" i="4"/>
  <c r="K2251" i="4"/>
  <c r="K2250" i="4"/>
  <c r="K2249" i="4"/>
  <c r="K2248" i="4"/>
  <c r="K2247" i="4"/>
  <c r="K2246" i="4"/>
  <c r="K2245" i="4"/>
  <c r="K2244" i="4"/>
  <c r="K2243" i="4"/>
  <c r="K2242" i="4"/>
  <c r="K2241" i="4"/>
  <c r="K2240" i="4"/>
  <c r="K2239" i="4"/>
  <c r="K2238" i="4"/>
  <c r="K2237" i="4"/>
  <c r="K2236" i="4"/>
  <c r="K2235" i="4"/>
  <c r="K2233" i="4"/>
  <c r="K2232" i="4"/>
  <c r="K2231" i="4"/>
  <c r="K2230" i="4"/>
  <c r="K2229" i="4"/>
  <c r="K2228" i="4"/>
  <c r="K2227" i="4"/>
  <c r="K2226" i="4"/>
  <c r="K2225" i="4"/>
  <c r="K2224" i="4"/>
  <c r="K2223" i="4"/>
  <c r="K2222" i="4"/>
  <c r="K2221" i="4"/>
  <c r="K2220" i="4"/>
  <c r="K2219" i="4"/>
  <c r="K2218" i="4"/>
  <c r="K2217" i="4"/>
  <c r="K2216" i="4"/>
  <c r="K2215" i="4"/>
  <c r="K2214" i="4"/>
  <c r="K2213" i="4"/>
  <c r="K2212" i="4"/>
  <c r="K2211" i="4"/>
  <c r="K2210" i="4"/>
  <c r="K2209" i="4"/>
  <c r="K2208" i="4"/>
  <c r="K2207" i="4"/>
  <c r="K2206" i="4"/>
  <c r="K2205" i="4"/>
  <c r="K2204" i="4"/>
  <c r="K2203" i="4"/>
  <c r="K2202" i="4"/>
  <c r="K2201" i="4"/>
  <c r="K2200" i="4"/>
  <c r="K2199" i="4"/>
  <c r="K2198" i="4"/>
  <c r="K2197" i="4"/>
  <c r="K2196" i="4"/>
  <c r="K2195" i="4"/>
  <c r="K2194" i="4"/>
  <c r="K2193" i="4"/>
  <c r="K2192" i="4"/>
  <c r="K2191" i="4"/>
  <c r="K2190" i="4"/>
  <c r="K2189" i="4"/>
  <c r="K2188" i="4"/>
  <c r="K2187" i="4"/>
  <c r="K2186" i="4"/>
  <c r="K2185" i="4"/>
  <c r="K2184" i="4"/>
  <c r="K2183" i="4"/>
  <c r="K2182" i="4"/>
  <c r="K2181" i="4"/>
  <c r="K2180" i="4"/>
  <c r="K2179" i="4"/>
  <c r="K2178" i="4"/>
  <c r="K2177" i="4"/>
  <c r="K2176" i="4"/>
  <c r="K2175" i="4"/>
  <c r="K2174" i="4"/>
  <c r="K2173" i="4"/>
  <c r="K2171" i="4"/>
  <c r="K2170" i="4"/>
  <c r="K2169" i="4"/>
  <c r="K2168" i="4"/>
  <c r="K2167" i="4"/>
  <c r="K2166" i="4"/>
  <c r="K2165" i="4"/>
  <c r="K2164" i="4"/>
  <c r="K2163" i="4"/>
  <c r="K2162" i="4"/>
  <c r="K2161" i="4"/>
  <c r="K2160" i="4"/>
  <c r="K2159" i="4"/>
  <c r="K2158" i="4"/>
  <c r="K2157" i="4"/>
  <c r="K2156" i="4"/>
  <c r="K2155" i="4"/>
  <c r="K2152" i="4"/>
  <c r="K2151" i="4"/>
  <c r="K2150" i="4"/>
  <c r="K2149" i="4"/>
  <c r="K2148" i="4"/>
  <c r="K2147" i="4"/>
  <c r="K2146" i="4"/>
  <c r="K2145" i="4"/>
  <c r="K2144" i="4"/>
  <c r="K2143" i="4"/>
  <c r="K2142" i="4"/>
  <c r="K2141" i="4"/>
  <c r="K2140" i="4"/>
  <c r="K2139" i="4"/>
  <c r="K2138" i="4"/>
  <c r="K2137" i="4"/>
  <c r="K2136" i="4"/>
  <c r="K2135" i="4"/>
  <c r="K2134" i="4"/>
  <c r="K2133" i="4"/>
  <c r="K2132" i="4"/>
  <c r="K2131" i="4"/>
  <c r="K2130" i="4"/>
  <c r="K2129" i="4"/>
  <c r="K2128" i="4"/>
  <c r="K2127" i="4"/>
  <c r="K2126" i="4"/>
  <c r="K2125" i="4"/>
  <c r="K2124" i="4"/>
  <c r="K2123" i="4"/>
  <c r="K2122" i="4"/>
  <c r="K2121" i="4"/>
  <c r="K2120" i="4"/>
  <c r="K2119" i="4"/>
  <c r="K2118" i="4"/>
  <c r="K2117" i="4"/>
  <c r="K2116" i="4"/>
  <c r="K2115" i="4"/>
  <c r="K2114" i="4"/>
  <c r="K2113" i="4"/>
  <c r="K2112" i="4"/>
  <c r="K2111" i="4"/>
  <c r="K2110" i="4"/>
  <c r="K2109" i="4"/>
  <c r="K2108" i="4"/>
  <c r="K2107" i="4"/>
  <c r="K2106" i="4"/>
  <c r="K2105" i="4"/>
  <c r="K2104" i="4"/>
  <c r="K2103" i="4"/>
  <c r="K2102" i="4"/>
  <c r="K2101" i="4"/>
  <c r="K2100" i="4"/>
  <c r="K2099" i="4"/>
  <c r="K2098" i="4"/>
  <c r="K2097" i="4"/>
  <c r="K2096" i="4"/>
  <c r="K2095" i="4"/>
  <c r="K2094" i="4"/>
  <c r="K2093" i="4"/>
  <c r="K2092" i="4"/>
  <c r="K2091" i="4"/>
  <c r="K2090" i="4"/>
  <c r="K2089" i="4"/>
  <c r="K2088" i="4"/>
  <c r="K2087" i="4"/>
  <c r="K2086" i="4"/>
  <c r="K2085" i="4"/>
  <c r="K2084" i="4"/>
  <c r="K2083" i="4"/>
  <c r="K2082" i="4"/>
  <c r="K2081" i="4"/>
  <c r="K2080" i="4"/>
  <c r="K2079" i="4"/>
  <c r="K2078" i="4"/>
  <c r="K2077" i="4"/>
  <c r="K2076" i="4"/>
  <c r="K2075" i="4"/>
  <c r="K2074" i="4"/>
  <c r="K2073" i="4"/>
  <c r="K2072" i="4"/>
  <c r="K2071" i="4"/>
  <c r="K2070" i="4"/>
  <c r="K2069" i="4"/>
  <c r="K2068" i="4"/>
  <c r="K2067" i="4"/>
  <c r="K2066" i="4"/>
  <c r="K2065" i="4"/>
  <c r="K2064" i="4"/>
  <c r="K2063" i="4"/>
  <c r="K2062" i="4"/>
  <c r="K2061" i="4"/>
  <c r="K2060" i="4"/>
  <c r="K2059" i="4"/>
  <c r="K2058" i="4"/>
  <c r="K2057" i="4"/>
  <c r="K2056" i="4"/>
  <c r="K2055" i="4"/>
  <c r="K2054" i="4"/>
  <c r="K2053" i="4"/>
  <c r="K2052" i="4"/>
  <c r="K2051" i="4"/>
  <c r="K2050" i="4"/>
  <c r="K2049" i="4"/>
  <c r="K2048" i="4"/>
  <c r="K2047" i="4"/>
  <c r="K2046" i="4"/>
  <c r="K2045" i="4"/>
  <c r="K2044" i="4"/>
  <c r="K2043" i="4"/>
  <c r="K2042" i="4"/>
  <c r="K2041" i="4"/>
  <c r="K2040" i="4"/>
  <c r="K2039" i="4"/>
  <c r="K2038" i="4"/>
  <c r="K2037" i="4"/>
  <c r="K2036" i="4"/>
  <c r="K2035" i="4"/>
  <c r="K2034" i="4"/>
  <c r="K2033" i="4"/>
  <c r="K2032" i="4"/>
  <c r="K2031" i="4"/>
  <c r="K2030" i="4"/>
  <c r="K2029" i="4"/>
  <c r="K2028" i="4"/>
  <c r="K2027" i="4"/>
  <c r="K2026" i="4"/>
  <c r="K2025" i="4"/>
  <c r="K2024" i="4"/>
  <c r="K2023" i="4"/>
  <c r="K2022" i="4"/>
  <c r="K2021" i="4"/>
  <c r="K2020" i="4"/>
  <c r="K2019" i="4"/>
  <c r="K2018" i="4"/>
  <c r="K2017" i="4"/>
  <c r="K2016" i="4"/>
  <c r="K2015" i="4"/>
  <c r="K2014" i="4"/>
  <c r="K2013" i="4"/>
  <c r="K2012" i="4"/>
  <c r="K2011" i="4"/>
  <c r="K2010" i="4"/>
  <c r="K2009" i="4"/>
  <c r="K2008" i="4"/>
  <c r="K2007" i="4"/>
  <c r="K2006" i="4"/>
  <c r="K2005" i="4"/>
  <c r="K2004" i="4"/>
  <c r="K2003" i="4"/>
  <c r="K2002" i="4"/>
  <c r="K2001" i="4"/>
  <c r="K2000" i="4"/>
  <c r="K1999" i="4"/>
  <c r="K1998" i="4"/>
  <c r="K1997" i="4"/>
  <c r="K1996" i="4"/>
  <c r="K1995" i="4"/>
  <c r="K1994" i="4"/>
  <c r="K1993" i="4"/>
  <c r="K1992" i="4"/>
  <c r="K1991" i="4"/>
  <c r="K1990" i="4"/>
  <c r="K1989" i="4"/>
  <c r="K1988" i="4"/>
  <c r="K1987" i="4"/>
  <c r="K1986" i="4"/>
  <c r="K1985" i="4"/>
  <c r="K1984" i="4"/>
  <c r="K1983" i="4"/>
  <c r="K1982" i="4"/>
  <c r="K1981" i="4"/>
  <c r="K1980" i="4"/>
  <c r="K1979" i="4"/>
  <c r="K1978" i="4"/>
  <c r="K1977" i="4"/>
  <c r="K1975" i="4"/>
  <c r="K1974" i="4"/>
  <c r="K1973" i="4"/>
  <c r="K1972" i="4"/>
  <c r="K1971" i="4"/>
  <c r="K1970" i="4"/>
  <c r="K1969" i="4"/>
  <c r="K1968" i="4"/>
  <c r="K1967" i="4"/>
  <c r="K1966" i="4"/>
  <c r="K1965" i="4"/>
  <c r="K1964" i="4"/>
  <c r="K1963" i="4"/>
  <c r="K1962" i="4"/>
  <c r="K1961" i="4"/>
  <c r="K1960" i="4"/>
  <c r="K1959" i="4"/>
  <c r="K1958" i="4"/>
  <c r="K1957" i="4"/>
  <c r="K1956" i="4"/>
  <c r="K1955" i="4"/>
  <c r="K1954" i="4"/>
  <c r="K1953" i="4"/>
  <c r="K1952" i="4"/>
  <c r="K1951" i="4"/>
  <c r="K1950" i="4"/>
  <c r="K1949" i="4"/>
  <c r="K1948" i="4"/>
  <c r="K1947" i="4"/>
  <c r="K1946" i="4"/>
  <c r="K1945" i="4"/>
  <c r="K1944" i="4"/>
  <c r="K1943" i="4"/>
  <c r="K1942" i="4"/>
  <c r="K1941" i="4"/>
  <c r="K1940" i="4"/>
  <c r="K1939" i="4"/>
  <c r="K1938" i="4"/>
  <c r="K1937" i="4"/>
  <c r="K1936" i="4"/>
  <c r="K1935" i="4"/>
  <c r="K1934" i="4"/>
  <c r="K1933" i="4"/>
  <c r="K1932" i="4"/>
  <c r="K1931" i="4"/>
  <c r="K1930" i="4"/>
  <c r="K1929" i="4"/>
  <c r="K1928" i="4"/>
  <c r="K1926" i="4"/>
  <c r="K1925" i="4"/>
  <c r="K1924" i="4"/>
  <c r="K1923" i="4"/>
  <c r="K1922" i="4"/>
  <c r="K1921" i="4"/>
  <c r="K1920" i="4"/>
  <c r="K1919" i="4"/>
  <c r="K1918" i="4"/>
  <c r="K1917" i="4"/>
  <c r="K1916" i="4"/>
  <c r="K1915" i="4"/>
  <c r="K1914" i="4"/>
  <c r="K1913" i="4"/>
  <c r="K1912" i="4"/>
  <c r="K1911" i="4"/>
  <c r="K1910" i="4"/>
  <c r="K1909" i="4"/>
  <c r="K1908" i="4"/>
  <c r="K1907" i="4"/>
  <c r="K1906" i="4"/>
  <c r="K1905" i="4"/>
  <c r="K1904" i="4"/>
  <c r="K1903" i="4"/>
  <c r="K1902" i="4"/>
  <c r="K1901" i="4"/>
  <c r="K1900" i="4"/>
  <c r="K1899" i="4"/>
  <c r="K1898" i="4"/>
  <c r="K1897" i="4"/>
  <c r="K1896" i="4"/>
  <c r="K1895" i="4"/>
  <c r="K1894" i="4"/>
  <c r="K1893" i="4"/>
  <c r="K1892" i="4"/>
  <c r="K1891" i="4"/>
  <c r="K1890" i="4"/>
  <c r="K1889" i="4"/>
  <c r="K1888" i="4"/>
  <c r="K1887" i="4"/>
  <c r="K1886" i="4"/>
  <c r="K1885" i="4"/>
  <c r="K1884" i="4"/>
  <c r="K1883" i="4"/>
  <c r="K1882" i="4"/>
  <c r="K1881" i="4"/>
  <c r="K1880" i="4"/>
  <c r="K1879" i="4"/>
  <c r="K1878" i="4"/>
  <c r="K1877" i="4"/>
  <c r="K1876" i="4"/>
  <c r="K1875" i="4"/>
  <c r="K1874" i="4"/>
  <c r="K1873" i="4"/>
  <c r="K1872" i="4"/>
  <c r="K1871" i="4"/>
  <c r="K1870" i="4"/>
  <c r="K1869" i="4"/>
  <c r="K1868" i="4"/>
  <c r="K1867" i="4"/>
  <c r="K1866" i="4"/>
  <c r="K1865" i="4"/>
  <c r="K1864" i="4"/>
  <c r="K1863" i="4"/>
  <c r="K1862" i="4"/>
  <c r="K1861" i="4"/>
  <c r="K1860" i="4"/>
  <c r="K1859" i="4"/>
  <c r="K1858" i="4"/>
  <c r="K1857" i="4"/>
  <c r="K1856" i="4"/>
  <c r="K1855" i="4"/>
  <c r="K1854" i="4"/>
  <c r="K1853" i="4"/>
  <c r="K1852" i="4"/>
  <c r="K1851" i="4"/>
  <c r="K1850" i="4"/>
  <c r="K1849" i="4"/>
  <c r="K1848" i="4"/>
  <c r="K1847" i="4"/>
  <c r="K1846" i="4"/>
  <c r="K1845" i="4"/>
  <c r="K1844" i="4"/>
  <c r="K1843" i="4"/>
  <c r="K1842" i="4"/>
  <c r="K1841" i="4"/>
  <c r="K1840" i="4"/>
  <c r="K1839" i="4"/>
  <c r="K1838" i="4"/>
  <c r="K1837" i="4"/>
  <c r="K1836" i="4"/>
  <c r="K1835" i="4"/>
  <c r="K1834" i="4"/>
  <c r="K1833" i="4"/>
  <c r="K1832" i="4"/>
  <c r="K1831" i="4"/>
  <c r="K1830" i="4"/>
  <c r="K1829" i="4"/>
  <c r="K1828" i="4"/>
  <c r="K1827" i="4"/>
  <c r="K1826" i="4"/>
  <c r="K1825" i="4"/>
  <c r="K1824" i="4"/>
  <c r="K1823" i="4"/>
  <c r="K1822" i="4"/>
  <c r="K1821" i="4"/>
  <c r="K1820" i="4"/>
  <c r="K1819" i="4"/>
  <c r="K1818" i="4"/>
  <c r="K1817" i="4"/>
  <c r="K1816" i="4"/>
  <c r="K1815" i="4"/>
  <c r="K1814" i="4"/>
  <c r="K1813" i="4"/>
  <c r="K1812" i="4"/>
  <c r="K1811" i="4"/>
  <c r="K1810" i="4"/>
  <c r="K1809" i="4"/>
  <c r="K1808" i="4"/>
  <c r="K1807" i="4"/>
  <c r="K1806" i="4"/>
  <c r="K1805" i="4"/>
  <c r="K1804" i="4"/>
  <c r="K1803" i="4"/>
  <c r="K1802" i="4"/>
  <c r="K1801" i="4"/>
  <c r="K1800" i="4"/>
  <c r="K1799" i="4"/>
  <c r="K1798" i="4"/>
  <c r="K1797" i="4"/>
  <c r="K1796" i="4"/>
  <c r="K1794" i="4"/>
  <c r="K1793" i="4"/>
  <c r="K1792" i="4"/>
  <c r="K1791" i="4"/>
  <c r="K1790" i="4"/>
  <c r="K1789" i="4"/>
  <c r="K1788" i="4"/>
  <c r="K1787" i="4"/>
  <c r="K1786" i="4"/>
  <c r="K1785" i="4"/>
  <c r="K1784" i="4"/>
  <c r="K1783" i="4"/>
  <c r="K1782" i="4"/>
  <c r="K1781" i="4"/>
  <c r="K1780" i="4"/>
  <c r="K1779" i="4"/>
  <c r="K1778" i="4"/>
  <c r="K1777" i="4"/>
  <c r="K1776" i="4"/>
  <c r="K1775" i="4"/>
  <c r="K1774" i="4"/>
  <c r="K1773" i="4"/>
  <c r="K1772" i="4"/>
  <c r="K1771" i="4"/>
  <c r="K1770" i="4"/>
  <c r="K1769" i="4"/>
  <c r="K1768" i="4"/>
  <c r="K1767" i="4"/>
  <c r="K1766" i="4"/>
  <c r="K1765" i="4"/>
  <c r="K1764" i="4"/>
  <c r="K1763" i="4"/>
  <c r="K1762" i="4"/>
  <c r="K1761" i="4"/>
  <c r="K1760" i="4"/>
  <c r="K1759" i="4"/>
  <c r="K1758" i="4"/>
  <c r="K1757" i="4"/>
  <c r="K1756" i="4"/>
  <c r="K1755" i="4"/>
  <c r="K1753" i="4"/>
  <c r="K1752" i="4"/>
  <c r="K1751" i="4"/>
  <c r="K1750" i="4"/>
  <c r="K1749" i="4"/>
  <c r="K1748" i="4"/>
  <c r="K1747" i="4"/>
  <c r="K1746" i="4"/>
  <c r="K1745" i="4"/>
  <c r="K1744" i="4"/>
  <c r="K1743" i="4"/>
  <c r="K1742" i="4"/>
  <c r="K1741" i="4"/>
  <c r="K1740" i="4"/>
  <c r="K1739" i="4"/>
  <c r="K1738" i="4"/>
  <c r="K1737" i="4"/>
  <c r="K1736" i="4"/>
  <c r="K1735" i="4"/>
  <c r="K1734" i="4"/>
  <c r="K1733" i="4"/>
  <c r="K1732" i="4"/>
  <c r="K1731" i="4"/>
  <c r="K1730" i="4"/>
  <c r="K1729" i="4"/>
  <c r="K1728" i="4"/>
  <c r="K1727" i="4"/>
  <c r="K1726" i="4"/>
  <c r="K1725" i="4"/>
  <c r="K1724" i="4"/>
  <c r="K1723" i="4"/>
  <c r="K1722" i="4"/>
  <c r="K1721" i="4"/>
  <c r="K1720" i="4"/>
  <c r="K1719" i="4"/>
  <c r="K1718" i="4"/>
  <c r="K1717" i="4"/>
  <c r="K1716" i="4"/>
  <c r="K1715" i="4"/>
  <c r="K1714" i="4"/>
  <c r="K1713" i="4"/>
  <c r="K1712" i="4"/>
  <c r="K1711" i="4"/>
  <c r="K1710" i="4"/>
  <c r="K1709" i="4"/>
  <c r="K1708" i="4"/>
  <c r="K1707" i="4"/>
  <c r="K1706" i="4"/>
  <c r="K1705" i="4"/>
  <c r="K1704" i="4"/>
  <c r="K1703" i="4"/>
  <c r="K1702" i="4"/>
  <c r="K1701" i="4"/>
  <c r="K1700" i="4"/>
  <c r="K1699" i="4"/>
  <c r="K1698" i="4"/>
  <c r="K1696" i="4"/>
  <c r="K1695" i="4"/>
  <c r="K1694" i="4"/>
  <c r="K1693" i="4"/>
  <c r="K1692" i="4"/>
  <c r="K1691" i="4"/>
  <c r="K1690" i="4"/>
  <c r="K1689" i="4"/>
  <c r="K1688" i="4"/>
  <c r="K1687" i="4"/>
  <c r="K1686" i="4"/>
  <c r="K1685" i="4"/>
  <c r="K1684" i="4"/>
  <c r="K1683" i="4"/>
  <c r="K1682" i="4"/>
  <c r="K1681" i="4"/>
  <c r="K1680" i="4"/>
  <c r="K1679" i="4"/>
  <c r="K1678" i="4"/>
  <c r="K1677" i="4"/>
  <c r="K1676" i="4"/>
  <c r="K1675" i="4"/>
  <c r="K1674" i="4"/>
  <c r="K1673" i="4"/>
  <c r="K1672" i="4"/>
  <c r="K1671" i="4"/>
  <c r="K1670" i="4"/>
  <c r="K1669" i="4"/>
  <c r="K1668" i="4"/>
  <c r="K1667" i="4"/>
  <c r="K1666" i="4"/>
  <c r="K1665" i="4"/>
  <c r="K1664" i="4"/>
  <c r="K1663" i="4"/>
  <c r="K1661" i="4"/>
  <c r="K1660" i="4"/>
  <c r="K1659" i="4"/>
  <c r="K1658" i="4"/>
  <c r="K1657" i="4"/>
  <c r="K1656" i="4"/>
  <c r="K1655" i="4"/>
  <c r="K1654" i="4"/>
  <c r="K1653" i="4"/>
  <c r="K1652" i="4"/>
  <c r="K1651" i="4"/>
  <c r="K1650" i="4"/>
  <c r="K1649" i="4"/>
  <c r="K1648" i="4"/>
  <c r="K1647" i="4"/>
  <c r="K1646" i="4"/>
  <c r="K1645" i="4"/>
  <c r="K1644" i="4"/>
  <c r="K1643" i="4"/>
  <c r="K1642" i="4"/>
  <c r="K1641" i="4"/>
  <c r="K1640" i="4"/>
  <c r="K1639" i="4"/>
  <c r="K1638" i="4"/>
  <c r="K1637" i="4"/>
  <c r="K1636" i="4"/>
  <c r="K1635" i="4"/>
  <c r="K1634" i="4"/>
  <c r="K1633" i="4"/>
  <c r="K1632" i="4"/>
  <c r="K1631" i="4"/>
  <c r="K1630" i="4"/>
  <c r="K1629" i="4"/>
  <c r="K1628" i="4"/>
  <c r="K1627" i="4"/>
  <c r="K1626" i="4"/>
  <c r="K1625" i="4"/>
  <c r="K1624" i="4"/>
  <c r="K1623" i="4"/>
  <c r="K1622" i="4"/>
  <c r="K1621" i="4"/>
  <c r="K1620" i="4"/>
  <c r="K1619" i="4"/>
  <c r="K1618" i="4"/>
  <c r="K1617" i="4"/>
  <c r="K1616" i="4"/>
  <c r="K1615" i="4"/>
  <c r="K1614" i="4"/>
  <c r="K1613" i="4"/>
  <c r="K1612" i="4"/>
  <c r="K1611" i="4"/>
  <c r="K1610" i="4"/>
  <c r="K1609" i="4"/>
  <c r="K1608" i="4"/>
  <c r="K1607" i="4"/>
  <c r="K1606" i="4"/>
  <c r="K1605" i="4"/>
  <c r="K1604" i="4"/>
  <c r="K1603" i="4"/>
  <c r="K1602" i="4"/>
  <c r="K1601" i="4"/>
  <c r="K1600" i="4"/>
  <c r="K1599" i="4"/>
  <c r="K1598" i="4"/>
  <c r="K1597" i="4"/>
  <c r="K1596" i="4"/>
  <c r="K1595" i="4"/>
  <c r="K1594" i="4"/>
  <c r="K1593" i="4"/>
  <c r="K1592" i="4"/>
  <c r="K1591" i="4"/>
  <c r="K1590" i="4"/>
  <c r="K1589" i="4"/>
  <c r="K1588" i="4"/>
  <c r="K1587" i="4"/>
  <c r="K1586" i="4"/>
  <c r="K1585" i="4"/>
  <c r="K1584" i="4"/>
  <c r="K1583" i="4"/>
  <c r="K1582" i="4"/>
  <c r="K1581" i="4"/>
  <c r="K1580" i="4"/>
  <c r="K1579" i="4"/>
  <c r="K1578" i="4"/>
  <c r="K1577" i="4"/>
  <c r="K1576" i="4"/>
  <c r="K1575" i="4"/>
  <c r="K1574" i="4"/>
  <c r="K1573" i="4"/>
  <c r="K1572" i="4"/>
  <c r="K1571" i="4"/>
  <c r="K1570" i="4"/>
  <c r="K1569" i="4"/>
  <c r="K1568" i="4"/>
  <c r="K1567" i="4"/>
  <c r="K1566" i="4"/>
  <c r="K1565" i="4"/>
  <c r="K1564" i="4"/>
  <c r="K1563" i="4"/>
  <c r="K1562" i="4"/>
  <c r="K1561" i="4"/>
  <c r="K1560" i="4"/>
  <c r="K1559" i="4"/>
  <c r="K1558" i="4"/>
  <c r="K1557" i="4"/>
  <c r="K1556" i="4"/>
  <c r="K1555" i="4"/>
  <c r="K1554" i="4"/>
  <c r="K1553" i="4"/>
  <c r="K1552" i="4"/>
  <c r="K1551" i="4"/>
  <c r="K1550" i="4"/>
  <c r="K1549" i="4"/>
  <c r="K1548" i="4"/>
  <c r="K1547" i="4"/>
  <c r="K1546" i="4"/>
  <c r="K1545" i="4"/>
  <c r="K1544" i="4"/>
  <c r="K1543" i="4"/>
  <c r="K1542" i="4"/>
  <c r="K1541" i="4"/>
  <c r="K1540" i="4"/>
  <c r="K1539" i="4"/>
  <c r="K1538" i="4"/>
  <c r="K1537" i="4"/>
  <c r="K1536" i="4"/>
  <c r="K1535" i="4"/>
  <c r="K1534" i="4"/>
  <c r="K1533" i="4"/>
  <c r="K1532" i="4"/>
  <c r="K1531" i="4"/>
  <c r="K1530" i="4"/>
  <c r="K1529" i="4"/>
  <c r="K1528" i="4"/>
  <c r="K1527" i="4"/>
  <c r="K1526" i="4"/>
  <c r="K1525" i="4"/>
  <c r="K1524" i="4"/>
  <c r="K1523" i="4"/>
  <c r="K1522" i="4"/>
  <c r="K1521" i="4"/>
  <c r="K1520" i="4"/>
  <c r="K1519" i="4"/>
  <c r="K1518" i="4"/>
  <c r="K1517" i="4"/>
  <c r="K1516" i="4"/>
  <c r="K1515" i="4"/>
  <c r="K1514" i="4"/>
  <c r="K1513" i="4"/>
  <c r="K1512" i="4"/>
  <c r="K1511" i="4"/>
  <c r="K1510" i="4"/>
  <c r="K1509" i="4"/>
  <c r="K1508" i="4"/>
  <c r="K1507" i="4"/>
  <c r="K1506" i="4"/>
  <c r="K1505" i="4"/>
  <c r="K1504" i="4"/>
  <c r="K1503" i="4"/>
  <c r="K1502" i="4"/>
  <c r="K1501" i="4"/>
  <c r="K1500" i="4"/>
  <c r="K1499" i="4"/>
  <c r="K1498" i="4"/>
  <c r="K1497" i="4"/>
  <c r="K1496" i="4"/>
  <c r="K1495" i="4"/>
  <c r="K1494" i="4"/>
  <c r="K1493" i="4"/>
  <c r="K1492" i="4"/>
  <c r="K1491" i="4"/>
  <c r="K1490" i="4"/>
  <c r="K1489" i="4"/>
  <c r="K1488" i="4"/>
  <c r="K1487" i="4"/>
  <c r="K1486" i="4"/>
  <c r="K1485" i="4"/>
  <c r="K1484" i="4"/>
  <c r="K1483" i="4"/>
  <c r="K1482" i="4"/>
  <c r="K1481" i="4"/>
  <c r="K1480" i="4"/>
  <c r="K1479" i="4"/>
  <c r="K1478" i="4"/>
  <c r="K1477" i="4"/>
  <c r="K1476" i="4"/>
  <c r="K1475" i="4"/>
  <c r="K1474" i="4"/>
  <c r="K1473" i="4"/>
  <c r="K1472" i="4"/>
  <c r="K1471" i="4"/>
  <c r="K1470" i="4"/>
  <c r="K1469" i="4"/>
  <c r="K1468" i="4"/>
  <c r="K1467" i="4"/>
  <c r="K1466" i="4"/>
  <c r="K1465" i="4"/>
  <c r="K1464" i="4"/>
  <c r="K1463" i="4"/>
  <c r="K1462" i="4"/>
  <c r="K1461" i="4"/>
  <c r="K1460" i="4"/>
  <c r="K1459" i="4"/>
  <c r="K1458" i="4"/>
  <c r="K1457" i="4"/>
  <c r="K1456" i="4"/>
  <c r="K1455" i="4"/>
  <c r="K1454" i="4"/>
  <c r="K1453" i="4"/>
  <c r="K1452" i="4"/>
  <c r="K1451" i="4"/>
  <c r="K1450" i="4"/>
  <c r="K1449" i="4"/>
  <c r="K1448" i="4"/>
  <c r="K1447" i="4"/>
  <c r="K1446" i="4"/>
  <c r="K1445" i="4"/>
  <c r="K1444" i="4"/>
  <c r="K1443" i="4"/>
  <c r="K1442" i="4"/>
  <c r="K1441" i="4"/>
  <c r="K1440" i="4"/>
  <c r="K1439" i="4"/>
  <c r="K1438" i="4"/>
  <c r="K1437" i="4"/>
  <c r="K1436" i="4"/>
  <c r="K1435" i="4"/>
  <c r="K1434" i="4"/>
  <c r="K1433" i="4"/>
  <c r="K1432" i="4"/>
  <c r="K1431" i="4"/>
  <c r="K1430" i="4"/>
  <c r="K1429" i="4"/>
  <c r="K1428" i="4"/>
  <c r="K1427" i="4"/>
  <c r="K1426" i="4"/>
  <c r="K1425" i="4"/>
  <c r="K1424" i="4"/>
  <c r="K1423" i="4"/>
  <c r="K1422" i="4"/>
  <c r="K1421" i="4"/>
  <c r="K1420" i="4"/>
  <c r="K1419" i="4"/>
  <c r="K1418" i="4"/>
  <c r="K1417" i="4"/>
  <c r="K1416" i="4"/>
  <c r="K1415" i="4"/>
  <c r="K1414" i="4"/>
  <c r="K1413" i="4"/>
  <c r="K1412" i="4"/>
  <c r="K1411" i="4"/>
  <c r="K1410" i="4"/>
  <c r="K1409" i="4"/>
  <c r="K1408" i="4"/>
  <c r="K1407" i="4"/>
  <c r="K1406" i="4"/>
  <c r="K1405" i="4"/>
  <c r="K1404" i="4"/>
  <c r="K1403" i="4"/>
  <c r="K1402" i="4"/>
  <c r="K1401" i="4"/>
  <c r="K1400" i="4"/>
  <c r="K1399" i="4"/>
  <c r="K1398" i="4"/>
  <c r="K1397" i="4"/>
  <c r="K1396" i="4"/>
  <c r="K1395" i="4"/>
  <c r="K1394" i="4"/>
  <c r="K1393" i="4"/>
  <c r="K1392" i="4"/>
  <c r="K1391" i="4"/>
  <c r="K1390" i="4"/>
  <c r="K1389" i="4"/>
  <c r="K1388" i="4"/>
  <c r="K1387" i="4"/>
  <c r="K1386" i="4"/>
  <c r="K1385" i="4"/>
  <c r="K1384" i="4"/>
  <c r="K1383" i="4"/>
  <c r="K1382" i="4"/>
  <c r="K1381" i="4"/>
  <c r="K1380" i="4"/>
  <c r="K1379" i="4"/>
  <c r="K1378" i="4"/>
  <c r="K1377" i="4"/>
  <c r="K1376" i="4"/>
  <c r="K1375" i="4"/>
  <c r="K1374" i="4"/>
  <c r="K1373" i="4"/>
  <c r="K1372" i="4"/>
  <c r="K1371" i="4"/>
  <c r="K1370" i="4"/>
  <c r="K1369" i="4"/>
  <c r="K1368" i="4"/>
  <c r="K1367" i="4"/>
  <c r="K1366" i="4"/>
  <c r="K1365" i="4"/>
  <c r="K1364" i="4"/>
  <c r="K1363" i="4"/>
  <c r="K1362" i="4"/>
  <c r="K1361" i="4"/>
  <c r="K1360" i="4"/>
  <c r="K1359" i="4"/>
  <c r="K1358" i="4"/>
  <c r="K1357" i="4"/>
  <c r="K1356" i="4"/>
  <c r="K1355" i="4"/>
  <c r="K1354" i="4"/>
  <c r="K1353" i="4"/>
  <c r="K1352" i="4"/>
  <c r="K1351" i="4"/>
  <c r="K1350" i="4"/>
  <c r="K1349" i="4"/>
  <c r="K1348" i="4"/>
  <c r="K1347" i="4"/>
  <c r="K1346" i="4"/>
  <c r="K1345" i="4"/>
  <c r="K1344" i="4"/>
  <c r="K1343" i="4"/>
  <c r="K1342" i="4"/>
  <c r="K1341" i="4"/>
  <c r="K1340" i="4"/>
  <c r="K1339" i="4"/>
  <c r="K1338" i="4"/>
  <c r="K1337" i="4"/>
  <c r="K1336" i="4"/>
  <c r="K1335" i="4"/>
  <c r="K1334" i="4"/>
  <c r="K1333" i="4"/>
  <c r="K1332" i="4"/>
  <c r="K1331" i="4"/>
  <c r="K1330" i="4"/>
  <c r="K1329" i="4"/>
  <c r="K1328" i="4"/>
  <c r="K1327" i="4"/>
  <c r="K1326" i="4"/>
  <c r="K1325" i="4"/>
  <c r="K1324" i="4"/>
  <c r="K1323" i="4"/>
  <c r="K1322" i="4"/>
  <c r="K1321" i="4"/>
  <c r="K1320" i="4"/>
  <c r="K1319" i="4"/>
  <c r="K1318" i="4"/>
  <c r="K1317" i="4"/>
  <c r="K1309" i="4"/>
  <c r="K1285" i="4"/>
  <c r="K1294" i="4"/>
  <c r="K1303" i="4"/>
  <c r="K1302" i="4"/>
  <c r="K1304" i="4"/>
  <c r="K1287" i="4"/>
  <c r="K1310" i="4"/>
  <c r="K1308" i="4"/>
  <c r="K1286" i="4"/>
  <c r="K1284" i="4"/>
  <c r="K1282" i="4"/>
  <c r="K1312" i="4"/>
  <c r="K1289" i="4"/>
  <c r="K1296" i="4"/>
  <c r="K1315" i="4"/>
  <c r="K1292" i="4"/>
  <c r="K1281" i="4"/>
  <c r="K1311" i="4"/>
  <c r="K1288" i="4"/>
  <c r="K1295" i="4"/>
  <c r="K1314" i="4"/>
  <c r="K1291" i="4"/>
  <c r="K1283" i="4"/>
  <c r="K1313" i="4"/>
  <c r="K1290" i="4"/>
  <c r="K1297" i="4"/>
  <c r="K1316" i="4"/>
  <c r="K1293" i="4"/>
  <c r="K1306" i="4"/>
  <c r="K1305" i="4"/>
  <c r="K1307" i="4"/>
  <c r="K1300" i="4"/>
  <c r="K1299" i="4"/>
  <c r="K1301" i="4"/>
  <c r="K1298" i="4"/>
  <c r="K1280" i="4"/>
  <c r="K1279" i="4"/>
  <c r="K1278" i="4"/>
  <c r="K1277" i="4"/>
  <c r="K1276" i="4"/>
  <c r="K1275" i="4"/>
  <c r="K1274" i="4"/>
  <c r="K1273" i="4"/>
  <c r="K1272" i="4"/>
  <c r="K1271" i="4"/>
  <c r="K1270" i="4"/>
  <c r="K1269" i="4"/>
  <c r="K1268" i="4"/>
  <c r="K1267" i="4"/>
  <c r="K1266" i="4"/>
  <c r="K1265" i="4"/>
  <c r="K1264" i="4"/>
  <c r="K1263" i="4"/>
  <c r="K1262" i="4"/>
  <c r="K1261" i="4"/>
  <c r="K1260" i="4"/>
  <c r="K1259" i="4"/>
  <c r="K1258" i="4"/>
  <c r="K1257" i="4"/>
  <c r="K1256" i="4"/>
  <c r="K1255" i="4"/>
  <c r="K1254" i="4"/>
  <c r="K1253" i="4"/>
  <c r="K1252" i="4"/>
  <c r="K1251" i="4"/>
  <c r="K1250" i="4"/>
  <c r="K1249" i="4"/>
  <c r="K1248" i="4"/>
  <c r="K1247" i="4"/>
  <c r="K1246" i="4"/>
  <c r="K1245" i="4"/>
  <c r="K1244" i="4"/>
  <c r="K1243" i="4"/>
  <c r="K1242" i="4"/>
  <c r="K1241" i="4"/>
  <c r="K1240" i="4"/>
  <c r="K1239" i="4"/>
  <c r="K1238" i="4"/>
  <c r="K1237" i="4"/>
  <c r="K1236" i="4"/>
  <c r="K1235" i="4"/>
  <c r="K1234" i="4"/>
  <c r="K1233" i="4"/>
  <c r="K1232" i="4"/>
  <c r="K1231" i="4"/>
  <c r="K1230" i="4"/>
  <c r="K1229" i="4"/>
  <c r="K1228" i="4"/>
  <c r="K1227" i="4"/>
  <c r="K1226" i="4"/>
  <c r="K1225" i="4"/>
  <c r="K1224" i="4"/>
  <c r="K1223" i="4"/>
  <c r="K1222" i="4"/>
  <c r="K1221" i="4"/>
  <c r="K1220" i="4"/>
  <c r="K1219" i="4"/>
  <c r="K1218" i="4"/>
  <c r="K1217" i="4"/>
  <c r="K1216" i="4"/>
  <c r="K1215" i="4"/>
  <c r="K1214" i="4"/>
  <c r="K1213" i="4"/>
  <c r="K1212" i="4"/>
  <c r="K1211" i="4"/>
  <c r="K1210" i="4"/>
  <c r="K1209" i="4"/>
  <c r="K1208" i="4"/>
  <c r="K1207" i="4"/>
  <c r="K1206" i="4"/>
  <c r="K1205" i="4"/>
  <c r="K1204" i="4"/>
  <c r="K1203" i="4"/>
  <c r="K1202" i="4"/>
  <c r="K1201" i="4"/>
  <c r="K1200" i="4"/>
  <c r="K1199" i="4"/>
  <c r="K1198" i="4"/>
  <c r="K1197" i="4"/>
  <c r="K1196" i="4"/>
  <c r="K1195" i="4"/>
  <c r="K1194" i="4"/>
  <c r="K1193" i="4"/>
  <c r="K1192" i="4"/>
  <c r="K1191" i="4"/>
  <c r="K1190" i="4"/>
  <c r="K1189" i="4"/>
  <c r="K1188" i="4"/>
  <c r="K1187" i="4"/>
  <c r="K1186" i="4"/>
  <c r="K1185" i="4"/>
  <c r="K1184" i="4"/>
  <c r="K1183" i="4"/>
  <c r="K1182" i="4"/>
  <c r="K1181" i="4"/>
  <c r="K1180" i="4"/>
  <c r="K1179" i="4"/>
  <c r="K1178" i="4"/>
  <c r="K1177" i="4"/>
  <c r="K1176" i="4"/>
  <c r="K1175" i="4"/>
  <c r="K1174" i="4"/>
  <c r="K1173" i="4"/>
  <c r="K1172" i="4"/>
  <c r="K1171" i="4"/>
  <c r="K1170" i="4"/>
  <c r="K1169" i="4"/>
  <c r="K1168" i="4"/>
  <c r="K1167" i="4"/>
  <c r="K1166" i="4"/>
  <c r="K1165" i="4"/>
  <c r="K1164" i="4"/>
  <c r="K1163" i="4"/>
  <c r="K1162" i="4"/>
  <c r="K1161" i="4"/>
  <c r="K1160" i="4"/>
  <c r="K1159" i="4"/>
  <c r="K1158" i="4"/>
  <c r="K1157" i="4"/>
  <c r="K1156" i="4"/>
  <c r="K1155" i="4"/>
  <c r="K1154" i="4"/>
  <c r="K1153" i="4"/>
  <c r="K1152" i="4"/>
  <c r="K1151" i="4"/>
  <c r="K1150" i="4"/>
  <c r="K1149" i="4"/>
  <c r="K1148" i="4"/>
  <c r="K1147" i="4"/>
  <c r="K1146" i="4"/>
  <c r="K1145" i="4"/>
  <c r="K1144" i="4"/>
  <c r="K1143" i="4"/>
  <c r="K1142" i="4"/>
  <c r="K1141" i="4"/>
  <c r="K1140" i="4"/>
  <c r="K1139" i="4"/>
  <c r="K1138" i="4"/>
  <c r="K1137" i="4"/>
  <c r="K1136" i="4"/>
  <c r="K1135" i="4"/>
  <c r="K1134" i="4"/>
  <c r="K1133" i="4"/>
  <c r="K1132" i="4"/>
  <c r="K1131" i="4"/>
  <c r="K1130" i="4"/>
  <c r="K1129" i="4"/>
  <c r="K1128" i="4"/>
  <c r="K1127" i="4"/>
  <c r="K1126" i="4"/>
  <c r="K1125" i="4"/>
  <c r="K1124" i="4"/>
  <c r="K1123" i="4"/>
  <c r="K1122" i="4"/>
  <c r="K1121" i="4"/>
  <c r="K1120" i="4"/>
  <c r="K1119" i="4"/>
  <c r="K1118" i="4"/>
  <c r="K1117" i="4"/>
  <c r="K1116" i="4"/>
  <c r="K1115" i="4"/>
  <c r="K1114" i="4"/>
  <c r="K1113" i="4"/>
  <c r="K1112" i="4"/>
  <c r="K1111" i="4"/>
  <c r="K1110" i="4"/>
  <c r="K1109" i="4"/>
  <c r="K1108" i="4"/>
  <c r="K1107" i="4"/>
  <c r="K1106" i="4"/>
  <c r="K1105" i="4"/>
  <c r="K1104" i="4"/>
  <c r="K1103" i="4"/>
  <c r="K1102" i="4"/>
  <c r="K1101" i="4"/>
  <c r="K1100" i="4"/>
  <c r="K1099" i="4"/>
  <c r="K1098" i="4"/>
  <c r="K1097" i="4"/>
  <c r="K1096" i="4"/>
  <c r="K1095" i="4"/>
  <c r="K1094" i="4"/>
  <c r="K1093" i="4"/>
  <c r="K1092" i="4"/>
  <c r="K1091" i="4"/>
  <c r="K1090" i="4"/>
  <c r="K1089" i="4"/>
  <c r="K1088" i="4"/>
  <c r="K1087" i="4"/>
  <c r="K1086" i="4"/>
  <c r="K1085" i="4"/>
  <c r="K1084" i="4"/>
  <c r="K1083" i="4"/>
  <c r="K1082" i="4"/>
  <c r="K1081" i="4"/>
  <c r="K1080" i="4"/>
  <c r="K1079" i="4"/>
  <c r="K1078" i="4"/>
  <c r="K1077" i="4"/>
  <c r="K1076" i="4"/>
  <c r="K1075" i="4"/>
  <c r="K1074" i="4"/>
  <c r="K1073" i="4"/>
  <c r="K1072" i="4"/>
  <c r="K1071" i="4"/>
  <c r="K1070" i="4"/>
  <c r="K1069" i="4"/>
  <c r="K1068" i="4"/>
  <c r="K1067" i="4"/>
  <c r="K1066" i="4"/>
  <c r="K1065" i="4"/>
  <c r="K1064" i="4"/>
  <c r="K1063" i="4"/>
  <c r="K1062" i="4"/>
  <c r="K1061" i="4"/>
  <c r="K1060" i="4"/>
  <c r="K1059" i="4"/>
  <c r="K1058"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K1033" i="4"/>
  <c r="K1032" i="4"/>
  <c r="K1031" i="4"/>
  <c r="K1030" i="4"/>
  <c r="K1029" i="4"/>
  <c r="K1028" i="4"/>
  <c r="K1027" i="4"/>
  <c r="K1026" i="4"/>
  <c r="K1025" i="4"/>
  <c r="K1024" i="4"/>
  <c r="K1023" i="4"/>
  <c r="K1022" i="4"/>
  <c r="K1021" i="4"/>
  <c r="K1020" i="4"/>
  <c r="K1019" i="4"/>
  <c r="K1018" i="4"/>
  <c r="K1017" i="4"/>
  <c r="K1016" i="4"/>
  <c r="K1015" i="4"/>
  <c r="K1014" i="4"/>
  <c r="K1013" i="4"/>
  <c r="K1012" i="4"/>
  <c r="K1011" i="4"/>
  <c r="K1010" i="4"/>
  <c r="K1009" i="4"/>
  <c r="K1008" i="4"/>
  <c r="K1007" i="4"/>
  <c r="K1006" i="4"/>
  <c r="K1005" i="4"/>
  <c r="K1004" i="4"/>
  <c r="K1003" i="4"/>
  <c r="K1002" i="4"/>
  <c r="K1001" i="4"/>
  <c r="K1000" i="4"/>
  <c r="K999" i="4"/>
  <c r="K998" i="4"/>
  <c r="K997" i="4"/>
  <c r="K996" i="4"/>
  <c r="K995" i="4"/>
  <c r="K994" i="4"/>
  <c r="K993" i="4"/>
  <c r="K992" i="4"/>
  <c r="K991" i="4"/>
  <c r="K990" i="4"/>
  <c r="K989" i="4"/>
  <c r="K988" i="4"/>
  <c r="K987" i="4"/>
  <c r="K986" i="4"/>
  <c r="K985" i="4"/>
  <c r="K984" i="4"/>
  <c r="K983" i="4"/>
  <c r="K982" i="4"/>
  <c r="K981" i="4"/>
  <c r="K980" i="4"/>
  <c r="K979" i="4"/>
  <c r="K978" i="4"/>
  <c r="K977" i="4"/>
  <c r="K976" i="4"/>
  <c r="K975" i="4"/>
  <c r="K974" i="4"/>
  <c r="K973" i="4"/>
  <c r="K972" i="4"/>
  <c r="K971" i="4"/>
  <c r="K970" i="4"/>
  <c r="K969" i="4"/>
  <c r="K968" i="4"/>
  <c r="K967" i="4"/>
  <c r="K966" i="4"/>
  <c r="K965" i="4"/>
  <c r="K964" i="4"/>
  <c r="K963" i="4"/>
  <c r="K962" i="4"/>
  <c r="K961" i="4"/>
  <c r="K960" i="4"/>
  <c r="K959" i="4"/>
  <c r="K958" i="4"/>
  <c r="K957" i="4"/>
  <c r="K956" i="4"/>
  <c r="K955" i="4"/>
  <c r="K954" i="4"/>
  <c r="K953" i="4"/>
  <c r="K952" i="4"/>
  <c r="K951" i="4"/>
  <c r="K950" i="4"/>
  <c r="K949" i="4"/>
  <c r="K948" i="4"/>
  <c r="K947" i="4"/>
  <c r="K946" i="4"/>
  <c r="K945" i="4"/>
  <c r="K944" i="4"/>
  <c r="K943" i="4"/>
  <c r="K942" i="4"/>
  <c r="K941" i="4"/>
  <c r="K940" i="4"/>
  <c r="K939" i="4"/>
  <c r="K938" i="4"/>
  <c r="K937" i="4"/>
  <c r="K936" i="4"/>
  <c r="K935" i="4"/>
  <c r="K934" i="4"/>
  <c r="K933" i="4"/>
  <c r="K932" i="4"/>
  <c r="K931" i="4"/>
  <c r="K930" i="4"/>
  <c r="K929" i="4"/>
  <c r="K928" i="4"/>
  <c r="K927" i="4"/>
  <c r="K926" i="4"/>
  <c r="K925" i="4"/>
  <c r="K924" i="4"/>
  <c r="K923" i="4"/>
  <c r="K922" i="4"/>
  <c r="K921" i="4"/>
  <c r="K920" i="4"/>
  <c r="K919" i="4"/>
  <c r="K918" i="4"/>
  <c r="K917" i="4"/>
  <c r="K916" i="4"/>
  <c r="K915" i="4"/>
  <c r="K914" i="4"/>
  <c r="K913" i="4"/>
  <c r="K912" i="4"/>
  <c r="K911" i="4"/>
  <c r="K910" i="4"/>
  <c r="K909" i="4"/>
  <c r="K908" i="4"/>
  <c r="K907" i="4"/>
  <c r="K906" i="4"/>
  <c r="K905" i="4"/>
  <c r="K904" i="4"/>
  <c r="K903" i="4"/>
  <c r="K902" i="4"/>
  <c r="K901" i="4"/>
  <c r="K900" i="4"/>
  <c r="K899" i="4"/>
  <c r="K898" i="4"/>
  <c r="K897" i="4"/>
  <c r="K896" i="4"/>
  <c r="K895" i="4"/>
  <c r="K894" i="4"/>
  <c r="K893" i="4"/>
  <c r="K892" i="4"/>
  <c r="K891" i="4"/>
  <c r="K890" i="4"/>
  <c r="K889" i="4"/>
  <c r="K888" i="4"/>
  <c r="K887" i="4"/>
  <c r="K886" i="4"/>
  <c r="K885" i="4"/>
  <c r="K884" i="4"/>
  <c r="K883" i="4"/>
  <c r="K882" i="4"/>
  <c r="K881" i="4"/>
  <c r="K880" i="4"/>
  <c r="K879" i="4"/>
  <c r="K878" i="4"/>
  <c r="K877" i="4"/>
  <c r="K876" i="4"/>
  <c r="K875" i="4"/>
  <c r="K874" i="4"/>
  <c r="K873" i="4"/>
  <c r="K872" i="4"/>
  <c r="K871" i="4"/>
  <c r="K870" i="4"/>
  <c r="K869" i="4"/>
  <c r="K868" i="4"/>
  <c r="K867" i="4"/>
  <c r="K866" i="4"/>
  <c r="K865" i="4"/>
  <c r="K864" i="4"/>
  <c r="K863" i="4"/>
  <c r="K862" i="4"/>
  <c r="K861" i="4"/>
  <c r="K860" i="4"/>
  <c r="K859" i="4"/>
  <c r="K858" i="4"/>
  <c r="K857" i="4"/>
  <c r="K856" i="4"/>
  <c r="K855" i="4"/>
  <c r="K854" i="4"/>
  <c r="K853" i="4"/>
  <c r="K852" i="4"/>
  <c r="K851" i="4"/>
  <c r="K850" i="4"/>
  <c r="K849" i="4"/>
  <c r="K848" i="4"/>
  <c r="K847" i="4"/>
  <c r="K846" i="4"/>
  <c r="K845" i="4"/>
  <c r="K844" i="4"/>
  <c r="K843" i="4"/>
  <c r="K842" i="4"/>
  <c r="K841" i="4"/>
  <c r="K840" i="4"/>
  <c r="K839" i="4"/>
  <c r="K838" i="4"/>
  <c r="K837" i="4"/>
  <c r="K836" i="4"/>
  <c r="K835" i="4"/>
  <c r="K834" i="4"/>
  <c r="K833" i="4"/>
  <c r="K832" i="4"/>
  <c r="K831" i="4"/>
  <c r="K830" i="4"/>
  <c r="K829" i="4"/>
  <c r="K828" i="4"/>
  <c r="K827" i="4"/>
  <c r="K826" i="4"/>
  <c r="K825" i="4"/>
  <c r="K824" i="4"/>
  <c r="K823" i="4"/>
  <c r="K822" i="4"/>
  <c r="K821" i="4"/>
  <c r="K820" i="4"/>
  <c r="K819" i="4"/>
  <c r="K818" i="4"/>
  <c r="K817" i="4"/>
  <c r="K816" i="4"/>
  <c r="K815" i="4"/>
  <c r="K814" i="4"/>
  <c r="K813" i="4"/>
  <c r="K812" i="4"/>
  <c r="K811" i="4"/>
  <c r="K810" i="4"/>
  <c r="K809" i="4"/>
  <c r="K808" i="4"/>
  <c r="K807" i="4"/>
  <c r="K806" i="4"/>
  <c r="K805" i="4"/>
  <c r="K804" i="4"/>
  <c r="K803" i="4"/>
  <c r="K802" i="4"/>
  <c r="K801" i="4"/>
  <c r="K800" i="4"/>
  <c r="K799" i="4"/>
  <c r="K798" i="4"/>
  <c r="K797" i="4"/>
  <c r="K796" i="4"/>
  <c r="K795" i="4"/>
  <c r="K794" i="4"/>
  <c r="K793" i="4"/>
  <c r="K792" i="4"/>
  <c r="K791" i="4"/>
  <c r="K790" i="4"/>
  <c r="K789" i="4"/>
  <c r="K788" i="4"/>
  <c r="K787" i="4"/>
  <c r="K786" i="4"/>
  <c r="K785" i="4"/>
  <c r="K784" i="4"/>
  <c r="K783" i="4"/>
  <c r="K782" i="4"/>
  <c r="K781" i="4"/>
  <c r="K780" i="4"/>
  <c r="K779" i="4"/>
  <c r="K778" i="4"/>
  <c r="K777" i="4"/>
  <c r="K776" i="4"/>
  <c r="K775" i="4"/>
  <c r="K774" i="4"/>
  <c r="K773" i="4"/>
  <c r="K772" i="4"/>
  <c r="K771" i="4"/>
  <c r="K770" i="4"/>
  <c r="K769" i="4"/>
  <c r="K768" i="4"/>
  <c r="K767" i="4"/>
  <c r="K766" i="4"/>
  <c r="K765" i="4"/>
  <c r="K764" i="4"/>
  <c r="K763" i="4"/>
  <c r="K762" i="4"/>
  <c r="K761" i="4"/>
  <c r="K760" i="4"/>
  <c r="K759" i="4"/>
  <c r="K758" i="4"/>
  <c r="K757" i="4"/>
  <c r="K756" i="4"/>
  <c r="K755" i="4"/>
  <c r="K754" i="4"/>
  <c r="K753" i="4"/>
  <c r="K752" i="4"/>
  <c r="K751" i="4"/>
  <c r="K750" i="4"/>
  <c r="K749" i="4"/>
  <c r="K748" i="4"/>
  <c r="K747" i="4"/>
  <c r="K746" i="4"/>
  <c r="K745" i="4"/>
  <c r="K744" i="4"/>
  <c r="K743" i="4"/>
  <c r="K742" i="4"/>
  <c r="K741" i="4"/>
  <c r="K740" i="4"/>
  <c r="K739" i="4"/>
  <c r="K738" i="4"/>
  <c r="K737" i="4"/>
  <c r="K736" i="4"/>
  <c r="K735" i="4"/>
  <c r="K734" i="4"/>
  <c r="K733" i="4"/>
  <c r="K732" i="4"/>
  <c r="K731" i="4"/>
  <c r="K730" i="4"/>
  <c r="K729" i="4"/>
  <c r="K728" i="4"/>
  <c r="K727" i="4"/>
  <c r="K726" i="4"/>
  <c r="K725" i="4"/>
  <c r="K724" i="4"/>
  <c r="K723" i="4"/>
  <c r="K722" i="4"/>
  <c r="K721" i="4"/>
  <c r="K720" i="4"/>
  <c r="K719" i="4"/>
  <c r="K718" i="4"/>
  <c r="K717" i="4"/>
  <c r="K716" i="4"/>
  <c r="K715" i="4"/>
  <c r="K714" i="4"/>
  <c r="K713" i="4"/>
  <c r="K712" i="4"/>
  <c r="K711" i="4"/>
  <c r="K710" i="4"/>
  <c r="K709" i="4"/>
  <c r="K708" i="4"/>
  <c r="K707" i="4"/>
  <c r="K706" i="4"/>
  <c r="K705" i="4"/>
  <c r="K704" i="4"/>
  <c r="K703" i="4"/>
  <c r="K702" i="4"/>
  <c r="K701" i="4"/>
  <c r="K700" i="4"/>
  <c r="K699" i="4"/>
  <c r="K698" i="4"/>
  <c r="K697" i="4"/>
  <c r="K696" i="4"/>
  <c r="K695" i="4"/>
  <c r="K694" i="4"/>
  <c r="K693" i="4"/>
  <c r="K692" i="4"/>
  <c r="K691" i="4"/>
  <c r="K690" i="4"/>
  <c r="K689" i="4"/>
  <c r="K688" i="4"/>
  <c r="K687" i="4"/>
  <c r="K686" i="4"/>
  <c r="K685" i="4"/>
  <c r="K684" i="4"/>
  <c r="K683" i="4"/>
  <c r="K682" i="4"/>
  <c r="K681" i="4"/>
  <c r="K680" i="4"/>
  <c r="K679" i="4"/>
  <c r="K678" i="4"/>
  <c r="K677" i="4"/>
  <c r="K676" i="4"/>
  <c r="K675" i="4"/>
  <c r="K674" i="4"/>
  <c r="K673" i="4"/>
  <c r="K672" i="4"/>
  <c r="K671" i="4"/>
  <c r="K670" i="4"/>
  <c r="K669" i="4"/>
  <c r="K668" i="4"/>
  <c r="K667" i="4"/>
  <c r="K666" i="4"/>
  <c r="K665" i="4"/>
  <c r="K664" i="4"/>
  <c r="K663" i="4"/>
  <c r="K662" i="4"/>
  <c r="K661" i="4"/>
  <c r="K660" i="4"/>
  <c r="K659" i="4"/>
  <c r="K658" i="4"/>
  <c r="K657" i="4"/>
  <c r="K656" i="4"/>
  <c r="K655" i="4"/>
  <c r="K654" i="4"/>
  <c r="K653" i="4"/>
  <c r="K652" i="4"/>
  <c r="K651" i="4"/>
  <c r="K650" i="4"/>
  <c r="K649" i="4"/>
  <c r="K648" i="4"/>
  <c r="K647" i="4"/>
  <c r="K646" i="4"/>
  <c r="K645" i="4"/>
  <c r="K644" i="4"/>
  <c r="K643" i="4"/>
  <c r="K642" i="4"/>
  <c r="K641" i="4"/>
  <c r="K640" i="4"/>
  <c r="K639" i="4"/>
  <c r="K638" i="4"/>
  <c r="K637" i="4"/>
  <c r="K636" i="4"/>
  <c r="K635" i="4"/>
  <c r="K634" i="4"/>
  <c r="K633" i="4"/>
  <c r="K632" i="4"/>
  <c r="K631" i="4"/>
  <c r="K630" i="4"/>
  <c r="K629" i="4"/>
  <c r="K628" i="4"/>
  <c r="K627" i="4"/>
  <c r="K622" i="4"/>
  <c r="K621" i="4"/>
  <c r="K624" i="4"/>
  <c r="K607" i="4"/>
  <c r="K606" i="4"/>
  <c r="K608" i="4"/>
  <c r="K623" i="4"/>
  <c r="K615" i="4"/>
  <c r="K612" i="4"/>
  <c r="K602" i="4"/>
  <c r="K620" i="4"/>
  <c r="K599" i="4"/>
  <c r="K605" i="4"/>
  <c r="K601" i="4"/>
  <c r="K617" i="4"/>
  <c r="K616" i="4"/>
  <c r="K611" i="4"/>
  <c r="K610" i="4"/>
  <c r="K609" i="4"/>
  <c r="K614" i="4"/>
  <c r="K618" i="4"/>
  <c r="K619" i="4"/>
  <c r="K603" i="4"/>
  <c r="K613" i="4"/>
  <c r="K604" i="4"/>
  <c r="K626" i="4"/>
  <c r="K625" i="4"/>
  <c r="K600" i="4"/>
  <c r="K598" i="4"/>
  <c r="K597" i="4"/>
  <c r="K596" i="4"/>
  <c r="K595" i="4"/>
  <c r="K594" i="4"/>
  <c r="K593" i="4"/>
  <c r="K592" i="4"/>
  <c r="K591" i="4"/>
  <c r="K590" i="4"/>
  <c r="K589" i="4"/>
  <c r="K588" i="4"/>
  <c r="K587" i="4"/>
  <c r="K586" i="4"/>
  <c r="K585" i="4"/>
  <c r="K584" i="4"/>
  <c r="K583" i="4"/>
  <c r="K582" i="4"/>
  <c r="K581" i="4"/>
  <c r="K580" i="4"/>
  <c r="K579" i="4"/>
  <c r="K578" i="4"/>
  <c r="K577" i="4"/>
  <c r="K576" i="4"/>
  <c r="K575" i="4"/>
  <c r="K574" i="4"/>
  <c r="K573" i="4"/>
  <c r="K572" i="4"/>
  <c r="K571" i="4"/>
  <c r="K570" i="4"/>
  <c r="K569" i="4"/>
  <c r="K568" i="4"/>
  <c r="K567" i="4"/>
  <c r="K566" i="4"/>
  <c r="K565" i="4"/>
  <c r="K564" i="4"/>
  <c r="K563" i="4"/>
  <c r="K562" i="4"/>
  <c r="K561" i="4"/>
  <c r="K560" i="4"/>
  <c r="K559" i="4"/>
  <c r="K558" i="4"/>
  <c r="K557" i="4"/>
  <c r="K556" i="4"/>
  <c r="K555" i="4"/>
  <c r="K554" i="4"/>
  <c r="K553" i="4"/>
  <c r="K552" i="4"/>
  <c r="K551" i="4"/>
  <c r="K550" i="4"/>
  <c r="K549" i="4"/>
  <c r="K548" i="4"/>
  <c r="K547" i="4"/>
  <c r="K546" i="4"/>
  <c r="K545" i="4"/>
  <c r="K544" i="4"/>
  <c r="K543" i="4"/>
  <c r="K542" i="4"/>
  <c r="K541" i="4"/>
  <c r="K540" i="4"/>
  <c r="K539" i="4"/>
  <c r="K538" i="4"/>
  <c r="K537" i="4"/>
  <c r="K536" i="4"/>
  <c r="K535" i="4"/>
  <c r="K534" i="4"/>
  <c r="K533" i="4"/>
  <c r="K532" i="4"/>
  <c r="K531" i="4"/>
  <c r="K530" i="4"/>
  <c r="K529" i="4"/>
  <c r="K528" i="4"/>
  <c r="K527" i="4"/>
  <c r="K526" i="4"/>
  <c r="K525" i="4"/>
  <c r="K524" i="4"/>
  <c r="K523" i="4"/>
  <c r="K522" i="4"/>
  <c r="K521" i="4"/>
  <c r="K504" i="4"/>
  <c r="K520" i="4"/>
  <c r="K519" i="4"/>
  <c r="K506" i="4"/>
  <c r="K505" i="4"/>
  <c r="K514" i="4"/>
  <c r="K511" i="4"/>
  <c r="K503" i="4"/>
  <c r="K501" i="4"/>
  <c r="K513" i="4"/>
  <c r="K512" i="4"/>
  <c r="K502" i="4"/>
  <c r="K508" i="4"/>
  <c r="K507" i="4"/>
  <c r="K510" i="4"/>
  <c r="K509" i="4"/>
  <c r="K516" i="4"/>
  <c r="K517" i="4"/>
  <c r="K515" i="4"/>
  <c r="K518" i="4"/>
  <c r="K500" i="4"/>
  <c r="K499" i="4"/>
  <c r="K498" i="4"/>
  <c r="K497" i="4"/>
  <c r="K496" i="4"/>
  <c r="K495" i="4"/>
  <c r="K494" i="4"/>
  <c r="K493" i="4"/>
  <c r="K492" i="4"/>
  <c r="K491" i="4"/>
  <c r="K490" i="4"/>
  <c r="K489" i="4"/>
  <c r="K488" i="4"/>
  <c r="K487" i="4"/>
  <c r="K486" i="4"/>
  <c r="K485" i="4"/>
  <c r="K484" i="4"/>
  <c r="K483" i="4"/>
  <c r="K482" i="4"/>
  <c r="K481" i="4"/>
  <c r="K480" i="4"/>
  <c r="K479" i="4"/>
  <c r="K478" i="4"/>
  <c r="K477" i="4"/>
  <c r="K476" i="4"/>
  <c r="K475" i="4"/>
  <c r="K474" i="4"/>
  <c r="K473" i="4"/>
  <c r="K472" i="4"/>
  <c r="K471" i="4"/>
  <c r="K470" i="4"/>
  <c r="K469" i="4"/>
  <c r="K468" i="4"/>
  <c r="K467" i="4"/>
  <c r="K466" i="4"/>
  <c r="K465" i="4"/>
  <c r="K464" i="4"/>
  <c r="K463" i="4"/>
  <c r="K462" i="4"/>
  <c r="K461" i="4"/>
  <c r="K460" i="4"/>
  <c r="K459" i="4"/>
  <c r="K458" i="4"/>
  <c r="K457" i="4"/>
  <c r="K456" i="4"/>
  <c r="K455" i="4"/>
  <c r="K454" i="4"/>
  <c r="K453" i="4"/>
  <c r="K452" i="4"/>
  <c r="K451" i="4"/>
  <c r="K450" i="4"/>
  <c r="K449" i="4"/>
  <c r="K448" i="4"/>
  <c r="K447" i="4"/>
  <c r="K446" i="4"/>
  <c r="K445" i="4"/>
  <c r="K444" i="4"/>
  <c r="K443" i="4"/>
  <c r="K442" i="4"/>
  <c r="K441" i="4"/>
  <c r="K440" i="4"/>
  <c r="K439" i="4"/>
  <c r="K438" i="4"/>
  <c r="K437" i="4"/>
  <c r="K436" i="4"/>
  <c r="K435" i="4"/>
  <c r="K434" i="4"/>
  <c r="K433" i="4"/>
  <c r="K432" i="4"/>
  <c r="K431" i="4"/>
  <c r="K430" i="4"/>
  <c r="K429" i="4"/>
  <c r="K428" i="4"/>
  <c r="K427" i="4"/>
  <c r="K426" i="4"/>
  <c r="K425" i="4"/>
  <c r="K424" i="4"/>
  <c r="K423" i="4"/>
  <c r="K422" i="4"/>
  <c r="K421" i="4"/>
  <c r="K420" i="4"/>
  <c r="K419" i="4"/>
  <c r="K418" i="4"/>
  <c r="K417" i="4"/>
  <c r="K416" i="4"/>
  <c r="K415" i="4"/>
  <c r="K414" i="4"/>
  <c r="K413" i="4"/>
  <c r="K412" i="4"/>
  <c r="K411" i="4"/>
  <c r="K410" i="4"/>
  <c r="K409" i="4"/>
  <c r="K408" i="4"/>
  <c r="K407" i="4"/>
  <c r="K406" i="4"/>
  <c r="K405" i="4"/>
  <c r="K404" i="4"/>
  <c r="K403" i="4"/>
  <c r="K402" i="4"/>
  <c r="K401" i="4"/>
  <c r="K400" i="4"/>
  <c r="K399" i="4"/>
  <c r="K398" i="4"/>
  <c r="K397" i="4"/>
  <c r="K396" i="4"/>
  <c r="K395" i="4"/>
  <c r="K394" i="4"/>
  <c r="K393" i="4"/>
  <c r="K392" i="4"/>
  <c r="K391" i="4"/>
  <c r="K390" i="4"/>
  <c r="K389" i="4"/>
  <c r="K388" i="4"/>
  <c r="K387" i="4"/>
  <c r="K386" i="4"/>
  <c r="K385" i="4"/>
  <c r="K384" i="4"/>
  <c r="K383" i="4"/>
  <c r="K382" i="4"/>
  <c r="K381" i="4"/>
  <c r="K380" i="4"/>
  <c r="K379" i="4"/>
  <c r="K378" i="4"/>
  <c r="K377" i="4"/>
  <c r="K376" i="4"/>
  <c r="K375" i="4"/>
  <c r="K374" i="4"/>
  <c r="K373" i="4"/>
  <c r="K372" i="4"/>
  <c r="K371" i="4"/>
  <c r="K370" i="4"/>
  <c r="K369" i="4"/>
  <c r="K368" i="4"/>
  <c r="K367" i="4"/>
  <c r="K366" i="4"/>
  <c r="K365" i="4"/>
  <c r="K364" i="4"/>
  <c r="K363" i="4"/>
  <c r="K362" i="4"/>
  <c r="K361" i="4"/>
  <c r="K360" i="4"/>
  <c r="K359" i="4"/>
  <c r="K358" i="4"/>
  <c r="K357" i="4"/>
  <c r="K356" i="4"/>
  <c r="K355" i="4"/>
  <c r="K354" i="4"/>
  <c r="K353" i="4"/>
  <c r="K352" i="4"/>
  <c r="K351" i="4"/>
  <c r="K350" i="4"/>
  <c r="K349" i="4"/>
  <c r="K348" i="4"/>
  <c r="K347" i="4"/>
  <c r="K346" i="4"/>
  <c r="K345" i="4"/>
  <c r="K344" i="4"/>
  <c r="K343" i="4"/>
  <c r="K342" i="4"/>
  <c r="K341" i="4"/>
  <c r="K340" i="4"/>
  <c r="K339" i="4"/>
  <c r="K338" i="4"/>
  <c r="K337" i="4"/>
  <c r="K336" i="4"/>
  <c r="K335" i="4"/>
  <c r="K334" i="4"/>
  <c r="K333" i="4"/>
  <c r="K332" i="4"/>
  <c r="K331" i="4"/>
  <c r="K330" i="4"/>
  <c r="K329" i="4"/>
  <c r="K328" i="4"/>
  <c r="K327" i="4"/>
  <c r="K326" i="4"/>
  <c r="K325" i="4"/>
  <c r="K324" i="4"/>
  <c r="K323" i="4"/>
  <c r="K322" i="4"/>
  <c r="K321" i="4"/>
  <c r="K320" i="4"/>
  <c r="K319" i="4"/>
  <c r="K318" i="4"/>
  <c r="K317" i="4"/>
  <c r="K316" i="4"/>
  <c r="K315" i="4"/>
  <c r="K314" i="4"/>
  <c r="K313" i="4"/>
  <c r="K312" i="4"/>
  <c r="K311" i="4"/>
  <c r="K310" i="4"/>
  <c r="K309" i="4"/>
  <c r="K308" i="4"/>
  <c r="K307" i="4"/>
  <c r="K306" i="4"/>
  <c r="K305" i="4"/>
  <c r="K304" i="4"/>
  <c r="K303" i="4"/>
  <c r="K302" i="4"/>
  <c r="K301" i="4"/>
  <c r="K300" i="4"/>
  <c r="K299" i="4"/>
  <c r="K298" i="4"/>
  <c r="K297" i="4"/>
  <c r="K296" i="4"/>
  <c r="K295" i="4"/>
  <c r="K294" i="4"/>
  <c r="K293" i="4"/>
  <c r="K292" i="4"/>
  <c r="K291" i="4"/>
  <c r="K290" i="4"/>
  <c r="K289" i="4"/>
  <c r="K288" i="4"/>
  <c r="K287" i="4"/>
  <c r="K286" i="4"/>
  <c r="K285" i="4"/>
  <c r="K284" i="4"/>
  <c r="K283" i="4"/>
  <c r="K282" i="4"/>
  <c r="K281" i="4"/>
  <c r="K280" i="4"/>
  <c r="K279" i="4"/>
  <c r="K278" i="4"/>
  <c r="K277" i="4"/>
  <c r="K276" i="4"/>
  <c r="K275" i="4"/>
  <c r="K274" i="4"/>
  <c r="K273" i="4"/>
  <c r="K272" i="4"/>
  <c r="K271" i="4"/>
  <c r="K270" i="4"/>
  <c r="K269" i="4"/>
  <c r="K268" i="4"/>
  <c r="K267" i="4"/>
  <c r="K266" i="4"/>
  <c r="K265" i="4"/>
  <c r="K264" i="4"/>
  <c r="K263" i="4"/>
  <c r="K262" i="4"/>
  <c r="K261" i="4"/>
  <c r="K260" i="4"/>
  <c r="K259" i="4"/>
  <c r="K258" i="4"/>
  <c r="K257" i="4"/>
  <c r="K256" i="4"/>
  <c r="K255" i="4"/>
  <c r="K254" i="4"/>
  <c r="K253" i="4"/>
  <c r="K252" i="4"/>
  <c r="K251" i="4"/>
  <c r="K250" i="4"/>
  <c r="K249" i="4"/>
  <c r="K248" i="4"/>
  <c r="K247" i="4"/>
  <c r="K246" i="4"/>
  <c r="K245" i="4"/>
  <c r="K244" i="4"/>
  <c r="K243" i="4"/>
  <c r="K242" i="4"/>
  <c r="K241" i="4"/>
  <c r="K240" i="4"/>
  <c r="K239" i="4"/>
  <c r="K238" i="4"/>
  <c r="K237" i="4"/>
  <c r="K236" i="4"/>
  <c r="K235" i="4"/>
  <c r="K234" i="4"/>
  <c r="K233" i="4"/>
  <c r="K232" i="4"/>
  <c r="K231" i="4"/>
  <c r="K230" i="4"/>
  <c r="K229" i="4"/>
  <c r="K228" i="4"/>
  <c r="K227" i="4"/>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Q30" i="2"/>
  <c r="O30" i="2"/>
  <c r="Q29" i="2"/>
  <c r="O29" i="2"/>
  <c r="Q27" i="2"/>
  <c r="O27" i="2"/>
  <c r="R15" i="2"/>
  <c r="Q15" i="2"/>
  <c r="P15" i="2"/>
  <c r="O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 authorId="0" shapeId="0" xr:uid="{00000000-0006-0000-0100-000001000000}">
      <text>
        <r>
          <rPr>
            <sz val="11"/>
            <color theme="1"/>
            <rFont val="Arial"/>
          </rPr>
          <t>@Arie@central.tech can you edit/update here?
_Assigned to Arie Wibowo_
	-Alessandro Casuccio
----
@Arie@central.tech can you edit / update here?
_Assigned to Arie Wibowo_
	-Alessandro Casuccio</t>
        </r>
      </text>
    </comment>
    <comment ref="B14" authorId="0" shapeId="0" xr:uid="{00000000-0006-0000-0100-000007000000}">
      <text>
        <r>
          <rPr>
            <sz val="11"/>
            <color theme="1"/>
            <rFont val="Arial"/>
          </rPr>
          <t>Project will go-live 20 Sep 2021
	-Wisut Sukchitnitayakan</t>
        </r>
      </text>
    </comment>
    <comment ref="B15" authorId="0" shapeId="0" xr:uid="{00000000-0006-0000-0100-000003000000}">
      <text>
        <r>
          <rPr>
            <sz val="11"/>
            <color theme="1"/>
            <rFont val="Arial"/>
          </rPr>
          <t>@Arie@central.tech  can we confirm what version of Magento is? not urgent but we need to know before the workshop next week
cc @ponrawat@google.com @ornpavee@convz.com
_Assigned to Arie Wibowo_
	-Alessandro Casuccio
Based on K Patrick's information, we are using MDC 2.3
	-Arie Wibowo
thanks @Arie@central.tech and @Patrick@central.tech
for your update 2 days ago on the possibility to use same method currently used by CDO team for Magento OFM for B2S as well. Can we confirm here as well? thnaks!
_Reassigned to Patrick Theroomy_
	-Alessandro Casuccio
@Arie@central.tech ?
_Reassigned to Arie Wibowo_
	-Alessandro Casuccio</t>
        </r>
      </text>
    </comment>
    <comment ref="H15" authorId="0" shapeId="0" xr:uid="{00000000-0006-0000-0100-000004000000}">
      <text>
        <r>
          <rPr>
            <sz val="11"/>
            <color theme="1"/>
            <rFont val="Arial"/>
          </rPr>
          <t>@all: Is b2s magento is in RDS AWS?
	-Loganath Thamizharasu</t>
        </r>
      </text>
    </comment>
    <comment ref="B17" authorId="0" shapeId="0" xr:uid="{00000000-0006-0000-0100-000009000000}">
      <text>
        <r>
          <rPr>
            <sz val="11"/>
            <color theme="1"/>
            <rFont val="Arial"/>
          </rPr>
          <t>Ingest data by K.daow team
	-Tuenta Laowattanayingyong</t>
        </r>
      </text>
    </comment>
    <comment ref="B18" authorId="0" shapeId="0" xr:uid="{00000000-0006-0000-0100-000008000000}">
      <text>
        <r>
          <rPr>
            <sz val="11"/>
            <color theme="1"/>
            <rFont val="Arial"/>
          </rPr>
          <t>Ingest data by K.Patrick team
	-Tuenta Laowattanayingyong
we don't have b2s google analytics data in bigquery
	-Loganath Thamizharasu
ofm already synced in bigquery (used as part of the poc)
	-Loganath Thamizharasu</t>
        </r>
      </text>
    </comment>
    <comment ref="B19" authorId="0" shapeId="0" xr:uid="{00000000-0006-0000-0100-000006000000}">
      <text>
        <r>
          <rPr>
            <sz val="11"/>
            <color theme="1"/>
            <rFont val="Arial"/>
          </rPr>
          <t>Ingest data by K.Patrick team
	-Tuenta Laowattanayingyong</t>
        </r>
      </text>
    </comment>
    <comment ref="B22" authorId="0" shapeId="0" xr:uid="{00000000-0006-0000-0100-000002000000}">
      <text>
        <r>
          <rPr>
            <sz val="11"/>
            <color theme="1"/>
            <rFont val="Arial"/>
          </rPr>
          <t>we are excluding this from current scope @Arie@central.tech
	-Alessandro Casuccio
Hi @Alessandro.casuccio@convz.com What do you think if we have another one column to indicate which data source is in/out of the project scope?
	-Ponrawat Chirajakwattana
Yes good idea :) I didn't want to edit columns because you are the owner of the Google sheet, but if you are OK with this, then definitely we can :)
	-Alessandro Casuccio</t>
        </r>
      </text>
    </comment>
    <comment ref="O24" authorId="0" shapeId="0" xr:uid="{00000000-0006-0000-0100-000005000000}">
      <text>
        <r>
          <rPr>
            <sz val="11"/>
            <color theme="1"/>
            <rFont val="Arial"/>
          </rPr>
          <t>as confirmed by k. dao
	-Loganath Thamizharasu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23" authorId="0" shapeId="0" xr:uid="{00000000-0006-0000-0300-000001000000}">
      <text>
        <r>
          <rPr>
            <sz val="11"/>
            <color theme="1"/>
            <rFont val="Arial"/>
          </rPr>
          <t>change from float to match with real data
	-Puunyapat Rakmun</t>
        </r>
      </text>
    </comment>
    <comment ref="B2458" authorId="0" shapeId="0" xr:uid="{00000000-0006-0000-0300-000002000000}">
      <text>
        <r>
          <rPr>
            <sz val="11"/>
            <color theme="1"/>
            <rFont val="Arial"/>
          </rPr>
          <t>@mahdi@convz.com  pls refer here to validate table schema
_Assigned to Mahdi Mohammed_
	-Abdoul Aziz Gaye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231" authorId="0" shapeId="0" xr:uid="{00000000-0006-0000-0B00-000001000000}">
      <text>
        <r>
          <rPr>
            <sz val="11"/>
            <color theme="1"/>
            <rFont val="Arial"/>
          </rPr>
          <t>not exist in raw data file, loading has no problem
	-Puunyapat Rakmun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C00-000001000000}">
      <text>
        <r>
          <rPr>
            <sz val="11"/>
            <color theme="1"/>
            <rFont val="Arial"/>
          </rPr>
          <t>we need to rename 2 tables from the fixing of special character issue, kindly note
from "V_PROD_CLUSTER" to "V_PROD_CLUSTER_2"
from "W_EXCEL_TG_STOCK" to "W_EXCEL_TG_STOCK_2"
	-Wisut Sukchitnitayakan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210" authorId="0" shapeId="0" xr:uid="{00000000-0006-0000-0D00-000001000000}">
      <text>
        <r>
          <rPr>
            <sz val="11"/>
            <color theme="1"/>
            <rFont val="Arial"/>
          </rPr>
          <t>Real data is integer - 1 Mar 2022
	-Puunyapat Rakmun</t>
        </r>
      </text>
    </comment>
    <comment ref="D219" authorId="0" shapeId="0" xr:uid="{00000000-0006-0000-0D00-000007000000}">
      <text>
        <r>
          <rPr>
            <sz val="11"/>
            <color theme="1"/>
            <rFont val="Arial"/>
          </rPr>
          <t>Change field type at 11/02/2022
	-Wisut Sukchitnitayakan</t>
        </r>
      </text>
    </comment>
    <comment ref="D223" authorId="0" shapeId="0" xr:uid="{00000000-0006-0000-0D00-000006000000}">
      <text>
        <r>
          <rPr>
            <sz val="11"/>
            <color theme="1"/>
            <rFont val="Arial"/>
          </rPr>
          <t>Change field type at 11/02/2022
	-Wisut Sukchitnitayakan</t>
        </r>
      </text>
    </comment>
    <comment ref="C1492" authorId="0" shapeId="0" xr:uid="{00000000-0006-0000-0D00-000005000000}">
      <text>
        <r>
          <rPr>
            <sz val="11"/>
            <color theme="1"/>
            <rFont val="Arial"/>
          </rPr>
          <t>Add new field at 11/02/2022
	-Wisut Sukchitnitayakan</t>
        </r>
      </text>
    </comment>
    <comment ref="C1493" authorId="0" shapeId="0" xr:uid="{00000000-0006-0000-0D00-000004000000}">
      <text>
        <r>
          <rPr>
            <sz val="11"/>
            <color theme="1"/>
            <rFont val="Arial"/>
          </rPr>
          <t>Add new field at 11/02/2022
	-Wisut Sukchitnitayakan</t>
        </r>
      </text>
    </comment>
    <comment ref="C1494" authorId="0" shapeId="0" xr:uid="{00000000-0006-0000-0D00-000003000000}">
      <text>
        <r>
          <rPr>
            <sz val="11"/>
            <color theme="1"/>
            <rFont val="Arial"/>
          </rPr>
          <t>Add new field at 11/02/2022
	-Wisut Sukchitnitayakan</t>
        </r>
      </text>
    </comment>
    <comment ref="C1495" authorId="0" shapeId="0" xr:uid="{00000000-0006-0000-0D00-000002000000}">
      <text>
        <r>
          <rPr>
            <sz val="11"/>
            <color theme="1"/>
            <rFont val="Arial"/>
          </rPr>
          <t>Add new field at 11/02/2022
	-Wisut Sukchitnitayakan</t>
        </r>
      </text>
    </comment>
  </commentList>
</comments>
</file>

<file path=xl/sharedStrings.xml><?xml version="1.0" encoding="utf-8"?>
<sst xmlns="http://schemas.openxmlformats.org/spreadsheetml/2006/main" count="97166" uniqueCount="13161">
  <si>
    <t>Row Labels</t>
  </si>
  <si>
    <t>Sum of row</t>
  </si>
  <si>
    <t>DBERP</t>
  </si>
  <si>
    <t>DBFranchise</t>
  </si>
  <si>
    <t>DBTMS</t>
  </si>
  <si>
    <t>Epro</t>
  </si>
  <si>
    <t>Mercury</t>
  </si>
  <si>
    <t>Officemate</t>
  </si>
  <si>
    <t>(blank)</t>
  </si>
  <si>
    <t>Grand Total</t>
  </si>
  <si>
    <t>OFM Own data sources</t>
  </si>
  <si>
    <t>No</t>
  </si>
  <si>
    <t>Source Name</t>
  </si>
  <si>
    <t>Subject Area</t>
  </si>
  <si>
    <t>Source Description</t>
  </si>
  <si>
    <t>Source type</t>
  </si>
  <si>
    <t>Source System Platform/OS and version</t>
  </si>
  <si>
    <t>File System(s) or Database name</t>
  </si>
  <si>
    <t>Database version</t>
  </si>
  <si>
    <t>Port</t>
  </si>
  <si>
    <t>Load Frequency</t>
  </si>
  <si>
    <t>Estimated Table for ingestion</t>
  </si>
  <si>
    <t>Test Remark</t>
  </si>
  <si>
    <t>Test Table</t>
  </si>
  <si>
    <t>Path</t>
  </si>
  <si>
    <t>Filename Format</t>
  </si>
  <si>
    <t>Batch Finish Time</t>
  </si>
  <si>
    <t>Ingestion Status</t>
  </si>
  <si>
    <t>Estimated Size for total DB/Files (in GB)</t>
  </si>
  <si>
    <t>Data Growth Rate: Average Rate per Year (in %)</t>
  </si>
  <si>
    <t>Remarks (availability)</t>
  </si>
  <si>
    <t>Early historical period (year/month)</t>
  </si>
  <si>
    <t>Priority group</t>
  </si>
  <si>
    <t>Inventory</t>
  </si>
  <si>
    <t>Sales &amp; CRM</t>
  </si>
  <si>
    <t>Transport</t>
  </si>
  <si>
    <t>Online &amp; Digital Mkt</t>
  </si>
  <si>
    <t>Financial</t>
  </si>
  <si>
    <t>Old
Batch</t>
  </si>
  <si>
    <t>New Batch</t>
  </si>
  <si>
    <t>Old
Realtime</t>
  </si>
  <si>
    <t>New 
Realtime</t>
  </si>
  <si>
    <t>Buckets/ofm-data/[Source Name]/[Table Name]</t>
  </si>
  <si>
    <t>Officemate
    - OASys (Sale system)
    - CORE II (Credit Management system)</t>
  </si>
  <si>
    <t>X</t>
  </si>
  <si>
    <t>Production of  product master / customer master/ supplier master/ Order management / Replenishment</t>
  </si>
  <si>
    <t>On-Premise</t>
  </si>
  <si>
    <t>Windows</t>
  </si>
  <si>
    <t>SQL Server/officemate</t>
  </si>
  <si>
    <t>- batch (daily)
- batch near realtime
(every X minutes)</t>
  </si>
  <si>
    <t>Test Airbyte to GCS
- Export a table
- Send to GCS with JSON, CSV (UTF-8) format</t>
  </si>
  <si>
    <t>tbstore_master</t>
  </si>
  <si>
    <t>Buckets/ofm-data/Offcemate/[Table Name]</t>
  </si>
  <si>
    <t>YYYY_MM_DD_[timestamp]_0.jsonl</t>
  </si>
  <si>
    <t>- Daily 
7:00 AM
- Every X Minutes 
(Frequency in TabSize tab)</t>
  </si>
  <si>
    <t>Completed</t>
  </si>
  <si>
    <t>Mercury (Sale from Web)</t>
  </si>
  <si>
    <t>Web Order Management</t>
  </si>
  <si>
    <t>SQL Server/DBB2BMKP</t>
  </si>
  <si>
    <t>batch (daily)</t>
  </si>
  <si>
    <t>tbseller_master</t>
  </si>
  <si>
    <t>Buckets/ofm-data/Mercury/[Table Name]</t>
  </si>
  <si>
    <t>Daily 
7:00 AM</t>
  </si>
  <si>
    <t>E-Procurement (B2B System)</t>
  </si>
  <si>
    <t>Web Order Management (B2B)</t>
  </si>
  <si>
    <t>SQL Server/DBEPROV5</t>
  </si>
  <si>
    <t>TBCart</t>
  </si>
  <si>
    <t>Buckets/ofm-data/E-Procurement/[Table Name]</t>
  </si>
  <si>
    <t>TMS (Delivery system)</t>
  </si>
  <si>
    <t>Transport system</t>
  </si>
  <si>
    <t>SQL Server/DBTMS</t>
  </si>
  <si>
    <t>TBClusterMaster</t>
  </si>
  <si>
    <t>Buckets/ofm-data/TMS/[Table Name]</t>
  </si>
  <si>
    <t>ERP (Data transaction of production)</t>
  </si>
  <si>
    <t>Warehouse</t>
  </si>
  <si>
    <t>SQL Server/DBERP</t>
  </si>
  <si>
    <t>TBShippingPlanTransHead</t>
  </si>
  <si>
    <t>Buckets/ofm-data/ERP/[Table Name]</t>
  </si>
  <si>
    <t>Franchise (Postgresql)</t>
  </si>
  <si>
    <t>Franchise (Customer of OFM)</t>
  </si>
  <si>
    <t>SQL Server/DBFranchise</t>
  </si>
  <si>
    <t>tbfranchise_dept_master</t>
  </si>
  <si>
    <t>Buckets/ofm-data/Franchise/[Table Name]</t>
  </si>
  <si>
    <t>MDS</t>
  </si>
  <si>
    <t>Master Data Service</t>
  </si>
  <si>
    <t>SQL Server/MDSCOL</t>
  </si>
  <si>
    <t>- batch near realtime
(every X minutes)</t>
  </si>
  <si>
    <t>PRODUCT_FACTOR</t>
  </si>
  <si>
    <t>Buckets/ofm-data/MDS/[Table Name]</t>
  </si>
  <si>
    <t>- Every X Minutes (Frequency in TabSize tab)</t>
  </si>
  <si>
    <t>N/A</t>
  </si>
  <si>
    <t>ESB (Staging data)</t>
  </si>
  <si>
    <t>Datapump from 3rd</t>
  </si>
  <si>
    <t>PostgreSQL/DBStaging_External</t>
  </si>
  <si>
    <t>tbmkporder_status_in</t>
  </si>
  <si>
    <t>Buckets/ofm-data/ESB/[Table Name]</t>
  </si>
  <si>
    <t>Mongo DB (Line Messenger - History)</t>
  </si>
  <si>
    <t>Line UID Transaction</t>
  </si>
  <si>
    <t>Cloud</t>
  </si>
  <si>
    <t>Linux</t>
  </si>
  <si>
    <t>mongodb/LINE_HISTORY</t>
  </si>
  <si>
    <t>4.2.3</t>
  </si>
  <si>
    <t>coupons</t>
  </si>
  <si>
    <t>Buckets/ofm-data/MongoDB/[Table Name]</t>
  </si>
  <si>
    <t>Salesforce CRM</t>
  </si>
  <si>
    <t>CRM</t>
  </si>
  <si>
    <t>Clound (Salesforce)</t>
  </si>
  <si>
    <t>Event</t>
  </si>
  <si>
    <t>Buckets/ofm-data/Salesforce/[Table Name]</t>
  </si>
  <si>
    <t>PIM (AWS)</t>
  </si>
  <si>
    <t>Product information management system</t>
  </si>
  <si>
    <t>Master product</t>
  </si>
  <si>
    <t>System just be available</t>
  </si>
  <si>
    <t>Buckets/ofm-data/PIM/[Table Name]</t>
  </si>
  <si>
    <t>Daily 
7:00 AM
Every X Minutes</t>
  </si>
  <si>
    <t>Total</t>
  </si>
  <si>
    <t>Not-Own by OFM</t>
  </si>
  <si>
    <t>JDA +POS (Transaction data from POS)</t>
  </si>
  <si>
    <t>Transaction from POS &amp; JDA (3rd)</t>
  </si>
  <si>
    <t>SQL Server/InterfaceOFM</t>
  </si>
  <si>
    <t>RIS</t>
  </si>
  <si>
    <t>batch</t>
  </si>
  <si>
    <t>JDA - 83 file (+83 log files) + 10 files (initial data)
POS - 18 files + 18 log files</t>
  </si>
  <si>
    <t>Buckets/non-ofm-data/JDA/[Table Name]</t>
  </si>
  <si>
    <t>Google Analytics (OFM + B2S)</t>
  </si>
  <si>
    <t>Sale Analystices</t>
  </si>
  <si>
    <t>pdi-google-analytics-app</t>
  </si>
  <si>
    <t>CTO</t>
  </si>
  <si>
    <t>2 (OFM) OFM Property ID - 178027952
2 (B2S)</t>
  </si>
  <si>
    <t>Officemate (magento) -&gt; MDC</t>
  </si>
  <si>
    <t>Magento (MDC)</t>
  </si>
  <si>
    <t>batch/ realtime</t>
  </si>
  <si>
    <t>B2S (magento) -&gt; MDC</t>
  </si>
  <si>
    <t>Mirakl</t>
  </si>
  <si>
    <t>?</t>
  </si>
  <si>
    <t>Out of scope</t>
  </si>
  <si>
    <t>RTS</t>
  </si>
  <si>
    <t>Sales and stock / RapidMQ</t>
  </si>
  <si>
    <t>Realtime</t>
  </si>
  <si>
    <t>Oracle BI</t>
  </si>
  <si>
    <t>Inventory Stock (Historical data)
Inventory Obsolete (Historical data)</t>
  </si>
  <si>
    <t>2 (B2S)
3 (OFM)</t>
  </si>
  <si>
    <t>T1C (transaction data fromT1C) - OFM
(S3)</t>
  </si>
  <si>
    <t>T1C (transaction data fromT1C) - B2S
(S3)</t>
  </si>
  <si>
    <t>Online Data (Patrick own)</t>
  </si>
  <si>
    <t>Total (assuming Magento API)</t>
  </si>
  <si>
    <t>MDC</t>
  </si>
  <si>
    <t>MCOM</t>
  </si>
  <si>
    <t>WMS</t>
  </si>
  <si>
    <t>FMS</t>
  </si>
  <si>
    <t>POS</t>
  </si>
  <si>
    <t>THE1</t>
  </si>
  <si>
    <t>BRANCH</t>
  </si>
  <si>
    <t>People Conting</t>
  </si>
  <si>
    <t>Source</t>
  </si>
  <si>
    <t>Group</t>
  </si>
  <si>
    <t>name</t>
  </si>
  <si>
    <t>row</t>
  </si>
  <si>
    <t>Xtype</t>
  </si>
  <si>
    <t>reserved</t>
  </si>
  <si>
    <t>data</t>
  </si>
  <si>
    <t>index_size</t>
  </si>
  <si>
    <t>unused</t>
  </si>
  <si>
    <t>crdate</t>
  </si>
  <si>
    <t>Remark</t>
  </si>
  <si>
    <t>Frequency</t>
  </si>
  <si>
    <t>Primary Field</t>
  </si>
  <si>
    <t>Check Increasmental by Field</t>
  </si>
  <si>
    <t>Refreshing Type</t>
  </si>
  <si>
    <t>Account_master</t>
  </si>
  <si>
    <t>tbaccount_additional</t>
  </si>
  <si>
    <t>U</t>
  </si>
  <si>
    <t>13/12/2562 11:31 AM</t>
  </si>
  <si>
    <t>batch daily</t>
  </si>
  <si>
    <t>account_id</t>
  </si>
  <si>
    <t>update_date</t>
  </si>
  <si>
    <t>Insert/Update</t>
  </si>
  <si>
    <t>tbaccount_class_master</t>
  </si>
  <si>
    <t>account_class,account_reptsale_id</t>
  </si>
  <si>
    <t>tbaccount_credit</t>
  </si>
  <si>
    <t>21/05/2563 10:11 PM</t>
  </si>
  <si>
    <t>tbaccount_credit_trans</t>
  </si>
  <si>
    <t>21/05/2563 10:12 PM</t>
  </si>
  <si>
    <t>log_id</t>
  </si>
  <si>
    <t>create_date</t>
  </si>
  <si>
    <t>Insert</t>
  </si>
  <si>
    <t>tbaccount_fixprice</t>
  </si>
  <si>
    <t>21/04/2563 12:01 PM</t>
  </si>
  <si>
    <t>account_id, product_id</t>
  </si>
  <si>
    <t>tbaccount_group_master</t>
  </si>
  <si>
    <t>14/12/2562 8:34 PM</t>
  </si>
  <si>
    <t>account_group_id</t>
  </si>
  <si>
    <t>tbaccount_lock_telesale</t>
  </si>
  <si>
    <t>14/06/2563 9:21 PM</t>
  </si>
  <si>
    <t>account_id, telesale_id</t>
  </si>
  <si>
    <t>tbaccount_master</t>
  </si>
  <si>
    <t>16/12/2562 2:55 PM</t>
  </si>
  <si>
    <t>tbaccount_segment_master</t>
  </si>
  <si>
    <t>14/12/2562 6:38 PM</t>
  </si>
  <si>
    <t>segment_id</t>
  </si>
  <si>
    <t>tbcontact_information</t>
  </si>
  <si>
    <t>13/12/2562 9:46 AM</t>
  </si>
  <si>
    <t>account_id,contact_data, contact_extension, contact_type, data_source, default_flag, reference_id</t>
  </si>
  <si>
    <t>tbcontact_mapping</t>
  </si>
  <si>
    <t>13/12/2562 9:44 AM</t>
  </si>
  <si>
    <t>account_id, contact_id</t>
  </si>
  <si>
    <t>tbcontact_master</t>
  </si>
  <si>
    <t>15/12/2562 3:04 AM</t>
  </si>
  <si>
    <t>contact_id</t>
  </si>
  <si>
    <t>tbinvoice_address</t>
  </si>
  <si>
    <t>13/12/2562 4:19 PM</t>
  </si>
  <si>
    <t>Finance</t>
  </si>
  <si>
    <t>ARBatDtl</t>
  </si>
  <si>
    <t>TBC</t>
  </si>
  <si>
    <t>BdtSubSeqn, BdtVoucherNo</t>
  </si>
  <si>
    <t>UpdateOn</t>
  </si>
  <si>
    <t>ARBILDTL</t>
  </si>
  <si>
    <t>18/10/2546 10:21 AM</t>
  </si>
  <si>
    <t>BillNo, ReferenceNo</t>
  </si>
  <si>
    <t>ARBILHDR</t>
  </si>
  <si>
    <t>31/10/2546 11:33 AM</t>
  </si>
  <si>
    <t>BillNo</t>
  </si>
  <si>
    <t>ARSETLMT</t>
  </si>
  <si>
    <t>VchNo, VchSeqn</t>
  </si>
  <si>
    <t>ARTRNDTL</t>
  </si>
  <si>
    <t>ReferenceNo, VoucherNo</t>
  </si>
  <si>
    <t>ARTRNMST</t>
  </si>
  <si>
    <t>18/03/2556 12:54 PM</t>
  </si>
  <si>
    <t>VoucherNo</t>
  </si>
  <si>
    <t>Trandate</t>
  </si>
  <si>
    <t>ARVATTRN</t>
  </si>
  <si>
    <t>VatDate, VatInvNo</t>
  </si>
  <si>
    <t>GLACTMST</t>
  </si>
  <si>
    <t>ActCode</t>
  </si>
  <si>
    <t>GLACTMSTMapOFIN</t>
  </si>
  <si>
    <t>31/03/2556 2:52 PM</t>
  </si>
  <si>
    <t>Full refresh</t>
  </si>
  <si>
    <t>GLDPTMST</t>
  </si>
  <si>
    <t>DptCode</t>
  </si>
  <si>
    <t>GLVCHTYP</t>
  </si>
  <si>
    <t>VchCode</t>
  </si>
  <si>
    <t>TBARChqmst</t>
  </si>
  <si>
    <t>16/09/2548 3:29 PM</t>
  </si>
  <si>
    <t>VoucherNO</t>
  </si>
  <si>
    <t>TBARProvision</t>
  </si>
  <si>
    <t>BillNo, DocNo, VoucherNo</t>
  </si>
  <si>
    <t>TBARsetlmtdtl</t>
  </si>
  <si>
    <t>17/10/2546 9:51 PM</t>
  </si>
  <si>
    <t>ReferenceNo, RVNo</t>
  </si>
  <si>
    <t>TBOFINAccMaster</t>
  </si>
  <si>
    <t>AccountCode</t>
  </si>
  <si>
    <t>History</t>
  </si>
  <si>
    <t>TBSumProdMst</t>
  </si>
  <si>
    <t>pID</t>
  </si>
  <si>
    <t>TBOBS_NonStore_Monthly</t>
  </si>
  <si>
    <t>cal_date</t>
  </si>
  <si>
    <t>tbproductmaster_history</t>
  </si>
  <si>
    <t>PID</t>
  </si>
  <si>
    <t>tbproductwarehouse_omthistory</t>
  </si>
  <si>
    <t>PID, StoreID, WHID</t>
  </si>
  <si>
    <t>tbproductwarehouse_colhistory</t>
  </si>
  <si>
    <t>TBProductControlStatic_History</t>
  </si>
  <si>
    <t>every 15 min</t>
  </si>
  <si>
    <t>tbproductunit_history</t>
  </si>
  <si>
    <t>pID, ProdTUnit</t>
  </si>
  <si>
    <t>TBProductStatic_history</t>
  </si>
  <si>
    <t>Master</t>
  </si>
  <si>
    <t>cmcReasonMiss</t>
  </si>
  <si>
    <t>28/06/2554 4:28 PM</t>
  </si>
  <si>
    <t>ColCode, ColDesc</t>
  </si>
  <si>
    <t>cmeEmp</t>
  </si>
  <si>
    <t>eEmpID</t>
  </si>
  <si>
    <t>cmpCategory</t>
  </si>
  <si>
    <t>24/01/2551 4:46 PM</t>
  </si>
  <si>
    <t>pCatID</t>
  </si>
  <si>
    <t>cmProvince</t>
  </si>
  <si>
    <t>ProvinceID</t>
  </si>
  <si>
    <t>cmpSubCategory</t>
  </si>
  <si>
    <t>29/01/2551 12:42 PM</t>
  </si>
  <si>
    <t>pCatID, pSubCatID</t>
  </si>
  <si>
    <t>cmsPayType</t>
  </si>
  <si>
    <t>17/03/2548 2:30 PM</t>
  </si>
  <si>
    <t>sPaymentCode</t>
  </si>
  <si>
    <t>cmssuppcontact</t>
  </si>
  <si>
    <t>30/06/2552 10:56 AM</t>
  </si>
  <si>
    <t>sSeqNo, sSupplierID</t>
  </si>
  <si>
    <t>cmsSupplier</t>
  </si>
  <si>
    <t>sSupplierID</t>
  </si>
  <si>
    <t>TbAbbreviationGLAccount</t>
  </si>
  <si>
    <t>28/01/2557 11:38 AM</t>
  </si>
  <si>
    <t>Abbreviation, AccountCode ,AccountType ,UseGroup</t>
  </si>
  <si>
    <t>TBCatalogMaster</t>
  </si>
  <si>
    <t>SeqNo</t>
  </si>
  <si>
    <t>TBCMCity</t>
  </si>
  <si>
    <t>City, District ,Postcode, ProvinceID</t>
  </si>
  <si>
    <t>TBCMFeedBackGroup</t>
  </si>
  <si>
    <t>21/01/2554 2:39 PM</t>
  </si>
  <si>
    <t>FeedBackGrpID, SeqNo</t>
  </si>
  <si>
    <t>TBCMProspectActivity</t>
  </si>
  <si>
    <t>17/08/2555 5:46 PM</t>
  </si>
  <si>
    <t>ActivityID, JoinID</t>
  </si>
  <si>
    <t>TBCompanyDepartments</t>
  </si>
  <si>
    <t>24/01/2551 1:52 PM</t>
  </si>
  <si>
    <t>DeptID</t>
  </si>
  <si>
    <t>TBCMProspectGroup</t>
  </si>
  <si>
    <t>29/10/2551 2:46 PM</t>
  </si>
  <si>
    <t>GrpID</t>
  </si>
  <si>
    <t>tbcmspaymenttype</t>
  </si>
  <si>
    <t>15/05/2551 5:23 PM</t>
  </si>
  <si>
    <t>SpaytypeCode</t>
  </si>
  <si>
    <t>Createon</t>
  </si>
  <si>
    <t>TBCreditCardMaster</t>
  </si>
  <si>
    <t>30/10/2562 10:27 AM</t>
  </si>
  <si>
    <t>CreditCardID</t>
  </si>
  <si>
    <t>TBCustPayment</t>
  </si>
  <si>
    <t>20/03/2555 3:34 PM</t>
  </si>
  <si>
    <t>PaymentID</t>
  </si>
  <si>
    <t>TBDeptMaster</t>
  </si>
  <si>
    <t>25/04/2557 3:29 PM</t>
  </si>
  <si>
    <t>BU, CLASS, CodeOracleID, DEPT,SUB_CLS ,SUB_DPT</t>
  </si>
  <si>
    <t>TBDEPTMASTERJDA</t>
  </si>
  <si>
    <t>TBDvMapZone</t>
  </si>
  <si>
    <t>20/07/2561 5:09 AM</t>
  </si>
  <si>
    <t>MainZone, Subzone, TYPE</t>
  </si>
  <si>
    <t>TBInvoiceCancelReason</t>
  </si>
  <si>
    <t>ID</t>
  </si>
  <si>
    <t>TBProductBrandMaster</t>
  </si>
  <si>
    <t>15/09/2558 6:43 PM</t>
  </si>
  <si>
    <t>TBProductCatalog</t>
  </si>
  <si>
    <t>TBProductChannel</t>
  </si>
  <si>
    <t>SaleChannelID, SKUCodeOFM</t>
  </si>
  <si>
    <t>ofm_TBProductControlStatic</t>
  </si>
  <si>
    <t>TBProductDimension</t>
  </si>
  <si>
    <t>ofm_TBProductMaster</t>
  </si>
  <si>
    <t>20/12/2555 4:00 PM</t>
  </si>
  <si>
    <t>Pid</t>
  </si>
  <si>
    <t>TBProductSKUCode</t>
  </si>
  <si>
    <t>ProductGroupID, SKUCodeOFM, SKUType</t>
  </si>
  <si>
    <t>ofm_TBProductUnit</t>
  </si>
  <si>
    <t>21/10/2555 7:09 AM</t>
  </si>
  <si>
    <t>ofm_TBProductWarehouse</t>
  </si>
  <si>
    <t>31/07/2562 3:37 PM</t>
  </si>
  <si>
    <t>every 10 min</t>
  </si>
  <si>
    <t>tbsale_channel</t>
  </si>
  <si>
    <t>sale_channel_id</t>
  </si>
  <si>
    <t>Update_date</t>
  </si>
  <si>
    <t>TBSORemark</t>
  </si>
  <si>
    <t>22/12/2549 10:25 AM</t>
  </si>
  <si>
    <t>tbsale_method</t>
  </si>
  <si>
    <t>19/06/2563 3:23 PM</t>
  </si>
  <si>
    <t>sale_method_id</t>
  </si>
  <si>
    <t>TBSeriesMaster</t>
  </si>
  <si>
    <t>19/12/2555 6:19 PM</t>
  </si>
  <si>
    <t>tbshipping_address</t>
  </si>
  <si>
    <t>14/12/2562 2:41 PM</t>
  </si>
  <si>
    <t>account_id, ship_id</t>
  </si>
  <si>
    <t>tbstore_branch</t>
  </si>
  <si>
    <t>store_branch_id</t>
  </si>
  <si>
    <t>19/06/2563 11:02 AM</t>
  </si>
  <si>
    <t>store_no</t>
  </si>
  <si>
    <t>tbtitle_master</t>
  </si>
  <si>
    <t>title_id, title_type</t>
  </si>
  <si>
    <t>TBTMSServiceMaster</t>
  </si>
  <si>
    <t>20/07/2561 4:25 AM</t>
  </si>
  <si>
    <t>ServiceId</t>
  </si>
  <si>
    <t>TBTSIC_Master</t>
  </si>
  <si>
    <t>TBVendorOnChannel</t>
  </si>
  <si>
    <t>ChannelID, VendorID</t>
  </si>
  <si>
    <t>TBWarehouseMaster</t>
  </si>
  <si>
    <t>WHID</t>
  </si>
  <si>
    <t>ofm_TBProductStatic</t>
  </si>
  <si>
    <t>pid</t>
  </si>
  <si>
    <t>ofm_tballocate_stock_bychannel</t>
  </si>
  <si>
    <t>allocate_type, product_id, sale_channel_id</t>
  </si>
  <si>
    <t>ofm_tbsopricebydate</t>
  </si>
  <si>
    <t>ofm_tbteam_master</t>
  </si>
  <si>
    <t>every 1 hour</t>
  </si>
  <si>
    <t>team_id</t>
  </si>
  <si>
    <t>ofm_TBSOReceiptStore</t>
  </si>
  <si>
    <t>SoNo, StoreID</t>
  </si>
  <si>
    <t>ofm_tbuser_master</t>
  </si>
  <si>
    <t>emp_id</t>
  </si>
  <si>
    <t>ofm_TdSystem</t>
  </si>
  <si>
    <t>CmpyCode</t>
  </si>
  <si>
    <t>ofm_TBProductPrintingMaster</t>
  </si>
  <si>
    <t>tbfixprice_doc_accountgroup</t>
  </si>
  <si>
    <t>account_id, doc_no</t>
  </si>
  <si>
    <t>TBCustPrices</t>
  </si>
  <si>
    <t>cCustID, pID</t>
  </si>
  <si>
    <t>Promotion</t>
  </si>
  <si>
    <t>tbpromotion_absorb</t>
  </si>
  <si>
    <t>department_name, promotion_no</t>
  </si>
  <si>
    <t>tbpromotion_account</t>
  </si>
  <si>
    <t>account_data, account_source, promotion_no</t>
  </si>
  <si>
    <t>tbpromotion_campaign</t>
  </si>
  <si>
    <t>27/04/2563 3:06 PM</t>
  </si>
  <si>
    <t>promotion_no</t>
  </si>
  <si>
    <t>tbpromotion_channel</t>
  </si>
  <si>
    <t>promotion_no, sale_channel_id</t>
  </si>
  <si>
    <t>tbpromotion_condition</t>
  </si>
  <si>
    <t>promotion_con_id, promotion_no</t>
  </si>
  <si>
    <t>tbpromotion_coupon_code</t>
  </si>
  <si>
    <t>promotion_no, seq_no</t>
  </si>
  <si>
    <t>tbpromotion_installment_payment</t>
  </si>
  <si>
    <t>credit_card_id, premium_group_id, promotion_no</t>
  </si>
  <si>
    <t>tbpromotion_owner_campaign</t>
  </si>
  <si>
    <t>owner_id</t>
  </si>
  <si>
    <t>tbpromotion_premium</t>
  </si>
  <si>
    <t>premium_group_id, premium_id, promotion_no</t>
  </si>
  <si>
    <t>tbpromotion_product</t>
  </si>
  <si>
    <t>cat_id, product_data, product_source,, promotion_con_id, promotion_no</t>
  </si>
  <si>
    <t>tbpromotion_quantity_discount</t>
  </si>
  <si>
    <t>product_id, promotion_no</t>
  </si>
  <si>
    <t>TBPromotionPriceMaster</t>
  </si>
  <si>
    <t>PromotionID</t>
  </si>
  <si>
    <t>Transaction</t>
  </si>
  <si>
    <t>IvTxDetl</t>
  </si>
  <si>
    <t>24/08/2562 1:41 AM</t>
  </si>
  <si>
    <t>TrnxNo,SeqNo</t>
  </si>
  <si>
    <t>IvTxHead</t>
  </si>
  <si>
    <t>24/08/2562 2:05 AM</t>
  </si>
  <si>
    <t>OFM_PoDetl</t>
  </si>
  <si>
    <t>21/10/2555 7:24 PM</t>
  </si>
  <si>
    <t>Company,PoNo,pID</t>
  </si>
  <si>
    <t>OFM_PoHead</t>
  </si>
  <si>
    <t>22/07/2552 12:51 PM</t>
  </si>
  <si>
    <t>Company,PoNo</t>
  </si>
  <si>
    <t>PoTxDetl</t>
  </si>
  <si>
    <t>20/08/2550 1:49 PM</t>
  </si>
  <si>
    <t>TrnxNo, SeqNo</t>
  </si>
  <si>
    <t>PoTxHead</t>
  </si>
  <si>
    <t>29/07/2552 12:03 PM</t>
  </si>
  <si>
    <t>TrnxNo</t>
  </si>
  <si>
    <t>OFM_SoDnDetl</t>
  </si>
  <si>
    <t>Company,InvNo, SeqNo</t>
  </si>
  <si>
    <t>OFM_SoDnHead</t>
  </si>
  <si>
    <t>24/08/2562 5:46 AM</t>
  </si>
  <si>
    <t>Company,InvNo</t>
  </si>
  <si>
    <t>OFM_Soivdetl</t>
  </si>
  <si>
    <t>20/08/2550 1:53 PM</t>
  </si>
  <si>
    <t>OFM_SoIvHead</t>
  </si>
  <si>
    <t>29/12/2551 11:37 AM</t>
  </si>
  <si>
    <t>ofm_tbeo_detail</t>
  </si>
  <si>
    <t>14/06/2563 8:48 PM</t>
  </si>
  <si>
    <t>Company,eo_no, seq_no</t>
  </si>
  <si>
    <t>ofm_tbeo_head</t>
  </si>
  <si>
    <t>25/09/2563 9:51 AM</t>
  </si>
  <si>
    <t>Company,eo_no</t>
  </si>
  <si>
    <t>tbinvoice_government</t>
  </si>
  <si>
    <t>17/02/2564 10:55 AM</t>
  </si>
  <si>
    <t>Batch daily</t>
  </si>
  <si>
    <t>so_no</t>
  </si>
  <si>
    <t>OFM_tbso_detail</t>
  </si>
  <si>
    <t>product_id, so_no</t>
  </si>
  <si>
    <t>OFM_tbso_head</t>
  </si>
  <si>
    <t>25/09/2563 9:55 AM</t>
  </si>
  <si>
    <t>Company,so_no</t>
  </si>
  <si>
    <t>tbfixprice_doc_head</t>
  </si>
  <si>
    <t>doc_no</t>
  </si>
  <si>
    <t>tbfixprice_doc_detail</t>
  </si>
  <si>
    <t>doc_no, product_id</t>
  </si>
  <si>
    <t>tbbusiness_type_master</t>
  </si>
  <si>
    <t>business_type_id</t>
  </si>
  <si>
    <t>TBHoliday</t>
  </si>
  <si>
    <t>holidate</t>
  </si>
  <si>
    <t>updateon</t>
  </si>
  <si>
    <t>TABLE_NAME</t>
  </si>
  <si>
    <t>COLUMN_NAME</t>
  </si>
  <si>
    <t>DATA_TYPE</t>
  </si>
  <si>
    <t>CHARACTER_MAXIMUM_LENGTH</t>
  </si>
  <si>
    <t>precision</t>
  </si>
  <si>
    <t>scale</t>
  </si>
  <si>
    <t>COLUMN_DESCRIPTION</t>
  </si>
  <si>
    <t>COLUMN_DEFAULT</t>
  </si>
  <si>
    <t>IS_NULLABLE</t>
  </si>
  <si>
    <t>Translations</t>
  </si>
  <si>
    <t>BdtVchNo</t>
  </si>
  <si>
    <t>varchar</t>
  </si>
  <si>
    <t>VOUCHER NO. (FORMAT : AP/YYYY-MM)</t>
  </si>
  <si>
    <t>NULL</t>
  </si>
  <si>
    <t>BdtVchSeqn</t>
  </si>
  <si>
    <t>decimal</t>
  </si>
  <si>
    <t>SEQUENCE NO. (RUNNING NO)</t>
  </si>
  <si>
    <t>BdtSubSeqn</t>
  </si>
  <si>
    <t>int</t>
  </si>
  <si>
    <t>SUB SEQUENCE NO. (RUNNING NO)</t>
  </si>
  <si>
    <t>BdtActCode</t>
  </si>
  <si>
    <t>ACCOUNT CODE</t>
  </si>
  <si>
    <t>BdtDptCode</t>
  </si>
  <si>
    <t>DEPARTMENT CODE (OFM)</t>
  </si>
  <si>
    <t>Bdtnature</t>
  </si>
  <si>
    <t>char</t>
  </si>
  <si>
    <t>NATURE (D : DEBIT, C : CREDIT)</t>
  </si>
  <si>
    <t>BdtStatus</t>
  </si>
  <si>
    <t>STATUS (A : ACTIVE, I : INACTIVE, C: CANCLE)</t>
  </si>
  <si>
    <t>BdtTranDate</t>
  </si>
  <si>
    <t>smalldatetime</t>
  </si>
  <si>
    <t>TRANSACTION DATE</t>
  </si>
  <si>
    <t>BdtCurAmt</t>
  </si>
  <si>
    <t>AMOUNT (RELATED TO CURRENCY CODE)</t>
  </si>
  <si>
    <t>BdtCurCode</t>
  </si>
  <si>
    <t>CURRENCY CODE</t>
  </si>
  <si>
    <t>BdtCurRate</t>
  </si>
  <si>
    <t>CURRENCY RATE</t>
  </si>
  <si>
    <t>BdtAmt</t>
  </si>
  <si>
    <t>AMOUNT</t>
  </si>
  <si>
    <t>BdtJobNo</t>
  </si>
  <si>
    <t>JOB NO.</t>
  </si>
  <si>
    <t>BdtRemk</t>
  </si>
  <si>
    <t>REMARK</t>
  </si>
  <si>
    <t>BdtInvNo</t>
  </si>
  <si>
    <t>INVOICE NO.</t>
  </si>
  <si>
    <t>BdtInvDate</t>
  </si>
  <si>
    <t>INVOICE DATE</t>
  </si>
  <si>
    <t>BdtInvCurAmt</t>
  </si>
  <si>
    <t>AMOUNT IN THE INVOICE (RELATED TO CURRENCY CODE)</t>
  </si>
  <si>
    <t>BdtInvAmt</t>
  </si>
  <si>
    <t>AMOUNT IN THE INVOICE</t>
  </si>
  <si>
    <t>BdtSupplier_Debtor</t>
  </si>
  <si>
    <t>BdtVoucherNo</t>
  </si>
  <si>
    <t>FULL VOUCHER NO. (BDTVCHNO / BDTVCHSEQN)</t>
  </si>
  <si>
    <t>LastUpdateBy</t>
  </si>
  <si>
    <t>LAST UPDATE USER</t>
  </si>
  <si>
    <t>CreateBy</t>
  </si>
  <si>
    <t>CREATED USER</t>
  </si>
  <si>
    <t>LAST UPDATE DATE</t>
  </si>
  <si>
    <t>CREATEON</t>
  </si>
  <si>
    <t>CREATED DATE</t>
  </si>
  <si>
    <t>ISPOST</t>
  </si>
  <si>
    <t>IS POST STATUS FLAG</t>
  </si>
  <si>
    <t>UPDATEBY</t>
  </si>
  <si>
    <t>UPDATE USER</t>
  </si>
  <si>
    <t>BDTVNDCODE</t>
  </si>
  <si>
    <t>VENDOR CODE</t>
  </si>
  <si>
    <t>ReferenceNo</t>
  </si>
  <si>
    <t>BillDtlStatus</t>
  </si>
  <si>
    <t>ReceiptNo</t>
  </si>
  <si>
    <t>ReceiptDate</t>
  </si>
  <si>
    <t>datetime</t>
  </si>
  <si>
    <t>billdtlPrvStatus</t>
  </si>
  <si>
    <t>InvAmt</t>
  </si>
  <si>
    <t>TranType</t>
  </si>
  <si>
    <t>InvDate</t>
  </si>
  <si>
    <t>Invoice Date</t>
  </si>
  <si>
    <t>CustRefNo</t>
  </si>
  <si>
    <t>Reference No.</t>
  </si>
  <si>
    <t>ReferenceNo1</t>
  </si>
  <si>
    <t>เลขที่เอกสารใบแทนใบกำกับภาษี</t>
  </si>
  <si>
    <t>('')</t>
  </si>
  <si>
    <t>BillPrefix</t>
  </si>
  <si>
    <t>BillSeqn</t>
  </si>
  <si>
    <t>CustCode</t>
  </si>
  <si>
    <t>BillDate</t>
  </si>
  <si>
    <t>BillStatus</t>
  </si>
  <si>
    <t>BillDesc</t>
  </si>
  <si>
    <t>billPrvStatus</t>
  </si>
  <si>
    <t>DisStatus</t>
  </si>
  <si>
    <t>CustName</t>
  </si>
  <si>
    <t>RcvDate</t>
  </si>
  <si>
    <t>BillAddr1</t>
  </si>
  <si>
    <t>Bill Address 1</t>
  </si>
  <si>
    <t>BillAddr2</t>
  </si>
  <si>
    <t>Bill Address2</t>
  </si>
  <si>
    <t>BillAddr3</t>
  </si>
  <si>
    <t>Bill Address3</t>
  </si>
  <si>
    <t>BillAddr4</t>
  </si>
  <si>
    <t>Bill Address4</t>
  </si>
  <si>
    <t>BillAddr5</t>
  </si>
  <si>
    <t>Bill Address5</t>
  </si>
  <si>
    <t>cRemark1</t>
  </si>
  <si>
    <t>Customer Remark1</t>
  </si>
  <si>
    <t>cRemark2</t>
  </si>
  <si>
    <t>Customer Remark2</t>
  </si>
  <si>
    <t>cRemark3</t>
  </si>
  <si>
    <t>Customer Remark3</t>
  </si>
  <si>
    <t>cRemark4</t>
  </si>
  <si>
    <t>Customer Remark4</t>
  </si>
  <si>
    <t>cBillAreaCode</t>
  </si>
  <si>
    <t>Bill AreaCode</t>
  </si>
  <si>
    <t>cBillAttachPO</t>
  </si>
  <si>
    <t>Bill Attach PO Flag</t>
  </si>
  <si>
    <t>UsePaymentSlip</t>
  </si>
  <si>
    <t>Use Payment Slip Flag</t>
  </si>
  <si>
    <t>cReptSaleID</t>
  </si>
  <si>
    <t>ReptSale ID</t>
  </si>
  <si>
    <t>BillMainZone</t>
  </si>
  <si>
    <t>Bill Main Zone</t>
  </si>
  <si>
    <t>ChqMainZone</t>
  </si>
  <si>
    <t>Cheque Main Zone</t>
  </si>
  <si>
    <t>ChqAreaCode</t>
  </si>
  <si>
    <t>Cheque Area Code</t>
  </si>
  <si>
    <t>BillToDeliverUserID</t>
  </si>
  <si>
    <t>CustOld</t>
  </si>
  <si>
    <t>DueDateType</t>
  </si>
  <si>
    <t>DCID</t>
  </si>
  <si>
    <t>ShipWithBill</t>
  </si>
  <si>
    <t>('No')</t>
  </si>
  <si>
    <t>VOUCHER NO.</t>
  </si>
  <si>
    <t>VchNo</t>
  </si>
  <si>
    <t>VchSeqn</t>
  </si>
  <si>
    <t>CUSTOMER CODE</t>
  </si>
  <si>
    <t>TranDate</t>
  </si>
  <si>
    <t>SettleReferenceNo</t>
  </si>
  <si>
    <t>SETTLED REFERENCE NO</t>
  </si>
  <si>
    <t>TRANSACTION TYPE</t>
  </si>
  <si>
    <t>TranStatus</t>
  </si>
  <si>
    <t>TRANSACTION STATUS</t>
  </si>
  <si>
    <t>SettleInvNo</t>
  </si>
  <si>
    <t>SETTLED INVOICE NO.</t>
  </si>
  <si>
    <t>ChequeNo</t>
  </si>
  <si>
    <t>CHEQUE NO.</t>
  </si>
  <si>
    <t>ChequeDate</t>
  </si>
  <si>
    <t>CHEQUE DATE</t>
  </si>
  <si>
    <t>ChequeCurAmt</t>
  </si>
  <si>
    <t>CHEQUE AMOUNT (RELATED TO CURRENCY CODE)</t>
  </si>
  <si>
    <t>((0))</t>
  </si>
  <si>
    <t>CurrCode</t>
  </si>
  <si>
    <t>ExRate</t>
  </si>
  <si>
    <t>ChequeAmt</t>
  </si>
  <si>
    <t>CHEQUE AMOUNT</t>
  </si>
  <si>
    <t>CashCurAmt</t>
  </si>
  <si>
    <t>CASH AMOUNT (RELATED TO CURRENCY CODE)</t>
  </si>
  <si>
    <t>CashAmt</t>
  </si>
  <si>
    <t>CASH AMOUNT</t>
  </si>
  <si>
    <t>MiscCurrAmt</t>
  </si>
  <si>
    <t>MISC AMOUNT (RELATED TO CURRENCY CODE)</t>
  </si>
  <si>
    <t>MiscAmt</t>
  </si>
  <si>
    <t>MISC AMOUNT</t>
  </si>
  <si>
    <t>OverPayment</t>
  </si>
  <si>
    <t>OVER PAYMENT AMOUNT</t>
  </si>
  <si>
    <t>BankCode</t>
  </si>
  <si>
    <t>BANK CODE</t>
  </si>
  <si>
    <t>BkChrgCurAmt</t>
  </si>
  <si>
    <t>BANK CHARGE AMOUNT (RELATED TO CURRENCY CODE)</t>
  </si>
  <si>
    <t>BkChrgBaseAmt</t>
  </si>
  <si>
    <t>BANK CHARGE AMOUNT</t>
  </si>
  <si>
    <t>BkCurrCode</t>
  </si>
  <si>
    <t>BANK CURRENCY CODE</t>
  </si>
  <si>
    <t>TranPrvStatus</t>
  </si>
  <si>
    <t>PREVIOUS TRANSACTION STATUS</t>
  </si>
  <si>
    <t>RefInvNo</t>
  </si>
  <si>
    <t>REFERENCE INVOICE NO.</t>
  </si>
  <si>
    <t>ChqPrn</t>
  </si>
  <si>
    <t>CHEQUE STATUS</t>
  </si>
  <si>
    <t>WHCurAmt</t>
  </si>
  <si>
    <t>WITH HOLDING TAX AMOUNT (RELATED TO CURRENCY CODE)</t>
  </si>
  <si>
    <t>NonDefinedAmt</t>
  </si>
  <si>
    <t>WITH HOLDING TAX AMOUNT</t>
  </si>
  <si>
    <t>ClearingNo</t>
  </si>
  <si>
    <t>OverpayDocNo</t>
  </si>
  <si>
    <t>OVER PAYMENT DOCUMENT NO.</t>
  </si>
  <si>
    <t>IS POST FLAG</t>
  </si>
  <si>
    <t>WHdate</t>
  </si>
  <si>
    <t>RemarkOFIN</t>
  </si>
  <si>
    <t>RedeemAmt</t>
  </si>
  <si>
    <t>มูลค่าของแต้ม</t>
  </si>
  <si>
    <t>SystemDate</t>
  </si>
  <si>
    <t>VatFlag</t>
  </si>
  <si>
    <t>VatRate</t>
  </si>
  <si>
    <t>TranCurAmt</t>
  </si>
  <si>
    <t>Currcode</t>
  </si>
  <si>
    <t>VatCurAmt</t>
  </si>
  <si>
    <t>TranAmt</t>
  </si>
  <si>
    <t>VatAmt</t>
  </si>
  <si>
    <t>SettledCurAmt</t>
  </si>
  <si>
    <t>SettledAmt</t>
  </si>
  <si>
    <t>LastSettledDate</t>
  </si>
  <si>
    <t>TranType1</t>
  </si>
  <si>
    <t>TranType2</t>
  </si>
  <si>
    <t>CreateOn</t>
  </si>
  <si>
    <t>UpdateBy</t>
  </si>
  <si>
    <t>REFERENCE NO.</t>
  </si>
  <si>
    <t>CUSTOMER ID</t>
  </si>
  <si>
    <t>TRANSACTION STATUS (A=Creat AR ,B=วางบิล , P=print , S=ตัดหนี้แล้ว )</t>
  </si>
  <si>
    <t>VAT FLAG</t>
  </si>
  <si>
    <t>VAT RATE</t>
  </si>
  <si>
    <t>money</t>
  </si>
  <si>
    <t>VAT AMOUNT (RELATED TO CURRENCY CODE)</t>
  </si>
  <si>
    <t>VAT AMOUNT</t>
  </si>
  <si>
    <t>RptSlipCurAmt</t>
  </si>
  <si>
    <t>SLIP AMOUNT (RELATED TO CURRENCY CODE)</t>
  </si>
  <si>
    <t>RptSlipAmt</t>
  </si>
  <si>
    <t>SLIP AMOUNT</t>
  </si>
  <si>
    <t>LastRptSlibDate</t>
  </si>
  <si>
    <t>LAST SLIP DATE</t>
  </si>
  <si>
    <t>SETTLED AMOUNT (RELATED TO CURRENCY CODE)</t>
  </si>
  <si>
    <t>SETTLED AMOUNT</t>
  </si>
  <si>
    <t>LAST SETTLED DATE</t>
  </si>
  <si>
    <t>DueDate</t>
  </si>
  <si>
    <t>DUE DATE</t>
  </si>
  <si>
    <t>JobNo</t>
  </si>
  <si>
    <t>VatDocNo</t>
  </si>
  <si>
    <t>VAT DOCUMENT NO.</t>
  </si>
  <si>
    <t>SalemanCode</t>
  </si>
  <si>
    <t>SALEMAN CODE</t>
  </si>
  <si>
    <t>TermCode</t>
  </si>
  <si>
    <t>TERM CODE</t>
  </si>
  <si>
    <t>Payterm</t>
  </si>
  <si>
    <t>TERM OF PAYMENT</t>
  </si>
  <si>
    <t>DEPARTMENT CODE</t>
  </si>
  <si>
    <t>Intgstat</t>
  </si>
  <si>
    <t>STATUS</t>
  </si>
  <si>
    <t>Glstat</t>
  </si>
  <si>
    <t>Custname</t>
  </si>
  <si>
    <t>CUSTOMER NAME</t>
  </si>
  <si>
    <t>SkipToDate</t>
  </si>
  <si>
    <t>SKIP TO DATE</t>
  </si>
  <si>
    <t>POST FLAG</t>
  </si>
  <si>
    <t>PaymentCode</t>
  </si>
  <si>
    <t>Payment Code</t>
  </si>
  <si>
    <t>Deliverfee</t>
  </si>
  <si>
    <t>ค่าขนส่ง (By Order, By Item)</t>
  </si>
  <si>
    <t>PaymentType</t>
  </si>
  <si>
    <t>VatInvNo</t>
  </si>
  <si>
    <t>VatDate</t>
  </si>
  <si>
    <t>VatType</t>
  </si>
  <si>
    <t>InvVATAmt</t>
  </si>
  <si>
    <t>numeric</t>
  </si>
  <si>
    <t>VATAmt</t>
  </si>
  <si>
    <t>PostStatus</t>
  </si>
  <si>
    <t>VatRemark</t>
  </si>
  <si>
    <t>Nature</t>
  </si>
  <si>
    <t>VATRate</t>
  </si>
  <si>
    <t>VchStatus</t>
  </si>
  <si>
    <t>DummStatus</t>
  </si>
  <si>
    <t>('N')</t>
  </si>
  <si>
    <t>ColCode</t>
  </si>
  <si>
    <t>รหัสการผิดพลาดจากการวางบิล - รับเช็ค</t>
  </si>
  <si>
    <t>ColDesc</t>
  </si>
  <si>
    <t>คำอธิบายรหัสการผิดพลาดจากการวางบิล - รับเช็ค</t>
  </si>
  <si>
    <t>ReasonType</t>
  </si>
  <si>
    <t>ประเภทของข้อมูล</t>
  </si>
  <si>
    <t>ReasonFrom</t>
  </si>
  <si>
    <t>ข้อมูลเกิดจากไหน</t>
  </si>
  <si>
    <t>ชื่อผู้สร้าง</t>
  </si>
  <si>
    <t>วันที่สร้าง</t>
  </si>
  <si>
    <t>ชื่อผู้แก้ไข ล่าสุด</t>
  </si>
  <si>
    <t>ReasonOf</t>
  </si>
  <si>
    <t>ใช้ระบุว่าใช้งานหรือไม่ในโปรแกรม Delivery Management</t>
  </si>
  <si>
    <t>รหัสพนังาน</t>
  </si>
  <si>
    <t>ePrefix</t>
  </si>
  <si>
    <t>คำนำหน้าชื่อ</t>
  </si>
  <si>
    <t>eName</t>
  </si>
  <si>
    <t>ชื่อภาษาไทย</t>
  </si>
  <si>
    <t>eEngName</t>
  </si>
  <si>
    <t>ชื่อภาษาอังกฤษ</t>
  </si>
  <si>
    <t>eSurname</t>
  </si>
  <si>
    <t>นามสกุลภาษาไทย</t>
  </si>
  <si>
    <t>eEngSurName</t>
  </si>
  <si>
    <t>นามสกุลภาษาอังกฤษ</t>
  </si>
  <si>
    <t>eSex</t>
  </si>
  <si>
    <t>เพศ (M:Male,F:Female)</t>
  </si>
  <si>
    <t>eStatus</t>
  </si>
  <si>
    <t>เลิกใช้งาน: สถานะพนักงานเพราะว่าถ้าลาออกแล้วจะลบทิ้งจากตารางนี้</t>
  </si>
  <si>
    <t>eDepartment</t>
  </si>
  <si>
    <t>รหัสฝ่าย</t>
  </si>
  <si>
    <t>eDivision</t>
  </si>
  <si>
    <t>ไม่ใช้แล้ว: รหัสฝ่าย</t>
  </si>
  <si>
    <t>eEMailInternal</t>
  </si>
  <si>
    <t>eEMailExternal</t>
  </si>
  <si>
    <t>ePosition</t>
  </si>
  <si>
    <t>ไม่ใช้แล้ว: ตำแหน่ง</t>
  </si>
  <si>
    <t>eManagerID</t>
  </si>
  <si>
    <t>ไม่ใช้แล้ว: รหัสผู้จัดการฝ่าย</t>
  </si>
  <si>
    <t>ePermanentEmp</t>
  </si>
  <si>
    <t>ไม่ใช้แล้ว:</t>
  </si>
  <si>
    <t>eTeleFlag</t>
  </si>
  <si>
    <t>Flag ว่าพนักงานนี้เป็น tele หรือไม่ (Y/N)</t>
  </si>
  <si>
    <t>eWorkStatus</t>
  </si>
  <si>
    <t>ไม่ใช้แล้ว: สถานะการทำงานของพนักงาน</t>
  </si>
  <si>
    <t>eAccessLevel</t>
  </si>
  <si>
    <t>ไม่ใช้แล้ว</t>
  </si>
  <si>
    <t>eEMailAddr</t>
  </si>
  <si>
    <t>e-mail address ภายใน</t>
  </si>
  <si>
    <t>ePassword</t>
  </si>
  <si>
    <t>รหัสผ่าน</t>
  </si>
  <si>
    <t>eEncryptPW</t>
  </si>
  <si>
    <t>รหัสผ่าน (ที่โดน Encrypt ไว้)</t>
  </si>
  <si>
    <t>eLevelID</t>
  </si>
  <si>
    <t>Level ของพนักงาน เพื่อเข้าใช้งานโปรแกรม</t>
  </si>
  <si>
    <t>ePCT</t>
  </si>
  <si>
    <t>OrderApproveLevel</t>
  </si>
  <si>
    <t>ระดับสิทธิ์ของ SO (TM, Sup TM, LG Adimin, TM Assist, TM Manager, TM Director, MK Manager, MK Director)</t>
  </si>
  <si>
    <t>รหัสผู้สร้าง Account</t>
  </si>
  <si>
    <t>วันที่สร้าง Account</t>
  </si>
  <si>
    <t>รหัสผู้แก้ไข Account ล่าสุด</t>
  </si>
  <si>
    <t>วันที่ทำการแก้ไข Account ล่าสุด</t>
  </si>
  <si>
    <t>EmpCRCID</t>
  </si>
  <si>
    <t>รหัสพนักงาน CRC</t>
  </si>
  <si>
    <t>FirstName</t>
  </si>
  <si>
    <t>ชื่อจริงพนักงานเทเล</t>
  </si>
  <si>
    <t>RemarkJobNo</t>
  </si>
  <si>
    <t>หมายเหตุเลขที่ Job ในการขอใช้สิทธิ์ต่างๆ</t>
  </si>
  <si>
    <t>StoreID</t>
  </si>
  <si>
    <t>รหัสสโตร์ของพนักงาน</t>
  </si>
  <si>
    <t>รหัส Category สินค้า</t>
  </si>
  <si>
    <t>pCatName</t>
  </si>
  <si>
    <t>ชื่อ Category สินค้าภาษาไทย</t>
  </si>
  <si>
    <t>pCatEName</t>
  </si>
  <si>
    <t>ชื่อ Category สินค้าภาษาอังกฤษ</t>
  </si>
  <si>
    <t>datetime2</t>
  </si>
  <si>
    <t>('1900-01-01 00:00:00.0000000')</t>
  </si>
  <si>
    <t>ชื่อผู้แก้ไข</t>
  </si>
  <si>
    <t>วันที่แก้ไข</t>
  </si>
  <si>
    <t>pCatOrder</t>
  </si>
  <si>
    <t>tinyint</t>
  </si>
  <si>
    <t>ยกเลิกใช้งาน : เรียงลำดับ Category</t>
  </si>
  <si>
    <t>pCatShortName</t>
  </si>
  <si>
    <t>ยกเลิกใช้งาน : ชื่อย่อของหมวดสินค้า</t>
  </si>
  <si>
    <t>CatType</t>
  </si>
  <si>
    <t>ยกเลิกใช้งาน : ประเภทหมวดหมู่ [O=Officemate, T=TrandyDay, C=Central]</t>
  </si>
  <si>
    <t>Status</t>
  </si>
  <si>
    <t>สถานะหมวดหมู่ [Active, Inactive, Delete]</t>
  </si>
  <si>
    <t>('Active')</t>
  </si>
  <si>
    <t>CreateByName</t>
  </si>
  <si>
    <t>ชื่อผู้สร้างข้อมูล</t>
  </si>
  <si>
    <t>UpdateByName</t>
  </si>
  <si>
    <t>ชื่อผู้แก้ไขข้อมูลล่าสุด</t>
  </si>
  <si>
    <t>รหัสหมวดหมู่ (มาจากระบบ PIM)</t>
  </si>
  <si>
    <t>รหัสจังหวัด</t>
  </si>
  <si>
    <t>ProvinceName</t>
  </si>
  <si>
    <t>ชื่อจังหวัด</t>
  </si>
  <si>
    <t>ProvinceEname</t>
  </si>
  <si>
    <t>ProvinceType</t>
  </si>
  <si>
    <t>ประเภทการส่งสินค้าตามจังหวัด มี 2 ประเภท (1=ทางบริษัทจัดส่งให้หรือลูกค้ารับสินค้าเอง , 2 = ผ่านขนส่ง)</t>
  </si>
  <si>
    <t>รหัส Category</t>
  </si>
  <si>
    <t>pSubCatID</t>
  </si>
  <si>
    <t>รหัส SubCategory</t>
  </si>
  <si>
    <t>pSubCatName</t>
  </si>
  <si>
    <t>ชื่อ SubCategory ภาษาไทย</t>
  </si>
  <si>
    <t>pSubCatEName</t>
  </si>
  <si>
    <t>ชื่อ SubCategory ภาษาอังกฤษ</t>
  </si>
  <si>
    <t>pSubCatDesc</t>
  </si>
  <si>
    <t>ยกเลิกใช้งาน : Description.คำบรรยายหมวดหมู่ย่อย</t>
  </si>
  <si>
    <t>รหัสผู้สร้างข้อมูล</t>
  </si>
  <si>
    <t>วันที่สร้างข้อมูล</t>
  </si>
  <si>
    <t>รหัสผู้แก้ไขข้อมูลล่าสุด</t>
  </si>
  <si>
    <t>วันที่แก้ไขข้อมูลล่าสุด</t>
  </si>
  <si>
    <t>ProductLine</t>
  </si>
  <si>
    <t>Product Line (แบ่งตามคนดูแลกลุ่มสินค้า)</t>
  </si>
  <si>
    <t>pSubCatShortName</t>
  </si>
  <si>
    <t>ยกเลิกใช้งาน : ชื่อย่อของหมวดหมู่ย่อย</t>
  </si>
  <si>
    <t>ZoneA</t>
  </si>
  <si>
    <t>เลิกใช้งาน : Charge Rate of ZoneA</t>
  </si>
  <si>
    <t>ZoneB</t>
  </si>
  <si>
    <t>เลิกใช้งาน : Charge Rate of ZoneB</t>
  </si>
  <si>
    <t>ZoneC</t>
  </si>
  <si>
    <t>เลิกใช้งาน : Charge Rate of ZoneC</t>
  </si>
  <si>
    <t>ZoneD</t>
  </si>
  <si>
    <t>เลิกใช้งาน : Charge Rate of ZoneD</t>
  </si>
  <si>
    <t>UNSPSC</t>
  </si>
  <si>
    <t>GPSC</t>
  </si>
  <si>
    <t>Keyword</t>
  </si>
  <si>
    <t>ยกเลิกใช้งาน : เก็บ Keyword ที่ใช้ค้นหาสินค้า</t>
  </si>
  <si>
    <t>KeyJoinProduct</t>
  </si>
  <si>
    <t>ยกเลิกใช้งาน : เก็บ Key สินค้าที่ใช้ร่วมกัน</t>
  </si>
  <si>
    <t>KeyRelateProduct</t>
  </si>
  <si>
    <t>ยกเลิกใช้งาน : เก็บ Key สินค้าที่สัมพันธ์กัน</t>
  </si>
  <si>
    <t>KeyReplaceProduct</t>
  </si>
  <si>
    <t>ยกเลิกใช้งาน : เก็บ Key สินค้าที่ทดแทนกัน</t>
  </si>
  <si>
    <t>CommissionRate</t>
  </si>
  <si>
    <t>Commission ของ SubcatID ที่กำหนด (%)</t>
  </si>
  <si>
    <t>GPStandard</t>
  </si>
  <si>
    <t>เป็น Magin มาตรฐานที่ทางการตลาดตั้งต้นให้ (Data มาจากทางการตลาดส่งมาให้ (update อนาคตทำผ่านโปรแกรม))</t>
  </si>
  <si>
    <t>รหัสประเภทการชำระเงิน</t>
  </si>
  <si>
    <t>sPaymentName</t>
  </si>
  <si>
    <t>ชื่อประเภทการชำระเงิน</t>
  </si>
  <si>
    <t>sPaymentDay</t>
  </si>
  <si>
    <t>จำนวนวันในการชำระเงินตามประเภทการชำระเงิน</t>
  </si>
  <si>
    <t>sPayMethod</t>
  </si>
  <si>
    <t>วิธีการชำระเงิน</t>
  </si>
  <si>
    <t>ชื่อผู้แก้ไขล่าสุด</t>
  </si>
  <si>
    <t>วันที่แก้ไขล่าสุด</t>
  </si>
  <si>
    <t>รหัส Supplier</t>
  </si>
  <si>
    <t>sSeqNo</t>
  </si>
  <si>
    <t>รหัส Seqno.</t>
  </si>
  <si>
    <t>sContactorName</t>
  </si>
  <si>
    <t>ชื่อผู้ที่ติดต่อ</t>
  </si>
  <si>
    <t>sPhoneNo</t>
  </si>
  <si>
    <t>หมายเลขโทรศัพท์</t>
  </si>
  <si>
    <t>sFaxNo</t>
  </si>
  <si>
    <t>หมายเลข Fax</t>
  </si>
  <si>
    <t>sPosition</t>
  </si>
  <si>
    <t>ตำแหน่ง</t>
  </si>
  <si>
    <t>sPhoneArea</t>
  </si>
  <si>
    <t>เบอร์พื้นที่</t>
  </si>
  <si>
    <t>sPhoneExt</t>
  </si>
  <si>
    <t>เบอร์ต่อ</t>
  </si>
  <si>
    <t>sPhoneOth</t>
  </si>
  <si>
    <t>เบอร์อื่นๆ</t>
  </si>
  <si>
    <t>sFaxArea</t>
  </si>
  <si>
    <t>เบอร์พื้นที่ แฟกซ์</t>
  </si>
  <si>
    <t>sFaxExt</t>
  </si>
  <si>
    <t>เบอร์ต่อแฟกซ์</t>
  </si>
  <si>
    <t>sFaxOth</t>
  </si>
  <si>
    <t>เบอร์แฟกซ์อื่นๆ</t>
  </si>
  <si>
    <t>sMobileNo</t>
  </si>
  <si>
    <t>เบอร์มือถือ</t>
  </si>
  <si>
    <t>sEmail</t>
  </si>
  <si>
    <t>อีเมล์</t>
  </si>
  <si>
    <t>หมายเหตุ</t>
  </si>
  <si>
    <t>sTitleID</t>
  </si>
  <si>
    <t>รหัสคำนำหน้า/ต่อท้าย ของบริษัท</t>
  </si>
  <si>
    <t>sLocalName</t>
  </si>
  <si>
    <t>ชื่อ Supplier</t>
  </si>
  <si>
    <t>sEngName</t>
  </si>
  <si>
    <t>ชื่อ Supplier ภาษาอังกฤษ</t>
  </si>
  <si>
    <t>sSuffixID</t>
  </si>
  <si>
    <t>เลิกใช้งาน : คำต่อท้ายบริษัท</t>
  </si>
  <si>
    <t>sDiscountRate1</t>
  </si>
  <si>
    <t>ส่วนลดในการซื้อ1</t>
  </si>
  <si>
    <t>sDiscountRate2</t>
  </si>
  <si>
    <t>ส่วนลดในการซื้อ2</t>
  </si>
  <si>
    <t>sDiscountRate3</t>
  </si>
  <si>
    <t>ส่วนลดในการซื้อ3</t>
  </si>
  <si>
    <t>sAddrNo</t>
  </si>
  <si>
    <t>ที่อยู่</t>
  </si>
  <si>
    <t>sAddrFloor</t>
  </si>
  <si>
    <t>หมายเลขชั้น ที่อยู่</t>
  </si>
  <si>
    <t>sAddrBuilding</t>
  </si>
  <si>
    <t>ชื่ออาคารที่อยู่</t>
  </si>
  <si>
    <t>sAddrVillage</t>
  </si>
  <si>
    <t>หมู่บ้านที่อยู่</t>
  </si>
  <si>
    <t>sAddrSoi</t>
  </si>
  <si>
    <t>ซอยที่อยู่</t>
  </si>
  <si>
    <t>sAddrRoad</t>
  </si>
  <si>
    <t>ถนนที่อยู่</t>
  </si>
  <si>
    <t>sAddrTumbon</t>
  </si>
  <si>
    <t>ตำบลที่อยู่</t>
  </si>
  <si>
    <t>sAddrAmphur</t>
  </si>
  <si>
    <t>อำเภอ</t>
  </si>
  <si>
    <t>sAddrProvince</t>
  </si>
  <si>
    <t>ชื่อย่อจังหวัด เช่น กท,สป,สส</t>
  </si>
  <si>
    <t>sAddrZipCode</t>
  </si>
  <si>
    <t>รหัสไปรษณีย์</t>
  </si>
  <si>
    <t>sInvAddr1</t>
  </si>
  <si>
    <t>ชื่อ-ที่อยู่ Supplier</t>
  </si>
  <si>
    <t>sInvAddr2</t>
  </si>
  <si>
    <t>ที่อยู่ Supplier 2</t>
  </si>
  <si>
    <t>sInvAddr3</t>
  </si>
  <si>
    <t>ที่อยู่ Supplier 3</t>
  </si>
  <si>
    <t>sInvAddr4</t>
  </si>
  <si>
    <t>ที่อยู่Supplier 4</t>
  </si>
  <si>
    <t>sInvAddr5</t>
  </si>
  <si>
    <t>ที่อยู่Supplier 5</t>
  </si>
  <si>
    <t>หมายเลขพื้นที่</t>
  </si>
  <si>
    <t>sPhoneRefNo</t>
  </si>
  <si>
    <t>เบอร์โทรติดต่อ</t>
  </si>
  <si>
    <t>หมายเลขต่อ</t>
  </si>
  <si>
    <t>หมายเลขพื้นที่สำหรับเบอร์ Fax</t>
  </si>
  <si>
    <t>sFaxComm</t>
  </si>
  <si>
    <t>เบอร์ Fax</t>
  </si>
  <si>
    <t>เบอร์ต่อ Fax</t>
  </si>
  <si>
    <t>sEMailAddr</t>
  </si>
  <si>
    <t>E-Mail</t>
  </si>
  <si>
    <t>sAuthName</t>
  </si>
  <si>
    <t>ชื่อผู้มีอำนาจสั่งการ</t>
  </si>
  <si>
    <t>sAuthPosition</t>
  </si>
  <si>
    <t>ตำแหน่งของผู้มีอำนาจสั่งการ</t>
  </si>
  <si>
    <t>sAuthComm</t>
  </si>
  <si>
    <t>เลิกใช้งาน</t>
  </si>
  <si>
    <t>sSuppGrpID</t>
  </si>
  <si>
    <t>กลุ่มของ Supplier</t>
  </si>
  <si>
    <t>sBusinessTypeID</t>
  </si>
  <si>
    <t>รหัสกลุ่มประเภทธุรกิจ</t>
  </si>
  <si>
    <t>sTaxID</t>
  </si>
  <si>
    <t>รหัสประจำตัวของผู้เสียภาษี</t>
  </si>
  <si>
    <t>sFirstSaleDate</t>
  </si>
  <si>
    <t>เลิกใช้งาน : วันที่ทำการขายครั้งแรก</t>
  </si>
  <si>
    <t>sLastSaleDate</t>
  </si>
  <si>
    <t>เลิกใช้งาน : วันที่ทำการขายครั้งล่าสุด</t>
  </si>
  <si>
    <t>sManageID</t>
  </si>
  <si>
    <t>รหัสประจำตัวผู้จัดการ</t>
  </si>
  <si>
    <t>sAuthFax</t>
  </si>
  <si>
    <t>เบอร์แฟกซ์ของผู้มีอำนาจสั่งการ</t>
  </si>
  <si>
    <t>sAuthPhone</t>
  </si>
  <si>
    <t>เบอร์โทรศัพท์ของผู้มีอำนาจสั่งการ</t>
  </si>
  <si>
    <t>LeadTime</t>
  </si>
  <si>
    <t>smallint</t>
  </si>
  <si>
    <t>LeadTime ของ Supplier</t>
  </si>
  <si>
    <t>sTitleName</t>
  </si>
  <si>
    <t>คำนำหน้าชื่อองค์กร</t>
  </si>
  <si>
    <t>sSuffixName</t>
  </si>
  <si>
    <t>คำลงท้ายชื่อองค์กร</t>
  </si>
  <si>
    <t>sPhoneNo1</t>
  </si>
  <si>
    <t>เบอร์โทรติดต่อที่ 1</t>
  </si>
  <si>
    <t>sPhoneNo2</t>
  </si>
  <si>
    <t>เบอร์โทรติดต่อที่ 2</t>
  </si>
  <si>
    <t>sWebsite</t>
  </si>
  <si>
    <t>Website บริษัท</t>
  </si>
  <si>
    <t>sLoadAddr1</t>
  </si>
  <si>
    <t>ที่อยู่ที่เก็บสินค้าที่ 1</t>
  </si>
  <si>
    <t>sLoadAddr2</t>
  </si>
  <si>
    <t>ที่อยู่ที่เก็บสินค้าที่ 2</t>
  </si>
  <si>
    <t>sLoadAddr3</t>
  </si>
  <si>
    <t>ที่อยู่ที่เก็บสินค้าที่ 3</t>
  </si>
  <si>
    <t>sLoadAddr4</t>
  </si>
  <si>
    <t>ที่อยู่ที่เก็บสินค้าที่ 4</t>
  </si>
  <si>
    <t>sLoadZipcode</t>
  </si>
  <si>
    <t>รหัสไปรษณีย์ที่อยู่ที่เก็บสินค้า</t>
  </si>
  <si>
    <t>sLoadPhoneNo1</t>
  </si>
  <si>
    <t>เบอร์โทรติดต่อที่ 1 ของที่อยู่ที่เก็บสินค้า</t>
  </si>
  <si>
    <t>sLoadPhoneNo2</t>
  </si>
  <si>
    <t>เบอร์โทรติดต่อที่ 2 ของที่อยู่ที่เก็บสินค้า</t>
  </si>
  <si>
    <t>sLoadFaxNo</t>
  </si>
  <si>
    <t>เบอร์แฟกซ์ของที่อยู่ที่เก็บสินค้า</t>
  </si>
  <si>
    <t>sAuthPhoneExt</t>
  </si>
  <si>
    <t>เบอร์โทรต่อของผู้มีอำนาจสั่งการ</t>
  </si>
  <si>
    <t>sAuthEMailAddr</t>
  </si>
  <si>
    <t>E-mail ของผู้มีอำนาจสั่งการ</t>
  </si>
  <si>
    <t>sRefType</t>
  </si>
  <si>
    <t>ประเภทการจดทะเบียนธุรกิจ (T=นิติบุคคล,C=บุคคลธรรมดา)</t>
  </si>
  <si>
    <t>MinOrder</t>
  </si>
  <si>
    <t>Country</t>
  </si>
  <si>
    <t>เก็บข้อมูลประเทศที่ supplier ประกอบการ</t>
  </si>
  <si>
    <t>เก็บข้อมูลสกุลเงิน</t>
  </si>
  <si>
    <t>CreditLimit</t>
  </si>
  <si>
    <t>วงเงินในการสั่งซื้อ</t>
  </si>
  <si>
    <t>BankGuaranteeAmt</t>
  </si>
  <si>
    <t>วงเงินที่ธนาคารอนุมติให้เครดิต</t>
  </si>
  <si>
    <t>BankGuaranteeExpDate</t>
  </si>
  <si>
    <t>วันหมดอายุที่ธนาคารอนุมติวงเงินให้เครดิต</t>
  </si>
  <si>
    <t>BankGuaranteeRemark</t>
  </si>
  <si>
    <t>หมายเหตุที่ธนาคารอนุมติวงเงินให้เครดิต</t>
  </si>
  <si>
    <t>APTranControlActCode</t>
  </si>
  <si>
    <t>รหัสบัญชีเจ้าหนี้</t>
  </si>
  <si>
    <t>APTranControlNature</t>
  </si>
  <si>
    <t>รหัสบัญชีเจ้าหนี้เป็น Debit หรือ Credit</t>
  </si>
  <si>
    <t>LockStatus</t>
  </si>
  <si>
    <t>Flag Lock (Y/N) Lock ไม่ให้ทำ Voucher ใดๆ ในระบบบัญชีได้</t>
  </si>
  <si>
    <t>LockReason</t>
  </si>
  <si>
    <t>เหตุผลในการ lock</t>
  </si>
  <si>
    <t>AltPayee</t>
  </si>
  <si>
    <t>ชื่อในการออกเช็ค ในกรณีไม่ได้ออกเช็คตามชื่อบริษัท</t>
  </si>
  <si>
    <t>sStatus</t>
  </si>
  <si>
    <t>สถานะของ supplier</t>
  </si>
  <si>
    <t>spaymenttype</t>
  </si>
  <si>
    <t>รหัสรูปแบบการชำระเงินของ Supplier</t>
  </si>
  <si>
    <t>เบอร์โทรอื่นๆ</t>
  </si>
  <si>
    <t>sVatRate</t>
  </si>
  <si>
    <t>รูปแบบการเสียภาษี</t>
  </si>
  <si>
    <t>BankName</t>
  </si>
  <si>
    <t>ชื่อธนาคาร</t>
  </si>
  <si>
    <t>BankAcct</t>
  </si>
  <si>
    <t>เลขที่บัญชี</t>
  </si>
  <si>
    <t>BankAcctType</t>
  </si>
  <si>
    <t>ประเภทบัญชี</t>
  </si>
  <si>
    <t>CreditRemark</t>
  </si>
  <si>
    <t>หมายเหตุการชำระเงิน</t>
  </si>
  <si>
    <t>POAmt</t>
  </si>
  <si>
    <t>มูลค่าเปิดใบสั่งซื้อ</t>
  </si>
  <si>
    <t>Prepaid</t>
  </si>
  <si>
    <t>เงินมัดจำ</t>
  </si>
  <si>
    <t>ReturnCriteria</t>
  </si>
  <si>
    <t>การเปลี่ยนคืนสินค้า</t>
  </si>
  <si>
    <t>DeliveryLocation</t>
  </si>
  <si>
    <t>การส่งสินค้า</t>
  </si>
  <si>
    <t>Rebate</t>
  </si>
  <si>
    <t>Rebate (Y = มี Rebate, N= ไมมี Rebate)</t>
  </si>
  <si>
    <t>RebateRemark</t>
  </si>
  <si>
    <t>หมายเหตุ Rebate</t>
  </si>
  <si>
    <t>DeliveryLocationRemark</t>
  </si>
  <si>
    <t>หมายเหตุการส่งสินค้า</t>
  </si>
  <si>
    <t>ReturnCriteriaRemark</t>
  </si>
  <si>
    <t>หมายเหตุการเปลี่ยนคืนสินค้า</t>
  </si>
  <si>
    <t>ConsignmentFlag</t>
  </si>
  <si>
    <t>Flag ฝากขายหรือไม่ Y=ฝากขาย , N=ไม่ฝากขาย</t>
  </si>
  <si>
    <t>sSupplierIDOD</t>
  </si>
  <si>
    <t>BankAccountName</t>
  </si>
  <si>
    <t>ชื่อบัญชีธนาคาร</t>
  </si>
  <si>
    <t>BranchID</t>
  </si>
  <si>
    <t>รหัสสาขาของ Supplier</t>
  </si>
  <si>
    <t>IsImport</t>
  </si>
  <si>
    <t>Flag ดูว่าเป็น Vendor ต่างประเทศหรีอไม่</t>
  </si>
  <si>
    <t>sSupplierIDB2S</t>
  </si>
  <si>
    <t>รหัส Supplier B2S</t>
  </si>
  <si>
    <t>ActEngName</t>
  </si>
  <si>
    <t>ACCOUNT ENGLISH NAME</t>
  </si>
  <si>
    <t>ActLocalName</t>
  </si>
  <si>
    <t>ACCOUNT LOCAL NAME</t>
  </si>
  <si>
    <t>ActCatg</t>
  </si>
  <si>
    <t>ActType</t>
  </si>
  <si>
    <t>ACCOUNT FLAG (B : BANK, C : CASH, E : ENDING STOCK, G : GRAND TOTAL, I : INVENTORY, L : PROFIT AND LOST ** SPECAIL ACCOUNT, N : OPEN STOCK, P : POSTING, R : RETAIN EARNING ** CANNOT POST, T : TOTAL ACCOUNT, V : VAT)</t>
  </si>
  <si>
    <t>Oppositecode</t>
  </si>
  <si>
    <t>OPPOSITE CODE ; UNUSED</t>
  </si>
  <si>
    <t>ARALLOWFLAG</t>
  </si>
  <si>
    <t>ALLOW FLGA FOR AR SYSTEM</t>
  </si>
  <si>
    <t>APALLOWFLAG</t>
  </si>
  <si>
    <t>ALLOW FLGA FOR AP SYSTEM</t>
  </si>
  <si>
    <t>GLALLOWFLAG</t>
  </si>
  <si>
    <t>ALLOW FLGA FOR GL SYSTEM</t>
  </si>
  <si>
    <t>ACTCATEGORY</t>
  </si>
  <si>
    <t>ACCOUNT GROUP</t>
  </si>
  <si>
    <t>IsRequireJob</t>
  </si>
  <si>
    <t>OFinActCode</t>
  </si>
  <si>
    <t>('A')</t>
  </si>
  <si>
    <t>Actcode</t>
  </si>
  <si>
    <t>OFINForCPCID</t>
  </si>
  <si>
    <t>OFinForSubAct</t>
  </si>
  <si>
    <t>OFINForCFS</t>
  </si>
  <si>
    <t>OFINType</t>
  </si>
  <si>
    <t>DocType</t>
  </si>
  <si>
    <t>ActOFMName</t>
  </si>
  <si>
    <t>ActOFINName</t>
  </si>
  <si>
    <t>OwnerAccount</t>
  </si>
  <si>
    <t>ประเภท Job [StockTake,CycleCount]</t>
  </si>
  <si>
    <t>DptEngDesc</t>
  </si>
  <si>
    <t>DEPARTMENT ENGLISH DESCRIPTION</t>
  </si>
  <si>
    <t>DptLocalDesc</t>
  </si>
  <si>
    <t>DEPARTMENT LOCAL DESCRIPTION</t>
  </si>
  <si>
    <t>DptAddress1</t>
  </si>
  <si>
    <t>DEPARTMENT ADDRESS</t>
  </si>
  <si>
    <t>DptAddress2</t>
  </si>
  <si>
    <t>InClosing</t>
  </si>
  <si>
    <t>IN CLOSING ; UNUSED</t>
  </si>
  <si>
    <t>DPTTYPE</t>
  </si>
  <si>
    <t>DEPARTMENT TYPE</t>
  </si>
  <si>
    <t>DPTSTATUS</t>
  </si>
  <si>
    <t>DEPARTMENT STATUS (A : ACTIVE, I : INACTIVE)</t>
  </si>
  <si>
    <t>VOUCHER CODE</t>
  </si>
  <si>
    <t>VchEngDesc</t>
  </si>
  <si>
    <t>ENGLISH DESCRIPTION</t>
  </si>
  <si>
    <t>VchLocalDesc</t>
  </si>
  <si>
    <t>LOCAL DESCRIPTION</t>
  </si>
  <si>
    <t>VchAuto</t>
  </si>
  <si>
    <t>AUTO FLAG</t>
  </si>
  <si>
    <t>VchClass</t>
  </si>
  <si>
    <t>CLASS</t>
  </si>
  <si>
    <t>หมายเลขเอกสาร(Transaction ID)</t>
  </si>
  <si>
    <t>ลำดับที่ของสินค้า</t>
  </si>
  <si>
    <t>รหัสสินค้า</t>
  </si>
  <si>
    <t>productName</t>
  </si>
  <si>
    <t>ชื่อสินค้า</t>
  </si>
  <si>
    <t>LocationID</t>
  </si>
  <si>
    <t>Location ที่รับสินค้าเข้า เป็น Picking Location ของสินค้ารหัสนี้ในวันที่เรารับของ (ซึ่งอาจจะไม่ตรงกับ PO)</t>
  </si>
  <si>
    <t>Quantity</t>
  </si>
  <si>
    <t>จำนวนสินค้าที่อยู่ในเอกสาร</t>
  </si>
  <si>
    <t>UnitPrice</t>
  </si>
  <si>
    <t>ราคาสินค้าที่อยู่ในเอกสาร</t>
  </si>
  <si>
    <t>Unit</t>
  </si>
  <si>
    <t>หน่วยสินค้าที่อยู่ในเอกสาร</t>
  </si>
  <si>
    <t>BaseUnit</t>
  </si>
  <si>
    <t>หน่วยสินค้ามาตราฐาน</t>
  </si>
  <si>
    <t>ConvFactor</t>
  </si>
  <si>
    <t>ตัวคูณแปลงหน่วย</t>
  </si>
  <si>
    <t>BaseQty</t>
  </si>
  <si>
    <t>จำนวนสินค้าในหน่วยมาตราฐาน</t>
  </si>
  <si>
    <t>AvgCost</t>
  </si>
  <si>
    <t>ค่าเฉลี่ยของราคาต่อหน่วย</t>
  </si>
  <si>
    <t>วันที่สร้า้ง</t>
  </si>
  <si>
    <t>วันที่แก้ไข ล่าสุด</t>
  </si>
  <si>
    <t>IsStockMove</t>
  </si>
  <si>
    <t>กำหนดเป็นสินค้าที่มีการตัด Stock ( Y=ตัด Stock ,N=ไม่ตัด Stock )</t>
  </si>
  <si>
    <t>IsShowOnDoc</t>
  </si>
  <si>
    <t>กำหนดให้แสดงบนเอกสาร ( Y=แสดง ,N = ไม่แสดง)</t>
  </si>
  <si>
    <t>LocationRUID</t>
  </si>
  <si>
    <t>Location ที่รับสินค้าประเภท RU</t>
  </si>
  <si>
    <t>TrnDate</t>
  </si>
  <si>
    <t>วันที่เอกสาร (ใช้วันจากTDSystem + เวลาจริงๆ)</t>
  </si>
  <si>
    <t>TrnType</t>
  </si>
  <si>
    <t>ประเภทเอกสาร[AD=Add Qty(not change cost),AQ=เพิ่ม/ลดQty &amp; cost,SR=Sale return,IU=Internal Use,TR=Transfer Reverse,ST=Stock Taking,TS=Transfer many pID to one pID,AJ=Adjust Amt,RU=Rent Use(RentQty+pReserve),RR=Rent Use(del RentQty,pReserve),DU=Damage Use]</t>
  </si>
  <si>
    <t>TrnFg</t>
  </si>
  <si>
    <t>ใช้เก็บประเภทเอกสารของเอกสาร RU ( 1=ยืม , 2=ซ่อม , 3= ตัวอย่าง 0= 0 = เป็นการ insert รายการนี้จากเอกสารอื่น ที่ไม่ใช่ RU )</t>
  </si>
  <si>
    <t>DocNo</t>
  </si>
  <si>
    <t>หมายเลขเอกสาร</t>
  </si>
  <si>
    <t>OwnerFg</t>
  </si>
  <si>
    <t>Flag บอกว่าข้อมูลช่อง CustID เป็นอะไร ( 0= ลูกค้า , 1= Supplier , 2= พนักงาน )</t>
  </si>
  <si>
    <t>CustID</t>
  </si>
  <si>
    <t>รหัสของลูกค้า/supplier/พนักงาน ขึ้นอยู่กับ OwnerFg</t>
  </si>
  <si>
    <t>ชื่อลูกค้า/supplier/พนักงาน ขึ้นอยู่กับ OwnerFg</t>
  </si>
  <si>
    <t>ApproveID</t>
  </si>
  <si>
    <t>รหัสผู้ Approve</t>
  </si>
  <si>
    <t>RentDate</t>
  </si>
  <si>
    <t>วันที่ยืม (เฉพาะใบคืนยืม)</t>
  </si>
  <si>
    <t>ReturnDate</t>
  </si>
  <si>
    <t>วันที่กำหนดจะคืน (เฉพาะใบยืม)</t>
  </si>
  <si>
    <t>ActualRetDate</t>
  </si>
  <si>
    <t>วันที่คืนจริง (เฉพาะใบยืม)</t>
  </si>
  <si>
    <t>AQfg</t>
  </si>
  <si>
    <t>รหัสหมายเหตุของเอกสารทาง Stock</t>
  </si>
  <si>
    <t>เก็บ Remark ของเอกสาร IC</t>
  </si>
  <si>
    <t>สถานะเอกสาร กรณี SR (A=Active, P=Print ; F=Confirm ไปการคืนและไปเป็น CN แล้ว ; U=ใช้ตอนเก่าๆ เดียวนี้ไม่ไดใช้งานแล้ว ;D=Delete)</t>
  </si>
  <si>
    <t>Comment</t>
  </si>
  <si>
    <t>หมายเหตุการจัดการ Stock</t>
  </si>
  <si>
    <t>คลังสินค้า (1:คลังสินค้าออฟฟิศเมท (หนองจอก),3:คลังสินค้าบางนา,4:คลังสินค้า เวอร์จิ้น,5:คลังสินค้าสุวินทวงค์)</t>
  </si>
  <si>
    <t>('5')</t>
  </si>
  <si>
    <t>หมายเลขใบรับสินค้า (PV)</t>
  </si>
  <si>
    <t>productName1</t>
  </si>
  <si>
    <t>จำนวนสินค้ารับเข้าในหน่วยซื้อ</t>
  </si>
  <si>
    <t>ราคาสินค้าในหน่วยซื้อเข้า (หักส่วนลดรายบรรทัดที่มีอยู่ใน PO แล้ว)</t>
  </si>
  <si>
    <t>PurUnit</t>
  </si>
  <si>
    <t>หน่วยสินค้าซื้อเข้า</t>
  </si>
  <si>
    <t>Ratio ของหน่วยมาตราฐานกับหน่วยที่สั่งซื้อ</t>
  </si>
  <si>
    <t>จำนวนสินค้าที่สั่งซื้อ ในหน่วยมาตราฐาน</t>
  </si>
  <si>
    <t>DiscRate</t>
  </si>
  <si>
    <t>DiscAmt</t>
  </si>
  <si>
    <t>TotAmt</t>
  </si>
  <si>
    <t>มูลค่าสินค้ารวมของบรรทัดนี้</t>
  </si>
  <si>
    <t>รหัสผู้สร้างใบรับสินค้า</t>
  </si>
  <si>
    <t>วันที่สร้างใบรับสินค้า</t>
  </si>
  <si>
    <t>ชื่อผู้แก้ไขหมายเลขใบรับสินค้า ล่าสุด</t>
  </si>
  <si>
    <t>วันที่แก้ไขหมายเลขใบรับสินค้า ล่าสุด</t>
  </si>
  <si>
    <t>AdditionalAmt</t>
  </si>
  <si>
    <t>ยอดเงิน Addition กรณียอดท้ายบิลที่โปรแกรมคำนวณ ไม่เท่ากับยอดท้ายบิลบนเอกสารที่มาจาก Vendor (RefAmt) ระบบจะทำการปัดส่วนที่ Diff ทั้งหมดเข้าสินค้าบรรทัดที่มีมูลค่ามากที่สุดใน ใบรับนั้น</t>
  </si>
  <si>
    <t>IsMove</t>
  </si>
  <si>
    <t>ทำการสร้างเอกสาร Movement แล้ว</t>
  </si>
  <si>
    <t>IsVat</t>
  </si>
  <si>
    <t>สินค้าคิด Vat (Yes=คิด,No=ไม่คิด)</t>
  </si>
  <si>
    <t>StockChannelReserveID</t>
  </si>
  <si>
    <t>เก็บ ChannelID ของสินค้าที่ต้องไปทำการ Reserve:[99:ไม่มี Channel,18:Center,19:Global]</t>
  </si>
  <si>
    <t>('0')</t>
  </si>
  <si>
    <t>วันที่ทำใบรับ (วันที่รับสินค้า)</t>
  </si>
  <si>
    <t>ประเภทใบรับ PO = การรับสินค้า PR = การส่งสินค้าคืน Vendor</t>
  </si>
  <si>
    <t>หมายเลขใบสั่งซื้อ (PO)</t>
  </si>
  <si>
    <t>SupplierID</t>
  </si>
  <si>
    <t>รหัส Supplier/Vendor</t>
  </si>
  <si>
    <t>หมายเหตุใบรับสินค้า</t>
  </si>
  <si>
    <t>RefNo</t>
  </si>
  <si>
    <t>หมายเลขใบกำกับภาษีของ INV หรือ CN ของ Vendor</t>
  </si>
  <si>
    <t>RefDate</t>
  </si>
  <si>
    <t>วันที่บนเอกสารใบกำกับภาษี</t>
  </si>
  <si>
    <t>RefNetAmt</t>
  </si>
  <si>
    <t>ยอดเงินบนใบกำกับภาษีก่อน Vat</t>
  </si>
  <si>
    <t>((0.00))</t>
  </si>
  <si>
    <t>RefVatAmt</t>
  </si>
  <si>
    <t>ยอดเงิน Vat บนใบกำกับภาษี</t>
  </si>
  <si>
    <t>RefTotAmt</t>
  </si>
  <si>
    <t>ยอดเงินรวม Vat บนใบกำกับภาษี</t>
  </si>
  <si>
    <t>RefFulfill</t>
  </si>
  <si>
    <t>Flag คุมเติมเต็มสินค้า (Y=Yes ,N=No)</t>
  </si>
  <si>
    <t>DiscRate1</t>
  </si>
  <si>
    <t>Discount Rate ท้ายบิล ที่ 1</t>
  </si>
  <si>
    <t>DiscAmt1</t>
  </si>
  <si>
    <t>ยอดเงินที่ลด จาก Discount Rate ที่ 1</t>
  </si>
  <si>
    <t>DiscRate2</t>
  </si>
  <si>
    <t>Discount Rate ท้ายบิล ที่ 2</t>
  </si>
  <si>
    <t>DiscAmt2</t>
  </si>
  <si>
    <t>ยอดเงินที่ลด จาก Discount Rate ที่ 2</t>
  </si>
  <si>
    <t>DiscRate3</t>
  </si>
  <si>
    <t>Discount Rate ท้ายบิล ที่ 3</t>
  </si>
  <si>
    <t>DiscAmt3</t>
  </si>
  <si>
    <t>ยอดเงินที่ลด จาก Discount Rate ที่ 3</t>
  </si>
  <si>
    <t>ยอดเงินรวมทั้งหมด ที่ยังไม่หัก Discount 1,2,3 ที่ท้ายบิล</t>
  </si>
  <si>
    <t>NetAmt</t>
  </si>
  <si>
    <t>ยอดเงินรวมที่หัก Discount ท้ายบิล 1,2,3 แล้ว ก่อน Vat</t>
  </si>
  <si>
    <t>ยอดเงิน Vat</t>
  </si>
  <si>
    <t>Vat</t>
  </si>
  <si>
    <t>Vat Rate</t>
  </si>
  <si>
    <t>Flag สถานะของใบรับ (P=print ,U=Transfer To AP,D=Delete)</t>
  </si>
  <si>
    <t>ProgType</t>
  </si>
  <si>
    <t>&lt;จะเลิกใช้&gt; ประเภทใบ PO สำหรับใช้ในการคำนวณต้นทุนให้ใบสั่งซื้อกับใบรับสินค้าใกล้กันที่สุด ค่า 1/2/3 ใช้ในโปรแกรมเก่าของพี่หม่อง ตอนนี้ใส่เป็น 4 ให้หมด</t>
  </si>
  <si>
    <t>SupplierName</t>
  </si>
  <si>
    <t>ชื่อ Supplier/Vendor</t>
  </si>
  <si>
    <t>รหัสประเภทการจ่ายเงิน</t>
  </si>
  <si>
    <t>DefaultLocationID</t>
  </si>
  <si>
    <t>จุดรับสินค้า</t>
  </si>
  <si>
    <t>IsMove_Drop</t>
  </si>
  <si>
    <t>สถานะการย้ายสินค้าจาก จุด Receive ไปยัง Location (N= Not Move ,Y=MOve)</t>
  </si>
  <si>
    <t>deleteremark</t>
  </si>
  <si>
    <t>เก็บ remark การยกเลิกใบรับสินค้า</t>
  </si>
  <si>
    <t>TaxRunningNo</t>
  </si>
  <si>
    <t>เก็บ Tax Running ของ Invoice ถ้ามีค่า Vat ให้ Running โดยใช้ yymm ตามด้วย type ของเอกสาร และ running 5 ตัว (1 คือ เอกสารซื้อ / 3 คือ เอกสารคืน)</t>
  </si>
  <si>
    <t>IsMoveFinish</t>
  </si>
  <si>
    <t>สถานะการยืนยันการรับสินค้าเข้า Location สำเร็จ</t>
  </si>
  <si>
    <t>รหัสคลังสินค้า</t>
  </si>
  <si>
    <t>VatProdNetAmt</t>
  </si>
  <si>
    <t>Net Amount of Vat Product (ยอดสินค้าที่คิด Vat)</t>
  </si>
  <si>
    <t>NonVatProdNetAmt</t>
  </si>
  <si>
    <t>Net Amount of Non Vat Product (ยอดสินค้าที่ยกเว้น Vat)</t>
  </si>
  <si>
    <t>SourcePV</t>
  </si>
  <si>
    <t>เป็น PV ของ การสั่งซื้อสินค้าของ บริษัทไหน (OFM ,CENTRAL)</t>
  </si>
  <si>
    <t>DeleteNetAmt</t>
  </si>
  <si>
    <t>เก็บยอด Cost เวลาลบเอกสาร PC,PV,PR</t>
  </si>
  <si>
    <t>SubWHID</t>
  </si>
  <si>
    <t>Seq</t>
  </si>
  <si>
    <t>ลำดับที่ใน Drop down list ใน Oasys</t>
  </si>
  <si>
    <t>Abbreviation</t>
  </si>
  <si>
    <t>ตัวย่อของ Account</t>
  </si>
  <si>
    <t>รหัส Account ที่อ้างถึงตาราง GLActMst</t>
  </si>
  <si>
    <t>AccountType</t>
  </si>
  <si>
    <t>ประเภทบัญชี (CA=บัญชีกระแสรายวัน ,SA=บัญชีออมทรัพย์ )</t>
  </si>
  <si>
    <t>สถานะ (Active = ใช้งาน,Delete = ไม่ใช้งานแล้ว)</t>
  </si>
  <si>
    <t>รหัสผู้สร้าง</t>
  </si>
  <si>
    <t>วันและเวลาที่สร้าง</t>
  </si>
  <si>
    <t>(getdate())</t>
  </si>
  <si>
    <t>รหัสผู้แก้ไข</t>
  </si>
  <si>
    <t>วันและเวลาที่แก้ไข</t>
  </si>
  <si>
    <t>UseGroup</t>
  </si>
  <si>
    <t>กลุ่มโปรแกรมใช้งาน</t>
  </si>
  <si>
    <t>AccountNumber</t>
  </si>
  <si>
    <t>AccountOwner</t>
  </si>
  <si>
    <t>AccountSeq</t>
  </si>
  <si>
    <t>รหัสลูกค้า</t>
  </si>
  <si>
    <t>work_date</t>
  </si>
  <si>
    <t>วันทำการของลูกค้า</t>
  </si>
  <si>
    <t>work_time</t>
  </si>
  <si>
    <t>เวลาทำการของลูกค้า</t>
  </si>
  <si>
    <t>capital</t>
  </si>
  <si>
    <t>ทุนจดทะเบียน</t>
  </si>
  <si>
    <t>employee_total</t>
  </si>
  <si>
    <t>จำนวนพนักงานในบริษัท</t>
  </si>
  <si>
    <t>business_type</t>
  </si>
  <si>
    <t>min_order_value</t>
  </si>
  <si>
    <t>ยอดสั่งซื้อต่ำสุด ที่คาดว่าจะซื้อต่อเดือน ถาม ณ.วันเปิดลูกค้าครั้งแรก</t>
  </si>
  <si>
    <t>max_order_value</t>
  </si>
  <si>
    <t>ยอดสั่งซื้อสูงสุด ที่คาดว่าจะซื้อต่อเดือน ถาม ณ.วันเปิดลูกค้าครั้งแรก</t>
  </si>
  <si>
    <t>frequency_order_value</t>
  </si>
  <si>
    <t>จำนวนความถี่ในการสั่งซื้อ (คาดการ ณวันเปิดลูกค้า)</t>
  </si>
  <si>
    <t>document_referenece_1</t>
  </si>
  <si>
    <t>Flag ว่ามีเอกสารหนังสือรับรองบริษัท</t>
  </si>
  <si>
    <t>document_referenece_2</t>
  </si>
  <si>
    <t>Flag ว่ามี เอกสาร ภพ.20 / ภพ.09</t>
  </si>
  <si>
    <t>document_referenece_3</t>
  </si>
  <si>
    <t>Flag ว่ามี แผนที่บริษัท</t>
  </si>
  <si>
    <t>howknow_ofm</t>
  </si>
  <si>
    <t>ID of Data source of survey how to know officemate? (เก็บข้อมูลเป็นชื่อ)</t>
  </si>
  <si>
    <t>howknow_ofm_oth</t>
  </si>
  <si>
    <t>อื่นๆ</t>
  </si>
  <si>
    <t>account_website</t>
  </si>
  <si>
    <t>web site ลูกค้า</t>
  </si>
  <si>
    <t>company_epro_id</t>
  </si>
  <si>
    <t>เก็บข้อมูล CompanyID กรณีลูกค้าเป็น (E-procument)</t>
  </si>
  <si>
    <t>account_branch_id</t>
  </si>
  <si>
    <t>ชื่อสาขาของลูกค้า</t>
  </si>
  <si>
    <t>register_id</t>
  </si>
  <si>
    <t>หมายเลขทะเบียนการค้า</t>
  </si>
  <si>
    <t>boi_flag</t>
  </si>
  <si>
    <t>ลูกค้า BOI</t>
  </si>
  <si>
    <t>embassy_flag</t>
  </si>
  <si>
    <t>ลูกค้าสถานฑูต</t>
  </si>
  <si>
    <t>gov_flag</t>
  </si>
  <si>
    <t>ลูกค้าราชการ</t>
  </si>
  <si>
    <t>update_flag</t>
  </si>
  <si>
    <t>create_name</t>
  </si>
  <si>
    <t>create_by</t>
  </si>
  <si>
    <t>update_name</t>
  </si>
  <si>
    <t>update_by</t>
  </si>
  <si>
    <t>account_reptsale_id</t>
  </si>
  <si>
    <t>รหัส SaleRept</t>
  </si>
  <si>
    <t>account_class</t>
  </si>
  <si>
    <t>รหัส Class</t>
  </si>
  <si>
    <t>account_reptsale_group</t>
  </si>
  <si>
    <t>รหัส SaleRept Group</t>
  </si>
  <si>
    <t>class_description</t>
  </si>
  <si>
    <t>ความหมายของแต่ละ Class</t>
  </si>
  <si>
    <t>is_cutofforder_flag</t>
  </si>
  <si>
    <t>Flag สำหรับการล็อคไม่ให้มีการ Confirm Order (Yes = ไม่ให้ Confirm, No = ให้ Confirm ได้)</t>
  </si>
  <si>
    <t>credit_term</t>
  </si>
  <si>
    <t>ระยะเวลาในการให้ Credit (วัน)</t>
  </si>
  <si>
    <t>original_credit_amt</t>
  </si>
  <si>
    <t>ยอดเงิน Credit เริ่มต้น</t>
  </si>
  <si>
    <t>credit_limit</t>
  </si>
  <si>
    <t>ยอดเงิน Credit ล่าสุด</t>
  </si>
  <si>
    <t>credit_reserve</t>
  </si>
  <si>
    <t>ยอดเงิน Credit ที่จะถูกใช้</t>
  </si>
  <si>
    <t>credit_used</t>
  </si>
  <si>
    <t>ยอดเงิน Credit ที่ใช้ไป</t>
  </si>
  <si>
    <t>credit_remark</t>
  </si>
  <si>
    <t>หมายเหตุของ Credit</t>
  </si>
  <si>
    <t>ชื่อผู้ส้ราง</t>
  </si>
  <si>
    <t>วันที่ส้ราง</t>
  </si>
  <si>
    <t>last_credit_date</t>
  </si>
  <si>
    <t>วันที่ใช้ยอดเงินเครดิตล่าสุด SO,DO,EO status confirm</t>
  </si>
  <si>
    <t>('1900-01-01')</t>
  </si>
  <si>
    <t>last_credit_doc</t>
  </si>
  <si>
    <t>เลขที่เอกสารล่าสุดที่ใช้ยอดเงินเครดิต SO,DO,EO status confirm</t>
  </si>
  <si>
    <t>last_credit_amt</t>
  </si>
  <si>
    <t>ยอดเงินล่าสุดที่ใช้วงเงินเครดิต</t>
  </si>
  <si>
    <t>last_debit_doc</t>
  </si>
  <si>
    <t>เลขที่เอกสารล่าสุดที่เพิ่มยอดเงินเครดิต Rule, SO,DO,EO status Delete, Settle, Cancel Invoice/ cancel DL(DR)</t>
  </si>
  <si>
    <t>last_debit_date</t>
  </si>
  <si>
    <t>วันที่เพิ่มยอดเครดิตล่าสุด</t>
  </si>
  <si>
    <t>last_debit_amt</t>
  </si>
  <si>
    <t>ยอดเงินล่าสุดที่คืนวงเงินเครดิต</t>
  </si>
  <si>
    <t>เลขที่ log</t>
  </si>
  <si>
    <t>วงเงินเครดิตของลูกค้า (ก่อนมีการเพิ่มหรือลด)</t>
  </si>
  <si>
    <t>วงเงินเครดิตที่ใช้ไป (ก่อนมีการเพิ่มหรือลด)</t>
  </si>
  <si>
    <t>เลขที่เอกสารที่อ้างอิง</t>
  </si>
  <si>
    <t>doc_amt</t>
  </si>
  <si>
    <t>เงินรวมทั้งสิ้นของเอกสาร (+ เพิ่ม, - ลด)</t>
  </si>
  <si>
    <t>doc_type</t>
  </si>
  <si>
    <t>ประเภทเอกสาร (Sale Order, Rule, Credit Note, Settle)</t>
  </si>
  <si>
    <t>before_credit_amt</t>
  </si>
  <si>
    <t>credit_amt</t>
  </si>
  <si>
    <t>ยอดเงินเครดิตที่เพิ่มหรือลด (+ เพิ่ม, - ลด)</t>
  </si>
  <si>
    <t>after_credit_amt</t>
  </si>
  <si>
    <t>วงเงินเครดิตคงเหลือหลังจากเพิ่มหรือลด</t>
  </si>
  <si>
    <t>total_credit_used</t>
  </si>
  <si>
    <t>ยอดรวมของวงเงินเครดิตที่ี่ใช้</t>
  </si>
  <si>
    <t>source_system</t>
  </si>
  <si>
    <t>ระบบที่อัพเดตวงเงินเครดิต เช่น OASys-X, CoreII, AvalonERP</t>
  </si>
  <si>
    <t>remark</t>
  </si>
  <si>
    <t>ชื่อผู้ที่สร้าง</t>
  </si>
  <si>
    <t>รหัสผู้ที่สร้าง</t>
  </si>
  <si>
    <t>product_id</t>
  </si>
  <si>
    <t>product_unit</t>
  </si>
  <si>
    <t>หน่วยขาย</t>
  </si>
  <si>
    <t>price_excvat</t>
  </si>
  <si>
    <t>ราคาขาย</t>
  </si>
  <si>
    <t>price_incvat</t>
  </si>
  <si>
    <t>ราคาขายรวม vat</t>
  </si>
  <si>
    <t>bestdeal_flag</t>
  </si>
  <si>
    <t>Flag สินค้า BestDeal</t>
  </si>
  <si>
    <t>startdate</t>
  </si>
  <si>
    <t>วันที่เริ่ม [yyyy-mm-dd]</t>
  </si>
  <si>
    <t>enddate</t>
  </si>
  <si>
    <t>วันที่หมดอายุ [yyyy-mm-dd]</t>
  </si>
  <si>
    <t>หมายเหตุนี้ระบุชื่อบริษัท ตามรหัสลูกค้านั้นๆ</t>
  </si>
  <si>
    <t>เลขที่เอกสาร FixPrice</t>
  </si>
  <si>
    <t>รหัสกลุ่มบริษัท</t>
  </si>
  <si>
    <t>account_group_name</t>
  </si>
  <si>
    <t>ชื่อกลุ่มบริษัท</t>
  </si>
  <si>
    <t>last_update</t>
  </si>
  <si>
    <t>timestamp</t>
  </si>
  <si>
    <t>telesale_id</t>
  </si>
  <si>
    <t>รหัสเทเลเซลส์</t>
  </si>
  <si>
    <t>ofm_emp_id</t>
  </si>
  <si>
    <t>default_flag</t>
  </si>
  <si>
    <t>Flag setว่า Telesale คนไหนเป็น Telesale หลัก</t>
  </si>
  <si>
    <t>status</t>
  </si>
  <si>
    <t>Waiting = รออนุมัติ, Active = มีผลใช้งาน</t>
  </si>
  <si>
    <t>seq_no</t>
  </si>
  <si>
    <t>ลำดับ</t>
  </si>
  <si>
    <t>account_type</t>
  </si>
  <si>
    <t>ประเภทของลูกค้า (Personal = บุคคล , Corporate = องค์กร)</t>
  </si>
  <si>
    <t>account_title</t>
  </si>
  <si>
    <t>คำนำหน้าชองลูกค้า</t>
  </si>
  <si>
    <t>account_thai_name</t>
  </si>
  <si>
    <t>ชื่อลูกค้าภาษาไทย</t>
  </si>
  <si>
    <t>account_eng_name</t>
  </si>
  <si>
    <t>ชื่อลูกค้าภาษาอังกฤษ</t>
  </si>
  <si>
    <t>account_status</t>
  </si>
  <si>
    <t>สถานะของลูกค้า ( Suspend= เพิ่งสร้าง แต่ยังไม่ Approve (สำหรับลูกค้า Coperate), Earlybad = (early Bad Record)ห้ามขายทุกกรณี แต่ยังไม่ Approve , Active = สถานะปกติ (ลูกค้า Personal เป็น Active ตั้งแต่แรกสร้าง), Delete = รหัสซ้ำ/เลิกกิจการ, Expire = ไม่มีการซื้อขายนานเกินกำหนด, BadDept = ตัดหนี้สูญ/ดำเนินการฟ้องร้อง, Lock = Lock จาก Collection Team, AutoLock = Auto Lock( โดยระบบ) )</t>
  </si>
  <si>
    <t>account_tax_id</t>
  </si>
  <si>
    <t>หมายเลขประจำตัวผู้เสียภาษีอากร</t>
  </si>
  <si>
    <t>account_payment_code</t>
  </si>
  <si>
    <t>เงื่อนไขการชำระเงิน ( Cash=เงินสด, Credit=เครดิต )</t>
  </si>
  <si>
    <t>account_payment_type</t>
  </si>
  <si>
    <t>ประเภทการชำระเงิน</t>
  </si>
  <si>
    <t>account_payment_name</t>
  </si>
  <si>
    <t>disc_rate</t>
  </si>
  <si>
    <t>ส่วนลดลูกค้า (%)</t>
  </si>
  <si>
    <t>vat</t>
  </si>
  <si>
    <t>เปอร์เซ็นภาษีมูลค่าเพิ่ม</t>
  </si>
  <si>
    <t>account_segment</t>
  </si>
  <si>
    <t>ข้อมูล Segment ที่ผู้ใช้งานทำการเลือก</t>
  </si>
  <si>
    <t>('Silver')</t>
  </si>
  <si>
    <t>account_segment_recommend</t>
  </si>
  <si>
    <t>ข้อมูล Segment ที่แนะนำจากระบบ</t>
  </si>
  <si>
    <t>รหัส SaleRept ที่ดูแลลูกค้ารายนี้</t>
  </si>
  <si>
    <t>account_reptsale_old</t>
  </si>
  <si>
    <t>Class ของลูกค้า ณ ปัจจุบัน</t>
  </si>
  <si>
    <t>account_class_old</t>
  </si>
  <si>
    <t>lock_telesale_flag</t>
  </si>
  <si>
    <t>เก็บ Flag บอกว่าลูกค้ารายนี้มี Telesale ดูแลอยู่หรือไม่ (Yes=ลูกค้ามี telesale ดูแลอยู๋ ,No=ลูกค้ายังไม่มี Telesale ดูแล ) เพื่อใช้ Check ในการเปิด SO โดยตรวจสอบได้จาก TBSoCustTeleSale</t>
  </si>
  <si>
    <t>prospect_id</t>
  </si>
  <si>
    <t>Prospectid</t>
  </si>
  <si>
    <t>account_business_type</t>
  </si>
  <si>
    <t>รหัสประเภทธุรกิจ</t>
  </si>
  <si>
    <t>account_business_desc</t>
  </si>
  <si>
    <t>รายละเอียดประเภทธุรกิจเพิ่มเติม</t>
  </si>
  <si>
    <t>dbd_business_type</t>
  </si>
  <si>
    <t>dbd_business_name</t>
  </si>
  <si>
    <t>account_lock_reason</t>
  </si>
  <si>
    <t>หมายเหตุการเปลี่ยนแปลงสถานะของลูกค้า</t>
  </si>
  <si>
    <t>account_lock_day</t>
  </si>
  <si>
    <t>จำนวนวันที่เพิ่มให้ในการคำนวนการติด lock X</t>
  </si>
  <si>
    <t>t1c_card_no</t>
  </si>
  <si>
    <t>หมายเลขบัตร The 1 Card</t>
  </si>
  <si>
    <t>t1c_benefit</t>
  </si>
  <si>
    <t>รหัส contact_id มาจาก tbcontact_master ที่ใช้รับผลประโยชน์ The1Card</t>
  </si>
  <si>
    <t>mr_id</t>
  </si>
  <si>
    <t>mr_name</t>
  </si>
  <si>
    <t>third_party_flag</t>
  </si>
  <si>
    <t>ลูกค้า Third Party</t>
  </si>
  <si>
    <t>third_party_system</t>
  </si>
  <si>
    <t>ระบบที่ลูกค้า Third party ใช้</t>
  </si>
  <si>
    <t>caution</t>
  </si>
  <si>
    <t>คำเตือนใช้เป็น Alert message เตือนในโปรแกรม SO เช่น ยกเลิกใช้รหัส xxxxxx แทน, ห้ามเปิด order</t>
  </si>
  <si>
    <t>account_sort</t>
  </si>
  <si>
    <t>ลำดับกลุ่มการทำงานของทางบัญชี เพื่อใช้ในการจัดเก็บเอกสาร ( โดยดูจาก รหัสลูกค้าเก่า เช่น ก0001 =01 , ข0001=02 ) และของใหม่จับจากพยัญชนะแรกของชื่อ</t>
  </si>
  <si>
    <t>account_fixprice_flag</t>
  </si>
  <si>
    <t>ลูกค้ามีราคา Fixprice หรือไม่ (Yes= มีราคา Fixprice ,NO=ไม่มีรhคา Fixprice )</t>
  </si>
  <si>
    <t>central_group_id</t>
  </si>
  <si>
    <t>รหัสลูกค้าในเครือ</t>
  </si>
  <si>
    <t>เลขที่ Store ของ OD</t>
  </si>
  <si>
    <t>subsidiaries_id</t>
  </si>
  <si>
    <t>กลุ่มลูกค้า Central</t>
  </si>
  <si>
    <t>account_copy_flag</t>
  </si>
  <si>
    <t>ให้ถ่ายเอกสาร (Yes/No)(อ้างอิงตามหมายเหตุ Inv..SaleRemark)</t>
  </si>
  <si>
    <t>account_store_flag</t>
  </si>
  <si>
    <t>สำหรับตรวจสอบ ว่าลูกค้าดังกล่าวสามารถเปิด Order ที่ Stroe(Yes=ได้,No=ไม่ได้)</t>
  </si>
  <si>
    <t>sale_credit_store_flag</t>
  </si>
  <si>
    <t>สำหรับตรวจสอบการขายเครดิตของสาขา (Yes=ได้ , No=ไม่ได้)</t>
  </si>
  <si>
    <t>account_stamp_flag</t>
  </si>
  <si>
    <t>ระบุลูกค้ามีประทับตรา[Yes,No]</t>
  </si>
  <si>
    <t>account_source_type</t>
  </si>
  <si>
    <t>ที่มาของลูกค้า (OfficeMate , Central)</t>
  </si>
  <si>
    <t>register_channel</t>
  </si>
  <si>
    <t>Default Document ของการซื้อขายว่าเป็น SO หรือ DO</t>
  </si>
  <si>
    <t>group_bill_type</t>
  </si>
  <si>
    <t>(BillSpilt = แยก SI, BillMerge = รวม SI, EndMonth = Group SI ลูกค้า GroupBill)</t>
  </si>
  <si>
    <t>('BillMerge')</t>
  </si>
  <si>
    <t>account_credit_limit</t>
  </si>
  <si>
    <t>account_credit_term</t>
  </si>
  <si>
    <t>account_active_date</t>
  </si>
  <si>
    <t>วันที่สถานะของลูกค้ากลับมา Active หลังจากที่ Expire</t>
  </si>
  <si>
    <t>last_purchase_date</t>
  </si>
  <si>
    <t>sf_id</t>
  </si>
  <si>
    <t>sale_credit_store_remark</t>
  </si>
  <si>
    <t>เก็บหมายเหตุที่สาขาไม่สามารถขายเครดิตได้</t>
  </si>
  <si>
    <t>account_credit_remark</t>
  </si>
  <si>
    <t>account_payment_remark</t>
  </si>
  <si>
    <t>หมายเหตุการเปลี่ยนแปลงการชำระเงินและส่วนลด (ใช้ในโปรแกรม AdminTools )</t>
  </si>
  <si>
    <t>accounting_remark</t>
  </si>
  <si>
    <t>Remark ทางบัญชี</t>
  </si>
  <si>
    <t>creditnote_remark</t>
  </si>
  <si>
    <t>Remark show on credit note document (on cmccust)</t>
  </si>
  <si>
    <t>collection_remark</t>
  </si>
  <si>
    <t>หมายเหตุการติดตามหนี้</t>
  </si>
  <si>
    <t>sale_remark</t>
  </si>
  <si>
    <t>Remark ของ TM</t>
  </si>
  <si>
    <t>except_vat_flag</t>
  </si>
  <si>
    <t>account_matrix_status</t>
  </si>
  <si>
    <t>account_matrix_class</t>
  </si>
  <si>
    <t>account_status_company</t>
  </si>
  <si>
    <t>account_status_newnew</t>
  </si>
  <si>
    <t>account_status_newchannel</t>
  </si>
  <si>
    <t>รหัส segment</t>
  </si>
  <si>
    <t>segment_name</t>
  </si>
  <si>
    <t>ชื่อ segment</t>
  </si>
  <si>
    <t>Voucher No.</t>
  </si>
  <si>
    <t>Bank Code</t>
  </si>
  <si>
    <t>PayTo</t>
  </si>
  <si>
    <t>Pay To Name</t>
  </si>
  <si>
    <t>CurCode</t>
  </si>
  <si>
    <t>Currency Code</t>
  </si>
  <si>
    <t>CurRate</t>
  </si>
  <si>
    <t>Currency Rate</t>
  </si>
  <si>
    <t>ChqNo</t>
  </si>
  <si>
    <t>Cheque No.</t>
  </si>
  <si>
    <t>ChqCurAmt</t>
  </si>
  <si>
    <t>Cheque Amount ( Related to Currency Code )</t>
  </si>
  <si>
    <t>ChqAmt</t>
  </si>
  <si>
    <t>Cheque Amount</t>
  </si>
  <si>
    <t>ChqDate</t>
  </si>
  <si>
    <t>Cheque Date</t>
  </si>
  <si>
    <t>ChqStatus</t>
  </si>
  <si>
    <t>Cheque Status ( W: Wait for Create Cheque , P : Create Cheque)</t>
  </si>
  <si>
    <t>Status ( A: Active , D: Delete)</t>
  </si>
  <si>
    <t>Create User</t>
  </si>
  <si>
    <t>Create Date</t>
  </si>
  <si>
    <t>Updateby</t>
  </si>
  <si>
    <t>Last Update User</t>
  </si>
  <si>
    <t>Last Update Date</t>
  </si>
  <si>
    <t>Transaction Date</t>
  </si>
  <si>
    <t>เลขที่เอกสาร</t>
  </si>
  <si>
    <t>DocDate</t>
  </si>
  <si>
    <t>วันและเวลาเอกสาร</t>
  </si>
  <si>
    <t>('1900-01-01 00:00:00')</t>
  </si>
  <si>
    <t>วันและเวลาที่ทำรายการ</t>
  </si>
  <si>
    <t>DocStatus</t>
  </si>
  <si>
    <t>สถานะเอกสาร</t>
  </si>
  <si>
    <t>ชื่อลูกค้า</t>
  </si>
  <si>
    <t>SubsidiariesID</t>
  </si>
  <si>
    <t>เลขที่ Voucher</t>
  </si>
  <si>
    <t>เลขที่เอกสารอ้างอิง</t>
  </si>
  <si>
    <t>วันและเวลาเอกสารบิล</t>
  </si>
  <si>
    <t>วันที่กำหนดชำระ</t>
  </si>
  <si>
    <t>ประเภทเอกสาร</t>
  </si>
  <si>
    <t>ยอดเงินในเอกสาร</t>
  </si>
  <si>
    <t>CreditTerm</t>
  </si>
  <si>
    <t>PayDate</t>
  </si>
  <si>
    <t>วันและเวลาที่ชำระ</t>
  </si>
  <si>
    <t>CalculateDate</t>
  </si>
  <si>
    <t>วันที่คำนวน DueDate</t>
  </si>
  <si>
    <t>RSINo</t>
  </si>
  <si>
    <t>เลขที่เอกสารใบแทน</t>
  </si>
  <si>
    <t>RVNo</t>
  </si>
  <si>
    <t>settledamt</t>
  </si>
  <si>
    <t>CatalogName</t>
  </si>
  <si>
    <t>CatalogDescription</t>
  </si>
  <si>
    <t>CatalogStatus</t>
  </si>
  <si>
    <t>CatalogID</t>
  </si>
  <si>
    <t>City</t>
  </si>
  <si>
    <t>District</t>
  </si>
  <si>
    <t>Update Date</t>
  </si>
  <si>
    <t>Update User</t>
  </si>
  <si>
    <t>Postcode</t>
  </si>
  <si>
    <t>Post Code</t>
  </si>
  <si>
    <t>CityEN</t>
  </si>
  <si>
    <t>อำเภอ/เขต ในการจัดส่งภาษาอังกฤษ</t>
  </si>
  <si>
    <t>DistrictEN</t>
  </si>
  <si>
    <t>ตำบล/แขวง ในการจัดส่งภาษาอังกฤษ</t>
  </si>
  <si>
    <t>ProvinceEN</t>
  </si>
  <si>
    <t>จังหวัดภาษาอังกฤษ</t>
  </si>
  <si>
    <t>FeedBackGrpID</t>
  </si>
  <si>
    <t>Feed back group identify</t>
  </si>
  <si>
    <t>Feed list sequence number</t>
  </si>
  <si>
    <t>สถานะการใช้งาน (A=Active[ใช้งาน], D=Delete[ลบ])</t>
  </si>
  <si>
    <t>FeedBack</t>
  </si>
  <si>
    <t>Feed back name</t>
  </si>
  <si>
    <t>ISCloseJob</t>
  </si>
  <si>
    <t>Y=choose this seqno job will be close N=none close job</t>
  </si>
  <si>
    <t>Create by emp id</t>
  </si>
  <si>
    <t>Update date</t>
  </si>
  <si>
    <t>Update by emp id</t>
  </si>
  <si>
    <t>ActivityID</t>
  </si>
  <si>
    <t>ActivityID (ACYYXXXX)</t>
  </si>
  <si>
    <t>JoinID</t>
  </si>
  <si>
    <t>JoinID (ProspectID/CustID)</t>
  </si>
  <si>
    <t>Type</t>
  </si>
  <si>
    <t>Type of Join Person (C : Customer, P : Prospect)</t>
  </si>
  <si>
    <t>Feedback</t>
  </si>
  <si>
    <t>Feedback ID</t>
  </si>
  <si>
    <t>Prospect Group ID</t>
  </si>
  <si>
    <t>GrpName</t>
  </si>
  <si>
    <t>Group Name</t>
  </si>
  <si>
    <t>spaytypeName</t>
  </si>
  <si>
    <t>ชื่อรูปแบบการชำระเงินของ Supplier</t>
  </si>
  <si>
    <t>Createby</t>
  </si>
  <si>
    <t>ผู้สร้าง</t>
  </si>
  <si>
    <t>DeptEAbb</t>
  </si>
  <si>
    <t>ชื่อย่อของฝ่าย</t>
  </si>
  <si>
    <t>DeptEName</t>
  </si>
  <si>
    <t>ชื่อเต็มของฝ่าย (ภาษาอังกฤษ)</t>
  </si>
  <si>
    <t>DeptTName</t>
  </si>
  <si>
    <t>ชื่อเต็มของฝ่าย (ภาษาไทย)</t>
  </si>
  <si>
    <t>IUCode</t>
  </si>
  <si>
    <t>รหัสผู้จัดการฝ่าย</t>
  </si>
  <si>
    <t>reference_id</t>
  </si>
  <si>
    <t>bigint</t>
  </si>
  <si>
    <t>รหัสผู้ติดต่อ (contact_id)</t>
  </si>
  <si>
    <t>รหัสลูกค้า (account_id)</t>
  </si>
  <si>
    <t>data_source</t>
  </si>
  <si>
    <t>Data source of number Contact/Shipping</t>
  </si>
  <si>
    <t>contact_type</t>
  </si>
  <si>
    <t>ประเภทของการติดต่อ (Phone,Mobile,Fax,Email)</t>
  </si>
  <si>
    <t>contact_data</t>
  </si>
  <si>
    <t>ข้อมูลของการติดต่อ</t>
  </si>
  <si>
    <t>contact_extension</t>
  </si>
  <si>
    <t>ตั้งค่าเป็นเบอร์หลัก</t>
  </si>
  <si>
    <t>consent_status</t>
  </si>
  <si>
    <t>สถานะการตอบรับ</t>
  </si>
  <si>
    <t>('None')</t>
  </si>
  <si>
    <t>ref_uniqe_id</t>
  </si>
  <si>
    <t>Refer.จากการตอบ Consent ของลูกค้า</t>
  </si>
  <si>
    <t>privacy_status</t>
  </si>
  <si>
    <t>TRIAL</t>
  </si>
  <si>
    <t>ตั้งค่าเป็นผู้ติดต่อหลัก</t>
  </si>
  <si>
    <t>default_contact_type</t>
  </si>
  <si>
    <t>ตั้งค่าเป็นประเภทติดต่อหลัก (Phone,Mobile)</t>
  </si>
  <si>
    <t>('Phone')</t>
  </si>
  <si>
    <t>contact_email</t>
  </si>
  <si>
    <t>Email ผู้ติดต่อ</t>
  </si>
  <si>
    <t>lastactive_onweb</t>
  </si>
  <si>
    <t>ลำดับผู้ติดต่อ</t>
  </si>
  <si>
    <t>contact_title</t>
  </si>
  <si>
    <t>contact_first_name</t>
  </si>
  <si>
    <t>contact_last_name</t>
  </si>
  <si>
    <t>contact_name</t>
  </si>
  <si>
    <t>ชื่อบุคคลที่ติดต่อ</t>
  </si>
  <si>
    <t>contact_status</t>
  </si>
  <si>
    <t>สถานะของผู้ติดต่อท่านนี้ (Active, Delete)</t>
  </si>
  <si>
    <t>contact_position</t>
  </si>
  <si>
    <t>ตำแหน่งบุคคลที่ติดต่อ</t>
  </si>
  <si>
    <t>contact_sex</t>
  </si>
  <si>
    <t>เพศของผู้ติดต่อ</t>
  </si>
  <si>
    <t>contact_birthdate</t>
  </si>
  <si>
    <t>วันเกิดของผู้ติดต่อ</t>
  </si>
  <si>
    <t>contact_idcard</t>
  </si>
  <si>
    <t>เลขประจำตัวประชาชน 13 หลัก</t>
  </si>
  <si>
    <t>contact_duty</t>
  </si>
  <si>
    <t>หน้าที่ของผู้ติดต่อ</t>
  </si>
  <si>
    <t>contact_address_no</t>
  </si>
  <si>
    <t>บ้านเลขที่</t>
  </si>
  <si>
    <t>contact_moo</t>
  </si>
  <si>
    <t>หมู่</t>
  </si>
  <si>
    <t>contact_building_id</t>
  </si>
  <si>
    <t>เลขที่ตึก อาคาร สถานที่</t>
  </si>
  <si>
    <t>contact_building</t>
  </si>
  <si>
    <t>ชื่อตึก อาคาร สถานที่</t>
  </si>
  <si>
    <t>contact_floor</t>
  </si>
  <si>
    <t>ชั้น</t>
  </si>
  <si>
    <t>contact_room_no</t>
  </si>
  <si>
    <t>ห้อง</t>
  </si>
  <si>
    <t>contact_soi</t>
  </si>
  <si>
    <t>ซอย</t>
  </si>
  <si>
    <t>contact_street</t>
  </si>
  <si>
    <t>ถนน</t>
  </si>
  <si>
    <t>contact_poi_id</t>
  </si>
  <si>
    <t>POI ID</t>
  </si>
  <si>
    <t>contact_poi</t>
  </si>
  <si>
    <t>POI</t>
  </si>
  <si>
    <t>contact_address_1</t>
  </si>
  <si>
    <t>ที่อยู่ผู้ติดต่อบรรทัดที่1</t>
  </si>
  <si>
    <t>contact_address_2</t>
  </si>
  <si>
    <t>ที่อยู่ผู้ติดต่อบรรทัดที่2</t>
  </si>
  <si>
    <t>contact_district</t>
  </si>
  <si>
    <t>ที่อยู่ - อำเภอ/เขต</t>
  </si>
  <si>
    <t>contact_subdistrict</t>
  </si>
  <si>
    <t>ที่อยู่ - ตำบล/แขวง</t>
  </si>
  <si>
    <t>contact_province</t>
  </si>
  <si>
    <t>contact_zipcode</t>
  </si>
  <si>
    <t>contact_sub_area</t>
  </si>
  <si>
    <t>รหัสพื้นที่ เป็น Subzone 6 หลัก</t>
  </si>
  <si>
    <t>contact_area</t>
  </si>
  <si>
    <t>รหัส Mainzone</t>
  </si>
  <si>
    <t>send_newsletter_flag</t>
  </si>
  <si>
    <t>ส่ง News-letter (Yes,No)</t>
  </si>
  <si>
    <t>send_magazine_flag</t>
  </si>
  <si>
    <t>ส่ง Magazine (Yes,No)</t>
  </si>
  <si>
    <t>send_magazine_ship</t>
  </si>
  <si>
    <t>ที่อยู่ในการจัดส่ง magzine ตามที่อยู่ Shipping (ship_id เช่น xxxxx )</t>
  </si>
  <si>
    <t>return_catalog_remark</t>
  </si>
  <si>
    <t>หมายเหตุที่แคตตาล็อคถูกตีคืน</t>
  </si>
  <si>
    <t>contact_remark</t>
  </si>
  <si>
    <t>หมายเหตุของผู้ติดต่อคนนี้</t>
  </si>
  <si>
    <t>รหัสบัตรเครดิต</t>
  </si>
  <si>
    <t>CreditCardNameTH</t>
  </si>
  <si>
    <t>ชื่อบัตรเครดิตของ bank (TH)</t>
  </si>
  <si>
    <t>CreditCardNameEN</t>
  </si>
  <si>
    <t>ชื่อบัตรเครดิตของ bank (EN)</t>
  </si>
  <si>
    <t>ตัวย่อ bank เช่น SCB, TMS</t>
  </si>
  <si>
    <t>ชื่อ bank</t>
  </si>
  <si>
    <t>BankNumber</t>
  </si>
  <si>
    <t>เลขกำกับของ bank</t>
  </si>
  <si>
    <t>CreditCardMethod</t>
  </si>
  <si>
    <t>วิธีการชำระ (รูดแบบปกติ, รูดแบบผ่อนชำระ)</t>
  </si>
  <si>
    <t>Description</t>
  </si>
  <si>
    <t>รายละเอียด</t>
  </si>
  <si>
    <t>BankStatus</t>
  </si>
  <si>
    <t>สถานการใช้งาน (Active, Delete)</t>
  </si>
  <si>
    <t>ผู้ดำเนินการสร้าง</t>
  </si>
  <si>
    <t>ผู้ดำเนินการแก้ไข</t>
  </si>
  <si>
    <t>MinAmt</t>
  </si>
  <si>
    <t>HamperFlag</t>
  </si>
  <si>
    <t>PromotionFlag</t>
  </si>
  <si>
    <t>Auto nummber</t>
  </si>
  <si>
    <t>Cash=เงินสด, Credit=เครดิต</t>
  </si>
  <si>
    <t>รายละเอียดการชำระเงิน</t>
  </si>
  <si>
    <t>PaymentName</t>
  </si>
  <si>
    <t>PaymentDiscount</t>
  </si>
  <si>
    <t>ส่วนลดของประเภทการชำระเงิน</t>
  </si>
  <si>
    <t>PaymentStatus</t>
  </si>
  <si>
    <t>สถานะของประเภทการชำระเงิน (Active ,Delete)</t>
  </si>
  <si>
    <t>LastUpdate</t>
  </si>
  <si>
    <t>ข้อมูลที่ถูกจัดเก็บสร้าง-แก้ไข ด้วยระบบอัตโนมัติ</t>
  </si>
  <si>
    <t>IsPaymentOnline</t>
  </si>
  <si>
    <t>PaymentReturnDoc</t>
  </si>
  <si>
    <t>RCPPrintFlag</t>
  </si>
  <si>
    <t>PaymentGroup</t>
  </si>
  <si>
    <t>กลุ่มของการชำระเงิน [PayOnDelivery=ชำระด้วยเงินสดปลายทาง,CreditTerm=ชำระด้วยระบบเครดิต,FullPayment=ชำระเงินเต็มจำนวนก่อนจัดส่งสินค้า,Installments=ผ่อนชำระ,Redemption=แลกแต้ม]</t>
  </si>
  <si>
    <t>('FullPayment')</t>
  </si>
  <si>
    <t>cCustID</t>
  </si>
  <si>
    <t>pUnit</t>
  </si>
  <si>
    <t>สถานะ [status=A]</t>
  </si>
  <si>
    <t>pSalePrice</t>
  </si>
  <si>
    <t>pSalePriceIncVat</t>
  </si>
  <si>
    <t>ราคาขายรวมVat</t>
  </si>
  <si>
    <t>IsbestDeal</t>
  </si>
  <si>
    <t>StartDate</t>
  </si>
  <si>
    <t>EndDate</t>
  </si>
  <si>
    <t>ชื่อผู้ดำเนินการสร้าง</t>
  </si>
  <si>
    <t>ชื่อผู้ดำเนินการแก้ไข</t>
  </si>
  <si>
    <t>DocID</t>
  </si>
  <si>
    <t>UploadType</t>
  </si>
  <si>
    <t>ประเภทการบันทึกข้อมูลล่าสุด</t>
  </si>
  <si>
    <t>RequestType</t>
  </si>
  <si>
    <t>ประเภทการขออนุมัติ (FixPrice, Extension)</t>
  </si>
  <si>
    <t>DEPT</t>
  </si>
  <si>
    <t>รหัส DEPT</t>
  </si>
  <si>
    <t>DEPT_NAME</t>
  </si>
  <si>
    <t>ชื่อ DEPT</t>
  </si>
  <si>
    <t>SUB_DPT</t>
  </si>
  <si>
    <t>รหัส SUB_DEPT</t>
  </si>
  <si>
    <t>S_DPT_NAME</t>
  </si>
  <si>
    <t>ชื่อ SUB_DEPT</t>
  </si>
  <si>
    <t>รหัส CLASS</t>
  </si>
  <si>
    <t>CLASS_NAME</t>
  </si>
  <si>
    <t>ชื่อ CLASS</t>
  </si>
  <si>
    <t>SUB_CLS</t>
  </si>
  <si>
    <t>รหัส SUB_CLASS</t>
  </si>
  <si>
    <t>S_CLS_NAME</t>
  </si>
  <si>
    <t>ชื่อ SUB_CLASS</t>
  </si>
  <si>
    <t>CodeOracleID</t>
  </si>
  <si>
    <t>รหัส CPC หรือ Oracle Code</t>
  </si>
  <si>
    <t>BU</t>
  </si>
  <si>
    <t>Business Unit ข้อมูลของบริษัทในเครือ</t>
  </si>
  <si>
    <t>หมายเหตเพิ่มเติม</t>
  </si>
  <si>
    <t>ยกเลิกใช้งาน: รหัส SubCatID</t>
  </si>
  <si>
    <t>IDEPT</t>
  </si>
  <si>
    <t>ISDEPT</t>
  </si>
  <si>
    <t>ICLAS</t>
  </si>
  <si>
    <t>ISCLAS</t>
  </si>
  <si>
    <t>DPTNAM</t>
  </si>
  <si>
    <t>nvarchar</t>
  </si>
  <si>
    <t>SUB_DEPT_NAME</t>
  </si>
  <si>
    <t>CLSS_NAME</t>
  </si>
  <si>
    <t>SUB_CLSS_NAME</t>
  </si>
  <si>
    <t>Subzone</t>
  </si>
  <si>
    <t>TYPE</t>
  </si>
  <si>
    <t>MainZone</t>
  </si>
  <si>
    <t>ShortProvince</t>
  </si>
  <si>
    <t>Province</t>
  </si>
  <si>
    <t>Ampur</t>
  </si>
  <si>
    <t>AreaDistrict</t>
  </si>
  <si>
    <t>float</t>
  </si>
  <si>
    <t>TranChrgZone</t>
  </si>
  <si>
    <t>DistrictCode</t>
  </si>
  <si>
    <t>MainZoneBillChq</t>
  </si>
  <si>
    <t>DistrictName</t>
  </si>
  <si>
    <t>IsSameDayDeli</t>
  </si>
  <si>
    <t>IsDefault</t>
  </si>
  <si>
    <t>ClusterID</t>
  </si>
  <si>
    <t>Soi</t>
  </si>
  <si>
    <t>Street</t>
  </si>
  <si>
    <t>ProviderType</t>
  </si>
  <si>
    <t>WorkingDay</t>
  </si>
  <si>
    <t>IsDeliveryFee</t>
  </si>
  <si>
    <t>AmpurEN</t>
  </si>
  <si>
    <t>account_name</t>
  </si>
  <si>
    <t>company_id</t>
  </si>
  <si>
    <t>product_name</t>
  </si>
  <si>
    <t>promotion_flag</t>
  </si>
  <si>
    <t>sale_unit</t>
  </si>
  <si>
    <t>qty</t>
  </si>
  <si>
    <t>suggest_price_excvat</t>
  </si>
  <si>
    <t>suggest_price_incvat</t>
  </si>
  <si>
    <t>fix_price_excvat</t>
  </si>
  <si>
    <t>fix_price_incvat</t>
  </si>
  <si>
    <t>item_deliveryfee</t>
  </si>
  <si>
    <t>margin_cost</t>
  </si>
  <si>
    <t>margin_percent</t>
  </si>
  <si>
    <t>fixprice_flag</t>
  </si>
  <si>
    <t>product_status</t>
  </si>
  <si>
    <t>reject_flag</t>
  </si>
  <si>
    <t>reject_remark</t>
  </si>
  <si>
    <t>fix_price_remark</t>
  </si>
  <si>
    <t>new_item_flag</t>
  </si>
  <si>
    <t>vat_flag</t>
  </si>
  <si>
    <t>fixprice_product_type</t>
  </si>
  <si>
    <t>new_product_id</t>
  </si>
  <si>
    <t>doc_date</t>
  </si>
  <si>
    <t>transfer_doc_no</t>
  </si>
  <si>
    <t>fix_type</t>
  </si>
  <si>
    <t>contract_flag</t>
  </si>
  <si>
    <t>fix_period</t>
  </si>
  <si>
    <t>project_name</t>
  </si>
  <si>
    <t>product_type</t>
  </si>
  <si>
    <t>fix_format</t>
  </si>
  <si>
    <t>start_date</t>
  </si>
  <si>
    <t>end_date</t>
  </si>
  <si>
    <t>count_product_fix</t>
  </si>
  <si>
    <t>count_product_notfix</t>
  </si>
  <si>
    <t>margin_grade</t>
  </si>
  <si>
    <t>upload_flag</t>
  </si>
  <si>
    <t>upload_name</t>
  </si>
  <si>
    <t>upload_by</t>
  </si>
  <si>
    <t>upload_date</t>
  </si>
  <si>
    <t>upload_epro_flag</t>
  </si>
  <si>
    <t>upload_epro_name</t>
  </si>
  <si>
    <t>upload_epro_by</t>
  </si>
  <si>
    <t>upload_epro_date</t>
  </si>
  <si>
    <t>request_by</t>
  </si>
  <si>
    <t>request_name</t>
  </si>
  <si>
    <t>reminder_detail</t>
  </si>
  <si>
    <t>reminder_date</t>
  </si>
  <si>
    <t>reminder_status</t>
  </si>
  <si>
    <t>request_phoneno</t>
  </si>
  <si>
    <t>contact_phoneno</t>
  </si>
  <si>
    <t>store_branch_name</t>
  </si>
  <si>
    <t>manager_id</t>
  </si>
  <si>
    <t>count_product_cancel_nextyear</t>
  </si>
  <si>
    <t>product_special_flag</t>
  </si>
  <si>
    <t>saleforce_id</t>
  </si>
  <si>
    <t>product_special_upload</t>
  </si>
  <si>
    <t>invoice_address_id</t>
  </si>
  <si>
    <t>((1))</t>
  </si>
  <si>
    <t>invoice_address_1</t>
  </si>
  <si>
    <t>invoice_address_2</t>
  </si>
  <si>
    <t>invoice_address_3</t>
  </si>
  <si>
    <t>invoice_address_4</t>
  </si>
  <si>
    <t>invoice_subdistrict</t>
  </si>
  <si>
    <t>invoice_district</t>
  </si>
  <si>
    <t>invoice_province</t>
  </si>
  <si>
    <t>invoice_zip_code</t>
  </si>
  <si>
    <t>invoice_area</t>
  </si>
  <si>
    <t>invoice_sub_area</t>
  </si>
  <si>
    <t>invoice_address_no</t>
  </si>
  <si>
    <t>invoice_moo</t>
  </si>
  <si>
    <t>invoice_building</t>
  </si>
  <si>
    <t>invoice_building_id</t>
  </si>
  <si>
    <t>invoice_floor</t>
  </si>
  <si>
    <t>invoice_room_no</t>
  </si>
  <si>
    <t>invoice_soi</t>
  </si>
  <si>
    <t>invoice_street</t>
  </si>
  <si>
    <t>invoice_poi</t>
  </si>
  <si>
    <t>invoice_poi_id</t>
  </si>
  <si>
    <t>invoice_branch_id</t>
  </si>
  <si>
    <t>invoice_remark</t>
  </si>
  <si>
    <t>bill_condition</t>
  </si>
  <si>
    <t>cheque_condition</t>
  </si>
  <si>
    <t>invoice_default_flag</t>
  </si>
  <si>
    <t>request_etax_flag</t>
  </si>
  <si>
    <t>รับข้อมูล e-Tax: [Yes,No]</t>
  </si>
  <si>
    <t>request_paper_etax_flag</t>
  </si>
  <si>
    <t>ต้องการPrint paper E-tax [Yes,No]</t>
  </si>
  <si>
    <t>use_onebox_flag</t>
  </si>
  <si>
    <t>เลขที่ใบสั่งซื้อ(สั่งจัด)</t>
  </si>
  <si>
    <t>so_date</t>
  </si>
  <si>
    <t>วันที่เอกสาร</t>
  </si>
  <si>
    <t>vat_prod_net_amt</t>
  </si>
  <si>
    <t>nonvat_prod_net_amt</t>
  </si>
  <si>
    <t>vat_amt</t>
  </si>
  <si>
    <t>ยอดเงินภาษี โดยคิดจาก vat_prod_net_amt</t>
  </si>
  <si>
    <t>vat_prod_net_amt_deliveryfee_excvat</t>
  </si>
  <si>
    <t>ยอดสินค้าหักส่วนลดรวมค่าขนส่งไม่รวมภาษ๊</t>
  </si>
  <si>
    <t>net_deliveryfee_excvat</t>
  </si>
  <si>
    <t>ค่าขนส่งไม่รวมภาษี</t>
  </si>
  <si>
    <t>total_amt</t>
  </si>
  <si>
    <t>ยอดเงินก่อนหักส่วนลดก่อน Vat (มีการรวมค่าขนส่งด้วย)</t>
  </si>
  <si>
    <t>รหัสผุ้แก้ไข</t>
  </si>
  <si>
    <t>net_amt</t>
  </si>
  <si>
    <t>ยอดเงินรวมก่อน Vat หลังหักส่วนลด</t>
  </si>
  <si>
    <t>oth_disc_amt_incvat</t>
  </si>
  <si>
    <t>ส่วนลดรวมภาษี</t>
  </si>
  <si>
    <t>รหัสรายการ</t>
  </si>
  <si>
    <t>Reason</t>
  </si>
  <si>
    <t>สาเหตุการยกเลิกเอกสาร</t>
  </si>
  <si>
    <t>สถานะสาเหตุการยกเลิกเอกสาร (Active, Delete)</t>
  </si>
  <si>
    <t>หมายเหตุเพิ่มเติม</t>
  </si>
  <si>
    <t>ผู้สร้างรายการ</t>
  </si>
  <si>
    <t>วันที่สร้างรายการ</t>
  </si>
  <si>
    <t>ผู้แก้ไขรายการล่าสุด</t>
  </si>
  <si>
    <t>วันที่แก้ไขรายการล่าสุด</t>
  </si>
  <si>
    <t>Aging_day</t>
  </si>
  <si>
    <t>Cal_Date</t>
  </si>
  <si>
    <t>CAT_ID</t>
  </si>
  <si>
    <t>catid</t>
  </si>
  <si>
    <t>I</t>
  </si>
  <si>
    <t>MAX_AGING</t>
  </si>
  <si>
    <t>MIN_AGING</t>
  </si>
  <si>
    <t>num</t>
  </si>
  <si>
    <t>obsoleteflag</t>
  </si>
  <si>
    <t>prodstatus</t>
  </si>
  <si>
    <t>prodTlname</t>
  </si>
  <si>
    <t>PROVISION_RATE</t>
  </si>
  <si>
    <t>SUBCAT_ID</t>
  </si>
  <si>
    <t>SubCatID</t>
  </si>
  <si>
    <t>trndate_Cal_Aging</t>
  </si>
  <si>
    <t>W</t>
  </si>
  <si>
    <t>AccountName</t>
  </si>
  <si>
    <t>ลำดับข้อมูล</t>
  </si>
  <si>
    <t>BrandID</t>
  </si>
  <si>
    <t>รหัสแบรนด์สินค้า</t>
  </si>
  <si>
    <t>BrandTH</t>
  </si>
  <si>
    <t>แบรนด์สินค้าภาษาไทย</t>
  </si>
  <si>
    <t>BrandENG</t>
  </si>
  <si>
    <t>แบรนด์สินค้าภาษาอังกฤษ</t>
  </si>
  <si>
    <t>pBrandImage</t>
  </si>
  <si>
    <t>ยกเลิกใช้งาน: บอกชื่อรูปของ Brand</t>
  </si>
  <si>
    <t>pBrandPromotion</t>
  </si>
  <si>
    <t>ยกเลิกใช้งาน: Brand ที่เป็นโปรโมชั่น (Y=Yes , N=No)</t>
  </si>
  <si>
    <t>IsOwnBrand</t>
  </si>
  <si>
    <t>สินค้า OwnBrand (HouseBrand) [Yes=เป็นสินค้า OwnBrand, No=ไม่เป็นสินค้า OwnBrand]</t>
  </si>
  <si>
    <t>BrandIDOD</t>
  </si>
  <si>
    <t>รหัสแบรนด์สินค้าของ OD</t>
  </si>
  <si>
    <t>BrandID_Old</t>
  </si>
  <si>
    <t>เก็บข้อมูลไว้อ้างอิง: รหัสแบรนด์สินค้า (เก่าจากระบบ ORP)</t>
  </si>
  <si>
    <t>สถานะแบรนด์ [Active, Inactive, Delete]</t>
  </si>
  <si>
    <t>เลข log</t>
  </si>
  <si>
    <t>รหัสสินค้า ฝั่ง OFM</t>
  </si>
  <si>
    <t>รหัส Catalog Type (มาจากระบบ PIM)</t>
  </si>
  <si>
    <t>date</t>
  </si>
  <si>
    <t>วันที่เริ่มต้น</t>
  </si>
  <si>
    <t>วันที่สิ้นสุด</t>
  </si>
  <si>
    <t>Page</t>
  </si>
  <si>
    <t>เลขหน้า</t>
  </si>
  <si>
    <t>IsPureCat</t>
  </si>
  <si>
    <t>สถานะ [Active,Delete]</t>
  </si>
  <si>
    <t>รหัสพนักงานที่สร้างข้อมูล</t>
  </si>
  <si>
    <t>วันที่แก้ไขข้อมูล</t>
  </si>
  <si>
    <t>รหัสพนักงานที่แก้ไขข้อมูล</t>
  </si>
  <si>
    <t>ชื่อผู้แก้ไขข้อมูล</t>
  </si>
  <si>
    <t>CatalogDisplayID</t>
  </si>
  <si>
    <t>รหัสเล่มของ Catalog (มาจากระบบ PIM)</t>
  </si>
  <si>
    <t>CatalogDisplayName</t>
  </si>
  <si>
    <t>ชื่อเล่มของ Catalog</t>
  </si>
  <si>
    <t>SKUCodeOFM</t>
  </si>
  <si>
    <t>รหัสสินค้า (OFM)</t>
  </si>
  <si>
    <t>SaleChannelID</t>
  </si>
  <si>
    <t>รหัสช่องทางการสั่งซื้อ</t>
  </si>
  <si>
    <t>SKUCode</t>
  </si>
  <si>
    <t>รหัสสินค้าจากระบบอื่น</t>
  </si>
  <si>
    <t>รหัสผู้ที่แก้ไข</t>
  </si>
  <si>
    <t>ชื่อผู้ที่แก้ไข</t>
  </si>
  <si>
    <t>UnitPiece</t>
  </si>
  <si>
    <t>หน่วย UOM สินค้าต่อชิ้น (ต้องเท่ากับหน่วยขาย)</t>
  </si>
  <si>
    <t>UnitInner</t>
  </si>
  <si>
    <t>หน่วย UOM Inner Box</t>
  </si>
  <si>
    <t>UnitOuter</t>
  </si>
  <si>
    <t>หน่วย UOM Outer Box</t>
  </si>
  <si>
    <t>UOMPiece</t>
  </si>
  <si>
    <t>UOM สินค้าต่อชิ้น</t>
  </si>
  <si>
    <t>UOMInner</t>
  </si>
  <si>
    <t>UOM Inner Box</t>
  </si>
  <si>
    <t>UOMOuter</t>
  </si>
  <si>
    <t>UOM Outer Box</t>
  </si>
  <si>
    <t>IsPiece</t>
  </si>
  <si>
    <t>คำนวณค่าขนส่งต่อชิ้น (Yes: นำข้อมูลขนาดของสินค้าไปใช้ / No: ไม่นำไปใช้)</t>
  </si>
  <si>
    <t>('Yes')</t>
  </si>
  <si>
    <t>WidthPiece</t>
  </si>
  <si>
    <t>ความกว้าง สินค้าต่อชิ้น (หน่วยเป็น mm)</t>
  </si>
  <si>
    <t>LengthPiece</t>
  </si>
  <si>
    <t>ความยาว สินค้าต่อชิ้น (หน่วยเป็น mm)</t>
  </si>
  <si>
    <t>HeightPiece</t>
  </si>
  <si>
    <t>ความสูง สินค้าต่อชิ้น (หน่วยเป็น mm)</t>
  </si>
  <si>
    <t>WeightPiece</t>
  </si>
  <si>
    <t>น้ำหนัก สินค้าต่อชิ้น (หน่วยเป็น g)</t>
  </si>
  <si>
    <t>BarcodePiece</t>
  </si>
  <si>
    <t>เลข Barcode สินค้าต่อชิ้น</t>
  </si>
  <si>
    <t>IsInnerBox</t>
  </si>
  <si>
    <t>คำนวณค่าขนส่ง Inner Box (Yes: นำข้อมูลขนาดของสินค้าไปใช้ / No: ไม่นำไปใช้)</t>
  </si>
  <si>
    <t>WidthInner</t>
  </si>
  <si>
    <t>ความกว้าง Inner Box (หน่วยเป็น mm)</t>
  </si>
  <si>
    <t>LengthInner</t>
  </si>
  <si>
    <t>ความยาว Inner Box (หน่วยเป็น mm)</t>
  </si>
  <si>
    <t>HeightInner</t>
  </si>
  <si>
    <t>ความสูง Inner Box (หน่วยเป็น mm)</t>
  </si>
  <si>
    <t>WeightInner</t>
  </si>
  <si>
    <t>น้ำหนัก Inner Box (หน่วยเป็น g)</t>
  </si>
  <si>
    <t>BarcodeInner</t>
  </si>
  <si>
    <t>เลข Barcode Inner Box</t>
  </si>
  <si>
    <t>IsOuterBox</t>
  </si>
  <si>
    <t>คำนวณค่าขนส่ง Outer Box (Yes: นำข้อมูลขนาดของสินค้าไปใช้ / No: ไม่นำไปใช้)</t>
  </si>
  <si>
    <t>WidthOuter</t>
  </si>
  <si>
    <t>ความกว้าง Outer Box (หน่วยเป็น mm)</t>
  </si>
  <si>
    <t>LengthOuter</t>
  </si>
  <si>
    <t>ความยาว Outer Box (หน่วยเป็น mm)</t>
  </si>
  <si>
    <t>HeightOuter</t>
  </si>
  <si>
    <t>ความสูง Outer Box (หน่วยเป็น mm)</t>
  </si>
  <si>
    <t>WeightOuter</t>
  </si>
  <si>
    <t>น้ำหนัก Outer Box (หน่วยเป็น g)</t>
  </si>
  <si>
    <t>BarcodeOuter</t>
  </si>
  <si>
    <t>เลข Barcode Outer Box</t>
  </si>
  <si>
    <t>ผู้สร้างข้อมูลสินค้า</t>
  </si>
  <si>
    <t>วันที่สร้างข้มูลสินค้า</t>
  </si>
  <si>
    <t>ผู้แก้ไขข้อมูลสินค้า</t>
  </si>
  <si>
    <t>วันที่แก้ไขข้อมูลสินค้า</t>
  </si>
  <si>
    <t>DeliveryCBM</t>
  </si>
  <si>
    <t>ปริมาตรสินค้า (1 ชิ้น)</t>
  </si>
  <si>
    <t>UnitShortPiece</t>
  </si>
  <si>
    <t>หน่วยภาษาอังกฤษแบบย่อของสินค้าต่อชิ้น</t>
  </si>
  <si>
    <t>UnitShortInner</t>
  </si>
  <si>
    <t>หน่วยภาษาอังกฤษแบบย่อของสินค้าหน่วย Inner Box</t>
  </si>
  <si>
    <t>UnitShortOuter</t>
  </si>
  <si>
    <t>หน่วยภาษาอังกฤษแบบย่อของสินค้าหน่วย Outer Box</t>
  </si>
  <si>
    <t>IsVerify</t>
  </si>
  <si>
    <t>การยืนยันข้อมูลในการบันทึกและแก้ไข Dimension ของสินค้า</t>
  </si>
  <si>
    <t>ProductGroupID</t>
  </si>
  <si>
    <t>รหัสกลุ่มของสินค้า</t>
  </si>
  <si>
    <t>SKUType</t>
  </si>
  <si>
    <t>รหัสสินค้าอื่นๆ</t>
  </si>
  <si>
    <t>department_name</t>
  </si>
  <si>
    <t>absorb_rate</t>
  </si>
  <si>
    <t>account_source</t>
  </si>
  <si>
    <t>account_data</t>
  </si>
  <si>
    <t>account_condition</t>
  </si>
  <si>
    <t>promotion_name</t>
  </si>
  <si>
    <t>promotion_detail_html</t>
  </si>
  <si>
    <t>promotion_status</t>
  </si>
  <si>
    <t>promotion_type</t>
  </si>
  <si>
    <t>ประเภทของโปรโมชั่น ได้แก่ Premium=โปรโมชั่นของแถม, Discount=โปรโมชั่นส่วนลด, Coupon=โปรโมชั่นคูปอง</t>
  </si>
  <si>
    <t>promotion_engine</t>
  </si>
  <si>
    <t>campaign_type</t>
  </si>
  <si>
    <t>Premium','Discount'</t>
  </si>
  <si>
    <t>campaign_owner</t>
  </si>
  <si>
    <t>method</t>
  </si>
  <si>
    <t>operator</t>
  </si>
  <si>
    <t>tier_flag</t>
  </si>
  <si>
    <t>product_include_flag</t>
  </si>
  <si>
    <t>product_exclude_flag</t>
  </si>
  <si>
    <t>premium_condition</t>
  </si>
  <si>
    <t>limit_quota_used</t>
  </si>
  <si>
    <t>จำนวนครั้งสูงสุดที่ได้ เช่น เฉพาะ 100 สิทธิ์แรกเท่านั้น</t>
  </si>
  <si>
    <t>limit_per_account</t>
  </si>
  <si>
    <t>จำกัดการได้โปร หรือการใช้คูปอง ต่อ 1 Account เช่น ถ้ากำหนด 2 : โปรของแถม ได้รับสิทธิ์ต่อโปร 2 ครั้งในรหัสลูกค้าเดียวกัน, ถ้ากำหนด 2 : โปรคูปอง ได้รับสิทธิ์ต่อ coupon code 2 ครั้งในรหัสลูกค้าเดียวกัน</t>
  </si>
  <si>
    <t>limit_per_order</t>
  </si>
  <si>
    <t>min_qty</t>
  </si>
  <si>
    <t>min_amt</t>
  </si>
  <si>
    <t>allow_bestdeal_flag</t>
  </si>
  <si>
    <t>allow_promotion_flag</t>
  </si>
  <si>
    <t>premium_group_id</t>
  </si>
  <si>
    <t>coupon_code_style</t>
  </si>
  <si>
    <t>coupon_discount_format</t>
  </si>
  <si>
    <t>coupon_discount_rate</t>
  </si>
  <si>
    <t>coupon_discount_amount</t>
  </si>
  <si>
    <t>coupon_max_give</t>
  </si>
  <si>
    <t>จำนวนที่แจก เช่น แจก 1,000 code</t>
  </si>
  <si>
    <t>coupon_limit_used</t>
  </si>
  <si>
    <t>จำกัดการใช้กี่ code เช่น เฉพาะ 100 สิทธิ์แรกเท่านั้น</t>
  </si>
  <si>
    <t>coupon_limit_value</t>
  </si>
  <si>
    <t>จำกัดมูลค่าส่วนลด กรณีลดเป็น % เช่น ลด 10% แต่ไม่เกิน 1,000 บาท</t>
  </si>
  <si>
    <t>coupon_group</t>
  </si>
  <si>
    <t>coupon_code</t>
  </si>
  <si>
    <t>รหัสคูปอง</t>
  </si>
  <si>
    <t>used_count</t>
  </si>
  <si>
    <t>จำนวนสิทธิ์ที่ใช้ทั้งหมดของ Campaign นี้</t>
  </si>
  <si>
    <t>recommend_flag</t>
  </si>
  <si>
    <t>promotion_priority_flag</t>
  </si>
  <si>
    <t>tier_stack_allow_flag</t>
  </si>
  <si>
    <t>promotion_priority</t>
  </si>
  <si>
    <t>priority ของ promotion</t>
  </si>
  <si>
    <t>sale_channel_name</t>
  </si>
  <si>
    <t>promotion_con_id</t>
  </si>
  <si>
    <t>promotion_con_name</t>
  </si>
  <si>
    <t>max_qty</t>
  </si>
  <si>
    <t>max_amt</t>
  </si>
  <si>
    <t>discount_amt</t>
  </si>
  <si>
    <t>ส่วนลด</t>
  </si>
  <si>
    <t>used_account_id</t>
  </si>
  <si>
    <t>used_branch</t>
  </si>
  <si>
    <t>used_sale_order_no</t>
  </si>
  <si>
    <t>เลข promotion</t>
  </si>
  <si>
    <t>credit_card_id</t>
  </si>
  <si>
    <t>รหัสเครดิตการ์ด</t>
  </si>
  <si>
    <t>hamper_flag</t>
  </si>
  <si>
    <t>Flag ร่วมรายการสินค้า Hamper</t>
  </si>
  <si>
    <t>credit_card_name</t>
  </si>
  <si>
    <t>ชื่อบัตรเครดิตที่ร่วมรายการ</t>
  </si>
  <si>
    <t>ยอดเงินขั้นต่ำ (รวม vat)</t>
  </si>
  <si>
    <t>สถานะ (Active, Delete)</t>
  </si>
  <si>
    <t>owner_name</t>
  </si>
  <si>
    <t>owner_status</t>
  </si>
  <si>
    <t>owner_department</t>
  </si>
  <si>
    <t>premium_id</t>
  </si>
  <si>
    <t>limit_stock</t>
  </si>
  <si>
    <t>used_stock</t>
  </si>
  <si>
    <t>product_source</t>
  </si>
  <si>
    <t>product_data</t>
  </si>
  <si>
    <t>cat_id</t>
  </si>
  <si>
    <t>product_condition</t>
  </si>
  <si>
    <t>discount_type</t>
  </si>
  <si>
    <t>limit_quota</t>
  </si>
  <si>
    <t>limit_value</t>
  </si>
  <si>
    <t>absorb_type</t>
  </si>
  <si>
    <t>ofm_absorb</t>
  </si>
  <si>
    <t>vendor_absorb</t>
  </si>
  <si>
    <t>('1900')</t>
  </si>
  <si>
    <t>รหัสโปรโมชั่น</t>
  </si>
  <si>
    <t>PromotionName</t>
  </si>
  <si>
    <t>ชื่อโปรโมชั่น</t>
  </si>
  <si>
    <t>สถานะโปรโมชั่น (Active,InActive)</t>
  </si>
  <si>
    <t>วันที่เริ่มต้นโปรโมชั่น</t>
  </si>
  <si>
    <t>วันที่สิ้นสุดโปรโมชั่น</t>
  </si>
  <si>
    <t>รายละเอียดโปรโมชั่น</t>
  </si>
  <si>
    <t>Channel</t>
  </si>
  <si>
    <t>ช่องทางที่ใช้โปรโมชั่น (AllChannel,Store,NonStore,Franchise,Online,Printing)</t>
  </si>
  <si>
    <t>('AllChannel')</t>
  </si>
  <si>
    <t>วันที่สร้างโปรโมชั่น</t>
  </si>
  <si>
    <t>ผู้สร้างโปรโมชั่น</t>
  </si>
  <si>
    <t>วันที่แก้ไขโปรโมชั่น</t>
  </si>
  <si>
    <t>ผู้แก้ไขโปรโมชั่น</t>
  </si>
  <si>
    <t>ID ช่องทางการสั่งซื้อ</t>
  </si>
  <si>
    <t>ชื่อช่องทางการสั่งซื้อ</t>
  </si>
  <si>
    <t>sale_channel_status</t>
  </si>
  <si>
    <t>สถานะช่องทางการสั่งซื้อ</t>
  </si>
  <si>
    <t>sale_channel_group</t>
  </si>
  <si>
    <t>กลุ่มของช่องทางการสั่งซื้อ [Online, Offline]</t>
  </si>
  <si>
    <t>('Offline')</t>
  </si>
  <si>
    <t>reserve_sale_channel_id</t>
  </si>
  <si>
    <t>sale_method_name</t>
  </si>
  <si>
    <t>sale_method_status</t>
  </si>
  <si>
    <t>seq</t>
  </si>
  <si>
    <t>SeriesTH</t>
  </si>
  <si>
    <t>ชื่อรุ่นสินค้าภาษาไทย</t>
  </si>
  <si>
    <t>SeriesENG</t>
  </si>
  <si>
    <t>ชื่อรุ่นสินค้าภาษาอังกฤษ</t>
  </si>
  <si>
    <t>SeriesID_Old</t>
  </si>
  <si>
    <t>เก็บข้อมูลไว้อ้างอิง: รหัสรุ่นสินค้า (เก่าจากระบบ ORP)</t>
  </si>
  <si>
    <t>สถานะรุ่น [Active, Inactive, Delete]</t>
  </si>
  <si>
    <t>SeriesID</t>
  </si>
  <si>
    <t>รหัสรุ่นสินค้า (มาจากระบบ PIM)</t>
  </si>
  <si>
    <t>ship_id</t>
  </si>
  <si>
    <t>ship_contact</t>
  </si>
  <si>
    <t>ship_status</t>
  </si>
  <si>
    <t>ship_address_1</t>
  </si>
  <si>
    <t>ship_address_2</t>
  </si>
  <si>
    <t>ship_address_3</t>
  </si>
  <si>
    <t>ship_address_4</t>
  </si>
  <si>
    <t>ship_address_other</t>
  </si>
  <si>
    <t>ship_address_no</t>
  </si>
  <si>
    <t>ship_moo</t>
  </si>
  <si>
    <t>ship_building_id</t>
  </si>
  <si>
    <t>ship_building</t>
  </si>
  <si>
    <t>ship_floor</t>
  </si>
  <si>
    <t>ship_room_no</t>
  </si>
  <si>
    <t>ship_poi_id</t>
  </si>
  <si>
    <t>ship_poi</t>
  </si>
  <si>
    <t>ship_soi</t>
  </si>
  <si>
    <t>ship_street</t>
  </si>
  <si>
    <t>ship_subdistrict</t>
  </si>
  <si>
    <t>ship_subdistrict_eng</t>
  </si>
  <si>
    <t>ship_district</t>
  </si>
  <si>
    <t>ship_district_eng</t>
  </si>
  <si>
    <t>ship_province</t>
  </si>
  <si>
    <t>ship_province_eng</t>
  </si>
  <si>
    <t>ship_zipcode</t>
  </si>
  <si>
    <t>ship_sub_area</t>
  </si>
  <si>
    <t>ship_phoneno</t>
  </si>
  <si>
    <t>ship_phone_extension</t>
  </si>
  <si>
    <t>ship_mobileno</t>
  </si>
  <si>
    <t>ship_faxno</t>
  </si>
  <si>
    <t>ship_email</t>
  </si>
  <si>
    <t>ship_deliveryfee_flag</t>
  </si>
  <si>
    <t>ship_require_approve_flag</t>
  </si>
  <si>
    <t>ship_attach_po_flag</t>
  </si>
  <si>
    <t>ship_attach_bill_flag</t>
  </si>
  <si>
    <t>ship_with_bill_flag</t>
  </si>
  <si>
    <t>payment_slip_flag</t>
  </si>
  <si>
    <t>bill_attach_po_flag</t>
  </si>
  <si>
    <t>ship_default_flag</t>
  </si>
  <si>
    <t>ship_type</t>
  </si>
  <si>
    <t>ship_remark</t>
  </si>
  <si>
    <t>latitude</t>
  </si>
  <si>
    <t>longitude</t>
  </si>
  <si>
    <t>สถานะของหมายเหตุ(Y=ใช้อยู่ , N=ไม่ใช้ )</t>
  </si>
  <si>
    <t>Updateon</t>
  </si>
  <si>
    <t>store_branch_status</t>
  </si>
  <si>
    <t>rcp_print_flag</t>
  </si>
  <si>
    <t>กำหนดว่าสาขานี้สามารถออกเอกสาร RCP ได้หรือไม่ (Yes/No)</t>
  </si>
  <si>
    <t>sale_credit_flag</t>
  </si>
  <si>
    <t>กำหนดว่าสาขานี้สามารถขายเครดิตได้หรือไม่ (Yes/No)</t>
  </si>
  <si>
    <t>check_account_credit_flag</t>
  </si>
  <si>
    <t>ถ้า sale_credit_flag = 'Yes' คือถ้าอนุญาตให้ขาย Credit, field นี้จะบอกว่าต้องไปดู tbaccount.sale_credit_store_flag ด้วยหรือไม่</t>
  </si>
  <si>
    <t>t1c_edit_flag</t>
  </si>
  <si>
    <t>กำหนดว่าสาขานี้สามารถแก้ไขเลข The 1 ตอนเปิด Order ได้หรือไม่ (Yes/No) *แก้ได้เฉพาะลูกค้า Personal</t>
  </si>
  <si>
    <t>ship_edit_flag</t>
  </si>
  <si>
    <t>กำหนดว่าสาขานี้สามารถแก้ไขที่อยู่จัดส่ง ตอนเปิด Order ได้หรือไม่ (Yes/No) *แก้ได้เฉพาะลูกค้า Personal, Corporate (Cash)</t>
  </si>
  <si>
    <t>store_district_name</t>
  </si>
  <si>
    <t>store_name</t>
  </si>
  <si>
    <t>store_status</t>
  </si>
  <si>
    <t>store_address_1</t>
  </si>
  <si>
    <t>store_address_2</t>
  </si>
  <si>
    <t>store_address_3</t>
  </si>
  <si>
    <t>store_address_4</t>
  </si>
  <si>
    <t>store_subdistrict</t>
  </si>
  <si>
    <t>store_district</t>
  </si>
  <si>
    <t>store_province</t>
  </si>
  <si>
    <t>store_zipcode</t>
  </si>
  <si>
    <t>delivery_type</t>
  </si>
  <si>
    <t>store_phoneno</t>
  </si>
  <si>
    <t>store_faxno</t>
  </si>
  <si>
    <t>store_time_service</t>
  </si>
  <si>
    <t>store_google_map</t>
  </si>
  <si>
    <t>store_latitude</t>
  </si>
  <si>
    <t>store_longtitude</t>
  </si>
  <si>
    <t>store_image_small</t>
  </si>
  <si>
    <t>store_image_large</t>
  </si>
  <si>
    <t>store_direction</t>
  </si>
  <si>
    <t>click_collect_flag</t>
  </si>
  <si>
    <t>reptsale_id</t>
  </si>
  <si>
    <t>store_type</t>
  </si>
  <si>
    <t>store_name_thai</t>
  </si>
  <si>
    <t>store_oracle_id</t>
  </si>
  <si>
    <t>รหัสสาขาใน Oracle</t>
  </si>
  <si>
    <t>store_contact</t>
  </si>
  <si>
    <t>store_mobileno</t>
  </si>
  <si>
    <t>store_line_oa</t>
  </si>
  <si>
    <t>store_jv</t>
  </si>
  <si>
    <t>email_contact</t>
  </si>
  <si>
    <t>email สาขา</t>
  </si>
  <si>
    <t>title_id</t>
  </si>
  <si>
    <t>title_type</t>
  </si>
  <si>
    <t>title_desc</t>
  </si>
  <si>
    <t>title_abbreviation</t>
  </si>
  <si>
    <t>ServiceName</t>
  </si>
  <si>
    <t>IsReqDetl</t>
  </si>
  <si>
    <t>ServiceJobType</t>
  </si>
  <si>
    <t>TSIC_Group</t>
  </si>
  <si>
    <t>TSIC_Code</t>
  </si>
  <si>
    <t>TSIC_Eng</t>
  </si>
  <si>
    <t>TSIC_Thai</t>
  </si>
  <si>
    <t>VendorID</t>
  </si>
  <si>
    <t>รหัส Vendor</t>
  </si>
  <si>
    <t>ChannelID</t>
  </si>
  <si>
    <t>รหัสช่องทางการขาย</t>
  </si>
  <si>
    <t>ผู้สร้างข้อมูล</t>
  </si>
  <si>
    <t>รหัสของคลังสินค้า</t>
  </si>
  <si>
    <t>WHName</t>
  </si>
  <si>
    <t>ชื่อของคลังสินค้า</t>
  </si>
  <si>
    <t>WHAddress1</t>
  </si>
  <si>
    <t>ที่อยุ่ลำดับที่ 1</t>
  </si>
  <si>
    <t>WHAddress2</t>
  </si>
  <si>
    <t>ที่อยุ่ลำดับที่ 2</t>
  </si>
  <si>
    <t>WHAddress3</t>
  </si>
  <si>
    <t>ที่อยุ่ลำดับที่ 3</t>
  </si>
  <si>
    <t>WHAddress4</t>
  </si>
  <si>
    <t>ที่อยุ่ลำดับที่ 4</t>
  </si>
  <si>
    <t>WHSoi</t>
  </si>
  <si>
    <t>WHStreet</t>
  </si>
  <si>
    <t>WHSubDistrict</t>
  </si>
  <si>
    <t>ตำบล/แขวง</t>
  </si>
  <si>
    <t>WHDistrict</t>
  </si>
  <si>
    <t>อำเภอ/เขต</t>
  </si>
  <si>
    <t>WHProvince</t>
  </si>
  <si>
    <t>จังหวัด</t>
  </si>
  <si>
    <t>WHZipCode</t>
  </si>
  <si>
    <t>WHContactname</t>
  </si>
  <si>
    <t>ชื่อผู้ติดต่อ</t>
  </si>
  <si>
    <t>WHPhoneNo</t>
  </si>
  <si>
    <t>เบอร์โทรศัพท์</t>
  </si>
  <si>
    <t>WHFaxNo</t>
  </si>
  <si>
    <t>เบอร์แฟกซ์</t>
  </si>
  <si>
    <t>WHIsdefault</t>
  </si>
  <si>
    <t>สถานะการใช้งาน (Active,Delete)</t>
  </si>
  <si>
    <t>Company</t>
  </si>
  <si>
    <t>case 1</t>
  </si>
  <si>
    <t>PoNo</t>
  </si>
  <si>
    <t>ลำดับของสินค้าในใบ PO</t>
  </si>
  <si>
    <t>ProductName</t>
  </si>
  <si>
    <t>Location ID ตอนทำ PO (แต่อาจจะไม่ใช่ Location ที่รับสินค้าเข้า เพราะการรับสินค้าเข้า ระบบจะ query location ใหม่อีกที เพราะอาจจะการย้ายสินค้าไป location อื่นได้</t>
  </si>
  <si>
    <t>PurQty</t>
  </si>
  <si>
    <t>จำนวนสินค้าที่สั่งซื้อ ในหน่วยหน้า PO</t>
  </si>
  <si>
    <t>RcvQty</t>
  </si>
  <si>
    <t>จำนวนที่รับแล้ว</t>
  </si>
  <si>
    <t>ราคาต่อหน่วยบนหน้า PO</t>
  </si>
  <si>
    <t>หน่วยบนหน้า PO</t>
  </si>
  <si>
    <t>ส่วนลดของสินค้า แต่ละบรรทัด</t>
  </si>
  <si>
    <t>มูลค่าที่ลดของสินค้า แต่ละบรรทัด</t>
  </si>
  <si>
    <t>ยอดเงินรวมหลังหักส่วนลด แต่ละบรรทัด</t>
  </si>
  <si>
    <t>รหัสผู้สร้างใบ PO</t>
  </si>
  <si>
    <t>วันที่สร้างใบ PO</t>
  </si>
  <si>
    <t>ชื่อผู้แก้ไขใบ PO ล่าสุด</t>
  </si>
  <si>
    <t>วันที่แก้ไข ใบ PO ล่าสุด</t>
  </si>
  <si>
    <t>IsFree</t>
  </si>
  <si>
    <t>สินค้าตัวนี้เป็นสินค้าที่ Vendor แถมมาหรือไม่ (เฉพาะของแถมที่จะยอมให้มีรหัสสินค้าเดียวกันมากกว่า 1 บรรทัดบน PO)</t>
  </si>
  <si>
    <t>FirstRcvDate</t>
  </si>
  <si>
    <t>วันที่รับสินค้าครั้งแรก ของรหัสสินค้านี้</t>
  </si>
  <si>
    <t>LastRcvDate</t>
  </si>
  <si>
    <t>วันที่รับสินค้าครั้งสุดท้าย ของรหัสสินค้านี้</t>
  </si>
  <si>
    <t>NetUnitPrice</t>
  </si>
  <si>
    <t>ราคาต่อหน่วยหลังหักส่วนลดแล้ว (unitprice - (unitprice*DiscRate/100))</t>
  </si>
  <si>
    <t>BackOrderRemark</t>
  </si>
  <si>
    <t>IsConsignment</t>
  </si>
  <si>
    <t>สินค้าฝากขาย</t>
  </si>
  <si>
    <t>PidOD</t>
  </si>
  <si>
    <t>SKU ของ Officemate Depot</t>
  </si>
  <si>
    <t>RcvZone</t>
  </si>
  <si>
    <t>สินค้าคิด Vat (Yes=คิด , No=ไม่คิด)</t>
  </si>
  <si>
    <t>IsEditPO</t>
  </si>
  <si>
    <t>PoDate</t>
  </si>
  <si>
    <t>สถานะใบPO[N =Expire From InComplete,E=Expire From Fax ,P= Print ,F= Fax,I= InComplete,A=Active,C=Complete,D=Delete]</t>
  </si>
  <si>
    <t>supplierName</t>
  </si>
  <si>
    <t>InvAddr1</t>
  </si>
  <si>
    <t>ที่อยู่ใบกำกับภาษี Vendor บรรทัดที่ 1</t>
  </si>
  <si>
    <t>InvAddr2</t>
  </si>
  <si>
    <t>ที่อยู่ใบกำกับภาษี Vendor บรรทัดที่ 2</t>
  </si>
  <si>
    <t>InvAddr3</t>
  </si>
  <si>
    <t>ที่อยู่ใบกำกับภาษี Vendor บรรทัดที่ 3</t>
  </si>
  <si>
    <t>InvAddr4</t>
  </si>
  <si>
    <t>ที่อยู่ใบกำกับภาษี Vendor บรรทัดที่ 4</t>
  </si>
  <si>
    <t>InvAddr5</t>
  </si>
  <si>
    <t>ที่อยู่ใบกำกับภาษี Vendor บรรทัดที่ 5</t>
  </si>
  <si>
    <t>ShipAddr1</t>
  </si>
  <si>
    <t>สถานที่ ที่จะให้ Vendor มาส่งของ &lt;Default จะเป็น ที่คลังสินค้า&gt; บรรทัดที่ 1</t>
  </si>
  <si>
    <t>ShipAddr2</t>
  </si>
  <si>
    <t>สถานที่ ที่จะให้ Vendor มาส่งของ &lt;Default จะเป็น ที่คลังสินค้า&gt; บรรทัดที่ 2</t>
  </si>
  <si>
    <t>ShipAddr3</t>
  </si>
  <si>
    <t>สถานที่ ที่จะให้ Vendor มาส่งของ &lt;Default จะเป็น ที่คลังสินค้า&gt; บรรทัดที่ 3</t>
  </si>
  <si>
    <t>วันที่ใบ PO นี้รับสินค้าครั้งล่าสุด</t>
  </si>
  <si>
    <t>ContactorName</t>
  </si>
  <si>
    <t>ชื่อผู้ที่เราสั่งซื้อด้วย</t>
  </si>
  <si>
    <t>มูลค่า Vat ของเอกสาร Po</t>
  </si>
  <si>
    <t>Remark ของใบ PO นี้</t>
  </si>
  <si>
    <t>วันที่แก้ไขใบ PO ล่าสุด</t>
  </si>
  <si>
    <t>ContactorPhone</t>
  </si>
  <si>
    <t>เบอร์โทร ผู้ที่เราสั่งซื้อด้วย</t>
  </si>
  <si>
    <t>ContactorFax</t>
  </si>
  <si>
    <t>เบอร์แฟกซ์ ผู้ที่เราสั่งซื้อด้วย</t>
  </si>
  <si>
    <t>WhyCreateNo</t>
  </si>
  <si>
    <t>รหัสการสร้างใบสั่งซื้อนี้ (006:Auto Gen,007:จัดซื้อสินค้า Vendor stock)</t>
  </si>
  <si>
    <t>WhyCreateDesc</t>
  </si>
  <si>
    <t>ความหมายจากรหัสของการสร้างใบสั่งซื้อ</t>
  </si>
  <si>
    <t>ContactorSeqNo</t>
  </si>
  <si>
    <t>ลำดับผู้ติดต่อที่เราสั่งซื้อสินค้าด้วย ใน PO</t>
  </si>
  <si>
    <t>WHAckStatus</t>
  </si>
  <si>
    <t>Status ว่าคลังสินค้า Acknowledge ใบสั่งซื้อนี้หรือยัง P= คลังสินค้าพิมพ์ใบสั่งซื้อนี้ออกมาแล้ว, NULL คือยังไม่รับ, E =?? **** ( ตอนขึ้นระบบ PO ใหม่ ก็จะยกเลิกการใช้งานแล้ว)</t>
  </si>
  <si>
    <t>NoOfPV</t>
  </si>
  <si>
    <t>จำนวนใบรับสินค้า ที่ทำการรับสินค้าของใบ PO นี้</t>
  </si>
  <si>
    <t>ชื่อผู้จัดซื้อ</t>
  </si>
  <si>
    <t>PoRemark</t>
  </si>
  <si>
    <t>Remark ภายในเพื่อให้ Approve PO</t>
  </si>
  <si>
    <t>RcvDateDefault</t>
  </si>
  <si>
    <t>วันที่ต้องการให้สินค้ามาส่ง</t>
  </si>
  <si>
    <t>DeleteRemark</t>
  </si>
  <si>
    <t>ConfirmDesc</t>
  </si>
  <si>
    <t>ReminderRemark</t>
  </si>
  <si>
    <t>PaymentTypeCode</t>
  </si>
  <si>
    <t>รหัสรูปแบบการชำระเงิน</t>
  </si>
  <si>
    <t>(' ')</t>
  </si>
  <si>
    <t>ConfirmDate</t>
  </si>
  <si>
    <t>SourcePO</t>
  </si>
  <si>
    <t>('OFM')</t>
  </si>
  <si>
    <t>IsRevisePO</t>
  </si>
  <si>
    <t>RevisePODate</t>
  </si>
  <si>
    <t>IsUploadEDI</t>
  </si>
  <si>
    <t>IsNonStock</t>
  </si>
  <si>
    <t>TransferDocNo</t>
  </si>
  <si>
    <t>InvNo</t>
  </si>
  <si>
    <t>เลขที่ Invoice</t>
  </si>
  <si>
    <t>ลำดับที่ (ลำดับรหัสสินค้าในใบ DL (Delivery Note)</t>
  </si>
  <si>
    <t>PromtFg</t>
  </si>
  <si>
    <t>รหัสสถานที่จัดเก็บสินค้า</t>
  </si>
  <si>
    <t>Qty</t>
  </si>
  <si>
    <t>จำนวนสินค้า</t>
  </si>
  <si>
    <t>ราคาต่อหน่วย</t>
  </si>
  <si>
    <t>DiscountRate</t>
  </si>
  <si>
    <t>อัตราส่วนลดเป็น %</t>
  </si>
  <si>
    <t>ยอดเงินที่ลดแล้ว (ของทั้งบรรทัด ไม่ใช่ต่อหน่วย)</t>
  </si>
  <si>
    <t>SaleUnit</t>
  </si>
  <si>
    <t>หน่วยมาตรฐาน</t>
  </si>
  <si>
    <t>จำนวนสินค้า X ตัวคูณแปลงหน่วย = จำนวนมาตรฐาน</t>
  </si>
  <si>
    <t>ต้นทุนเฉลี่ยของสินค้า</t>
  </si>
  <si>
    <t>เลิกใช้งาน (ระบบเก็บค่า A หมด)</t>
  </si>
  <si>
    <t>RetQty</t>
  </si>
  <si>
    <t>จำนวนสินค้าที่คืน</t>
  </si>
  <si>
    <t>AmdPNameBy</t>
  </si>
  <si>
    <t>เลิกการใช้งาน</t>
  </si>
  <si>
    <t>Detail ตัวนี้เป็นการขายของจาก Stock สินค้าหรือไม่ (แต่ So เป็นการขายสินค้าจาก stock ทั้งหมด ค่านี้เลยเป็น Y ทั้งหมด)</t>
  </si>
  <si>
    <t>กำหนดให้แสดงบนเอกสาร , Y=แสดง ,N = ไม่แสดง</t>
  </si>
  <si>
    <t>เป็นสินค้าของแถม [Y,N]</t>
  </si>
  <si>
    <t>QCFlag</t>
  </si>
  <si>
    <t>Flag ของ QC สถานะ Y= YES,N= NO, S=สินค้าติดดาว</t>
  </si>
  <si>
    <t>BestDealFlag</t>
  </si>
  <si>
    <t>Best Deal Product Flag (Y:Yes,N:No)</t>
  </si>
  <si>
    <t>ProdType</t>
  </si>
  <si>
    <t>Product Type (C : Computer, F: Fumiture, O : Office Automation, T : Trendy)</t>
  </si>
  <si>
    <t>Vat Flag of Product</t>
  </si>
  <si>
    <t>IncVatPrice</t>
  </si>
  <si>
    <t>Include Vat Product Price</t>
  </si>
  <si>
    <t>DeliverFee</t>
  </si>
  <si>
    <t>Deliver Fee (Item)</t>
  </si>
  <si>
    <t>OthItemDiscAmt</t>
  </si>
  <si>
    <t>เก็บส่วนลดที่เป็นจำนวนเงินของ Voucher By Item</t>
  </si>
  <si>
    <t>OthItemDiscRate</t>
  </si>
  <si>
    <t>เก็บส่วนลดที่เป็นจำนวนเปอร์เซ็น Voucher By Item</t>
  </si>
  <si>
    <t>OldIncVatPrice</t>
  </si>
  <si>
    <t>เก็บราคาสินค้ารวม Vat หลังหักส่วนลด</t>
  </si>
  <si>
    <t>UnitPriceIncVat</t>
  </si>
  <si>
    <t>ราคาสินค้ารวม Vat</t>
  </si>
  <si>
    <t>DiscAmtIncVat</t>
  </si>
  <si>
    <t>QcStatus</t>
  </si>
  <si>
    <t>('001')</t>
  </si>
  <si>
    <t>PickUpQty</t>
  </si>
  <si>
    <t>จำนวนการจัดสินค้า</t>
  </si>
  <si>
    <t>วันที่ออกใบ Invoice</t>
  </si>
  <si>
    <t>InvTime</t>
  </si>
  <si>
    <t>เวลาที่ออกใบ Invoice</t>
  </si>
  <si>
    <t>SoNo</t>
  </si>
  <si>
    <t>เลขที่ใบสั่งซื้อ</t>
  </si>
  <si>
    <t>สถานะเอกสาร U= เก็บเข้าตู้ที่ฝ่ายบัญชีแล้ว , D=Delete , I= Group ไปเป็น INV แล้ว, P=โดนพิมพ์แล้ว, A = พึ่งสร้างยังไม่ได้พิมพ์</t>
  </si>
  <si>
    <t>ที่อยู่ Invoice บรรทัดที่ 1</t>
  </si>
  <si>
    <t>ที่อยู่ Invoice บรรทัดที่ 2</t>
  </si>
  <si>
    <t>ที่อยู่ Invoice บรรทัดที่ 3</t>
  </si>
  <si>
    <t>ที่อยู่ Invoice บรรทัดที่ 4</t>
  </si>
  <si>
    <t>ที่อยู่ Invoice บรรทัดที่ 5</t>
  </si>
  <si>
    <t>ที่อยู่สถานที่ส่งสินค้าบรรทัดที่ 1</t>
  </si>
  <si>
    <t>ที่อยู่สถานที่ส่งสินค้าบรรทัดที่ 2</t>
  </si>
  <si>
    <t>ที่อยู่สถานที่ส่งสินค้าบรรทัดที่ 3</t>
  </si>
  <si>
    <t>ShipAddr4</t>
  </si>
  <si>
    <t>ที่อยู่สถานที่ส่งสินค้าบรรทัดที่ 4</t>
  </si>
  <si>
    <t>ShipAddr5</t>
  </si>
  <si>
    <t>ที่อยู่สถานที่ส่งสินค้าบรรทัดที่ 5</t>
  </si>
  <si>
    <t>ShipProvince</t>
  </si>
  <si>
    <t>รหัสจังหวัดที่ส่งสินค้า</t>
  </si>
  <si>
    <t>AreaCode</t>
  </si>
  <si>
    <t>รหัสพื้นที่ที่ส่งสินค้า</t>
  </si>
  <si>
    <t>PTrmDay</t>
  </si>
  <si>
    <t>ระยะเวลาการชำระเงิน</t>
  </si>
  <si>
    <t>Delivery</t>
  </si>
  <si>
    <t>สถานะการจัดส่งสินค้าให้ [Y= ออฟฟิศเมทส่งให้,N=ออฟฟิศเมทไม่ได้ส่งของให้เอง]</t>
  </si>
  <si>
    <t>ส่วนลดของยอดเงินรวมทั้งบิล</t>
  </si>
  <si>
    <t>ยอดเงินก่อนหักส่วนลดก่อน VAT</t>
  </si>
  <si>
    <t>ยอดเงินรวมก่อน Vat</t>
  </si>
  <si>
    <t>VatAmt (ก่อนหักรับล่วงหน้า) (ดู Field ขื่อ NetVatAmt สำหรับยอด Vat ที่หักรับล่วงหน้าแล้ว)</t>
  </si>
  <si>
    <t>RetAmt</t>
  </si>
  <si>
    <t>ยอดเงินคืนรวม (ไม่ได้ใช้งาน : มีไว้ให้เหมือนกับตาราง SoIvHead เพื่อให้การยกข้อมูลทำได้ง่าย)</t>
  </si>
  <si>
    <t>อัตราภาษี</t>
  </si>
  <si>
    <t>DiscFg</t>
  </si>
  <si>
    <t>วิธีการหักส่วนลด</t>
  </si>
  <si>
    <t>TeleSaleID</t>
  </si>
  <si>
    <t>รหัส Telesale</t>
  </si>
  <si>
    <t>ReptSaleID</t>
  </si>
  <si>
    <t>หมายเลขโทรศัพท์ผู้ติดต่อ</t>
  </si>
  <si>
    <t>เลขที่อ้างอิงของเอกสาร</t>
  </si>
  <si>
    <t>ShipWithPO</t>
  </si>
  <si>
    <t>ส่งของพร้อมแนบใบ PO</t>
  </si>
  <si>
    <t>ส่งของพร้อมวางบิล</t>
  </si>
  <si>
    <t>RecType</t>
  </si>
  <si>
    <t>ชนิดของเอกสาร ( ถ้าเป็น INV คือใบ DL, C/N คือใบ DR แต่ใบ DR เลิกใช้งานแล้ว)</t>
  </si>
  <si>
    <t>DliDate</t>
  </si>
  <si>
    <t>วันที่ส่งสินค้า (ส่งครั้งแรก)</t>
  </si>
  <si>
    <t>วันที่คาดว่าลูกค้าจะชำระเงิน ตามเงื่อนไขการชำระเงินของลูกค้า</t>
  </si>
  <si>
    <t>TruckNo</t>
  </si>
  <si>
    <t>DliArngDate</t>
  </si>
  <si>
    <t>วันที่จัดเอกสารในการส่งของ</t>
  </si>
  <si>
    <t>DliStat</t>
  </si>
  <si>
    <t>สถานะการจัดส่ง</t>
  </si>
  <si>
    <t>DliType</t>
  </si>
  <si>
    <t>DliRemark</t>
  </si>
  <si>
    <t>หมายเหตุการจัดส่ง</t>
  </si>
  <si>
    <t>DliAmt</t>
  </si>
  <si>
    <t>ยอดเงินทั้งบิล -- ตอนนี้ไม่ได้ใช้อะไรเก็บเท่ากับ InvAmt อยู่</t>
  </si>
  <si>
    <t>DliTime</t>
  </si>
  <si>
    <t>เวลาในการจัดส่ง</t>
  </si>
  <si>
    <t>TeleSaleName</t>
  </si>
  <si>
    <t>ชื่อ Telesale</t>
  </si>
  <si>
    <t>หมายเลข Fax ของผู้ติดต่อ</t>
  </si>
  <si>
    <t>SaleChannel</t>
  </si>
  <si>
    <t>ติดต่อผ่านช่องทางสื่อสารตำแหน่งใด (Data อยู่ในตารางTBSOSaleChannel)</t>
  </si>
  <si>
    <t>ShippingSeqNo</t>
  </si>
  <si>
    <t>ลำดับสถานที่จัดส่ง</t>
  </si>
  <si>
    <t>DeliveryMethodSeqNo</t>
  </si>
  <si>
    <t>Flag การส่งถึง [1=อยู่ในเขตการส่งออฟฟิศเมท,2=อยู่นอกเขตการส่งออฟฟิศเมท]</t>
  </si>
  <si>
    <t>ลำดับที่ผู้ติดต่อ</t>
  </si>
  <si>
    <t>SaleMethod</t>
  </si>
  <si>
    <t>รูปแบบการเสนอขายสินค้า [RE = Retail, WH = Whole Sale]</t>
  </si>
  <si>
    <t>ChargeID</t>
  </si>
  <si>
    <t>ID ที่ทำการ charge</t>
  </si>
  <si>
    <t>SaleOption</t>
  </si>
  <si>
    <t>Option การขาย</t>
  </si>
  <si>
    <t>InvType</t>
  </si>
  <si>
    <t>เป็น N หมด เพราะDL จะเป็นแค่ Invoice ขายสินค้า(มีการตัดสต๊อก) แบบเดียว</t>
  </si>
  <si>
    <t>LinkDoc</t>
  </si>
  <si>
    <t>ไม่ได้ใช้งาน (มีไว้ให้เหมือนกับตาราง SoIvHead เพื่อให้การยกข้อมูลทำได้ง่าย)</t>
  </si>
  <si>
    <t>IsMainLinkDoc</t>
  </si>
  <si>
    <t>Prepaidamt</t>
  </si>
  <si>
    <t>IsGenCoupon</t>
  </si>
  <si>
    <t>PromoActCode</t>
  </si>
  <si>
    <t>QCProdSpecial</t>
  </si>
  <si>
    <t>รหัสพนักงานที่ QC สินค้าติดดาว</t>
  </si>
  <si>
    <t>QCProdNormal</t>
  </si>
  <si>
    <t>รหัสพนักงานที่ QC สินค้าปกติ</t>
  </si>
  <si>
    <t>NumOfBoxNormal</t>
  </si>
  <si>
    <t>จำนวนกล่องที่ต้องส่งให้ลูกค้า</t>
  </si>
  <si>
    <t>NumOfBagNormal</t>
  </si>
  <si>
    <t>จำนวนถุงที่ต้องส่งให้ลูกค้า</t>
  </si>
  <si>
    <t>ShipContactor</t>
  </si>
  <si>
    <t>ชื่อผู้รับสินค้า</t>
  </si>
  <si>
    <t>ShipPhoneNo</t>
  </si>
  <si>
    <t>หมายเลขโทรศัพท์ของบริษัทผู้รับสินค้า</t>
  </si>
  <si>
    <t>FPrice</t>
  </si>
  <si>
    <t>[Y , N , Null] ใน SO คือ เก็บว่า มีใบ SO นี้มีสินค้าให้ฟรีหรือไม่</t>
  </si>
  <si>
    <t>ShipFaxNo</t>
  </si>
  <si>
    <t>หมายเลขแฟกซ์ของบริษัทผู้รับสินค้า</t>
  </si>
  <si>
    <t>NumOfBagSpecial</t>
  </si>
  <si>
    <t>Bag3</t>
  </si>
  <si>
    <t>NumOfBoxSpecial</t>
  </si>
  <si>
    <t>Box3</t>
  </si>
  <si>
    <t>CancelType</t>
  </si>
  <si>
    <t>Cancel Type</t>
  </si>
  <si>
    <t>CancelRemark</t>
  </si>
  <si>
    <t>Cancel Remark</t>
  </si>
  <si>
    <t>BestDealAmt</t>
  </si>
  <si>
    <t>Total Amount of Best Deal Product</t>
  </si>
  <si>
    <t>IsSkip</t>
  </si>
  <si>
    <t>ไม่ได้ใช้งาน</t>
  </si>
  <si>
    <t>OrderType</t>
  </si>
  <si>
    <t>Trendy Order Flag (Y/N)</t>
  </si>
  <si>
    <t>ReptClass</t>
  </si>
  <si>
    <t>Class Sale Representative</t>
  </si>
  <si>
    <t>Net Amount of Vat Product</t>
  </si>
  <si>
    <t>Net Amount of Non Vat Product</t>
  </si>
  <si>
    <t>OrdDeliverFee</t>
  </si>
  <si>
    <t>Deliver Fee (Order)</t>
  </si>
  <si>
    <t>SubAreacode</t>
  </si>
  <si>
    <t>Sub Area code</t>
  </si>
  <si>
    <t>NetVatAmt</t>
  </si>
  <si>
    <t>Net Amount of Vat</t>
  </si>
  <si>
    <t>ShippingRemark</t>
  </si>
  <si>
    <t>weborderid</t>
  </si>
  <si>
    <t>เก็บ weborderid</t>
  </si>
  <si>
    <t>VatProductAmountIncVat</t>
  </si>
  <si>
    <t>ยอดสินค้ารวม Vat</t>
  </si>
  <si>
    <t>NonVatProductAmountIncVat</t>
  </si>
  <si>
    <t>ยอดสินค้าไม่รวม Vat</t>
  </si>
  <si>
    <t>OthDiscAmt</t>
  </si>
  <si>
    <t>ยอดเงินของ Voucher</t>
  </si>
  <si>
    <t>OthDiscRate</t>
  </si>
  <si>
    <t>เก็บส่วนลดที่เป็นเปอร์เซ็นของ Voucher</t>
  </si>
  <si>
    <t>TotalAmountIncVat</t>
  </si>
  <si>
    <t>ยอดสินค้าทั้งหมดรวม Vat</t>
  </si>
  <si>
    <t>ส่วนลดที่คิดจาก IncVat</t>
  </si>
  <si>
    <t>SourceOrder</t>
  </si>
  <si>
    <t>('OASYS OFM')</t>
  </si>
  <si>
    <t>T1CardNo</t>
  </si>
  <si>
    <t>หมายเลข The 1 Card</t>
  </si>
  <si>
    <t>shippingstatus</t>
  </si>
  <si>
    <t>('New')</t>
  </si>
  <si>
    <t>IsThaiPost</t>
  </si>
  <si>
    <t>CatalogQty</t>
  </si>
  <si>
    <t>TotalLabellUnshapeditem</t>
  </si>
  <si>
    <t>TotalLabelSmallitem</t>
  </si>
  <si>
    <t>TotalLabelHighvalueitem</t>
  </si>
  <si>
    <t>TotalLabelLargeitem</t>
  </si>
  <si>
    <t>TotalLabelFurniture</t>
  </si>
  <si>
    <t>OrderPickupType</t>
  </si>
  <si>
    <t>ประเภทการจัดสินค้า</t>
  </si>
  <si>
    <t>('Normal')</t>
  </si>
  <si>
    <t>CustVIPFlag</t>
  </si>
  <si>
    <t>กำหนด Flag จาก Segment ลูกค้า (Beyond diamond,diamond=Yes)</t>
  </si>
  <si>
    <t>Segment</t>
  </si>
  <si>
    <t>Segment ลูกค้า (Beyond Diamond,Diamond,Platinum,Gold,Silver)</t>
  </si>
  <si>
    <t>ShippingGroup</t>
  </si>
  <si>
    <t>Cluster รหัสกลุ่มพื้นที่จัดส่ง</t>
  </si>
  <si>
    <t>ShippingSubGroup</t>
  </si>
  <si>
    <t>SubCluster รหัสพื้นที่จัดส่งย่อย</t>
  </si>
  <si>
    <t>SSONo</t>
  </si>
  <si>
    <t>GroupBillType</t>
  </si>
  <si>
    <t>RedeemPointRate</t>
  </si>
  <si>
    <t>NetDeliveryFeeExcVat</t>
  </si>
  <si>
    <t>VatProdNetAmtDeliveryFeeExcVat</t>
  </si>
  <si>
    <t>TeamID</t>
  </si>
  <si>
    <t>NetDeliveryFee</t>
  </si>
  <si>
    <t>ค่าขนส่งรวม Vat</t>
  </si>
  <si>
    <t>IsEtax</t>
  </si>
  <si>
    <t>ใช้ E-tax [Yes,No]</t>
  </si>
  <si>
    <t>IsRequestPaperEtax</t>
  </si>
  <si>
    <t>EtaxEmail</t>
  </si>
  <si>
    <t>Email สำหรับรับข้อมูล E-tax Invoice</t>
  </si>
  <si>
    <t>OFM_SoIvDetl</t>
  </si>
  <si>
    <t>ลำดับที่</t>
  </si>
  <si>
    <t>ไม่น่าจะใช้งานแล้ว</t>
  </si>
  <si>
    <t>Flag ของ QC</t>
  </si>
  <si>
    <t>NewCNPrice</t>
  </si>
  <si>
    <t>ราคาขายใหม่ต่อหน่วยเพื่อนำไปหักลบ CN</t>
  </si>
  <si>
    <t>เก็บหมายเหตุการได้รับ คูปอง</t>
  </si>
  <si>
    <t>OthItemDiscAmtIncVat</t>
  </si>
  <si>
    <t>ส่วนลดต่อ Item (ส่วนลดจาก VoucherByProduct+ส่วนลดจาก PromotionByItem)รวมภาษี</t>
  </si>
  <si>
    <t>VoucherItemDiscAmtIncVat</t>
  </si>
  <si>
    <t>ส่วนลด VoucherByProduct รวมภาษี</t>
  </si>
  <si>
    <t>VoucherItemDiscAmt</t>
  </si>
  <si>
    <t>ส่วนลด VoucherByProduct ไม่รวมภาษี</t>
  </si>
  <si>
    <t>PromoItemDiscAmtIncVat</t>
  </si>
  <si>
    <t>ส่วนลด Promotion ต่อ Item รวมภาษี</t>
  </si>
  <si>
    <t>PromoItemDiscAmt</t>
  </si>
  <si>
    <t>ส่วนลด Promotion ต่อ Item ไม่รวมภาษี</t>
  </si>
  <si>
    <t>RefSeq</t>
  </si>
  <si>
    <t>SeqNo ของรายการสินค้าในเอกสาร SOIVDetl ที่นำมาออก CN/CJ</t>
  </si>
  <si>
    <t>วันที่ออกใบ Invoice (TDSystem.CurrDate + เวลาจริง)(กรณีวันทำงานสุดท้ายที่เราจะเปลี่ยนวันที่ เราจะตั้งมันเป็นวันทำงานวันแรกของเดือนถัดไป</t>
  </si>
  <si>
    <t>เลขที่ใบสั่งซื้อ ( กรณีที่เป็น INV มันจะเก็บเลขที่ SO/ กรณี C/N ก็จะเก็บว่า มาจาก Invoice (ทั้ง Si หรือ SS) อะไร -- กรณี data =DL แปลว่ามาจากใบ DL )</t>
  </si>
  <si>
    <t>สถานะใบ Invoice [A=Active (จะมีเฉพาะตอน SS ก่อนพิมพ์), D=Delete, P = Print, U = โอนเข้าระบบบัญชีแล้ว, F = จะมีเฉพาะกรณีที่เป็น Invoice ที่ขึ้นมาจากระบบเก่า]</t>
  </si>
  <si>
    <t>รหัสพื้นที่ที่ส่งสินค้า (Main Zone)</t>
  </si>
  <si>
    <t>สถานะการจัดส่งสินค้าให้ [Y= ออฟฟิศเมทส่งให้,N=ออฟฟิศเมทไม่ได้ส่งของให้เอง] Data ยังเก็บอยู่ แต่อาจจะไม่โดนใช้แล้ว</t>
  </si>
  <si>
    <t>ยอดเงินคืนรวม (ตอนทำ CN)</t>
  </si>
  <si>
    <t>ไม่น่าจะใช้งานแล้ว แต่ยังคงเก็บ Data อยู่</t>
  </si>
  <si>
    <t>Class ของลูกค้า ณ ช่วงเวลานั้น</t>
  </si>
  <si>
    <t>ชนิดของเอกสาร (INV,C/N)</t>
  </si>
  <si>
    <t>หมายเลขรถส่งสินค้า (จะ update ตอนที่จัดสายระบบ 1 (ทำงานใน store procedure : sp_DliAuto))</t>
  </si>
  <si>
    <t>ประเภทการจัดส่ง Update ตอนจัดสายระบบ 1 (ทำงานใน storeprocedure : sp_DliAuto : dlitype=(select cmcpaycondt.dlitype from soivhead,cmcpaycondt where invno=@invno and paymentcode=cpaymentcode))</t>
  </si>
  <si>
    <t>เลิกใช้งานแล้ว</t>
  </si>
  <si>
    <t>ประเภทเอกสาร ไม่มีผลกับกรณี RecType = C/N (Field นี้จะมีแต่ N), กรณี RecType=INV นั้น ถ้า N คือ Inv ขายสินค้า(มีตัด Stock), S คือ Service Invoice, P = Prepaid Invoice(ทำมาเพื่อใช้ในการรับล่วงหน้าเท่านั้น) A=Inv:SS ที่เป็น Service Invoice แบบ Advertising C=Inv:SS ที่เป็น Service Invoice แบบ Printing/Card D=Canceled Invoice/Cancel Credit Note E=Project รับจองโรงแรม I=Incentive R=Rebate</t>
  </si>
  <si>
    <t>เอกสารรับล่วงหน้า ถ้าไม่มีค่าแสดงว่าไม่มีรับล่วงหน้า กรณีถ้ามี ถ้า Row นี้มี RecType=INV และ InvType=N/S Field นี้จะเก็บหมายเลข SS ที่เป็นใบรับล่วงหน้า, กรณี INV/P Field นี้จะเก็บ SI หรือ SS ที่นำมาใช้ตัดรับล่วงหน้า</t>
  </si>
  <si>
    <t>ถ้าเอกสารนั้นไม่มีรับล่วงหน้าค่า Field นี้เป็น NULL ถ้าเป็น Y แสดงว่าเป็นเอกสารตัวตัด ถ้าเป็น N แสดงว่าเป็นเอกสารรับล่วงหน้า</t>
  </si>
  <si>
    <t>กรณีใบตัดรับล่วงหน้า จะเก็บยอกเงินรับล่วงหน้าไว้ (ก่อน Vat)</t>
  </si>
  <si>
    <t>จำนวนกล่องที่ต้องส่งให้ลูกค้า (มาจาก โครงสร้างเก่าคือ Box)</t>
  </si>
  <si>
    <t>จำนวนถุงที่ต้องส่งให้ลูกค้า (มาจาก โครงสร้างเก่าคือ Bag)</t>
  </si>
  <si>
    <t>ถ้าเป็น NULL แสดงว่าไม่มีใบรับล่วงหน้า ถ้ามีค่าคือจะเป็นยอดที่เอามูลค่า NetAmt-ISNULL(PrepaidAmt,0) มาคำนวน Vat</t>
  </si>
  <si>
    <t>หมายเหตุเจ้าหน้าที่จัดส่ง</t>
  </si>
  <si>
    <t>SubAreaCode</t>
  </si>
  <si>
    <t>รหัสพื้นที่โซนย่อย</t>
  </si>
  <si>
    <t>Skip Invoice Flag (For CN Rebate)</t>
  </si>
  <si>
    <t>IsGenBill</t>
  </si>
  <si>
    <t>Generate bill Flag (Y : Yes, N : No)</t>
  </si>
  <si>
    <t>Setted Amount</t>
  </si>
  <si>
    <t>CFStatus</t>
  </si>
  <si>
    <t>Confirm Invoice Status ( Y=yes ,N=No ) (สำหรับฝ่ายบัญชีในการรับเอกสาร)</t>
  </si>
  <si>
    <t>IsSettled</t>
  </si>
  <si>
    <t>เก็บ Flag เอกสาร Sale Invoice ว่าได้ทำการ Settle แล้วหรือยัง ( Y/N)</t>
  </si>
  <si>
    <t>IsOffset</t>
  </si>
  <si>
    <t>สถานะการยกเลิก Invoice ( Y=ยกเลิก Invoice , N=ไม่ได้ยกเลิก Invoice)</t>
  </si>
  <si>
    <t>OffsetRefno</t>
  </si>
  <si>
    <t>เก็บเลขที่ Invoice CJ/SJ ที่หักล้างกับ Invoice</t>
  </si>
  <si>
    <t>WebOrderID</t>
  </si>
  <si>
    <t>IsOnProcessCM</t>
  </si>
  <si>
    <t>เก็บว่ามีการเอาไปสร้าง Job งานของ cm แล้วหรือยัง (No=ยังไม่สร้าง Job งานของ CM , Yes=สร้าง Job งานของ CM แล้ว)</t>
  </si>
  <si>
    <t>NumOfStar</t>
  </si>
  <si>
    <t>MatchPrepaidDate</t>
  </si>
  <si>
    <t>ที่มาของออเดอร์ (Oasys OFM=เปิดจาก Oasys ที่เป็นสินค้าของ Officemate, Oasys CCC=เปิดจาก Oasys ที่เป็นสินค้าของ CCC, CCC=ดาวน์โหลดจากเว็บ CCC, B2B=ดาวน์โหลดจาก E-Pro, B2C=ดาวน์โหลดจากเว็บ Officemate)</t>
  </si>
  <si>
    <t>หมายเลขบัตร The1Card</t>
  </si>
  <si>
    <t>GiftMessage</t>
  </si>
  <si>
    <t>ข้อความที่แนบไปกับของขวัญ</t>
  </si>
  <si>
    <t>PromotionDesc</t>
  </si>
  <si>
    <t>GetVoucherNo</t>
  </si>
  <si>
    <t>รหัส Group Voucher</t>
  </si>
  <si>
    <t>PromoDiscAmtIncVat</t>
  </si>
  <si>
    <t>ส่วนลดที่ได้จากโปรโมชั่น (ส่วนลด ByOrder + ส่วนลดที่ได้จาก Central CreditCard)</t>
  </si>
  <si>
    <t>PromoDiscAmt</t>
  </si>
  <si>
    <t>ส่วนลดที่ได้จากโปรโมชั่น (ส่วนลด ByOrder + ส่วนลดที่ได้จาก Central CreditCard) ExVat</t>
  </si>
  <si>
    <t>VoucherDiscAmtIncVat</t>
  </si>
  <si>
    <t>ส่วนลดที่ได้จาก Voucher ประเภท ByOrder</t>
  </si>
  <si>
    <t>VoucherDiscAmt</t>
  </si>
  <si>
    <t>ส่วนลดที่ได้จาก Voucher ประเภท ByOrder ExVat</t>
  </si>
  <si>
    <t>OthDiscAmtIncVat</t>
  </si>
  <si>
    <t>ราคาส่วนลดทั้งหมด(ส่วนลดByOrder + ส่วนลดByItem) รวมภาษี</t>
  </si>
  <si>
    <t>CashVoucher</t>
  </si>
  <si>
    <t>ส่วนลดประเภท CashVoucher เป็นจำนวนบาท</t>
  </si>
  <si>
    <t>VoucherType</t>
  </si>
  <si>
    <t>ประเภท Voucher</t>
  </si>
  <si>
    <t>PaymentDiscAmtIncVat</t>
  </si>
  <si>
    <t>สำหรับการชำระด้วยบัตรเครดิต (ตอนนี้เป็น Central Credit Card)</t>
  </si>
  <si>
    <t>PaymentDiscAmt</t>
  </si>
  <si>
    <t>ส่วนลดสำหรับการชำระด้วยบัตรเครดิต (ตอนนี้เป็น Central Credit Card) (ExVat)</t>
  </si>
  <si>
    <t>TotalVoucherItemDiscAmtIncVat</t>
  </si>
  <si>
    <t>ราคาส่วนลดทั้งหมดของ Voucher ByProduct</t>
  </si>
  <si>
    <t>TotalVoucherItemDiscAmt</t>
  </si>
  <si>
    <t>ราคาส่วนลดทั้งหมดของ Voucher ByProduct (ExVat)</t>
  </si>
  <si>
    <t>TotalPromoItemDiscAmtIncVat</t>
  </si>
  <si>
    <t>ราคาส่วนลดทั้งหมดขอ Promotion ByItem</t>
  </si>
  <si>
    <t>TotalPromoItemDiscAmt</t>
  </si>
  <si>
    <t>ราคาส่วนลดทั้งหมดขอ Promotion ByItem (ExVat)</t>
  </si>
  <si>
    <t>FullTaxNo</t>
  </si>
  <si>
    <t>เลขที่ใบกำกับภาษีเต็มรูป</t>
  </si>
  <si>
    <t>ชื่อสาขา</t>
  </si>
  <si>
    <t>CustTaxID</t>
  </si>
  <si>
    <t>เลขประจำตัวผู้เสียภาษี</t>
  </si>
  <si>
    <t>FullTaxDate</t>
  </si>
  <si>
    <t>วันที่และเวลา Full Tax</t>
  </si>
  <si>
    <t>LastDocNo</t>
  </si>
  <si>
    <t>เลขที่เอกสารล่าสุดที่ทำการสร้าง</t>
  </si>
  <si>
    <t>RedeemCash</t>
  </si>
  <si>
    <t>จำนวนเงินที่ต้องจ่ายหลังหักแต้ม</t>
  </si>
  <si>
    <t>RedeemPoint</t>
  </si>
  <si>
    <t>จำนวนแต้ม</t>
  </si>
  <si>
    <t>T1CRefNo</t>
  </si>
  <si>
    <t>เลขที่อ้างอิงในการตัดแต้ม The 1 Card</t>
  </si>
  <si>
    <t>T1CRedeemCardNo</t>
  </si>
  <si>
    <t>เก็บหมายเลข The 1 Card ที่ทำการ Redeem</t>
  </si>
  <si>
    <t>ShippingStatus</t>
  </si>
  <si>
    <t>CustType</t>
  </si>
  <si>
    <t>ประเภทลูกค้า</t>
  </si>
  <si>
    <t>ShipZipCode</t>
  </si>
  <si>
    <t>CNCode</t>
  </si>
  <si>
    <t>รหัสประเภทการออกใบลดหนี้ (01:ราคา,02:ส่วนลด,03:คืนสินค้า)</t>
  </si>
  <si>
    <t>CNType</t>
  </si>
  <si>
    <t>ประเภทการออกใบลดหนี้ (ราคา,ส่วนลด,คืนสินค้า)</t>
  </si>
  <si>
    <t>CNEtaxCode</t>
  </si>
  <si>
    <t>Code สาเหตุการออก CN Mapping Text Etax</t>
  </si>
  <si>
    <t>CNEtaxName</t>
  </si>
  <si>
    <t>สาเหตุการออก CN Mapping Text Etax</t>
  </si>
  <si>
    <t>FormHeader</t>
  </si>
  <si>
    <t>เก็บข้อมูลหัวเอกสารที่แสดงใน PDF File [ใบกำกับภาษี/ใบเสร็จรับเงิน], [ใบกำกับภาษี]</t>
  </si>
  <si>
    <t>DLHeader</t>
  </si>
  <si>
    <t>เก็บข้อมูลหัวเอกสารที่ต้องแสดงในใบส่งสินค้า [ใบส่งของ/ใบเสร็จรับเงิน],[ใบส่งของ]</t>
  </si>
  <si>
    <t>RefRSINo</t>
  </si>
  <si>
    <t>เลขเอกสารใบแทนใบกำกับภาษีที่นำมาออกใบลดหนี้</t>
  </si>
  <si>
    <t>IsEditOrderGov</t>
  </si>
  <si>
    <t>Flag สำหรับเชคออเดอราชการ</t>
  </si>
  <si>
    <t>InsteadChannelName</t>
  </si>
  <si>
    <t>ชื่อช่องทางเงินรับแทน</t>
  </si>
  <si>
    <t>BranchGenInv</t>
  </si>
  <si>
    <t>('00000')</t>
  </si>
  <si>
    <t>case 4</t>
  </si>
  <si>
    <t>EtaxMobile</t>
  </si>
  <si>
    <t>OFM_tballocate_stock_bychannel</t>
  </si>
  <si>
    <t>allocate_type</t>
  </si>
  <si>
    <t>on_hand</t>
  </si>
  <si>
    <t>on_sale</t>
  </si>
  <si>
    <t>on_ic</t>
  </si>
  <si>
    <t>wh_id</t>
  </si>
  <si>
    <t>wh_name</t>
  </si>
  <si>
    <t>sub_wh_id</t>
  </si>
  <si>
    <t>sub_wh_name</t>
  </si>
  <si>
    <t>allocate_status</t>
  </si>
  <si>
    <t>OFM_tbeo_detail</t>
  </si>
  <si>
    <t>eo_no</t>
  </si>
  <si>
    <t>ลำดับที่สินค้า</t>
  </si>
  <si>
    <t>product_name_old</t>
  </si>
  <si>
    <t>ชื่อสินค้าก่อนแก้ไข</t>
  </si>
  <si>
    <t>จำนวนสั่งซื้อ</t>
  </si>
  <si>
    <t>qty_old</t>
  </si>
  <si>
    <t>จำนวนสั่งซื้อก่อนการแก้ไข</t>
  </si>
  <si>
    <t>sale_unit_old</t>
  </si>
  <si>
    <t>หน่วยขาย ก่อนแก้ไข</t>
  </si>
  <si>
    <t>ราคาสินค้า (รวมภาษี) /หน่วย</t>
  </si>
  <si>
    <t>price_incvat_old</t>
  </si>
  <si>
    <t>ราคาสินค้า (รวมภาษี) /หน่วย ก่อนแก้ไข</t>
  </si>
  <si>
    <t>price_disc_incvat</t>
  </si>
  <si>
    <t>ราคาสินค้า - ส่วนลด (รวมภาษี)</t>
  </si>
  <si>
    <t>ราคาสินค้า (ก่อนภาษี) /หน่วย</t>
  </si>
  <si>
    <t>price_excvat_old</t>
  </si>
  <si>
    <t>ราคาสินค้า (ก่อนภาษี) /หน่วย ก่อนแก้ไข</t>
  </si>
  <si>
    <t>price_type</t>
  </si>
  <si>
    <t>ราคาสินค้านี้เป็นราคาที่มาจากโครงสร้างราคาใด(NormalPrice, FixPrice, PromotionPrice, Free)</t>
  </si>
  <si>
    <t>free_flag</t>
  </si>
  <si>
    <t>เป็นสินค้าของแถม (Yes,No)</t>
  </si>
  <si>
    <t>คิดภาษีสินค้า (Yes = คิด Vat , No=ไม่คิด Vat)</t>
  </si>
  <si>
    <t>สินค้าไม่ยกเว้นส่วนลด (Yes = ไม่ลด, No = ลด)</t>
  </si>
  <si>
    <t>ส่วนลดลูกค้า (%) เช่น 0, 3</t>
  </si>
  <si>
    <t>disc_rate_old</t>
  </si>
  <si>
    <t>ส่วนลดลูกค้า (%) เช่น 0, 3 (เดิมก่อนแก้ไข)</t>
  </si>
  <si>
    <t>disc_amt_incvat</t>
  </si>
  <si>
    <t>ส่วนลดสินค้า (รวมภาษี)</t>
  </si>
  <si>
    <t>disc_amt_excvat</t>
  </si>
  <si>
    <t>ส่วนลดสินค้า (ไม่รวมภาษี)</t>
  </si>
  <si>
    <t>มูลค่าภาษี (บาท)</t>
  </si>
  <si>
    <t>total_amt_excvat</t>
  </si>
  <si>
    <t>ราคาสินค้าสุทธิ (หลังหักส่วนลด) X จำนวนสั่งซื้อ</t>
  </si>
  <si>
    <t>ค่าขนส่งพิเศษ By Item ต่อ SKU สินค้า</t>
  </si>
  <si>
    <t>item_deliveryfee_old</t>
  </si>
  <si>
    <t>ค่าขนส่งพิเศษ By Item ต่อ SKU สินค้า ก่อนแก้ไข</t>
  </si>
  <si>
    <t>avg_cost_before_approve</t>
  </si>
  <si>
    <t>ราคาทุนสินค้า (ก่อนขออนุมัติ)</t>
  </si>
  <si>
    <t>avg_cost_after_approve</t>
  </si>
  <si>
    <t>ราคาทุนสินค้า (หลังขออนุมัติ)</t>
  </si>
  <si>
    <t>disc_amt_incvat_old</t>
  </si>
  <si>
    <t>ส่วนลดสินค้า (รวมภาษี) ก่อนแก้ไข</t>
  </si>
  <si>
    <t>disc_amt_excvat_old</t>
  </si>
  <si>
    <t>ส่วนลดสินค้า (ก่อนภาษี) ก่อนแก้ไข</t>
  </si>
  <si>
    <t>oth_item_disc_rate</t>
  </si>
  <si>
    <t>ส่วนลดที่เป็นจำนวนเปอร์เซ็น Voucher By Item</t>
  </si>
  <si>
    <t>oth_item_disc_amt_incvat</t>
  </si>
  <si>
    <t>ส่วนลดคูปอง (บาท) ของรายการสินค้านี้ (รวมภาษี)</t>
  </si>
  <si>
    <t>oth_item_disc_amt_excvat</t>
  </si>
  <si>
    <t>ส่วนลดคูปอง (บาท) ของรายการสินค้านี้ (ไม่รวมภาษี)</t>
  </si>
  <si>
    <t>voucher_item_disc_amt_incvat</t>
  </si>
  <si>
    <t>ส่วนลดคูปอง ต่อรายการ (รวมภาษี)</t>
  </si>
  <si>
    <t>voucher_item_disc_amt_excvat</t>
  </si>
  <si>
    <t>ส่วนลดคูปอง ต่อรายการ (ไม่รวมภาษี)</t>
  </si>
  <si>
    <t>promo_item_disc_amt_incvat</t>
  </si>
  <si>
    <t>ส่วนลดโปรโมชั่น ต่อรายการ (รวมภาษี)</t>
  </si>
  <si>
    <t>promo_item_disc_amt_excvat</t>
  </si>
  <si>
    <t>ส่วนลดโปรโมชั่น ต่อรายการ (ไม่รวมภาษี)</t>
  </si>
  <si>
    <t>payment_item_disc_amt_incvat</t>
  </si>
  <si>
    <t>ส่วนลดโปรโมชั่น จากประเภทการชำระเงิน ที่ร่วมรายการต่อรายการ (รวมภาษี)</t>
  </si>
  <si>
    <t>payment_item_disc_amt_excvat</t>
  </si>
  <si>
    <t>ส่วนลดโปรโมชั่น จากประเภทการชำระเงิน ต่อรายการ (ไม่รวมภาษี)</t>
  </si>
  <si>
    <t>require_qty</t>
  </si>
  <si>
    <t>จำนวนสั่งซื้อ ที่ต้องการ</t>
  </si>
  <si>
    <t>stock_qty</t>
  </si>
  <si>
    <t>จำนวน Stock ของสินค้า</t>
  </si>
  <si>
    <t>pickup_qty</t>
  </si>
  <si>
    <t>จำนวนสินค้าสั่งจัด</t>
  </si>
  <si>
    <t>base_qty</t>
  </si>
  <si>
    <t>จำนวน ratio สินค้า X จำนวนสินค้า</t>
  </si>
  <si>
    <t>base_unit</t>
  </si>
  <si>
    <t>Unit &amp; Selling Price.ชื่อหน่วยมาตรฐาน</t>
  </si>
  <si>
    <t>ratio</t>
  </si>
  <si>
    <t>อัตรส่วนสินค้า ต่อหน่วยขาย</t>
  </si>
  <si>
    <t>ประเภทกลุ่มสินค้า (Computer,Furniture, Office Automation, ...</t>
  </si>
  <si>
    <t>สถานะสินค้า</t>
  </si>
  <si>
    <t>รหัสหมวดสินค้า</t>
  </si>
  <si>
    <t>sub_cat_id</t>
  </si>
  <si>
    <t>รหัสหมวดย่อยสินค้า</t>
  </si>
  <si>
    <t>brand_id</t>
  </si>
  <si>
    <t>รหัสเบรนด์สินค้า</t>
  </si>
  <si>
    <t>sub_class</t>
  </si>
  <si>
    <t>SUB_CLS ของสินค้า OD</t>
  </si>
  <si>
    <t>order_type</t>
  </si>
  <si>
    <t>ประเภทของออเดอร์ที่มาจับกับ Store (None:ไม่ระบุประเภท(ห้ามขาย) *** Normal:สินค้าปกติขายได้, VendorStock:สินค้าปกติขายได้ ของอยู่ในสโตร์ Vendor, Customer:สินค้าปกติขายไมได้ สินค้าอยู่ในสโตร์ลูกค้า Clearance:สินค้าปกติขายได้ลดราคา, MKP:สินค้าปกติขายได้สินค้า MarketPlace Premium:สินค้าสั่งทำพิเศษ Printing:สินค้าวัตถุดิบสำหรับงานพิมพ์ CrossSale:สินค้าดีขายได้(เฉพาะขายข้าม))</t>
  </si>
  <si>
    <t>lot_no</t>
  </si>
  <si>
    <t>เลขที่ Lot เอกสาร ประเภท Vendor, PickupSpecial, Special</t>
  </si>
  <si>
    <t>ชื่อคลังสินค้า</t>
  </si>
  <si>
    <t>รหัสคลังสินค้าย่อย</t>
  </si>
  <si>
    <t>ชื่อคลังสินค้าย่อย</t>
  </si>
  <si>
    <t>eo_service_id</t>
  </si>
  <si>
    <t>รหัสบริการ</t>
  </si>
  <si>
    <t>eo_service_type</t>
  </si>
  <si>
    <t>ประเภทบริการ</t>
  </si>
  <si>
    <t>qty_item_disc_amt_excvat</t>
  </si>
  <si>
    <t>ส่วนลดที่ได้จาก Promotion Auto Discount (ExcVat)(ByItem)</t>
  </si>
  <si>
    <t>qty_item_disc_amt_incvat</t>
  </si>
  <si>
    <t>ส่วนลดที่ได้จาก Promotion Auto Discount (IncVat)(ByItem)</t>
  </si>
  <si>
    <t>OFM_tbeo_head</t>
  </si>
  <si>
    <t>eo_date</t>
  </si>
  <si>
    <t>สถานะเอกสาร (Open = จองสินค้า, Pending = ติด Rule รอการอนุมัติ, Approve = อนุมัติ, Reject = ไม่อนุมัติ, Delete = ยกเลิกเอกสาร คืนสินค้า, Confirm = ยืนยันจัดสินค้า, Complete = จัดสินค้าเสร็จสิ้น พร้อมเอกสาร SI)</t>
  </si>
  <si>
    <t>invoice_no</t>
  </si>
  <si>
    <t>เลขที่เอกสาร Invoice (SI)</t>
  </si>
  <si>
    <t>เลขที่เอกสารที่ได้จากการ Transfer เช่น QU, SO, DO</t>
  </si>
  <si>
    <t>ประเภทเอกสาร (EO)</t>
  </si>
  <si>
    <t>web_order_id</t>
  </si>
  <si>
    <t>เลขที่ใบสั่งซื้อ Online (Web officemate.co.th)</t>
  </si>
  <si>
    <t>ref_prepaid_no</t>
  </si>
  <si>
    <t>เลขที่เอกสารค่ามัดจำ (SS)</t>
  </si>
  <si>
    <t>doc_ref_no</t>
  </si>
  <si>
    <t>เลขที่เอกสารอ้างอิง (User Key manual เอกสารลูกค้า)</t>
  </si>
  <si>
    <t>source_order</t>
  </si>
  <si>
    <t>ที่มาที่ของใบสั่งซื้อถูกกำหนดที่ Store Branch ของ user เช่น OFM Store (OASYS), Call center , Franchise ..)</t>
  </si>
  <si>
    <t>t1c_no</t>
  </si>
  <si>
    <t>เลขที่ The 1 Card (สำหรับการได้รับ Point)</t>
  </si>
  <si>
    <t>po_no</t>
  </si>
  <si>
    <t>เลขที่เอกสาร PO/PR ลูกค้า (Key Manual)</t>
  </si>
  <si>
    <t>po_complete_status</t>
  </si>
  <si>
    <t>สถานะอ้างอิง PO ลูกค้า (None : ไม่มี PO,Complete: รายการสินค้าครบ PO ,InComplete: รายการสินค้าไม่ครบ PO)</t>
  </si>
  <si>
    <t>po_remark</t>
  </si>
  <si>
    <t>หมายเหตุเอกสาร PO ลูกค้า</t>
  </si>
  <si>
    <t>scan_po_flag</t>
  </si>
  <si>
    <t>เมื่อมีการ Scan PO ของ SO นี้ลงไปในระบบ Flag จะถูก Update= Yes (Yes : มี PO Scan ในระบบแล้ว , No : ยังไม่มี)</t>
  </si>
  <si>
    <t>confirm_date</t>
  </si>
  <si>
    <t>วันที่ยืนยันจัดสินค้า</t>
  </si>
  <si>
    <t>confirm_status_desc</t>
  </si>
  <si>
    <t>รายละเอียดการการยืนยัน confirm so</t>
  </si>
  <si>
    <t>รหัสผู้ติดต่อ</t>
  </si>
  <si>
    <t>ชื่อ-สกุล ผู้ติดต่อ</t>
  </si>
  <si>
    <t>contact_phone</t>
  </si>
  <si>
    <t>เบอร์โทร ผู้ติดต่อ</t>
  </si>
  <si>
    <t>เบอร์ต่อ ผู้ติดต่อ</t>
  </si>
  <si>
    <t>contact_fax</t>
  </si>
  <si>
    <t>เบอร์แฟ็กซ ผู้ติดต่อ</t>
  </si>
  <si>
    <t>อีเมล ผู้ติดต่อ</t>
  </si>
  <si>
    <t>contact_mobile</t>
  </si>
  <si>
    <t>เบอร์มือถือ ผู้ติดต่อ</t>
  </si>
  <si>
    <t>รหัสสาขาลูกค้า</t>
  </si>
  <si>
    <t>ประเภทลูกค้า (Personal, Corporate)</t>
  </si>
  <si>
    <t>สถานะลูกค้า (Active , Expire, Delete, Lock, AutoLock, ... )</t>
  </si>
  <si>
    <t>Segment ลูกค้า (Silver, Platinum, Gold, Diamond, Beyond Diamond)</t>
  </si>
  <si>
    <t>รหัส Sale Rept ที่ดูแลลูกค้า เช่น KA1,KA2, KG1, CRM</t>
  </si>
  <si>
    <t>รหัส Cust Class ลูกค้า เช่น AC1, AC2</t>
  </si>
  <si>
    <t>account_remark</t>
  </si>
  <si>
    <t>หมายเหตุอื่นๆ ของลูกค้า</t>
  </si>
  <si>
    <t>เลขที่ประจำตัวผู้เสียภาษีลูกค้า</t>
  </si>
  <si>
    <t>ที่อยู่ใบกำกับภาษี ลำดับที่ 1</t>
  </si>
  <si>
    <t>ที่อยู่ใบกำกับภาษี ลำดับที่ 2</t>
  </si>
  <si>
    <t>ที่อยู่ใบกำกับภาษี ลำดับที่ 3</t>
  </si>
  <si>
    <t>ที่อยู่ใบกำกับภาษี ลำดับที่ 4</t>
  </si>
  <si>
    <t>หมายเหตุเอกสารที่ต้องการแสดงในเอกสาร Invoice</t>
  </si>
  <si>
    <t>internal_remark</t>
  </si>
  <si>
    <t>หมายเหตุภายใน เพื่อแจ้งเจ้าหน้าที่คลังสินค้า</t>
  </si>
  <si>
    <t>document_remark</t>
  </si>
  <si>
    <t>หมายเหตุ ใช้แสดงในใบแจ้งยอด หรือใบเสนอราคา ระบบ OASYS</t>
  </si>
  <si>
    <t>delivery_date</t>
  </si>
  <si>
    <t>วันที่จัดส่งสินค้า</t>
  </si>
  <si>
    <t>delivery_remark</t>
  </si>
  <si>
    <t>รหัสสถานที่จัดส่ง</t>
  </si>
  <si>
    <t>ผู้รับสินค้า</t>
  </si>
  <si>
    <t>เบอร์โทร สถานที่จัดส่ง</t>
  </si>
  <si>
    <t>เบอร์ต่อ สถานที่จัดส่ง</t>
  </si>
  <si>
    <t>เบอร์มือถือ สถานที่จัดส่ง</t>
  </si>
  <si>
    <t>เบอร์แฟ็กซ สถานที่จัดส่ง</t>
  </si>
  <si>
    <t>อีเมล ผู้ติดต่อสถานที่จัดส่ง</t>
  </si>
  <si>
    <t>ที่อยู่สถานที่จัดส่ง ลำดับที่ 1</t>
  </si>
  <si>
    <t>ที่อยู่สถานที่จัดส่ง ลำดับที่ 2</t>
  </si>
  <si>
    <t>ที่อยู่สถานที่จัดส่ง ลำดับที่ 3</t>
  </si>
  <si>
    <t>ที่อยู่สถานที่จัดส่ง ลำดับที่ 4</t>
  </si>
  <si>
    <t>ชื่อจังหวัดสถานที่จัดส่ง</t>
  </si>
  <si>
    <t>รหัสโซนการจัดส่ง</t>
  </si>
  <si>
    <t>เลขที่ สถานที่จัดส่ง</t>
  </si>
  <si>
    <t>หมู่ที่ สถานที่จัดส่ง</t>
  </si>
  <si>
    <t>ชั้นที่ สถานที่จัดส่ง</t>
  </si>
  <si>
    <t>เลขที่ห้อง สถานที่จัดส่ง</t>
  </si>
  <si>
    <t>ชื่อซอย สถานที่จัดส่ง</t>
  </si>
  <si>
    <t>ชื่อถนน สถานที่จัดส่ง</t>
  </si>
  <si>
    <t>ตำบล/แขวง สถานที่จัดส่ง</t>
  </si>
  <si>
    <t>อำเภอ/เขต สถานที่จัดส่ง</t>
  </si>
  <si>
    <t>รหัสไปรษณีย์ สถานที่จัดส่ง</t>
  </si>
  <si>
    <t>รหัสอาคาร สถานที่จัดส่ง</t>
  </si>
  <si>
    <t>ชื่ออาคาร สถานที่จัดส่ง</t>
  </si>
  <si>
    <t>รหัสสถานที่ใกล้ สถานที่จัดส่ง</t>
  </si>
  <si>
    <t>ชื่อสถานที่ใกล้เคียง สถานที่จัดส่ง</t>
  </si>
  <si>
    <t>ship_latitude</t>
  </si>
  <si>
    <t>พิกัด latitude สถานที่จัดส่ง</t>
  </si>
  <si>
    <t>ship_longitude</t>
  </si>
  <si>
    <t>พิกัด longtitude สถานที่จัดส่ง</t>
  </si>
  <si>
    <t>last_update_ship</t>
  </si>
  <si>
    <t>ข้อมูล Timestamp update</t>
  </si>
  <si>
    <t>แนบเอกสาร PO (Yes/No)</t>
  </si>
  <si>
    <t>แนบเอกสาร Bill (Yes/No)</t>
  </si>
  <si>
    <t>payment_code</t>
  </si>
  <si>
    <t>การชำระเงิน (Cash, Credit)</t>
  </si>
  <si>
    <t>payment_type</t>
  </si>
  <si>
    <t>ประเภทการชำระเงิน (Bank Transfer, Cash on Delivery, ...)</t>
  </si>
  <si>
    <t>payment_name</t>
  </si>
  <si>
    <t>ประเภทการชำระเงิน (เงินสด, โอนเงิน, ... )</t>
  </si>
  <si>
    <t>payment_term</t>
  </si>
  <si>
    <t>จำนวนวัน Credit Term ของลูกค้าเครดิต</t>
  </si>
  <si>
    <t>credit_card_method</t>
  </si>
  <si>
    <t>วิธีการชำระเงินบัตรเครดิตหน้าร้าน (รูดแบบปกติ, รูดแบบผ่อนชำระ)</t>
  </si>
  <si>
    <t>รหัสการชำระเงิน บัตรเครดิตธนาคารใด</t>
  </si>
  <si>
    <t>ชื่อบัตรเครดิตของธนาคารใด</t>
  </si>
  <si>
    <t>disc_amt</t>
  </si>
  <si>
    <t>ส่วนลด (บาท)</t>
  </si>
  <si>
    <t>ภาษี (%)</t>
  </si>
  <si>
    <t>ส่วนลดลูกค้า (%) เดิมก่อนแก้ไข</t>
  </si>
  <si>
    <t>disc_amt_old</t>
  </si>
  <si>
    <t>ส่วนลด (บาท) เดิมก่อนแก้ไข</t>
  </si>
  <si>
    <t>vat_old</t>
  </si>
  <si>
    <t>ภาษี (%) เดิมก่อนแก้ไข</t>
  </si>
  <si>
    <t>deliveryfee_flag</t>
  </si>
  <si>
    <t>ค่าขนส่งพิเศษสถานที่จัดส่ง (Yes, No)</t>
  </si>
  <si>
    <t>รวมค่าขนส่งพิเศษ By Item ทั้งหมด</t>
  </si>
  <si>
    <t>รวมค่าขนส่งพิเศษ By Item ทั้งหมด เดิมก่อนแก้ไข</t>
  </si>
  <si>
    <t>order_deliveryfee</t>
  </si>
  <si>
    <t>ค่าขนส่ง By Order</t>
  </si>
  <si>
    <t>order_deliveryfee_old</t>
  </si>
  <si>
    <t>ค่าขนส่ง By Order เดิมก่อนแก้ไข</t>
  </si>
  <si>
    <t>net_deliveryfee</t>
  </si>
  <si>
    <t>รวมค่าขนส่งพิเศษ ByItem ทั้งหมด กับค่าขนส่ง ByOrder</t>
  </si>
  <si>
    <t>ยอดรวมหลังหักส่วนลดของสินค้าไม่คิดภาษี (ไม่รวมภาษี)</t>
  </si>
  <si>
    <t>nonvat_prod_amt_incvat</t>
  </si>
  <si>
    <t>ยอดรวมหลังหักส่วนลดของสินค้าไม่คิดภาษี (รวมภาษี)</t>
  </si>
  <si>
    <t>ยอดรวมหลังหักส่วนลดของสินค้าคิดภาษี (ไม่รวมภาษี)</t>
  </si>
  <si>
    <t>ยอดเงินรวมก่อนหักส่วนลด รวมค่าขนส่ง (ไม่รวมภาษี)</t>
  </si>
  <si>
    <t>ยอดเงินรวมหลังหักส่วนลด รวมค่าขนส่ง (ไม่รวมภาษี)</t>
  </si>
  <si>
    <t>ยอดเงินภาษี (คิดจาก vat_prod_net_amt)</t>
  </si>
  <si>
    <t>net_amt_old</t>
  </si>
  <si>
    <t>ยอดเงินรวมหลังหักส่วนลด รวมค่าขนส่ง (ไม่รวมภาษี) ก่อนแก้ไข</t>
  </si>
  <si>
    <t>vat_amt_old</t>
  </si>
  <si>
    <t>ยอดเงินภาษี (คิดจาก vat_prod_net_amt) ก่อนแก้ไข</t>
  </si>
  <si>
    <t>vat_prod_amt_incvat</t>
  </si>
  <si>
    <t>vat_prod_amt_excvat</t>
  </si>
  <si>
    <t>group_vouch_no</t>
  </si>
  <si>
    <t>voucher_no</t>
  </si>
  <si>
    <t>เลข coupon จากโปรโมชั่น</t>
  </si>
  <si>
    <t>promotion_desc</t>
  </si>
  <si>
    <t>total_amt_incvat</t>
  </si>
  <si>
    <t>ส่วนลดที่คิด Vat</t>
  </si>
  <si>
    <t>cash_voucher_type</t>
  </si>
  <si>
    <t>oth_disc_rate</t>
  </si>
  <si>
    <t>oth_disc_amt</t>
  </si>
  <si>
    <t>voucher_type</t>
  </si>
  <si>
    <t>voucher_disc_amt_incvat</t>
  </si>
  <si>
    <t>voucher_disc_amt_excvat</t>
  </si>
  <si>
    <t>promo_disc_amt_incvat</t>
  </si>
  <si>
    <t>promo_disc_amt_excvat</t>
  </si>
  <si>
    <t>payment_disc_amt_incvat</t>
  </si>
  <si>
    <t>payment_disc_amt_excvat</t>
  </si>
  <si>
    <t>total_voucher_item_disc_incvat</t>
  </si>
  <si>
    <t>total_voucher_item_disc_excvat</t>
  </si>
  <si>
    <t>total_promo_item_disc_incvat</t>
  </si>
  <si>
    <t>ราคาส่วนลดทั้งหมดของ Promotion ByItem</t>
  </si>
  <si>
    <t>total_promo_item_disc_excvat</t>
  </si>
  <si>
    <t>ราคาส่วนลดทั้งหมดของ Promotion ByItem (ExVat)</t>
  </si>
  <si>
    <t>redeem_cash</t>
  </si>
  <si>
    <t>จำนวนเงินที่ต้องจ่ายหลังหัก Point T1C</t>
  </si>
  <si>
    <t>redeem_point</t>
  </si>
  <si>
    <t>จำนวน Point T1C ในการแลก</t>
  </si>
  <si>
    <t>redeem_amt</t>
  </si>
  <si>
    <t>redeem_point_rate</t>
  </si>
  <si>
    <t>rate การแลกแต้ม เช่น 8 แต้ม = 1 บาท</t>
  </si>
  <si>
    <t>t1c_redeem_no</t>
  </si>
  <si>
    <t>เลข The 1 ที่เกิดจากการ Redeem ผ่านเว็บ officemate.co.th</t>
  </si>
  <si>
    <t>t1c_ref_no</t>
  </si>
  <si>
    <t>เลขอ้างอิง T1C ที่ได้จากการ Redeem Online เช่น 1-IAH629C</t>
  </si>
  <si>
    <t>across_month_flag</t>
  </si>
  <si>
    <t>กำหนด Print บิลเป็นเดือนถัดไป (Yes/No)</t>
  </si>
  <si>
    <t>send_catalog_flag</t>
  </si>
  <si>
    <t>ส่ง Catalog ให้ลูกค้าพร้อมการจัดส่ง (Yes/No)</t>
  </si>
  <si>
    <t>เป็นลูกค้านิคมอุตสาหกรรม BOI (Yes/No)</t>
  </si>
  <si>
    <t>เป็นลูกค้าสถานฑูต (Yes/No)</t>
  </si>
  <si>
    <t>catalog_qty</t>
  </si>
  <si>
    <t>จำนวนเล่ม Catalog ที่ส่งให้ลูกค้าพร้อมส่งสินค้า</t>
  </si>
  <si>
    <t>premium_desc</t>
  </si>
  <si>
    <t>รายละเอียดสั่งสินค้า Premium จาก Web officemate</t>
  </si>
  <si>
    <t>vat_fix</t>
  </si>
  <si>
    <t>บันทึกกรณีมีการแก้ไข vat ในขั้นตอนการทำ Temp SO (OASYS)</t>
  </si>
  <si>
    <t>deliveryfee_fix</t>
  </si>
  <si>
    <t>บันทึกกรณีมีการแก้ไข "ค่าจัดส่งพิเศษ" ในขั้นตอนการทำ Temp SO (OASYS)</t>
  </si>
  <si>
    <t>ประเภทของเอกสาร (Normal,MKP,Clearance,Cross sale,Customer ,VendorStock)</t>
  </si>
  <si>
    <t>rcp_no</t>
  </si>
  <si>
    <t>เลขที่ใบรับชำระเงินของสาขา officemate กรณีชำระเงินหน้าร้าน</t>
  </si>
  <si>
    <t>rcp_create_date</t>
  </si>
  <si>
    <t>วันที่ออกเลขเอกสาร RCP</t>
  </si>
  <si>
    <t>ชื่อช่องทางการสั่งซื้อ เช่น Callcenter, OFM Store, Online</t>
  </si>
  <si>
    <t>รหัสวิธีการสั่งซื้อ</t>
  </si>
  <si>
    <t>วิธีการสั่งซื้อ</t>
  </si>
  <si>
    <t>เป็น Order Click &amp; Collect (Yes/No)</t>
  </si>
  <si>
    <t>collect_store_no</t>
  </si>
  <si>
    <t>รหัสสาขาหน้าร้าน ที่ทำการส่งสินค้า Click Collect</t>
  </si>
  <si>
    <t>mo_no</t>
  </si>
  <si>
    <t>เลขที่เอกสาร Magento (Order Online)</t>
  </si>
  <si>
    <t>mo_status</t>
  </si>
  <si>
    <t>สถานะเอกสาร Margento (Order Online)</t>
  </si>
  <si>
    <t>เป็นใบสั่งซื่อสินค้า Hamper (กระเช้า) (Yes/No)</t>
  </si>
  <si>
    <t>franchise_account_flag</t>
  </si>
  <si>
    <t>เป็นรหัสลูกค้า Franchise (Yes/No)</t>
  </si>
  <si>
    <t>franchise_order_type</t>
  </si>
  <si>
    <t>ประเภท Order Franchise (Fulfillment, DropShip)</t>
  </si>
  <si>
    <t>ใช้สำหรับให้ ERP แยกการจัดสินค้า และออกเอกสาร (BillMerge, BillSpit)</t>
  </si>
  <si>
    <t>delivery_split_flag</t>
  </si>
  <si>
    <t>มีการจัดสินค้ามากกว่า 1 คลัง (Yes/No)</t>
  </si>
  <si>
    <t>account_vip_flag</t>
  </si>
  <si>
    <t>เป็นลูกค้ากลุ่ม VIP (Yes/No)</t>
  </si>
  <si>
    <t>online_call_back_flag</t>
  </si>
  <si>
    <t>ติดต่อกลับลูกค้า ส่งข้อมูลนี้มาจาก Order Online (Yes/No)</t>
  </si>
  <si>
    <t>เป็นลูกค้ายืนราคาสินค้า (Yes, No)</t>
  </si>
  <si>
    <t>approve_rule_flag</t>
  </si>
  <si>
    <t>เอกสารรอการอนุมัติ Rule (Yes, No)</t>
  </si>
  <si>
    <t>num_of_rule</t>
  </si>
  <si>
    <t>จำนวน Rule ที่ต้องอนุมัติ</t>
  </si>
  <si>
    <t>ข้อความการแจ้งเตือนของ order กำหนดโดยเจ้าของ order</t>
  </si>
  <si>
    <t>วันที่แจ้งเตือน Reminder order</t>
  </si>
  <si>
    <t>สถานะการแจ้งเตือน (Pending=อยู่ระหว่างการแจ้งเตือน, Dismiss=รับทราบการแจ้งเตือน)</t>
  </si>
  <si>
    <t>รหัสสาขา ของพนักงานขาย</t>
  </si>
  <si>
    <t>ชื่อสาขาที่สังกัดของพนักงานขาย า เช่น Callcenter, ออฟฟิศเมทสาขาซีคอน, ...</t>
  </si>
  <si>
    <t>รหัสพนักงานขาย</t>
  </si>
  <si>
    <t>telesale_name</t>
  </si>
  <si>
    <t>ชื่อ-สกุลพนักงานขาย</t>
  </si>
  <si>
    <t>รหัสพนักงาน Level ผู้จัดการต้นสังกัดของเจ้าของ order (ควบคุมการแก้ไข order)</t>
  </si>
  <si>
    <t>รหัสทีมของผู้สร้าง Order เช่น KA1, KA2 ,</t>
  </si>
  <si>
    <t>รวมค่าขนส่งพิเศษ ByItem ทั้งหมด กับค่าขนส่ง ByOrder ไม่รวม vat</t>
  </si>
  <si>
    <t>eo_type</t>
  </si>
  <si>
    <t>ประเภทเอกสารค่าบริการ</t>
  </si>
  <si>
    <t>eo_sub_type</t>
  </si>
  <si>
    <t>total_incvat_original</t>
  </si>
  <si>
    <t>ยอดรวมทั้งสิ้นรวมภาษี (เก็บข้อมูลโดยไม่เปลี่ยนแปลง หลังสถานะ confirm)</t>
  </si>
  <si>
    <t>ship_area</t>
  </si>
  <si>
    <t>Main zone ในการจัดส่ง</t>
  </si>
  <si>
    <t>etax_email</t>
  </si>
  <si>
    <t>Email รับ e-Tax</t>
  </si>
  <si>
    <t>qty_disc_amt_excvat</t>
  </si>
  <si>
    <t>ส่วนลดที่ได้จาก Promotion Auto Discount (ExcVat)</t>
  </si>
  <si>
    <t>qty_disc_amt_incvat</t>
  </si>
  <si>
    <t>ส่วนลดที่ได้จาก Promotion Auto Discount (IncVat)</t>
  </si>
  <si>
    <t>gen_qr</t>
  </si>
  <si>
    <t>เก็บ Flag การกด Generate QR Code</t>
  </si>
  <si>
    <t>pay_success</t>
  </si>
  <si>
    <t>เก็บ Flag การจ่ายเงินผ่านการสแกน QR Code</t>
  </si>
  <si>
    <t>pay_amt</t>
  </si>
  <si>
    <t>ยอดเงินที่ถูกจ่ายผ่านการสแกน QR Code</t>
  </si>
  <si>
    <t>qr_uid</t>
  </si>
  <si>
    <t>QR UID</t>
  </si>
  <si>
    <t>qr_create_date</t>
  </si>
  <si>
    <t>วันที่ gen qr code</t>
  </si>
  <si>
    <t>qr_pay_date</t>
  </si>
  <si>
    <t>วันที่ลูกค้าจ่ายเงินด้วย qr code</t>
  </si>
  <si>
    <t>qr_expire_date</t>
  </si>
  <si>
    <t>วันที่ qr code หมดอายุ</t>
  </si>
  <si>
    <t>document_cancel_remark</t>
  </si>
  <si>
    <t>เหตุผลของการลบเอกสาร</t>
  </si>
  <si>
    <t>OFM_TBProductControlStatic</t>
  </si>
  <si>
    <t>BFQty</t>
  </si>
  <si>
    <t>จำนวนสินค้ายกมาจากเดือนที่แล้ว</t>
  </si>
  <si>
    <t>BFCost</t>
  </si>
  <si>
    <t>ต้นทุนสินค้าในหน่วย Basic Unit ยกมาจากเดือนที่แล้ว</t>
  </si>
  <si>
    <t>BFAmt</t>
  </si>
  <si>
    <t>มูลค่าสินค้าทั้งหมด ยกมาจากเดือนที่แล้ว</t>
  </si>
  <si>
    <t>ConvContainer</t>
  </si>
  <si>
    <t>จำนวนเท่าของ Basic ที่เราสามารถซื้อได้เช่น ต้องซื้อทีละ 10 กล่อง vendor ถึงยอมขาย</t>
  </si>
  <si>
    <t>MinQty</t>
  </si>
  <si>
    <t>Purchasing.ปริมาณขั้นต่ำของสินค้าใน Stock (แต่ยังคงสั่งตามรอบได้)</t>
  </si>
  <si>
    <t>MaxQty</t>
  </si>
  <si>
    <t>Purchasing.ปริมาณสูงสุดของสินค้าใน Stock</t>
  </si>
  <si>
    <t>CriticalQty</t>
  </si>
  <si>
    <t>จุด Critical Qty หากจำนวนสินค้าใน stock เหลือต่ำกว่านี้ต้องสั่งสินค้าเพิ่มทันที</t>
  </si>
  <si>
    <t>LastPurDate</t>
  </si>
  <si>
    <t>วันที่ซื้อสินค้าครั้งล่าสุด</t>
  </si>
  <si>
    <t>LastRcvCost</t>
  </si>
  <si>
    <t>ราคาทุนซื้อเข้าครั้งล่าสุด</t>
  </si>
  <si>
    <t>LastSaleDate</t>
  </si>
  <si>
    <t>วันที่ขายสินค้าครั้งล่าสุด</t>
  </si>
  <si>
    <t>OnOrderQty</t>
  </si>
  <si>
    <t>Quantity.จำนวนสินค้าที่อยู่ระหว่างสั่งซื้อ</t>
  </si>
  <si>
    <t>Quadrant</t>
  </si>
  <si>
    <t>สินค้าตัวนี้อยู่ใน Quadrant ไหน (Q1-Q4)</t>
  </si>
  <si>
    <t>รหัสพนักงานที่สร้าง</t>
  </si>
  <si>
    <t>รหัสพนักงานที่แก้ไข</t>
  </si>
  <si>
    <t>Average Cost ราคาต้นทุนเฉลี่ย</t>
  </si>
  <si>
    <t>AvgAmt</t>
  </si>
  <si>
    <t>Average Amount ราคาต้นทุนรวม</t>
  </si>
  <si>
    <t>ObsoleteFlag_OFM</t>
  </si>
  <si>
    <t>สินค้าติด Obsolete (New=จะให้สินค้าติดFlag N ก่อน Warning=30วัน ,Warning จะให้สินค้าติด Flag W ก่อนติด O=30วัน ,Obsolescence สินค้าติด OBS เรียบร้อยแล้วตามเงื่อนไขในแจ้งในระบบ(แก้ไขไม่ได้)</t>
  </si>
  <si>
    <t>ObsoleteFlag_JDA</t>
  </si>
  <si>
    <t>LastAdjInDate</t>
  </si>
  <si>
    <t>วันที่ Adj In ล่าสุด</t>
  </si>
  <si>
    <t>LastAdjOutDate</t>
  </si>
  <si>
    <t>วันที่ Adj Out ล่าสุด</t>
  </si>
  <si>
    <t>LastTransferInDate</t>
  </si>
  <si>
    <t>วันที่ Transfer In ล่าสุด</t>
  </si>
  <si>
    <t>LastTransferOutDate</t>
  </si>
  <si>
    <t>วันที่ Transfer Out ล่าสุด</t>
  </si>
  <si>
    <t>LastRTVDate</t>
  </si>
  <si>
    <t>วันที่ ทำ RTV ล่าสุด</t>
  </si>
  <si>
    <t>LastSaleReturnDate</t>
  </si>
  <si>
    <t>วันที่ ทำ SaleReturn ล่าสุด</t>
  </si>
  <si>
    <t>OFM_TBProductMaster</t>
  </si>
  <si>
    <t>ProdTSName</t>
  </si>
  <si>
    <t>ชื่อสินค้าภาษาไทย (สั้น)</t>
  </si>
  <si>
    <t>ProdTLName</t>
  </si>
  <si>
    <t>ชื่อสินค้าภาษาไทย (ยาว)</t>
  </si>
  <si>
    <t>ProdTDName</t>
  </si>
  <si>
    <t>ชื่อสินค้าที่ใช้ในเอกสารต่างๆ (ShortName+Brand+Series)</t>
  </si>
  <si>
    <t>ProdEName</t>
  </si>
  <si>
    <t>ชื่อสินค้าภาษาอังกฤษ</t>
  </si>
  <si>
    <t>ProdStatus</t>
  </si>
  <si>
    <t>สถานะของสินค้า (New : สินค้าใหม่ [รอเคลียร์ข้อมูล / รูปสินค้า / พักข้อมูล], Stock : สินค้าพร้อมขาย, NonStock : สินค้าพร้อมขายไม่สต๊อก, Clearance : สินค้า Clearance, PreOrder : สินค้า PreOrder (รอผลิต / นำเข้า), Hold : สินค้าไม่พร้อมขาย, Free : ของแถม, Delete : สินค้ายกเลิกขาย, Limited : สินค้าพร้อมขาย มีจำนวนจำกัด)</t>
  </si>
  <si>
    <t>ProdRemark</t>
  </si>
  <si>
    <t>หมายเหตุของสถานะสินค้า</t>
  </si>
  <si>
    <t>InternalRemark</t>
  </si>
  <si>
    <t>หมายเหตุภายใน</t>
  </si>
  <si>
    <t>ProdTSDesc</t>
  </si>
  <si>
    <t>คำบรรยายสินค้าภาษาไทย(สั้น)</t>
  </si>
  <si>
    <t>ProdESDesc</t>
  </si>
  <si>
    <t>คำบรรยายสินค้าภาษาอังกฤษ(สั้น)</t>
  </si>
  <si>
    <t>ProdTLDesc</t>
  </si>
  <si>
    <t>คำบรรยายสินค้าภาษาไทย(ยาว)</t>
  </si>
  <si>
    <t>ProdELDesc</t>
  </si>
  <si>
    <t>คำบรรยายสินค้าภาษาอังกฤษ(ยาว)</t>
  </si>
  <si>
    <t>ข้อมูลของแถม</t>
  </si>
  <si>
    <t>ProdBarcode</t>
  </si>
  <si>
    <t>เลข Barcode ของสินค้านี้</t>
  </si>
  <si>
    <t>BarcodeShop</t>
  </si>
  <si>
    <t>เลข Barcode ของสินค้า Shop</t>
  </si>
  <si>
    <t>BasicUnit</t>
  </si>
  <si>
    <t>CatID</t>
  </si>
  <si>
    <t>CodeID</t>
  </si>
  <si>
    <t>ยกเลิกใช้งาน: รหัสของแบรนด์และรุ่น</t>
  </si>
  <si>
    <t>รหัสแบรนด์สินค้า (มาจากระบบ PIM)</t>
  </si>
  <si>
    <t>ชื่อแบรนด์สินค้าภาษาไทย</t>
  </si>
  <si>
    <t>ชื่อแบรนด์สินค้าภาษาอังกฤษ</t>
  </si>
  <si>
    <t>IsConCatName</t>
  </si>
  <si>
    <t>กำหนดชื่อแสดงที่ ProdTLName (No=Shortname , Yes=ShortName+Brand+Series)</t>
  </si>
  <si>
    <t>IsHouseBrands</t>
  </si>
  <si>
    <t>เก็บข้อมูลสินค้า HouseBrands (Y : สินค้า HouseBrands, N : ไม่ใช่สินค้า HouseBrands)</t>
  </si>
  <si>
    <t>QCRemark</t>
  </si>
  <si>
    <t>หมายเหตุการ QC ของสินค้า</t>
  </si>
  <si>
    <t>FixPricePeriod</t>
  </si>
  <si>
    <t>การยืนราคาของสินค้า (3M / 6M / 12M / NO)</t>
  </si>
  <si>
    <t>('NO')</t>
  </si>
  <si>
    <t>Product Type (B : Book, C : Computer, F: Furniture, O : Office Automation, T : Trendy , I : Ink)</t>
  </si>
  <si>
    <t>กำหนดเป็นการขายฝาก ( Y : สินค้าฝากขาย / N : สินค้าปกติ )</t>
  </si>
  <si>
    <t>IsBidPrice</t>
  </si>
  <si>
    <t>Y=สินค้าหมึกแท้และสินค้ากระดาษ(เป็นสินค้า Bidprice) , N=ไม่เป็นสินค้าหมึกแท้และสินค้ากระดาษ(ไม่เป็นสินค้า Bidprice)</t>
  </si>
  <si>
    <t>InCatalog</t>
  </si>
  <si>
    <t>Control Flag.เป็นสินค้าที่มีอยู่ใน Catalog หรือไม่ (Y=อยู่ใน Catalog ปัจจุบัน, N=ไม่อยู่ใน Catalog ปัจจุบัน)</t>
  </si>
  <si>
    <t>InNextCatalog</t>
  </si>
  <si>
    <t>เก็บข้อมูลว่าอยู่ใน Catalog ในปีถัดไปหรือไม่ (Yes:อยู่ปีถัดไป No:ไม่อยู่ในปีถัดไป)</t>
  </si>
  <si>
    <t>CatPageNo</t>
  </si>
  <si>
    <t>เลขหน้าใน Catalog</t>
  </si>
  <si>
    <t>MiniPeiord</t>
  </si>
  <si>
    <t>สินค้าตัวนี้เคยมีอยู่ใน Magazine ล่าสุดเดือนไหน</t>
  </si>
  <si>
    <t>MiniPageNo</t>
  </si>
  <si>
    <t>Description.เลขหน้าใน Magazine</t>
  </si>
  <si>
    <t>LastSupplierID</t>
  </si>
  <si>
    <t>Vendor ที่ขายสินค้านี้ให้เราครั้งล่าสุด</t>
  </si>
  <si>
    <t>LastSupplierDisc</t>
  </si>
  <si>
    <t>ส่วนลดในตัวของสินค้า</t>
  </si>
  <si>
    <t>PGSeqNo</t>
  </si>
  <si>
    <t>เพื่อเรียงลำดับ ProductGroup</t>
  </si>
  <si>
    <t>PGSubSeqNo</t>
  </si>
  <si>
    <t>เพื่อเรียงลำดับ Product</t>
  </si>
  <si>
    <t>เก็บ Keyword ที่ใช้ค้นหาสินค้า</t>
  </si>
  <si>
    <t>เก็บ Key สินค้าที่ใช้ร่วมกัน</t>
  </si>
  <si>
    <t>เก็บ Key สินค้าที่สัมพันธ์กัน</t>
  </si>
  <si>
    <t>เก็บ Key สินค้าที่ทดแทนกัน</t>
  </si>
  <si>
    <t>ProdRateDesc</t>
  </si>
  <si>
    <t>ข้อมูลส่วนลดของสินค้าตัวนี้ (text)</t>
  </si>
  <si>
    <t>ProdPackDesc</t>
  </si>
  <si>
    <t>ข้อมูลบรรจุของสินค้าตัวนี้ (text)</t>
  </si>
  <si>
    <t>QtyFullFill</t>
  </si>
  <si>
    <t>จำนวนเติมเต็ม</t>
  </si>
  <si>
    <t>CriticalFullFill</t>
  </si>
  <si>
    <t>จุดเตือน</t>
  </si>
  <si>
    <t>ProdAging</t>
  </si>
  <si>
    <t>Period Aging ของสินค้า สำหรับเตือนการเก็บคืน Supplier (90, 120, 360)</t>
  </si>
  <si>
    <t>IsOnShop</t>
  </si>
  <si>
    <t>เป็นสินค้าที่ขายที่ MegaShop</t>
  </si>
  <si>
    <t>PromotionRemark</t>
  </si>
  <si>
    <t>หมายเหตุโปรโมชั่น</t>
  </si>
  <si>
    <t>MakeToOrder</t>
  </si>
  <si>
    <t>No=ปกติ , Yes = สินค้าสั่งทำหรือสั่งซื้อ</t>
  </si>
  <si>
    <t>DoItYourSelf</t>
  </si>
  <si>
    <t>No=ปกติ , Yes = สินค้าที่ประกอบ/ติดตั้งเองได้</t>
  </si>
  <si>
    <t>Warranty</t>
  </si>
  <si>
    <t>No=ปกติ , Yes = สินค้ามีรับประกัน</t>
  </si>
  <si>
    <t>No=ปกติ , Yes = สินค้าที่จัดส่งได้ภายใน 3-7 วัน</t>
  </si>
  <si>
    <t>ExtraShippingFee</t>
  </si>
  <si>
    <t>สินค้าคิดค่าจัดส่งเพิ่มเติม [No=ปกติ ไม่มีค่าจัดส่งเพิ่มเติม, Yes = มีค่าจัดส่งเพิ่มเติม หรือ สินค้ามีค่าจัดส่งพิเศษสำหรับต่างจังหวัด]</t>
  </si>
  <si>
    <t>GreenProduct</t>
  </si>
  <si>
    <t>No=ปกติ , Yes = ผลิตภัณฑ์รักษาสิ่งแวดล้อม</t>
  </si>
  <si>
    <t>Width</t>
  </si>
  <si>
    <t>กว้าง</t>
  </si>
  <si>
    <t>Lenght</t>
  </si>
  <si>
    <t>ยาว</t>
  </si>
  <si>
    <t>Height</t>
  </si>
  <si>
    <t>สูง</t>
  </si>
  <si>
    <t>Weight</t>
  </si>
  <si>
    <t>น้ำหนัก</t>
  </si>
  <si>
    <t>IsSpare</t>
  </si>
  <si>
    <t>Yes,No เป็นสินค้าอะไหล่</t>
  </si>
  <si>
    <t>IsDeliver</t>
  </si>
  <si>
    <t>Yes = ส่ง , No = ไม่ส่งนอกพื้นที่จัดส่ง</t>
  </si>
  <si>
    <t>รหัสสนิค้า OD</t>
  </si>
  <si>
    <t>Cube</t>
  </si>
  <si>
    <t>ลูกบาศก์</t>
  </si>
  <si>
    <t>DEPT ของสินค้า OD</t>
  </si>
  <si>
    <t>SUB_DPT ของสินค้า OD</t>
  </si>
  <si>
    <t>CLASS ของสินค้า OD</t>
  </si>
  <si>
    <t>barcodeonstore</t>
  </si>
  <si>
    <t>barcode shop OD</t>
  </si>
  <si>
    <t>InBuFlag</t>
  </si>
  <si>
    <t>สินค้าบริษัทในเครือ (สินค้า MPS , i-Pro , CRC)</t>
  </si>
  <si>
    <t>CPCID</t>
  </si>
  <si>
    <t>การได้มาของ CPCID มาจากการกำหนดของ dept subdept class subclass ของ Product และมีการส่ง CPCID ไปให้กับทาง Fast (ถ้าไม่มี CPCID โปรแกรมที่ส่งข้อมูลไป Fast ไม่ได้ ดังนั้นจึง Default 26100)</t>
  </si>
  <si>
    <t>InCatODFlag</t>
  </si>
  <si>
    <t>Flag Catalog OD</t>
  </si>
  <si>
    <t>PidBU</t>
  </si>
  <si>
    <t>รหัสสินค้าของ BU</t>
  </si>
  <si>
    <t>เป็นสินค้าของ BU อะไร</t>
  </si>
  <si>
    <t>IsReturnToVendor</t>
  </si>
  <si>
    <t>เงื่อนไขการคืนสินค้า (Yes=คืนได้ ,No=คืนไม่ได้)</t>
  </si>
  <si>
    <t>DeliveryBy</t>
  </si>
  <si>
    <t>เงื่อนไขการส่งสินค้า(COL=COL ส่งสินค้า,Vendor=Vendor ส่งสินค้า)</t>
  </si>
  <si>
    <t>('COL')</t>
  </si>
  <si>
    <t>IsHasExpiryDate</t>
  </si>
  <si>
    <t>สินค้ามีวันหมดอายุ</t>
  </si>
  <si>
    <t>สินค้านำเข้า (ตัวนี้จะเกี่ยวกับการแสดงข้อมูลฝ่ายขาย),(ส่วนที่ cmsSupplier..IsImport vendor นี้เป็น vendor ต่างประเทศหรือไม่ เท่านั้น ตัวนี้จะเกี่ยวกันกับการทำจ่ายของ fast)</t>
  </si>
  <si>
    <t>IsComponent</t>
  </si>
  <si>
    <t>สินค้ามีส่วนประกอบ</t>
  </si>
  <si>
    <t>ProdTSHHName</t>
  </si>
  <si>
    <t>ชื่อสินค้าค้าสำหรับ handhel</t>
  </si>
  <si>
    <t>DefaultStoreID</t>
  </si>
  <si>
    <t>LimitOrderMax</t>
  </si>
  <si>
    <t>จำนวนสูงสุดในการสั่งซื้อต่อออเดอร์</t>
  </si>
  <si>
    <t>LimitOrderMin</t>
  </si>
  <si>
    <t>จำนวนต่ำสุดในการสั่งซื้อต่อออเดอร์</t>
  </si>
  <si>
    <t>IsConsumerProtection</t>
  </si>
  <si>
    <t>สินค้าได้รับการคุ้มครองจากสำนักงานคณะกรรมการคุ้มครองผู้บริโภค (สคบ.) [Yes=มี สคบ, No=ไม่มี สคบ]</t>
  </si>
  <si>
    <t>VendorType</t>
  </si>
  <si>
    <t>ประเภทของสินค้าตามผู้ขาย [OFMStock, DropShip, MarketPlace]</t>
  </si>
  <si>
    <t>('OFMStock')</t>
  </si>
  <si>
    <t>ค่าคอมมิชชั่นของสินค้า</t>
  </si>
  <si>
    <t>LeadTimeStart</t>
  </si>
  <si>
    <t>จำนวนวันน้อยที่สุดที่ใช้ในการจัดส่ง</t>
  </si>
  <si>
    <t>LeadTimeEnd</t>
  </si>
  <si>
    <t>จำนวนวันมากที่สุดที่ใช้ในการจัดส่ง</t>
  </si>
  <si>
    <t>IsOFMDelivery</t>
  </si>
  <si>
    <t>สินค้า OFM จัดส่ง</t>
  </si>
  <si>
    <t>IsClickAndCollect</t>
  </si>
  <si>
    <t>สินค้าร่วมบริการจัดส่งแบบ Click and Collect</t>
  </si>
  <si>
    <t>IsHamper</t>
  </si>
  <si>
    <t>สินค้ากระเช้า</t>
  </si>
  <si>
    <t>ClusterGroup</t>
  </si>
  <si>
    <t>ชื่อกลุ่มของ Cluster</t>
  </si>
  <si>
    <t>OFM_TBProductPrintingMaster</t>
  </si>
  <si>
    <t>รหัสสินค้า Printing</t>
  </si>
  <si>
    <t>SKUJDA</t>
  </si>
  <si>
    <t>รหัสสินค้าระบบ JDA</t>
  </si>
  <si>
    <t>ProdTName</t>
  </si>
  <si>
    <t>ชื่อสินค้าภาษาไทย</t>
  </si>
  <si>
    <t>ชื่อสินค้าที่ใช้ในเอกสารต่างๆ</t>
  </si>
  <si>
    <t>สถานะของสินค้า (New : สินค้าใหม่ [รอเคลียร์ข้อมูล / รูปสินค้า / พักข้อมูล], Active : สินค้าพร้อมขาย, Hold : สินค้าไม่พร้อมขาย, Delete : สินค้ายกเลิกขาย, Pending : สินค้ารออนุมัติ, Reject : สินค้าไม่ผ่านการอนุมัติ)</t>
  </si>
  <si>
    <t>OptionType</t>
  </si>
  <si>
    <t>ประเภทบริการเสริม (Angle=ตัดมุม, Cover=เคลือบ)</t>
  </si>
  <si>
    <t>รหัส Category สินค้า Printing</t>
  </si>
  <si>
    <t>รหัส SubCategory สินค้า Printing</t>
  </si>
  <si>
    <t>กำหนดชื่อแสดงที่ ProdTDName (No= ProdTName , Yes= ProdTName +Brand)</t>
  </si>
  <si>
    <t>Control Flag.เป็นสินค้าที่มีอยู่ใน Catalog หรือไม่ (Yes=อยู่ใน Catalog ปัจจุบัน, No=ไม่อยู่ใน Catalog ปัจจุบัน)</t>
  </si>
  <si>
    <t>PromotionPeiord</t>
  </si>
  <si>
    <t>PromotionPageNo</t>
  </si>
  <si>
    <t>IsRawMaterial</t>
  </si>
  <si>
    <t>เป็นสินค้าวัตถุดิบ (Yes/No)</t>
  </si>
  <si>
    <t>IsOffline</t>
  </si>
  <si>
    <t>เป็นสินค้าขาย Offline (Yes/No)</t>
  </si>
  <si>
    <t>IsOnline</t>
  </si>
  <si>
    <t>เป็นสินค้าขาย Online (Yes/No)</t>
  </si>
  <si>
    <t>DEPT ของสินค้า</t>
  </si>
  <si>
    <t>SUB DEPT ของสินค้า</t>
  </si>
  <si>
    <t>CLASS ของสินค้า</t>
  </si>
  <si>
    <t>SUB CLASS ของสินค้า</t>
  </si>
  <si>
    <t>การได้มาของ CPCID มาจากการกำหนดของ dept subdept class subclass ของ Product</t>
  </si>
  <si>
    <t>ต้นทุนเฉลียต่อ Basic Unit</t>
  </si>
  <si>
    <t>มูลค่าสินค้าทั้งหมด</t>
  </si>
  <si>
    <t>ราคารับมาครั้งล่าสุด (Net หักส่วนลดทุกอย่างแล้ว)</t>
  </si>
  <si>
    <t>วันที่รับสินค้าครั้งล่าสุด</t>
  </si>
  <si>
    <t>Onhand</t>
  </si>
  <si>
    <t>จำนวนสินค้าคงเหลือจริงใน Stock</t>
  </si>
  <si>
    <t>Reserve</t>
  </si>
  <si>
    <t>Quantity.จำนวนที่จองไว้</t>
  </si>
  <si>
    <t>Rent</t>
  </si>
  <si>
    <t>Quantity.จำนวนที่ถูกยืม</t>
  </si>
  <si>
    <t>เป็น Margin มาตรฐานที่ทางการตลาดตั้งต้นให้ (Data มาจากทางการตลาดส่งมาให้ (update อนาคตทำผ่านโปรแกรม))</t>
  </si>
  <si>
    <t>OFM_TBProductStatic</t>
  </si>
  <si>
    <t>OnhandBU</t>
  </si>
  <si>
    <t>MaxQtyFulfill</t>
  </si>
  <si>
    <t>MinQtyFulfill</t>
  </si>
  <si>
    <t>NonstockQty</t>
  </si>
  <si>
    <t>HoldQty</t>
  </si>
  <si>
    <t>OFM_TBProductUnit</t>
  </si>
  <si>
    <t>ProdTUnit</t>
  </si>
  <si>
    <t>หน่วยสินค้าภาษาไทย</t>
  </si>
  <si>
    <t>ProdEunit</t>
  </si>
  <si>
    <t>หน่วยสินค้าภาษาอังกฤษ</t>
  </si>
  <si>
    <t>Ratio</t>
  </si>
  <si>
    <t>อัตรส่วนสินค้า</t>
  </si>
  <si>
    <t>ProdUnitType</t>
  </si>
  <si>
    <t>ประเภทของหน่วยสินค้า (Sale : หน่วยขาย, Purchase : หน่วยซื้อ, SaleAndPurchase : หน่วยซื้อและหน่วยขาย, None : ไม่ใช้</t>
  </si>
  <si>
    <t>SalePriceExVat</t>
  </si>
  <si>
    <t>ราคาขายสินค้าไม่รวมภาษีมูลค่าเพิ่ม</t>
  </si>
  <si>
    <t>SalePriceIncVat</t>
  </si>
  <si>
    <t>ราคาขายสินค้ารวมภาษีมูลค่าเพิ่ม</t>
  </si>
  <si>
    <t>FullPrice</t>
  </si>
  <si>
    <t>ราคาขายเต็มของสินค้า T</t>
  </si>
  <si>
    <t>PurchasePrice</t>
  </si>
  <si>
    <t>ราคาซือสินค้า</t>
  </si>
  <si>
    <t>ราคาค่าขนส่ง</t>
  </si>
  <si>
    <t>MRPoint</t>
  </si>
  <si>
    <t>Point ของสินค้า</t>
  </si>
  <si>
    <t>การคิด Vat สินค้า Y=คิด Vat , N=ไม่คิด Vat</t>
  </si>
  <si>
    <t>IsBestDeal</t>
  </si>
  <si>
    <t>Flag BestDeal ของสินค้า Y=Best Deal ,N=No Best</t>
  </si>
  <si>
    <t>IsPromotion</t>
  </si>
  <si>
    <t>เป็นสินค้าที่มีอยู่ใน Magazine เล่มปัจจุบันหรือไม่; Y=อยู่ใน Magazine เล่มปัจจุบัน, N=ไม่อยู่ใน Magazine เล่มปัจจุบัน</t>
  </si>
  <si>
    <t>PromotionPriceExVat</t>
  </si>
  <si>
    <t>ราคาขาย By Date ไม่รวม Vat</t>
  </si>
  <si>
    <t>PromotionPriceIncVat</t>
  </si>
  <si>
    <t>ราคาขาย By Date รวม Vat</t>
  </si>
  <si>
    <t>PromotionStartDate</t>
  </si>
  <si>
    <t>วันที่เริ่มต้นโปรโมชั่นราคา ByDate</t>
  </si>
  <si>
    <t>PromotionEndDate</t>
  </si>
  <si>
    <t>วันที่สิ้นสุดโปรโมชั่นราคา ByDat</t>
  </si>
  <si>
    <t>Fix3MPriceExVat</t>
  </si>
  <si>
    <t>ยืนราคา 3 เดือน</t>
  </si>
  <si>
    <t>Fix6MPriceExVat</t>
  </si>
  <si>
    <t>ยืนราคา 6 เดือน</t>
  </si>
  <si>
    <t>Fix12MPriceExVat</t>
  </si>
  <si>
    <t>ยืนราคา 12 เดือน</t>
  </si>
  <si>
    <t>Fix3MpriceIncVat</t>
  </si>
  <si>
    <t>ราคา Fix Price 3 เดือน รวม vat</t>
  </si>
  <si>
    <t>Fix6MpriceIncVat</t>
  </si>
  <si>
    <t>ราคา Fix Price 6 เดือน รวม vat</t>
  </si>
  <si>
    <t>Fix12MpriceIncVat</t>
  </si>
  <si>
    <t>ราคา Fix Price 12 เดือน รวม vat</t>
  </si>
  <si>
    <t>IsBestDealFixPrice</t>
  </si>
  <si>
    <t>ราคา Fix งดส่วนลดหรือไม่ (Y=Bestdeal,N=No Best)</t>
  </si>
  <si>
    <t>LastUpdatePrice</t>
  </si>
  <si>
    <t>วันที่แก้ไขราคาขายครั้งล่าสุด</t>
  </si>
  <si>
    <t>RemarkPrice</t>
  </si>
  <si>
    <t>หมายเหตุราคา</t>
  </si>
  <si>
    <t>PromotionCost</t>
  </si>
  <si>
    <t>ราคาทุนโปรโมชั่น ไม่รวม Vat</t>
  </si>
  <si>
    <t>PromotionCostStartDate</t>
  </si>
  <si>
    <t>วันที่เริ่มต้นราคาทุนโปรโมชั่น</t>
  </si>
  <si>
    <t>PromotionCostEndDate</t>
  </si>
  <si>
    <t>วันที่สิ้นสุดราคาทุนโปรโมชั่น</t>
  </si>
  <si>
    <t>OFM_TBProductWarehouse</t>
  </si>
  <si>
    <t>รหัส Store</t>
  </si>
  <si>
    <t>StoreName</t>
  </si>
  <si>
    <t>ชื่อ Store</t>
  </si>
  <si>
    <t>ประเภทของ Store</t>
  </si>
  <si>
    <t>PName</t>
  </si>
  <si>
    <t>หน่วยสินค้า</t>
  </si>
  <si>
    <t>ราคาเฉลี่ยสินค้า</t>
  </si>
  <si>
    <t>Amt</t>
  </si>
  <si>
    <t>ยอดรวมสินค้า</t>
  </si>
  <si>
    <t>จำนวนสินค้าทั้งหมด</t>
  </si>
  <si>
    <t>OnSale</t>
  </si>
  <si>
    <t>จำนวนสินค้าที่ถูกจองจากการขาย (SO,DO,MR)</t>
  </si>
  <si>
    <t>OnRT</t>
  </si>
  <si>
    <t>จำนวนสินค้าที่ถูกจองในเอกสาร RT</t>
  </si>
  <si>
    <t>OnPIC</t>
  </si>
  <si>
    <t>จำนวนสินค้าที่ถูกจองในเอกสาร TD</t>
  </si>
  <si>
    <t>OnPW</t>
  </si>
  <si>
    <t>จำนวนสินค้าที่ถูกจองในเอกสาร WT</t>
  </si>
  <si>
    <t>OnPRU</t>
  </si>
  <si>
    <t>จำนวนสินค้าที่ถูกจองในเอกสาร RU</t>
  </si>
  <si>
    <t>OnRD</t>
  </si>
  <si>
    <t>จำนวนสินค้าในเอกสาร RD</t>
  </si>
  <si>
    <t>OnPLT</t>
  </si>
  <si>
    <t>จำนวนสินค้าที่ถูกจองในเอกสาร PLT</t>
  </si>
  <si>
    <t>วันที่สร้างเอกสาร</t>
  </si>
  <si>
    <t>รหัสผู้สร้างเอกสาร</t>
  </si>
  <si>
    <t>ชื่อผู้สร้างเอกสาร</t>
  </si>
  <si>
    <t>วันที่แก้ไขเอกสารล่าสุด</t>
  </si>
  <si>
    <t>รหัสผู้แก้ไขเอกสารล่าสุด</t>
  </si>
  <si>
    <t>ชื่อผู้แก้ไขเอกสารล่าสุด</t>
  </si>
  <si>
    <t>LastRCVDate</t>
  </si>
  <si>
    <t>วันที่รับสินค้าล่าสุดจากการซื้อ</t>
  </si>
  <si>
    <t>supplier_id</t>
  </si>
  <si>
    <t>price_disc_incvat_old</t>
  </si>
  <si>
    <t>reserve_sale_channel</t>
  </si>
  <si>
    <t>total_amt_excvat_recalpro</t>
  </si>
  <si>
    <t>ราคาสินค้าสุทธิ (หลังหักส่วนลด) X จำนวนสั่งซื้อ (เพื่อคำนวนโปรโมชั่นของออเดอร์เฟรนชาย)</t>
  </si>
  <si>
    <t>vat_amt_recalpro</t>
  </si>
  <si>
    <t>มูลค่าภาษี (บาท)(เพื่อคำนวนโปรโมชั่นของออเดอร์เฟรนชาย)</t>
  </si>
  <si>
    <t>price_excvat_recalpro</t>
  </si>
  <si>
    <t>ราคาสินค้า (ก่อนภาษี) /หน่วย(เพื่อคำนวนโปรโมชั่นของออเดอร์เฟรนชาย)</t>
  </si>
  <si>
    <t>ประเภทเอกสาร (SO, DO)</t>
  </si>
  <si>
    <t>transfer_doc_flag</t>
  </si>
  <si>
    <t>seller_po</t>
  </si>
  <si>
    <t>เลขที่ใบสั่งซื้อ Seller</t>
  </si>
  <si>
    <t>seller_po_status</t>
  </si>
  <si>
    <t>สถานะใบสั่งซื้อ Seller (Waiting, OnProcess, Complete)</t>
  </si>
  <si>
    <t>instead_channel_name</t>
  </si>
  <si>
    <t>ชื่อช่องทางการรับเงินแทน</t>
  </si>
  <si>
    <t>edit_order_gov_flag</t>
  </si>
  <si>
    <t>เป็น SO แก้ไข Inv ราชการ</t>
  </si>
  <si>
    <t>prospectid</t>
  </si>
  <si>
    <t>saleforce_campaign_id</t>
  </si>
  <si>
    <t>saleforce campaign id</t>
  </si>
  <si>
    <t>campaign_refer_code</t>
  </si>
  <si>
    <t>campaign reference code</t>
  </si>
  <si>
    <t>OFM_tbsopricebydate</t>
  </si>
  <si>
    <t>Punit</t>
  </si>
  <si>
    <t>Seqno</t>
  </si>
  <si>
    <t>Enddate</t>
  </si>
  <si>
    <t>Price</t>
  </si>
  <si>
    <t>Isbestdealbydate</t>
  </si>
  <si>
    <t>IncvatbydatePrice</t>
  </si>
  <si>
    <t>createby</t>
  </si>
  <si>
    <t>createon</t>
  </si>
  <si>
    <t>updateby</t>
  </si>
  <si>
    <t>OFM_TBSOReceiptStore</t>
  </si>
  <si>
    <t>รหัสสาขา</t>
  </si>
  <si>
    <t>ชื่อ OFM Store</t>
  </si>
  <si>
    <t>SoDate</t>
  </si>
  <si>
    <t>วันที่สั่งซื้อ</t>
  </si>
  <si>
    <t>เลขที่เอกสารใบรับเงิน</t>
  </si>
  <si>
    <t>IncVatAmt</t>
  </si>
  <si>
    <t>จำนวนเงิน รวมVat</t>
  </si>
  <si>
    <t>รหัสพนักงาน</t>
  </si>
  <si>
    <t>eEmpName</t>
  </si>
  <si>
    <t>ชื่อพนักงาน</t>
  </si>
  <si>
    <t>CreditCardName</t>
  </si>
  <si>
    <t>CreateName</t>
  </si>
  <si>
    <t>UpdateName</t>
  </si>
  <si>
    <t>EoSubType</t>
  </si>
  <si>
    <t>SaleMethodName</t>
  </si>
  <si>
    <t>SaleMethodID</t>
  </si>
  <si>
    <t>nchar</t>
  </si>
  <si>
    <t>custID</t>
  </si>
  <si>
    <t>custName</t>
  </si>
  <si>
    <t>sSupplierName</t>
  </si>
  <si>
    <t>sManageName</t>
  </si>
  <si>
    <t>PurchaseRatio</t>
  </si>
  <si>
    <t>PurchaseUnit</t>
  </si>
  <si>
    <t>conversionfactor</t>
  </si>
  <si>
    <t>purCostBefDisc</t>
  </si>
  <si>
    <t>Disc1</t>
  </si>
  <si>
    <t>Disc2</t>
  </si>
  <si>
    <t>Disc3</t>
  </si>
  <si>
    <t>Disc4</t>
  </si>
  <si>
    <t>purCostAftDisc</t>
  </si>
  <si>
    <t>PV</t>
  </si>
  <si>
    <t>PO</t>
  </si>
  <si>
    <t>PVdate</t>
  </si>
  <si>
    <t>รหัส Supplier OD</t>
  </si>
  <si>
    <t>OFM_tbteam_master</t>
  </si>
  <si>
    <t>team_name</t>
  </si>
  <si>
    <t>รหัสหัวหน้าทีม</t>
  </si>
  <si>
    <t>receive_order_online</t>
  </si>
  <si>
    <t>ทีมที่สามารถรับออเดอร์ออนไลน์</t>
  </si>
  <si>
    <t>OFM_tbuser_master</t>
  </si>
  <si>
    <t>store_branch_type</t>
  </si>
  <si>
    <t>email</t>
  </si>
  <si>
    <t>emp_name</t>
  </si>
  <si>
    <t>emp_name_thai</t>
  </si>
  <si>
    <t>department</t>
  </si>
  <si>
    <t>หน่วยงานที่สังกัด</t>
  </si>
  <si>
    <t>last_login</t>
  </si>
  <si>
    <t>identity_id</t>
  </si>
  <si>
    <t>user_level</t>
  </si>
  <si>
    <t>ระดับของUser</t>
  </si>
  <si>
    <t>email_store</t>
  </si>
  <si>
    <t>cr_id</t>
  </si>
  <si>
    <t>require_otp</t>
  </si>
  <si>
    <t>require otp code</t>
  </si>
  <si>
    <t>OFM_TdSystem</t>
  </si>
  <si>
    <t>BussinessDay</t>
  </si>
  <si>
    <t>ChangeNameDate</t>
  </si>
  <si>
    <t>วันที่เปลี่ยนชื่อบริษัท</t>
  </si>
  <si>
    <t>CompanyAddress</t>
  </si>
  <si>
    <t>ที่อยู่บริษัท</t>
  </si>
  <si>
    <t>CompanyAddressEng</t>
  </si>
  <si>
    <t>CompanyFax</t>
  </si>
  <si>
    <t>เบอร์แฟกซ์บริษัท</t>
  </si>
  <si>
    <t>CompanyNameEng</t>
  </si>
  <si>
    <t>ชื่อบริษัทภาษาอังกฤษ</t>
  </si>
  <si>
    <t>CompanyNameThai</t>
  </si>
  <si>
    <t>ชื่อบริษัทภาษาไทย</t>
  </si>
  <si>
    <t>CompanyPhone</t>
  </si>
  <si>
    <t>เบอร์โทรบริษัท</t>
  </si>
  <si>
    <t>CurrDate</t>
  </si>
  <si>
    <t>CurrDate_Temp</t>
  </si>
  <si>
    <t>วันที่ในวันทำงาน ปัจจุบัน เพื่อออกเอกสารต่างๆ</t>
  </si>
  <si>
    <t>CurrPeriod</t>
  </si>
  <si>
    <t>CusReptDay</t>
  </si>
  <si>
    <t>DayForCancel</t>
  </si>
  <si>
    <t>DayForReturn</t>
  </si>
  <si>
    <t>DeliveryPlace</t>
  </si>
  <si>
    <t>GPDBName</t>
  </si>
  <si>
    <t>('DBCatalog')</t>
  </si>
  <si>
    <t>GPPassWord</t>
  </si>
  <si>
    <t>('rm2006')</t>
  </si>
  <si>
    <t>GPServerName</t>
  </si>
  <si>
    <t>('IIS2')</t>
  </si>
  <si>
    <t>GPUserName</t>
  </si>
  <si>
    <t>('rm')</t>
  </si>
  <si>
    <t>InvoiceItem</t>
  </si>
  <si>
    <t>is21DayFlag</t>
  </si>
  <si>
    <t>is5DayFlag</t>
  </si>
  <si>
    <t>isStartDay</t>
  </si>
  <si>
    <t>isStartPeriod</t>
  </si>
  <si>
    <t>isStEnDay</t>
  </si>
  <si>
    <t>isStEnPeriod</t>
  </si>
  <si>
    <t>LinkDatawarehouse</t>
  </si>
  <si>
    <t>LinkDatawarehouse2</t>
  </si>
  <si>
    <t>LinkERP</t>
  </si>
  <si>
    <t>LinkTMS</t>
  </si>
  <si>
    <t>LocalName</t>
  </si>
  <si>
    <t>NextDate</t>
  </si>
  <si>
    <t>NextDate_Temp</t>
  </si>
  <si>
    <t>วันที่ในวันทำงาน ถัดไป เพื่อออกเอกสารต่างๆ</t>
  </si>
  <si>
    <t>NextPeriod</t>
  </si>
  <si>
    <t>PCLID</t>
  </si>
  <si>
    <t>เลขที่ บจม. บริษัท</t>
  </si>
  <si>
    <t>ReAmount</t>
  </si>
  <si>
    <t>TaxID</t>
  </si>
  <si>
    <t>VatDefault</t>
  </si>
  <si>
    <t>WareHouseDBName</t>
  </si>
  <si>
    <t>ชื่อ Database ฝั่งคลังสินค้า</t>
  </si>
  <si>
    <t>WarehouseIP</t>
  </si>
  <si>
    <t>WHAmount</t>
  </si>
  <si>
    <t>Source data COL,OMT</t>
  </si>
  <si>
    <t>Ymdata</t>
  </si>
  <si>
    <t>Year - month</t>
  </si>
  <si>
    <t>TBProductMaster_History</t>
  </si>
  <si>
    <t>TBProductStatic_History</t>
  </si>
  <si>
    <t>TBProductWarehouse_omtHistory</t>
  </si>
  <si>
    <t>TBProductWarehouse_colHistory</t>
  </si>
  <si>
    <t>business_type_name</t>
  </si>
  <si>
    <t>catagory_business_type</t>
  </si>
  <si>
    <t>Holdate</t>
  </si>
  <si>
    <t>Holdesc</t>
  </si>
  <si>
    <t>TBProductUnit_history</t>
  </si>
  <si>
    <t>case 3</t>
  </si>
  <si>
    <t>ymdata</t>
  </si>
  <si>
    <t>reserved (KB)</t>
  </si>
  <si>
    <t>data (KB)</t>
  </si>
  <si>
    <t>index_size (KB)</t>
  </si>
  <si>
    <t>unused (KB)</t>
  </si>
  <si>
    <t>Is Log Data Type</t>
  </si>
  <si>
    <t>tbmkp_order</t>
  </si>
  <si>
    <t>28/01/2563 1:43 PM</t>
  </si>
  <si>
    <t>order_id</t>
  </si>
  <si>
    <t>Update_on</t>
  </si>
  <si>
    <t>tbmkp_order_detail</t>
  </si>
  <si>
    <t>order_id, pid</t>
  </si>
  <si>
    <t>tbmkpcompany</t>
  </si>
  <si>
    <t>21/01/2562 5:16 PM</t>
  </si>
  <si>
    <t>mercury_tborder</t>
  </si>
  <si>
    <t>15/12/2562 2:05 AM</t>
  </si>
  <si>
    <t>mercury_tborderdetail</t>
  </si>
  <si>
    <t>26/12/2562 9:02 PM</t>
  </si>
  <si>
    <t>mercury_tborderitems</t>
  </si>
  <si>
    <t>26/12/2562 9:07 PM</t>
  </si>
  <si>
    <t>action_seq, order_id, pid</t>
  </si>
  <si>
    <t>tborder_payment</t>
  </si>
  <si>
    <t>16/01/2562 2:57 PM</t>
  </si>
  <si>
    <t>mgt_order_id</t>
  </si>
  <si>
    <t>tbproduct_content</t>
  </si>
  <si>
    <t>16/01/2562 2:58 PM</t>
  </si>
  <si>
    <t>tbseller_contact</t>
  </si>
  <si>
    <t>26/12/2562 10:57 PM</t>
  </si>
  <si>
    <t>id,seq_no</t>
  </si>
  <si>
    <t>seller master</t>
  </si>
  <si>
    <t>20/06/2562 6:31 PM</t>
  </si>
  <si>
    <t>SellerID</t>
  </si>
  <si>
    <t>mercury_tbsellerorder</t>
  </si>
  <si>
    <t>28/05/2563 8:40 PM</t>
  </si>
  <si>
    <t>mgt_order_id,order_id,spo_id</t>
  </si>
  <si>
    <t>mercury_tbsellerorderdetail</t>
  </si>
  <si>
    <t>25/12/2562 6:01 PM</t>
  </si>
  <si>
    <t>seq_no,spo_id</t>
  </si>
  <si>
    <t>mercury_tbsellerorderprocesslog</t>
  </si>
  <si>
    <t>Create_on</t>
  </si>
  <si>
    <t>mercury_tbsellerorderdeliverylog</t>
  </si>
  <si>
    <t>tbseller_order_document</t>
  </si>
  <si>
    <t>25/12/2562 6:02 PM</t>
  </si>
  <si>
    <t>file_type, spo_id</t>
  </si>
  <si>
    <t>Product master</t>
  </si>
  <si>
    <t>tbseller_product_master</t>
  </si>
  <si>
    <t>tbseller_product_stock</t>
  </si>
  <si>
    <t>mercury_tbsellerprofile</t>
  </si>
  <si>
    <t>guid, id</t>
  </si>
  <si>
    <t>TBAllocateTransferOut</t>
  </si>
  <si>
    <t>13/07/2561 3:10 PM</t>
  </si>
  <si>
    <t>Batch Daily</t>
  </si>
  <si>
    <t>17/07/2561 1:10 PM</t>
  </si>
  <si>
    <t>TBCODTypeMaster</t>
  </si>
  <si>
    <t>14/01/2561 11:15 PM</t>
  </si>
  <si>
    <t>CODID</t>
  </si>
  <si>
    <t>TBCustShippingMaster</t>
  </si>
  <si>
    <t>CustomerID, ShippingID</t>
  </si>
  <si>
    <t>TBDeliveryActionMaster</t>
  </si>
  <si>
    <t>24/04/2561 5:50 PM</t>
  </si>
  <si>
    <t>TBDockMaster</t>
  </si>
  <si>
    <t>17/07/2561 7:24 PM</t>
  </si>
  <si>
    <t>DockID</t>
  </si>
  <si>
    <t>TBEmployeeMaster</t>
  </si>
  <si>
    <t>25/07/2560 6:09 PM</t>
  </si>
  <si>
    <t>EmployeeID</t>
  </si>
  <si>
    <t>TBFleetMaster</t>
  </si>
  <si>
    <t>23/07/2563 10:01 AM</t>
  </si>
  <si>
    <t>FleetID</t>
  </si>
  <si>
    <t>TBFleetRateAreaMaster</t>
  </si>
  <si>
    <t>15/04/2564 1:12 PM</t>
  </si>
  <si>
    <t>RateID</t>
  </si>
  <si>
    <t>Full Refresh</t>
  </si>
  <si>
    <t>TBFleetSLAMaster</t>
  </si>
  <si>
    <t>15/10/2563 11:44 AM</t>
  </si>
  <si>
    <t>DistrictName,FleetID,PostalCode,ProvinceName</t>
  </si>
  <si>
    <t>TBFleetTransaction</t>
  </si>
  <si>
    <t>25/09/2563 3:40 PM</t>
  </si>
  <si>
    <t>FTNo</t>
  </si>
  <si>
    <t>TBFleetVehicleMaster</t>
  </si>
  <si>
    <t>23/07/2563 9:56 AM</t>
  </si>
  <si>
    <t>FleetID,LicenseNo ,Provinc</t>
  </si>
  <si>
    <t>TBGroupReason</t>
  </si>
  <si>
    <t>16/07/2561 5:23 PM</t>
  </si>
  <si>
    <t>GroupID,ReasonID,Type</t>
  </si>
  <si>
    <t>TBGroupReasonMaster</t>
  </si>
  <si>
    <t>24/04/2561 6:40 PM</t>
  </si>
  <si>
    <t>GroupReasonID</t>
  </si>
  <si>
    <t>TBGroupServiceMaster</t>
  </si>
  <si>
    <t>24/04/2561 6:41 PM</t>
  </si>
  <si>
    <t>GroupID</t>
  </si>
  <si>
    <t>TBJobReasonMaster</t>
  </si>
  <si>
    <t>14/01/2561 10:08 PM</t>
  </si>
  <si>
    <t>ReasonID</t>
  </si>
  <si>
    <t>TBLoadingTimeMaster</t>
  </si>
  <si>
    <t>24/04/2561 5:36 PM</t>
  </si>
  <si>
    <t>RoundID</t>
  </si>
  <si>
    <t>TBOwnerMaster</t>
  </si>
  <si>
    <t>14/01/2561 9:55 PM</t>
  </si>
  <si>
    <t>OwnerID</t>
  </si>
  <si>
    <t>TBPetrolMaster</t>
  </si>
  <si>
    <t>PetrolID</t>
  </si>
  <si>
    <t>TBPositionMaster</t>
  </si>
  <si>
    <t>25/07/2560 6:08 PM</t>
  </si>
  <si>
    <t>PositionID</t>
  </si>
  <si>
    <t>TBProviderMaster</t>
  </si>
  <si>
    <t>ProviderID</t>
  </si>
  <si>
    <t>TBStatusMaster</t>
  </si>
  <si>
    <t>22/06/2561 7:38 PM</t>
  </si>
  <si>
    <t>StatusID</t>
  </si>
  <si>
    <t>TBSubClusterMaster</t>
  </si>
  <si>
    <t>21/04/2562 12:29 PM</t>
  </si>
  <si>
    <t>SubClusterID</t>
  </si>
  <si>
    <t>TBVehicleMaster</t>
  </si>
  <si>
    <t>21/04/2562 12:31 PM</t>
  </si>
  <si>
    <t>VehicleID</t>
  </si>
  <si>
    <t>TBVehiclePlanMaster</t>
  </si>
  <si>
    <t>21/04/2562 12:32 PM</t>
  </si>
  <si>
    <t>TBVehicleSizeMaster</t>
  </si>
  <si>
    <t>14/01/2561 11:07 PM</t>
  </si>
  <si>
    <t>VehicleSizeID</t>
  </si>
  <si>
    <t>TBZoneMappingVehicle</t>
  </si>
  <si>
    <t>ProviderID, Type, ZoneID</t>
  </si>
  <si>
    <t>TBZoneMaster</t>
  </si>
  <si>
    <t>ZoneID</t>
  </si>
  <si>
    <t>TMS_TBDeliveryHead</t>
  </si>
  <si>
    <t>Every 15 min</t>
  </si>
  <si>
    <t>Company,TrackingNo</t>
  </si>
  <si>
    <t>TMS_TBDeliveryConfirm</t>
  </si>
  <si>
    <t>Company,ID</t>
  </si>
  <si>
    <t>TMS_TBDeliveryControl</t>
  </si>
  <si>
    <t>TABLE_CATALOG</t>
  </si>
  <si>
    <t>NUMERIC_PRECISION</t>
  </si>
  <si>
    <t>NUMERIC_scale</t>
  </si>
  <si>
    <t>order_date</t>
  </si>
  <si>
    <t>order_status</t>
  </si>
  <si>
    <t>count_product</t>
  </si>
  <si>
    <t>mgt_id</t>
  </si>
  <si>
    <t>mgt_invoice_id</t>
  </si>
  <si>
    <t>invoice_address1</t>
  </si>
  <si>
    <t>invoice_address2</t>
  </si>
  <si>
    <t>invoice_address3</t>
  </si>
  <si>
    <t>invoice_address4</t>
  </si>
  <si>
    <t>mgt_contact_id</t>
  </si>
  <si>
    <t>contact_phone_no</t>
  </si>
  <si>
    <t>contact_phone_ext</t>
  </si>
  <si>
    <t>contact_fax_no</t>
  </si>
  <si>
    <t>mgt_ship_id</t>
  </si>
  <si>
    <t>ship_address1</t>
  </si>
  <si>
    <t>ship_address2</t>
  </si>
  <si>
    <t>ship_phone_no</t>
  </si>
  <si>
    <t>ship_phone_ext</t>
  </si>
  <si>
    <t>is_require_edit_inv_addr</t>
  </si>
  <si>
    <t>branch_code</t>
  </si>
  <si>
    <t>grand_total_amt</t>
  </si>
  <si>
    <t>tot_amt</t>
  </si>
  <si>
    <t>vat_rate</t>
  </si>
  <si>
    <t>non_vat_prod_netamt</t>
  </si>
  <si>
    <t>discount_amt_incvat</t>
  </si>
  <si>
    <t>discount_rate</t>
  </si>
  <si>
    <t>deliver_fee</t>
  </si>
  <si>
    <t>ord_deliver_fee</t>
  </si>
  <si>
    <t>other_discount_amt</t>
  </si>
  <si>
    <t>other_discount_amt_incvat</t>
  </si>
  <si>
    <t>other_discount_rate</t>
  </si>
  <si>
    <t>voucher_disc_amt</t>
  </si>
  <si>
    <t>total_voucher_item_disc_amt</t>
  </si>
  <si>
    <t>total_voucher_item_disc_amt_incvat</t>
  </si>
  <si>
    <t>total_promo_item_disc_amt</t>
  </si>
  <si>
    <t>total_promo_item_disc_amt_incvat</t>
  </si>
  <si>
    <t>payment_disc_amt</t>
  </si>
  <si>
    <t>payment_disc_code</t>
  </si>
  <si>
    <t>payment_ref_no</t>
  </si>
  <si>
    <t>ref_po_no</t>
  </si>
  <si>
    <t>approver_email</t>
  </si>
  <si>
    <t>approver_name</t>
  </si>
  <si>
    <t>approver_remark</t>
  </si>
  <si>
    <t>remark_to_approver</t>
  </si>
  <si>
    <t>t1c_redeem_card_no</t>
  </si>
  <si>
    <t>sale_channel</t>
  </si>
  <si>
    <t>tracking_no</t>
  </si>
  <si>
    <t>online_order_type</t>
  </si>
  <si>
    <t>gift_premium_desc</t>
  </si>
  <si>
    <t>create_doc_status</t>
  </si>
  <si>
    <t>creditcard_accept</t>
  </si>
  <si>
    <t>receive_sms</t>
  </si>
  <si>
    <t>ip_address</t>
  </si>
  <si>
    <t>doc_language</t>
  </si>
  <si>
    <t>create_on</t>
  </si>
  <si>
    <t>update_on</t>
  </si>
  <si>
    <t>ref_ord_deliveryfee_no</t>
  </si>
  <si>
    <t>ref_affiliate_code</t>
  </si>
  <si>
    <t>call_back_flag</t>
  </si>
  <si>
    <t>action_seq</t>
  </si>
  <si>
    <t>payment_options</t>
  </si>
  <si>
    <t>admin_username</t>
  </si>
  <si>
    <t>net_delivery_fee</t>
  </si>
  <si>
    <t>net_delivery_fee_excvat</t>
  </si>
  <si>
    <t>vat_prod_net_amt_delivery_fee_excvat</t>
  </si>
  <si>
    <t>request_tax_invoice</t>
  </si>
  <si>
    <t>account_first_name</t>
  </si>
  <si>
    <t>account_last_name</t>
  </si>
  <si>
    <t>col_flag</t>
  </si>
  <si>
    <t>sale_en_unit</t>
  </si>
  <si>
    <t>sale_th_unit</t>
  </si>
  <si>
    <t>product_ename</t>
  </si>
  <si>
    <t>unit_price</t>
  </si>
  <si>
    <t>unit_price_incvat</t>
  </si>
  <si>
    <t>incvat_price</t>
  </si>
  <si>
    <t>is_bestdeal</t>
  </si>
  <si>
    <t>is_exclusive</t>
  </si>
  <si>
    <t>is_free</t>
  </si>
  <si>
    <t>is_promotion</t>
  </si>
  <si>
    <t>is_vat</t>
  </si>
  <si>
    <t>deliverfee_item</t>
  </si>
  <si>
    <t>price_flag</t>
  </si>
  <si>
    <t>other_item_discount_amt</t>
  </si>
  <si>
    <t>other_item_discount_amt_incvat</t>
  </si>
  <si>
    <t>other_item_discount_rate</t>
  </si>
  <si>
    <t>payment_item_disc_amt</t>
  </si>
  <si>
    <t>voucher_item_disc_amt</t>
  </si>
  <si>
    <t>promo_item_disc_amt</t>
  </si>
  <si>
    <t>sold_by</t>
  </si>
  <si>
    <t>fulfill_by</t>
  </si>
  <si>
    <t>ref_doc_no</t>
  </si>
  <si>
    <t>ref_doc_type</t>
  </si>
  <si>
    <t>transfer_status</t>
  </si>
  <si>
    <t>ref_qty</t>
  </si>
  <si>
    <t>ref_spo_no</t>
  </si>
  <si>
    <t>spo_id</t>
  </si>
  <si>
    <t>spo_date</t>
  </si>
  <si>
    <t>spo_status</t>
  </si>
  <si>
    <t>ref_gr_no</t>
  </si>
  <si>
    <t>ref_pv_no</t>
  </si>
  <si>
    <t>ref_so_no</t>
  </si>
  <si>
    <t>consignment_no</t>
  </si>
  <si>
    <t>seller_id</t>
  </si>
  <si>
    <t>seller_name</t>
  </si>
  <si>
    <t>seller_invoice_address_1</t>
  </si>
  <si>
    <t>seller_invoice_address_2</t>
  </si>
  <si>
    <t>seller_invoice_subdistrict</t>
  </si>
  <si>
    <t>seller_invoice_district</t>
  </si>
  <si>
    <t>seller_invoice_province</t>
  </si>
  <si>
    <t>seller_invoice_zipcode</t>
  </si>
  <si>
    <t>seller_payment_code</t>
  </si>
  <si>
    <t>seller_payment_type</t>
  </si>
  <si>
    <t>seller_contact_seq_no</t>
  </si>
  <si>
    <t>seller_contact_name</t>
  </si>
  <si>
    <t>seller_contact_mobile</t>
  </si>
  <si>
    <t>seller_contact_phone_no</t>
  </si>
  <si>
    <t>seller_contact_email</t>
  </si>
  <si>
    <t>seller_contact_fax_no</t>
  </si>
  <si>
    <t>seller_warehouse_1</t>
  </si>
  <si>
    <t>seller_warehouse_2</t>
  </si>
  <si>
    <t>seller_warehouse_subdistrict</t>
  </si>
  <si>
    <t>seller_warehouse_district</t>
  </si>
  <si>
    <t>seller_warehouse_province</t>
  </si>
  <si>
    <t>seller_warehouse_zipcode</t>
  </si>
  <si>
    <t>seller_ref_inv_no</t>
  </si>
  <si>
    <t>seller_ref_inv_date</t>
  </si>
  <si>
    <t>non_vat_prod_net_amt</t>
  </si>
  <si>
    <t>service_code</t>
  </si>
  <si>
    <t>total_box</t>
  </si>
  <si>
    <t>seller_delivery_type</t>
  </si>
  <si>
    <t>process</t>
  </si>
  <si>
    <t>message</t>
  </si>
  <si>
    <t>text</t>
  </si>
  <si>
    <t>unit</t>
  </si>
  <si>
    <t>sale_unit_price</t>
  </si>
  <si>
    <t>commission_rate</t>
  </si>
  <si>
    <t>id</t>
  </si>
  <si>
    <t>guid</t>
  </si>
  <si>
    <t>seller_status</t>
  </si>
  <si>
    <t>seller_title_id</t>
  </si>
  <si>
    <t>seller_title_name</t>
  </si>
  <si>
    <t>seller_name_th</t>
  </si>
  <si>
    <t>seller_name_en</t>
  </si>
  <si>
    <t>seller_sur_name_th</t>
  </si>
  <si>
    <t>seller_sur_name_en</t>
  </si>
  <si>
    <t>seller_id_card</t>
  </si>
  <si>
    <t>seller_company_name_th</t>
  </si>
  <si>
    <t>seller_company_name_en</t>
  </si>
  <si>
    <t>seller_tax_id</t>
  </si>
  <si>
    <t>seller_businesseller_type_id</t>
  </si>
  <si>
    <t>seller_business_type_name</t>
  </si>
  <si>
    <t>seller_reft_type</t>
  </si>
  <si>
    <t>seller_address</t>
  </si>
  <si>
    <t>seller_village</t>
  </si>
  <si>
    <t>seller_road</t>
  </si>
  <si>
    <t>seller_soi</t>
  </si>
  <si>
    <t>seller_subdistrict</t>
  </si>
  <si>
    <t>seller_district</t>
  </si>
  <si>
    <t>seller_province</t>
  </si>
  <si>
    <t>seller_zipcode</t>
  </si>
  <si>
    <t>seller_bank_id</t>
  </si>
  <si>
    <t>seller_bank_name</t>
  </si>
  <si>
    <t>seller_bank_acct</t>
  </si>
  <si>
    <t>seller_bank_acct_type</t>
  </si>
  <si>
    <t>seller_bank_remark</t>
  </si>
  <si>
    <t>api_refesh_token</t>
  </si>
  <si>
    <t>api_email</t>
  </si>
  <si>
    <t>((5))</t>
  </si>
  <si>
    <t>รหัสแฟรนไชส์</t>
  </si>
  <si>
    <t>payment_date</t>
  </si>
  <si>
    <t>วันที่ชำระสำเร็จ</t>
  </si>
  <si>
    <t>settle_flag</t>
  </si>
  <si>
    <t>Yes=อ่านแล้ว, No=ยังไม่อ่าน</t>
  </si>
  <si>
    <t>settle_date</t>
  </si>
  <si>
    <t>วันที่ MarkFlag</t>
  </si>
  <si>
    <t>credit_card_no</t>
  </si>
  <si>
    <t>code ผู้ขาย OfficeMate หรือ Marketplace</t>
  </si>
  <si>
    <t>('OfficeMate')</t>
  </si>
  <si>
    <t>รหัสผู้ขาย OFM หรือ seller id</t>
  </si>
  <si>
    <t>customer_id</t>
  </si>
  <si>
    <t>customer_name</t>
  </si>
  <si>
    <t>tax_id</t>
  </si>
  <si>
    <t>street</t>
  </si>
  <si>
    <t>city</t>
  </si>
  <si>
    <t>country_id</t>
  </si>
  <si>
    <t>region</t>
  </si>
  <si>
    <t>postcode</t>
  </si>
  <si>
    <t>telephone</t>
  </si>
  <si>
    <t>super_user_id</t>
  </si>
  <si>
    <t>batch_id</t>
  </si>
  <si>
    <t>maskedpan</t>
  </si>
  <si>
    <t>transaction_Refno</t>
  </si>
  <si>
    <t>t1c_point_rate</t>
  </si>
  <si>
    <t>pthainame</t>
  </si>
  <si>
    <t>pengname</t>
  </si>
  <si>
    <t>pthaidesc</t>
  </si>
  <si>
    <t>pengdesc</t>
  </si>
  <si>
    <t>รหัส Seller และรหัส TempID</t>
  </si>
  <si>
    <t>ชื่อผูู้ติดต่อ</t>
  </si>
  <si>
    <t>phone_no</t>
  </si>
  <si>
    <t>phone_extension</t>
  </si>
  <si>
    <t>mobile</t>
  </si>
  <si>
    <t>fax</t>
  </si>
  <si>
    <t>fax_extension</t>
  </si>
  <si>
    <t>position</t>
  </si>
  <si>
    <t>is_verify</t>
  </si>
  <si>
    <t>การยืนยัน e-mail (Yes = ผ่านการ verify, No = ยังไม่ผ่านการ verify)</t>
  </si>
  <si>
    <t>verify_key</t>
  </si>
  <si>
    <t>คีย์การ Verify e-mail</t>
  </si>
  <si>
    <t>change_password_on</t>
  </si>
  <si>
    <t>มีการเปลี่ยน password ครั้งล่าสุด</t>
  </si>
  <si>
    <t>forgot_password_on</t>
  </si>
  <si>
    <t>มีการขอ forgot password ครั้งล่าสุด</t>
  </si>
  <si>
    <t>รหัส Seller</t>
  </si>
  <si>
    <t>SellerName</t>
  </si>
  <si>
    <t>ชื่อ Seller</t>
  </si>
  <si>
    <t>สถานะของ Seller (Active=ใช้งาน,Delete=ไม่ใช้งาน)</t>
  </si>
  <si>
    <t>ผู้ที่แก้ไขข้อมูล</t>
  </si>
  <si>
    <t>file_name</t>
  </si>
  <si>
    <t>file_cdn</t>
  </si>
  <si>
    <t>ไฟล์เอกสารใน CDN</t>
  </si>
  <si>
    <t>file_type</t>
  </si>
  <si>
    <t>seller_pid</t>
  </si>
  <si>
    <t>รหัสสินค้าของ Seller</t>
  </si>
  <si>
    <t>รหัส OFM</t>
  </si>
  <si>
    <t>ชื่อสินค้า Seller Portal</t>
  </si>
  <si>
    <t>onhand</t>
  </si>
  <si>
    <t>จำนวนสินค้าคงเหลือ</t>
  </si>
  <si>
    <t>reserve</t>
  </si>
  <si>
    <t>จำนวนสินค้าที่ถูกจอง</t>
  </si>
  <si>
    <t>สถานะสินค้า Seller Portal (Active=ใช้งาน, Inactive=ระงับการใช้งาน, Delete=ยกเลิกใช้งาน)</t>
  </si>
  <si>
    <t>ค่าคอมมิสชั่น</t>
  </si>
  <si>
    <t>sale_price_exc_vat</t>
  </si>
  <si>
    <t>sale_price_inc_vat</t>
  </si>
  <si>
    <t>full_price</t>
  </si>
  <si>
    <t xml:space="preserve">Full Price ห้ามต่ำกว่าราคาทุน และ ราคาขาย In Vat   FullPrice &lt; (CostOfSale * 1.07) หรือ FullPrice &lt; ราคาขาย In Vat จะไม่ให้ผ่าน </t>
  </si>
  <si>
    <t>cost_price_exc_vat</t>
  </si>
  <si>
    <t>cost_price_inc_vat</t>
  </si>
  <si>
    <t>mr_point</t>
  </si>
  <si>
    <t>Point ของสินค้า สูตร sale_price_inc_vat * 10  โดยดูที่ TBProductUnit..ProdUnitType = Sale, SaleAndPurchase</t>
  </si>
  <si>
    <t>วัน และเวลาที่สร้าง</t>
  </si>
  <si>
    <t>วัน และเวลาที่แก้ไข</t>
  </si>
  <si>
    <t>รหัสสินค้า Seller Portal</t>
  </si>
  <si>
    <t>สถานะสินค้า Seller Portal (Active=ใช้งาน ,Cancel=ยกเลิก)</t>
  </si>
  <si>
    <t>f</t>
  </si>
  <si>
    <t>Adjust stock</t>
  </si>
  <si>
    <t>TBAdjustDetail</t>
  </si>
  <si>
    <t>24/08/2562 1:35 AM</t>
  </si>
  <si>
    <t>DocNo,SeqNo</t>
  </si>
  <si>
    <t>TBAdjustHead</t>
  </si>
  <si>
    <t>24/08/2562 1:34 AM</t>
  </si>
  <si>
    <t>Docno</t>
  </si>
  <si>
    <t>master</t>
  </si>
  <si>
    <t>TBLocationAreaMaster</t>
  </si>
  <si>
    <t>TBLocationMaster</t>
  </si>
  <si>
    <t>31/07/2562 3:05 PM</t>
  </si>
  <si>
    <t>LocationID, StoreID, WHID</t>
  </si>
  <si>
    <t>TBLotPatternMaster</t>
  </si>
  <si>
    <t>LotPatternCode, LotPatternID</t>
  </si>
  <si>
    <t>TBPackingMaster</t>
  </si>
  <si>
    <t>31/07/2562 4:51 PM</t>
  </si>
  <si>
    <t>TBProductQcStatusMaster</t>
  </si>
  <si>
    <t>Id, Name</t>
  </si>
  <si>
    <t>TBProductReturnReasonMaster</t>
  </si>
  <si>
    <t>25/10/2560 6:10 PM</t>
  </si>
  <si>
    <t>ReasonId</t>
  </si>
  <si>
    <t>TBReasonMaster</t>
  </si>
  <si>
    <t>27/08/2561 11:44 PM</t>
  </si>
  <si>
    <t>ERP_TBProductPatternControl</t>
  </si>
  <si>
    <t>TBStorageCategoryMaster</t>
  </si>
  <si>
    <t>CategoryId</t>
  </si>
  <si>
    <t>Product</t>
  </si>
  <si>
    <t>TBPRoduct_Hamper</t>
  </si>
  <si>
    <t>26/10/2562 1:18 PM</t>
  </si>
  <si>
    <t>TBPRoduct_Srank</t>
  </si>
  <si>
    <t>TBProductBOMMaster</t>
  </si>
  <si>
    <t>23/10/2561 5:29 PM</t>
  </si>
  <si>
    <t>ItemCode,  ItemComponent</t>
  </si>
  <si>
    <t>TBProductLocation</t>
  </si>
  <si>
    <t>31/07/2562 3:12 PM</t>
  </si>
  <si>
    <t>LocationID, PID, StoreID, WHID</t>
  </si>
  <si>
    <t>TBProductLocationLotControl</t>
  </si>
  <si>
    <t>23/08/2562 8:57 PM</t>
  </si>
  <si>
    <t>LocationID, LotNo, PID</t>
  </si>
  <si>
    <t>Shipping plan</t>
  </si>
  <si>
    <t>TBShippingAreaMaster</t>
  </si>
  <si>
    <t>AreaCode,City,ClusterId,District,PostCode,Province,ServiceType</t>
  </si>
  <si>
    <t>TBShippingBoxTypeMaster</t>
  </si>
  <si>
    <t>BoxName, BoxTypeCode</t>
  </si>
  <si>
    <t>TBShippingCancel</t>
  </si>
  <si>
    <t>15/09/2560 11:39 AM</t>
  </si>
  <si>
    <t>ShipID, SeqNo</t>
  </si>
  <si>
    <t>TBShippingLabelInformation</t>
  </si>
  <si>
    <t>TBShippingPlanAck</t>
  </si>
  <si>
    <t>24/05/2561 3:29 PM</t>
  </si>
  <si>
    <t>TBShippingPlanCancelAck</t>
  </si>
  <si>
    <t>TBShippingPlanCancelTransfer</t>
  </si>
  <si>
    <t>30/07/2561 4:30 PM</t>
  </si>
  <si>
    <t>TBShippingplanDelete</t>
  </si>
  <si>
    <t>24/08/2562 12:55 AM</t>
  </si>
  <si>
    <t>OrderNo, ShippingID</t>
  </si>
  <si>
    <t>TBShippingPlanLoadingResult</t>
  </si>
  <si>
    <t>TBShippingPlanPickingStart</t>
  </si>
  <si>
    <t>30/07/2561 3:32 PM</t>
  </si>
  <si>
    <t>TBShippingPlanReasonMaster</t>
  </si>
  <si>
    <t>23/08/2560 10:56 AM</t>
  </si>
  <si>
    <t>TBShippingPlanResult</t>
  </si>
  <si>
    <t>21/08/2561 7:43 PM</t>
  </si>
  <si>
    <t>ExpiryDate, ItemCode, Lot, SeqNo, ShippingId, ShippingLabelNo</t>
  </si>
  <si>
    <t>TBShippingPlanTransDetail</t>
  </si>
  <si>
    <t>20/07/2561 9:11 AM</t>
  </si>
  <si>
    <t>ItemCode, SeqNo, ShippingId</t>
  </si>
  <si>
    <t>TBShippingPlanTransfer</t>
  </si>
  <si>
    <t>30/07/2561 4:29 PM</t>
  </si>
  <si>
    <t>24/08/2562 2:54 AM</t>
  </si>
  <si>
    <t>ReferenceDocNo</t>
  </si>
  <si>
    <t>Stock take</t>
  </si>
  <si>
    <t>TBStockTransaction</t>
  </si>
  <si>
    <t>DocNo, ID, SeqNoDoc</t>
  </si>
  <si>
    <t>ERP_TBPICDetail</t>
  </si>
  <si>
    <t>PICNo, SeqNo</t>
  </si>
  <si>
    <t>ERP_TBPICHead</t>
  </si>
  <si>
    <t>PICNo</t>
  </si>
  <si>
    <t>ERP_TBPSTDetail</t>
  </si>
  <si>
    <t>PSTNo, SeqNo, PID</t>
  </si>
  <si>
    <t>ERP_TBPSTHead</t>
  </si>
  <si>
    <t>PSTNo</t>
  </si>
  <si>
    <t>ERP_tbSSOhead</t>
  </si>
  <si>
    <t>ERP_tbSSOdetail</t>
  </si>
  <si>
    <t>SeqNo, SSONo</t>
  </si>
  <si>
    <t>ERP_tbDLhead</t>
  </si>
  <si>
    <t>DLNo</t>
  </si>
  <si>
    <t>ERP_tbDLdetail</t>
  </si>
  <si>
    <t>DLNo, SeqNo</t>
  </si>
  <si>
    <t>ERP_TBJobTransport</t>
  </si>
  <si>
    <t>JobId</t>
  </si>
  <si>
    <t>ERP_TBOrderHead</t>
  </si>
  <si>
    <t>SubOrderNo</t>
  </si>
  <si>
    <t>ERP_TBOrderDetail</t>
  </si>
  <si>
    <t>pID, SeqNo, SubOrderNo</t>
  </si>
  <si>
    <t>TBStoreWarehouseMaster</t>
  </si>
  <si>
    <t>72 KB</t>
  </si>
  <si>
    <t>8 KB</t>
  </si>
  <si>
    <t>56 KB</t>
  </si>
  <si>
    <t>TBReceivehead</t>
  </si>
  <si>
    <t>Receive Document  (to Murata system)  (summary total)</t>
  </si>
  <si>
    <t>43984 KB</t>
  </si>
  <si>
    <t>42432 KB</t>
  </si>
  <si>
    <t>448 KB</t>
  </si>
  <si>
    <t>1104 KB</t>
  </si>
  <si>
    <t>TBReceiveDetail</t>
  </si>
  <si>
    <t>Receive Document  (to Murata system)  (By item)</t>
  </si>
  <si>
    <t>120904 KB</t>
  </si>
  <si>
    <t>118608 KB</t>
  </si>
  <si>
    <t>976 KB</t>
  </si>
  <si>
    <t>1320 KB</t>
  </si>
  <si>
    <t>DocNo, SeqNo</t>
  </si>
  <si>
    <t>TBRTHead</t>
  </si>
  <si>
    <t>Pre Return To Vendor (summary total)</t>
  </si>
  <si>
    <t>4232 KB</t>
  </si>
  <si>
    <t>2864 KB</t>
  </si>
  <si>
    <t>288 KB</t>
  </si>
  <si>
    <t>1080 KB</t>
  </si>
  <si>
    <t>RTNo</t>
  </si>
  <si>
    <t>TBRTDetail</t>
  </si>
  <si>
    <t>Pre Return To Vendor (By Item)</t>
  </si>
  <si>
    <t>2064 KB</t>
  </si>
  <si>
    <t>1384 KB</t>
  </si>
  <si>
    <t>152 KB</t>
  </si>
  <si>
    <t>528 KB</t>
  </si>
  <si>
    <t>RTNo, SeqNo</t>
  </si>
  <si>
    <t>TBRDHead</t>
  </si>
  <si>
    <t>Receive Document (summary total)</t>
  </si>
  <si>
    <t>59008 KB</t>
  </si>
  <si>
    <t>58048 KB</t>
  </si>
  <si>
    <t>584 KB</t>
  </si>
  <si>
    <t>376 KB</t>
  </si>
  <si>
    <t>RDNo</t>
  </si>
  <si>
    <t>TBRDDetail</t>
  </si>
  <si>
    <t>Receive Document (By Item)</t>
  </si>
  <si>
    <t>76640 KB</t>
  </si>
  <si>
    <t>74984 KB</t>
  </si>
  <si>
    <t>928 KB</t>
  </si>
  <si>
    <t>728 KB</t>
  </si>
  <si>
    <t>RDNo, SeqNo</t>
  </si>
  <si>
    <t>TBRTVHead</t>
  </si>
  <si>
    <t>Return to vendor Document  (summary total)</t>
  </si>
  <si>
    <t>4792 KB</t>
  </si>
  <si>
    <t>3344 KB</t>
  </si>
  <si>
    <t>272 KB</t>
  </si>
  <si>
    <t>1176 KB</t>
  </si>
  <si>
    <t>RTVNo</t>
  </si>
  <si>
    <t>TBRTVDetail</t>
  </si>
  <si>
    <t>Return to vendor Document  (By Item)</t>
  </si>
  <si>
    <t>2224 KB</t>
  </si>
  <si>
    <t>1432 KB</t>
  </si>
  <si>
    <t>184 KB</t>
  </si>
  <si>
    <t>608 KB</t>
  </si>
  <si>
    <t>RTVNo, SeqNo</t>
  </si>
  <si>
    <t>TBWTHead</t>
  </si>
  <si>
    <t>Warehouse  Transfer document  (summary total)</t>
  </si>
  <si>
    <t>792 KB</t>
  </si>
  <si>
    <t>464 KB</t>
  </si>
  <si>
    <t>96 KB</t>
  </si>
  <si>
    <t>232 KB</t>
  </si>
  <si>
    <t>WTNo</t>
  </si>
  <si>
    <t>TBWTDetail</t>
  </si>
  <si>
    <t>Warehouse  Transfer document  (By Item)</t>
  </si>
  <si>
    <t>848 KB</t>
  </si>
  <si>
    <t>520 KB</t>
  </si>
  <si>
    <t>88 KB</t>
  </si>
  <si>
    <t>240 KB</t>
  </si>
  <si>
    <t>WTNo, SeqNo</t>
  </si>
  <si>
    <t>QCStatusID</t>
  </si>
  <si>
    <t>AdjustedQty</t>
  </si>
  <si>
    <t>CanceledQty</t>
  </si>
  <si>
    <t>รหัสพื้นที่การจัดเก็บสินค้า</t>
  </si>
  <si>
    <t>AreaName</t>
  </si>
  <si>
    <t>ชื่อพื้นที่ในการจัดเก็บสินค้า</t>
  </si>
  <si>
    <t>ZoneCode</t>
  </si>
  <si>
    <t>รหัสโซนพื้นที่ในการจัดเก็บสินค้า</t>
  </si>
  <si>
    <t>Location</t>
  </si>
  <si>
    <t>สถานที่จัดเก็บสินค้า</t>
  </si>
  <si>
    <t>ItemSubCode</t>
  </si>
  <si>
    <t>รหัสกลุ่มของประเภทสินค้า</t>
  </si>
  <si>
    <t>Lot</t>
  </si>
  <si>
    <t>Lot ของการรับสินค้าเข้า</t>
  </si>
  <si>
    <t>ExpiryDate</t>
  </si>
  <si>
    <t>วันที่หมดอายุของสินค้า</t>
  </si>
  <si>
    <t>AdjustmentPlanQty</t>
  </si>
  <si>
    <t>จำนวนสินค้าที่ต้องส่งให้ทาง WMS ปรับ Stock</t>
  </si>
  <si>
    <t>LastReceivingDate</t>
  </si>
  <si>
    <t>วันที่รับสินค้าเข้าล่าสุด</t>
  </si>
  <si>
    <t>LastShippingDate</t>
  </si>
  <si>
    <t>วันที่นำสินค้าออกล่าสุด</t>
  </si>
  <si>
    <t>ประเภทการจัดการของระบบ</t>
  </si>
  <si>
    <t>('WMS')</t>
  </si>
  <si>
    <t>RefDocno</t>
  </si>
  <si>
    <t>StockDoctype</t>
  </si>
  <si>
    <t>DocHead</t>
  </si>
  <si>
    <t>DocRemark</t>
  </si>
  <si>
    <t>TransferStatus</t>
  </si>
  <si>
    <t>ReferenceJobNo</t>
  </si>
  <si>
    <t>เลขที่เอกสาร JB</t>
  </si>
  <si>
    <t>SourceType</t>
  </si>
  <si>
    <t>TransferDate</t>
  </si>
  <si>
    <t>วันที่ Transfer</t>
  </si>
  <si>
    <t>SubWHName</t>
  </si>
  <si>
    <t>ลำดับ Location area</t>
  </si>
  <si>
    <t>LocationArea</t>
  </si>
  <si>
    <t>ชื่อ Location area</t>
  </si>
  <si>
    <t>LocationAreaStatus</t>
  </si>
  <si>
    <t>สถานะ Location area (Active/InActive)</t>
  </si>
  <si>
    <t>รหัสผู้แก้ไขล่าสุด</t>
  </si>
  <si>
    <t>รหัส Location</t>
  </si>
  <si>
    <t>LocationType</t>
  </si>
  <si>
    <t>ประเภทของ Location (Pick : จุด Pick สินค้า, Stock : จุด Stock สินค้า, InTransit: จุดพักสินค้า, Staging : จุดที่ไม่มีสินค้าอยู่จริง(เกี่ยวข้องกับตาราง TBLocationAccountCode))</t>
  </si>
  <si>
    <t>LocationGroup</t>
  </si>
  <si>
    <t>กลุ่มของ Location</t>
  </si>
  <si>
    <t>LocationSubGroup</t>
  </si>
  <si>
    <t>กลุ่มย่อยของ Location</t>
  </si>
  <si>
    <t>พื้นที่เก็บสินค้า</t>
  </si>
  <si>
    <t>LocationSubArea</t>
  </si>
  <si>
    <t>พื้นที่ย่อยในการเก็บสินค้า</t>
  </si>
  <si>
    <t>FIFOPriority</t>
  </si>
  <si>
    <t>รูปแบบการตัดสินค้า (1:FIFO, 2:Lot, 3:Expiry date and etc.)</t>
  </si>
  <si>
    <t>LocationStatus</t>
  </si>
  <si>
    <t>Rack</t>
  </si>
  <si>
    <t>Rack ของชั้นวางสินค้า</t>
  </si>
  <si>
    <t>('00')</t>
  </si>
  <si>
    <t>Bay</t>
  </si>
  <si>
    <t>Level</t>
  </si>
  <si>
    <t>LotPatternID</t>
  </si>
  <si>
    <t>LotPatternID Running No.</t>
  </si>
  <si>
    <t>LotPatternCode</t>
  </si>
  <si>
    <t>LotPattern Name</t>
  </si>
  <si>
    <t>LotPatternName</t>
  </si>
  <si>
    <t>Pattern control type description</t>
  </si>
  <si>
    <t>FreshnessManagement</t>
  </si>
  <si>
    <t>Freshness Management for WMS</t>
  </si>
  <si>
    <t>Create data by user</t>
  </si>
  <si>
    <t>Create data on</t>
  </si>
  <si>
    <t>Update data by user</t>
  </si>
  <si>
    <t>Update data on</t>
  </si>
  <si>
    <t>Detail</t>
  </si>
  <si>
    <t>Code</t>
  </si>
  <si>
    <t>Cost</t>
  </si>
  <si>
    <t>DimensionUnit</t>
  </si>
  <si>
    <t>BoxType</t>
  </si>
  <si>
    <t>TypeProduct</t>
  </si>
  <si>
    <t>PTDName</t>
  </si>
  <si>
    <t>ItemCode</t>
  </si>
  <si>
    <t>ItemComponent</t>
  </si>
  <si>
    <t>รหัสสินค้าประกอบ</t>
  </si>
  <si>
    <t>ComponentName</t>
  </si>
  <si>
    <t>ComponentShortName</t>
  </si>
  <si>
    <t>ComponentBarcode</t>
  </si>
  <si>
    <t>Barcode สินค้าประกอบ</t>
  </si>
  <si>
    <t>จำนวนสินค้า Component ที่ประกอบเป็น Finish Goods</t>
  </si>
  <si>
    <t>วันเวลาที่สร้าง</t>
  </si>
  <si>
    <t>วันเวลาที่ Update</t>
  </si>
  <si>
    <t>ผู้ดำเนินการ Update</t>
  </si>
  <si>
    <t>สถานะ Active,Delete</t>
  </si>
  <si>
    <t>รหัส store</t>
  </si>
  <si>
    <t>OnLocation</t>
  </si>
  <si>
    <t>จำนวนสินค้าแต่ละ Location</t>
  </si>
  <si>
    <t>OnRI</t>
  </si>
  <si>
    <t>จำนวนสินค้าในเอกสาร RI</t>
  </si>
  <si>
    <t>OnPI</t>
  </si>
  <si>
    <t>จำนวนสินค้าในเอกสาร Picking</t>
  </si>
  <si>
    <t>จำนวนสินค้าในเอกสารโอนย้าย location</t>
  </si>
  <si>
    <t>วันที่รับสินค้าล่าสุด</t>
  </si>
  <si>
    <t>วันที่ขายสินค้าล่าสุด</t>
  </si>
  <si>
    <t>วันที่คืนสินค้าล่าสุด(คืนให้ Vendor)</t>
  </si>
  <si>
    <t>วันที่รับคืนสินค้าล่าสุด(รับคืนจากลูกค้า)</t>
  </si>
  <si>
    <t>LastWTInDate</t>
  </si>
  <si>
    <t>วันที่ย้ายข้ามคลังล่าสุด (ขาเข้า)</t>
  </si>
  <si>
    <t>LastWTOutDate</t>
  </si>
  <si>
    <t>วันที่ย้ายข้ามคลังล่าสุด (ขาออก)</t>
  </si>
  <si>
    <t>LastLTInDate</t>
  </si>
  <si>
    <t>วันที่เอกสาร LT (ขาเข้า)</t>
  </si>
  <si>
    <t>LastLTOutDate</t>
  </si>
  <si>
    <t>วันที่เอกสาร LT (ขาออก)</t>
  </si>
  <si>
    <t>ประเภทของ Location (picking,stocking,staging)</t>
  </si>
  <si>
    <t>MaxQtyOnLocation</t>
  </si>
  <si>
    <t>จำนวนเก็บมากที่สุดใน Location</t>
  </si>
  <si>
    <t>MinQtyOnLocation</t>
  </si>
  <si>
    <t>จำนวนเก็บน้อยที่สุดใน Location</t>
  </si>
  <si>
    <t>ชื่ื่อผู้แก้ไขล่าสุด</t>
  </si>
  <si>
    <t>StockTakeDate</t>
  </si>
  <si>
    <t>วันที่นับ stock</t>
  </si>
  <si>
    <t>CycleCountDate</t>
  </si>
  <si>
    <t>วันที่นับ Cycle count</t>
  </si>
  <si>
    <t>LotNo</t>
  </si>
  <si>
    <t>เลขที่ LotNo [ได้จากเลขที่เอกสารตั้งต้น]</t>
  </si>
  <si>
    <t>ชื่อ store</t>
  </si>
  <si>
    <t>OnLot</t>
  </si>
  <si>
    <t>จำนวนสินค้าใน Lot นั้น</t>
  </si>
  <si>
    <t>วันที่รับสินค้า</t>
  </si>
  <si>
    <t>IsAvailable</t>
  </si>
  <si>
    <t>Flag Lot พร้อมใช้งาน</t>
  </si>
  <si>
    <t>ReserveQty</t>
  </si>
  <si>
    <t>จำนวนจองของเอกสาร PI</t>
  </si>
  <si>
    <t>Id</t>
  </si>
  <si>
    <t>Qc status Id</t>
  </si>
  <si>
    <t>Name</t>
  </si>
  <si>
    <t>Qc status name</t>
  </si>
  <si>
    <t>Status[0:Inactive,1:Active]</t>
  </si>
  <si>
    <t>Qc description</t>
  </si>
  <si>
    <t>OrderQCType</t>
  </si>
  <si>
    <t>OrderType for Pickup Product</t>
  </si>
  <si>
    <t>IsHold</t>
  </si>
  <si>
    <t>User Create on</t>
  </si>
  <si>
    <t>Create By UserId</t>
  </si>
  <si>
    <t>Update on</t>
  </si>
  <si>
    <t>Update by UserId</t>
  </si>
  <si>
    <t>ReasonDescription</t>
  </si>
  <si>
    <t>ชื่อสาเหตุของสถานะสินค้าในการรับสินค้าเข้า</t>
  </si>
  <si>
    <t>สถานะ[Active,InActive]</t>
  </si>
  <si>
    <t>รหัสพนักงานแก้ไขข้อมูล</t>
  </si>
  <si>
    <t>ReasonName</t>
  </si>
  <si>
    <t>ClusterId</t>
  </si>
  <si>
    <t>Road</t>
  </si>
  <si>
    <t>PostCode</t>
  </si>
  <si>
    <t>ServiceType</t>
  </si>
  <si>
    <t>TMS Service Type</t>
  </si>
  <si>
    <t>BoxTypeId</t>
  </si>
  <si>
    <t>BoxTypeCode</t>
  </si>
  <si>
    <t>BoxName</t>
  </si>
  <si>
    <t>CBMMin</t>
  </si>
  <si>
    <t>CBMMax</t>
  </si>
  <si>
    <t>WeightMin</t>
  </si>
  <si>
    <t>น้ำหนักน้อยสุดที่ใส่ใน package type ได้</t>
  </si>
  <si>
    <t>WeightMax</t>
  </si>
  <si>
    <t>น้ำหนักมากสุดที่ใส่ใน package type ได้</t>
  </si>
  <si>
    <t>width</t>
  </si>
  <si>
    <t>Length</t>
  </si>
  <si>
    <t>Length packaging</t>
  </si>
  <si>
    <t>Height packaging</t>
  </si>
  <si>
    <t>Shipping box status[0:NonActive,1Active]</t>
  </si>
  <si>
    <t>Create date time</t>
  </si>
  <si>
    <t>Create by useer id</t>
  </si>
  <si>
    <t>Update data date time</t>
  </si>
  <si>
    <t>Update by user id</t>
  </si>
  <si>
    <t>ShipID</t>
  </si>
  <si>
    <t>ShippingPlanDate</t>
  </si>
  <si>
    <t>สถานะการ Hold[Active,InActive]</t>
  </si>
  <si>
    <t>TrackingNo</t>
  </si>
  <si>
    <t>เลขที่งานจัดส่ง</t>
  </si>
  <si>
    <t>ระบุหมายเหตุเพิ่มเติม</t>
  </si>
  <si>
    <t>ShippingLabelNo</t>
  </si>
  <si>
    <t>SystemID</t>
  </si>
  <si>
    <t>ShippingReasonCode</t>
  </si>
  <si>
    <t>SaleOrderNo</t>
  </si>
  <si>
    <t>DetailNo</t>
  </si>
  <si>
    <t>OwnerCode</t>
  </si>
  <si>
    <t>SubCode</t>
  </si>
  <si>
    <t>QCStatus</t>
  </si>
  <si>
    <t>PickedQty</t>
  </si>
  <si>
    <t>InventoryAssignmentStartNo</t>
  </si>
  <si>
    <t>CustomerCode</t>
  </si>
  <si>
    <t>CustomerName</t>
  </si>
  <si>
    <t>CustomerNameShort</t>
  </si>
  <si>
    <t>CustomerAddress1</t>
  </si>
  <si>
    <t>CustomerAddress2</t>
  </si>
  <si>
    <t>CustomerAddress3</t>
  </si>
  <si>
    <t>ZipCode</t>
  </si>
  <si>
    <t>PhoneNumber</t>
  </si>
  <si>
    <t>FaxNumber</t>
  </si>
  <si>
    <t>SectionName</t>
  </si>
  <si>
    <t>PersonName</t>
  </si>
  <si>
    <t>Memo1</t>
  </si>
  <si>
    <t>Memo2</t>
  </si>
  <si>
    <t>SpecifiedLot</t>
  </si>
  <si>
    <t>Remarks</t>
  </si>
  <si>
    <t>ItemName</t>
  </si>
  <si>
    <t>PickedDate</t>
  </si>
  <si>
    <t>('1900-01-02')</t>
  </si>
  <si>
    <t>PickedTime</t>
  </si>
  <si>
    <t>ShippingBoxNo</t>
  </si>
  <si>
    <t>ShippingBoxType</t>
  </si>
  <si>
    <t>TextFileName</t>
  </si>
  <si>
    <t>MsgError</t>
  </si>
  <si>
    <t>PK</t>
  </si>
  <si>
    <t>Active, Complete, Pending</t>
  </si>
  <si>
    <t>Host ID</t>
  </si>
  <si>
    <t>OSO: Shipping to customer, OPR: Shipping to vendor</t>
  </si>
  <si>
    <t>SalesOrderNo</t>
  </si>
  <si>
    <t>Document's No</t>
  </si>
  <si>
    <t>Seq ของ SO Detail</t>
  </si>
  <si>
    <t>OFM</t>
  </si>
  <si>
    <t>สถานะสินค้าใน Location</t>
  </si>
  <si>
    <t>If Lot is date type, YYYY.MM.DD</t>
  </si>
  <si>
    <t>ShippingPlanQty</t>
  </si>
  <si>
    <t>Total Piece Qty</t>
  </si>
  <si>
    <t>Delivery Date</t>
  </si>
  <si>
    <t>Example) BKK, Nonburi</t>
  </si>
  <si>
    <t>ShippingCode</t>
  </si>
  <si>
    <t>It is utilized for managing shipping boxes in temporary area</t>
  </si>
  <si>
    <t>ชื่อย่อลูกค้า</t>
  </si>
  <si>
    <t>ที่อยู่ลูกค้า</t>
  </si>
  <si>
    <t>B:Bag, I: I-PACK, L: Large shipping box</t>
  </si>
  <si>
    <t>Acknowledgement</t>
  </si>
  <si>
    <t>01: OK, 02: NG (No Good)</t>
  </si>
  <si>
    <t>TextFileNameIn</t>
  </si>
  <si>
    <t>(((1900)-(1))-(1))</t>
  </si>
  <si>
    <t>MessageError</t>
  </si>
  <si>
    <t>เก็บการแจ้งเตือน Error</t>
  </si>
  <si>
    <t>ShippingID</t>
  </si>
  <si>
    <t>OrderNo</t>
  </si>
  <si>
    <t>OrderStatus</t>
  </si>
  <si>
    <t>DocumentStatus</t>
  </si>
  <si>
    <t>DocumentDeleteBy</t>
  </si>
  <si>
    <t>DocumentDeleteOn</t>
  </si>
  <si>
    <t>ShippedQty</t>
  </si>
  <si>
    <t>ShippedDate</t>
  </si>
  <si>
    <t>ShippedTime</t>
  </si>
  <si>
    <t>ShippingTruckNo</t>
  </si>
  <si>
    <t>UserID</t>
  </si>
  <si>
    <t>ShippingId</t>
  </si>
  <si>
    <t>Shipping plan id</t>
  </si>
  <si>
    <t>Product Id</t>
  </si>
  <si>
    <t>Product name</t>
  </si>
  <si>
    <t>Product inventory status code</t>
  </si>
  <si>
    <t>Lot is date type, YYYY.MM.DD</t>
  </si>
  <si>
    <t>Specified Lot by Host system</t>
  </si>
  <si>
    <t>Total Shipping plan Piece quantity</t>
  </si>
  <si>
    <t>Total Cancel Piece Qty</t>
  </si>
  <si>
    <t>TotalCBMItem</t>
  </si>
  <si>
    <t>Product CBM</t>
  </si>
  <si>
    <t>Shipping Label number</t>
  </si>
  <si>
    <t>Package type code[B:Bag,I:I-Pack,L:Large shipping box]</t>
  </si>
  <si>
    <t>ShippingBoxNumber</t>
  </si>
  <si>
    <t>Pid assign to Shipping Number</t>
  </si>
  <si>
    <t>Product Expiry date</t>
  </si>
  <si>
    <t>InventoryAssignStartNo</t>
  </si>
  <si>
    <t>WMS Assign start no</t>
  </si>
  <si>
    <t>Remarks(It is inputted with Inventory Assignment Start Screen)</t>
  </si>
  <si>
    <t>Picked date</t>
  </si>
  <si>
    <t>time</t>
  </si>
  <si>
    <t>Picked time</t>
  </si>
  <si>
    <t>('00:00')</t>
  </si>
  <si>
    <t>ConfirmedLoadBy</t>
  </si>
  <si>
    <t>User ID who has completed shipping</t>
  </si>
  <si>
    <t>LoadToTruckNo</t>
  </si>
  <si>
    <t>confirmed load to truck No.</t>
  </si>
  <si>
    <t>('01')</t>
  </si>
  <si>
    <t>User create by</t>
  </si>
  <si>
    <t>Update date time</t>
  </si>
  <si>
    <t>Update by user</t>
  </si>
  <si>
    <t>IsDelivery</t>
  </si>
  <si>
    <t>01:OK,02: NG(No good)</t>
  </si>
  <si>
    <t>CategoryID</t>
  </si>
  <si>
    <t>ERPCancelQty</t>
  </si>
  <si>
    <t>shipping plan Id</t>
  </si>
  <si>
    <t>Document order number for shipping</t>
  </si>
  <si>
    <t>ReasonCode</t>
  </si>
  <si>
    <t>Shipping reason code[OSO:Shipping to customer,OPR:Shipping to vendor]</t>
  </si>
  <si>
    <t>('OSO')</t>
  </si>
  <si>
    <t>ShipPlanDate</t>
  </si>
  <si>
    <t>Shipping plan date</t>
  </si>
  <si>
    <t>Shipping group for picking by group</t>
  </si>
  <si>
    <t>Area Zone  code in parking  for put product</t>
  </si>
  <si>
    <t>ShipPlanStatus</t>
  </si>
  <si>
    <t>('Waiting')</t>
  </si>
  <si>
    <t>CustId</t>
  </si>
  <si>
    <t>Customer id</t>
  </si>
  <si>
    <t>customer name</t>
  </si>
  <si>
    <t>CustShortName</t>
  </si>
  <si>
    <t>Customer short name</t>
  </si>
  <si>
    <t>CustTelePhone</t>
  </si>
  <si>
    <t>Customer tele phone number</t>
  </si>
  <si>
    <t>CustFax</t>
  </si>
  <si>
    <t>Customer fax number</t>
  </si>
  <si>
    <t>ShipAddress1</t>
  </si>
  <si>
    <t>Shipping address 1</t>
  </si>
  <si>
    <t>ShipAddress2</t>
  </si>
  <si>
    <t>Shipping address 2</t>
  </si>
  <si>
    <t>ShipAddress3</t>
  </si>
  <si>
    <t>Shipping address 3</t>
  </si>
  <si>
    <t>ShipPostcode</t>
  </si>
  <si>
    <t>Shipping Post code area</t>
  </si>
  <si>
    <t>TotalCBM</t>
  </si>
  <si>
    <t>Total CBM summary item from detail</t>
  </si>
  <si>
    <t>TotalShippingBox</t>
  </si>
  <si>
    <t>Total shipping box Qty of order</t>
  </si>
  <si>
    <t>NumOfBags</t>
  </si>
  <si>
    <t>Qty of package of bag carton</t>
  </si>
  <si>
    <t>NumOfIPack</t>
  </si>
  <si>
    <t>Qty of package of ipack carton</t>
  </si>
  <si>
    <t>NumOfLarge</t>
  </si>
  <si>
    <t>Qty of package of Large carton</t>
  </si>
  <si>
    <t>Position of Customer</t>
  </si>
  <si>
    <t>Customer contact name</t>
  </si>
  <si>
    <t>OrderRemark</t>
  </si>
  <si>
    <t>Order remark</t>
  </si>
  <si>
    <t>Other remark</t>
  </si>
  <si>
    <t>0: NG(No good),1:OK</t>
  </si>
  <si>
    <t>Transfer status to wms</t>
  </si>
  <si>
    <t>TextFileNameOut</t>
  </si>
  <si>
    <t>LastTransferDate</t>
  </si>
  <si>
    <t>LastReceiveDate</t>
  </si>
  <si>
    <t>IsQcFinish</t>
  </si>
  <si>
    <t>IsAcrossMonth</t>
  </si>
  <si>
    <t>IsTruckAllocate</t>
  </si>
  <si>
    <t>IsInventoryAssign</t>
  </si>
  <si>
    <t>มีการทำ Inventory Assign จากระบบ WMS, Yes=ทำแล้ว No=ยังไม่ทำ</t>
  </si>
  <si>
    <t>IsShippingPlanAck</t>
  </si>
  <si>
    <t>มีการทำ shipping plan acknowledge จากระบบ WMS , Yes=ทำแล้ว No=ยังไม่ทำ</t>
  </si>
  <si>
    <t>รหัสของ Transaction</t>
  </si>
  <si>
    <t>ประเภทเอกสาร [GR, SSR, RTV, DL, WT, AD, AQ, IU, STR, STS, DU,SRU]</t>
  </si>
  <si>
    <t>SeqNoDoc</t>
  </si>
  <si>
    <t>ลำดับสินค้าในเอกสาร</t>
  </si>
  <si>
    <t>RefDocNo1</t>
  </si>
  <si>
    <t>อ้างอิงเลขที่เอกสาร ลำดับที่ 1 ตัวอย่าง RT, SSO เป็นต้น</t>
  </si>
  <si>
    <t>RefDocNo2</t>
  </si>
  <si>
    <t>อ้างอิงเลขที่เอกสาร ลำดับที่ 2 ตัวอย่าง SO  เป็นต้น</t>
  </si>
  <si>
    <t>วันที่ Transaction</t>
  </si>
  <si>
    <t>วันที่ Server</t>
  </si>
  <si>
    <t>อ้างอิง รหัสลูกค้า/รหัส Vendor / รหัสพนักงาน</t>
  </si>
  <si>
    <t>RefName</t>
  </si>
  <si>
    <t>อ้างอิง ชื่อลูกค้า/ชื่อ Vendor / ชื่อพนักงาน</t>
  </si>
  <si>
    <t>DocUnit</t>
  </si>
  <si>
    <t>ราคาสินค้า</t>
  </si>
  <si>
    <t>TrnAmt</t>
  </si>
  <si>
    <t>ยอดเงินของ Transaction</t>
  </si>
  <si>
    <t>IsCalculate</t>
  </si>
  <si>
    <t>Flag นำไปคิด cost</t>
  </si>
  <si>
    <t>จำนวนสินค้าก่อนหน้าทำเอกสาร</t>
  </si>
  <si>
    <t>AFQty</t>
  </si>
  <si>
    <t>จำนวนสินค้าหลังจากการทำเอกสาร</t>
  </si>
  <si>
    <t>หน่วยเล็กที่สุดของสินค้า</t>
  </si>
  <si>
    <t>จำนวนที่เล็กที่สุด(คำนวณจาก Ratio*Qty)</t>
  </si>
  <si>
    <t>BAvgAmt</t>
  </si>
  <si>
    <t>ค่าเฉลี่ยราคาสินค้า ก่อนเกิด Transaction</t>
  </si>
  <si>
    <t>AAvgAmt</t>
  </si>
  <si>
    <t>ค่าเฉลี่ยราคาสินค้า หลังเกิด Transaction</t>
  </si>
  <si>
    <t>BAvgCost</t>
  </si>
  <si>
    <t>ค่าเฉลี่ยราคาต้นทุน ก่อนเกิด Transaction</t>
  </si>
  <si>
    <t>ค่าเฉลี่ยต้นทุน</t>
  </si>
  <si>
    <t>AAvgCost</t>
  </si>
  <si>
    <t>ค่าเฉลี่ยราคาต้นทุน หลังเกิด Transaction</t>
  </si>
  <si>
    <t>Category</t>
  </si>
  <si>
    <t>Product by sku category</t>
  </si>
  <si>
    <t>UseIPackFlag</t>
  </si>
  <si>
    <t>Can  Used package type iPack</t>
  </si>
  <si>
    <t>Category Description</t>
  </si>
  <si>
    <t>CRCID Create data</t>
  </si>
  <si>
    <t>Create on</t>
  </si>
  <si>
    <t>CRCID Update Data</t>
  </si>
  <si>
    <t>Update on time</t>
  </si>
  <si>
    <t>ERP_TBDLDetail</t>
  </si>
  <si>
    <t>PriceIncVat</t>
  </si>
  <si>
    <t>PriceExcVat</t>
  </si>
  <si>
    <t>PriceType</t>
  </si>
  <si>
    <t>DiscAmtExcVat</t>
  </si>
  <si>
    <t>ItemDeliveryFee</t>
  </si>
  <si>
    <t>ProductType</t>
  </si>
  <si>
    <t>OthItemDiscAmtExcVat</t>
  </si>
  <si>
    <t>VoucherItemDiscAmtExcVat</t>
  </si>
  <si>
    <t>PromoItemDiscAmtExcVat</t>
  </si>
  <si>
    <t>PaymentItemDiscAmtIncVat</t>
  </si>
  <si>
    <t>PaymentItemDiscAmtExcVat</t>
  </si>
  <si>
    <t>TotalAmtExcVat</t>
  </si>
  <si>
    <t>LineAmt</t>
  </si>
  <si>
    <t>PriceDiscIncVat</t>
  </si>
  <si>
    <t>ERP_TBDLHead</t>
  </si>
  <si>
    <t>DLStatus</t>
  </si>
  <si>
    <t>DLDate</t>
  </si>
  <si>
    <t>DLRemark</t>
  </si>
  <si>
    <t>PInvNo</t>
  </si>
  <si>
    <t>IsGenPInv</t>
  </si>
  <si>
    <t>DRNo</t>
  </si>
  <si>
    <t>SONo</t>
  </si>
  <si>
    <t>SSODocType</t>
  </si>
  <si>
    <t>RefPrepaidNo</t>
  </si>
  <si>
    <t>DocRefNo</t>
  </si>
  <si>
    <t>T1CNo</t>
  </si>
  <si>
    <t>ContactID</t>
  </si>
  <si>
    <t>ContactName</t>
  </si>
  <si>
    <t>ContactPhone</t>
  </si>
  <si>
    <t>ContactExtension</t>
  </si>
  <si>
    <t>ContactFax</t>
  </si>
  <si>
    <t>ContactEmail</t>
  </si>
  <si>
    <t>ContactMobile</t>
  </si>
  <si>
    <t>AccountID</t>
  </si>
  <si>
    <t>AccountBranchID</t>
  </si>
  <si>
    <t>AccountStatus</t>
  </si>
  <si>
    <t>AccountSegment</t>
  </si>
  <si>
    <t>AccountClass</t>
  </si>
  <si>
    <t>AccountRemark</t>
  </si>
  <si>
    <t>AccountTaxID</t>
  </si>
  <si>
    <t>InvAddress1</t>
  </si>
  <si>
    <t>InvAddress2</t>
  </si>
  <si>
    <t>InvAddress3</t>
  </si>
  <si>
    <t>InvAddress4</t>
  </si>
  <si>
    <t>InvRemark</t>
  </si>
  <si>
    <t>DocumentRemark</t>
  </si>
  <si>
    <t>DeliveryRemark</t>
  </si>
  <si>
    <t>ShipContact</t>
  </si>
  <si>
    <t>ShipPhoneExtension</t>
  </si>
  <si>
    <t>ShipMobileNo</t>
  </si>
  <si>
    <t>ShipEmail</t>
  </si>
  <si>
    <t>ShipAddress4</t>
  </si>
  <si>
    <t>ShipArea</t>
  </si>
  <si>
    <t>ShipSubArea</t>
  </si>
  <si>
    <t>IsShipAttachPO</t>
  </si>
  <si>
    <t>IsShipWithBill</t>
  </si>
  <si>
    <t>PaymentTerm</t>
  </si>
  <si>
    <t>TotalAmt</t>
  </si>
  <si>
    <t>OrderDeliveryFee</t>
  </si>
  <si>
    <t>TotalLabel</t>
  </si>
  <si>
    <t>VatProdAmtIncVat</t>
  </si>
  <si>
    <t>TotalAmtIncVat</t>
  </si>
  <si>
    <t>GroupVoucherNo</t>
  </si>
  <si>
    <t>VoucherDiscAmtExcVat</t>
  </si>
  <si>
    <t>PromoDiscAmtExcVat</t>
  </si>
  <si>
    <t>PaymentDiscAmtExcVat</t>
  </si>
  <si>
    <t>T1CRedeemNo</t>
  </si>
  <si>
    <t>IsSendCatalog</t>
  </si>
  <si>
    <t>PremiumDesc</t>
  </si>
  <si>
    <t>IsBOI</t>
  </si>
  <si>
    <t>IsEmbassy</t>
  </si>
  <si>
    <t>RCPNo</t>
  </si>
  <si>
    <t>RCPCreateDate</t>
  </si>
  <si>
    <t>StoreBranchID</t>
  </si>
  <si>
    <t>StoreBranchName</t>
  </si>
  <si>
    <t>SaleChannelName</t>
  </si>
  <si>
    <t>ShipAddressNo</t>
  </si>
  <si>
    <t>ShipMoo</t>
  </si>
  <si>
    <t>ShipFloor</t>
  </si>
  <si>
    <t>ShipRoomNo</t>
  </si>
  <si>
    <t>ShipSoi</t>
  </si>
  <si>
    <t>ShipStreet</t>
  </si>
  <si>
    <t>ShipSubDistrict</t>
  </si>
  <si>
    <t>ShipDistrict</t>
  </si>
  <si>
    <t>ShipBuildingID</t>
  </si>
  <si>
    <t>ShipBuilding</t>
  </si>
  <si>
    <t>ShipPoiID</t>
  </si>
  <si>
    <t>ShipPoi</t>
  </si>
  <si>
    <t>IsClickCollect</t>
  </si>
  <si>
    <t>CollectStoreNo</t>
  </si>
  <si>
    <t>Latitude</t>
  </si>
  <si>
    <t>Longtitude</t>
  </si>
  <si>
    <t>TelesaleID</t>
  </si>
  <si>
    <t>TelesaleName</t>
  </si>
  <si>
    <t>MONo</t>
  </si>
  <si>
    <t>IsCustVIP</t>
  </si>
  <si>
    <t>CountItem</t>
  </si>
  <si>
    <t>SumLineAmt</t>
  </si>
  <si>
    <t>Flag บ่งบอกนำเอกสาร DL นี้มาสร้างเอกสาร DR หรือไม่ [No :ไม่ได้นำมาสร้าง , Yes: นำเอกสาร DL นี้มาสร้าง DR(อยู่ระหว่างการสร้างหรือสร้างเอกสาร DR เรียบร้อยแล้ว)]</t>
  </si>
  <si>
    <t>TotalVoucherItemDiscAmtExcVat</t>
  </si>
  <si>
    <t>TotalPromoItemDiscExcVat</t>
  </si>
  <si>
    <t>PONo</t>
  </si>
  <si>
    <t>Time</t>
  </si>
  <si>
    <t>TotalLabellUnshapedItem</t>
  </si>
  <si>
    <t>TotalLabelSmallItem</t>
  </si>
  <si>
    <t>TotalLabelHighvalueItem</t>
  </si>
  <si>
    <t>TotalLabelLargeItem</t>
  </si>
  <si>
    <t>TotalPromoItemDiscIncVat</t>
  </si>
  <si>
    <t>CashVoucherType</t>
  </si>
  <si>
    <t>Job Running number</t>
  </si>
  <si>
    <t>DocumentNo</t>
  </si>
  <si>
    <t>DeliveryDate</t>
  </si>
  <si>
    <t>ReDeliveryFlag</t>
  </si>
  <si>
    <t>สถานะงานมีการส่งใหม่[Yes:ส่งใหม่,No:ไม่ใช้งานส่งใหม่]</t>
  </si>
  <si>
    <t>Shipping Plan Reason Code Process[OSO,OPR,ISR]</t>
  </si>
  <si>
    <t>DocumentType</t>
  </si>
  <si>
    <t>Document type [SO,MR,DO,PR,JA]</t>
  </si>
  <si>
    <t>TrackingStatus</t>
  </si>
  <si>
    <t>TrackingStatusDescription</t>
  </si>
  <si>
    <t>ShipContactId</t>
  </si>
  <si>
    <t>รหัสสถานที่จัดส่งของลูกค้า</t>
  </si>
  <si>
    <t>CustomerId</t>
  </si>
  <si>
    <t>ShippingName</t>
  </si>
  <si>
    <t>ShippingPhone</t>
  </si>
  <si>
    <t>ShipBuildingId</t>
  </si>
  <si>
    <t>ShipBuildingName</t>
  </si>
  <si>
    <t>ShipAddress</t>
  </si>
  <si>
    <t>ShipRoad</t>
  </si>
  <si>
    <t>ShipCity</t>
  </si>
  <si>
    <t>ShipLatitude</t>
  </si>
  <si>
    <t>ShipLongitude</t>
  </si>
  <si>
    <t>ShipToStoreCode</t>
  </si>
  <si>
    <t>ส่งสินค้าที่รหัส Store</t>
  </si>
  <si>
    <t>ShipWithBillFlag</t>
  </si>
  <si>
    <t>ReturnDocRemark</t>
  </si>
  <si>
    <t>CODType</t>
  </si>
  <si>
    <t>('04')</t>
  </si>
  <si>
    <t>CODAmount</t>
  </si>
  <si>
    <t>TotalAmount</t>
  </si>
  <si>
    <t>ReceiveAmount</t>
  </si>
  <si>
    <t>ยอดเงินที่จัดส่งConfirm รับกลับ</t>
  </si>
  <si>
    <t>ChuteNo</t>
  </si>
  <si>
    <t>DockNo</t>
  </si>
  <si>
    <t>RefTrackingNo</t>
  </si>
  <si>
    <t>เลขที่ Tracking อ้างอิง</t>
  </si>
  <si>
    <t>CustRefSale</t>
  </si>
  <si>
    <t>ลูกค้ากลุ่มสำคัญ</t>
  </si>
  <si>
    <t>IsCustGroupBU</t>
  </si>
  <si>
    <t>ลูกค้าในเครือ</t>
  </si>
  <si>
    <t>ConfirmOrderDate</t>
  </si>
  <si>
    <t>CustomerRemark</t>
  </si>
  <si>
    <t>ShippingSubAreaCode</t>
  </si>
  <si>
    <t>TotalWeight</t>
  </si>
  <si>
    <t>น้ำหนักรวมของสินค้าที่ต้องส่ง</t>
  </si>
  <si>
    <t>ErrorTMS</t>
  </si>
  <si>
    <t>ISCustVIP</t>
  </si>
  <si>
    <t>คลังสินค้า [1:คลังสินค้าออฟฟิศเมท(หนองจอก),5: คลังสินค้าสุวินทวงศ์]</t>
  </si>
  <si>
    <t>IsCrossSale</t>
  </si>
  <si>
    <t>แยกประเภทงานขายข้าม [Yes,No]</t>
  </si>
  <si>
    <t>ShipWithINVFlag</t>
  </si>
  <si>
    <t>SourceDocumentNo</t>
  </si>
  <si>
    <t>ReferenceDocNo2</t>
  </si>
  <si>
    <t>IsQRPayment</t>
  </si>
  <si>
    <t>สามารถจ่ายผ่าน QR payment ได้หรือไม่[Yes:สามารถจ่ายด้วย Qr ได้,No:ไม่สามารถใช้ Qr ได้]</t>
  </si>
  <si>
    <t>IsInstallment</t>
  </si>
  <si>
    <t>Flag สำหรับเชคว่าเป็นการชำระเงินแบบผ่อน</t>
  </si>
  <si>
    <t>EDCType</t>
  </si>
  <si>
    <t>ประเภทเครื่อง EDC ที่รับชำระเงิน</t>
  </si>
  <si>
    <t>เบอร์โทรศัพท์สำหรับการจัดส่ง</t>
  </si>
  <si>
    <t>ช่องทางการสั้งซื้่อ</t>
  </si>
  <si>
    <t>ชื่อช่องทางการสั้งซื้่อ</t>
  </si>
  <si>
    <t>ที่มาของออเดอร์</t>
  </si>
  <si>
    <t>IsMultiWH</t>
  </si>
  <si>
    <t>มีจำนวน WH มากกว่า 1 [Yes,No]</t>
  </si>
  <si>
    <t>IsAllow3PL</t>
  </si>
  <si>
    <t>เก็บข้อมูลออร์เดอร์ Next day delivery by 3pl:[Yes,No]</t>
  </si>
  <si>
    <t>DefaultFleet</t>
  </si>
  <si>
    <t>Suggest Fleet from system</t>
  </si>
  <si>
    <t>ลำดับสินค้า</t>
  </si>
  <si>
    <t>จำนวนสินค้าใน order</t>
  </si>
  <si>
    <t>PickupQuantity</t>
  </si>
  <si>
    <t>จำนวนที่ต้องจัดสินค้า</t>
  </si>
  <si>
    <t>หน่วยขายสินค้า</t>
  </si>
  <si>
    <t>PickupFlag</t>
  </si>
  <si>
    <t>จัดสินค้า</t>
  </si>
  <si>
    <t>DeliveryFlag</t>
  </si>
  <si>
    <t>ส่งสินค้า[0:No,1:Yes]</t>
  </si>
  <si>
    <t>QCStatusId</t>
  </si>
  <si>
    <t>product qcstatus</t>
  </si>
  <si>
    <t>หมายเหตุสินค้า</t>
  </si>
  <si>
    <t>IsDelete</t>
  </si>
  <si>
    <t>ลบสินค้าออกจากรายการ (Yes=ลบรายการ,No=ไม่ลบรายการ</t>
  </si>
  <si>
    <t>เหตุผลในการลบรายการ</t>
  </si>
  <si>
    <t>OrderDate</t>
  </si>
  <si>
    <t>OrderDocType</t>
  </si>
  <si>
    <t>ประเภทของเอกสารคำสั่งซื้อสินค้า[SO,DO,MR,PR]</t>
  </si>
  <si>
    <t>ShipType</t>
  </si>
  <si>
    <t>ประเภทของการสั่งซื้อสินค้า[Normal,Clearance]</t>
  </si>
  <si>
    <t>Cluster zone</t>
  </si>
  <si>
    <t>รหัสพื้นที่วางสินค้า</t>
  </si>
  <si>
    <t>ShippingSubCode</t>
  </si>
  <si>
    <t>สถานะของ Sale Order (Active , Delete , Print , Hold , Invoice )</t>
  </si>
  <si>
    <t>Customer name</t>
  </si>
  <si>
    <t>CustomerTelePhone</t>
  </si>
  <si>
    <t>CustomerMobile</t>
  </si>
  <si>
    <t>ShipContactName</t>
  </si>
  <si>
    <t>ShipContactTelePhone</t>
  </si>
  <si>
    <t>ShipContactMobileNo</t>
  </si>
  <si>
    <t>ShipContactFax</t>
  </si>
  <si>
    <t>ShipContactEmail</t>
  </si>
  <si>
    <t>ยอดเงินจากการแลกแต้ม</t>
  </si>
  <si>
    <t>CODAmt</t>
  </si>
  <si>
    <t>ยอดเงินที่ลูกค้าต้องชำระ</t>
  </si>
  <si>
    <t>CatalogueFlag</t>
  </si>
  <si>
    <t>จำนวนที่ลูกค้าขอ Catalog</t>
  </si>
  <si>
    <t>ShipMethodId</t>
  </si>
  <si>
    <t>ShipWithPOFlag</t>
  </si>
  <si>
    <t>ส่งสินค้าผ่านไปรษณีย์[No:ไม่ส่งผ่านไปรษณีย์,Yes: ส่งผ่านไปรษณีย์]</t>
  </si>
  <si>
    <t>IsStoreHub</t>
  </si>
  <si>
    <t>StoreCode</t>
  </si>
  <si>
    <t>รหัส store ของออฟฟิศเมท ในการจัดส่งสินค้า</t>
  </si>
  <si>
    <t>ReturnBillRemark</t>
  </si>
  <si>
    <t>IsReadyToWMS</t>
  </si>
  <si>
    <t>IsEditOrder</t>
  </si>
  <si>
    <t>PackageType</t>
  </si>
  <si>
    <t>รูปแบบการแพ็ค [IPack,Manual IPack, Manual Pack]</t>
  </si>
  <si>
    <t>ชื่อลูกค้าที่แสดงใน Label</t>
  </si>
  <si>
    <t>เลขที่เอกสาร Pre Adjust</t>
  </si>
  <si>
    <t>ลำดับสินค้าในเอกสาร Pre Adjust</t>
  </si>
  <si>
    <t>ActualQty</t>
  </si>
  <si>
    <t>จำนวนสินค้าที่รับ</t>
  </si>
  <si>
    <t>CancelQty</t>
  </si>
  <si>
    <t>จำนวนสินค้าที่ยกเลิก</t>
  </si>
  <si>
    <t>หน่วยสินค้าในเอกสาร</t>
  </si>
  <si>
    <t>อัตราส่วนสินค้า</t>
  </si>
  <si>
    <t>มูลค่าสินค้าทั้งหมดต่อรายการ</t>
  </si>
  <si>
    <t>เลขที่เอกสารอ้างอิง (ใช้กรณีหยิบสินค้า)</t>
  </si>
  <si>
    <t>PICStatus</t>
  </si>
  <si>
    <t>สถานะเอกสาร Pre Adjust (Open, Confirm, Complete and Delete)</t>
  </si>
  <si>
    <t>PICDate</t>
  </si>
  <si>
    <t>วันที่สร้างเอกสาร Pre Adjust</t>
  </si>
  <si>
    <t>TransferType</t>
  </si>
  <si>
    <t>ประเภทเอกสาร Adjust (AD,AQ,DU,DN,IU)</t>
  </si>
  <si>
    <t>PreTransferType</t>
  </si>
  <si>
    <t>ประเภทเอกสาร Pre Adjust (AD,AQ,IU,DN,DU)</t>
  </si>
  <si>
    <t>PICRemark</t>
  </si>
  <si>
    <t>หมายเหตุเอกสาร</t>
  </si>
  <si>
    <t>ICNo</t>
  </si>
  <si>
    <t>เลขที่เอกสาร IC</t>
  </si>
  <si>
    <t>ActionType</t>
  </si>
  <si>
    <t>ประเภทเอกสาร Pre Adjust (IN=สินค้าเข้าคลัง,OUT=สินค้าออกจากคลัง)</t>
  </si>
  <si>
    <t>จำนวนสินค้าทั้งหมดในเอกสาร</t>
  </si>
  <si>
    <t>DeptName</t>
  </si>
  <si>
    <t>ชื่อเต็มของฝ่าย</t>
  </si>
  <si>
    <t>RefType</t>
  </si>
  <si>
    <t>ประเภทผู้เบิก [พนักงาน,ลูกค้า,Vendor]</t>
  </si>
  <si>
    <t>RefID</t>
  </si>
  <si>
    <t>รหัสผู้เบิก</t>
  </si>
  <si>
    <t>ชื่อผู้เบิก</t>
  </si>
  <si>
    <t>เลขที่เอกสาร PI,RI</t>
  </si>
  <si>
    <t>วันที่เอกสาร PI,RI</t>
  </si>
  <si>
    <t>สถานะเอกสาร PI,RI</t>
  </si>
  <si>
    <t>อ้างอิงสถานะเอกสาร RI,PI</t>
  </si>
  <si>
    <t>รหัสเหตุผล</t>
  </si>
  <si>
    <t>รายละเอียดเหตุผล</t>
  </si>
  <si>
    <t>IsReadyToIC</t>
  </si>
  <si>
    <t>Flag พร้อมสร้างเอกสาร Adjust [พร้อมสร้างเอกสาร IC (Yes)/ ไม่พร้อมสร้างเอกสาร IC (No)]</t>
  </si>
  <si>
    <t>เปอร์เซ็น Vat</t>
  </si>
  <si>
    <t>มูลค่าสินค้าก่อนหักภาษี</t>
  </si>
  <si>
    <t>มููลค่าภาษี</t>
  </si>
  <si>
    <t>จำนวนผลรวมมูลค่าสินค้าทั้งหมด</t>
  </si>
  <si>
    <t>จำนวนรวมมูลค่าสินค้าในเอกสาร</t>
  </si>
  <si>
    <t>ชื่ออผู้แก้ไขเอกสารล่าสุด</t>
  </si>
  <si>
    <t>มูลค่าสินค้าที่คิด Vat</t>
  </si>
  <si>
    <t>มูลค่าสินค้าที่ไม่คิด Vat</t>
  </si>
  <si>
    <t>Product ID</t>
  </si>
  <si>
    <t>Product category id</t>
  </si>
  <si>
    <t>StorageCode</t>
  </si>
  <si>
    <t>Storage code area</t>
  </si>
  <si>
    <t>LotPattern of productID</t>
  </si>
  <si>
    <t>EffectiveDays</t>
  </si>
  <si>
    <t>If Freshness Management is required, it is utilized for 1/3 rule</t>
  </si>
  <si>
    <t>bit</t>
  </si>
  <si>
    <t>1: Managed, 0: Unmanaged</t>
  </si>
  <si>
    <t>RequiredDaysforShipping</t>
  </si>
  <si>
    <t>If Freshness Management is required, it is effective.</t>
  </si>
  <si>
    <t>Can use package iPack</t>
  </si>
  <si>
    <t>UseTrayFlag</t>
  </si>
  <si>
    <t>สินค้าใช้ Tray ในการ picking</t>
  </si>
  <si>
    <t>OuterBoxInShippingBox</t>
  </si>
  <si>
    <t>Yes: Outer box is picked at piece picking area and it is shipped with shipping box(such as I-PACK) if picking unit is outer box and category is small item. No: Outer box is picked at reserve area and it is shipped with vendor outer box if picking unit is outer box and category is small item.</t>
  </si>
  <si>
    <t>ProductionFlag</t>
  </si>
  <si>
    <t>สินค้ามีการระบุวันที่หมดอายุ</t>
  </si>
  <si>
    <t>LotFlag</t>
  </si>
  <si>
    <t>สินค้ามีการระบุ Lot</t>
  </si>
  <si>
    <t>ExpiryDateFlag</t>
  </si>
  <si>
    <t>สินค้ามีวันที่หมดอายุ</t>
  </si>
  <si>
    <t>Create by user</t>
  </si>
  <si>
    <t>ComponentType</t>
  </si>
  <si>
    <t>NoComponent : ไม่มีชิ้นส่วนประกอบ,EasyComponent ชิ้นส่วนประกอบง่าย,HardComponent ชิ้นส่วนประกอบยาก</t>
  </si>
  <si>
    <t>PSTStatus</t>
  </si>
  <si>
    <t>PSTDate</t>
  </si>
  <si>
    <t>PSTRemark</t>
  </si>
  <si>
    <t>STNo</t>
  </si>
  <si>
    <t>ERP_TBSSODetail</t>
  </si>
  <si>
    <t>RefDocNo</t>
  </si>
  <si>
    <t>PickQty</t>
  </si>
  <si>
    <t>ERP_TBSSOHead</t>
  </si>
  <si>
    <t>SODate</t>
  </si>
  <si>
    <t>SOStatus</t>
  </si>
  <si>
    <t>ReminderDetail</t>
  </si>
  <si>
    <t>ReminderDate</t>
  </si>
  <si>
    <t>ReminderStatus</t>
  </si>
  <si>
    <t>PoCompleteStatus</t>
  </si>
  <si>
    <t>IsScanPO</t>
  </si>
  <si>
    <t>ConfirmStatusDesc</t>
  </si>
  <si>
    <t>LastUpdateShip</t>
  </si>
  <si>
    <t>IsFixPrice</t>
  </si>
  <si>
    <t>IsApproveRule</t>
  </si>
  <si>
    <t>NumOfRule</t>
  </si>
  <si>
    <t>QCFinish</t>
  </si>
  <si>
    <t>MOStatus</t>
  </si>
  <si>
    <t>TransferDocument</t>
  </si>
  <si>
    <t>SSODate</t>
  </si>
  <si>
    <t>SSOStatus</t>
  </si>
  <si>
    <t>SSORemark</t>
  </si>
  <si>
    <t>PINo</t>
  </si>
  <si>
    <t>PIDate</t>
  </si>
  <si>
    <t>PIStatus</t>
  </si>
  <si>
    <t>IsReadyToDL</t>
  </si>
  <si>
    <t>IsAutoInv</t>
  </si>
  <si>
    <t>PrintDocType</t>
  </si>
  <si>
    <t>EditSSOStatus</t>
  </si>
  <si>
    <t>IsDeliveryStoreHub</t>
  </si>
  <si>
    <t>Flag ออเดอร์เป็นของ store ต่างจังหวัด [Yes = ออเดอร์ต่างจังหวัด, No=ออเดอร์ปกติ]</t>
  </si>
  <si>
    <t>IsRequestEtax</t>
  </si>
  <si>
    <t>Receive Document Date</t>
  </si>
  <si>
    <t>สถานะเอกสาร (New, Waiting, Pending, OnProcess, Partial, Complete, Delete)</t>
  </si>
  <si>
    <t>RefDocDate</t>
  </si>
  <si>
    <t>วันที่เอกสารอ้างอิง</t>
  </si>
  <si>
    <t>รหัสผู้อ้างอิง (ลูกค้า, พนักงาน, Vendor)</t>
  </si>
  <si>
    <t>ชื่อผู้อ้างอิง (ลูกค้า, พนักงาน, Vendor)</t>
  </si>
  <si>
    <t>Contactor Name</t>
  </si>
  <si>
    <t>POTotalAmt</t>
  </si>
  <si>
    <t>Total Amount on Purchase Order</t>
  </si>
  <si>
    <t>PONetAmt</t>
  </si>
  <si>
    <t>Net Amount on Purchase Order</t>
  </si>
  <si>
    <t>POVatAmt</t>
  </si>
  <si>
    <t>Vat Amount on Purchase Order</t>
  </si>
  <si>
    <t>POVatProdNetAmt</t>
  </si>
  <si>
    <t>PONonVatProdNetAmt</t>
  </si>
  <si>
    <t>Invoice No.</t>
  </si>
  <si>
    <t>InvNetAmt</t>
  </si>
  <si>
    <t>Invoice Net Amount</t>
  </si>
  <si>
    <t>InvVatAmt</t>
  </si>
  <si>
    <t>Invoice Vat Amount</t>
  </si>
  <si>
    <t>InvTotalAmt</t>
  </si>
  <si>
    <t>Invoice Total Amount</t>
  </si>
  <si>
    <t>TrnxDocType</t>
  </si>
  <si>
    <t>ประเภทเอกสารหลังการ Transfer (PC,PV) สำหรับเอกสาร RD</t>
  </si>
  <si>
    <t>Purchase Receive No.</t>
  </si>
  <si>
    <t>Remark of Receive Document</t>
  </si>
  <si>
    <t>RcvRemark</t>
  </si>
  <si>
    <t>อัตราส่วนลดที่ 1</t>
  </si>
  <si>
    <t>จำนวนเงินส่วนลดที่ 1</t>
  </si>
  <si>
    <t>อัตราส่วนลดที่ 2</t>
  </si>
  <si>
    <t>จำนวนเงินส่วนลดที่ 2</t>
  </si>
  <si>
    <t>QueueNo</t>
  </si>
  <si>
    <t>หมายเลขบัตรรับสินค้า</t>
  </si>
  <si>
    <t>NumOfRD</t>
  </si>
  <si>
    <t>Number of Receive Document Reference to Same PO No.</t>
  </si>
  <si>
    <t>สินค้าจัดส่งและเก็บที่คลังสินค้าหรือไม่</t>
  </si>
  <si>
    <t>ReceiveDocType</t>
  </si>
  <si>
    <t>ประเภทของเอกสาร Receive (RD,PLT)</t>
  </si>
  <si>
    <t>สถานะการ Transfer ข้อมูล (Waiting, WaitingWMS, TransferComplete, TransferIncomplete, Receive, Cancel)</t>
  </si>
  <si>
    <t>ชื่ื่อผู้แก้ไขเอกสารล่าสุด</t>
  </si>
  <si>
    <t>Sequence No</t>
  </si>
  <si>
    <t>Product Name</t>
  </si>
  <si>
    <t>ReceiveQty</t>
  </si>
  <si>
    <t>จำนวนที่รับ</t>
  </si>
  <si>
    <t>จำนวนสินค้าตามเอกสาร</t>
  </si>
  <si>
    <t>Unit Price</t>
  </si>
  <si>
    <t>Net Unit Price (Unit Price Discount)</t>
  </si>
  <si>
    <t>อัตราส่วนลด PerItem</t>
  </si>
  <si>
    <t>จำนวนเงินส่วนลด Per Item</t>
  </si>
  <si>
    <t>หมายเหตุสินค้าตอนรับสินค้า</t>
  </si>
  <si>
    <t>สินค้าคิด Vat (Yes=ใช่,No=ไม่ใช่)</t>
  </si>
  <si>
    <t>จำนวนสินค้าที่ รับเข้าเป็นจำนวนหน่วยที่เล็กที่สุด</t>
  </si>
  <si>
    <t>POQty</t>
  </si>
  <si>
    <t>PORcvQty</t>
  </si>
  <si>
    <t>เลขที่เอกสาร RT</t>
  </si>
  <si>
    <t>RTStatus</t>
  </si>
  <si>
    <t>สถานะเอกสาร(Open, Confirm, Complete and Delete)</t>
  </si>
  <si>
    <t>RTDate</t>
  </si>
  <si>
    <t>วันที่เอกสาร RT</t>
  </si>
  <si>
    <t>RTRemark</t>
  </si>
  <si>
    <t xml:space="preserve"> หมายเหตุเอกสาร</t>
  </si>
  <si>
    <t>เลขที่เอกสาร RTV</t>
  </si>
  <si>
    <t>GRNo</t>
  </si>
  <si>
    <t>เลขที่เอกสาร GR</t>
  </si>
  <si>
    <t>VendorName</t>
  </si>
  <si>
    <t>ชื่อ Vendor</t>
  </si>
  <si>
    <t>เลขที่เอกสาร PI</t>
  </si>
  <si>
    <t>วันที่เอกสาร PI</t>
  </si>
  <si>
    <t>สถานะเอกสาร PI</t>
  </si>
  <si>
    <t>IsAutoRT</t>
  </si>
  <si>
    <t>Flag สร้าง RT Auto มาจาก Cancel Qty</t>
  </si>
  <si>
    <t>IsReadyToRTV</t>
  </si>
  <si>
    <t>Flag พร้อมทำเอกสาร RTV</t>
  </si>
  <si>
    <t>ลำดับสินค้าในเอกสาร RT</t>
  </si>
  <si>
    <t>จำนวนที่จัดสินค้าได้</t>
  </si>
  <si>
    <t>จำนวนที่จัดสินค้าไม่ได้</t>
  </si>
  <si>
    <t>VendorInv</t>
  </si>
  <si>
    <t>เลขที่ Inv ของ Vendor</t>
  </si>
  <si>
    <t>ราคาสินค้าต่อหน่วยหลังหักภาษี</t>
  </si>
  <si>
    <t>Flag สินค้าคิดภาษี (Yes=คิดภาษี,No=ไม่คิดภาษี)</t>
  </si>
  <si>
    <t>DiscountAmt</t>
  </si>
  <si>
    <t>เลขที่ PO</t>
  </si>
  <si>
    <t>เลขที่เอกสาร RD</t>
  </si>
  <si>
    <t>RDStatus</t>
  </si>
  <si>
    <t>สถานะเอกสาร(Open,Confirm, Complete,Delete)</t>
  </si>
  <si>
    <t>RDDate</t>
  </si>
  <si>
    <t>วันที่เอกสาร RD</t>
  </si>
  <si>
    <t>RDRemark</t>
  </si>
  <si>
    <t>CountPO</t>
  </si>
  <si>
    <t>จำนวน PO ในเอกสาร</t>
  </si>
  <si>
    <t>ลำดับบัตรคิว</t>
  </si>
  <si>
    <t>RINo</t>
  </si>
  <si>
    <t>เลขที่เอกสาร RI</t>
  </si>
  <si>
    <t>RIDate</t>
  </si>
  <si>
    <t>วันที่เอกสาร RI</t>
  </si>
  <si>
    <t>RIStatus</t>
  </si>
  <si>
    <t>สถานะเอกสาร RI</t>
  </si>
  <si>
    <t>GRDate</t>
  </si>
  <si>
    <t>วันที่เอกสาร GR</t>
  </si>
  <si>
    <t>IsReadyToGR</t>
  </si>
  <si>
    <t>Flag พร้อมสร้างเอกสาร GR  [พร้อมสร้างเอกสาร GR (Yes)/ ไม่พร้อมสร้างเอกสาร GR(No)]</t>
  </si>
  <si>
    <t>เลขที่อินวอยซ์ Vendor</t>
  </si>
  <si>
    <t>วันที่อินวอยซ์ Vendor</t>
  </si>
  <si>
    <t>ราคาสินค้าไม่รวมภาษี</t>
  </si>
  <si>
    <t>ภาษีรวม</t>
  </si>
  <si>
    <t>ราคารวมทั้งสิ้น</t>
  </si>
  <si>
    <t>PVType</t>
  </si>
  <si>
    <t>ประเภทของเอกสารสำหรับ Transfer ไปเป็น PV [PV,PC]</t>
  </si>
  <si>
    <t>ReceiveDate</t>
  </si>
  <si>
    <t>IsAutoToRTV</t>
  </si>
  <si>
    <t>Create RTV Auto :[Yes = สร้าง RTV Auto,No = ไม่มีการสร้าง RTV Auto</t>
  </si>
  <si>
    <t>ลำดับสินค้าในเอกสาร RD</t>
  </si>
  <si>
    <t>เลขที่เอกสาร PO</t>
  </si>
  <si>
    <t>POSeq</t>
  </si>
  <si>
    <t>ลำดับสินค้าในเอกสาร PO</t>
  </si>
  <si>
    <t>จำนวนสินค้าที่รับจริง</t>
  </si>
  <si>
    <t>จำนวนสินค้าที่ยกเลิกการรับ</t>
  </si>
  <si>
    <t>จำนวนสินค้าตาม Invoice ของ Vendor</t>
  </si>
  <si>
    <t>ItemRemark</t>
  </si>
  <si>
    <t>หมายเหตุรหัสสินค้า</t>
  </si>
  <si>
    <t>ส่วนลดของยอดเงินรวมทั้งบรรทัด</t>
  </si>
  <si>
    <t>RTVStatus</t>
  </si>
  <si>
    <t>RTVDate</t>
  </si>
  <si>
    <t>วันที่สร้างเอกสาร RTV</t>
  </si>
  <si>
    <t>RTVRemark</t>
  </si>
  <si>
    <t>อ้างอิงเลขที่เอกสาร RT</t>
  </si>
  <si>
    <t>Duedate</t>
  </si>
  <si>
    <t>วันที่ Vendor มารับของ</t>
  </si>
  <si>
    <t>รหัส Warehouse</t>
  </si>
  <si>
    <t>ชื่อ Warehouse</t>
  </si>
  <si>
    <t>IsGenPPRAll</t>
  </si>
  <si>
    <t>วันที่ Confirm RTV</t>
  </si>
  <si>
    <t>CompleteDate</t>
  </si>
  <si>
    <t>วันที่ Complete RTV</t>
  </si>
  <si>
    <t>ลำดับสินค้าในเอกสาร RTV</t>
  </si>
  <si>
    <t>QtyOnPPR</t>
  </si>
  <si>
    <t>จำนวนสินค้าที่นำไปสร้างเอกสาร PPR</t>
  </si>
  <si>
    <t>เลขที่อินวอยซ์ที่ซื้อเข้าล่าสุดของ Vendor</t>
  </si>
  <si>
    <t>เลขที่เอกสาร WT</t>
  </si>
  <si>
    <t>WTType</t>
  </si>
  <si>
    <t>ประเภทเอกสาร WT</t>
  </si>
  <si>
    <t>WTDate</t>
  </si>
  <si>
    <t>วันที่สร้างเอกสาร  WT</t>
  </si>
  <si>
    <t>WTStatus</t>
  </si>
  <si>
    <t>สถานะเอกสาร  WT (Open, Confirm, Complete and Delete)</t>
  </si>
  <si>
    <t>WTRemark</t>
  </si>
  <si>
    <t>PWNo</t>
  </si>
  <si>
    <t>อ้างอิงเลขที่เอกสาร  PW</t>
  </si>
  <si>
    <t>PWDate</t>
  </si>
  <si>
    <t>วันที่เอกสาร PW</t>
  </si>
  <si>
    <t>PWStatus</t>
  </si>
  <si>
    <t>สถานะเอกสาร PW</t>
  </si>
  <si>
    <t>SPWNo</t>
  </si>
  <si>
    <t>เลขที่เอกสาร SPW</t>
  </si>
  <si>
    <t>SPWType</t>
  </si>
  <si>
    <t>ประเภทเอกสาร SPW</t>
  </si>
  <si>
    <t>SPWDate</t>
  </si>
  <si>
    <t>วันที่เอกสาร SPW</t>
  </si>
  <si>
    <t>SPWStatus</t>
  </si>
  <si>
    <t>สถานะเอกสาร SPW</t>
  </si>
  <si>
    <t>SourceWHID</t>
  </si>
  <si>
    <t>รหัสคลังสินค้าต้นทาง</t>
  </si>
  <si>
    <t>SourceWHName</t>
  </si>
  <si>
    <t>ชื่อคลังสินค้าต้นทาง</t>
  </si>
  <si>
    <t>SourceStoreID</t>
  </si>
  <si>
    <t>SourceStoreName</t>
  </si>
  <si>
    <t>DestinationWHID</t>
  </si>
  <si>
    <t>รหัสคลังสินค้าปลายทาง</t>
  </si>
  <si>
    <t>DestinationWHName</t>
  </si>
  <si>
    <t>ชื่อคลังสินค้าปลายทาง</t>
  </si>
  <si>
    <t>DestinationStoreID</t>
  </si>
  <si>
    <t>DestinationStoreName</t>
  </si>
  <si>
    <t>ลำดับของ Detail ในเอกสาร PI</t>
  </si>
  <si>
    <t>StoreType</t>
  </si>
  <si>
    <t>StoreLogic</t>
  </si>
  <si>
    <t>StoreStatus</t>
  </si>
  <si>
    <t>IsCreatePO</t>
  </si>
  <si>
    <t>FormatLocationRack</t>
  </si>
  <si>
    <t>tbfohead</t>
  </si>
  <si>
    <t xml:space="preserve">U </t>
  </si>
  <si>
    <t>26/02/2562 2:46 PM</t>
  </si>
  <si>
    <t>fono, prno</t>
  </si>
  <si>
    <t>tbfranchise_branch</t>
  </si>
  <si>
    <t>26/02/2562 2:54 PM</t>
  </si>
  <si>
    <t>storecode, pid</t>
  </si>
  <si>
    <t>dept, sub_dpt, class, sub_class</t>
  </si>
  <si>
    <t>tbfranchise_master</t>
  </si>
  <si>
    <t>27/02/2562 11:32 AM</t>
  </si>
  <si>
    <t>tbfranchisecategory</t>
  </si>
  <si>
    <t>26/02/2562 2:50 PM</t>
  </si>
  <si>
    <t>cat_id, sub_catid</t>
  </si>
  <si>
    <t>Product dropship</t>
  </si>
  <si>
    <t>tbfranchisedropship</t>
  </si>
  <si>
    <t>30/08/2563 12:21 PM</t>
  </si>
  <si>
    <t>tbfranchiseproductmaster</t>
  </si>
  <si>
    <t>default_code</t>
  </si>
  <si>
    <t>TBFranchiseShipping</t>
  </si>
  <si>
    <t>FranchiseShipID</t>
  </si>
  <si>
    <t>tbprdetl</t>
  </si>
  <si>
    <t>26/02/2562 2:51 PM</t>
  </si>
  <si>
    <t>prno, pid</t>
  </si>
  <si>
    <t>tbprhead</t>
  </si>
  <si>
    <t>prno</t>
  </si>
  <si>
    <t>tbrtvdetl</t>
  </si>
  <si>
    <t>26/02/2562 2:49 PM</t>
  </si>
  <si>
    <t>RTNo, Pid</t>
  </si>
  <si>
    <t>tbrtvhead</t>
  </si>
  <si>
    <t>dbstagingii</t>
  </si>
  <si>
    <t>res_partner</t>
  </si>
  <si>
    <t>create_date / write_date</t>
  </si>
  <si>
    <t>province</t>
  </si>
  <si>
    <t>pos_branch</t>
  </si>
  <si>
    <t>pos_order</t>
  </si>
  <si>
    <t>pos_order_line</t>
  </si>
  <si>
    <t>product_product</t>
  </si>
  <si>
    <t>product_template</t>
  </si>
  <si>
    <t>account_invoice</t>
  </si>
  <si>
    <t>account_invoice_line</t>
  </si>
  <si>
    <t xml:space="preserve"> </t>
  </si>
  <si>
    <t>Auto เพิ่ม</t>
  </si>
  <si>
    <t>RefDocumentNo</t>
  </si>
  <si>
    <t>VehiclePlanID</t>
  </si>
  <si>
    <t>รหัสรถ Route Plan</t>
  </si>
  <si>
    <t>รหัสประตู</t>
  </si>
  <si>
    <t>รางโหลดสินค้าที่ประตู</t>
  </si>
  <si>
    <t>IsTransfer</t>
  </si>
  <si>
    <t>สถานะการ Transfer</t>
  </si>
  <si>
    <t>รหัส Cluster</t>
  </si>
  <si>
    <t>ClusterName</t>
  </si>
  <si>
    <t>ชื่อ Cluster</t>
  </si>
  <si>
    <t>FirstDropTime</t>
  </si>
  <si>
    <t>เวลาส่งของจุดแรก</t>
  </si>
  <si>
    <t>('00:00:00')</t>
  </si>
  <si>
    <t>LastDropTime</t>
  </si>
  <si>
    <t>เวลาส่งของจุดสุดท้าย</t>
  </si>
  <si>
    <t>DeliveryType</t>
  </si>
  <si>
    <t>ประเภทงาน (Stationary, Furniture)</t>
  </si>
  <si>
    <t>('Stationary')</t>
  </si>
  <si>
    <t>VehicleSpecialLimit</t>
  </si>
  <si>
    <t>จำนวนของรถพิเศษที่มี</t>
  </si>
  <si>
    <t>NormalVehicleSizeID</t>
  </si>
  <si>
    <t>ขนาดรถ size normal ที่ใช้งาน</t>
  </si>
  <si>
    <t>SpecialVehicleSizeID</t>
  </si>
  <si>
    <t>ขนาดรถ size special ที่ใช้งาน</t>
  </si>
  <si>
    <t>BoundaryLat1</t>
  </si>
  <si>
    <t>พิกัดละติจูดฝั่งตะวันออกเฉียงเหนือ Boundary Latitude Northeast</t>
  </si>
  <si>
    <t>BoundaryLng1</t>
  </si>
  <si>
    <t>พิกัดลองจิจูดฝั่งตะวันออกเฉียงเหนือ Boundary Longitude Northeast</t>
  </si>
  <si>
    <t>BoundaryLat2</t>
  </si>
  <si>
    <t>พิกัดละติจูดฝั่งตะวันตกเฉียงใต้ Boundary Latitude Southwest</t>
  </si>
  <si>
    <t>BoundaryLng2</t>
  </si>
  <si>
    <t>พิกัดลองจิจูดฝั่งตะวันตกเฉียงใต้ Boundary Longitude Southwest</t>
  </si>
  <si>
    <t>MaxSeqLoading</t>
  </si>
  <si>
    <t>จำนวนรอบของการโหลดสินค้า</t>
  </si>
  <si>
    <t>LoadingSize</t>
  </si>
  <si>
    <t>จำนวนรถโหลดสินค้าต่อรอบ</t>
  </si>
  <si>
    <t>LoadingTime</t>
  </si>
  <si>
    <t>เวลาที่ใช้ในการโหลดสินค้า (นาที)</t>
  </si>
  <si>
    <t>StartLoadingTime</t>
  </si>
  <si>
    <t>เวลาที่เริ่มโหลดสินค้ารอบแรก</t>
  </si>
  <si>
    <t>สถานะ (Ative, InActive)</t>
  </si>
  <si>
    <t>DiscRateWorkingTime</t>
  </si>
  <si>
    <t>เวลาที่ลดลงในการส่งให้ลูกค้าจุดเดียวกัน (%)</t>
  </si>
  <si>
    <t>URLPolygon</t>
  </si>
  <si>
    <t>รหัสผู้แก้ไขข้อมูล</t>
  </si>
  <si>
    <t>รหัสประเภทการเก็บเงิน</t>
  </si>
  <si>
    <t>CODName</t>
  </si>
  <si>
    <t>ชื่อประเภทการเก็บเงิน</t>
  </si>
  <si>
    <t>สถานะ (Active, InActive)</t>
  </si>
  <si>
    <t>CustomerID</t>
  </si>
  <si>
    <t>รหัสที่จัดส่งลูกค้า</t>
  </si>
  <si>
    <t>ShippingAddress</t>
  </si>
  <si>
    <t>สถานที่จัดส่ง</t>
  </si>
  <si>
    <t>SubDistrict</t>
  </si>
  <si>
    <t>Zipcode</t>
  </si>
  <si>
    <t>รหัสโซนจัดส่ง</t>
  </si>
  <si>
    <t>พิกัด Latitude</t>
  </si>
  <si>
    <t>Longitude</t>
  </si>
  <si>
    <t>พิกัด Longitude ที่ได้รับจาก Mobile</t>
  </si>
  <si>
    <t>MobileLatitude</t>
  </si>
  <si>
    <t>พิกัด Latitude ที่ได้รับจาก Mobile</t>
  </si>
  <si>
    <t>MobileLongitude</t>
  </si>
  <si>
    <t>เบอร์โทรผู้ติดต่อ</t>
  </si>
  <si>
    <t>OwnFleetFlag</t>
  </si>
  <si>
    <t>Fix ผู้ให้บริการจัดส่งเป็น Ownfleet</t>
  </si>
  <si>
    <t>IsVerifyFlag</t>
  </si>
  <si>
    <t>สถานะมีการปรับปรุง lat,long แล้ว</t>
  </si>
  <si>
    <t>ActivityType</t>
  </si>
  <si>
    <t>ประเภท Activity ว่ามาจาก Function งานหน้าจอไหน</t>
  </si>
  <si>
    <t>รหัสประตูโหลดสินค้า</t>
  </si>
  <si>
    <t>DockName</t>
  </si>
  <si>
    <t>ชื่อประตูโหลดสินค้า</t>
  </si>
  <si>
    <t>รหัสรางโหลดสินค้าของระบบ WMS</t>
  </si>
  <si>
    <t>MaxLoading</t>
  </si>
  <si>
    <t>จำนวนช่องโหลด</t>
  </si>
  <si>
    <t>รหัสบริษัท Owner</t>
  </si>
  <si>
    <t>CRCID</t>
  </si>
  <si>
    <t>Title</t>
  </si>
  <si>
    <t>คำนำหน้านาม (นาย,นาง,นางสาว,บริษัท)</t>
  </si>
  <si>
    <t>ชื่อพนักงาน/ชื่อบริษัท</t>
  </si>
  <si>
    <t>Surname</t>
  </si>
  <si>
    <t>นามสกุลพนักงาน</t>
  </si>
  <si>
    <t>รหัสตำแหน่ง</t>
  </si>
  <si>
    <t>SupervisorID</t>
  </si>
  <si>
    <t>รหัสหัวหน้างาน</t>
  </si>
  <si>
    <t>ประเภทพนักงาน (OFM Officer, OFM Parttime, Outsource)</t>
  </si>
  <si>
    <t>PhoneNo</t>
  </si>
  <si>
    <t>MobileNo</t>
  </si>
  <si>
    <t>เบอร์โทรมือถือ</t>
  </si>
  <si>
    <t>GUID ผู้สร้างข้อมูล</t>
  </si>
  <si>
    <t>GUID ผู้แก้ไขข้อมูล</t>
  </si>
  <si>
    <t>PaymentAccCode</t>
  </si>
  <si>
    <t>FleetName</t>
  </si>
  <si>
    <t>FleetType</t>
  </si>
  <si>
    <t>FleetInitial</t>
  </si>
  <si>
    <t>Email</t>
  </si>
  <si>
    <t>AddressNo</t>
  </si>
  <si>
    <t>ContractPaymentName</t>
  </si>
  <si>
    <t>เก็บเครดิตเทอมของผู้ให้บริการ เช่น 7, 15, 30</t>
  </si>
  <si>
    <t>WHTRate</t>
  </si>
  <si>
    <t>เก็บเปอร์เซนต์ของหักภาษี ณ ที่จ่ายของแต่ละ Vendor</t>
  </si>
  <si>
    <t>IsRegisterVat</t>
  </si>
  <si>
    <t>เก็บว่า Vendor มีการ Register Vat หรือไม่</t>
  </si>
  <si>
    <t>เก็บ Vat Rate</t>
  </si>
  <si>
    <t>Flag สำหรับดูว่าคิด Vat หรือไม่ [Yes:คิด, No:ไม่คิด]</t>
  </si>
  <si>
    <t>WHTID</t>
  </si>
  <si>
    <t>ID ของ WHTID</t>
  </si>
  <si>
    <t>เก็บ Term ของ Vendor [0:Cash, 1:Credit, 2: Consignment]</t>
  </si>
  <si>
    <t>BranchCode</t>
  </si>
  <si>
    <t>สาขาผู้เสียภาษี</t>
  </si>
  <si>
    <t>Cluster</t>
  </si>
  <si>
    <t>Subcluster</t>
  </si>
  <si>
    <t>SubClusterArea</t>
  </si>
  <si>
    <t>พื้นที่ sub cluster</t>
  </si>
  <si>
    <t>FleetTypeID</t>
  </si>
  <si>
    <t>ID ของประเภทสัญญา</t>
  </si>
  <si>
    <t>FleetContract</t>
  </si>
  <si>
    <t>ประเภทสัญญา</t>
  </si>
  <si>
    <t>ID กลุ่มการคิดเงิน</t>
  </si>
  <si>
    <t>GroupName</t>
  </si>
  <si>
    <t>ชื่อกลุ่มการคิดเงิน</t>
  </si>
  <si>
    <t>GroupDescription</t>
  </si>
  <si>
    <t>รายละเอียดกลุ่มการคิดเงิน</t>
  </si>
  <si>
    <t>RateWithNavigatorAmt</t>
  </si>
  <si>
    <t>ค่าขนส่งแบบมีพนักงานนำสาย</t>
  </si>
  <si>
    <t>RateAmt</t>
  </si>
  <si>
    <t>ค่าขนส่งแบบไม่มีพนักงานนำสาย</t>
  </si>
  <si>
    <t>รหัสผู้ให้บริการจัดส่ง</t>
  </si>
  <si>
    <t>ชื่อผุ้ให้บริการจัดส่ง</t>
  </si>
  <si>
    <t>OriginDC</t>
  </si>
  <si>
    <t>ต้นทางของพื้นที่DC [BKK,UPC]</t>
  </si>
  <si>
    <t>('BKK')</t>
  </si>
  <si>
    <t>DestinationDC</t>
  </si>
  <si>
    <t>ปลายทางจัดส่งของพื้นที่DC [BKK,UPC]</t>
  </si>
  <si>
    <t>พื้นที่อำเภอ/เขต</t>
  </si>
  <si>
    <t>PostalCode</t>
  </si>
  <si>
    <t>BestServiceAvailable</t>
  </si>
  <si>
    <t>จำนวนวันที่สามารถจัดส่งได้จริง</t>
  </si>
  <si>
    <t>FTDate</t>
  </si>
  <si>
    <t>LicenseNo</t>
  </si>
  <si>
    <t>FleetVehicleSize</t>
  </si>
  <si>
    <t>Sub Cluster</t>
  </si>
  <si>
    <t>ID ของ Group การคิดเงิน</t>
  </si>
  <si>
    <t>ชื่อของกรุ๊ปการคิดเงิน</t>
  </si>
  <si>
    <t>StartTime</t>
  </si>
  <si>
    <t>เวลาสิ้นสุด</t>
  </si>
  <si>
    <t>FinishTime</t>
  </si>
  <si>
    <t>MileStart</t>
  </si>
  <si>
    <t>MileEnd</t>
  </si>
  <si>
    <t>TotalDistance</t>
  </si>
  <si>
    <t>TotalCODAmont</t>
  </si>
  <si>
    <t>TotalJob</t>
  </si>
  <si>
    <t>TotalJobComplete</t>
  </si>
  <si>
    <t>TotalJobInComplete</t>
  </si>
  <si>
    <t>TotalPackage</t>
  </si>
  <si>
    <t>IsGenFP</t>
  </si>
  <si>
    <t>FPNo</t>
  </si>
  <si>
    <t>PercentSale</t>
  </si>
  <si>
    <t>เปอร์เซนต์ของการคำนวนค่าขนส่ง</t>
  </si>
  <si>
    <t>DeliveryFee</t>
  </si>
  <si>
    <t>ค่าขนส่ง</t>
  </si>
  <si>
    <t>IsGenPFP</t>
  </si>
  <si>
    <t>Flag สำหรับเชคว่ามีการสร้างเอกสาร PFP แล้วหรือไม่ [No:ยังไม่สร้าง, Yes:สร้างแล้ว]</t>
  </si>
  <si>
    <t>PFPNo</t>
  </si>
  <si>
    <t>เลขที่เอกสาร PFP</t>
  </si>
  <si>
    <t>TotalSuccessAmount</t>
  </si>
  <si>
    <t>จำนวนเงินค่าขนส่งคิดเฉพาะงานสำเร็จ</t>
  </si>
  <si>
    <t>ShippingType</t>
  </si>
  <si>
    <t>ประเภทการขนส่ง [Stationary, Furniture]</t>
  </si>
  <si>
    <t>GenerateType</t>
  </si>
  <si>
    <t>เก็บที่มาของการสร้างเอกสาร FT [Auto, Manaul]</t>
  </si>
  <si>
    <t>สถานะเอกสาร FT [Open, Pending, Confirm, Complete]</t>
  </si>
  <si>
    <t>PendingRemark</t>
  </si>
  <si>
    <t>หมายเหตุการติดสถานะ Pening</t>
  </si>
  <si>
    <t>IsShipWithNavigator</t>
  </si>
  <si>
    <t>Flag ที่บอกว่าส่งของนำพนักงานนำสาย</t>
  </si>
  <si>
    <t>RegisterDate</t>
  </si>
  <si>
    <t>CurrentMile</t>
  </si>
  <si>
    <t>เก็บไมล์ล่าสุด</t>
  </si>
  <si>
    <t>รหัสกลุ่มบริการ</t>
  </si>
  <si>
    <t>ประเภทของสถานะงาน สำหรับ Confirm Job (ให้เลือกสาเหตุตามสถานะงาน)</t>
  </si>
  <si>
    <t>รหัสกลุ่มเหตุผลของ Job</t>
  </si>
  <si>
    <t>GroupReasonName</t>
  </si>
  <si>
    <t>ชื่อกลุ่มเหตุผลของ Job</t>
  </si>
  <si>
    <t>สถานะ (Atcive, InActive)</t>
  </si>
  <si>
    <t>รหัสกลุ่มบริการจัดส่ง</t>
  </si>
  <si>
    <t>ชื่อกลุ่มบริการจัดส่ง</t>
  </si>
  <si>
    <t>GroupCode</t>
  </si>
  <si>
    <t>รหัสเหตุผลของ Job</t>
  </si>
  <si>
    <t>ชื่อเหตุผลของ Job</t>
  </si>
  <si>
    <t>ReasonTypeID</t>
  </si>
  <si>
    <t>รหัสประเภทของเหตุผล</t>
  </si>
  <si>
    <t>เหตุผลของส่วนงานใด (ลูกค้า, ฝ่ายขาย, จัดส่ง, Support จัดส่ง, คลังสินค้า, ธุรการ, อื่นๆ)</t>
  </si>
  <si>
    <t>เป็นเหตุผลของฝ่ายไหนใช้งาน</t>
  </si>
  <si>
    <t>IsPayShippingFee</t>
  </si>
  <si>
    <t>Flag สำหรับเชคว่าเหตุผล ใช้ในการคำนวนค่าจนส่งหรือไม่ Yes:นำมาคิด,No:ไม่นำมาคิด</t>
  </si>
  <si>
    <t>RoundName</t>
  </si>
  <si>
    <t>OwnerName</t>
  </si>
  <si>
    <t>ชื่อบริษัท Owner</t>
  </si>
  <si>
    <t>PickingAddressNo</t>
  </si>
  <si>
    <t>จุดรับสินค้า - เลขที่</t>
  </si>
  <si>
    <t>PickingSoi</t>
  </si>
  <si>
    <t>จุดรับสินค้า - ซอย</t>
  </si>
  <si>
    <t>PickingStreet</t>
  </si>
  <si>
    <t>จุดรับสินค้า - ถนน</t>
  </si>
  <si>
    <t>PickingSubDistrict</t>
  </si>
  <si>
    <t>จุดรับสินค้า - ตำบล/แขวง</t>
  </si>
  <si>
    <t>PickingDistrict</t>
  </si>
  <si>
    <t>จุดรับสินค้า - อำเภอ/เขต</t>
  </si>
  <si>
    <t>PickingProvince</t>
  </si>
  <si>
    <t>จุดรับสินค้า - จังหวัด</t>
  </si>
  <si>
    <t>PickingPostcode</t>
  </si>
  <si>
    <t>จุดรับสินค้า - รหัสไปรษณีย์</t>
  </si>
  <si>
    <t>OriginalLat</t>
  </si>
  <si>
    <t>พิกัด Latitude จุดเริ่มต้นของการจัดส่ง</t>
  </si>
  <si>
    <t>OriginalLng</t>
  </si>
  <si>
    <t>พิกัด Logitude จุดเริ่มต้นของการจัดส่ง</t>
  </si>
  <si>
    <t>ContactPhoneExt</t>
  </si>
  <si>
    <t>CompanyName</t>
  </si>
  <si>
    <t>ชื่อบริษัท</t>
  </si>
  <si>
    <t>PetrolName</t>
  </si>
  <si>
    <t>Flag สำหรับเชคค่า Default เรทน้ำมัน [No:ยังไม่สร้าง, Yes:สร้างแล้ว]</t>
  </si>
  <si>
    <t>PositionName</t>
  </si>
  <si>
    <t>ชื่อตำแหน่ง</t>
  </si>
  <si>
    <t>ISDMZone</t>
  </si>
  <si>
    <t>เป็นหัวหน้าจัดส่งหรือไม่ (Yes,No)</t>
  </si>
  <si>
    <t>รหัสผู้ให้บริการ</t>
  </si>
  <si>
    <t>ProviderName</t>
  </si>
  <si>
    <t>ชื่ื่ื่อผู้ให้บริการ</t>
  </si>
  <si>
    <t>ProviderShortName</t>
  </si>
  <si>
    <t>ชื่อย่อ</t>
  </si>
  <si>
    <t>ที่อยู่เลขที่</t>
  </si>
  <si>
    <t>ประเภทผู้ให้บริการ (3PL, Own Feet, Thai Post)</t>
  </si>
  <si>
    <t>EDIWebService</t>
  </si>
  <si>
    <t>URL/API สำหรับส่งข้อมูลให้ Provider</t>
  </si>
  <si>
    <t>ServicesTerms</t>
  </si>
  <si>
    <t>เงื่อนไขการให้บริการ</t>
  </si>
  <si>
    <t>IsServicesTermsFlag</t>
  </si>
  <si>
    <t>ใช้คุมสถานะการเปิดใช้งาน ServicesTerms [Yes:ใช้งาน,No:ไม่ใช้งาน]</t>
  </si>
  <si>
    <t>รหัสสถานะของ Tracking No</t>
  </si>
  <si>
    <t>StatusName</t>
  </si>
  <si>
    <t>ชื่อสถานะของ Tracking No</t>
  </si>
  <si>
    <t>StatusTracking</t>
  </si>
  <si>
    <t>คำอธิบายสถานะ</t>
  </si>
  <si>
    <t>IsConfirmReason</t>
  </si>
  <si>
    <t>Flag ต้องใส่เหตุงานในการ Confirm Job หรือไม่ (Yes = ใส่เหตุผล, No = ไม่ต้องใส่)</t>
  </si>
  <si>
    <t>DeliveryStatus</t>
  </si>
  <si>
    <t>สถานะที่แสดงบน Web Tracking</t>
  </si>
  <si>
    <t>DeliveryDescription</t>
  </si>
  <si>
    <t>รายละเอียดสถานะที่แสดงบน Web Tracking</t>
  </si>
  <si>
    <t>รหัส Sub Cluster</t>
  </si>
  <si>
    <t>SubClusterName</t>
  </si>
  <si>
    <t>ชื่อ Sub Cluster</t>
  </si>
  <si>
    <t>รหัสรถจัดส่ง</t>
  </si>
  <si>
    <t>VehicleName</t>
  </si>
  <si>
    <t>ชื่อรถจัดส่ง</t>
  </si>
  <si>
    <t>VehicleType</t>
  </si>
  <si>
    <t>ประเภทรถ (รถบริษัท, รถรับจ้างประจำ, รถรับจ้างเสริม)</t>
  </si>
  <si>
    <t>รหัสขนาดรถ</t>
  </si>
  <si>
    <t>ทะเบียนรถ</t>
  </si>
  <si>
    <t>วันที่ของสัญญา</t>
  </si>
  <si>
    <t>MobileTrackingNo</t>
  </si>
  <si>
    <t>หมายเลขเบอร์โทรศัพท์ Tablet</t>
  </si>
  <si>
    <t>รหัส SubCluster</t>
  </si>
  <si>
    <t>สถานะรถ (Active, InActive)</t>
  </si>
  <si>
    <t>ความกว้างของรถ(cm)</t>
  </si>
  <si>
    <t>ความยาวของรถ(cm)</t>
  </si>
  <si>
    <t>ความสูงของรถ(cm)</t>
  </si>
  <si>
    <t>CBM</t>
  </si>
  <si>
    <t>ความจุของรถ</t>
  </si>
  <si>
    <t>รหัส GroupID</t>
  </si>
  <si>
    <t>ชื่อ GroupID</t>
  </si>
  <si>
    <t>vehiclePlanName</t>
  </si>
  <si>
    <t>LoadingNo</t>
  </si>
  <si>
    <t>LoadingSeq</t>
  </si>
  <si>
    <t>VehicleSizeName</t>
  </si>
  <si>
    <t>ชื่อขนาดรถ</t>
  </si>
  <si>
    <t>ความกว้างของรถ (Cm)</t>
  </si>
  <si>
    <t>ความยาวของรถ (Cm)</t>
  </si>
  <si>
    <t>ความสูงของรถ (Cm)</t>
  </si>
  <si>
    <t>ปริมาตรของรถ ((กว้างxยาวxสูง) / 1000000)</t>
  </si>
  <si>
    <t>ParkCode</t>
  </si>
  <si>
    <t>จุดวางสินค้าของคลัง หลังจากจัดสินค้าเสร็จแล้ว</t>
  </si>
  <si>
    <t>เป็นหลักหรือไม่ (Yes,No)</t>
  </si>
  <si>
    <t>ชื่อตำบล ภาษาไทย</t>
  </si>
  <si>
    <t>ชื่ออำเภอ ภาษาไทย</t>
  </si>
  <si>
    <t>จังหวัด ภาษาไทย</t>
  </si>
  <si>
    <t>ShipPriority</t>
  </si>
  <si>
    <t>ลำดับความสำคัญในการส่งสินค้าของโซน (High,Medium,Low)</t>
  </si>
  <si>
    <t>('Medium')</t>
  </si>
  <si>
    <t>ScheduleID</t>
  </si>
  <si>
    <t>รหัสวันจัดส่ง</t>
  </si>
  <si>
    <t>คิดค่าจัดส่ง (Yes,No)</t>
  </si>
  <si>
    <t>ที่มาของการ Confirm (Mobile,PC)</t>
  </si>
  <si>
    <t>เลขที่ Tracking</t>
  </si>
  <si>
    <t>เลขที่ Invoice / เลขที่อ้างอิง</t>
  </si>
  <si>
    <t>วันที่จัดส่ง</t>
  </si>
  <si>
    <t>ServiceID</t>
  </si>
  <si>
    <t>จำนวนเงินเอกสาร</t>
  </si>
  <si>
    <t>ประเภท การเก็บเงินจากลูกค้า (COD, EDC, CHEQUE, NONE)</t>
  </si>
  <si>
    <t>จำนวนเงินที่เรียกเก็บ</t>
  </si>
  <si>
    <t>CODReceAmount</t>
  </si>
  <si>
    <t>จำนวนเงิินที่ได้รับจากลูกค้า</t>
  </si>
  <si>
    <t>รหัสรถส่งของ</t>
  </si>
  <si>
    <t>ลำดับการส่งของ</t>
  </si>
  <si>
    <t>สถานะการ Confirm (Completed, CompletedPartial,InCompleted, Re-Delivery)</t>
  </si>
  <si>
    <t>รหัสสาเหตุ</t>
  </si>
  <si>
    <t>IsFinish</t>
  </si>
  <si>
    <t>สถานะการปิดงานของรถ (Yes,No)</t>
  </si>
  <si>
    <t>CustomerSign</t>
  </si>
  <si>
    <t>สาเหตุงาน</t>
  </si>
  <si>
    <t>RefDocumentNo2</t>
  </si>
  <si>
    <t>RefDocumentNo3</t>
  </si>
  <si>
    <t>แสดงประเภทงานลูกค้า VIP</t>
  </si>
  <si>
    <t>AdminVerifyBy</t>
  </si>
  <si>
    <t>AdminVerifyByName</t>
  </si>
  <si>
    <t>AdminVerifyDate</t>
  </si>
  <si>
    <t>ConfirmPaymentType</t>
  </si>
  <si>
    <t>ยืนยันประเภทการชำระเงิน</t>
  </si>
  <si>
    <t>SlotLoading</t>
  </si>
  <si>
    <t>ช่องโหลดสินค้า</t>
  </si>
  <si>
    <t>RoundNo</t>
  </si>
  <si>
    <t>รอบโหลดสินค้า</t>
  </si>
  <si>
    <t>EmployeeName</t>
  </si>
  <si>
    <t>DMEmployeeID</t>
  </si>
  <si>
    <t>DMEmployeeName</t>
  </si>
  <si>
    <t>TerminalID</t>
  </si>
  <si>
    <t>รหัสประจำเครื่องรูดบัตร</t>
  </si>
  <si>
    <t>RouteFlag</t>
  </si>
  <si>
    <t>รถจัดส่งได้ถูก Assign แล้วหรือไม่ (Yes,No)</t>
  </si>
  <si>
    <t>SendSMSFlag</t>
  </si>
  <si>
    <t>LoadingCompleteFlag</t>
  </si>
  <si>
    <t>StartShippingFlag</t>
  </si>
  <si>
    <t>SupportConfirmFlag</t>
  </si>
  <si>
    <t>EasyPassNo</t>
  </si>
  <si>
    <t>EquipmentFlag</t>
  </si>
  <si>
    <t>LockShippingFlag</t>
  </si>
  <si>
    <t>For Lock Start Shipping</t>
  </si>
  <si>
    <t>LoadingCompleteDate</t>
  </si>
  <si>
    <t>วันที่และเวลาในการโหลดสินค้า</t>
  </si>
  <si>
    <t>StartShippingDate</t>
  </si>
  <si>
    <t>วันที่และเวลาในการโหลดข้อมูลเริ่มจัดส่ง</t>
  </si>
  <si>
    <t>FinishJobDate</t>
  </si>
  <si>
    <t>วันที่และเวลาในการยืนยันปิดงาน</t>
  </si>
  <si>
    <t>SupportConfirmDate</t>
  </si>
  <si>
    <t>วันเวลาที่ support Verify Confirm</t>
  </si>
  <si>
    <t>เลขทะเบียนรถ</t>
  </si>
  <si>
    <t>เลขไมล์เริ่มต้น</t>
  </si>
  <si>
    <t>เลขไมล์สิ้นสุด</t>
  </si>
  <si>
    <t>DeviceID</t>
  </si>
  <si>
    <t>รหัสเครื่อง Mobile</t>
  </si>
  <si>
    <t>Flag สำหรับเชคจบงานสำเร๊จ</t>
  </si>
  <si>
    <t>IsRecord</t>
  </si>
  <si>
    <t>Flag สำหรับเชคการบันทึกไมล์</t>
  </si>
  <si>
    <t>ID ประเภทสัญญา</t>
  </si>
  <si>
    <t>ชื่อของประเภทสัญญา</t>
  </si>
  <si>
    <t>ID ผู้ให้บริการ</t>
  </si>
  <si>
    <t>ชื่อผู้ให้บริการ</t>
  </si>
  <si>
    <t>เลขทื่ Inv. หรือเลขที่อ้างอิง</t>
  </si>
  <si>
    <t>รหัสเจ้าของงาน</t>
  </si>
  <si>
    <t>OwnerContactName</t>
  </si>
  <si>
    <t>ชื่อผู้ติดต่อเจ้าของงาน</t>
  </si>
  <si>
    <t>OwnerPhone</t>
  </si>
  <si>
    <t>เบอร์โทรติดต่อเจ้าของงาน</t>
  </si>
  <si>
    <t>เบอร์ติดต่อผู้รับสินค้า</t>
  </si>
  <si>
    <t>รหัสสาขาออฟฟิศเมท</t>
  </si>
  <si>
    <t>BuildingID</t>
  </si>
  <si>
    <t>รหัสอาคาร</t>
  </si>
  <si>
    <t>BuildingName</t>
  </si>
  <si>
    <t>ชื่ออาคาร</t>
  </si>
  <si>
    <t>พิกัด longitude</t>
  </si>
  <si>
    <t>JobRemark</t>
  </si>
  <si>
    <t>หมายเหตุจัดส่ง</t>
  </si>
  <si>
    <t>ReturnDocumentRemark</t>
  </si>
  <si>
    <t>หมายเหตุการดึงบิล</t>
  </si>
  <si>
    <t>รหัสประเภทบริการ</t>
  </si>
  <si>
    <t>จำนวนเงินตามเอกสาร</t>
  </si>
  <si>
    <t>ผลรวมของ Capacity</t>
  </si>
  <si>
    <t>ผลรวมจำนวน Package ของ Order</t>
  </si>
  <si>
    <t>สถานะงาน Tracking</t>
  </si>
  <si>
    <t>IsReadyToShip</t>
  </si>
  <si>
    <t>Flag พร้อมให้จัดส่งจากระบบ ERP (Yes,No)</t>
  </si>
  <si>
    <t>IsDocumentSorting</t>
  </si>
  <si>
    <t>ลำดับการส่งสินค้าของรถ</t>
  </si>
  <si>
    <t>StartRound1</t>
  </si>
  <si>
    <t>เวลาที่ไม่สะดวกส่งของ - เวลาเริ่มต้น ของช่วงเวลาที่ 1</t>
  </si>
  <si>
    <t>EndRound1</t>
  </si>
  <si>
    <t>เวลาที่ไม่สะดวกส่งของ - เวลาสิ้นสุด ของช่วงเวลาที่ 1</t>
  </si>
  <si>
    <t>StartRound2</t>
  </si>
  <si>
    <t>เวลาที่ไม่สะดวกส่งของ - เวลาเริ่มต้น ของช่วงเวลาที่ 2</t>
  </si>
  <si>
    <t>EndRound2</t>
  </si>
  <si>
    <t>เวลาที่ไม่สะดวกส่งของ - เวลาสิ้นสุด ของช่วงเวลาที่ 2</t>
  </si>
  <si>
    <t>DocumentSortingBy</t>
  </si>
  <si>
    <t>DocumentSortingOn</t>
  </si>
  <si>
    <t>CashierConfirmStatus</t>
  </si>
  <si>
    <t>CashierConfirmBy</t>
  </si>
  <si>
    <t>CashierConfirmDate</t>
  </si>
  <si>
    <t>ส่งสินค้าพร้อมวางบิล</t>
  </si>
  <si>
    <t>parkcode</t>
  </si>
  <si>
    <t>น้ำหนักรวม</t>
  </si>
  <si>
    <t>วันที่ Confirm document</t>
  </si>
  <si>
    <t>ลูกค้ากลุ่มในเครือ</t>
  </si>
  <si>
    <t>OriginalParkCode</t>
  </si>
  <si>
    <t>OriginalZoneID</t>
  </si>
  <si>
    <t>IsAllocated</t>
  </si>
  <si>
    <t>TrackingNo มีการส่งข้อมูล allocate ให้ ERP เรียบร้อยแล้ว</t>
  </si>
  <si>
    <t>SubWarehouseID</t>
  </si>
  <si>
    <t>SubWarehouseName</t>
  </si>
  <si>
    <t>IsShipWithINV</t>
  </si>
  <si>
    <t>Flag ระบุข้อมูลลูกค้า VIP[Yes:ลูกค้าVIP,No:ลูกค้าทั่วไป]</t>
  </si>
  <si>
    <t>IsWMSReadyToAllocated</t>
  </si>
  <si>
    <t>สถานะการจัดสินค้าใน WMS พร้อมสำหรับ transfer Allocate[Yes:พร้อม,No:ยังไม่พร้อม]</t>
  </si>
  <si>
    <t>ทีมเปิดออเดอร์</t>
  </si>
  <si>
    <t>เลขที่เอกสาร FT</t>
  </si>
  <si>
    <t>IsGenQRCode</t>
  </si>
  <si>
    <t>Flag สำหรับเชคการสร้าง QR Code</t>
  </si>
  <si>
    <t>fono</t>
  </si>
  <si>
    <t>FODate</t>
  </si>
  <si>
    <t>fostatus</t>
  </si>
  <si>
    <t>prchannel</t>
  </si>
  <si>
    <t>documentno</t>
  </si>
  <si>
    <t>documentstatus</t>
  </si>
  <si>
    <t>storecode</t>
  </si>
  <si>
    <t>deliverydate</t>
  </si>
  <si>
    <t>deliveryfeebyitem</t>
  </si>
  <si>
    <t>deliveryfeebyorder</t>
  </si>
  <si>
    <t>TotalDeliverFree</t>
  </si>
  <si>
    <t>shipcontactor</t>
  </si>
  <si>
    <t>shipphoneno</t>
  </si>
  <si>
    <t>shipaddr1</t>
  </si>
  <si>
    <t>shipaddr2</t>
  </si>
  <si>
    <t>shipaddr3</t>
  </si>
  <si>
    <t>shipaddr4</t>
  </si>
  <si>
    <t>shipsubdistrict</t>
  </si>
  <si>
    <t>shipdistrict</t>
  </si>
  <si>
    <t>shipprovince</t>
  </si>
  <si>
    <t>shippostcode</t>
  </si>
  <si>
    <t>shippingremark</t>
  </si>
  <si>
    <t>contactorname</t>
  </si>
  <si>
    <t>contactorphone</t>
  </si>
  <si>
    <t>contactorfax</t>
  </si>
  <si>
    <t>contactoremail</t>
  </si>
  <si>
    <t>contactormobileno</t>
  </si>
  <si>
    <t>discountrate</t>
  </si>
  <si>
    <t>vatrate</t>
  </si>
  <si>
    <t>totamt</t>
  </si>
  <si>
    <t>discamt</t>
  </si>
  <si>
    <t>netamt</t>
  </si>
  <si>
    <t>vatamt</t>
  </si>
  <si>
    <t>sumamt</t>
  </si>
  <si>
    <t>reorderstatus</t>
  </si>
  <si>
    <t>istransferstatustoodoo</t>
  </si>
  <si>
    <t>(CONVERT([varchar],'No'))</t>
  </si>
  <si>
    <t>เลขที่ Running ของที่อยู่ของลูกค้าสาขา Franchise</t>
  </si>
  <si>
    <t>ShipOdooID</t>
  </si>
  <si>
    <t>เลขที่อ้างอิงของที่อยู่ของลูกค้าสาขา Franchise</t>
  </si>
  <si>
    <t>ShipOFMID</t>
  </si>
  <si>
    <t>เลขที่อ้างอิงของที่อยู่ของลูกค้าสาขา Franchise ที่มาจาก OFM</t>
  </si>
  <si>
    <t>ShipAction</t>
  </si>
  <si>
    <t>Action Shipping(Create,Update,None)</t>
  </si>
  <si>
    <t>IsDelivered</t>
  </si>
  <si>
    <t>Order มีการจัดส่งสินค้าแล้วหรือไม่ (Yes,No)</t>
  </si>
  <si>
    <t>IsInvoiceTransfer</t>
  </si>
  <si>
    <t>ยกข้อมูลขึ้นระบบ Odoo เสร็จสิ้นแล้วหรือไม่ (Yes,No)</t>
  </si>
  <si>
    <t>InvoiceTransferDate</t>
  </si>
  <si>
    <t>วันที่ยกข้อมูลขึ้นระบบ Odoo</t>
  </si>
  <si>
    <t>IsFirstLot</t>
  </si>
  <si>
    <t>Flag เพื่อระบุว่าสั่งซื้อเพื่อเตรียมเปิดร้าน Franchise ใหม่หรือไม่</t>
  </si>
  <si>
    <t>FirstLotDate</t>
  </si>
  <si>
    <t>วันที่ระบุ Flag IsFirstLot =Yes</t>
  </si>
  <si>
    <t>(CONVERT([varchar],''))</t>
  </si>
  <si>
    <t>purchaseprice</t>
  </si>
  <si>
    <t>purchasediscountrate</t>
  </si>
  <si>
    <t>maxqty</t>
  </si>
  <si>
    <t>minqty</t>
  </si>
  <si>
    <t>minpurqty</t>
  </si>
  <si>
    <t>(CONVERT([datetime2],'1900-01-01 00:00:00'))</t>
  </si>
  <si>
    <t>transferdate</t>
  </si>
  <si>
    <t>retail_price</t>
  </si>
  <si>
    <t>dept</t>
  </si>
  <si>
    <t>dept_name</t>
  </si>
  <si>
    <t>sub_dpt</t>
  </si>
  <si>
    <t>sub_dptname</t>
  </si>
  <si>
    <t>class</t>
  </si>
  <si>
    <t>franchise_name</t>
  </si>
  <si>
    <t>franchise_status</t>
  </si>
  <si>
    <t>store_code</t>
  </si>
  <si>
    <t>address1</t>
  </si>
  <si>
    <t>address2</t>
  </si>
  <si>
    <t>address3</t>
  </si>
  <si>
    <t>address4</t>
  </si>
  <si>
    <t>sub_district</t>
  </si>
  <si>
    <t>district</t>
  </si>
  <si>
    <t>isinitial_prod</t>
  </si>
  <si>
    <t>cat_name</t>
  </si>
  <si>
    <t>sub_catid</t>
  </si>
  <si>
    <t>sub_catname</t>
  </si>
  <si>
    <t>PurchasePriceExvat</t>
  </si>
  <si>
    <t>active</t>
  </si>
  <si>
    <t>(CONVERT([varchar],'TRUE'))</t>
  </si>
  <si>
    <t>type</t>
  </si>
  <si>
    <t>(CONVERT([varchar],'product'))</t>
  </si>
  <si>
    <t>sale_ok</t>
  </si>
  <si>
    <t>purchase_ok</t>
  </si>
  <si>
    <t>(CONVERT([varchar],'FALSE'))</t>
  </si>
  <si>
    <t>invoice_policy</t>
  </si>
  <si>
    <t>(CONVERT([varchar],'delivery'))</t>
  </si>
  <si>
    <t>barcode</t>
  </si>
  <si>
    <t>uom_id</t>
  </si>
  <si>
    <t>uom_po_id</t>
  </si>
  <si>
    <t>available_in_pos</t>
  </si>
  <si>
    <t>warranty</t>
  </si>
  <si>
    <t>(CONVERT([varchar],'0'))</t>
  </si>
  <si>
    <t>sale_delay</t>
  </si>
  <si>
    <t>(CONVERT([varchar],'2'))</t>
  </si>
  <si>
    <t>sku</t>
  </si>
  <si>
    <t>nameeng</t>
  </si>
  <si>
    <t>brandid</t>
  </si>
  <si>
    <t>brandth</t>
  </si>
  <si>
    <t>brandeng</t>
  </si>
  <si>
    <t>cpcid</t>
  </si>
  <si>
    <t>ownbrand</t>
  </si>
  <si>
    <t>prodremark</t>
  </si>
  <si>
    <t>isvat</t>
  </si>
  <si>
    <t>isdeliveryfee</t>
  </si>
  <si>
    <t>deliveryfee</t>
  </si>
  <si>
    <t>isbestdeal</t>
  </si>
  <si>
    <t>salepriceexvat</t>
  </si>
  <si>
    <t>salepriceincvat</t>
  </si>
  <si>
    <t>ispromotion</t>
  </si>
  <si>
    <t>promotionpriceexvat</t>
  </si>
  <si>
    <t>promotionpriceincvat</t>
  </si>
  <si>
    <t>promotionstartdate</t>
  </si>
  <si>
    <t>promotionenddate</t>
  </si>
  <si>
    <t>ofm_product_description</t>
  </si>
  <si>
    <t>seller_code</t>
  </si>
  <si>
    <t>vendor_type</t>
  </si>
  <si>
    <t>Storecode</t>
  </si>
  <si>
    <t>Shipaddr1</t>
  </si>
  <si>
    <t>Shipaddr2</t>
  </si>
  <si>
    <t>Shipaddr3</t>
  </si>
  <si>
    <t>Shipaddr4</t>
  </si>
  <si>
    <t>Shipsubdistrict</t>
  </si>
  <si>
    <t>Shipdistrict</t>
  </si>
  <si>
    <t>Shipprovince</t>
  </si>
  <si>
    <t>Shippostcode</t>
  </si>
  <si>
    <t>Shippingremark</t>
  </si>
  <si>
    <t>ShipStatus</t>
  </si>
  <si>
    <t>IsUpdateOFM</t>
  </si>
  <si>
    <t>unitprice</t>
  </si>
  <si>
    <t>สินค้านี้เป็นสินค้าฟรีหรือไม่</t>
  </si>
  <si>
    <t>Unitprice</t>
  </si>
  <si>
    <t>Rtv_type</t>
  </si>
  <si>
    <t>CNRefNo</t>
  </si>
  <si>
    <t>เลขที่เอกสาร CN</t>
  </si>
  <si>
    <t>integer</t>
  </si>
  <si>
    <t>NO</t>
  </si>
  <si>
    <t>character varying</t>
  </si>
  <si>
    <t>YES</t>
  </si>
  <si>
    <t>comment</t>
  </si>
  <si>
    <t>website</t>
  </si>
  <si>
    <t>timestamp without time zone</t>
  </si>
  <si>
    <t>color</t>
  </si>
  <si>
    <t>boolean</t>
  </si>
  <si>
    <t>supplier</t>
  </si>
  <si>
    <t>display_name</t>
  </si>
  <si>
    <t>zip</t>
  </si>
  <si>
    <t>title</t>
  </si>
  <si>
    <t>commercial_company_name</t>
  </si>
  <si>
    <t>parent_id</t>
  </si>
  <si>
    <t>company_name</t>
  </si>
  <si>
    <t>employee</t>
  </si>
  <si>
    <t>ref</t>
  </si>
  <si>
    <t>is_company</t>
  </si>
  <si>
    <t>function</t>
  </si>
  <si>
    <t>lang</t>
  </si>
  <si>
    <t>street2</t>
  </si>
  <si>
    <t>phone</t>
  </si>
  <si>
    <t>write_date</t>
  </si>
  <si>
    <t>tz</t>
  </si>
  <si>
    <t>write_uid</t>
  </si>
  <si>
    <t>customer</t>
  </si>
  <si>
    <t>create_uid</t>
  </si>
  <si>
    <t>double precision</t>
  </si>
  <si>
    <t>user_id</t>
  </si>
  <si>
    <t>partner_share</t>
  </si>
  <si>
    <t>state_id</t>
  </si>
  <si>
    <t>commercial_partner_id</t>
  </si>
  <si>
    <t>notify_email</t>
  </si>
  <si>
    <t>message_last_post</t>
  </si>
  <si>
    <t>opt_out</t>
  </si>
  <si>
    <t>message_bounce</t>
  </si>
  <si>
    <t>signup_type</t>
  </si>
  <si>
    <t>signup_expiration</t>
  </si>
  <si>
    <t>signup_token</t>
  </si>
  <si>
    <t>debit_limit</t>
  </si>
  <si>
    <t>last_time_entries_checked</t>
  </si>
  <si>
    <t>invoice_warn_msg</t>
  </si>
  <si>
    <t>invoice_warn</t>
  </si>
  <si>
    <t>last_name</t>
  </si>
  <si>
    <t>idcard_expire_date</t>
  </si>
  <si>
    <t>moo</t>
  </si>
  <si>
    <t>wht_kind</t>
  </si>
  <si>
    <t>first_name</t>
  </si>
  <si>
    <t>amphur_id</t>
  </si>
  <si>
    <t>tambon_id</t>
  </si>
  <si>
    <t>last_name_eng</t>
  </si>
  <si>
    <t>tax_detail</t>
  </si>
  <si>
    <t>number</t>
  </si>
  <si>
    <t>idcard_create_date</t>
  </si>
  <si>
    <t>nationality_id</t>
  </si>
  <si>
    <t>province_id</t>
  </si>
  <si>
    <t>billing_payment_id</t>
  </si>
  <si>
    <t>alley</t>
  </si>
  <si>
    <t>owner_first_name</t>
  </si>
  <si>
    <t>owner_last_name</t>
  </si>
  <si>
    <t>first_name_eng</t>
  </si>
  <si>
    <t>branch</t>
  </si>
  <si>
    <t>name_eng</t>
  </si>
  <si>
    <t>age</t>
  </si>
  <si>
    <t>idcard_create_by</t>
  </si>
  <si>
    <t>sale_warn_msg</t>
  </si>
  <si>
    <t>sale_warn</t>
  </si>
  <si>
    <t>picking_warn</t>
  </si>
  <si>
    <t>picking_warn_msg</t>
  </si>
  <si>
    <t>company_code_account</t>
  </si>
  <si>
    <t>purchase_warn</t>
  </si>
  <si>
    <t>purchase_warn_msg</t>
  </si>
  <si>
    <t>is_member</t>
  </si>
  <si>
    <t>loyalty_points</t>
  </si>
  <si>
    <t>shop_id</t>
  </si>
  <si>
    <t>ignore_repeat</t>
  </si>
  <si>
    <t>branch_id</t>
  </si>
  <si>
    <t>vip</t>
  </si>
  <si>
    <t>admin_edit_only</t>
  </si>
  <si>
    <t>birthdate</t>
  </si>
  <si>
    <t>use_parent_address</t>
  </si>
  <si>
    <t>zip_id</t>
  </si>
  <si>
    <t>max_aging</t>
  </si>
  <si>
    <t>billing_condition_type</t>
  </si>
  <si>
    <t>customer_code</t>
  </si>
  <si>
    <t>customer_payment_type</t>
  </si>
  <si>
    <t>follow_up_note</t>
  </si>
  <si>
    <t>is_update_shipping</t>
  </si>
  <si>
    <t>vendor_ship_id</t>
  </si>
  <si>
    <t>credit_term_tender_id</t>
  </si>
  <si>
    <t>main_contact_person</t>
  </si>
  <si>
    <t>oracle_branch_code</t>
  </si>
  <si>
    <t>is_edit_to_ofin</t>
  </si>
  <si>
    <t>date_archived</t>
  </si>
  <si>
    <t>partner_code</t>
  </si>
  <si>
    <t>is_hide</t>
  </si>
  <si>
    <t>billing_condition_text</t>
  </si>
  <si>
    <t>deliver_with_billing</t>
  </si>
  <si>
    <t>debt_follow_note</t>
  </si>
  <si>
    <t>code</t>
  </si>
  <si>
    <t>sequence</t>
  </si>
  <si>
    <t>pos_company_id</t>
  </si>
  <si>
    <t>sequence_pos_picking_id</t>
  </si>
  <si>
    <t>cash_limit</t>
  </si>
  <si>
    <t>sequence_tax_invoice_id</t>
  </si>
  <si>
    <t>warehouse_id</t>
  </si>
  <si>
    <t>pos_config_product_template_id</t>
  </si>
  <si>
    <t>branch_name</t>
  </si>
  <si>
    <t>rcpt_no_abb_latest</t>
  </si>
  <si>
    <t>partner_id</t>
  </si>
  <si>
    <t>ofin_code</t>
  </si>
  <si>
    <t>state</t>
  </si>
  <si>
    <t>royalty_fee</t>
  </si>
  <si>
    <t>is_cron_job</t>
  </si>
  <si>
    <t>acc_number</t>
  </si>
  <si>
    <t>acc_name_en</t>
  </si>
  <si>
    <t>bank_id</t>
  </si>
  <si>
    <t>res_partner_bank_id</t>
  </si>
  <si>
    <t>is_not_get_batch_t1c</t>
  </si>
  <si>
    <t>active_branch_in_criteria</t>
  </si>
  <si>
    <t>is_no_select_to_ofin</t>
  </si>
  <si>
    <t>header_report_branch</t>
  </si>
  <si>
    <t>sale_journal</t>
  </si>
  <si>
    <t>pos_reference</t>
  </si>
  <si>
    <t>account_move</t>
  </si>
  <si>
    <t>date_order</t>
  </si>
  <si>
    <t>nb_print</t>
  </si>
  <si>
    <t>location_id</t>
  </si>
  <si>
    <t>note</t>
  </si>
  <si>
    <t>pricelist_id</t>
  </si>
  <si>
    <t>fiscal_position_id</t>
  </si>
  <si>
    <t>invoice_id</t>
  </si>
  <si>
    <t>session_id</t>
  </si>
  <si>
    <t>picking_id</t>
  </si>
  <si>
    <t>sequence_number</t>
  </si>
  <si>
    <t>check_amount</t>
  </si>
  <si>
    <t>printed_receipt_first</t>
  </si>
  <si>
    <t>amount_tax</t>
  </si>
  <si>
    <t>printed_first</t>
  </si>
  <si>
    <t>printed_receipt</t>
  </si>
  <si>
    <t>amount_return</t>
  </si>
  <si>
    <t>amount_paid</t>
  </si>
  <si>
    <t>is_refund</t>
  </si>
  <si>
    <t>inv_no</t>
  </si>
  <si>
    <t>printed</t>
  </si>
  <si>
    <t>amount_total</t>
  </si>
  <si>
    <t>refund_user_id</t>
  </si>
  <si>
    <t>tax_invoice</t>
  </si>
  <si>
    <t>comment_order</t>
  </si>
  <si>
    <t>iface_tax_included</t>
  </si>
  <si>
    <t>approve_return</t>
  </si>
  <si>
    <t>change_rounding</t>
  </si>
  <si>
    <t>amount_discount</t>
  </si>
  <si>
    <t>the_one_card_no</t>
  </si>
  <si>
    <t>is_return_order</t>
  </si>
  <si>
    <t>return_reason_id</t>
  </si>
  <si>
    <t>return_status</t>
  </si>
  <si>
    <t>is_void_order</t>
  </si>
  <si>
    <t>return_order_id</t>
  </si>
  <si>
    <t>before_rounding</t>
  </si>
  <si>
    <t>before_discount</t>
  </si>
  <si>
    <t>approver_id</t>
  </si>
  <si>
    <t>approve_datetime</t>
  </si>
  <si>
    <t>total_products_nonvat</t>
  </si>
  <si>
    <t>total_products_vat_included</t>
  </si>
  <si>
    <t>total_products_vat_excluded</t>
  </si>
  <si>
    <t>total_products_vat_amount</t>
  </si>
  <si>
    <t>points_balance</t>
  </si>
  <si>
    <t>membercard</t>
  </si>
  <si>
    <t>t1c_set</t>
  </si>
  <si>
    <t>points_expiry_this_year</t>
  </si>
  <si>
    <t>phone_number</t>
  </si>
  <si>
    <t>member_name</t>
  </si>
  <si>
    <t>pos_offline</t>
  </si>
  <si>
    <t>batch_done</t>
  </si>
  <si>
    <t>daily_summary_franchise_id</t>
  </si>
  <si>
    <t>notice</t>
  </si>
  <si>
    <t>price_unit</t>
  </si>
  <si>
    <t>discount</t>
  </si>
  <si>
    <t>promotion_id</t>
  </si>
  <si>
    <t>discount_amount</t>
  </si>
  <si>
    <t>promotion_line_id</t>
  </si>
  <si>
    <t>promotion</t>
  </si>
  <si>
    <t>iface_line_tax_included</t>
  </si>
  <si>
    <t>promotion_condition_id</t>
  </si>
  <si>
    <t>prorate_amount</t>
  </si>
  <si>
    <t>original_line_id</t>
  </si>
  <si>
    <t>line_qty_returned</t>
  </si>
  <si>
    <t>reward_type</t>
  </si>
  <si>
    <t>prorate_vat</t>
  </si>
  <si>
    <t>prorate_amount_exclude</t>
  </si>
  <si>
    <t>free_product_id</t>
  </si>
  <si>
    <t>price_subtotal</t>
  </si>
  <si>
    <t>price_subtotal_wo_discount_incl</t>
  </si>
  <si>
    <t>price_subtotal_incl</t>
  </si>
  <si>
    <t>price_subtotal_wo_discount</t>
  </si>
  <si>
    <t>line_coupon</t>
  </si>
  <si>
    <t>multi_coupon_id</t>
  </si>
  <si>
    <t>prorate_vat_2</t>
  </si>
  <si>
    <t>prorate_amount_exclude_2</t>
  </si>
  <si>
    <t>prorate_amount_2</t>
  </si>
  <si>
    <t>is_type_discount_f_see</t>
  </si>
  <si>
    <t>t1c_receipt_no</t>
  </si>
  <si>
    <t>t1c_redeem_product_id</t>
  </si>
  <si>
    <t>t1c_verify_targettransid</t>
  </si>
  <si>
    <t>t1c_trans_status</t>
  </si>
  <si>
    <t>is_redeem</t>
  </si>
  <si>
    <t>t1c_trans_no</t>
  </si>
  <si>
    <t>t1c_redeem_id</t>
  </si>
  <si>
    <t>t1c_points</t>
  </si>
  <si>
    <t>prorate_amount_t1c</t>
  </si>
  <si>
    <t>t1c_product_code</t>
  </si>
  <si>
    <t>t1c_voucher_no</t>
  </si>
  <si>
    <t>prorate_amount_exclude_t1c</t>
  </si>
  <si>
    <t>prorate_vat_t1c</t>
  </si>
  <si>
    <t>t1c_point_template_line_id</t>
  </si>
  <si>
    <t>is_discount_f_see_line</t>
  </si>
  <si>
    <t>weight</t>
  </si>
  <si>
    <t>product_tmpl_id</t>
  </si>
  <si>
    <t>volume</t>
  </si>
  <si>
    <t>coupon_used_time</t>
  </si>
  <si>
    <t>coupon_type</t>
  </si>
  <si>
    <t>coupon_limit</t>
  </si>
  <si>
    <t>list_price</t>
  </si>
  <si>
    <t>description_purchase</t>
  </si>
  <si>
    <t>description_sale</t>
  </si>
  <si>
    <t>description</t>
  </si>
  <si>
    <t>categ_id</t>
  </si>
  <si>
    <t>rental</t>
  </si>
  <si>
    <t>sale_line_warn</t>
  </si>
  <si>
    <t>sale_line_warn_msg</t>
  </si>
  <si>
    <t>track_service</t>
  </si>
  <si>
    <t>expense_policy</t>
  </si>
  <si>
    <t>tracking</t>
  </si>
  <si>
    <t>description_picking</t>
  </si>
  <si>
    <t>pos_categ_id</t>
  </si>
  <si>
    <t>to_weight</t>
  </si>
  <si>
    <t>purchase_line_warn_msg</t>
  </si>
  <si>
    <t>purchase_method</t>
  </si>
  <si>
    <t>purchase_line_warn</t>
  </si>
  <si>
    <t>sub_class_ofm</t>
  </si>
  <si>
    <t>dept_ofm_moved0</t>
  </si>
  <si>
    <t>prod_status</t>
  </si>
  <si>
    <t>cp_cid_ofm</t>
  </si>
  <si>
    <t>is_delivery_fee_ofm</t>
  </si>
  <si>
    <t>own_brand_ofm</t>
  </si>
  <si>
    <t>sub_dpt_ofm</t>
  </si>
  <si>
    <t>class_ofm</t>
  </si>
  <si>
    <t>dept_name_ofm</t>
  </si>
  <si>
    <t>name_eng_ofm</t>
  </si>
  <si>
    <t>delivery_fee_ofm</t>
  </si>
  <si>
    <t>prod_remark_ofm</t>
  </si>
  <si>
    <t>sub_dpt_name_ofm</t>
  </si>
  <si>
    <t>sku_ofm_moved0</t>
  </si>
  <si>
    <t>hide_in_pos_product_list</t>
  </si>
  <si>
    <t>exempt_pos_calculate</t>
  </si>
  <si>
    <t>is_best_deal_promotion</t>
  </si>
  <si>
    <t>is_hold_sale</t>
  </si>
  <si>
    <t>wht_type</t>
  </si>
  <si>
    <t>dept_ofm</t>
  </si>
  <si>
    <t>not_returnable</t>
  </si>
  <si>
    <t>date_promotion_end</t>
  </si>
  <si>
    <t>price_normal</t>
  </si>
  <si>
    <t>price_promotion</t>
  </si>
  <si>
    <t>date_promotion_start</t>
  </si>
  <si>
    <t>is_coupon_confirm</t>
  </si>
  <si>
    <t>is_coupon</t>
  </si>
  <si>
    <t>product_cost</t>
  </si>
  <si>
    <t>parent_dept_ofm</t>
  </si>
  <si>
    <t>sku_ofm</t>
  </si>
  <si>
    <t>is_ofm_vendor_type_promotion</t>
  </si>
  <si>
    <t>ofm_vendor_type_id</t>
  </si>
  <si>
    <t>ofm_seller</t>
  </si>
  <si>
    <t>ofm_vendor_type_code</t>
  </si>
  <si>
    <t>ofm_vendor_type</t>
  </si>
  <si>
    <t>date_update_product_branch</t>
  </si>
  <si>
    <t>date_due</t>
  </si>
  <si>
    <t>partner_bank_id</t>
  </si>
  <si>
    <t>journal_id</t>
  </si>
  <si>
    <t>amount_total_company_signed</t>
  </si>
  <si>
    <t>residual</t>
  </si>
  <si>
    <t>amount_untaxed</t>
  </si>
  <si>
    <t>reference</t>
  </si>
  <si>
    <t>residual_company_signed</t>
  </si>
  <si>
    <t>amount_total_signed</t>
  </si>
  <si>
    <t>move_id</t>
  </si>
  <si>
    <t>sent</t>
  </si>
  <si>
    <t>reconciled</t>
  </si>
  <si>
    <t>origin</t>
  </si>
  <si>
    <t>move_name</t>
  </si>
  <si>
    <t>reference_type</t>
  </si>
  <si>
    <t>date_invoice</t>
  </si>
  <si>
    <t>payment_term_id</t>
  </si>
  <si>
    <t>residual_signed</t>
  </si>
  <si>
    <t>amount_untaxed_signed</t>
  </si>
  <si>
    <t>currency_id</t>
  </si>
  <si>
    <t>refund_invoice_id</t>
  </si>
  <si>
    <t>partner_shipping_id</t>
  </si>
  <si>
    <t>purchase_id</t>
  </si>
  <si>
    <t>incoterms_id</t>
  </si>
  <si>
    <t>discount_percent</t>
  </si>
  <si>
    <t>parent_invoice_id</t>
  </si>
  <si>
    <t>pos_id</t>
  </si>
  <si>
    <t>is_first_print</t>
  </si>
  <si>
    <t>print_time</t>
  </si>
  <si>
    <t>name_customer</t>
  </si>
  <si>
    <t>old_inv_id</t>
  </si>
  <si>
    <t>address_inv</t>
  </si>
  <si>
    <t>tax_id_customer</t>
  </si>
  <si>
    <t>tax_number</t>
  </si>
  <si>
    <t>is_defer_vat</t>
  </si>
  <si>
    <t>vat_date</t>
  </si>
  <si>
    <t>is_two_vat</t>
  </si>
  <si>
    <t>count_print</t>
  </si>
  <si>
    <t>type_purchase_ofm</t>
  </si>
  <si>
    <t>vendor_invoice_date</t>
  </si>
  <si>
    <t>cancel_from_state</t>
  </si>
  <si>
    <t>vendor_cn_reference</t>
  </si>
  <si>
    <t>vendor_cn_date</t>
  </si>
  <si>
    <t>is_delivery_print</t>
  </si>
  <si>
    <t>print_time_dpo</t>
  </si>
  <si>
    <t>so_id</t>
  </si>
  <si>
    <t>is_first_print_dpo</t>
  </si>
  <si>
    <t>type_sale_ofm</t>
  </si>
  <si>
    <t>amount_tax_deposit</t>
  </si>
  <si>
    <t>amount_deposit</t>
  </si>
  <si>
    <t>changed_date</t>
  </si>
  <si>
    <t>reconcile_date</t>
  </si>
  <si>
    <t>customer_payment_id</t>
  </si>
  <si>
    <t>deposit_return</t>
  </si>
  <si>
    <t>ofin_old_branch_id</t>
  </si>
  <si>
    <t>is_get_data_already</t>
  </si>
  <si>
    <t>is_ofm_vendor_type</t>
  </si>
  <si>
    <t>account_analytic_id</t>
  </si>
  <si>
    <t>price_subtotal_signed</t>
  </si>
  <si>
    <t>quantity</t>
  </si>
  <si>
    <t>layout_category_sequence</t>
  </si>
  <si>
    <t>layout_category_id</t>
  </si>
  <si>
    <t>purchase_line_id</t>
  </si>
  <si>
    <t>diff_end_bid</t>
  </si>
  <si>
    <t>diff_amount</t>
  </si>
  <si>
    <t>discount_percent_line</t>
  </si>
  <si>
    <t>price_subtotal_discount</t>
  </si>
  <si>
    <t>discount_end_bid</t>
  </si>
  <si>
    <t>discount_percent_end_bid</t>
  </si>
  <si>
    <t>discount_end_bid_no_vat</t>
  </si>
  <si>
    <t>amount_subtotal</t>
  </si>
  <si>
    <t>discount2</t>
  </si>
  <si>
    <t>asset_category_id</t>
  </si>
  <si>
    <t>asset_end_date</t>
  </si>
  <si>
    <t>asset_start_date</t>
  </si>
  <si>
    <t>asset_mrr</t>
  </si>
  <si>
    <t>origin_inv_line_id</t>
  </si>
  <si>
    <t>amount_subtotal_w_discount_incl</t>
  </si>
  <si>
    <t>amount_subtotal_w_discount</t>
  </si>
  <si>
    <t>is_type_delivery_special</t>
  </si>
  <si>
    <t>is_type_delivery_by_order</t>
  </si>
  <si>
    <t>daily_v_wexcel_storestatus_ds</t>
  </si>
  <si>
    <t>Need to fix special character</t>
  </si>
  <si>
    <t>MDSCOL</t>
  </si>
  <si>
    <t>MASTER</t>
  </si>
  <si>
    <t>COL_STORE_MASTER</t>
  </si>
  <si>
    <t>LastChgDateTime</t>
  </si>
  <si>
    <t>N</t>
  </si>
  <si>
    <t>COL_SUBDEPT_MASTER</t>
  </si>
  <si>
    <t>MER_PRODUCT_MVC</t>
  </si>
  <si>
    <t>Y</t>
  </si>
  <si>
    <t>OFM_CAMPAIGN</t>
  </si>
  <si>
    <t>V_AREA_CHARGING_MASTER</t>
  </si>
  <si>
    <t>V_PROD_CLUSTER_2</t>
  </si>
  <si>
    <t>TRANSACTION</t>
  </si>
  <si>
    <t>V_PROD_WEIGHT_TOP80</t>
  </si>
  <si>
    <t>V_PRODUCT_SPECIAL</t>
  </si>
  <si>
    <t>V_R_EST_CALL</t>
  </si>
  <si>
    <t>V_R_EST_STORE</t>
  </si>
  <si>
    <t>V_R_EST_STORE_OAS</t>
  </si>
  <si>
    <t>V_R_EST_STORE_POS</t>
  </si>
  <si>
    <t>V_W_EXCEL_INBG_DV_PORT_CALL_CENTE</t>
  </si>
  <si>
    <t>V_WEXCEL_AGING_DS</t>
  </si>
  <si>
    <t>V_WEXCEL_BG_BRAND_FS</t>
  </si>
  <si>
    <t>V_WEXCEL_BG_MER_STORE_FS</t>
  </si>
  <si>
    <t>V_WEXCEL_BG_MER_TOTAL_STORE_FS</t>
  </si>
  <si>
    <t>V_WEXCEL_BG_OWN_BRAND_FS</t>
  </si>
  <si>
    <t>V_WEXCEL_BG_PRODUCT_FS</t>
  </si>
  <si>
    <t>V_WEXCEL_BG_STORE_FS</t>
  </si>
  <si>
    <t>V_WEXCEL_BG_SUPPLIER_FS</t>
  </si>
  <si>
    <t>V_WEXCEL_CHANNEL</t>
  </si>
  <si>
    <t>V_WEXCEL_DVSR_TEAM</t>
  </si>
  <si>
    <t>V_WEXCEL_HAMPER_TARGET</t>
  </si>
  <si>
    <t>V_WEXCEL_INBG_CC_CHAN_DATE_FS</t>
  </si>
  <si>
    <t>V_WEXCEL_INBG_SALES_REP_DATE_FS</t>
  </si>
  <si>
    <t>V_WEXCEL_INBG_SR_DATE_FS</t>
  </si>
  <si>
    <t>V_WEXCEL_INBG_STORE_DATE_FS</t>
  </si>
  <si>
    <t>V_WEXCEL_INBG_TELE_AGENT_DATE_FS</t>
  </si>
  <si>
    <t>V_WEXCEL_INBG_TELE_DATE_FS</t>
  </si>
  <si>
    <t>V_WEXCEL_MARKDOWNRANGE_DS</t>
  </si>
  <si>
    <t>V_WEXCEL_NORMAL_EVENT_POS_ID</t>
  </si>
  <si>
    <t>V_WEXCEL_PRODUCT_STATUS_DS</t>
  </si>
  <si>
    <t>V_WEXCEL_PROMOTION_DS</t>
  </si>
  <si>
    <t>V_WEXCEL_PROMOTION_EXPENSE</t>
  </si>
  <si>
    <t>V_WEXCEL_PROMOTION_SKU</t>
  </si>
  <si>
    <t>V_WEXCEL_PROVISION_RATE</t>
  </si>
  <si>
    <t>V_WEXCEL_PROVISION_RATE_CAT</t>
  </si>
  <si>
    <t>V_WEXCEL_SALESREPT</t>
  </si>
  <si>
    <t>V_WEXCEL_SALESTYPE_DS</t>
  </si>
  <si>
    <t>V_WEXCEL_STORE_CUSTERING_DS</t>
  </si>
  <si>
    <t>V_WEXCEL_STORE_DISTRICT_DS</t>
  </si>
  <si>
    <t>V_WEXCEL_STORE_DS</t>
  </si>
  <si>
    <t>V_WEXCEL_STORESTATUS_DS</t>
  </si>
  <si>
    <t>V_WEXCEL_TELESALES</t>
  </si>
  <si>
    <t>V_WEXCEL_BG_TB_FS</t>
  </si>
  <si>
    <t>W_EXCEL_AGING_DS</t>
  </si>
  <si>
    <t>W_EXCEL_TG_STOCK_2</t>
  </si>
  <si>
    <t>OFM_FR_STORE_FEE</t>
  </si>
  <si>
    <t>W_EXCEL_COL_SKU</t>
  </si>
  <si>
    <t>W_EXCEL_CHANNEL_CONTROL</t>
  </si>
  <si>
    <t>W_EXCEL_PANOGRAM_DS</t>
  </si>
  <si>
    <t>W_EXCEL_TTA_CONDITION</t>
  </si>
  <si>
    <t>W_EXCEL_WH_MASTER_DS</t>
  </si>
  <si>
    <t>V_WEXCEL_DTYPE_DS</t>
  </si>
  <si>
    <t>V_WEXCEL_COMPANY_DS</t>
  </si>
  <si>
    <t>V_WEXCEL_DATASOURCE_DS</t>
  </si>
  <si>
    <t>V_WEXCEL_TIER_DS</t>
  </si>
  <si>
    <t>Field Name</t>
  </si>
  <si>
    <t>Field Type</t>
  </si>
  <si>
    <t>MUID</t>
  </si>
  <si>
    <t xml:space="preserve">uniqueidentifier </t>
  </si>
  <si>
    <t>VersionName</t>
  </si>
  <si>
    <t>VersionNumber</t>
  </si>
  <si>
    <t>Version_ID</t>
  </si>
  <si>
    <t>VersionFlag</t>
  </si>
  <si>
    <t>ChangeTrackingMask</t>
  </si>
  <si>
    <t>Store_Code</t>
  </si>
  <si>
    <t>Store_Name</t>
  </si>
  <si>
    <t>District_1</t>
  </si>
  <si>
    <t>District_Name_1</t>
  </si>
  <si>
    <t>ROM</t>
  </si>
  <si>
    <t>ROM_NAME</t>
  </si>
  <si>
    <t>Format</t>
  </si>
  <si>
    <t>Group_Status</t>
  </si>
  <si>
    <t>COL_Store_Code</t>
  </si>
  <si>
    <t>COL_Store_Name</t>
  </si>
  <si>
    <t>Area</t>
  </si>
  <si>
    <t>Area_Code</t>
  </si>
  <si>
    <t>COL_Store_Name2</t>
  </si>
  <si>
    <t>COL_Format</t>
  </si>
  <si>
    <t>OFM_B2S</t>
  </si>
  <si>
    <t>EnterDateTime</t>
  </si>
  <si>
    <t>EnterUserName</t>
  </si>
  <si>
    <t>EnterVersionNumber</t>
  </si>
  <si>
    <t>LastChgUserName</t>
  </si>
  <si>
    <t>LastChgVersionNumber</t>
  </si>
  <si>
    <t>ValidationStatus</t>
  </si>
  <si>
    <t>uniqueidentifier</t>
  </si>
  <si>
    <t>DeptCode</t>
  </si>
  <si>
    <t>SubDeptName</t>
  </si>
  <si>
    <t>COLDept</t>
  </si>
  <si>
    <t>COLDeptName</t>
  </si>
  <si>
    <t>COLSubDeptCode</t>
  </si>
  <si>
    <t>COLSubDeptName</t>
  </si>
  <si>
    <t>SubDeptCode</t>
  </si>
  <si>
    <t>Class</t>
  </si>
  <si>
    <t>ClassName</t>
  </si>
  <si>
    <t>SubClass</t>
  </si>
  <si>
    <t>SubClassName</t>
  </si>
  <si>
    <t>COLClassCode</t>
  </si>
  <si>
    <t>COLClassName</t>
  </si>
  <si>
    <t>COLSubClassCode</t>
  </si>
  <si>
    <t>COLSubClassName</t>
  </si>
  <si>
    <t>CusIDGroup</t>
  </si>
  <si>
    <t>CusID_Name</t>
  </si>
  <si>
    <t>Epro_ID</t>
  </si>
  <si>
    <t>SKU</t>
  </si>
  <si>
    <t>Product_Namae</t>
  </si>
  <si>
    <t>PL</t>
  </si>
  <si>
    <t>Part_No</t>
  </si>
  <si>
    <t>Product_Status</t>
  </si>
  <si>
    <t>MVC_Customer_Price_Exc_Vat</t>
  </si>
  <si>
    <t>MVC_Customer_Price_Inc_Vat</t>
  </si>
  <si>
    <t>New_OFM_GP_MVC</t>
  </si>
  <si>
    <t>GP_Before_MVC</t>
  </si>
  <si>
    <t>COG_Fix_Normal</t>
  </si>
  <si>
    <t>COG_MVC</t>
  </si>
  <si>
    <t>CN</t>
  </si>
  <si>
    <t>Campaign_Type_ID</t>
  </si>
  <si>
    <t>Campaign_Type</t>
  </si>
  <si>
    <t>Campaign_Name</t>
  </si>
  <si>
    <t>Mechanic</t>
  </si>
  <si>
    <t>Mechanic_Detail</t>
  </si>
  <si>
    <t>Start_Date</t>
  </si>
  <si>
    <t>End_Date</t>
  </si>
  <si>
    <t>Period</t>
  </si>
  <si>
    <t>Calculate_Type_Code</t>
  </si>
  <si>
    <t>Calculate_Type_Name</t>
  </si>
  <si>
    <t>Calculate_Type_ID</t>
  </si>
  <si>
    <t>Calculate_By_Code</t>
  </si>
  <si>
    <t>Calculate_By_Name</t>
  </si>
  <si>
    <t>Calculate_By_ID</t>
  </si>
  <si>
    <t>QTY</t>
  </si>
  <si>
    <t>Gross_Sales_incvat</t>
  </si>
  <si>
    <t>Product_Name</t>
  </si>
  <si>
    <t>E_Coupon</t>
  </si>
  <si>
    <t>Pid_Free</t>
  </si>
  <si>
    <t>Free_Name</t>
  </si>
  <si>
    <t>Store_POS</t>
  </si>
  <si>
    <t>Store_OASYS</t>
  </si>
  <si>
    <t>Offline</t>
  </si>
  <si>
    <t>B2B_3rd_Party</t>
  </si>
  <si>
    <t>B2C</t>
  </si>
  <si>
    <t>Chat_and_Shop</t>
  </si>
  <si>
    <t>B2S_Oasys</t>
  </si>
  <si>
    <t>BU_X_listing_Powerbuy</t>
  </si>
  <si>
    <t>BU_X_listing_Central</t>
  </si>
  <si>
    <t>BU_X_listing_Robinson</t>
  </si>
  <si>
    <t>BU_X_listing_Thaiwatsadu</t>
  </si>
  <si>
    <t>Other_Platform_Lazada</t>
  </si>
  <si>
    <t>Other_Platform_Shopee</t>
  </si>
  <si>
    <t>Franchise</t>
  </si>
  <si>
    <t>Dept</t>
  </si>
  <si>
    <t>SubDept</t>
  </si>
  <si>
    <t>Factor</t>
  </si>
  <si>
    <t>CityID</t>
  </si>
  <si>
    <t>SubDistrictTH</t>
  </si>
  <si>
    <t>SubDistrictEN</t>
  </si>
  <si>
    <t>DistrictTH</t>
  </si>
  <si>
    <t>ProvinceTH</t>
  </si>
  <si>
    <t>Franchise_Charging_Code</t>
  </si>
  <si>
    <t>Franchise_Charging_Name</t>
  </si>
  <si>
    <t>Franchise_Charging_Rate</t>
  </si>
  <si>
    <t>Franchise_Charging_StartDate</t>
  </si>
  <si>
    <t>Franchise_Charging_Enddate</t>
  </si>
  <si>
    <t>Remote_Area</t>
  </si>
  <si>
    <t>Remote_Area_Rate</t>
  </si>
  <si>
    <t>Remote_Area_StartDate</t>
  </si>
  <si>
    <t>Remote_Area_Enddate</t>
  </si>
  <si>
    <t>Real data is integer</t>
  </si>
  <si>
    <t>Real data is empty string</t>
  </si>
  <si>
    <t>Prodduct_Name</t>
  </si>
  <si>
    <t>Product_Cluster_Group</t>
  </si>
  <si>
    <t>Product_Cluster</t>
  </si>
  <si>
    <t>Product_Sub_Cluster</t>
  </si>
  <si>
    <t>Sub_Dept</t>
  </si>
  <si>
    <t>Amount</t>
  </si>
  <si>
    <t>GP</t>
  </si>
  <si>
    <t>EFFECTIVE_DATE</t>
  </si>
  <si>
    <t>PRODUCTNAMAE</t>
  </si>
  <si>
    <t>MechanicDetail</t>
  </si>
  <si>
    <t>Date</t>
  </si>
  <si>
    <t>B2B</t>
  </si>
  <si>
    <t>Web_B2C</t>
  </si>
  <si>
    <t>Andriod_Mobile</t>
  </si>
  <si>
    <t>IOS_Mobile</t>
  </si>
  <si>
    <t>Third_Party</t>
  </si>
  <si>
    <t>Chat_Shop</t>
  </si>
  <si>
    <t>Franchise_Oasys</t>
  </si>
  <si>
    <t>Wholesales_BU5</t>
  </si>
  <si>
    <t>EST_STORE_56002</t>
  </si>
  <si>
    <t>EST_STORE_56006</t>
  </si>
  <si>
    <t>EST_STORE_56007</t>
  </si>
  <si>
    <t>EST_STORE_56008</t>
  </si>
  <si>
    <t>EST_STORE_56011</t>
  </si>
  <si>
    <t>EST_STORE_56012</t>
  </si>
  <si>
    <t>EST_STORE_56014</t>
  </si>
  <si>
    <t>EST_STORE_56015</t>
  </si>
  <si>
    <t>EST_STORE_56016</t>
  </si>
  <si>
    <t>EST_STORE_56017</t>
  </si>
  <si>
    <t>EST_STORE_56018</t>
  </si>
  <si>
    <t>EST_STORE_56019</t>
  </si>
  <si>
    <t>EST_STORE_56022</t>
  </si>
  <si>
    <t>EST_STORE_56024</t>
  </si>
  <si>
    <t>EST_STORE_56025</t>
  </si>
  <si>
    <t>EST_STORE_56027</t>
  </si>
  <si>
    <t>EST_STORE_56028</t>
  </si>
  <si>
    <t>EST_STORE_56034</t>
  </si>
  <si>
    <t>EST_STORE_56037</t>
  </si>
  <si>
    <t>EST_STORE_56039</t>
  </si>
  <si>
    <t>EST_STORE_56040</t>
  </si>
  <si>
    <t>EST_STORE_56041</t>
  </si>
  <si>
    <t>EST_STORE_56043</t>
  </si>
  <si>
    <t>EST_STORE_56044</t>
  </si>
  <si>
    <t>EST_STORE_56045</t>
  </si>
  <si>
    <t>EST_STORE_56046</t>
  </si>
  <si>
    <t>EST_STORE_56047</t>
  </si>
  <si>
    <t>EST_STORE_56048</t>
  </si>
  <si>
    <t>EST_STORE_56049</t>
  </si>
  <si>
    <t>EST_STORE_56050</t>
  </si>
  <si>
    <t>EST_STORE_56051</t>
  </si>
  <si>
    <t>EST_STORE_56052</t>
  </si>
  <si>
    <t>EST_STORE_56053</t>
  </si>
  <si>
    <t>EST_STORE_56054</t>
  </si>
  <si>
    <t>EST_STORE_56055</t>
  </si>
  <si>
    <t>EST_STORE_56056</t>
  </si>
  <si>
    <t>EST_STORE_56058</t>
  </si>
  <si>
    <t>EST_STORE_56059</t>
  </si>
  <si>
    <t>EST_STORE_56060</t>
  </si>
  <si>
    <t>EST_STORE_56061</t>
  </si>
  <si>
    <t>EST_STORE_56062</t>
  </si>
  <si>
    <t>EST_STORE_56063</t>
  </si>
  <si>
    <t>EST_STORE_56064</t>
  </si>
  <si>
    <t>EST_STORE_56065</t>
  </si>
  <si>
    <t>EST_STORE_56066</t>
  </si>
  <si>
    <t>EST_STORE_56067</t>
  </si>
  <si>
    <t>EST_STORE_56068</t>
  </si>
  <si>
    <t>EST_STORE_56069</t>
  </si>
  <si>
    <t>EST_STORE_56070</t>
  </si>
  <si>
    <t>EST_STORE_56071</t>
  </si>
  <si>
    <t>EST_STORE_56072</t>
  </si>
  <si>
    <t>EST_STORE_56073</t>
  </si>
  <si>
    <t>EST_STORE_56074</t>
  </si>
  <si>
    <t>EST_STORE_56075</t>
  </si>
  <si>
    <t>EST_STORE_56076</t>
  </si>
  <si>
    <t>EST_STORE_56077</t>
  </si>
  <si>
    <t>EST_STORE_56078</t>
  </si>
  <si>
    <t>EST_STORE_56079</t>
  </si>
  <si>
    <t>EST_STORE_56080</t>
  </si>
  <si>
    <t>EST_STORE_56081</t>
  </si>
  <si>
    <t>EST_STORE_56082</t>
  </si>
  <si>
    <t>EST_STORE_56083</t>
  </si>
  <si>
    <t>EST_STORE_56084</t>
  </si>
  <si>
    <t>EST_STORE_56085</t>
  </si>
  <si>
    <t>EST_STORE_56086</t>
  </si>
  <si>
    <t>EST_STORE_56087</t>
  </si>
  <si>
    <t>EST_STORE_56088</t>
  </si>
  <si>
    <t>EST_STORE_56090</t>
  </si>
  <si>
    <t>EST_STORE_56091</t>
  </si>
  <si>
    <t>EST_STORE_56092</t>
  </si>
  <si>
    <t>EST_STORE_56093</t>
  </si>
  <si>
    <t>EST_STORE_56094</t>
  </si>
  <si>
    <t>EST_STORE_56095</t>
  </si>
  <si>
    <t>EST_STORE_56096</t>
  </si>
  <si>
    <t>EST_STORE_56097</t>
  </si>
  <si>
    <t>EST_STORE_56098</t>
  </si>
  <si>
    <t>EST_STORE_56099</t>
  </si>
  <si>
    <t>EST_STORE_56100</t>
  </si>
  <si>
    <t>EST_STORE_56101</t>
  </si>
  <si>
    <t>EST_STORE_56102</t>
  </si>
  <si>
    <t>EST_STORE_56103</t>
  </si>
  <si>
    <t>EST_STORE_560A1</t>
  </si>
  <si>
    <t>EST_STORE_560A2</t>
  </si>
  <si>
    <t>EST_STORE_560A3</t>
  </si>
  <si>
    <t>EST_STORE_560A4</t>
  </si>
  <si>
    <t>R_EST_STORE_OAS_56002</t>
  </si>
  <si>
    <t>R_EST_STORE_OAS_56006</t>
  </si>
  <si>
    <t>R_EST_STORE_OAS_56007</t>
  </si>
  <si>
    <t>R_EST_STORE_OAS_56008</t>
  </si>
  <si>
    <t>R_EST_STORE_OAS_56011</t>
  </si>
  <si>
    <t>R_EST_STORE_OAS_56012</t>
  </si>
  <si>
    <t>R_EST_STORE_OAS_56014</t>
  </si>
  <si>
    <t>R_EST_STORE_OAS_56015</t>
  </si>
  <si>
    <t>R_EST_STORE_OAS_56016</t>
  </si>
  <si>
    <t>R_EST_STORE_OAS_56017</t>
  </si>
  <si>
    <t>R_EST_STORE_OAS_56018</t>
  </si>
  <si>
    <t>R_EST_STORE_OAS_56019</t>
  </si>
  <si>
    <t>R_EST_STORE_OAS_56022</t>
  </si>
  <si>
    <t>R_EST_STORE_OAS_56024</t>
  </si>
  <si>
    <t>R_EST_STORE_OAS_56025</t>
  </si>
  <si>
    <t>R_EST_STORE_OAS_56027</t>
  </si>
  <si>
    <t>R_EST_STORE_OAS_56028</t>
  </si>
  <si>
    <t>R_EST_STORE_OAS_56034</t>
  </si>
  <si>
    <t>R_EST_STORE_OAS_56037</t>
  </si>
  <si>
    <t>R_EST_STORE_OAS_56039</t>
  </si>
  <si>
    <t>R_EST_STORE_OAS_56040</t>
  </si>
  <si>
    <t>R_EST_STORE_OAS_56041</t>
  </si>
  <si>
    <t>R_EST_STORE_OAS_56043</t>
  </si>
  <si>
    <t>R_EST_STORE_OAS_56044</t>
  </si>
  <si>
    <t>R_EST_STORE_OAS_56045</t>
  </si>
  <si>
    <t>R_EST_STORE_OAS_56046</t>
  </si>
  <si>
    <t>R_EST_STORE_OAS_56047</t>
  </si>
  <si>
    <t>R_EST_STORE_OAS_56048</t>
  </si>
  <si>
    <t>R_EST_STORE_OAS_56049</t>
  </si>
  <si>
    <t>R_EST_STORE_OAS_56050</t>
  </si>
  <si>
    <t>R_EST_STORE_OAS_56051</t>
  </si>
  <si>
    <t>R_EST_STORE_OAS_56052</t>
  </si>
  <si>
    <t>R_EST_STORE_OAS_56053</t>
  </si>
  <si>
    <t>R_EST_STORE_OAS_56054</t>
  </si>
  <si>
    <t>R_EST_STORE_OAS_56055</t>
  </si>
  <si>
    <t>R_EST_STORE_OAS_56056</t>
  </si>
  <si>
    <t>R_EST_STORE_OAS_56058</t>
  </si>
  <si>
    <t>R_EST_STORE_OAS_56059</t>
  </si>
  <si>
    <t>R_EST_STORE_OAS_56060</t>
  </si>
  <si>
    <t>R_EST_STORE_OAS_56061</t>
  </si>
  <si>
    <t>R_EST_STORE_OAS_56062</t>
  </si>
  <si>
    <t>R_EST_STORE_OAS_56063</t>
  </si>
  <si>
    <t>R_EST_STORE_OAS_56064</t>
  </si>
  <si>
    <t>R_EST_STORE_OAS_56065</t>
  </si>
  <si>
    <t>R_EST_STORE_OAS_56066</t>
  </si>
  <si>
    <t>R_EST_STORE_OAS_56067</t>
  </si>
  <si>
    <t>R_EST_STORE_OAS_56068</t>
  </si>
  <si>
    <t>R_EST_STORE_OAS_56069</t>
  </si>
  <si>
    <t>R_EST_STORE_OAS_56070</t>
  </si>
  <si>
    <t>R_EST_STORE_OAS_56071</t>
  </si>
  <si>
    <t>R_EST_STORE_OAS_56072</t>
  </si>
  <si>
    <t>R_EST_STORE_OAS_56073</t>
  </si>
  <si>
    <t>R_EST_STORE_OAS_56074</t>
  </si>
  <si>
    <t>R_EST_STORE_OAS_56075</t>
  </si>
  <si>
    <t>R_EST_STORE_OAS_56076</t>
  </si>
  <si>
    <t>R_EST_STORE_OAS_56077</t>
  </si>
  <si>
    <t>R_EST_STORE_OAS_56078</t>
  </si>
  <si>
    <t>R_EST_STORE_OAS_56079</t>
  </si>
  <si>
    <t>R_EST_STORE_OAS_56080</t>
  </si>
  <si>
    <t>R_EST_STORE_OAS_56081</t>
  </si>
  <si>
    <t>R_EST_STORE_OAS_56082</t>
  </si>
  <si>
    <t>R_EST_STORE_OAS_56083</t>
  </si>
  <si>
    <t>R_EST_STORE_OAS_56084</t>
  </si>
  <si>
    <t>R_EST_STORE_OAS_56085</t>
  </si>
  <si>
    <t>R_EST_STORE_OAS_56086</t>
  </si>
  <si>
    <t>R_EST_STORE_OAS_56087</t>
  </si>
  <si>
    <t>R_EST_STORE_OAS_56088</t>
  </si>
  <si>
    <t>R_EST_STORE_OAS_56090</t>
  </si>
  <si>
    <t>R_EST_STORE_OAS_56091</t>
  </si>
  <si>
    <t>R_EST_STORE_OAS_56092</t>
  </si>
  <si>
    <t>R_EST_STORE_OAS_56093</t>
  </si>
  <si>
    <t>R_EST_STORE_OAS_56094</t>
  </si>
  <si>
    <t>R_EST_STORE_OAS_56095</t>
  </si>
  <si>
    <t>R_EST_STORE_OAS_56096</t>
  </si>
  <si>
    <t>R_EST_STORE_OAS_56097</t>
  </si>
  <si>
    <t>R_EST_STORE_OAS_56098</t>
  </si>
  <si>
    <t>R_EST_STORE_OAS_56099</t>
  </si>
  <si>
    <t>R_EST_STORE_OAS_56100</t>
  </si>
  <si>
    <t>R_EST_STORE_OAS_56101</t>
  </si>
  <si>
    <t>R_EST_STORE_OAS_56102</t>
  </si>
  <si>
    <t>R_EST_STORE_OAS_56103</t>
  </si>
  <si>
    <t>R_EST_STORE_OAS_560A4</t>
  </si>
  <si>
    <t>R_EST_STORE_OAS_560A3</t>
  </si>
  <si>
    <t>R_EST_STORE_OAS_560A2</t>
  </si>
  <si>
    <t>R_EST_STORE_OAS_560A1</t>
  </si>
  <si>
    <t>V_R_EST_STORE_POS_56002</t>
  </si>
  <si>
    <t>V_R_EST_STORE_POS_56006</t>
  </si>
  <si>
    <t>V_R_EST_STORE_POS_56007</t>
  </si>
  <si>
    <t>V_R_EST_STORE_POS_56008</t>
  </si>
  <si>
    <t>V_R_EST_STORE_POS_56011</t>
  </si>
  <si>
    <t>V_R_EST_STORE_POS_56012</t>
  </si>
  <si>
    <t>V_R_EST_STORE_POS_56014</t>
  </si>
  <si>
    <t>V_R_EST_STORE_POS_56015</t>
  </si>
  <si>
    <t>V_R_EST_STORE_POS_56016</t>
  </si>
  <si>
    <t>V_R_EST_STORE_POS_56017</t>
  </si>
  <si>
    <t>V_R_EST_STORE_POS_56018</t>
  </si>
  <si>
    <t>V_R_EST_STORE_POS_56019</t>
  </si>
  <si>
    <t>V_R_EST_STORE_POS_56022</t>
  </si>
  <si>
    <t>V_R_EST_STORE_POS_56024</t>
  </si>
  <si>
    <t>V_R_EST_STORE_POS_56025</t>
  </si>
  <si>
    <t>V_R_EST_STORE_POS_56027</t>
  </si>
  <si>
    <t>V_R_EST_STORE_POS_56028</t>
  </si>
  <si>
    <t>V_R_EST_STORE_POS_56034</t>
  </si>
  <si>
    <t>V_R_EST_STORE_POS_56037</t>
  </si>
  <si>
    <t>V_R_EST_STORE_POS_56039</t>
  </si>
  <si>
    <t>V_R_EST_STORE_POS_56040</t>
  </si>
  <si>
    <t>V_R_EST_STORE_POS_56041</t>
  </si>
  <si>
    <t>V_R_EST_STORE_POS_56043</t>
  </si>
  <si>
    <t>V_R_EST_STORE_POS_56044</t>
  </si>
  <si>
    <t>V_R_EST_STORE_POS_56045</t>
  </si>
  <si>
    <t>V_R_EST_STORE_POS_56046</t>
  </si>
  <si>
    <t>V_R_EST_STORE_POS_56047</t>
  </si>
  <si>
    <t>V_R_EST_STORE_POS_56048</t>
  </si>
  <si>
    <t>V_R_EST_STORE_POS_56049</t>
  </si>
  <si>
    <t>V_R_EST_STORE_POS_56050</t>
  </si>
  <si>
    <t>V_R_EST_STORE_POS_56051</t>
  </si>
  <si>
    <t>V_R_EST_STORE_POS_56052</t>
  </si>
  <si>
    <t>V_R_EST_STORE_POS_56053</t>
  </si>
  <si>
    <t>V_R_EST_STORE_POS_56054</t>
  </si>
  <si>
    <t>V_R_EST_STORE_POS_56055</t>
  </si>
  <si>
    <t>V_R_EST_STORE_POS_56056</t>
  </si>
  <si>
    <t>V_R_EST_STORE_POS_56058</t>
  </si>
  <si>
    <t>V_R_EST_STORE_POS_56059</t>
  </si>
  <si>
    <t>V_R_EST_STORE_POS_56060</t>
  </si>
  <si>
    <t>V_R_EST_STORE_POS_56061</t>
  </si>
  <si>
    <t>V_R_EST_STORE_POS_56062</t>
  </si>
  <si>
    <t>V_R_EST_STORE_POS_56063</t>
  </si>
  <si>
    <t>V_R_EST_STORE_POS_56064</t>
  </si>
  <si>
    <t>V_R_EST_STORE_POS_56065</t>
  </si>
  <si>
    <t>V_R_EST_STORE_POS_56066</t>
  </si>
  <si>
    <t>V_R_EST_STORE_POS_56067</t>
  </si>
  <si>
    <t>V_R_EST_STORE_POS_56068</t>
  </si>
  <si>
    <t>V_R_EST_STORE_POS_56069</t>
  </si>
  <si>
    <t>V_R_EST_STORE_POS_56070</t>
  </si>
  <si>
    <t>V_R_EST_STORE_POS_56071</t>
  </si>
  <si>
    <t>V_R_EST_STORE_POS_56072</t>
  </si>
  <si>
    <t>V_R_EST_STORE_POS_56073</t>
  </si>
  <si>
    <t>V_R_EST_STORE_POS_56074</t>
  </si>
  <si>
    <t>V_R_EST_STORE_POS_56075</t>
  </si>
  <si>
    <t>V_R_EST_STORE_POS_56076</t>
  </si>
  <si>
    <t>V_R_EST_STORE_POS_56077</t>
  </si>
  <si>
    <t>V_R_EST_STORE_POS_56078</t>
  </si>
  <si>
    <t>V_R_EST_STORE_POS_56079</t>
  </si>
  <si>
    <t>V_R_EST_STORE_POS_56080</t>
  </si>
  <si>
    <t>V_R_EST_STORE_POS_56081</t>
  </si>
  <si>
    <t>V_R_EST_STORE_POS_56082</t>
  </si>
  <si>
    <t>V_R_EST_STORE_POS_56083</t>
  </si>
  <si>
    <t>V_R_EST_STORE_POS_56084</t>
  </si>
  <si>
    <t>V_R_EST_STORE_POS_56085</t>
  </si>
  <si>
    <t>V_R_EST_STORE_POS_56086</t>
  </si>
  <si>
    <t>V_R_EST_STORE_POS_56087</t>
  </si>
  <si>
    <t>V_R_EST_STORE_POS_56088</t>
  </si>
  <si>
    <t>V_R_EST_STORE_POS_56090</t>
  </si>
  <si>
    <t>V_R_EST_STORE_POS_56091</t>
  </si>
  <si>
    <t>V_R_EST_STORE_POS_56092</t>
  </si>
  <si>
    <t>V_R_EST_STORE_POS_56093</t>
  </si>
  <si>
    <t>V_R_EST_STORE_POS_56094</t>
  </si>
  <si>
    <t>V_R_EST_STORE_POS_56095</t>
  </si>
  <si>
    <t>V_R_EST_STORE_POS_56096</t>
  </si>
  <si>
    <t>V_R_EST_STORE_POS_56097</t>
  </si>
  <si>
    <t>V_R_EST_STORE_POS_56098</t>
  </si>
  <si>
    <t>V_R_EST_STORE_POS_56099</t>
  </si>
  <si>
    <t>V_R_EST_STORE_POS_56100</t>
  </si>
  <si>
    <t>V_R_EST_STORE_POS_56101</t>
  </si>
  <si>
    <t>V_R_EST_STORE_POS_56102</t>
  </si>
  <si>
    <t>V_R_EST_STORE_POS_56103</t>
  </si>
  <si>
    <t>V_R_EST_STORE_POS_560A1</t>
  </si>
  <si>
    <t>V_R_EST_STORE_POS_560A2</t>
  </si>
  <si>
    <t>V_R_EST_STORE_POS_560A3</t>
  </si>
  <si>
    <t>V_R_EST_STORE_POS_560A4</t>
  </si>
  <si>
    <t>DV_ID</t>
  </si>
  <si>
    <t>DV_Name</t>
  </si>
  <si>
    <t>DM_ID</t>
  </si>
  <si>
    <t>DM_Name</t>
  </si>
  <si>
    <t>Budget_TEAM</t>
  </si>
  <si>
    <t>Effective_date</t>
  </si>
  <si>
    <t>TotalBudget</t>
  </si>
  <si>
    <t>AGING_NAME</t>
  </si>
  <si>
    <t>START_RANGE</t>
  </si>
  <si>
    <t>END_RANGE</t>
  </si>
  <si>
    <t>Month</t>
  </si>
  <si>
    <t>Year</t>
  </si>
  <si>
    <t>BRAND_ID</t>
  </si>
  <si>
    <t>BRAND_ID_OAS</t>
  </si>
  <si>
    <t>CREDITCONSIGN</t>
  </si>
  <si>
    <t>STORE_NUMBER</t>
  </si>
  <si>
    <t>STORE_NAME</t>
  </si>
  <si>
    <t>DEPT_ID</t>
  </si>
  <si>
    <t>SUBDEPT_ID</t>
  </si>
  <si>
    <t>BG_NET_SALES</t>
  </si>
  <si>
    <t>BG_NET_GP</t>
  </si>
  <si>
    <t>SOURCE</t>
  </si>
  <si>
    <t>case 5</t>
  </si>
  <si>
    <t>TARGET</t>
  </si>
  <si>
    <t>TARGET_GP</t>
  </si>
  <si>
    <t>YEAR</t>
  </si>
  <si>
    <t>MONTH</t>
  </si>
  <si>
    <t>SUB_DEPT_ID</t>
  </si>
  <si>
    <t>BUDGET</t>
  </si>
  <si>
    <t>BUDGET_GP</t>
  </si>
  <si>
    <t>FORECAST</t>
  </si>
  <si>
    <t>FORECAST_GP</t>
  </si>
  <si>
    <t>START_DATE</t>
  </si>
  <si>
    <t>END_DATE</t>
  </si>
  <si>
    <t>SALES_CHANNAL</t>
  </si>
  <si>
    <t>case 2</t>
  </si>
  <si>
    <t>DATE</t>
  </si>
  <si>
    <t>CHANNEL</t>
  </si>
  <si>
    <t>OB_TYPE</t>
  </si>
  <si>
    <t>SUBDEPT</t>
  </si>
  <si>
    <t>BRAND_NUMBER</t>
  </si>
  <si>
    <t>BRAND_NAME</t>
  </si>
  <si>
    <t>SKU_NUMBER</t>
  </si>
  <si>
    <t>SKU_NAME</t>
  </si>
  <si>
    <t>BG_PROFIT</t>
  </si>
  <si>
    <t>BG_GP</t>
  </si>
  <si>
    <t>BUDGET_POS</t>
  </si>
  <si>
    <t>BUDGET_OAS</t>
  </si>
  <si>
    <t>SUPPLIER_ID</t>
  </si>
  <si>
    <t>SUPPLIER_IDOD</t>
  </si>
  <si>
    <t>CHANNEL_GRP</t>
  </si>
  <si>
    <t>CHANNEL_SUB_GRP1</t>
  </si>
  <si>
    <t>CHANNEL_SUB_GRP2</t>
  </si>
  <si>
    <t>CHANNEL_SUB_GRP3</t>
  </si>
  <si>
    <t>CHANNEL_NAM</t>
  </si>
  <si>
    <t>CHANNEL_ID</t>
  </si>
  <si>
    <t>CG_Channel_Group</t>
  </si>
  <si>
    <t>CG_Channel_Sub_1</t>
  </si>
  <si>
    <t>CG_Channel_Sub_2</t>
  </si>
  <si>
    <t>Mer_Channel_Grp</t>
  </si>
  <si>
    <t>Mer_Channel_Sub1</t>
  </si>
  <si>
    <t>Mer_Channel_Sub2</t>
  </si>
  <si>
    <t>Mer_Channel_Sub3</t>
  </si>
  <si>
    <t>WH_Group</t>
  </si>
  <si>
    <t>EfffectiveDate</t>
  </si>
  <si>
    <t>EndeffectDate</t>
  </si>
  <si>
    <t>DVSR</t>
  </si>
  <si>
    <t>SaleRept_ID</t>
  </si>
  <si>
    <t>Teamcode</t>
  </si>
  <si>
    <t>Teamtype</t>
  </si>
  <si>
    <t>Target_Daily</t>
  </si>
  <si>
    <t>INTERNAL_BUDGET</t>
  </si>
  <si>
    <t>DAY</t>
  </si>
  <si>
    <t>SALES_REP_TEAM</t>
  </si>
  <si>
    <t>SALES_REP_SUB_TEAM</t>
  </si>
  <si>
    <t>SALES_REP_ID</t>
  </si>
  <si>
    <t>SALES_REP_NAME</t>
  </si>
  <si>
    <t>SALES_REP_INTERNAL_BUDGET</t>
  </si>
  <si>
    <t>SALES_REP_INTERNAL_TARGET</t>
  </si>
  <si>
    <t>SALES_REP_INTERNAL_FORECAST</t>
  </si>
  <si>
    <t>STORE_CODE</t>
  </si>
  <si>
    <t>POS_INTERNAL_BUDGET</t>
  </si>
  <si>
    <t>OAS_INTERNAL_BUDGET</t>
  </si>
  <si>
    <t>TELE_AGENT_TEAM</t>
  </si>
  <si>
    <t>TELE_AGENT_SUB_TEAM</t>
  </si>
  <si>
    <t>TELE_AGENT_ID</t>
  </si>
  <si>
    <t>TELE_AGENT_NAME</t>
  </si>
  <si>
    <t>TELE_AGENT_INTERNAL_BUDGET</t>
  </si>
  <si>
    <t>TELE_AGENT_INTERNAL_TARGET</t>
  </si>
  <si>
    <t>TELE_AGENT_INTERNAL_FORECAST</t>
  </si>
  <si>
    <t>MARKDOWN_ID</t>
  </si>
  <si>
    <t>MARKDOWN_RANGE_NAME</t>
  </si>
  <si>
    <t>MARKDOWN_START</t>
  </si>
  <si>
    <t>MARKDOWN_END</t>
  </si>
  <si>
    <t>POS_ID</t>
  </si>
  <si>
    <t>CAMPAIGN_ID</t>
  </si>
  <si>
    <t>CAMPAIGN_NAME</t>
  </si>
  <si>
    <t>EVENT_DUR</t>
  </si>
  <si>
    <t>EVENT_DAY</t>
  </si>
  <si>
    <t>START_TIME</t>
  </si>
  <si>
    <t>END_TIME</t>
  </si>
  <si>
    <t>TARGET_POS</t>
  </si>
  <si>
    <t>TARGET_OAS</t>
  </si>
  <si>
    <t>IS_EVEN_LOCATION</t>
  </si>
  <si>
    <t>CAMPAIGN_NAME_GROUP</t>
  </si>
  <si>
    <t>EVEN_LOCATION</t>
  </si>
  <si>
    <t>GROSS_AREA</t>
  </si>
  <si>
    <t>RENTAL_TYPE</t>
  </si>
  <si>
    <t>RENTAL_DETAIL</t>
  </si>
  <si>
    <t>OASYS_SKU_STATUS</t>
  </si>
  <si>
    <t>JDA_SKU_STATUS</t>
  </si>
  <si>
    <t>OD_SKU_STATUS</t>
  </si>
  <si>
    <t>DESCRIPTION</t>
  </si>
  <si>
    <t>PROMOTION_TYPE</t>
  </si>
  <si>
    <t>PROMOTION_CHANNEL</t>
  </si>
  <si>
    <t>CAMPAIGN_ID_OLD</t>
  </si>
  <si>
    <t>CAMPAIGN_PROMO_NO</t>
  </si>
  <si>
    <t>PROMOTION_NAME</t>
  </si>
  <si>
    <t>PROMOTION_YEAR</t>
  </si>
  <si>
    <t>PRO_START</t>
  </si>
  <si>
    <t>PRO_END</t>
  </si>
  <si>
    <t>PRO_DUR</t>
  </si>
  <si>
    <t>PRO_EXPENSE</t>
  </si>
  <si>
    <t>MER_MKT</t>
  </si>
  <si>
    <t>HOST_CODE</t>
  </si>
  <si>
    <t>PRICE_SALE</t>
  </si>
  <si>
    <t>DISCOUNT_AMOUNT</t>
  </si>
  <si>
    <t>DISCOUNT_PERCENT</t>
  </si>
  <si>
    <t>AGING_DESC</t>
  </si>
  <si>
    <t>SALES_REP_TEAM_GROUP</t>
  </si>
  <si>
    <t>SALES_REPT_ID</t>
  </si>
  <si>
    <t>SALES_REP_FIRST_NAME</t>
  </si>
  <si>
    <t>DIVISION_TEAM</t>
  </si>
  <si>
    <t>SALES_REP_LAST_NAME</t>
  </si>
  <si>
    <t>TELNO</t>
  </si>
  <si>
    <t>SALES_TYPE_ID</t>
  </si>
  <si>
    <t>SALES_TYPE</t>
  </si>
  <si>
    <t>CUSTERING</t>
  </si>
  <si>
    <t>DM_NUMBER</t>
  </si>
  <si>
    <t>DM_NAME</t>
  </si>
  <si>
    <t>DM_PHONENO</t>
  </si>
  <si>
    <t>ZONE</t>
  </si>
  <si>
    <t>STORE_ID</t>
  </si>
  <si>
    <t>STORE_TYPE</t>
  </si>
  <si>
    <t>STORE_GROUP</t>
  </si>
  <si>
    <t>STORE_BU</t>
  </si>
  <si>
    <t>STORE_LOCATION_SORT</t>
  </si>
  <si>
    <t>STORE_LOCATION_CRC</t>
  </si>
  <si>
    <t>STORE_LOCATION_NAME</t>
  </si>
  <si>
    <t>STAND_ALONE_FLAG</t>
  </si>
  <si>
    <t>STORE_FORMAT</t>
  </si>
  <si>
    <t>STORE_CONCEPT</t>
  </si>
  <si>
    <t>STORE_GRADE</t>
  </si>
  <si>
    <t>STORE_SIZE_SQM</t>
  </si>
  <si>
    <t>STORE_FURNITURE_SIZE</t>
  </si>
  <si>
    <t>OPENING_DATE</t>
  </si>
  <si>
    <t>CLOSING_DATE</t>
  </si>
  <si>
    <t>STORE_STATUS</t>
  </si>
  <si>
    <t>COUNTRY_CODE</t>
  </si>
  <si>
    <t>REGION_NAME</t>
  </si>
  <si>
    <t>BANGKOK_UPCOUNTRY</t>
  </si>
  <si>
    <t>Gross_Area</t>
  </si>
  <si>
    <t>Net_Sales_Area</t>
  </si>
  <si>
    <t>Store_Focus</t>
  </si>
  <si>
    <t>Store_Focus_Status</t>
  </si>
  <si>
    <t>No_of_Emp</t>
  </si>
  <si>
    <t>REGION_NAME2</t>
  </si>
  <si>
    <t>FRANCHISE_OWNER</t>
  </si>
  <si>
    <t>PROVINCE</t>
  </si>
  <si>
    <t>ZIPCODE</t>
  </si>
  <si>
    <t>GRAB_FLAG</t>
  </si>
  <si>
    <t>FOODPANDA_FLAG</t>
  </si>
  <si>
    <t>IS_SALEREPT</t>
  </si>
  <si>
    <t>FC_STORE_CODE</t>
  </si>
  <si>
    <t>FC_STORE_NAME</t>
  </si>
  <si>
    <t>STORE_STATUS_CODE</t>
  </si>
  <si>
    <t>TELE_AGENT_TEAM_GROUP</t>
  </si>
  <si>
    <t>TELE_AGENT_OFM_ID</t>
  </si>
  <si>
    <t>TELE_AGENT_CRC_ID</t>
  </si>
  <si>
    <t>TELE_AGENT_FIRST_NAME</t>
  </si>
  <si>
    <t>TELE_AGENT_LAST_NAME</t>
  </si>
  <si>
    <t>DM_FLAG</t>
  </si>
  <si>
    <t>TEL_NUMBER</t>
  </si>
  <si>
    <t>EXT_NUMBER</t>
  </si>
  <si>
    <t>End_date</t>
  </si>
  <si>
    <t>WORKING_START_DATE</t>
  </si>
  <si>
    <t>FLAG_NEW_TEAM</t>
  </si>
  <si>
    <t>EXP_MONTH</t>
  </si>
  <si>
    <t>ADJ_TARGET</t>
  </si>
  <si>
    <t>Salesforce_ID</t>
  </si>
  <si>
    <t>BUDGET_TO_BUY</t>
  </si>
  <si>
    <t>TARGET_TO_BUY</t>
  </si>
  <si>
    <t>no</t>
  </si>
  <si>
    <t>COL_DEPT</t>
  </si>
  <si>
    <t>JDA_DEPT</t>
  </si>
  <si>
    <t>WH_GROUP</t>
  </si>
  <si>
    <t>JDA_SUBDEPT</t>
  </si>
  <si>
    <t>Producttype</t>
  </si>
  <si>
    <t>IMPORT_FLAG</t>
  </si>
  <si>
    <t>OWNBRAND_FLAG</t>
  </si>
  <si>
    <t>STORE_WH_ID</t>
  </si>
  <si>
    <t>STORE_WH_NAME</t>
  </si>
  <si>
    <t>COVERDAY</t>
  </si>
  <si>
    <t>COVERDAY_TOP_80</t>
  </si>
  <si>
    <t>STOCK_AVA</t>
  </si>
  <si>
    <t>STOCK_AVA_TOP80</t>
  </si>
  <si>
    <t>FORCAST_COGS</t>
  </si>
  <si>
    <t>SUB_DEPT</t>
  </si>
  <si>
    <t>Marketing_Fee</t>
  </si>
  <si>
    <t>Royalty_Fee</t>
  </si>
  <si>
    <t>GP_GUARANTEE</t>
  </si>
  <si>
    <t>OFM_SKU_NO</t>
  </si>
  <si>
    <t>OFM_SKU_DESCR</t>
  </si>
  <si>
    <t>B2S_SKU_NO</t>
  </si>
  <si>
    <t>B2S_SKU_DESCR</t>
  </si>
  <si>
    <t>COL_DEPT_NAME</t>
  </si>
  <si>
    <t>COL_S_DEPT</t>
  </si>
  <si>
    <t>COL_S_DEPT_NAME</t>
  </si>
  <si>
    <t>COL_CLASS</t>
  </si>
  <si>
    <t>COL_CLASS_NAME</t>
  </si>
  <si>
    <t>COL_S_CLASS</t>
  </si>
  <si>
    <t>COL_S_CLASS_NAME</t>
  </si>
  <si>
    <t>STOSKU</t>
  </si>
  <si>
    <t>Store</t>
  </si>
  <si>
    <t>Dept_Name</t>
  </si>
  <si>
    <t>Sub_Dept_Name</t>
  </si>
  <si>
    <t>Display_Group</t>
  </si>
  <si>
    <t>POG</t>
  </si>
  <si>
    <t>SKU_Description</t>
  </si>
  <si>
    <t>Vendor_Code</t>
  </si>
  <si>
    <t>Vendor_Name</t>
  </si>
  <si>
    <t>Barcode</t>
  </si>
  <si>
    <t>Retail_Price</t>
  </si>
  <si>
    <t>Height_cm</t>
  </si>
  <si>
    <t>Width_cm</t>
  </si>
  <si>
    <t>Depth_cm</t>
  </si>
  <si>
    <t>Item_Status</t>
  </si>
  <si>
    <t>Pack_Size</t>
  </si>
  <si>
    <t>ToBe_Shelf_Stock</t>
  </si>
  <si>
    <t>Shelf_Stock</t>
  </si>
  <si>
    <t>VENDER_CODE_JDA</t>
  </si>
  <si>
    <t>VENDER_CODE_OAS</t>
  </si>
  <si>
    <t>VENDER_NAME</t>
  </si>
  <si>
    <t>CONDITION_BY_DEPT</t>
  </si>
  <si>
    <t>CONDITION_BY_S_DEPT</t>
  </si>
  <si>
    <t>CONDITION_BY_BRAND</t>
  </si>
  <si>
    <t>CONDITION_BY_SKU</t>
  </si>
  <si>
    <t>TTA_Type</t>
  </si>
  <si>
    <t>Rate_by_Type_amount</t>
  </si>
  <si>
    <t>Rate_by_Type</t>
  </si>
  <si>
    <t>Rang_amount_conditions</t>
  </si>
  <si>
    <t>Rang_amount_START</t>
  </si>
  <si>
    <t>Rang_amount_END</t>
  </si>
  <si>
    <t>Condition_by_Rate</t>
  </si>
  <si>
    <t>Net_Sales</t>
  </si>
  <si>
    <t>Net_Receive</t>
  </si>
  <si>
    <t>Gross_Receive</t>
  </si>
  <si>
    <t>Net_Payment</t>
  </si>
  <si>
    <t>Base_Qty</t>
  </si>
  <si>
    <t>CONDITION_BY_TTA</t>
  </si>
  <si>
    <t>Warehose_Group</t>
  </si>
  <si>
    <t>Warehose_Type</t>
  </si>
  <si>
    <t>Warehouse_ID</t>
  </si>
  <si>
    <t>Warehouse_Name</t>
  </si>
  <si>
    <t>Store_Warehouse_ID</t>
  </si>
  <si>
    <t>Store_Warehouse_Name</t>
  </si>
  <si>
    <t>Not exist in real data</t>
  </si>
  <si>
    <t>Tier_ID</t>
  </si>
  <si>
    <t>Tier_Desc</t>
  </si>
  <si>
    <t>Tier_Range_Start</t>
  </si>
  <si>
    <t>Tier_Range_End</t>
  </si>
  <si>
    <t>yes</t>
  </si>
  <si>
    <t>CH_KEY</t>
  </si>
  <si>
    <t>SYSTEM</t>
  </si>
  <si>
    <t>METHOD_ID</t>
  </si>
  <si>
    <t>TELESALE_ID</t>
  </si>
  <si>
    <t>TENDER_CODE</t>
  </si>
  <si>
    <t>Rept_ID</t>
  </si>
  <si>
    <t>DTYPE_VAL</t>
  </si>
  <si>
    <t>DTYPE_DESC</t>
  </si>
  <si>
    <t>COMP_NAME_ABBR</t>
  </si>
  <si>
    <t>COMP_NAME_THAI</t>
  </si>
  <si>
    <t>COMP_NAME_ENG</t>
  </si>
  <si>
    <t>DS_ID</t>
  </si>
  <si>
    <t>DS_NAME</t>
  </si>
  <si>
    <t>order</t>
  </si>
  <si>
    <t>tborderdetail</t>
  </si>
  <si>
    <t>1121552 KB</t>
  </si>
  <si>
    <t>1006200 KB</t>
  </si>
  <si>
    <t>115328 KB</t>
  </si>
  <si>
    <t>24 KB</t>
  </si>
  <si>
    <t>OrderID, pID</t>
  </si>
  <si>
    <t>tborder</t>
  </si>
  <si>
    <t>645664 KB</t>
  </si>
  <si>
    <t>516152 KB</t>
  </si>
  <si>
    <t>129296 KB</t>
  </si>
  <si>
    <t>216 KB</t>
  </si>
  <si>
    <t>OrderGUID, OrderID</t>
  </si>
  <si>
    <t>Customer</t>
  </si>
  <si>
    <t>TBBudget</t>
  </si>
  <si>
    <t>21048 KB</t>
  </si>
  <si>
    <t>20216 KB</t>
  </si>
  <si>
    <t>344 KB</t>
  </si>
  <si>
    <t>488 KB</t>
  </si>
  <si>
    <t>CompanyID, GroupID, PeriodNo, Year</t>
  </si>
  <si>
    <t>TBCostcenter</t>
  </si>
  <si>
    <t>7048 KB</t>
  </si>
  <si>
    <t>6832 KB</t>
  </si>
  <si>
    <t>120 KB</t>
  </si>
  <si>
    <t>CompanyID, CostcenterID</t>
  </si>
  <si>
    <t>cart</t>
  </si>
  <si>
    <t>tbcart</t>
  </si>
  <si>
    <t>3008 KB</t>
  </si>
  <si>
    <t>2856 KB</t>
  </si>
  <si>
    <t>64 KB</t>
  </si>
  <si>
    <t>SCID</t>
  </si>
  <si>
    <t>tbcartdetail</t>
  </si>
  <si>
    <t>5632 KB</t>
  </si>
  <si>
    <t>4960 KB</t>
  </si>
  <si>
    <t>104 KB</t>
  </si>
  <si>
    <t>568 KB</t>
  </si>
  <si>
    <t>SCID, pID,ScType</t>
  </si>
  <si>
    <t>TBCompanyInfo</t>
  </si>
  <si>
    <t>16080 KB</t>
  </si>
  <si>
    <t>15696 KB</t>
  </si>
  <si>
    <t>80 KB</t>
  </si>
  <si>
    <t>304 KB</t>
  </si>
  <si>
    <t>CompanyID</t>
  </si>
  <si>
    <t>TBDepartment</t>
  </si>
  <si>
    <t>816 KB</t>
  </si>
  <si>
    <t>752 KB</t>
  </si>
  <si>
    <t>CompanyID,DepartmentID</t>
  </si>
  <si>
    <t>รหัสองค์กร</t>
  </si>
  <si>
    <t>กลุ่มในการควบคุม เป็น ID ของ Company,Department,Costcenter)</t>
  </si>
  <si>
    <t>ปีที่ควบคุม (2012, 1213, … )</t>
  </si>
  <si>
    <t>PeriodNo</t>
  </si>
  <si>
    <t>ช่วงการควบคุม (Y = คุมแบบปี, H1 = คุมแบบครึ่งปีแรก, H2 = คุมแบบครึ่งปีที่สอง, Q1 = คุมไตรมาศที่ 1, Q2 = คุมไตรมาศที่ 2, Q3 = คุมไตรมาศที่ 3, Q4 = คุมไตรมาศที่ 4, M1 = คุมเดือนมกราคม, M2 = คุมเดือนกุมภาพันธ์, M3 = คุมเดือนมีนาคม, M4 = คุมเดือนเมษายน, M5 = คุมเดือนพฤษภาคม, M6 = คุมเดือนมิถุนายน, M7 = คุมเดือนกรกฎาคม, M8 = คุมเดือนสิงหาคม, M9 = คุมเดือนกันยายน, M10 = คุมเดือนตุลาคม, M11 = คุมเดือนพฤศจิกายน, M12 = คุมเดือนธันวาคม)</t>
  </si>
  <si>
    <t>OriginalAmt</t>
  </si>
  <si>
    <t>งบประมาณตั้งต้น (รวม vat)</t>
  </si>
  <si>
    <t>BudgetAmt</t>
  </si>
  <si>
    <t>งบประมาณปัจจุบัน (รวม vat)</t>
  </si>
  <si>
    <t>UsedAmt</t>
  </si>
  <si>
    <t>งบประมาณที่ใช้ไป (รวม vat)</t>
  </si>
  <si>
    <t>RemainBudgetAmt</t>
  </si>
  <si>
    <t>งบประมาณคงแหลือ (รวม vat)</t>
  </si>
  <si>
    <t>วันที่ดำเนินการ</t>
  </si>
  <si>
    <t>ผู้ดำเนินการ</t>
  </si>
  <si>
    <t>เลขที่ Shopping Cart (auto number)</t>
  </si>
  <si>
    <t>ScType</t>
  </si>
  <si>
    <t>เก็บ Flag การรูปแบบการสร้าง Order (Normal = สร้างใบสั่งซื้อใหม่, Revise = Revise ใบสั่งซื้อ,RePurchase = นำรายการสินค้าที่เคยสั่งมาสั่งซื้อใหม่)</t>
  </si>
  <si>
    <t>RefOrderID</t>
  </si>
  <si>
    <t>เลขที่ Order ที่นำมา Revise</t>
  </si>
  <si>
    <t>รหัสผู้ใช้งาน</t>
  </si>
  <si>
    <t>CountProduct</t>
  </si>
  <si>
    <t>จำนวนบรรทัดของสินค้าใน Cart</t>
  </si>
  <si>
    <t>IPAddress</t>
  </si>
  <si>
    <t>SystemFileName</t>
  </si>
  <si>
    <t>CustFileName</t>
  </si>
  <si>
    <t>TBCartDetail</t>
  </si>
  <si>
    <t>RefOrderID_Drop</t>
  </si>
  <si>
    <t>pQty</t>
  </si>
  <si>
    <t>ReferenceCode</t>
  </si>
  <si>
    <t>หมายเลขอ้างอิงสินค้า (ใช้สำหรับลูกค้าของแต่ละ CompanyID)</t>
  </si>
  <si>
    <t>AutoNumber_Drop</t>
  </si>
  <si>
    <t>Auto Number</t>
  </si>
  <si>
    <t>ประเภท cart (New = สร้างใหม่, Revise = แก้ไขจากใบสั่งซื้อ)</t>
  </si>
  <si>
    <t>ลำดับรายการสินค้า</t>
  </si>
  <si>
    <t>GoodReceivePeriod</t>
  </si>
  <si>
    <t>UseCompanyNews</t>
  </si>
  <si>
    <t>UseGoodReceive</t>
  </si>
  <si>
    <t>IsAutoApprove</t>
  </si>
  <si>
    <t>UseSMSFeature</t>
  </si>
  <si>
    <t>ShowMultiApprove</t>
  </si>
  <si>
    <t>UseOfmNews</t>
  </si>
  <si>
    <t>CompTName</t>
  </si>
  <si>
    <t>ชื่อองค์กรภาษาไทย</t>
  </si>
  <si>
    <t>CompEName</t>
  </si>
  <si>
    <t>ชื่อองค์กรภาษาอังกฤษ</t>
  </si>
  <si>
    <t>CompStatus</t>
  </si>
  <si>
    <t>สถานะการใช้งาน (Active=ใช้งาน,Cancel=ยกเลิกการใช้งาน)</t>
  </si>
  <si>
    <t>CompModel</t>
  </si>
  <si>
    <t>โครงสร้างองค์กร (2Level=2 ลำดับชั้น,Company, Costcenter 3Level=3 ลำดับชั้น,Company, Department, Costcenter)</t>
  </si>
  <si>
    <t>LogoImage</t>
  </si>
  <si>
    <t>varbinary</t>
  </si>
  <si>
    <t>เก็บภาพ Logo</t>
  </si>
  <si>
    <t>OrderControlType</t>
  </si>
  <si>
    <t>โครงสร้างการควบคุม (ByOrder=ใบสั่งซื้อต้องการผ่านการอนุมัติ,ByBudgetAndOrder=ใบสั่งซื้อต้องผ่านงบประมาณและผ่านการอนุมัติ)</t>
  </si>
  <si>
    <t>BudgetLevelType</t>
  </si>
  <si>
    <t>ประเภทระดับการควบคุม (Company, Department, Costcenter)</t>
  </si>
  <si>
    <t>BudgetPeriodType</t>
  </si>
  <si>
    <t>ช่วงการควบคุม (Year=ควบคุมตามปี, Haft=ควบคุมครึ่งปี, Quarter=ควบคุมตามไตรมาศ, Month=ควบคุมตามเดือน)</t>
  </si>
  <si>
    <t>ประเภทรูปแบบราคา (Fix=ยืนราคา, Float=ราคาปกติ)</t>
  </si>
  <si>
    <t>UseOfmCatalog</t>
  </si>
  <si>
    <t>ใช้ Catalog ควบคุมรายการสินค้า (Yes=ใช้งาน, No=ไม่ใช้งาน)</t>
  </si>
  <si>
    <t>RePasswordPeriod</t>
  </si>
  <si>
    <t>ช่วงเวลากำหนดการเปลี่ยน Password</t>
  </si>
  <si>
    <t>AllowAddProduct</t>
  </si>
  <si>
    <t>เปิดการเพิ่มรายการสินค้าจาก Officemate Catalog เข้า Catalog Control (admin) (Yes=ใช้งาน, No=ไม่ใช้งาน)</t>
  </si>
  <si>
    <t>OrderIDFormat</t>
  </si>
  <si>
    <t>รูปแบบเลขที่ใบสั่งซื้อ (Standard=แบบมาตราฐาน, Company=รูปแบบตามองค์กร)</t>
  </si>
  <si>
    <t>('Standard')</t>
  </si>
  <si>
    <t>DefaultLang</t>
  </si>
  <si>
    <t>ภาษาที่ใช้หน้าเว็บ(TH/EN)</t>
  </si>
  <si>
    <t>('TH')</t>
  </si>
  <si>
    <t>DefaultCustID</t>
  </si>
  <si>
    <t>รหัสลูกค้าตั้งต้น</t>
  </si>
  <si>
    <t>DefaultDeliCharge</t>
  </si>
  <si>
    <t>ค่าเริ่มต้น การคิดค่าจัดส่งพิเศษ กรณีที่บางรายการสินค้ามีค่าจัดส่งพิเศษ (Yes=คิดค่าจัดส่งพิเศษ, No=ไม่คิดค่าจัดส่งพิเศษ)</t>
  </si>
  <si>
    <t>DefaultParkDay</t>
  </si>
  <si>
    <t>ค่าเริ่มต้น วันในการอนุมัติใบสั่งซื้อของผู้อนุมัติ (5, 6, ..)</t>
  </si>
  <si>
    <t>IsByPassAdmin</t>
  </si>
  <si>
    <t>กรณียอดใบสั่งซื้อมากกว่างบประมาณ ให้ส่งใบสั่งซื้อนั้นให้ผู้อนุมัติเลยโดยไม่ต้องผ่าน Admin ระบบ โครงสร้าง ByBudgetAndOrder เท่านั้น(Yes=ใช้งาน, No=ไม่ใช้งาน)</t>
  </si>
  <si>
    <t>IsByPassApprover</t>
  </si>
  <si>
    <t>กรณีใช้งานโครงสร้าง ByBudgetAndOrder แต่ไม่ต้องการตั้งค่าผู้อนุมัติ (Yes=ใช้งาน, No=ไม่ใช้งาน)</t>
  </si>
  <si>
    <t>IsSiteActive</t>
  </si>
  <si>
    <t>การเปิด/ปิดไซต์สั่งซื้อ (Yes=เปิดการสั่งซื้อ, No=ปิดการสั่งซื้อ)</t>
  </si>
  <si>
    <t>ShowOutofStock</t>
  </si>
  <si>
    <t>แสดงรายการสินค้าที่ขาดให้สามารถสั่งซื้อได้ (Yes=แสดง, N=ไม่แสดง)</t>
  </si>
  <si>
    <t>ShowOfmCat</t>
  </si>
  <si>
    <t>แสดงรายการสินค้า officemate ในไซต์การสั่งซื้อ (Yes=ใช้งาน, No=ไม่ใช้งาน)</t>
  </si>
  <si>
    <t>ShowContactUs</t>
  </si>
  <si>
    <t>แสดงเมนู Contact Us เพื่อติดต่อกับออฟฟิศเมท (Yes=ใช้งาน, No=ไม่ใช้งาน)</t>
  </si>
  <si>
    <t>ShowSpecialProd</t>
  </si>
  <si>
    <t>แสดงเมนูขอรายการสินค้าพิเศษ (Yes=ใช้งาน, No=ไม่ใช้งาน)</t>
  </si>
  <si>
    <t>UseReferenceCode</t>
  </si>
  <si>
    <t>อ้างอิงรหัสสินค้าขององค์กรลูกค้า (Yes=ใช้งาน, No=ไม่ใช้งาน)</t>
  </si>
  <si>
    <t>PurchaseType</t>
  </si>
  <si>
    <t>ประเภทการสั่งซื้อ (EPro=สั่งผ่าน e-Procurement, OCI=OCI Catalog)</t>
  </si>
  <si>
    <t>('EPro')</t>
  </si>
  <si>
    <t>AdminOfmRemark</t>
  </si>
  <si>
    <t>หมายเหตุอื่นๆ ที่ต้องการระบุของเจ้าหน้าที่ officemate</t>
  </si>
  <si>
    <t>SaleRequest</t>
  </si>
  <si>
    <t>ผู้แจ้งขึ้นไซต์</t>
  </si>
  <si>
    <t>FixPriceExpireDate</t>
  </si>
  <si>
    <t>วันหมดอายุการใช้ FixPrice</t>
  </si>
  <si>
    <t>IsProductPromotion</t>
  </si>
  <si>
    <t>แสดง Banner Promotion</t>
  </si>
  <si>
    <t>BannerAllowance</t>
  </si>
  <si>
    <t>องค์กรต้องการแสดง Banner และสิทธิ Admin เห็นเท่านั้น</t>
  </si>
  <si>
    <t>BannerNonAdminAllowance</t>
  </si>
  <si>
    <t>ให้สิทธิอื่นๆ เห็น Banner ได้ด้วย</t>
  </si>
  <si>
    <t>UsePrinting</t>
  </si>
  <si>
    <t>องค์กรเปิดใช้ฟีเจอร์สั่งซื้อนามบัตร</t>
  </si>
  <si>
    <t>UseImportProduct</t>
  </si>
  <si>
    <t>เปิดใช้ฟีตเจอร์ให้สามารถ Import file Product</t>
  </si>
  <si>
    <t>ApproveLevel</t>
  </si>
  <si>
    <t>เซ็ทลำดับผู้อนุมัติ</t>
  </si>
  <si>
    <t>((3))</t>
  </si>
  <si>
    <t>UseByPassApprover</t>
  </si>
  <si>
    <t>UseAutoApprove</t>
  </si>
  <si>
    <t>CostcenterID</t>
  </si>
  <si>
    <t>รหัสคอสเซนเตอร์</t>
  </si>
  <si>
    <t>DepartmentID</t>
  </si>
  <si>
    <t>CostTName</t>
  </si>
  <si>
    <t>ชื่อคอสเซนเตอร์ภาษาไทย</t>
  </si>
  <si>
    <t>CostEName</t>
  </si>
  <si>
    <t>ชื่อคอสเซนเตอร์ภาษาอังกฤษ</t>
  </si>
  <si>
    <t>CostStatus</t>
  </si>
  <si>
    <t>สถานะการใช้งาน(Active=ใช้งาน,Cancel=ยกเลิกการใช้งาน)</t>
  </si>
  <si>
    <t>UseDeliCharge</t>
  </si>
  <si>
    <t>คิดค่าขนส่งพิเศษ (Yes = ใช้งาน, No = ไม่ใช้งาน)</t>
  </si>
  <si>
    <t>UseByPassAdmin</t>
  </si>
  <si>
    <t>กรณียอดใบสั่งซื้อมากกว่างบประมาณ ให้ส่งใบสั่งซื้อนั้นให้ผู้อนุมัติเลยโดยไม่ต้องผ่าน admin ระบบ (Yes = ใช้งาน, No = ไม่ใช้งาน)</t>
  </si>
  <si>
    <t>รหัสสถานที่จัดส่ง อ้างอิงกับ DBMaster..TBCustShipping.ShipID</t>
  </si>
  <si>
    <t>ชื่อฝ่ายภาษาไทย</t>
  </si>
  <si>
    <t>ชื่อฝ่ายภาษาอังกฤษ</t>
  </si>
  <si>
    <t>DeptStatus</t>
  </si>
  <si>
    <t>สถานะการใช้งาน (Active = ใช้งาน, Cancel = ยกเลิกการใช้งาน)</t>
  </si>
  <si>
    <t>TBOrder</t>
  </si>
  <si>
    <t>OrderID</t>
  </si>
  <si>
    <t>OrderGUID</t>
  </si>
  <si>
    <t>เลขที่ GUID</t>
  </si>
  <si>
    <t>วันที่สร้างใบสั่งซื้อ</t>
  </si>
  <si>
    <t>สถานะใบสั่งซื้อ (Waiting = รอดำเนินการอนุมัติ, Approved = อนุมัติใบสั่งซื้อ, OFMProcess = อยู่ระหว่างดำเนินการของออฟฟิศเมท, Shipped = จัดส่งสินค้า, Completed = ยืนยันการรับสินค้า; Rejected = ส่งกลับไปแก้ไข; AdminAllow = ผู้ดูแลระบบอนุญาตกรณีพิเศษ; Expired =ใบสั่งซื้อหมดอายุ; Cancel = ยกเลิกใบสั่งซื้อ)</t>
  </si>
  <si>
    <t>รหัสหน่วยงาน</t>
  </si>
  <si>
    <t>ชื่อ-สกุลผู้สั่งซื้อ</t>
  </si>
  <si>
    <t>UserTName</t>
  </si>
  <si>
    <t>ชื่อผู้สั่งซื้อ (ไทย)</t>
  </si>
  <si>
    <t>UserEName</t>
  </si>
  <si>
    <t>ชื่อผู้สั่งซื้อ (อังกฤษ)</t>
  </si>
  <si>
    <t>ที่อยู่ใบกำกับภาษีบรรทัดที่ 1</t>
  </si>
  <si>
    <t>ที่อยู่ใบกำกับภาษีบรรทัดที่ 2</t>
  </si>
  <si>
    <t>ที่อยู่ใบกำกับภาษีบรรทัดที่ 3</t>
  </si>
  <si>
    <t>ที่อยู่ใบกำกับภาษีบรรทัดที่ 4</t>
  </si>
  <si>
    <t>ShipID บน Online</t>
  </si>
  <si>
    <t>OfflineShipID</t>
  </si>
  <si>
    <t>ShipID ใน DB</t>
  </si>
  <si>
    <t>หมายเลขโทรศัพท์ ของผู้รับสินค้า</t>
  </si>
  <si>
    <t>ลำดับสถานที่จัดส่งของลูกค้า</t>
  </si>
  <si>
    <t>ชื่อจังหวัดที่ส่งสินค้า</t>
  </si>
  <si>
    <t>ShipRemark</t>
  </si>
  <si>
    <t>หมายเหตุเพิ่มเติม/จัดส่ง</t>
  </si>
  <si>
    <t>ประเภทการส่งสินค้า (OFM = ออฟฟิศเมทส่งสินค้า, POS = ส่งสินค้าทางไปรษณีย์)</t>
  </si>
  <si>
    <t>ContactID บน Online</t>
  </si>
  <si>
    <t>OfflineContactID</t>
  </si>
  <si>
    <t>ContactID ใน DB</t>
  </si>
  <si>
    <t>ContactorEmail</t>
  </si>
  <si>
    <t>e-mail ผู้ติดต่อ</t>
  </si>
  <si>
    <t>ContactMobileNo</t>
  </si>
  <si>
    <t>หมายเลขโทรศัพท์เคลื่อนที่ของผู้ติดต่อคนนี้</t>
  </si>
  <si>
    <t>จำนวนบรรทัดสินค้าที่สั่งซื้อ</t>
  </si>
  <si>
    <t>GrandTotalAmt</t>
  </si>
  <si>
    <t>ยอดรวมสุทธิรวม Vat</t>
  </si>
  <si>
    <t>ยอดเงินก่อนหักส่วนลดก่อน VAT (มีการรวมค่าขนส่งด้วย)</t>
  </si>
  <si>
    <t>ยอดเงินภาษี โดยคิดจาก VatProdNetAmt</t>
  </si>
  <si>
    <t>อัตราภาษี %</t>
  </si>
  <si>
    <t>OriginalTotalNetExcVatAmt</t>
  </si>
  <si>
    <t>ยอดรวมตั้งต้นของครั้งแรกของ NetAmt</t>
  </si>
  <si>
    <t>OriginalTotalNetIncVatAmt</t>
  </si>
  <si>
    <t>ยอดรวม Vat ตั้งต้นของครั้งแรกของ VatAmt</t>
  </si>
  <si>
    <t xml:space="preserve">ยอดรวมค่าขนส่ง Deliver Fee (Item) </t>
  </si>
  <si>
    <t>ยอดรวมค่าขนส่ง Deliver Fee (by Order)</t>
  </si>
  <si>
    <t>NumOfAdjust</t>
  </si>
  <si>
    <t xml:space="preserve">จำนวนครั้งการแก้ไขใบสั่ง  ซื้อนี้  </t>
  </si>
  <si>
    <t>LastAdjustOn</t>
  </si>
  <si>
    <t>LastAdjustBy</t>
  </si>
  <si>
    <t>ผู้แก้ไขล่าสุด</t>
  </si>
  <si>
    <t>รหัสชำระเงิน (Cash=เงินสด, Credit=เครดิต)</t>
  </si>
  <si>
    <t>ประเภทการชำระเงิน (Transfer,  Cash on Delivery, Credit Card EDC, Credit Card Online, Cheque, Paysbuy, mPay, Post Date Cheque, Cheque Collection, Bank Transfer, Bill Payment, Mail Cheque, Redemption Transfer)</t>
  </si>
  <si>
    <t>invoice ที่อ้างอิง</t>
  </si>
  <si>
    <t>เลขที่พัศดุ  กรณีส่งผ่านไปรษณีย์</t>
  </si>
  <si>
    <t>CallbackRequest</t>
  </si>
  <si>
    <t>สถานะการติดต่อกลับ (Yes = ติตต่อกลับ, No = ไม่ต้องติดต่อกลับ)</t>
  </si>
  <si>
    <t>CompleteMailSuccess</t>
  </si>
  <si>
    <t xml:space="preserve">ส่งเมล์ขอยืนยันการรับสินค้า  จากลูกค้า (Yes = ส่งเสร็จสิ้น,   No =ยังไม่มีการส่ง)  </t>
  </si>
  <si>
    <t>CompleteMailDate</t>
  </si>
  <si>
    <t>วันที่ส่งเมล์แจ้งขอยืนยันการรับสินค้าจากลูกค้า</t>
  </si>
  <si>
    <t>ApproverRemark</t>
  </si>
  <si>
    <t>หมายเหตุผุ้อนุมัติ</t>
  </si>
  <si>
    <t>OFMRemark</t>
  </si>
  <si>
    <t>หมายเหตุถึง officemate</t>
  </si>
  <si>
    <t>ReferenceRemark</t>
  </si>
  <si>
    <t>หมายเหตุเลขที่ PO อ้างอิง/หมายเหตุลูกค้า</t>
  </si>
  <si>
    <t>AttachFile</t>
  </si>
  <si>
    <t>ไฟล์แนบ ในการขออนุมัติ</t>
  </si>
  <si>
    <t>ApproveOrderDate</t>
  </si>
  <si>
    <t>วันที่อนุมัติ</t>
  </si>
  <si>
    <t>CurrentAppID</t>
  </si>
  <si>
    <t>email ผู้อนุมัติคนปัจจุบัน</t>
  </si>
  <si>
    <t>NextAppID</t>
  </si>
  <si>
    <t>email ผู้อนุมัติคนล่าสุด</t>
  </si>
  <si>
    <t>ParkDay</t>
  </si>
  <si>
    <t>กำหนดวันในการอนุมัติ(3, 5, ...)</t>
  </si>
  <si>
    <t>WarningExpireDate</t>
  </si>
  <si>
    <t>วันที่แจ้งเตือนก่อนหมดอายุการอนุมัติ</t>
  </si>
  <si>
    <t>ExpireDate</t>
  </si>
  <si>
    <t>วันที่แจ้งหมดอายุการอนุมัติ</t>
  </si>
  <si>
    <t>AdminAllowFlag</t>
  </si>
  <si>
    <t>กรณี Admin Allow ใบสั่งซิ้อที่</t>
  </si>
  <si>
    <t>DownloadStatus</t>
  </si>
  <si>
    <t>สถานการ Download (Waiting = รอDownload , Download = มีการDownloadแล้ว , Complete = Download เสร็จสิ้นมีการ Tranfer ได้เลขที่ So , Cancel = ยกเลิกการ transfer)</t>
  </si>
  <si>
    <t>DownloadBy</t>
  </si>
  <si>
    <t>ผู้ดำเนินการ Download</t>
  </si>
  <si>
    <t>DownloadOn</t>
  </si>
  <si>
    <t>วันที่ Download</t>
  </si>
  <si>
    <t>ส่วนลดรวม Vat</t>
  </si>
  <si>
    <t>แสดงปุ่มรับ SMS แจ้งเตือนการสั่งซื้อ (Yes=ใช้งาน ,No=ไม่ใช้งาน)</t>
  </si>
  <si>
    <t>ยอดรวมส่วนลด ราคา ExcVat อื่นๆ</t>
  </si>
  <si>
    <t>ยอดรวมส่วนลด ราคา IncVat อื่นๆ</t>
  </si>
  <si>
    <t>HamperDiscountRate</t>
  </si>
  <si>
    <t>ส่วนลด Hamper (%)</t>
  </si>
  <si>
    <t>GiftPremiumDesc</t>
  </si>
  <si>
    <t>คำอธิบายรายละเอียดของ GiftPremium</t>
  </si>
  <si>
    <t>OLDocID</t>
  </si>
  <si>
    <t>เลขที่เอกสาร OL</t>
  </si>
  <si>
    <t>สินค้า Hamper (No=ไม่ใช่สินค้า Hamper,Yes=ใช่สินค้า Hamper)</t>
  </si>
  <si>
    <t>ที่อยู่ - ตำบล/แขวง ในการจัดส่ง</t>
  </si>
  <si>
    <t>ที่อยู่ - อำเภอ/เขต ในการจัดส่ง</t>
  </si>
  <si>
    <t>รหัสไปรษณีย์สถานที่ส่งสินค้า</t>
  </si>
  <si>
    <t>NetDeliveryFeeExcvat</t>
  </si>
  <si>
    <t>VatProdNetAmtDeliveryfeeExcvat</t>
  </si>
  <si>
    <t>รวมสินค้าที่ต้องคิดภาษีและค่าจัดส่ง</t>
  </si>
  <si>
    <t>IsCOL</t>
  </si>
  <si>
    <t>สำหรับการแสดงข้อมูลบริษัท ซีโอแอล</t>
  </si>
  <si>
    <t>PreviousAppID</t>
  </si>
  <si>
    <t>IsDownload</t>
  </si>
  <si>
    <t>ContactorExtension</t>
  </si>
  <si>
    <t>OrderBeforeStatus</t>
  </si>
  <si>
    <t>TBOrderDetail</t>
  </si>
  <si>
    <t>OldQty</t>
  </si>
  <si>
    <t>pTName</t>
  </si>
  <si>
    <t>pEName</t>
  </si>
  <si>
    <t>pTUnit</t>
  </si>
  <si>
    <t>pEUnit</t>
  </si>
  <si>
    <t>ราคารวม vat</t>
  </si>
  <si>
    <t>ExcVatPrice</t>
  </si>
  <si>
    <t>DeliverFeeItem</t>
  </si>
  <si>
    <t>ค่าขนส่ง Deliver Fee (Item)</t>
  </si>
  <si>
    <t>สถานะการคิดภาษี (Yes=คิดภาษี,No=ไม่คิดภาษี)</t>
  </si>
  <si>
    <t>PriceFlag</t>
  </si>
  <si>
    <t>สถานะสินค้า (NormalPrice, ByDatePrice)</t>
  </si>
  <si>
    <t>Product Type (C:Computer,F:Furniture, O:Office Automation , T:Trendy)</t>
  </si>
  <si>
    <t>สถานะสินค้า BestDeal (Yes= Is BestDeal, No= Not is BestDeal)</t>
  </si>
  <si>
    <t>หมายเลขอ้างอิงสินค้า(ใช้สำหรับลูกค้าของแต่ละ CompanyID)</t>
  </si>
  <si>
    <t>ราคาขาย IncVat</t>
  </si>
  <si>
    <t>ส่วนลดอื่นๆ ราคา ExcVat ต่อตัว</t>
  </si>
  <si>
    <t>ส่วนลดอื่นๆ ราคา IncVat ต่อตัว</t>
  </si>
  <si>
    <t>สถานะสินค้า Promotion (Yes= Is Promotion, No= Not is Promotion)</t>
  </si>
  <si>
    <t>DBStaging_External</t>
  </si>
  <si>
    <t>12 MB</t>
  </si>
  <si>
    <t>Createdate</t>
  </si>
  <si>
    <t>tbmkporder_return_in</t>
  </si>
  <si>
    <t>16 kB</t>
  </si>
  <si>
    <t>Table Name</t>
  </si>
  <si>
    <t>magento_orderid</t>
  </si>
  <si>
    <t>reference_docno</t>
  </si>
  <si>
    <t>reference_docno_status</t>
  </si>
  <si>
    <t>createdate</t>
  </si>
  <si>
    <t>reason</t>
  </si>
  <si>
    <t>full_qty</t>
  </si>
  <si>
    <t>order_line_number</t>
  </si>
  <si>
    <t>ofm_tracking_no</t>
  </si>
  <si>
    <t>ofm_3pl_name</t>
  </si>
  <si>
    <t>ofm_3pl_link</t>
  </si>
  <si>
    <t>T1C</t>
  </si>
  <si>
    <t>Branch_LT</t>
  </si>
  <si>
    <t>CreditCard_Master_Rank</t>
  </si>
  <si>
    <t>CUSTOMER_SBL</t>
  </si>
  <si>
    <t>CustomerRequest_OFM</t>
  </si>
  <si>
    <t>PointBalanceCustomer</t>
  </si>
  <si>
    <t>ProductMasterOFM</t>
  </si>
  <si>
    <t>Redeem_OFM_SBL</t>
  </si>
  <si>
    <t>SalesCredit_OFM</t>
  </si>
  <si>
    <t>SalesSKU_OFM</t>
  </si>
  <si>
    <t>SalesT1C_OFM</t>
  </si>
  <si>
    <t>SourceName</t>
  </si>
  <si>
    <t>BUID</t>
  </si>
  <si>
    <t>BranchEnglishname</t>
  </si>
  <si>
    <t>sysname</t>
  </si>
  <si>
    <t>LocationName</t>
  </si>
  <si>
    <t>RangeCodeStart</t>
  </si>
  <si>
    <t>RangeCodeEnd</t>
  </si>
  <si>
    <t>PaymentCardType</t>
  </si>
  <si>
    <t>CardNetwork</t>
  </si>
  <si>
    <t>IssuingBank</t>
  </si>
  <si>
    <t>CreditCardLevel</t>
  </si>
  <si>
    <t>MEMBER_NUMBER</t>
  </si>
  <si>
    <t>Gender</t>
  </si>
  <si>
    <t>DateofBirth</t>
  </si>
  <si>
    <t>MaritalStatus</t>
  </si>
  <si>
    <t>Age</t>
  </si>
  <si>
    <t>HomeSubDistrict</t>
  </si>
  <si>
    <t>HomeDistrict</t>
  </si>
  <si>
    <t>HomeCity</t>
  </si>
  <si>
    <t>HomePostalCode</t>
  </si>
  <si>
    <t>EducationLevel</t>
  </si>
  <si>
    <t>HouseholdIncome</t>
  </si>
  <si>
    <t>PersonalIncome</t>
  </si>
  <si>
    <t>Nationality</t>
  </si>
  <si>
    <t>WorkType</t>
  </si>
  <si>
    <t>IsAddress</t>
  </si>
  <si>
    <t>IsMobilePhone</t>
  </si>
  <si>
    <t>IsEmail</t>
  </si>
  <si>
    <t>Is_Send_SMS_Thai</t>
  </si>
  <si>
    <t>Ranking_By_Customer_2018</t>
  </si>
  <si>
    <t>Consent_Flag</t>
  </si>
  <si>
    <t>Request</t>
  </si>
  <si>
    <t>GroupType</t>
  </si>
  <si>
    <t>CardNo</t>
  </si>
  <si>
    <t>CreatedDate</t>
  </si>
  <si>
    <t>MemberID</t>
  </si>
  <si>
    <t>MemberNumber</t>
  </si>
  <si>
    <t>TierPointExpire</t>
  </si>
  <si>
    <t>TierPointBalance</t>
  </si>
  <si>
    <t>UpdateDate</t>
  </si>
  <si>
    <t>Transferdate</t>
  </si>
  <si>
    <t>SKUID</t>
  </si>
  <si>
    <t>SubDeptID</t>
  </si>
  <si>
    <t>ClassID</t>
  </si>
  <si>
    <t>SubClassID</t>
  </si>
  <si>
    <t>BrandName</t>
  </si>
  <si>
    <t>BuID</t>
  </si>
  <si>
    <t>IBC</t>
  </si>
  <si>
    <t>BUCode_Redeem</t>
  </si>
  <si>
    <t>BUCode</t>
  </si>
  <si>
    <t>BranchID_Redeem</t>
  </si>
  <si>
    <t>BranchName_Redeem</t>
  </si>
  <si>
    <t>Item_Type</t>
  </si>
  <si>
    <t>RedeemPoints</t>
  </si>
  <si>
    <t>BranchId</t>
  </si>
  <si>
    <t>Transactiondate</t>
  </si>
  <si>
    <t>TypeGroup</t>
  </si>
  <si>
    <t>GroupCard</t>
  </si>
  <si>
    <t>RangCreditCard</t>
  </si>
  <si>
    <t>TicketNumber</t>
  </si>
  <si>
    <t>ReferenceId1</t>
  </si>
  <si>
    <t>INVOICE_DATE</t>
  </si>
  <si>
    <t>DISPLAY_RECEIPT_NO</t>
  </si>
  <si>
    <t>CreateDate</t>
  </si>
  <si>
    <t>DISPLAY_RECEIPT_NO_2</t>
  </si>
  <si>
    <t>TransactionDate</t>
  </si>
  <si>
    <t>Spending</t>
  </si>
  <si>
    <t>SubDeptcode</t>
  </si>
  <si>
    <t>OracleCode</t>
  </si>
  <si>
    <t>STORE_NO</t>
  </si>
  <si>
    <t>T1C_CUST_KEY</t>
  </si>
  <si>
    <t>INV_KEY</t>
  </si>
  <si>
    <t>data (GB)</t>
  </si>
  <si>
    <t>Salesforce</t>
  </si>
  <si>
    <t>Account</t>
  </si>
  <si>
    <t>LastModifiedDate</t>
  </si>
  <si>
    <t>Visit Plan</t>
  </si>
  <si>
    <t>Account_Plan__c</t>
  </si>
  <si>
    <t>Account_Plan_Visit__c</t>
  </si>
  <si>
    <t>Agent Work</t>
  </si>
  <si>
    <t>AgentWork</t>
  </si>
  <si>
    <t>Campaign</t>
  </si>
  <si>
    <t>CampaignMember</t>
  </si>
  <si>
    <t>Case</t>
  </si>
  <si>
    <t>Case_Additional_Info__c</t>
  </si>
  <si>
    <t>Case_Invoice__c</t>
  </si>
  <si>
    <t>Case_Invoice_Item_Association__c</t>
  </si>
  <si>
    <t>Case_Product_Association__c</t>
  </si>
  <si>
    <t>CaseMilestone</t>
  </si>
  <si>
    <t>Contact</t>
  </si>
  <si>
    <t>Communication</t>
  </si>
  <si>
    <t>ConversationContextEntry</t>
  </si>
  <si>
    <t>EmailMessage</t>
  </si>
  <si>
    <t>Lead</t>
  </si>
  <si>
    <t>Chat</t>
  </si>
  <si>
    <t>LiveAgentSession</t>
  </si>
  <si>
    <t>Yes</t>
  </si>
  <si>
    <t xml:space="preserve">CreatedDate </t>
  </si>
  <si>
    <t>LiveChatTranscript</t>
  </si>
  <si>
    <t>LiveChatVisitor</t>
  </si>
  <si>
    <t>Customer Zone</t>
  </si>
  <si>
    <t>OFM_Zone__c</t>
  </si>
  <si>
    <t>Opportunity</t>
  </si>
  <si>
    <t>Task</t>
  </si>
  <si>
    <t>Survey Response</t>
  </si>
  <si>
    <t>Survey_Response__c</t>
  </si>
  <si>
    <t>Salesforce Field Type</t>
  </si>
  <si>
    <t>Salesforce Service Field Type</t>
  </si>
  <si>
    <t>Lookup()</t>
  </si>
  <si>
    <t>String</t>
  </si>
  <si>
    <t>IsDeleted</t>
  </si>
  <si>
    <t>Checkbox</t>
  </si>
  <si>
    <t>MasterRecordId</t>
  </si>
  <si>
    <t>Lookup(Account)</t>
  </si>
  <si>
    <t>string</t>
  </si>
  <si>
    <t>Picklist</t>
  </si>
  <si>
    <t>RecordTypeId</t>
  </si>
  <si>
    <t>Record Type</t>
  </si>
  <si>
    <t>ParentId</t>
  </si>
  <si>
    <t>Hierarchy</t>
  </si>
  <si>
    <t>BillingAddress</t>
  </si>
  <si>
    <t>Address</t>
  </si>
  <si>
    <t>address</t>
  </si>
  <si>
    <t>Phone</t>
  </si>
  <si>
    <t>Fax</t>
  </si>
  <si>
    <t>Website</t>
  </si>
  <si>
    <t>URL(255)</t>
  </si>
  <si>
    <t>PhotoUrl</t>
  </si>
  <si>
    <t>Industry</t>
  </si>
  <si>
    <t>NumberOfEmployees</t>
  </si>
  <si>
    <t>Number(8, 0)</t>
  </si>
  <si>
    <t>Long Text Area(32000)</t>
  </si>
  <si>
    <t>OwnerId</t>
  </si>
  <si>
    <t>Lookup(User)</t>
  </si>
  <si>
    <t>Date/Time</t>
  </si>
  <si>
    <t>CreatedById</t>
  </si>
  <si>
    <t>LastModifiedById</t>
  </si>
  <si>
    <t>SystemModstamp</t>
  </si>
  <si>
    <t>LastActivityDate</t>
  </si>
  <si>
    <t>LastViewedDate</t>
  </si>
  <si>
    <t>LastReferencedDate</t>
  </si>
  <si>
    <t>UserRecordAccessId</t>
  </si>
  <si>
    <t>Lookup(User Record Access)</t>
  </si>
  <si>
    <t>PersonContactId</t>
  </si>
  <si>
    <t>Lookup(Contact)</t>
  </si>
  <si>
    <t>IsPersonAccount</t>
  </si>
  <si>
    <t>PersonMailingAddress</t>
  </si>
  <si>
    <t>PersonMobilePhone</t>
  </si>
  <si>
    <t>PersonHomePhone</t>
  </si>
  <si>
    <t>PersonOtherPhone</t>
  </si>
  <si>
    <t>PersonAssistantPhone</t>
  </si>
  <si>
    <t>PersonEmail</t>
  </si>
  <si>
    <t>PersonTitle</t>
  </si>
  <si>
    <t>Text(80)</t>
  </si>
  <si>
    <t>PersonDepartment</t>
  </si>
  <si>
    <t>PersonLastCURequestDate</t>
  </si>
  <si>
    <t>PersonLastCUUpdateDate</t>
  </si>
  <si>
    <t>PersonEmailBouncedReason</t>
  </si>
  <si>
    <t>Text(255)</t>
  </si>
  <si>
    <t>PersonEmailBouncedDate</t>
  </si>
  <si>
    <t>PersonIndividualId</t>
  </si>
  <si>
    <t>Lookup(Individual)</t>
  </si>
  <si>
    <t>Jigsaw</t>
  </si>
  <si>
    <t>Text(20)</t>
  </si>
  <si>
    <t>JigsawCompanyId</t>
  </si>
  <si>
    <t>External Lookup</t>
  </si>
  <si>
    <t>AccountSource</t>
  </si>
  <si>
    <t>SicDesc</t>
  </si>
  <si>
    <t>AccRemark__c</t>
  </si>
  <si>
    <t>Long Text Area(32768)</t>
  </si>
  <si>
    <t>Account_Plan_Description__c</t>
  </si>
  <si>
    <t>Account_Plan_End_Date__c</t>
  </si>
  <si>
    <t>Account_Plan_Selection__c</t>
  </si>
  <si>
    <t>Account_Plan_Start_Date__c</t>
  </si>
  <si>
    <t>ActiveDate__c</t>
  </si>
  <si>
    <t>Active_Account__c</t>
  </si>
  <si>
    <t>Formula (Number)</t>
  </si>
  <si>
    <t>double</t>
  </si>
  <si>
    <t>Address_No__c</t>
  </si>
  <si>
    <t>Text(35)</t>
  </si>
  <si>
    <t>Amphur_Mapping__c</t>
  </si>
  <si>
    <t>Text(100)</t>
  </si>
  <si>
    <t>Amphur__c</t>
  </si>
  <si>
    <t>Formula (Text)</t>
  </si>
  <si>
    <t>AuthorizedPerson__c</t>
  </si>
  <si>
    <t>BillAddr1__c</t>
  </si>
  <si>
    <t>Text(55)</t>
  </si>
  <si>
    <t>BillAddr2__c</t>
  </si>
  <si>
    <t>BillAddr3__c</t>
  </si>
  <si>
    <t>BillAddr4__c</t>
  </si>
  <si>
    <t>BillAreaCodeTBR__c</t>
  </si>
  <si>
    <t>Text(7)</t>
  </si>
  <si>
    <t>BillAreaCode__c</t>
  </si>
  <si>
    <t>Lookup(OFM Zone)</t>
  </si>
  <si>
    <t>BillAttachPo__c</t>
  </si>
  <si>
    <t>Bill_Amphur__c</t>
  </si>
  <si>
    <t>Bill_District__c</t>
  </si>
  <si>
    <t>Bill_Postal_Code__c</t>
  </si>
  <si>
    <t>Bill_Province__c</t>
  </si>
  <si>
    <t>Bill_Subzone__c</t>
  </si>
  <si>
    <t>BranchID__c</t>
  </si>
  <si>
    <t>Text(5)  (External ID)</t>
  </si>
  <si>
    <t>Building__c</t>
  </si>
  <si>
    <t>BusTypeDetail__c</t>
  </si>
  <si>
    <t>BusinessType__c</t>
  </si>
  <si>
    <t>Business_Type_Description__c</t>
  </si>
  <si>
    <t>CNRemark__c</t>
  </si>
  <si>
    <t>Text(60)</t>
  </si>
  <si>
    <t>Campaign_ID__c</t>
  </si>
  <si>
    <t>Text(18)</t>
  </si>
  <si>
    <t>Capital__c</t>
  </si>
  <si>
    <t>Currency(16, 2)</t>
  </si>
  <si>
    <t>Cautions__c</t>
  </si>
  <si>
    <t>Rich Text Area(32768)</t>
  </si>
  <si>
    <t>Cheque_Amphur__c</t>
  </si>
  <si>
    <t>Cheque_District__c</t>
  </si>
  <si>
    <t>Cheque_Postal_Code__c</t>
  </si>
  <si>
    <t>Cheque_Province__c</t>
  </si>
  <si>
    <t>Cheque_Subzone__c</t>
  </si>
  <si>
    <t>ChqAddr1__c</t>
  </si>
  <si>
    <t>ChqAddr2__c</t>
  </si>
  <si>
    <t>ChqAddr3__c</t>
  </si>
  <si>
    <t>ChqAddr4__c</t>
  </si>
  <si>
    <t>ChqAreaCodeTBR__c</t>
  </si>
  <si>
    <t>ChqAreaCode__c</t>
  </si>
  <si>
    <t>CollectionRemark__c</t>
  </si>
  <si>
    <t>Long Text Area(5000)</t>
  </si>
  <si>
    <t>Conversion_Port_CustClass__c</t>
  </si>
  <si>
    <t>CreditRemark__c</t>
  </si>
  <si>
    <t>CreditUsed__c</t>
  </si>
  <si>
    <t>Currency(9, 2)</t>
  </si>
  <si>
    <t>Creditlimit__c</t>
  </si>
  <si>
    <t>Currency(7, 2)</t>
  </si>
  <si>
    <t>Creditterm__c</t>
  </si>
  <si>
    <t>Number(10, 0)</t>
  </si>
  <si>
    <t>CustChannel__c</t>
  </si>
  <si>
    <t>CustClass__c</t>
  </si>
  <si>
    <t>CustGroupID__c</t>
  </si>
  <si>
    <t>Text(9)</t>
  </si>
  <si>
    <t>CustID__c</t>
  </si>
  <si>
    <t>Text(20)  (External ID) (Unique Case Sensitive)</t>
  </si>
  <si>
    <t>CustStatus__c</t>
  </si>
  <si>
    <t>CustTaxID__c</t>
  </si>
  <si>
    <t>Text(13)  (External ID)</t>
  </si>
  <si>
    <t>CustType__c</t>
  </si>
  <si>
    <t>Custold__c</t>
  </si>
  <si>
    <t>Text(10)</t>
  </si>
  <si>
    <t>Customer_Segment__c</t>
  </si>
  <si>
    <t>DefaultDoc__c</t>
  </si>
  <si>
    <t>Text(2)</t>
  </si>
  <si>
    <t>DiscountRate__c</t>
  </si>
  <si>
    <t>Number(5, 2)</t>
  </si>
  <si>
    <t>District_Mapping__c</t>
  </si>
  <si>
    <t>Text(50)</t>
  </si>
  <si>
    <t>District_Zone__c</t>
  </si>
  <si>
    <t>Fax_Extension__c</t>
  </si>
  <si>
    <t>Text(5)</t>
  </si>
  <si>
    <t>From_Offline_to_Online__c</t>
  </si>
  <si>
    <t>Has_Transaction_This_Month__c</t>
  </si>
  <si>
    <t>How_Know_OFM__c</t>
  </si>
  <si>
    <t>Picklist (Multi-Select)</t>
  </si>
  <si>
    <t>How_Know_Others__c</t>
  </si>
  <si>
    <t>InAddr1__c</t>
  </si>
  <si>
    <t>InAddr2__c</t>
  </si>
  <si>
    <t>Text(255)  (External ID)</t>
  </si>
  <si>
    <t>InAddr3__c</t>
  </si>
  <si>
    <t>Text(100)  (External ID)</t>
  </si>
  <si>
    <t>InAddr4__c</t>
  </si>
  <si>
    <t>IsConverted__c</t>
  </si>
  <si>
    <t>IsCopy__c</t>
  </si>
  <si>
    <t>IsStoreCredit__c</t>
  </si>
  <si>
    <t>Last_1_month_Transaction__c</t>
  </si>
  <si>
    <t>Last_2_month_Transaction__c</t>
  </si>
  <si>
    <t>Last_3_month_Transaction__c</t>
  </si>
  <si>
    <t>Lastpurdate__c</t>
  </si>
  <si>
    <t>Long_Geo__c</t>
  </si>
  <si>
    <t>Geolocation</t>
  </si>
  <si>
    <t>location</t>
  </si>
  <si>
    <t>MRPoint__c</t>
  </si>
  <si>
    <t>Name_in_Thai__c</t>
  </si>
  <si>
    <t>OldClass__c</t>
  </si>
  <si>
    <t>PPL__c</t>
  </si>
  <si>
    <t>PaymentCode__c</t>
  </si>
  <si>
    <t>Payment_Type__c</t>
  </si>
  <si>
    <t>PhoneNo__c</t>
  </si>
  <si>
    <t>Phone_Inbound__c</t>
  </si>
  <si>
    <t>Phone_No_1__c</t>
  </si>
  <si>
    <t>Postal_CodeTBR__c</t>
  </si>
  <si>
    <t>Postal_Code__c</t>
  </si>
  <si>
    <t>Prospect_ID__c</t>
  </si>
  <si>
    <t>Prospect_Remark__c</t>
  </si>
  <si>
    <t>Prospect_Type__c</t>
  </si>
  <si>
    <t>ProvinceTBR__c</t>
  </si>
  <si>
    <t>Province_Mapping__c</t>
  </si>
  <si>
    <t>Province__c</t>
  </si>
  <si>
    <t>RegisterID__c</t>
  </si>
  <si>
    <t>Text(13)</t>
  </si>
  <si>
    <t>RemarkBill__c</t>
  </si>
  <si>
    <t>Text(120)</t>
  </si>
  <si>
    <t>RemarkChq__c</t>
  </si>
  <si>
    <t>RemarkStoreCredit__c</t>
  </si>
  <si>
    <t>ReptSaleID__c</t>
  </si>
  <si>
    <t>ReptSaleOld__c</t>
  </si>
  <si>
    <t>SaleRemark__c</t>
  </si>
  <si>
    <t>ShipAttachBill__c</t>
  </si>
  <si>
    <t>Soi__c</t>
  </si>
  <si>
    <t>Status__c</t>
  </si>
  <si>
    <t>Street__c</t>
  </si>
  <si>
    <t>SubsidiariesID__c</t>
  </si>
  <si>
    <t>Text(6)</t>
  </si>
  <si>
    <t>Subzone__c</t>
  </si>
  <si>
    <t>Success_Rate_Flag__c</t>
  </si>
  <si>
    <t>System_Validation_Message__c</t>
  </si>
  <si>
    <t>T1CPoint__c</t>
  </si>
  <si>
    <t>T1C_Benefit__c</t>
  </si>
  <si>
    <t>T1CardNo__c</t>
  </si>
  <si>
    <t>Text(16)</t>
  </si>
  <si>
    <t>This_Month_Transaction__c</t>
  </si>
  <si>
    <t>Title__c</t>
  </si>
  <si>
    <t>UsePaymentSlip__c</t>
  </si>
  <si>
    <t>VAT__c</t>
  </si>
  <si>
    <t>Number(1, 0)</t>
  </si>
  <si>
    <t>VFP_Selector_Helper__c</t>
  </si>
  <si>
    <t>VF_Name__c</t>
  </si>
  <si>
    <t>Work_Date__c</t>
  </si>
  <si>
    <t>Work_Time__c</t>
  </si>
  <si>
    <t>Zipcode__c</t>
  </si>
  <si>
    <t>EmployeeNumber__c</t>
  </si>
  <si>
    <t>Lock_Telesale__c</t>
  </si>
  <si>
    <t>Current_month_Transaction__c</t>
  </si>
  <si>
    <t>Has_Avg_Last_3_Month_Trans_Over_5000__c</t>
  </si>
  <si>
    <t>Has_Capital_Over_10_Million__c</t>
  </si>
  <si>
    <t>Avg_3_Month_Transaction__c</t>
  </si>
  <si>
    <t>Number(16, 2)</t>
  </si>
  <si>
    <t>Capital_Transaction__c</t>
  </si>
  <si>
    <t>Avg_3_Month_Transaction_System__c</t>
  </si>
  <si>
    <t>Formula (Currency)</t>
  </si>
  <si>
    <t>Is_Store_Owner__c</t>
  </si>
  <si>
    <t>Formula (Checkbox)</t>
  </si>
  <si>
    <t>Original_Created_Date__c</t>
  </si>
  <si>
    <t>Current1_month_Transaction__c</t>
  </si>
  <si>
    <t>The_Power_of_1__c</t>
  </si>
  <si>
    <t>POIName__c</t>
  </si>
  <si>
    <t>Lookup(POI Master)</t>
  </si>
  <si>
    <t>POI_ID__c</t>
  </si>
  <si>
    <t>Building_Master__c</t>
  </si>
  <si>
    <t>Lookup(Building Master)</t>
  </si>
  <si>
    <t>Building_ID__c</t>
  </si>
  <si>
    <t>Other_Building__c</t>
  </si>
  <si>
    <t>Text(200)</t>
  </si>
  <si>
    <t>Last_1_month_Sale_Amount__c</t>
  </si>
  <si>
    <t>Last_2_month_Sale_Amount__c</t>
  </si>
  <si>
    <t>Last_3_month_Sale_Amount__c</t>
  </si>
  <si>
    <t>Growth_Rate__c</t>
  </si>
  <si>
    <t>Formula (Percent)</t>
  </si>
  <si>
    <t>Customer_Recommend_Segment__c</t>
  </si>
  <si>
    <t>Check_Recommend_Segment__c</t>
  </si>
  <si>
    <t>AVG_4_Month_Sale_Amount__c</t>
  </si>
  <si>
    <t>Number_of_Cases__c</t>
  </si>
  <si>
    <t>Number(4, 0)</t>
  </si>
  <si>
    <t>Have_Case__c</t>
  </si>
  <si>
    <t>Customer_ID__c</t>
  </si>
  <si>
    <t>Text(20)  (External ID) (Unique Case Insensitive)</t>
  </si>
  <si>
    <t>Customer_Group_Segment__c</t>
  </si>
  <si>
    <t>IsGovernment__c</t>
  </si>
  <si>
    <t>Account_Visit_Site__c</t>
  </si>
  <si>
    <t>Is_Avg3Month_GreaterThan_Last1Month_30__c</t>
  </si>
  <si>
    <t>Is_Account_Visit_Site__c</t>
  </si>
  <si>
    <t>Account_Visit_Site_Text__c</t>
  </si>
  <si>
    <t>Potential_Account__c</t>
  </si>
  <si>
    <t>Potential_Third_Party_Account__c</t>
  </si>
  <si>
    <t>DBDBusType__c</t>
  </si>
  <si>
    <t>DBDBusName__c</t>
  </si>
  <si>
    <t>Company_ID__c</t>
  </si>
  <si>
    <t>Account_Plan_First_Objective_Topic__c</t>
  </si>
  <si>
    <t>ETax_Email__c</t>
  </si>
  <si>
    <t>Long Text Area(1000)</t>
  </si>
  <si>
    <t>Request_ETax__c</t>
  </si>
  <si>
    <t>Account_Plan_First_Objective__c</t>
  </si>
  <si>
    <t>Account_Plan_Second_Objective_Topic__c</t>
  </si>
  <si>
    <t>Account_Plan_Second_Objective__c</t>
  </si>
  <si>
    <t>Account_Plan_Visit_Status__c</t>
  </si>
  <si>
    <t>Bidding_Note__c</t>
  </si>
  <si>
    <t>Bidding_Period__c</t>
  </si>
  <si>
    <t>Bidding__c</t>
  </si>
  <si>
    <t>Competitor_Others__c</t>
  </si>
  <si>
    <t>Note_Cleaning_Equipment__c</t>
  </si>
  <si>
    <t>Note_Furniture__c</t>
  </si>
  <si>
    <t>Note_IT_and_Ink__c</t>
  </si>
  <si>
    <t>Note_Offering_System_Solution__c</t>
  </si>
  <si>
    <t>Note_Office_Appliances__c</t>
  </si>
  <si>
    <t>Note_Office_Equipment__c</t>
  </si>
  <si>
    <t>Note_Others__c</t>
  </si>
  <si>
    <t>Note_Paper__c</t>
  </si>
  <si>
    <t>Note_Stationery__c</t>
  </si>
  <si>
    <t>Lead_Number__c</t>
  </si>
  <si>
    <t>Text(15)</t>
  </si>
  <si>
    <t>Lead__c</t>
  </si>
  <si>
    <t>Lookup(Lead)</t>
  </si>
  <si>
    <t>YTD_Sales__c</t>
  </si>
  <si>
    <t>Number(10, 2)</t>
  </si>
  <si>
    <t>MTD_Sales__c</t>
  </si>
  <si>
    <t>YTD_GP__c</t>
  </si>
  <si>
    <t>Percent(3, 2)</t>
  </si>
  <si>
    <t>MTD_GP__c</t>
  </si>
  <si>
    <t>Yearly_Target__c</t>
  </si>
  <si>
    <t>Hashtag__c</t>
  </si>
  <si>
    <t>MTD_Profit__c</t>
  </si>
  <si>
    <t>YTD_Profit__c</t>
  </si>
  <si>
    <t>Churn_Risk__c</t>
  </si>
  <si>
    <t>Last_Purchase_Day__c</t>
  </si>
  <si>
    <t>Number(5, 0)</t>
  </si>
  <si>
    <t>Average_Purchase_Day__c</t>
  </si>
  <si>
    <t>CLV_Next_12_Months__c</t>
  </si>
  <si>
    <t>Number(18, 0)</t>
  </si>
  <si>
    <t>Latest_Description__c</t>
  </si>
  <si>
    <t>Latest_First_Objective_Result_Note__c</t>
  </si>
  <si>
    <t>Latest_First_Objective_Result__c</t>
  </si>
  <si>
    <t>Latest_First_Objective_Topic__c</t>
  </si>
  <si>
    <t>Latest_First_Objective__c</t>
  </si>
  <si>
    <t>Text Area(255)</t>
  </si>
  <si>
    <t>Latest_Result_visit__c</t>
  </si>
  <si>
    <t>Latest_Second_Objective_Result_Note__c</t>
  </si>
  <si>
    <t>Latest_Second_Objective_Result__c</t>
  </si>
  <si>
    <t>Latest_Second_Objective_Topic__c</t>
  </si>
  <si>
    <t>Latest_Second_Objective__c</t>
  </si>
  <si>
    <t>Latest_Visit_Date__c</t>
  </si>
  <si>
    <t>Required_Visit__c</t>
  </si>
  <si>
    <t>Competitor_Cleaning_Equipment__c</t>
  </si>
  <si>
    <t>Competitor_Furniture__c</t>
  </si>
  <si>
    <t>Competitor_IT_and_Ink__c</t>
  </si>
  <si>
    <t>Competitor_Offering_System_Solution__c</t>
  </si>
  <si>
    <t>Competitor_Office_Appliances__c</t>
  </si>
  <si>
    <t>Competitor_Office_Equipment__c</t>
  </si>
  <si>
    <t>Competitor_Paper__c</t>
  </si>
  <si>
    <t>Competitor_Stationery__c</t>
  </si>
  <si>
    <t>Account_Lock_Reason__c</t>
  </si>
  <si>
    <t>Long Text Area(3000)</t>
  </si>
  <si>
    <t>CTI_Default_Phone__pc</t>
  </si>
  <si>
    <t>ContactRemark__pc</t>
  </si>
  <si>
    <t>Contact_ID__pc</t>
  </si>
  <si>
    <t>Contact_Position__pc</t>
  </si>
  <si>
    <t>Default_Contact_Check__pc</t>
  </si>
  <si>
    <t>Default_Phone_Type__pc</t>
  </si>
  <si>
    <t>Full_Name__pc</t>
  </si>
  <si>
    <t>Gender__pc</t>
  </si>
  <si>
    <t>IsDefault__pc</t>
  </si>
  <si>
    <t>Phone_1_Ext__pc</t>
  </si>
  <si>
    <t>Phone_3_Ext__pc</t>
  </si>
  <si>
    <t>Phone_4_Ext__pc</t>
  </si>
  <si>
    <t>Phone_5_Ext__pc</t>
  </si>
  <si>
    <t>Phone_Concat__pc</t>
  </si>
  <si>
    <t>Phone_No_1__pc</t>
  </si>
  <si>
    <t>Phone_no_2__pc</t>
  </si>
  <si>
    <t>Phone_no_3__pc</t>
  </si>
  <si>
    <t>Phone_no_4__pc</t>
  </si>
  <si>
    <t>Phone_no_5__pc</t>
  </si>
  <si>
    <t>Unique_Account_ID__pc</t>
  </si>
  <si>
    <t>Text(30)</t>
  </si>
  <si>
    <t>Account_Customer_ID__pc</t>
  </si>
  <si>
    <t>Contact_Record_ID__pc</t>
  </si>
  <si>
    <t>Web_Source_Live_Agent__pc</t>
  </si>
  <si>
    <t>Search_Keyword__pc</t>
  </si>
  <si>
    <t>Email_Consent_Marketing__pc</t>
  </si>
  <si>
    <t>Email_Consent_Privacy__pc</t>
  </si>
  <si>
    <t>Email_Consent_Unique_ID__pc</t>
  </si>
  <si>
    <t>Mobile_Consent_Marketing__pc</t>
  </si>
  <si>
    <t>Mobile_Consent_Privacy__pc</t>
  </si>
  <si>
    <t>Mobile_Consent_Ref_ID__pc</t>
  </si>
  <si>
    <t>Email_Consent_Marketing_Graphic__pc</t>
  </si>
  <si>
    <t>Mobile_Consent_Marketing_Graphic__pc</t>
  </si>
  <si>
    <t>UID__pc</t>
  </si>
  <si>
    <t>Text(33)</t>
  </si>
  <si>
    <t>Lookup(User,Group)</t>
  </si>
  <si>
    <t>Approval_Status__c</t>
  </si>
  <si>
    <t>End_Date__c</t>
  </si>
  <si>
    <t>Start_Date__c</t>
  </si>
  <si>
    <t>Employee_Number__c</t>
  </si>
  <si>
    <t>Manager_Name__c</t>
  </si>
  <si>
    <t>SalesRepID__c</t>
  </si>
  <si>
    <t>Update_On__c</t>
  </si>
  <si>
    <t>Formula (Date/Time)</t>
  </si>
  <si>
    <t>Update_On_Time__c</t>
  </si>
  <si>
    <t>Update_On_Month__c</t>
  </si>
  <si>
    <t>Owner_Profile__c</t>
  </si>
  <si>
    <t>Created_By_Profile__c</t>
  </si>
  <si>
    <t>Master-Detail(Visit Plan)</t>
  </si>
  <si>
    <t>Account_Name__c</t>
  </si>
  <si>
    <t>Formula (Date)</t>
  </si>
  <si>
    <t>Account_Plan_Status__c</t>
  </si>
  <si>
    <t>Account_Record_Type__c</t>
  </si>
  <si>
    <t>Account__c</t>
  </si>
  <si>
    <t>Competitor_Information__c</t>
  </si>
  <si>
    <t>Competitor__c</t>
  </si>
  <si>
    <t>Contact_Position__c</t>
  </si>
  <si>
    <t>Contact__c</t>
  </si>
  <si>
    <t>Customer_Category__c</t>
  </si>
  <si>
    <t>Customer_Interested__c</t>
  </si>
  <si>
    <t>Customer_Status__c</t>
  </si>
  <si>
    <t>Description__c</t>
  </si>
  <si>
    <t>District__c</t>
  </si>
  <si>
    <t>Email__c</t>
  </si>
  <si>
    <t>End_Date_Time__c</t>
  </si>
  <si>
    <t>Get_Name_Card__c</t>
  </si>
  <si>
    <t>Invoice_Address_3__c</t>
  </si>
  <si>
    <t>Manager_Approval_Status__c</t>
  </si>
  <si>
    <t>Manager_Comment__c</t>
  </si>
  <si>
    <t>Next_Visit_Plan__c</t>
  </si>
  <si>
    <t>No_of_Catalog_give_to_customer__c</t>
  </si>
  <si>
    <t>Phone_1_Ext__c</t>
  </si>
  <si>
    <t>Phone_3_Ext__c</t>
  </si>
  <si>
    <t>Phone_No_2__c</t>
  </si>
  <si>
    <t>Phone_no_3__c</t>
  </si>
  <si>
    <t>Position__c</t>
  </si>
  <si>
    <t>Present_Product_Service__c</t>
  </si>
  <si>
    <t>Start_Date_Time__c</t>
  </si>
  <si>
    <t>Unique_Id__c</t>
  </si>
  <si>
    <t>Text(255)  (Unique Case Insensitive)</t>
  </si>
  <si>
    <t>Zip_Code__c</t>
  </si>
  <si>
    <t>Activity__c</t>
  </si>
  <si>
    <t>Business_Type__c</t>
  </si>
  <si>
    <t>CustEmployeeNumber__c</t>
  </si>
  <si>
    <t>Customer_Payment__c</t>
  </si>
  <si>
    <t>Visit_Plan_Owner__c</t>
  </si>
  <si>
    <t>Account_Status__c</t>
  </si>
  <si>
    <t>Already_received_the_catalog__c</t>
  </si>
  <si>
    <t>Catalog_Furniture__c</t>
  </si>
  <si>
    <t>Catalog_Hamper__c</t>
  </si>
  <si>
    <t>Catalog_Horeca__c</t>
  </si>
  <si>
    <t>Catalog_Medical__c</t>
  </si>
  <si>
    <t>Catalog_Monthly__c</t>
  </si>
  <si>
    <t>Catalog_OA__c</t>
  </si>
  <si>
    <t>Catalog_Premium__c</t>
  </si>
  <si>
    <t>Catalog_Yearly__c</t>
  </si>
  <si>
    <t>Factory__c</t>
  </si>
  <si>
    <t>Result_visit__c</t>
  </si>
  <si>
    <t>Visit_Site__c</t>
  </si>
  <si>
    <t>ReptID__c</t>
  </si>
  <si>
    <t>Total_SalesRept__c</t>
  </si>
  <si>
    <t>Customer_Type__c</t>
  </si>
  <si>
    <t>First_Objective_Result_Note__c</t>
  </si>
  <si>
    <t>First_Objective_Result__c</t>
  </si>
  <si>
    <t>First_Objective_Topic__c</t>
  </si>
  <si>
    <t>First_Objective__c</t>
  </si>
  <si>
    <t>Second_Objective_Result_Note__c</t>
  </si>
  <si>
    <t>Second_Objective_Result__c</t>
  </si>
  <si>
    <t>Second_Objective_Topic__c</t>
  </si>
  <si>
    <t>Second_Objective__c</t>
  </si>
  <si>
    <t>Visit_Status__c</t>
  </si>
  <si>
    <t>Lead_Address_1__c</t>
  </si>
  <si>
    <t>Lead_Address_2__c</t>
  </si>
  <si>
    <t>Lead_Company__c</t>
  </si>
  <si>
    <t>Lead_District__c</t>
  </si>
  <si>
    <t>Lead_Email__c</t>
  </si>
  <si>
    <t>Lead_Mobile__c</t>
  </si>
  <si>
    <t>Lead_Name__c</t>
  </si>
  <si>
    <t>Lead_Phone__c</t>
  </si>
  <si>
    <t>Lead_Postal_Code__c</t>
  </si>
  <si>
    <t>Lead_Province__c</t>
  </si>
  <si>
    <t>Lead_Type__c</t>
  </si>
  <si>
    <t>Previous_Description__c</t>
  </si>
  <si>
    <t>Previous_First_Objective_Result_Note__c</t>
  </si>
  <si>
    <t>Previous_First_Objective_Result__c</t>
  </si>
  <si>
    <t>Previous_First_Objective_Topic__c</t>
  </si>
  <si>
    <t>Previous_First_Objective__c</t>
  </si>
  <si>
    <t>Previous_Result_visit__c</t>
  </si>
  <si>
    <t>Previous_Second_Objective_Result_Note__c</t>
  </si>
  <si>
    <t>Previous_Second_Objective_Result__c</t>
  </si>
  <si>
    <t>Previous_Second_Objective_Topic__c</t>
  </si>
  <si>
    <t>Previous_Second_Objective__c</t>
  </si>
  <si>
    <t>Previous_Visit_Date__c</t>
  </si>
  <si>
    <t>UserId</t>
  </si>
  <si>
    <t>WorkItemId</t>
  </si>
  <si>
    <t>Lookup(Case,Account,Lead,Contact,Activity,Opportunity,Product Clearance,Product Related,Survey Question,Survey,Glance Company Settings,Credentials Key,Glance Settings,Glance Guest,Glance Session,Glance Sync,Glance User Settings,Glance Cobrowse Session Event,Glance Cobrowse Session,Target vs Actual,Visit Plan List,Visit Plan,Case Invoice Association,Case Type Billing Collection,Conversion Port Request,Conversion Port Item,Sales Invoice Header,OFM Product Category,OFM Zone,Process Log,Recommended Product Category,Sales Invoice Item,Sales Order Header,Sales Quotation Header,Session Time,Transaction Infor,UAT,Case Product Association,Billing Note,Building Master,Assignment Group,Field Analysis,Group Member,All Deleted,Billing collection information,Chatter Unfollow Batch Job Queued,Case Invoice Item Association,Case Invoice Product Defect,Case Invoice Product Incorrect,Case Invoice Product Line Item Exchange,Case Invoice Product Missing Item,Case Invoice Product Refund,Case Invoice Product,Case Product Master,Cheque Item,Invoice,Multiple Invoice OFM,Batch Error Log,Temporary Batch Record,Chatter Unfollow Delayed RecordId,Chatter Unfollow Rule Job Batch,OAuthApp_pbi,POI Master,Chatter Unfollow Rules,Chatter Unfollow Test Data,Field Trip Logistics,Field Trip,Batch Create Case Queued,API Log,TLS Warning Message (by profile),TLS Warning Settings,INBG_DM,INBG_DV,INBG_GM,Case Additional Info,UID Mapping,Snapshot Report TvA Telesale,PDPA API Log,Product Recommendation,Admin Setting,Other System Document,Stop Status,Survey Response,Product Top,Survey Question Response,Survey Taken,Social Post,Order,Contact Request,Chat Transcript,Messaging Session)</t>
  </si>
  <si>
    <t>ServiceChannelId</t>
  </si>
  <si>
    <t>Lookup(Service Channel)</t>
  </si>
  <si>
    <t>OriginalQueueId</t>
  </si>
  <si>
    <t>Lookup(Group)</t>
  </si>
  <si>
    <t>CapacityWeight</t>
  </si>
  <si>
    <t>Number(8, 2)</t>
  </si>
  <si>
    <t>CapacityPercentage</t>
  </si>
  <si>
    <t>RequestDateTime</t>
  </si>
  <si>
    <t>AcceptDateTime</t>
  </si>
  <si>
    <t>DeclineDateTime</t>
  </si>
  <si>
    <t>CloseDateTime</t>
  </si>
  <si>
    <t>SpeedToAnswer</t>
  </si>
  <si>
    <t>Number(9, 0)</t>
  </si>
  <si>
    <t>AgentCapacityWhenDeclined</t>
  </si>
  <si>
    <t>PendingServiceRoutingId</t>
  </si>
  <si>
    <t>Lookup(Pending Service Routing)</t>
  </si>
  <si>
    <t>PushTimeout</t>
  </si>
  <si>
    <t>PushTimeoutDateTime</t>
  </si>
  <si>
    <t>HandleTime</t>
  </si>
  <si>
    <t>ActiveTime</t>
  </si>
  <si>
    <t>DeclineReason</t>
  </si>
  <si>
    <t>CancelDateTime</t>
  </si>
  <si>
    <t>ShouldSkipCapacityCheck</t>
  </si>
  <si>
    <t>RoutingType</t>
  </si>
  <si>
    <t>RoutingModel</t>
  </si>
  <si>
    <t>RoutingPriority</t>
  </si>
  <si>
    <t>AssignedDateTime</t>
  </si>
  <si>
    <t>PreferredUserId</t>
  </si>
  <si>
    <t>OriginalGroupId</t>
  </si>
  <si>
    <t>IsPreferredUserRequired</t>
  </si>
  <si>
    <t>Lookup(Campaign)</t>
  </si>
  <si>
    <t>ExpectedRevenue</t>
  </si>
  <si>
    <t>Currency(18, 0)</t>
  </si>
  <si>
    <t>BudgetedCost</t>
  </si>
  <si>
    <t>ActualCost</t>
  </si>
  <si>
    <t>ExpectedResponse</t>
  </si>
  <si>
    <t>Percent(8, 2)</t>
  </si>
  <si>
    <t>NumberSent</t>
  </si>
  <si>
    <t>IsActive</t>
  </si>
  <si>
    <t>NumberOfLeads</t>
  </si>
  <si>
    <t>NumberOfConvertedLeads</t>
  </si>
  <si>
    <t>NumberOfContacts</t>
  </si>
  <si>
    <t>NumberOfResponses</t>
  </si>
  <si>
    <t>NumberOfOpportunities</t>
  </si>
  <si>
    <t>NumberOfWonOpportunities</t>
  </si>
  <si>
    <t>AmountAllOpportunities</t>
  </si>
  <si>
    <t>AmountWonOpportunities</t>
  </si>
  <si>
    <t>CampaignMemberRecordTypeId</t>
  </si>
  <si>
    <t>Lookup(Record Type)</t>
  </si>
  <si>
    <t>Avg_Session_Duration__c</t>
  </si>
  <si>
    <t>Bounce_Rate__c</t>
  </si>
  <si>
    <t>Percent(16, 2)</t>
  </si>
  <si>
    <t>Brief_Description__c</t>
  </si>
  <si>
    <t>DB_Campaign_Tactic__c</t>
  </si>
  <si>
    <t>Ecommerce_Conversion_Rate__c</t>
  </si>
  <si>
    <t>Genesys_Campaign_Name__c</t>
  </si>
  <si>
    <t>Genesys_Status__c</t>
  </si>
  <si>
    <t>Informatica_Synced__c</t>
  </si>
  <si>
    <t>New_Sessions__c</t>
  </si>
  <si>
    <t>New_Users__c</t>
  </si>
  <si>
    <t>Pages_Session__c</t>
  </si>
  <si>
    <t>Priority_Value__c</t>
  </si>
  <si>
    <t>Priority__c</t>
  </si>
  <si>
    <t>Revenue__c</t>
  </si>
  <si>
    <t>Sessions__c</t>
  </si>
  <si>
    <t>Share_with_Direct_Sales__c</t>
  </si>
  <si>
    <t>Share_with_Tele_Sales__c</t>
  </si>
  <si>
    <t>Transaction__c</t>
  </si>
  <si>
    <t>Answered_Counter__c</t>
  </si>
  <si>
    <t>Roll-Up Summary (SUM Campaign Member)</t>
  </si>
  <si>
    <t>Campaign_Key__c</t>
  </si>
  <si>
    <t>Text(255)  (External ID) (Unique Case Sensitive)</t>
  </si>
  <si>
    <t>Created_By_CustId__c</t>
  </si>
  <si>
    <t>Created_By_Role__c</t>
  </si>
  <si>
    <t>Owner_Role_Name__c</t>
  </si>
  <si>
    <t>New_in_Campaign__c</t>
  </si>
  <si>
    <t>Close_in_Campaign__c</t>
  </si>
  <si>
    <t>Roll-Up Summary (COUNT Campaign Member)</t>
  </si>
  <si>
    <t>Pending_in_campaign__c</t>
  </si>
  <si>
    <t>Campaign_Target__c</t>
  </si>
  <si>
    <t>Campaign_Actual__c</t>
  </si>
  <si>
    <t>Campaign_No__c</t>
  </si>
  <si>
    <t>CampaignId</t>
  </si>
  <si>
    <t>LeadId</t>
  </si>
  <si>
    <t>ContactId</t>
  </si>
  <si>
    <t>HasResponded</t>
  </si>
  <si>
    <t>FirstRespondedDate</t>
  </si>
  <si>
    <t>Salutation</t>
  </si>
  <si>
    <t>Text(40)</t>
  </si>
  <si>
    <t>LastName</t>
  </si>
  <si>
    <t>Text(128)</t>
  </si>
  <si>
    <t>State</t>
  </si>
  <si>
    <t>MobilePhone</t>
  </si>
  <si>
    <t>DoNotCall</t>
  </si>
  <si>
    <t>HasOptedOutOfEmail</t>
  </si>
  <si>
    <t>HasOptedOutOfFax</t>
  </si>
  <si>
    <t>LeadSource</t>
  </si>
  <si>
    <t>CompanyOrAccount</t>
  </si>
  <si>
    <t>LeadOrContactId</t>
  </si>
  <si>
    <t>Lookup(Lead,Contact,Account)</t>
  </si>
  <si>
    <t>LeadOrContactOwnerId</t>
  </si>
  <si>
    <t>Purchase_Info__c</t>
  </si>
  <si>
    <t>Set_Counter_to_0__c</t>
  </si>
  <si>
    <t>Company__c</t>
  </si>
  <si>
    <t>Is_Success_Rate__c</t>
  </si>
  <si>
    <t>Call_Status__c</t>
  </si>
  <si>
    <t>Parent_Campaign_Owner__c</t>
  </si>
  <si>
    <t>Answer__c</t>
  </si>
  <si>
    <t>Contacted__c</t>
  </si>
  <si>
    <t>NotAnswer__c</t>
  </si>
  <si>
    <t>NotContacted__c</t>
  </si>
  <si>
    <t>Success_Purchase__c</t>
  </si>
  <si>
    <t>Call_Result__c</t>
  </si>
  <si>
    <t>Descriptions__c</t>
  </si>
  <si>
    <t>Mobile__c</t>
  </si>
  <si>
    <t>OB_Call_Results__c</t>
  </si>
  <si>
    <t>Phone__c</t>
  </si>
  <si>
    <t>Have_ThisMonthTransaction__c</t>
  </si>
  <si>
    <t>New_CalledDate__c</t>
  </si>
  <si>
    <t>Called_Date__c</t>
  </si>
  <si>
    <t>Tax_ID__c</t>
  </si>
  <si>
    <t>Product_Recommend_1__c</t>
  </si>
  <si>
    <t>Product_Recommend_2__c</t>
  </si>
  <si>
    <t>Email_Company__c</t>
  </si>
  <si>
    <t>Product_Of_Paper__c</t>
  </si>
  <si>
    <t>Company_Phone_Number__c</t>
  </si>
  <si>
    <t>Call_Result_Level_2__c</t>
  </si>
  <si>
    <t>Call_Result_Level_3__c</t>
  </si>
  <si>
    <t>Product_Of_Cleaning__c</t>
  </si>
  <si>
    <t>Product_Of_Industrial__c</t>
  </si>
  <si>
    <t>Product_Of_Furniture__c</t>
  </si>
  <si>
    <t>Default_Phone__c</t>
  </si>
  <si>
    <t>Default_Mobile__c</t>
  </si>
  <si>
    <t>Lookup(Case)</t>
  </si>
  <si>
    <t>CaseNumber</t>
  </si>
  <si>
    <t>AccountId</t>
  </si>
  <si>
    <t>SourceId</t>
  </si>
  <si>
    <t>Lookup(Social Post,Chat Transcript,Email Message,Messaging Session)</t>
  </si>
  <si>
    <t>SuppliedName</t>
  </si>
  <si>
    <t>SuppliedEmail</t>
  </si>
  <si>
    <t>SuppliedPhone</t>
  </si>
  <si>
    <t>SuppliedCompany</t>
  </si>
  <si>
    <t>Origin</t>
  </si>
  <si>
    <t>Language</t>
  </si>
  <si>
    <t>Subject</t>
  </si>
  <si>
    <t>Priority</t>
  </si>
  <si>
    <t>IsClosed</t>
  </si>
  <si>
    <t>ClosedDate</t>
  </si>
  <si>
    <t>IsEscalated</t>
  </si>
  <si>
    <t>Comments</t>
  </si>
  <si>
    <t>Text Area(4000)</t>
  </si>
  <si>
    <t>Amount_Unit__c</t>
  </si>
  <si>
    <t>Amount_of_Point__c</t>
  </si>
  <si>
    <t>Average_Orders_in_6_Months__c</t>
  </si>
  <si>
    <t>BDC_Log__c</t>
  </si>
  <si>
    <t>Balance_Amount__c</t>
  </si>
  <si>
    <t>Change_Artwork_Status__c</t>
  </si>
  <si>
    <t>Beneficiary_Name__c</t>
  </si>
  <si>
    <t>Contact_Point_Email__c</t>
  </si>
  <si>
    <t>Billing_Change_Detail_Topic__c</t>
  </si>
  <si>
    <t>Billing_Collection_Total_Amount__c</t>
  </si>
  <si>
    <t>Billing_Date__c</t>
  </si>
  <si>
    <t>Billing_Number__c</t>
  </si>
  <si>
    <t>Text(12)</t>
  </si>
  <si>
    <t>Billing_Reissue_Document_Label__c</t>
  </si>
  <si>
    <t>Contact_Point_Phone_Number__c</t>
  </si>
  <si>
    <t>CN_Document__c</t>
  </si>
  <si>
    <t>BU__c</t>
  </si>
  <si>
    <t>Cancel_Order_Topic__c</t>
  </si>
  <si>
    <t>Contact_Point_Name__c</t>
  </si>
  <si>
    <t>Card_Number__c</t>
  </si>
  <si>
    <t>Case_Number_Bill__c</t>
  </si>
  <si>
    <t>Case_Number_Product__c</t>
  </si>
  <si>
    <t>Case_Record_Type_Name__c</t>
  </si>
  <si>
    <t>Upload_File_Is_Valid__c</t>
  </si>
  <si>
    <t>Category__c</t>
  </si>
  <si>
    <t>Store_Name__c</t>
  </si>
  <si>
    <t>Store_District_Manager_Name__c</t>
  </si>
  <si>
    <t>Transfer_ID__c</t>
  </si>
  <si>
    <t>Cheque_Incomplete_Reason__c</t>
  </si>
  <si>
    <t>Lot_ID__c</t>
  </si>
  <si>
    <t>Cheque_Returned_Code__c</t>
  </si>
  <si>
    <t>Cheque_Returned_Title__c</t>
  </si>
  <si>
    <t>Cheque_Type__c</t>
  </si>
  <si>
    <t>Claim_Warranty_Refund_Type__c</t>
  </si>
  <si>
    <t>Sub_Reason_Type__c</t>
  </si>
  <si>
    <t>Channel_Adjust_Point__c</t>
  </si>
  <si>
    <t>SI_Number__c</t>
  </si>
  <si>
    <t>QU__c</t>
  </si>
  <si>
    <t>Contact_Channel__c</t>
  </si>
  <si>
    <t>Contact_Name__c</t>
  </si>
  <si>
    <t>Contact_Phone_SMS__c</t>
  </si>
  <si>
    <t>CreatedBy_Current_User__c</t>
  </si>
  <si>
    <t>Created_by_Logistics__c</t>
  </si>
  <si>
    <t>Created_by_Own_Brand__c</t>
  </si>
  <si>
    <t>Created_by_Store__c</t>
  </si>
  <si>
    <t>Created_by_Telesales__c</t>
  </si>
  <si>
    <t>Credit_Approval_Limit_Topic__c</t>
  </si>
  <si>
    <t>Credit_Extend_Aging_Max__c</t>
  </si>
  <si>
    <t>Credit_Extend_Aging_Min_Days__c</t>
  </si>
  <si>
    <t>Credit_Extend_From__c</t>
  </si>
  <si>
    <t>Credit_Extend_To__c</t>
  </si>
  <si>
    <t>Credit_Increase_Limit__c</t>
  </si>
  <si>
    <t>Credit_Management_Done__c</t>
  </si>
  <si>
    <t>Credit_Management_Team__c</t>
  </si>
  <si>
    <t>Order_Type__c</t>
  </si>
  <si>
    <t>Customer_Accept__c</t>
  </si>
  <si>
    <t>Customer_Refund__c</t>
  </si>
  <si>
    <t>Customer_Segment_Priority__c</t>
  </si>
  <si>
    <t>Customer_Service_Done__c</t>
  </si>
  <si>
    <t>Customer_Service_Team__c</t>
  </si>
  <si>
    <t>Customer_Support_Done__c</t>
  </si>
  <si>
    <t>Customer_Unlock_Topic__c</t>
  </si>
  <si>
    <t>Debt_Bills_Quantity__c</t>
  </si>
  <si>
    <t>Employee_ID__c</t>
  </si>
  <si>
    <t>Text(8)</t>
  </si>
  <si>
    <t>Direct_Sales_Done__c</t>
  </si>
  <si>
    <t>Enquiry_Type__c</t>
  </si>
  <si>
    <t>File_Attached__c</t>
  </si>
  <si>
    <t>Finance_Amount__c</t>
  </si>
  <si>
    <t>Finance_Done__c</t>
  </si>
  <si>
    <t>Finance_Team__c</t>
  </si>
  <si>
    <t>Requester__c</t>
  </si>
  <si>
    <t>Hard_Copy__c</t>
  </si>
  <si>
    <t>Case_Age_In_Business_Day__c</t>
  </si>
  <si>
    <t>Number(15, 3)</t>
  </si>
  <si>
    <t>In_Catalogue_Product__c</t>
  </si>
  <si>
    <t>Invoice_Age__c</t>
  </si>
  <si>
    <t>Pending__c</t>
  </si>
  <si>
    <t>Invoice_Status__c</t>
  </si>
  <si>
    <t>Invoice__c</t>
  </si>
  <si>
    <t>Lookup(Sales Invoice Header)</t>
  </si>
  <si>
    <t>Change_Artwork_round1__c</t>
  </si>
  <si>
    <t>Is_Checker__c</t>
  </si>
  <si>
    <t>Change_Artwork_round2__c</t>
  </si>
  <si>
    <t>Job_Reference_Number__c</t>
  </si>
  <si>
    <t>Last_Customer_Contact_Date__c</t>
  </si>
  <si>
    <t>Last_Customer_Contact__c</t>
  </si>
  <si>
    <t>Last_Customer_Department__c</t>
  </si>
  <si>
    <t>Last_Customer_Telephone__c</t>
  </si>
  <si>
    <t>Max_Invoice_Age__c</t>
  </si>
  <si>
    <t>Roll-Up Summary (MAX Case Invoice Association)</t>
  </si>
  <si>
    <t>Logistics_Done__c</t>
  </si>
  <si>
    <t>Logistics_Team__c</t>
  </si>
  <si>
    <t>Made_to_Order_Change__c</t>
  </si>
  <si>
    <t>Marketing_Done__c</t>
  </si>
  <si>
    <t>MasterOwner_Indicator__c</t>
  </si>
  <si>
    <t>Master_Case_Owner__c</t>
  </si>
  <si>
    <t>Merchandise_Done__c</t>
  </si>
  <si>
    <t>Merchandise_Team__c</t>
  </si>
  <si>
    <t>Milestone_Graphic__c</t>
  </si>
  <si>
    <t>Milestone__c</t>
  </si>
  <si>
    <t>Milestone_time_Left__c</t>
  </si>
  <si>
    <t>More_Detail__c</t>
  </si>
  <si>
    <t>Need_a_Leaflet__c</t>
  </si>
  <si>
    <t>New_Account__c</t>
  </si>
  <si>
    <t>No_Payment_Topic__c</t>
  </si>
  <si>
    <t>OFM_Store_Name__c</t>
  </si>
  <si>
    <t>Office_Club__c</t>
  </si>
  <si>
    <t>Open_Bill_Name__c</t>
  </si>
  <si>
    <t>Order_Lead_time__c</t>
  </si>
  <si>
    <t>Own_Brand_Approved__c</t>
  </si>
  <si>
    <t>Own_Brand_Product__c</t>
  </si>
  <si>
    <t>PID_SKU__c</t>
  </si>
  <si>
    <t>PID_Sales_Invoice_Item__c</t>
  </si>
  <si>
    <t>Lookup(Sales Invoice Item)</t>
  </si>
  <si>
    <t>PO_PS_Number__c</t>
  </si>
  <si>
    <t>Pay_Due_Date__c</t>
  </si>
  <si>
    <t>Payment_Type_Invoice__c</t>
  </si>
  <si>
    <t>Payment__c</t>
  </si>
  <si>
    <t>Change_Artwork_round3__c</t>
  </si>
  <si>
    <t>Price__c</t>
  </si>
  <si>
    <t>Priority_Graphic__c</t>
  </si>
  <si>
    <t>Product_Changed_Amount__c</t>
  </si>
  <si>
    <t>Product_Changed_ID__c</t>
  </si>
  <si>
    <t>Product_Changed_Name__c</t>
  </si>
  <si>
    <t>Product_Orders_Approve__c</t>
  </si>
  <si>
    <t>Product_ReceiveBack_Name__c</t>
  </si>
  <si>
    <t>Product_Received_Back_Amount__c</t>
  </si>
  <si>
    <t>Product_Received_Back_ID__c</t>
  </si>
  <si>
    <t>Product_Status__c</t>
  </si>
  <si>
    <t>On_Time__c</t>
  </si>
  <si>
    <t>Reason_for_Product_Exchange__c</t>
  </si>
  <si>
    <t>Reference_Document_No__c</t>
  </si>
  <si>
    <t>Replenishment_Done__c</t>
  </si>
  <si>
    <t>Replenishment_Team__c</t>
  </si>
  <si>
    <t>Reprint__c</t>
  </si>
  <si>
    <t>Requested_Date__c</t>
  </si>
  <si>
    <t>Round_Robin_ID_Bill__c</t>
  </si>
  <si>
    <t>Round_Robin_ID_Product__c</t>
  </si>
  <si>
    <t>SMS_Integration_Status__c</t>
  </si>
  <si>
    <t>SO_EO_No__c</t>
  </si>
  <si>
    <t>SaleReptID__c</t>
  </si>
  <si>
    <t>Sale_Channel__c</t>
  </si>
  <si>
    <t>Sale_Name__c</t>
  </si>
  <si>
    <t>Sales_Order__c</t>
  </si>
  <si>
    <t>Lookup(Sales Order Header)</t>
  </si>
  <si>
    <t>Send_to_Logistics__c</t>
  </si>
  <si>
    <t>Ship_To__c</t>
  </si>
  <si>
    <t>Site_Size__c</t>
  </si>
  <si>
    <t>Stock_Status__c</t>
  </si>
  <si>
    <t>Stock_via_BDC__c</t>
  </si>
  <si>
    <t>Store_Branch__c</t>
  </si>
  <si>
    <t>Store_Done__c</t>
  </si>
  <si>
    <t>Sub_Type__c</t>
  </si>
  <si>
    <t>Survey_Type__c</t>
  </si>
  <si>
    <t>Telephone_Number__c</t>
  </si>
  <si>
    <t>Telesales_Done__c</t>
  </si>
  <si>
    <t>Trouble_del__c</t>
  </si>
  <si>
    <t>Type_of_Restore_Point__c</t>
  </si>
  <si>
    <t>Update_From__c</t>
  </si>
  <si>
    <t>Update_To__c</t>
  </si>
  <si>
    <t>Void2c2pOrder__c</t>
  </si>
  <si>
    <t>VoidLinepayOrder__c</t>
  </si>
  <si>
    <t>WF_Approval_Received__c</t>
  </si>
  <si>
    <t>Workflow_Completed__c</t>
  </si>
  <si>
    <t>Workflow_Step_1_Completed__c</t>
  </si>
  <si>
    <t>Workflow_Step_2_Completed__c</t>
  </si>
  <si>
    <t>Workflow_Step_3_Completed__c</t>
  </si>
  <si>
    <t>Workflow_Step_4_Completed__c</t>
  </si>
  <si>
    <t>Workflow_Step_5_Completed__c</t>
  </si>
  <si>
    <t>Workflow_Step_6_Completed__c</t>
  </si>
  <si>
    <t>Workflow_Step_7_Completed__c</t>
  </si>
  <si>
    <t>Billing_Collection_Bill_and_Tax__c</t>
  </si>
  <si>
    <t>Roll-Up Summary (COUNT Case Type Billing Collection)</t>
  </si>
  <si>
    <t>Cumulative_Time__c</t>
  </si>
  <si>
    <t>Roll-Up Summary (SUM Session Time)</t>
  </si>
  <si>
    <t>Delay_1_day__c</t>
  </si>
  <si>
    <t>Created_by_role__c</t>
  </si>
  <si>
    <t>Delay_2_Day__c</t>
  </si>
  <si>
    <t>Lookup(Case Additional Info)</t>
  </si>
  <si>
    <t>LocationType__c</t>
  </si>
  <si>
    <t>Location__c</t>
  </si>
  <si>
    <t>Sum_StockAva_Cost__c</t>
  </si>
  <si>
    <t>Bank_Account_Name__c</t>
  </si>
  <si>
    <t>Bank_Account_No__c</t>
  </si>
  <si>
    <t>Bank__c</t>
  </si>
  <si>
    <t>Complaint_Topic__c</t>
  </si>
  <si>
    <t>Date_Receive_money_from_Customer__c</t>
  </si>
  <si>
    <t>Start_Flow__c</t>
  </si>
  <si>
    <t>Store_Payment_Type__c</t>
  </si>
  <si>
    <t>Transfer_Amount__c</t>
  </si>
  <si>
    <t>Transfer_Email__c</t>
  </si>
  <si>
    <t>Transfer_Reason__c</t>
  </si>
  <si>
    <t>Transfer_to_Company_Bank_Account_No__c</t>
  </si>
  <si>
    <t>Transfer_to_Company_Bank_Amount__c</t>
  </si>
  <si>
    <t>Transfer_to_Company_Bank__c</t>
  </si>
  <si>
    <t>Case_Creator_Full_Name__c</t>
  </si>
  <si>
    <t>InCatelog_No__c</t>
  </si>
  <si>
    <t>Roll-Up Summary (COUNT Case Product Association)</t>
  </si>
  <si>
    <t>InCatelog_Yes__c</t>
  </si>
  <si>
    <t>NOT_By_order_Stock_Non_stock__c</t>
  </si>
  <si>
    <t>Refund_AR_No__c</t>
  </si>
  <si>
    <t>Refund_CN_No__c</t>
  </si>
  <si>
    <t>Approval_name__c</t>
  </si>
  <si>
    <t>Sum_Com__c</t>
  </si>
  <si>
    <t>Billing_Change_Detail_Template__c</t>
  </si>
  <si>
    <t>Billing_collection_detail__c</t>
  </si>
  <si>
    <t>Billing_collection_information__c</t>
  </si>
  <si>
    <t>CaseAgeinDays__c</t>
  </si>
  <si>
    <t>CaseAgeinHours__c</t>
  </si>
  <si>
    <t>Cust_ID__c</t>
  </si>
  <si>
    <t>Cash_approve_amount__c</t>
  </si>
  <si>
    <t>Change_Detail_Reason_Type__c</t>
  </si>
  <si>
    <t>Cheque_Error_Information__c</t>
  </si>
  <si>
    <t>Claim_warranty_refund_message__c</t>
  </si>
  <si>
    <t>Complaint_Case_Department__c</t>
  </si>
  <si>
    <t>Complaint_Case_Explanation__c</t>
  </si>
  <si>
    <t>Complaint_Case_Topic__c</t>
  </si>
  <si>
    <t>Complaint_Solution__c</t>
  </si>
  <si>
    <t>Credit_Appv_Information__c</t>
  </si>
  <si>
    <t>Credit_approve_remark__c</t>
  </si>
  <si>
    <t>Credit_channel__c</t>
  </si>
  <si>
    <t>Missing_PO_Information__c</t>
  </si>
  <si>
    <t>Missing_PO_Remark__c</t>
  </si>
  <si>
    <t>Reason_Type__c</t>
  </si>
  <si>
    <t>Standard_SLA__c</t>
  </si>
  <si>
    <t>Store_contact_name__c</t>
  </si>
  <si>
    <t>Store_telephone_number__c</t>
  </si>
  <si>
    <t>Transporter_name__c</t>
  </si>
  <si>
    <t>Delay_than_2_Day__c</t>
  </si>
  <si>
    <t>Submit_for_Approval__c</t>
  </si>
  <si>
    <t>All_Duration_of_Actual__c</t>
  </si>
  <si>
    <t>Company_Bank__c</t>
  </si>
  <si>
    <t>Complaint_and_repeat__c</t>
  </si>
  <si>
    <t>CaseAge__c</t>
  </si>
  <si>
    <t>Customer_Bank__c</t>
  </si>
  <si>
    <t>Description_HTML__c</t>
  </si>
  <si>
    <t>Rich Text Area(131072)</t>
  </si>
  <si>
    <t>Description_CS__c</t>
  </si>
  <si>
    <t>Description_Normal__c</t>
  </si>
  <si>
    <t>Description_TM__c</t>
  </si>
  <si>
    <t>Is_Biglot__c</t>
  </si>
  <si>
    <t>Other__c</t>
  </si>
  <si>
    <t>Long Text Area(100000)</t>
  </si>
  <si>
    <t>Total_Workflow_Days__c</t>
  </si>
  <si>
    <t>Remark_Change_Payment_type__c</t>
  </si>
  <si>
    <t>SR_Code__c</t>
  </si>
  <si>
    <t>Secondary_Contact_Name__c</t>
  </si>
  <si>
    <t>Template_Exchange__c</t>
  </si>
  <si>
    <t>Template_Product_Defect__c</t>
  </si>
  <si>
    <t>Template__c</t>
  </si>
  <si>
    <t>Long Text Area(120000)</t>
  </si>
  <si>
    <t>Unlock_E_Address__c</t>
  </si>
  <si>
    <t>Unlock_E_Credit_Bill__c</t>
  </si>
  <si>
    <t>Unlock_E_Credit_Cheque__c</t>
  </si>
  <si>
    <t>Unlock_E_Remark__c</t>
  </si>
  <si>
    <t>SSNumberDelivery__c</t>
  </si>
  <si>
    <t>MEB_Order_ID__c</t>
  </si>
  <si>
    <t>Stock_Aval_Incat_Yes__c</t>
  </si>
  <si>
    <t>Billing_collection_Cause__c</t>
  </si>
  <si>
    <t>Change_Owner_To__c</t>
  </si>
  <si>
    <t>Closed_By__c</t>
  </si>
  <si>
    <t>Cooperate_With__c</t>
  </si>
  <si>
    <t>Credit_Management_DIV_Done__c</t>
  </si>
  <si>
    <t>MEB_Order_Item_ID__c</t>
  </si>
  <si>
    <t>Customer_Service_Done_2__c</t>
  </si>
  <si>
    <t>Customer_Support_Done_2__c</t>
  </si>
  <si>
    <t>Finance_done_2__c</t>
  </si>
  <si>
    <t>Finance_done_3__c</t>
  </si>
  <si>
    <t>Finish_Date_Step1__c</t>
  </si>
  <si>
    <t>Finish_Date_Step2__c</t>
  </si>
  <si>
    <t>Finish_Date_Step3__c</t>
  </si>
  <si>
    <t>Finish_Date_Step4__c</t>
  </si>
  <si>
    <t>Finish_Date_Step5__c</t>
  </si>
  <si>
    <t>Lead_Time__c</t>
  </si>
  <si>
    <t>First_CS_Staff__c</t>
  </si>
  <si>
    <t>Is_Product_Printing__c</t>
  </si>
  <si>
    <t>Is_there_spare_part__c</t>
  </si>
  <si>
    <t>Last_Owner_Id__c</t>
  </si>
  <si>
    <t>SSNumberRepair__c</t>
  </si>
  <si>
    <t>Contact_Order__c</t>
  </si>
  <si>
    <t>Detail_ModifyCustomer__c</t>
  </si>
  <si>
    <t>Detail_New__c</t>
  </si>
  <si>
    <t>Detail_Old__c</t>
  </si>
  <si>
    <t>Created_by_Name__c</t>
  </si>
  <si>
    <t>Open_for_Store__c</t>
  </si>
  <si>
    <t>Owner_Step1__c</t>
  </si>
  <si>
    <t>Owner_Step_2__c</t>
  </si>
  <si>
    <t>Owner_Step_3__c</t>
  </si>
  <si>
    <t>Owner_Step_4__c</t>
  </si>
  <si>
    <t>PO_PR_Number__c</t>
  </si>
  <si>
    <t>Project_Information__c</t>
  </si>
  <si>
    <t>RTV_Number__c</t>
  </si>
  <si>
    <t>SendToBDCDate__c</t>
  </si>
  <si>
    <t>Start_date_Step1__c</t>
  </si>
  <si>
    <t>Start_date_Step2__c</t>
  </si>
  <si>
    <t>Start_date_Step3__c</t>
  </si>
  <si>
    <t>Start_date_Step4__c</t>
  </si>
  <si>
    <t>Start_date_Step5__c</t>
  </si>
  <si>
    <t>Start_date_Step6__c</t>
  </si>
  <si>
    <t>WO_SO_EO_Number__c</t>
  </si>
  <si>
    <t>Compensate__c</t>
  </si>
  <si>
    <t>Ownbrand_Decision__c</t>
  </si>
  <si>
    <t>Product_Processing__c</t>
  </si>
  <si>
    <t>SO_Number__c</t>
  </si>
  <si>
    <t>Workflow_Step_9_Completed__c</t>
  </si>
  <si>
    <t>Document_No__c</t>
  </si>
  <si>
    <t>maxMultipleInvoiceAge__c</t>
  </si>
  <si>
    <t>status_step_1__c</t>
  </si>
  <si>
    <t>status_step_2__c</t>
  </si>
  <si>
    <t>status_step_3__c</t>
  </si>
  <si>
    <t>status_step_4__c</t>
  </si>
  <si>
    <t>Organization__c</t>
  </si>
  <si>
    <t>Order_confirmation__c</t>
  </si>
  <si>
    <t>Amount_Total__c</t>
  </si>
  <si>
    <t>Roll-Up Summary (SUM Billing collection information)</t>
  </si>
  <si>
    <t>Bills_Quantity__c</t>
  </si>
  <si>
    <t>Roll-Up Summary (COUNT Billing collection information)</t>
  </si>
  <si>
    <t>Logistics_Done_2__c</t>
  </si>
  <si>
    <t>RTV_Number_remark__c</t>
  </si>
  <si>
    <t>Product_Group__c</t>
  </si>
  <si>
    <t>Printing_Type__c</t>
  </si>
  <si>
    <t>Cost__c</t>
  </si>
  <si>
    <t>Cutomer_Confirm_Order__c</t>
  </si>
  <si>
    <t>EO_Number__c</t>
  </si>
  <si>
    <t>IsCabinet__c</t>
  </si>
  <si>
    <t>Product_Status_For_StockAva__c</t>
  </si>
  <si>
    <t>Quotation_Price__c</t>
  </si>
  <si>
    <t>Reconfiirm_Done_3__c</t>
  </si>
  <si>
    <t>Reconfiirm_Done__c</t>
  </si>
  <si>
    <t>isCorrectProductStatus__c</t>
  </si>
  <si>
    <t>Text(1)</t>
  </si>
  <si>
    <t>Count_Product__c</t>
  </si>
  <si>
    <t>Workflow_Step_8_Completed__c</t>
  </si>
  <si>
    <t>Company_Bank_Report__c</t>
  </si>
  <si>
    <t>Customer_Bank_Report__c</t>
  </si>
  <si>
    <t>approvers__c</t>
  </si>
  <si>
    <t>E_Tax_information_to_be_edited__c</t>
  </si>
  <si>
    <t>Description_CS2__c</t>
  </si>
  <si>
    <t>Complaint_Case_Department2__c</t>
  </si>
  <si>
    <t>Created_By_Number__c</t>
  </si>
  <si>
    <t>Approve_Step1_Completed__c</t>
  </si>
  <si>
    <t>Last_comment__c</t>
  </si>
  <si>
    <t>Owner_Name_Graphic__c</t>
  </si>
  <si>
    <t>IsInsert__c</t>
  </si>
  <si>
    <t>Payment_Type_Other__c</t>
  </si>
  <si>
    <t>PaymentType__c</t>
  </si>
  <si>
    <t>Card_Owner_Name__c</t>
  </si>
  <si>
    <t>Cashback__c</t>
  </si>
  <si>
    <t>Number(15, 2)</t>
  </si>
  <si>
    <t>Promotion__c</t>
  </si>
  <si>
    <t>Redemption_type__c</t>
  </si>
  <si>
    <t>Reference_Barcode__c</t>
  </si>
  <si>
    <t>WO_Number__c</t>
  </si>
  <si>
    <t>Sales_Code__c</t>
  </si>
  <si>
    <t>First_CS_Staff_Name__c</t>
  </si>
  <si>
    <t>Closed_By_Name__c</t>
  </si>
  <si>
    <t>Isclosed__c</t>
  </si>
  <si>
    <t>F_Closed_By__c</t>
  </si>
  <si>
    <t>Owner_Name_Step1__c</t>
  </si>
  <si>
    <t>Owner_Name_Step2__c</t>
  </si>
  <si>
    <t>Owner_Name_Step3__c</t>
  </si>
  <si>
    <t>Owner_Name_Step4__c</t>
  </si>
  <si>
    <t>Owner_Name_Step5__c</t>
  </si>
  <si>
    <t>Owner_Name_Step6__c</t>
  </si>
  <si>
    <t>Claim_Process__c</t>
  </si>
  <si>
    <t>Close_SAM__c</t>
  </si>
  <si>
    <t>Defects__c</t>
  </si>
  <si>
    <t>Droppoint_Vendor_Address__c</t>
  </si>
  <si>
    <t>Expense_Charged__c</t>
  </si>
  <si>
    <t>Kerry_Receipt_No__c</t>
  </si>
  <si>
    <t>Kerry_Tracking_No__c</t>
  </si>
  <si>
    <t>Open_SAM__c</t>
  </si>
  <si>
    <t>Open_to_Logistics__c</t>
  </si>
  <si>
    <t>Product_Brand__c</t>
  </si>
  <si>
    <t>Product_Model__c</t>
  </si>
  <si>
    <t>Product_Type__c</t>
  </si>
  <si>
    <t>Warranty_Status__c</t>
  </si>
  <si>
    <t>Case_Age_In_Business_Hours__c</t>
  </si>
  <si>
    <t>Last_Status_Change__c</t>
  </si>
  <si>
    <t>Time_With_Customer__c</t>
  </si>
  <si>
    <t>Time_With_Support__c</t>
  </si>
  <si>
    <t>Action_Solution__c</t>
  </si>
  <si>
    <t>Contact_Department__c</t>
  </si>
  <si>
    <t>Contact_Issue__c</t>
  </si>
  <si>
    <t>Contact_Topic__c</t>
  </si>
  <si>
    <t>Social_Media_Channel__c</t>
  </si>
  <si>
    <t>Social_Media_Name__c</t>
  </si>
  <si>
    <t>Others__c</t>
  </si>
  <si>
    <t>Achieve_SLA__c</t>
  </si>
  <si>
    <t>Case_Owner_By_Profile__c</t>
  </si>
  <si>
    <t>Approval_Reject__c</t>
  </si>
  <si>
    <t>RDC_NO__c</t>
  </si>
  <si>
    <t>Reward_channels__c</t>
  </si>
  <si>
    <t>Invoice_Total_Amount__c</t>
  </si>
  <si>
    <t>Roll-Up Summary (SUM Case Invoice Association)</t>
  </si>
  <si>
    <t>Inv_Amount_Quantity__c</t>
  </si>
  <si>
    <t>Start_time__c</t>
  </si>
  <si>
    <t>Formula (Time)</t>
  </si>
  <si>
    <t>replen_done__c</t>
  </si>
  <si>
    <t>Replenishment_Time__c</t>
  </si>
  <si>
    <t>Replenisment_Time__c</t>
  </si>
  <si>
    <t>StockAva_Compensate__c</t>
  </si>
  <si>
    <t>StockAva_Quotation_Price__c</t>
  </si>
  <si>
    <t>StockAva_Cost__c</t>
  </si>
  <si>
    <t>Summary_Invoice__c</t>
  </si>
  <si>
    <t>Roll-Up Summary (COUNT Case Invoice Association)</t>
  </si>
  <si>
    <t>Invoice_report__c</t>
  </si>
  <si>
    <t>PO_PS__c</t>
  </si>
  <si>
    <t>Amount_Item__c</t>
  </si>
  <si>
    <t>Count_Product_PO_PS__c</t>
  </si>
  <si>
    <t>Compensate_Report__c</t>
  </si>
  <si>
    <t>ReplenDone__c</t>
  </si>
  <si>
    <t>Total_Name_List__c</t>
  </si>
  <si>
    <t>Work_Type__c</t>
  </si>
  <si>
    <t>Co_Operation__c</t>
  </si>
  <si>
    <t>TimeAfter5_30PM__c</t>
  </si>
  <si>
    <t>Date_Time_Replen__c</t>
  </si>
  <si>
    <t>CountPO_PS__c</t>
  </si>
  <si>
    <t>CaseInfo__c</t>
  </si>
  <si>
    <t>Master-Detail(Case)</t>
  </si>
  <si>
    <t>CaseInvoice__c</t>
  </si>
  <si>
    <t>Invoice_Number__c</t>
  </si>
  <si>
    <t>Invoice_Date__c</t>
  </si>
  <si>
    <t>Key__c</t>
  </si>
  <si>
    <t>Net_Amount__c</t>
  </si>
  <si>
    <t>RecordType__c</t>
  </si>
  <si>
    <t>Invoice_Age_On_Open_Case__c</t>
  </si>
  <si>
    <t>Inv_Account__c</t>
  </si>
  <si>
    <t>Inv_Age_Open_Case__c</t>
  </si>
  <si>
    <t>Inv_Age__c</t>
  </si>
  <si>
    <t>Inv_Date__c</t>
  </si>
  <si>
    <t>Inv_Net_Amount__c</t>
  </si>
  <si>
    <t>Inv_Number__c</t>
  </si>
  <si>
    <t>Inv_Status__c</t>
  </si>
  <si>
    <t>Net_Amount_Actual__c</t>
  </si>
  <si>
    <t>TelesaleID__c</t>
  </si>
  <si>
    <t>Amount_Items__c</t>
  </si>
  <si>
    <t>Company_Code__c</t>
  </si>
  <si>
    <t>Inv_Total_Amount__c</t>
  </si>
  <si>
    <t>Currency(10, 2)</t>
  </si>
  <si>
    <t>Copied_CustId__c</t>
  </si>
  <si>
    <t>Text(14)</t>
  </si>
  <si>
    <t>Copied_Subzone__c</t>
  </si>
  <si>
    <t>Copied_Organization__c</t>
  </si>
  <si>
    <t>Case__c</t>
  </si>
  <si>
    <t>CatID__c</t>
  </si>
  <si>
    <t>DEPT__c</t>
  </si>
  <si>
    <t>Discount_Amount__c</t>
  </si>
  <si>
    <t>InCatelog__c</t>
  </si>
  <si>
    <t>Net_Price__c</t>
  </si>
  <si>
    <t>PIDOD__c</t>
  </si>
  <si>
    <t>PID__c</t>
  </si>
  <si>
    <t>ProdTUnit__c</t>
  </si>
  <si>
    <t>Product_Name__c</t>
  </si>
  <si>
    <t>Product__c</t>
  </si>
  <si>
    <t>Lookup(Product)</t>
  </si>
  <si>
    <t>Quantity__c</t>
  </si>
  <si>
    <t>Remark__c</t>
  </si>
  <si>
    <t>Sales_Invoice_Item__c</t>
  </si>
  <si>
    <t>pCatName__c</t>
  </si>
  <si>
    <t>subQuantity__c</t>
  </si>
  <si>
    <t>Product_ID__c</t>
  </si>
  <si>
    <t>Product_Name_new__c</t>
  </si>
  <si>
    <t>Invoice_Number_New__c</t>
  </si>
  <si>
    <t>Product_InCatelog__c</t>
  </si>
  <si>
    <t>Product_DEPT__c</t>
  </si>
  <si>
    <t>Product_TUnit__c</t>
  </si>
  <si>
    <t>Product_CatID__c</t>
  </si>
  <si>
    <t>Product_pCatName__c</t>
  </si>
  <si>
    <t>Product_IDOD__c</t>
  </si>
  <si>
    <t>Reason__c</t>
  </si>
  <si>
    <t>Product_Correct__c</t>
  </si>
  <si>
    <t>Product_Incorrect__c</t>
  </si>
  <si>
    <t>By_order_Stock_Non_stock__c</t>
  </si>
  <si>
    <t>Number(3, 0)</t>
  </si>
  <si>
    <t>Case_Incate_No_Number__c</t>
  </si>
  <si>
    <t>Case_Incate_Yes_Number__c</t>
  </si>
  <si>
    <t>Correct_Quantity__c</t>
  </si>
  <si>
    <t>Number(16, 0)</t>
  </si>
  <si>
    <t>Correct_Reason__c</t>
  </si>
  <si>
    <t>Correct_Unit__c</t>
  </si>
  <si>
    <t>InCatelog_for_validation__c</t>
  </si>
  <si>
    <t>Incorrect_Quantity__c</t>
  </si>
  <si>
    <t>Incorrect_Reason__c</t>
  </si>
  <si>
    <t>Incorrect_Unit__c</t>
  </si>
  <si>
    <t>Not_By_order_Stock_Non_stock__c</t>
  </si>
  <si>
    <t>Price_Bargain_From_Customer__c</t>
  </si>
  <si>
    <t>ProdStatus__c</t>
  </si>
  <si>
    <t>Unit__c</t>
  </si>
  <si>
    <t>Correct_ProdTUnit__c</t>
  </si>
  <si>
    <t>Incorrect_ProdTUnit__c</t>
  </si>
  <si>
    <t>Message_refund__c</t>
  </si>
  <si>
    <t>Missing_message__c</t>
  </si>
  <si>
    <t>PID_Correct__c</t>
  </si>
  <si>
    <t>PID_Receive__c</t>
  </si>
  <si>
    <t>Product_Receive__c</t>
  </si>
  <si>
    <t>Receive_ProdTUnit__c</t>
  </si>
  <si>
    <t>Prod_Status__c</t>
  </si>
  <si>
    <t>Product_Code__c</t>
  </si>
  <si>
    <t>SubDept__c</t>
  </si>
  <si>
    <t>CaseId</t>
  </si>
  <si>
    <t>TargetDate</t>
  </si>
  <si>
    <t>CompletionDate</t>
  </si>
  <si>
    <t>MilestoneTypeId</t>
  </si>
  <si>
    <t>Lookup(Milestone)</t>
  </si>
  <si>
    <t>IsCompleted</t>
  </si>
  <si>
    <t>IsViolated</t>
  </si>
  <si>
    <t>TargetResponseInMins</t>
  </si>
  <si>
    <t>TargetResponseInHrs</t>
  </si>
  <si>
    <t>Number(4, 2)</t>
  </si>
  <si>
    <t>TargetResponseInDays</t>
  </si>
  <si>
    <t>TimeRemainingInMins</t>
  </si>
  <si>
    <t>TimeRemainingInHrs</t>
  </si>
  <si>
    <t>TimeRemainingInDays</t>
  </si>
  <si>
    <t>ElapsedTimeInMins</t>
  </si>
  <si>
    <t>ElapsedTimeInHrs</t>
  </si>
  <si>
    <t>ElapsedTimeInDays</t>
  </si>
  <si>
    <t>TimeSinceTargetInMins</t>
  </si>
  <si>
    <t>TimeSinceTargetInHrs</t>
  </si>
  <si>
    <t>TimeSinceTargetInDays</t>
  </si>
  <si>
    <t>BusinessHoursId</t>
  </si>
  <si>
    <t>Lookup(Business Hours)</t>
  </si>
  <si>
    <t>MailingAddress</t>
  </si>
  <si>
    <t>HomePhone</t>
  </si>
  <si>
    <t>OtherPhone</t>
  </si>
  <si>
    <t>AssistantPhone</t>
  </si>
  <si>
    <t>ReportsToId</t>
  </si>
  <si>
    <t>Department</t>
  </si>
  <si>
    <t>LastCURequestDate</t>
  </si>
  <si>
    <t>LastCUUpdateDate</t>
  </si>
  <si>
    <t>EmailBouncedReason</t>
  </si>
  <si>
    <t>EmailBouncedDate</t>
  </si>
  <si>
    <t>IsEmailBounced</t>
  </si>
  <si>
    <t>JigsawContactId</t>
  </si>
  <si>
    <t>IndividualId</t>
  </si>
  <si>
    <t>CTI_Default_Phone__c</t>
  </si>
  <si>
    <t>ContactRemark__c</t>
  </si>
  <si>
    <t>Contact_ID__c</t>
  </si>
  <si>
    <t>Text(15)  (External ID) (Unique Case Sensitive)</t>
  </si>
  <si>
    <t>Default_Contact_Check__c</t>
  </si>
  <si>
    <t>Text(255)  (Unique Case Sensitive)</t>
  </si>
  <si>
    <t>Default_Phone_Type__c</t>
  </si>
  <si>
    <t>Full_Name__c</t>
  </si>
  <si>
    <t>Gender__c</t>
  </si>
  <si>
    <t>IsDefault__c</t>
  </si>
  <si>
    <t>Phone_4_Ext__c</t>
  </si>
  <si>
    <t>Phone_5_Ext__c</t>
  </si>
  <si>
    <t>Phone_Concat__c</t>
  </si>
  <si>
    <t>Phone_no_2__c</t>
  </si>
  <si>
    <t>Phone_no_4__c</t>
  </si>
  <si>
    <t>Phone_no_5__c</t>
  </si>
  <si>
    <t>Unique_Account_ID__c</t>
  </si>
  <si>
    <t>Text(30)  (Unique Case Sensitive)</t>
  </si>
  <si>
    <t>Account_Customer_ID__c</t>
  </si>
  <si>
    <t>Contact_Record_ID__c</t>
  </si>
  <si>
    <t>Web_Source_Live_Agent__c</t>
  </si>
  <si>
    <t>Search_Keyword__c</t>
  </si>
  <si>
    <t>Email_Consent_Marketing__c</t>
  </si>
  <si>
    <t>Email_Consent_Privacy__c</t>
  </si>
  <si>
    <t>Email_Consent_Unique_ID__c</t>
  </si>
  <si>
    <t>Mobile_Consent_Marketing__c</t>
  </si>
  <si>
    <t>Mobile_Consent_Privacy__c</t>
  </si>
  <si>
    <t>Mobile_Consent_Ref_ID__c</t>
  </si>
  <si>
    <t>Email_Consent_Marketing_Graphic__c</t>
  </si>
  <si>
    <t>Mobile_Consent_Marketing_Graphic__c</t>
  </si>
  <si>
    <t>UID__c</t>
  </si>
  <si>
    <t>Text(33)  (External ID)</t>
  </si>
  <si>
    <t>ConversationContextEntryName</t>
  </si>
  <si>
    <t>Lookup(Chat Transcript)</t>
  </si>
  <si>
    <t>CustomDetailContextKey</t>
  </si>
  <si>
    <t>Long Text Area(131072)</t>
  </si>
  <si>
    <t>CustomDetailContextValue</t>
  </si>
  <si>
    <t>ActivityId</t>
  </si>
  <si>
    <t>Lookup(Task)</t>
  </si>
  <si>
    <t>TextBody</t>
  </si>
  <si>
    <t>HtmlBody</t>
  </si>
  <si>
    <t>Headers</t>
  </si>
  <si>
    <t>Text(3000)</t>
  </si>
  <si>
    <t>FromName</t>
  </si>
  <si>
    <t>Text(1000)</t>
  </si>
  <si>
    <t>FromAddress</t>
  </si>
  <si>
    <t>ValidatedFromAddress</t>
  </si>
  <si>
    <t>ToAddress</t>
  </si>
  <si>
    <t>Text(4000)</t>
  </si>
  <si>
    <t>CcAddress</t>
  </si>
  <si>
    <t>BccAddress</t>
  </si>
  <si>
    <t>Incoming</t>
  </si>
  <si>
    <t>HasAttachment</t>
  </si>
  <si>
    <t>MessageDate</t>
  </si>
  <si>
    <t>ReplyToEmailMessageId</t>
  </si>
  <si>
    <t>Lookup(Email Message)</t>
  </si>
  <si>
    <t>IsExternallyVisible</t>
  </si>
  <si>
    <t>MessageIdentifier</t>
  </si>
  <si>
    <t>Text(765)</t>
  </si>
  <si>
    <t>ThreadIdentifier</t>
  </si>
  <si>
    <t>IsClientManaged</t>
  </si>
  <si>
    <t>RelatedToId</t>
  </si>
  <si>
    <t>Lookup(Contract,Order,Campaign,Account,Opportunity,Product,Asset,Case,Solution,Quote,Service Resource,Entitlement,Service Contract,Contract Line Item,Location,Chat Transcript,Chat Session,Survey Question,Asset Relationship,List Email,Contact Request,Image,Communication Subscription Consent,External Managed Account,Party Consent,Process Exception,Visit Plan List,Visit Plan,Conversion Port Request,Conversion Port Item,Sales Quotation Header,UAT,Case Product Association,Admin Setting)</t>
  </si>
  <si>
    <t>IsTracked</t>
  </si>
  <si>
    <t>IsOpened</t>
  </si>
  <si>
    <t>FirstOpenedDate</t>
  </si>
  <si>
    <t>LastOpenedDate</t>
  </si>
  <si>
    <t>IsBounced</t>
  </si>
  <si>
    <t>EmailTemplateId</t>
  </si>
  <si>
    <t>Lookup(Email Template)</t>
  </si>
  <si>
    <t>WhoId</t>
  </si>
  <si>
    <t>Lookup(Contact,Lead)</t>
  </si>
  <si>
    <t>WhatId</t>
  </si>
  <si>
    <t>WhoCount</t>
  </si>
  <si>
    <t>WhatCount</t>
  </si>
  <si>
    <t>IsAllDayEvent</t>
  </si>
  <si>
    <t>ActivityDateTime</t>
  </si>
  <si>
    <t>ActivityDate</t>
  </si>
  <si>
    <t>DurationInMinutes</t>
  </si>
  <si>
    <t>StartDateTime</t>
  </si>
  <si>
    <t>EndDateTime</t>
  </si>
  <si>
    <t>Lookup(User,Calendar)</t>
  </si>
  <si>
    <t>IsPrivate</t>
  </si>
  <si>
    <t>ShowAs</t>
  </si>
  <si>
    <t>IsChild</t>
  </si>
  <si>
    <t>IsGroupEvent</t>
  </si>
  <si>
    <t>GroupEventType</t>
  </si>
  <si>
    <t>IsArchived</t>
  </si>
  <si>
    <t>RecurrenceActivityId</t>
  </si>
  <si>
    <t>Lookup(Event)</t>
  </si>
  <si>
    <t>IsRecurrence</t>
  </si>
  <si>
    <t>RecurrenceStartDateTime</t>
  </si>
  <si>
    <t>RecurrenceEndDateOnly</t>
  </si>
  <si>
    <t>RecurrenceTimeZoneSidKey</t>
  </si>
  <si>
    <t>RecurrenceType</t>
  </si>
  <si>
    <t>RecurrenceInterval</t>
  </si>
  <si>
    <t>RecurrenceDayOfWeekMask</t>
  </si>
  <si>
    <t>RecurrenceDayOfMonth</t>
  </si>
  <si>
    <t>RecurrenceInstance</t>
  </si>
  <si>
    <t>RecurrenceMonthOfYear</t>
  </si>
  <si>
    <t>ReminderDateTime</t>
  </si>
  <si>
    <t>IsReminderSet</t>
  </si>
  <si>
    <t>EventSubtype</t>
  </si>
  <si>
    <t>IsRecurrence2Exclusion</t>
  </si>
  <si>
    <t>Recurrence2PatternText</t>
  </si>
  <si>
    <t>Long Text Area(512)</t>
  </si>
  <si>
    <t>Recurrence2PatternVersion</t>
  </si>
  <si>
    <t>IsRecurrence2</t>
  </si>
  <si>
    <t>IsRecurrence2Exception</t>
  </si>
  <si>
    <t>Recurrence2PatternStartDate</t>
  </si>
  <si>
    <t>Recurrence2PatternTimeZone</t>
  </si>
  <si>
    <t>G4S__Glance_Duration__c</t>
  </si>
  <si>
    <t>G4S__Glance_End_Time__c</t>
  </si>
  <si>
    <t>G4S__Glance_Guests__c</t>
  </si>
  <si>
    <t>G4S__Glance_Location__c</t>
  </si>
  <si>
    <t>G4S__Glance_Session_Key__c</t>
  </si>
  <si>
    <t>G4S__Glance_Session_Type__c</t>
  </si>
  <si>
    <t>G4S__Glance_Start_Time__c</t>
  </si>
  <si>
    <t>Lookup(Visit Plan)</t>
  </si>
  <si>
    <t>ActivityEndDateTime__c</t>
  </si>
  <si>
    <t>CallResult__c</t>
  </si>
  <si>
    <t>CampaignId__c</t>
  </si>
  <si>
    <t>CampaignMemberId__c</t>
  </si>
  <si>
    <t>CaseCreated__c</t>
  </si>
  <si>
    <t>CaseSubType__c</t>
  </si>
  <si>
    <t>CaseTeleSalesType__c</t>
  </si>
  <si>
    <t>CaseType__c</t>
  </si>
  <si>
    <t>CusFromCampaign__c</t>
  </si>
  <si>
    <t>DB_Activity_Type__c</t>
  </si>
  <si>
    <t>Is_Owner_Telesale__c</t>
  </si>
  <si>
    <t>Is_Passed_Trigger__c</t>
  </si>
  <si>
    <t>Topic__c</t>
  </si>
  <si>
    <t>Call_Result_ddl__c</t>
  </si>
  <si>
    <t>Subject__c</t>
  </si>
  <si>
    <t>Rating</t>
  </si>
  <si>
    <t>IsConverted</t>
  </si>
  <si>
    <t>ConvertedDate</t>
  </si>
  <si>
    <t>ConvertedAccountId</t>
  </si>
  <si>
    <t>ConvertedContactId</t>
  </si>
  <si>
    <t>ConvertedOpportunityId</t>
  </si>
  <si>
    <t>Lookup(Opportunity)</t>
  </si>
  <si>
    <t>IsUnreadByOwner</t>
  </si>
  <si>
    <t>G4S__Customer_ID__c</t>
  </si>
  <si>
    <t>Number(18, 0)  (External ID) (Unique)</t>
  </si>
  <si>
    <t>G4S__xxxGlance_Sessions__c</t>
  </si>
  <si>
    <t>G4S__xxxTotal_Glance_Duration__c</t>
  </si>
  <si>
    <t>Address_1__c</t>
  </si>
  <si>
    <t>Address_2__c</t>
  </si>
  <si>
    <t>Address_3__c</t>
  </si>
  <si>
    <t>Address_4__c</t>
  </si>
  <si>
    <t>Authorized_Person__c</t>
  </si>
  <si>
    <t>Lead_ID__c</t>
  </si>
  <si>
    <t>Business_Detail__c</t>
  </si>
  <si>
    <t>DB_Created_Date_without_Time__c</t>
  </si>
  <si>
    <t>DB_Lead_Age__c</t>
  </si>
  <si>
    <t>ProspectType__c</t>
  </si>
  <si>
    <t>Prospect_Name_Thai__c</t>
  </si>
  <si>
    <t>Register_ID__c</t>
  </si>
  <si>
    <t>Sub_District__c</t>
  </si>
  <si>
    <t>TSIC__c</t>
  </si>
  <si>
    <t>Last_Status_Date__c</t>
  </si>
  <si>
    <t>Original_Creation_Date__c</t>
  </si>
  <si>
    <t>AgentId</t>
  </si>
  <si>
    <t>LoginTime</t>
  </si>
  <si>
    <t>LogoutTime</t>
  </si>
  <si>
    <t>TimeInOnlineStatus</t>
  </si>
  <si>
    <t>TimeInAwayStatus</t>
  </si>
  <si>
    <t>TimeInChats</t>
  </si>
  <si>
    <t>TimeIdle</t>
  </si>
  <si>
    <t>TimeAtCapacity</t>
  </si>
  <si>
    <t>ChatReqAssigned</t>
  </si>
  <si>
    <t>ChatReqEngaged</t>
  </si>
  <si>
    <t>ChatReqDeclined</t>
  </si>
  <si>
    <t>ChatReqTimedOut</t>
  </si>
  <si>
    <t>NumFlagRaised</t>
  </si>
  <si>
    <t>NumFlagLoweredAgent</t>
  </si>
  <si>
    <t>NumFlagLoweredSupervisor</t>
  </si>
  <si>
    <t>Agent_EmpID__c</t>
  </si>
  <si>
    <t>LiveChatVisitorId</t>
  </si>
  <si>
    <t>Lookup(Chat Visitor)</t>
  </si>
  <si>
    <t>Body</t>
  </si>
  <si>
    <t>LiveChatDeploymentId</t>
  </si>
  <si>
    <t>Lookup(Chat Deployment)</t>
  </si>
  <si>
    <t>LiveChatButtonId</t>
  </si>
  <si>
    <t>Lookup(Chat Button)</t>
  </si>
  <si>
    <t>SkillId</t>
  </si>
  <si>
    <t>Lookup(Skill)</t>
  </si>
  <si>
    <t>IpAddress</t>
  </si>
  <si>
    <t>IP Address</t>
  </si>
  <si>
    <t>UserAgent</t>
  </si>
  <si>
    <t>Browser</t>
  </si>
  <si>
    <t>Platform</t>
  </si>
  <si>
    <t>BrowserLanguage</t>
  </si>
  <si>
    <t>ScreenResolution</t>
  </si>
  <si>
    <t>ReferrerUri</t>
  </si>
  <si>
    <t>RequestTime</t>
  </si>
  <si>
    <t>EndTime</t>
  </si>
  <si>
    <t>EndedBy</t>
  </si>
  <si>
    <t>AverageResponseTimeVisitor</t>
  </si>
  <si>
    <t>AverageResponseTimeOperator</t>
  </si>
  <si>
    <t>OperatorMessageCount</t>
  </si>
  <si>
    <t>VisitorMessageCount</t>
  </si>
  <si>
    <t>MaxResponseTimeOperator</t>
  </si>
  <si>
    <t>ChatKey</t>
  </si>
  <si>
    <t>SupervisorTranscriptBody</t>
  </si>
  <si>
    <t>MaxResponseTimeVisitor</t>
  </si>
  <si>
    <t>VisitorNetwork</t>
  </si>
  <si>
    <t>ChatDuration</t>
  </si>
  <si>
    <t>WaitTime</t>
  </si>
  <si>
    <t>Abandoned</t>
  </si>
  <si>
    <t>IsChatbotSession</t>
  </si>
  <si>
    <t>Abandon_Count__c</t>
  </si>
  <si>
    <t>Chat_Result__c</t>
  </si>
  <si>
    <t>Chat_Status__c</t>
  </si>
  <si>
    <t>Chat_Topic__c</t>
  </si>
  <si>
    <t>SO_QU_Number__c</t>
  </si>
  <si>
    <t>Social_Display_Name__c</t>
  </si>
  <si>
    <t>Count_Imcoming_Chat__c</t>
  </si>
  <si>
    <t>Roll-Up Summary (COUNT Chat Transcript Event)</t>
  </si>
  <si>
    <t>ChatTranscript_Relate__c</t>
  </si>
  <si>
    <t>Count_Agent_Accept_Chat__c</t>
  </si>
  <si>
    <t>Count_Abaddon__c</t>
  </si>
  <si>
    <t>Count_Type_ChatRequest__c</t>
  </si>
  <si>
    <t>Count_Type_Routed_Push__c</t>
  </si>
  <si>
    <t>Agent_Average_Response_Time_inMin_PerMsg__c</t>
  </si>
  <si>
    <t>Visitor_AverageResponseTime_inMin_PerMsg__c</t>
  </si>
  <si>
    <t>Chat_Time_Spent_in_Minutes__c</t>
  </si>
  <si>
    <t>ChatButtonName__c</t>
  </si>
  <si>
    <t>SessionKey</t>
  </si>
  <si>
    <t>City__c</t>
  </si>
  <si>
    <t>DV__c</t>
  </si>
  <si>
    <t>RepID__c</t>
  </si>
  <si>
    <t>Sub_Zone__c</t>
  </si>
  <si>
    <t>Zone_Mapping__c</t>
  </si>
  <si>
    <t>StageName</t>
  </si>
  <si>
    <t>Probability</t>
  </si>
  <si>
    <t>Percent(3, 0)</t>
  </si>
  <si>
    <t>CloseDate</t>
  </si>
  <si>
    <t>NextStep</t>
  </si>
  <si>
    <t>IsWon</t>
  </si>
  <si>
    <t>ForecastCategory</t>
  </si>
  <si>
    <t>ForecastCategoryName</t>
  </si>
  <si>
    <t>HasOpportunityLineItem</t>
  </si>
  <si>
    <t>Pricebook2Id</t>
  </si>
  <si>
    <t>Lookup(Price Book)</t>
  </si>
  <si>
    <t>SyncedQuoteId</t>
  </si>
  <si>
    <t>Lookup(Quote)</t>
  </si>
  <si>
    <t>HasOpenActivity</t>
  </si>
  <si>
    <t>HasOverdueTask</t>
  </si>
  <si>
    <t>LastAmountChangedHistoryId</t>
  </si>
  <si>
    <t>Lookup(Opportunity History)</t>
  </si>
  <si>
    <t>LastCloseDateChangedHistoryId</t>
  </si>
  <si>
    <t>Budget_Confirmed__c</t>
  </si>
  <si>
    <t>Discovery_Completed__c</t>
  </si>
  <si>
    <t>ROI_Analysis_Completed__c</t>
  </si>
  <si>
    <t>Lookup(Visit Plan List)</t>
  </si>
  <si>
    <t>Loss_Reason__c</t>
  </si>
  <si>
    <t>DB_Competitor__c</t>
  </si>
  <si>
    <t>Other_please_specify__c</t>
  </si>
  <si>
    <t>Oppor_Contact_Name__c</t>
  </si>
  <si>
    <t>Oppor_Contact_Position__c</t>
  </si>
  <si>
    <t>Oppor_Contact_Telephone__c</t>
  </si>
  <si>
    <t>Opportunity_Description1__c</t>
  </si>
  <si>
    <t>Opportunity_Sales_Order__c</t>
  </si>
  <si>
    <t>Opportunity_Task_Calendar__c</t>
  </si>
  <si>
    <t>Reference_Number__c</t>
  </si>
  <si>
    <t>Account_Number__c</t>
  </si>
  <si>
    <t>Opportunity_Owner_Role__c</t>
  </si>
  <si>
    <t>Opportunity_Group__c</t>
  </si>
  <si>
    <t>Delivery_Improvement_Topic_Additional__c</t>
  </si>
  <si>
    <t>Delivery_Improvement_Topic__c</t>
  </si>
  <si>
    <t>Delivery_Score__c</t>
  </si>
  <si>
    <t>Number(2, 0)</t>
  </si>
  <si>
    <t>NPS_Score__c</t>
  </si>
  <si>
    <t>Offline_Score__c</t>
  </si>
  <si>
    <t>Online_Score__c</t>
  </si>
  <si>
    <t>Overall_Improvement_Topic_Additional__c</t>
  </si>
  <si>
    <t>Overall_Improvement_Topic__c</t>
  </si>
  <si>
    <t>Purchase_Source__c</t>
  </si>
  <si>
    <t>Submission_Time__c</t>
  </si>
  <si>
    <t>Agent_Improvement_Topic_Additional__c</t>
  </si>
  <si>
    <t>Agent_Improvement_Topic__c</t>
  </si>
  <si>
    <t>Agent_Score__c</t>
  </si>
  <si>
    <t>E_Pro_Score__c</t>
  </si>
  <si>
    <t>Agent__c</t>
  </si>
  <si>
    <t>Chat_Transcript__c</t>
  </si>
  <si>
    <t>Session_ID__c</t>
  </si>
  <si>
    <t>Agent_Score_Service_Mind__c</t>
  </si>
  <si>
    <t>Agent_Score_Service_Speed__c</t>
  </si>
  <si>
    <t>App_Improvement_Topic_Additional__c</t>
  </si>
  <si>
    <t>App_Score_Real_Time_Update__c</t>
  </si>
  <si>
    <t>App_Score_Reporting__c</t>
  </si>
  <si>
    <t>App_Score_User_Manual__c</t>
  </si>
  <si>
    <t>App_Score__c</t>
  </si>
  <si>
    <t>Seller_ID__c</t>
  </si>
  <si>
    <t>Seller_Name__c</t>
  </si>
  <si>
    <t>IsHighPriority</t>
  </si>
  <si>
    <t>Lookup(User,Calendar,Group)</t>
  </si>
  <si>
    <t>CallDurationInSeconds</t>
  </si>
  <si>
    <t>CallType</t>
  </si>
  <si>
    <t>CallDisposition</t>
  </si>
  <si>
    <t>CallObject</t>
  </si>
  <si>
    <t>RecurrenceStartDateOnly</t>
  </si>
  <si>
    <t>RecurrenceRegeneratedType</t>
  </si>
  <si>
    <t>TaskSubtype</t>
  </si>
  <si>
    <t>CompletedDateTime</t>
  </si>
  <si>
    <t>Line</t>
  </si>
  <si>
    <t>store-locations</t>
  </si>
  <si>
    <t>_id</t>
  </si>
  <si>
    <t>updatedAt</t>
  </si>
  <si>
    <t>customers</t>
  </si>
  <si>
    <t>updateOn</t>
  </si>
  <si>
    <t>customer-coupons</t>
  </si>
  <si>
    <t>missionStickers</t>
  </si>
  <si>
    <t>TableName</t>
  </si>
  <si>
    <t>createdAt</t>
  </si>
  <si>
    <t>uid</t>
  </si>
  <si>
    <t>displayName</t>
  </si>
  <si>
    <t>jobOther</t>
  </si>
  <si>
    <t>mobilePhone</t>
  </si>
  <si>
    <t>company</t>
  </si>
  <si>
    <t>tel</t>
  </si>
  <si>
    <t>job</t>
  </si>
  <si>
    <t>couponName</t>
  </si>
  <si>
    <t>priority</t>
  </si>
  <si>
    <t>Integer</t>
  </si>
  <si>
    <t>imageLink</t>
  </si>
  <si>
    <t>isPosUsed</t>
  </si>
  <si>
    <t>tag[0]</t>
  </si>
  <si>
    <t>expireDate</t>
  </si>
  <si>
    <t>startDate</t>
  </si>
  <si>
    <t>tag[1]</t>
  </si>
  <si>
    <t>segmentType</t>
  </si>
  <si>
    <t>contactMobile</t>
  </si>
  <si>
    <t>startRequest</t>
  </si>
  <si>
    <t>Number</t>
  </si>
  <si>
    <t>companyName</t>
  </si>
  <si>
    <t>pictureUrl</t>
  </si>
  <si>
    <t>customerName</t>
  </si>
  <si>
    <t>accountId</t>
  </si>
  <si>
    <t>createBy</t>
  </si>
  <si>
    <t>updateBy</t>
  </si>
  <si>
    <t>customerId</t>
  </si>
  <si>
    <t>accountThaiName</t>
  </si>
  <si>
    <t>createOn</t>
  </si>
  <si>
    <t>contactPhone</t>
  </si>
  <si>
    <t>isUpdate</t>
  </si>
  <si>
    <t>zipCode</t>
  </si>
  <si>
    <t>googleMapUrl</t>
  </si>
  <si>
    <t>imageLargeMapPath</t>
  </si>
  <si>
    <t>storeId</t>
  </si>
  <si>
    <t>imageSmallMapPath</t>
  </si>
  <si>
    <t>faxNumber</t>
  </si>
  <si>
    <t>subDistrict</t>
  </si>
  <si>
    <t>timeService</t>
  </si>
  <si>
    <t>reserved (MB)</t>
  </si>
  <si>
    <t>PIM</t>
  </si>
  <si>
    <t>attribute</t>
  </si>
  <si>
    <t>update_info</t>
  </si>
  <si>
    <t>hybrid_category</t>
  </si>
  <si>
    <t>inventory_category</t>
  </si>
  <si>
    <t>jda_category</t>
  </si>
  <si>
    <t>online_category</t>
  </si>
  <si>
    <t>PIMProduct</t>
  </si>
  <si>
    <t>product_information</t>
  </si>
  <si>
    <t>%3CmxGraphModel%3E%3Croot%3E%3CmxCell%20id%3D%220%22%2F%3E%3CmxCell%20id%3D%221%22%20parent%3D%220%22%2F%3E%3CmxCell%20id%3D%222%22%20value%3D%22%26lt%3Bfont%20style%3D%26quot%3Bfont-size%3A%2018px%26quot%3B%26gt%3BFile%20space%20product_information%26lt%3B%2Ffont%26gt%3B%22%20style%3D%22text%3Bhtml%3D1%3BstrokeColor%3D%23d6b656%3BfillColor%3D%23fff2cc%3Balign%3Dcenter%3BverticalAlign%3Dmiddle%3BwhiteSpace%3Dwrap%3Brounded%3D0%3B%22%20vertex%3D%221%22%20parent%3D%221%22%3E%3CmxGeometry%20x%3D%2240%22%20y%3D%2290%22%20width%3D%22260%22%20height%3D%2270%22%20as%3D%22geometry%22%2F%3E%3C%2FmxCell%3E%3C%2Froot%3E%3C%2FmxGraphModel%3E</t>
  </si>
  <si>
    <t>index json</t>
  </si>
  <si>
    <t>mdc_code</t>
  </si>
  <si>
    <t>display_name.th</t>
  </si>
  <si>
    <t>display_name_th</t>
  </si>
  <si>
    <t>display_name.en</t>
  </si>
  <si>
    <t>display_name_en</t>
  </si>
  <si>
    <t>is_default_attribute</t>
  </si>
  <si>
    <t>Boolean</t>
  </si>
  <si>
    <t>is_display_on_comparable_section</t>
  </si>
  <si>
    <t>is_display_on_product_page</t>
  </si>
  <si>
    <t>is_catalog_filter</t>
  </si>
  <si>
    <t>data_values[*].sequence</t>
  </si>
  <si>
    <t>data_values_seq</t>
  </si>
  <si>
    <t>data_values[*].is_default</t>
  </si>
  <si>
    <t>data_values_is_default</t>
  </si>
  <si>
    <t>data_values[*].value.th</t>
  </si>
  <si>
    <t>data_values_th</t>
  </si>
  <si>
    <t>data_values[*].value.en</t>
  </si>
  <si>
    <t>data_values_en</t>
  </si>
  <si>
    <t>create_info.timestamp</t>
  </si>
  <si>
    <t>create_info_timestamp</t>
  </si>
  <si>
    <t>create_info.user_open_id</t>
  </si>
  <si>
    <t>create_info_user_open_id</t>
  </si>
  <si>
    <t>create_info.user_type</t>
  </si>
  <si>
    <t>create_info_user_type</t>
  </si>
  <si>
    <t>create_info.user_code</t>
  </si>
  <si>
    <t>create_info_user_code</t>
  </si>
  <si>
    <t>create_info.user_name.th</t>
  </si>
  <si>
    <t>create_info_user_name_th</t>
  </si>
  <si>
    <t>create_info.user_name.en</t>
  </si>
  <si>
    <t>create_info_user_name_en</t>
  </si>
  <si>
    <t>update_info.timestamp</t>
  </si>
  <si>
    <t>update_info_timestamp</t>
  </si>
  <si>
    <t>update_info.user_open_id</t>
  </si>
  <si>
    <t>update_info_user_open_id</t>
  </si>
  <si>
    <t>update_info.user_type</t>
  </si>
  <si>
    <t>update_info_user_type</t>
  </si>
  <si>
    <t>update_info.user_code</t>
  </si>
  <si>
    <t>update_info_user_code</t>
  </si>
  <si>
    <t>update_info.user_name.th</t>
  </si>
  <si>
    <t>update_info_user_name_th</t>
  </si>
  <si>
    <t>update_info.user_name.en</t>
  </si>
  <si>
    <t>update_info_user_name_en</t>
  </si>
  <si>
    <t>color_code</t>
  </si>
  <si>
    <t>level</t>
  </si>
  <si>
    <t>Double</t>
  </si>
  <si>
    <t>is_control_product</t>
  </si>
  <si>
    <t>categories_mapped[*].type</t>
  </si>
  <si>
    <t>categories_mapped_type</t>
  </si>
  <si>
    <t>categories_mapped[*]._id</t>
  </si>
  <si>
    <t>categories_mapped_id</t>
  </si>
  <si>
    <t>categories_mapped[*].parent_id</t>
  </si>
  <si>
    <t>categories_mapped_paren_id</t>
  </si>
  <si>
    <t>categories_mapped[*].level</t>
  </si>
  <si>
    <t>categories_mapped_level</t>
  </si>
  <si>
    <t>categories_mapped[*].code</t>
  </si>
  <si>
    <t>categories_mapped_code</t>
  </si>
  <si>
    <t>categories_mapped[*].display_name.th</t>
  </si>
  <si>
    <t>categories_mapped_display_name_th</t>
  </si>
  <si>
    <t>categories_mapped[*].display_name.en</t>
  </si>
  <si>
    <t>categories_mapped_display_name_en</t>
  </si>
  <si>
    <t>categories_mapped[*].parent_categories[*]._id</t>
  </si>
  <si>
    <t>parent_categories_id</t>
  </si>
  <si>
    <t>categories_mapped[*].parent_categories[*].parent_id</t>
  </si>
  <si>
    <t>parent_categorie_parent_id</t>
  </si>
  <si>
    <t>categories_mapped[*].parent_categories[*].level</t>
  </si>
  <si>
    <t>parent_categories_level</t>
  </si>
  <si>
    <t>categories_mapped[*].parent_categories[*].code</t>
  </si>
  <si>
    <t>parent_categories_code</t>
  </si>
  <si>
    <t>categories_mapped[*].parent_categories[*].display_name.th</t>
  </si>
  <si>
    <t>parent_categories_display_name_th</t>
  </si>
  <si>
    <t>categories_mapped[*].parent_categories[*].display_name.en</t>
  </si>
  <si>
    <t>parent_categories_display_name_en</t>
  </si>
  <si>
    <t>product_line</t>
  </si>
  <si>
    <t>gp_standard</t>
  </si>
  <si>
    <t>mapping_hybrid_categories[*].hybrid_category_id</t>
  </si>
  <si>
    <t>hybrid_category_id</t>
  </si>
  <si>
    <t>mapping_hybrid_categories[*].hybrid_parent_id</t>
  </si>
  <si>
    <t>hybrid_parent_id</t>
  </si>
  <si>
    <t>mapping_hybrid_categories[*].hybrid_code</t>
  </si>
  <si>
    <t>hybrid_code</t>
  </si>
  <si>
    <t>mapping_hybrid_categories[*].hybrid_level</t>
  </si>
  <si>
    <t>hybrid_level</t>
  </si>
  <si>
    <t>mapping_hybrid_categories[*].hybrid_category_display_name.th</t>
  </si>
  <si>
    <t>hybrid_category_display_name_th</t>
  </si>
  <si>
    <t>mapping_hybrid_categories[*].hybrid_category_display_name.en</t>
  </si>
  <si>
    <t>hybrid_category_display_name_en</t>
  </si>
  <si>
    <t>mapping_hybrid_categories[*].hybrid_parent_categories[*].pim_id</t>
  </si>
  <si>
    <t>hybrid_parent_categories_id</t>
  </si>
  <si>
    <t>mapping_hybrid_categories[*].hybrid_parent_categories[*].parent_id</t>
  </si>
  <si>
    <t>hybrid_parent_categories_parent_id</t>
  </si>
  <si>
    <t>mapping_hybrid_categories[*].hybrid_parent_categories[*].code</t>
  </si>
  <si>
    <t>hybrid_parent_categories_code</t>
  </si>
  <si>
    <t>mapping_hybrid_categories[*].hybrid_parent_categories[*].level</t>
  </si>
  <si>
    <t>hybrid_parent_categories_level</t>
  </si>
  <si>
    <t>mapping_hybrid_categories[*].hybrid_parent_categories[*].display_name.th</t>
  </si>
  <si>
    <t>hybrid_parent_categories_display_name_th</t>
  </si>
  <si>
    <t>mapping_hybrid_categories[*].hybrid_parent_categories[*].display_name.en</t>
  </si>
  <si>
    <t>hybrid_parent_categories_display_name_en</t>
  </si>
  <si>
    <t>oracle_code</t>
  </si>
  <si>
    <t>bu</t>
  </si>
  <si>
    <t>content.th</t>
  </si>
  <si>
    <t>content_th</t>
  </si>
  <si>
    <t>content.en</t>
  </si>
  <si>
    <t>content_en</t>
  </si>
  <si>
    <t>meta.title_tag.th</t>
  </si>
  <si>
    <t>meta_title_tag_th</t>
  </si>
  <si>
    <t>meta.title_tag.en</t>
  </si>
  <si>
    <t>meta_title_tag_en</t>
  </si>
  <si>
    <t>meta.description_tag.th</t>
  </si>
  <si>
    <t>meta_description_tag_th</t>
  </si>
  <si>
    <t>meta.description_tag.en</t>
  </si>
  <si>
    <t>meta_description_tag_en</t>
  </si>
  <si>
    <t>meta.keyword.th</t>
  </si>
  <si>
    <t>meta_keyword_th</t>
  </si>
  <si>
    <t>meta.keyword.en</t>
  </si>
  <si>
    <t>meta_keyword_en</t>
  </si>
  <si>
    <t>meta.cononical_tag.th</t>
  </si>
  <si>
    <t>meta_cononical_tag_th</t>
  </si>
  <si>
    <t>meta.cononical_tag.en</t>
  </si>
  <si>
    <t>meta_cononical_tag_en</t>
  </si>
  <si>
    <t>meta.robot.th</t>
  </si>
  <si>
    <t>meta_robot_th</t>
  </si>
  <si>
    <t>meta.robot.en</t>
  </si>
  <si>
    <t>meta_robot_en</t>
  </si>
  <si>
    <t>meta.sitemap_priority.th</t>
  </si>
  <si>
    <t>meta_sitemap_priority_th</t>
  </si>
  <si>
    <t>meta.sitemap_priority.en</t>
  </si>
  <si>
    <t>meta_sitemap_priority_en</t>
  </si>
  <si>
    <t>meta.seo_name.th</t>
  </si>
  <si>
    <t>meta_seo_name_th</t>
  </si>
  <si>
    <t>meta.seo_name.en</t>
  </si>
  <si>
    <t>meta_seo_name_en</t>
  </si>
  <si>
    <t>image[*].url</t>
  </si>
  <si>
    <t>image_url</t>
  </si>
  <si>
    <t>image[*].cdn_url</t>
  </si>
  <si>
    <t>image_cdn_url</t>
  </si>
  <si>
    <t>image[*].size</t>
  </si>
  <si>
    <t>image_size</t>
  </si>
  <si>
    <t>categories[*].type</t>
  </si>
  <si>
    <t>categories_type</t>
  </si>
  <si>
    <t>categories[*]._id</t>
  </si>
  <si>
    <t>categories_id</t>
  </si>
  <si>
    <t>categories[*].parent_id</t>
  </si>
  <si>
    <t>categories_parent_id</t>
  </si>
  <si>
    <t>categories[*].level</t>
  </si>
  <si>
    <t>categories_level</t>
  </si>
  <si>
    <t>categories[*].code</t>
  </si>
  <si>
    <t>categories_code</t>
  </si>
  <si>
    <t>categories[*].display_name.th</t>
  </si>
  <si>
    <t>categories_display_name_th</t>
  </si>
  <si>
    <t>categories[*].display_name.en</t>
  </si>
  <si>
    <t>categories_display_name_en</t>
  </si>
  <si>
    <t>categories[*].parent_categories[*]._id</t>
  </si>
  <si>
    <t>categories[*].parent_categories[*].parent_id</t>
  </si>
  <si>
    <t>parent_categories_parent_id</t>
  </si>
  <si>
    <t>categories[*].parent_categories[*].level</t>
  </si>
  <si>
    <t>categories[*].parent_categories[*].code</t>
  </si>
  <si>
    <t>categories[*].parent_categories[*].display_name.th</t>
  </si>
  <si>
    <t>categories[*].parent_categories[*].display_name.en</t>
  </si>
  <si>
    <t>brand._id</t>
  </si>
  <si>
    <t>brand.display_name.th</t>
  </si>
  <si>
    <t>brand_display_name_th</t>
  </si>
  <si>
    <t>brand.display_name.en</t>
  </si>
  <si>
    <t>brand_display_name_en</t>
  </si>
  <si>
    <t>series._id</t>
  </si>
  <si>
    <t>series_id</t>
  </si>
  <si>
    <t>series.display_name.th</t>
  </si>
  <si>
    <t>series_display_name_th</t>
  </si>
  <si>
    <t>series.display_name.en</t>
  </si>
  <si>
    <t>series_display_name_en</t>
  </si>
  <si>
    <t>product_names[*].type</t>
  </si>
  <si>
    <t>product_names_type</t>
  </si>
  <si>
    <t>product_names[*].display_name.th</t>
  </si>
  <si>
    <t>product_names_display_name_th</t>
  </si>
  <si>
    <t>product_names[*].display_name.en</t>
  </si>
  <si>
    <t>product_names_display_name_en</t>
  </si>
  <si>
    <t>vendor_information._id</t>
  </si>
  <si>
    <t>vendor_information_id</t>
  </si>
  <si>
    <t>vendor_information.code</t>
  </si>
  <si>
    <t>vendor_information_code</t>
  </si>
  <si>
    <t>vendor_information.display_name.th</t>
  </si>
  <si>
    <t>vendor_information_display_name_th</t>
  </si>
  <si>
    <t>vendor_information.display_name.en</t>
  </si>
  <si>
    <t>vendor_information_display_name_en</t>
  </si>
  <si>
    <t>vendor_information.vendor_type</t>
  </si>
  <si>
    <t>vendor_information_vendor_type</t>
  </si>
  <si>
    <t>skus[*]._id</t>
  </si>
  <si>
    <t>skus_id</t>
  </si>
  <si>
    <t>skus[*].product_id</t>
  </si>
  <si>
    <t>skus[*].sku_codes[*].type</t>
  </si>
  <si>
    <t>sku_type</t>
  </si>
  <si>
    <t>skus[*].sku_codes[*].code</t>
  </si>
  <si>
    <t>sku_code</t>
  </si>
  <si>
    <t>skus[*].product_status.vendor</t>
  </si>
  <si>
    <t>product_status_vendor</t>
  </si>
  <si>
    <t>skus[*].product_status.inventory</t>
  </si>
  <si>
    <t>product_status_inventory</t>
  </si>
  <si>
    <t>skus[*].product_status.sale</t>
  </si>
  <si>
    <t>product_status_sale</t>
  </si>
  <si>
    <t>skus[*].barcodes[*].type</t>
  </si>
  <si>
    <t>barcodes_type</t>
  </si>
  <si>
    <t>skus[*].barcodes[*].barcode</t>
  </si>
  <si>
    <t>skus[*].product_names[*].type</t>
  </si>
  <si>
    <t>skus[*].product_names[*].display_name.th</t>
  </si>
  <si>
    <t>product_names_th</t>
  </si>
  <si>
    <t>skus[*].product_names[*].display_name.en</t>
  </si>
  <si>
    <t>product_names_en</t>
  </si>
  <si>
    <t>skus[*].mechanics[*]._id</t>
  </si>
  <si>
    <t>mechanics_id</t>
  </si>
  <si>
    <t>skus[*].mechanics[*].display_name.th</t>
  </si>
  <si>
    <t>mechanics_display_name_th</t>
  </si>
  <si>
    <t>skus[*].mechanics[*].display_name.en</t>
  </si>
  <si>
    <t>mechanics_display_name_en</t>
  </si>
  <si>
    <t>skus[*].mechanics[*].type</t>
  </si>
  <si>
    <t>mechanics_type</t>
  </si>
  <si>
    <t>skus[*].mechanics[*].collection</t>
  </si>
  <si>
    <t>mechanics_collection</t>
  </si>
  <si>
    <t>skus[*].mechanics[*].value._id</t>
  </si>
  <si>
    <t>mechanics_value_id</t>
  </si>
  <si>
    <t>skus[*].mechanics[*].value.display_name.th</t>
  </si>
  <si>
    <t>mechanics_value_display_name_th</t>
  </si>
  <si>
    <t>skus[*].mechanics[*].value.display_name.en</t>
  </si>
  <si>
    <t>mechanics_value_display_name_en</t>
  </si>
  <si>
    <t>skus[*].unit._id</t>
  </si>
  <si>
    <t>unit_id</t>
  </si>
  <si>
    <t>skus[*].unit.display_name.th</t>
  </si>
  <si>
    <t>unit_display_name_th</t>
  </si>
  <si>
    <t>skus[*].unit.display_name.en</t>
  </si>
  <si>
    <t>unit_display_name_en</t>
  </si>
  <si>
    <t>skus[*].unit.short_name.th</t>
  </si>
  <si>
    <t>unit_short_name_th</t>
  </si>
  <si>
    <t>skus[*].unit.short_name.en</t>
  </si>
  <si>
    <t>unit_short_name_en</t>
  </si>
  <si>
    <t>skus[*].unit.ratio</t>
  </si>
  <si>
    <t>unit_ratio</t>
  </si>
  <si>
    <t>skus[*].quantity.standard_pack.minimum</t>
  </si>
  <si>
    <t>quantity_standard_pack_minimum</t>
  </si>
  <si>
    <t>skus[*].quantity.standard_pack.maximum</t>
  </si>
  <si>
    <t>quantity_standard_pack_maximum</t>
  </si>
  <si>
    <t>skus[*].quantity.limit_order.minimum</t>
  </si>
  <si>
    <t>quantity_limit_order_minimum</t>
  </si>
  <si>
    <t>skus[*].quantity.limit_order.maximum</t>
  </si>
  <si>
    <t>quantity_limit_order_maximum</t>
  </si>
  <si>
    <t>skus[*].quantity.container_factor</t>
  </si>
  <si>
    <t>quantity_container_factor</t>
  </si>
  <si>
    <t>skus[*].other.is_default_barcode</t>
  </si>
  <si>
    <t>other_is_default_barcode</t>
  </si>
  <si>
    <t>skus[*].other.is_best_deal</t>
  </si>
  <si>
    <t>other_is_best_deal</t>
  </si>
  <si>
    <t>skus[*].other.is_vat</t>
  </si>
  <si>
    <t>other_is_vat</t>
  </si>
  <si>
    <t>skus[*].other.fix_price_period</t>
  </si>
  <si>
    <t>other_fix_price_period</t>
  </si>
  <si>
    <t>skus[*].other.mr_point</t>
  </si>
  <si>
    <t>other_mr_point</t>
  </si>
  <si>
    <t>skus[*].other.has_image</t>
  </si>
  <si>
    <t>other_has_image</t>
  </si>
  <si>
    <t>skus[*].other.is_special_product</t>
  </si>
  <si>
    <t>other_is_special_product</t>
  </si>
  <si>
    <t>skus[*].other.is_special_product_eprocurement</t>
  </si>
  <si>
    <t>other_is_special_product_eprocurement</t>
  </si>
  <si>
    <t>skus[*].other.has_component</t>
  </si>
  <si>
    <t>other_has_component</t>
  </si>
  <si>
    <t>skus[*].other.is_consignment</t>
  </si>
  <si>
    <t>other_is_consignment</t>
  </si>
  <si>
    <t>skus[*].other.has_new_product_fee</t>
  </si>
  <si>
    <t>other_has_new_product_fee</t>
  </si>
  <si>
    <t>skus[*].other.is_return_to_vendor</t>
  </si>
  <si>
    <t>other_is_return_to_vendor</t>
  </si>
  <si>
    <t>skus[*].other.aging</t>
  </si>
  <si>
    <t>other_aging</t>
  </si>
  <si>
    <t>skus[*].other.is_import</t>
  </si>
  <si>
    <t>other_is_import</t>
  </si>
  <si>
    <t>skus[*].other.is_bidding_price</t>
  </si>
  <si>
    <t>other_is_bidding_price</t>
  </si>
  <si>
    <t>skus[*].other.is_preorder</t>
  </si>
  <si>
    <t>other_is_preorder</t>
  </si>
  <si>
    <t>skus[*].other.is_available_stock</t>
  </si>
  <si>
    <t>other_is_available_stock</t>
  </si>
  <si>
    <t>skus[*].other.is_free</t>
  </si>
  <si>
    <t>other_is_free</t>
  </si>
  <si>
    <t>skus[*].other.is_hamper</t>
  </si>
  <si>
    <t>other_is_hamper</t>
  </si>
  <si>
    <t>skus[*].other.has_consumer_protection</t>
  </si>
  <si>
    <t>other_has_consumer_protection</t>
  </si>
  <si>
    <t>skus[*].other.is_own_brand</t>
  </si>
  <si>
    <t>other_is_own_brand</t>
  </si>
  <si>
    <t>skus[*].other.product_remark</t>
  </si>
  <si>
    <t>other_product_remark</t>
  </si>
  <si>
    <t>skus[*].other.type</t>
  </si>
  <si>
    <t>other_type</t>
  </si>
  <si>
    <t>skus[*].other.commission_rate</t>
  </si>
  <si>
    <t>other_commission_rate</t>
  </si>
  <si>
    <t>skus[*].other.discount_rate</t>
  </si>
  <si>
    <t>skus[*].shipment.delivery_lead_time_start</t>
  </si>
  <si>
    <t>shipment_delivery_lead_time_start</t>
  </si>
  <si>
    <t>skus[*].shipment.delivery_lead_time_end</t>
  </si>
  <si>
    <t>shipment_delivery_lead_time_end</t>
  </si>
  <si>
    <t>skus[*].shipment.is_ofm_delivery</t>
  </si>
  <si>
    <t>shipment_is_ofm_delivery</t>
  </si>
  <si>
    <t>skus[*].shipment.is_extra_shipping_fee</t>
  </si>
  <si>
    <t>shipment_is_extra_shipping_fee</t>
  </si>
  <si>
    <t>skus[*].shipment.is_click_and_collect</t>
  </si>
  <si>
    <t>shipment_is_click_and_collect</t>
  </si>
  <si>
    <t>skus[*].shipment.is_verify_dimension</t>
  </si>
  <si>
    <t>shipment_is_verify_dimension</t>
  </si>
  <si>
    <t>skus[*].shipment.dimensions[0].type</t>
  </si>
  <si>
    <t>shipment_dimensions_type</t>
  </si>
  <si>
    <t>skus[*].shipment.dimensions[0].units._id</t>
  </si>
  <si>
    <t>shipment_dimensions_units_id</t>
  </si>
  <si>
    <t>skus[*].shipment.dimensions[0].units.display_name.th</t>
  </si>
  <si>
    <t>shipment_dimensions_units_display_name_th</t>
  </si>
  <si>
    <t>skus[*].shipment.dimensions[0].units.display_name.en</t>
  </si>
  <si>
    <t>shipment_dimensions_units_display_name_en</t>
  </si>
  <si>
    <t>skus[*].shipment.dimensions[0].units.short_name.th</t>
  </si>
  <si>
    <t>shipment_dimensions_units_short_name_th</t>
  </si>
  <si>
    <t>skus[*].shipment.dimensions[0].units.short_name.en</t>
  </si>
  <si>
    <t>shipment_dimensions_units_short_name_en</t>
  </si>
  <si>
    <t>skus[*].shipment.dimensions[0].width_mm</t>
  </si>
  <si>
    <t>shipment_dimensions_width_mm</t>
  </si>
  <si>
    <t>skus[*].shipment.dimensions[0].length_mm</t>
  </si>
  <si>
    <t>shipment_dimensions_length_mm</t>
  </si>
  <si>
    <t>skus[*].shipment.dimensions[0].height_mm</t>
  </si>
  <si>
    <t>shipment_dimensions_height_mm</t>
  </si>
  <si>
    <t>skus[*].shipment.dimensions[0].weight_g</t>
  </si>
  <si>
    <t>shipment_dimensions_weight_g</t>
  </si>
  <si>
    <t>skus[*].shipment.dimensions[0].unit_of_measurement</t>
  </si>
  <si>
    <t>shipment_dimensions_unit_of_measurement</t>
  </si>
  <si>
    <t>skus[*].shipment.dimensions[0].barcode</t>
  </si>
  <si>
    <t>shipment_dimensions_barcode</t>
  </si>
  <si>
    <t>skus[*].shipment.delivery_fee</t>
  </si>
  <si>
    <t>shipment_delivery_fee</t>
  </si>
  <si>
    <t>skus[*].shipment.delivery_cubic_meter</t>
  </si>
  <si>
    <t>shipment_delivery_cubic_meter</t>
  </si>
  <si>
    <t>skus[*].channels[*]._id</t>
  </si>
  <si>
    <t>channels_id</t>
  </si>
  <si>
    <t>skus[*].channels[*].display_name.th</t>
  </si>
  <si>
    <t>channels_display_name_th</t>
  </si>
  <si>
    <t>skus[*].channels[*].display_name.en</t>
  </si>
  <si>
    <t>channels_display_name_en</t>
  </si>
  <si>
    <t>skus[*].channels[*].group</t>
  </si>
  <si>
    <t>channels_group</t>
  </si>
  <si>
    <t>skus[*].channels[*].channel_sku_code</t>
  </si>
  <si>
    <t>channels__sku_code</t>
  </si>
  <si>
    <t>skus[*].jda.status</t>
  </si>
  <si>
    <t>jda_status</t>
  </si>
  <si>
    <t>skus[*].jda.special_type</t>
  </si>
  <si>
    <t>jda_special_type</t>
  </si>
  <si>
    <t>skus[*].meta.title_tag.th</t>
  </si>
  <si>
    <t>skus[*].meta.title_tag.en</t>
  </si>
  <si>
    <t>skus[*].meta.description_tag.th</t>
  </si>
  <si>
    <t>skus[*].meta.description_tag.en</t>
  </si>
  <si>
    <t>skus[*].meta.keyword.th</t>
  </si>
  <si>
    <t>skus[*].meta.keyword.en</t>
  </si>
  <si>
    <t>skus[*].meta.cononical_tag.th</t>
  </si>
  <si>
    <t>skus[*].meta.cononical_tag.en</t>
  </si>
  <si>
    <t>skus[*].meta.robot.th</t>
  </si>
  <si>
    <t>skus[*].meta.robot.en</t>
  </si>
  <si>
    <t>skus[*].meta.seo_name.th</t>
  </si>
  <si>
    <t>skus[*].meta.seo_name.en</t>
  </si>
  <si>
    <t>skus[*].meta.sitemap_priority.th</t>
  </si>
  <si>
    <t>skus[*].meta.sitemap_priority.en</t>
  </si>
  <si>
    <t>skus[*].images[*].sequence</t>
  </si>
  <si>
    <t>images_seq</t>
  </si>
  <si>
    <t>skus[*].images[*].size</t>
  </si>
  <si>
    <t>images_size</t>
  </si>
  <si>
    <t>skus[*].images[*].url</t>
  </si>
  <si>
    <t>images_url</t>
  </si>
  <si>
    <t>skus[*].images[*].cdn_url</t>
  </si>
  <si>
    <t>images_cdn_url</t>
  </si>
  <si>
    <t>skus[*].vendor._id</t>
  </si>
  <si>
    <t>vendor_id</t>
  </si>
  <si>
    <t>skus[*].vendor.code</t>
  </si>
  <si>
    <t>vendor_code</t>
  </si>
  <si>
    <t>skus[*].vendor.display_name.th</t>
  </si>
  <si>
    <t>vendor_display_name_th</t>
  </si>
  <si>
    <t>skus[*].vendor.display_name.en</t>
  </si>
  <si>
    <t>vendor_display_name_en</t>
  </si>
  <si>
    <t>skus[*].vendor.vendor_type</t>
  </si>
  <si>
    <t>skus[*].substitutes.sequence</t>
  </si>
  <si>
    <t>substitutes_seq</t>
  </si>
  <si>
    <t>skus[*].substitutes.product_id</t>
  </si>
  <si>
    <t>substitutes_product_id</t>
  </si>
  <si>
    <t>skus[*].substitutes.sku_id</t>
  </si>
  <si>
    <t>substitutes_sku_id</t>
  </si>
  <si>
    <t>skus[*].substitutes_to.sequence</t>
  </si>
  <si>
    <t>substitutes_to_seq</t>
  </si>
  <si>
    <t>skus[*].substitutes_to.product_id</t>
  </si>
  <si>
    <t>substitutes_to_product_id</t>
  </si>
  <si>
    <t>skus[*].substitutes_to.sku_id</t>
  </si>
  <si>
    <t>substitutes_to_sku_id</t>
  </si>
  <si>
    <t>skus[*].payments[*]._id</t>
  </si>
  <si>
    <t>payments_id</t>
  </si>
  <si>
    <t>skus[*].payments[*].payment_group</t>
  </si>
  <si>
    <t>payments_group</t>
  </si>
  <si>
    <t>skus[*].payments[*].display_name.th</t>
  </si>
  <si>
    <t>payments_display_name_th</t>
  </si>
  <si>
    <t>skus[*].payments[*].display_name.en</t>
  </si>
  <si>
    <t>payments_display_name_en</t>
  </si>
  <si>
    <t>skus[*].inventory.warehouse_for_goods_received.warehouse_id</t>
  </si>
  <si>
    <t>skus[*].inventory.warehouse_for_goods_received.warehouse_name</t>
  </si>
  <si>
    <t>warehouse_name</t>
  </si>
  <si>
    <t>skus[*].inventory.warehouse_for_goods_received.sub_warehouses.sub_warehouse_id</t>
  </si>
  <si>
    <t>sub_warehouse_id</t>
  </si>
  <si>
    <t>skus[*].inventory.warehouse_for_goods_received.sub_warehouses.sub_warehouse_name</t>
  </si>
  <si>
    <t>sub_warehouse_name</t>
  </si>
  <si>
    <t>skus[*].inventory.warehouse_for_goods_received.sub_warehouses.order_type</t>
  </si>
  <si>
    <t>sub_warehouse_order_type</t>
  </si>
  <si>
    <t>skus[*].create_info.timestamp</t>
  </si>
  <si>
    <t>skus_create_info_timestamp</t>
  </si>
  <si>
    <t>skus[*].create_info.user_open_id</t>
  </si>
  <si>
    <t>skus_create_info_user_open_id</t>
  </si>
  <si>
    <t>skus[*].create_info.user_type</t>
  </si>
  <si>
    <t>skus_create_info_user_type</t>
  </si>
  <si>
    <t>skus[*].create_info.user_code</t>
  </si>
  <si>
    <t>skus_create_info_user_code</t>
  </si>
  <si>
    <t>skus[*].create_info.user_name.th</t>
  </si>
  <si>
    <t>skus_create_info_user_name_th</t>
  </si>
  <si>
    <t>skus[*].create_info.user_name.en</t>
  </si>
  <si>
    <t>skus_create_info_user_name_en</t>
  </si>
  <si>
    <t>skus[*].update_info.timestamp</t>
  </si>
  <si>
    <t>skus_update_info_timestamp</t>
  </si>
  <si>
    <t>skus[*].update_info.user_open_id</t>
  </si>
  <si>
    <t>skus_update_info_user_open_id</t>
  </si>
  <si>
    <t>skus[*].update_info.user_type</t>
  </si>
  <si>
    <t>skus_update_info_user_type</t>
  </si>
  <si>
    <t>skus[*].update_info.user_code</t>
  </si>
  <si>
    <t>skus_update_info_user_code</t>
  </si>
  <si>
    <t>skus[*].update_info.user_name.th</t>
  </si>
  <si>
    <t>skus_update_info_user_name_th</t>
  </si>
  <si>
    <t>skus[*].update_info.user_name.en</t>
  </si>
  <si>
    <t>skus_update_info_user_name_en</t>
  </si>
  <si>
    <t>skus[*].price.prices[*].type</t>
  </si>
  <si>
    <t>skus[*].price.prices[*].include_vat</t>
  </si>
  <si>
    <t>price_include_vat</t>
  </si>
  <si>
    <t>skus[*].price.prices[*].exclude_vat</t>
  </si>
  <si>
    <t>price_exclude_vat</t>
  </si>
  <si>
    <t>skus[*].price.create_info.timestamp</t>
  </si>
  <si>
    <t>price_create_info_timestamp</t>
  </si>
  <si>
    <t>skus[*].price.create_info.user_open_id</t>
  </si>
  <si>
    <t>price_create_info_user_open_id</t>
  </si>
  <si>
    <t>skus[*].price.create_info.user_type</t>
  </si>
  <si>
    <t>price_create_info_user_type</t>
  </si>
  <si>
    <t>skus[*].price.create_info.user_code</t>
  </si>
  <si>
    <t>price_create_info_user_code</t>
  </si>
  <si>
    <t>skus[*].price.create_info.user_name.th</t>
  </si>
  <si>
    <t>price_create_info_user_name_th</t>
  </si>
  <si>
    <t>skus[*].price.create_info.user_name.en</t>
  </si>
  <si>
    <t>price_create_info_user_name_en</t>
  </si>
  <si>
    <t>skus[*].price.update_info.timestamp</t>
  </si>
  <si>
    <t>price_update_info_timestamp</t>
  </si>
  <si>
    <t>skus[*].price.update_info.user_open_id</t>
  </si>
  <si>
    <t>price_update_info_user_open_id</t>
  </si>
  <si>
    <t>skus[*].price.update_info.user_type</t>
  </si>
  <si>
    <t>price_update_info_user_type</t>
  </si>
  <si>
    <t>skus[*].price.update_info.user_code</t>
  </si>
  <si>
    <t>price_update_info_user_code</t>
  </si>
  <si>
    <t>skus[*].price.update_info.user_name.th</t>
  </si>
  <si>
    <t>price_update_info_user_name_th</t>
  </si>
  <si>
    <t>skus[*].price.update_info.user_name.en</t>
  </si>
  <si>
    <t>price_update_info_user_name_en</t>
  </si>
  <si>
    <t>sku_mechanics[*]._id</t>
  </si>
  <si>
    <t>sku_mechanics_id</t>
  </si>
  <si>
    <t>sku_mechanics[*].display_name.th</t>
  </si>
  <si>
    <t>sku_mechanics_display_name_th</t>
  </si>
  <si>
    <t>sku_mechanics[*].display_name.en</t>
  </si>
  <si>
    <t>sku_mechanics_display_name_en</t>
  </si>
  <si>
    <t>sku_mechanics[*].type</t>
  </si>
  <si>
    <t>sku_mechanics_type</t>
  </si>
  <si>
    <t>sku_mechanics[*].collection</t>
  </si>
  <si>
    <t>sku_mechanics_collection</t>
  </si>
  <si>
    <t>sku_mechanics[*].values[0]._id</t>
  </si>
  <si>
    <t>sku_mechanics_values_id</t>
  </si>
  <si>
    <t>sku_mechanics[*].values[0].display_name.th</t>
  </si>
  <si>
    <t>sku_mechanics_values_display_name_th</t>
  </si>
  <si>
    <t>sku_mechanics[*].values[0].display_name.en</t>
  </si>
  <si>
    <t>sku_mechanics_values_display_name_en</t>
  </si>
  <si>
    <t>content.short_description.th</t>
  </si>
  <si>
    <t>content_short_description_th</t>
  </si>
  <si>
    <t>content.short_description.en</t>
  </si>
  <si>
    <t>content_short_description_en</t>
  </si>
  <si>
    <t>content.long_description.th</t>
  </si>
  <si>
    <t>content_long_description_th</t>
  </si>
  <si>
    <t>content.long_description.en</t>
  </si>
  <si>
    <t>content_long_description_en</t>
  </si>
  <si>
    <t>content.url[*]</t>
  </si>
  <si>
    <t>content_url</t>
  </si>
  <si>
    <t>attribute._id</t>
  </si>
  <si>
    <t>attribute_id</t>
  </si>
  <si>
    <t>attribute.display_name.th</t>
  </si>
  <si>
    <t>attribute_display_name_th</t>
  </si>
  <si>
    <t>attribute.display_name.en</t>
  </si>
  <si>
    <t>attribute_display_name_en</t>
  </si>
  <si>
    <t>attribute.attributes[*].sequence</t>
  </si>
  <si>
    <t>attribute_att_seq</t>
  </si>
  <si>
    <t>attribute.attributes[*]._id</t>
  </si>
  <si>
    <t>attribute_att_id</t>
  </si>
  <si>
    <t>attribute.attributes[*].mdc_code</t>
  </si>
  <si>
    <t>attribute_att_mdc_code</t>
  </si>
  <si>
    <t>attribute.attributes[*].display_name.th</t>
  </si>
  <si>
    <t>attribute_att_display_name_th</t>
  </si>
  <si>
    <t>attribute.attributes[*].display_name.en</t>
  </si>
  <si>
    <t>attribute_att_display_name_en</t>
  </si>
  <si>
    <t>attribute.attributes[*].value.th</t>
  </si>
  <si>
    <t>attribute_att_value_th</t>
  </si>
  <si>
    <t>attribute.attributes[*].value.en</t>
  </si>
  <si>
    <t>attribute_att_value_en</t>
  </si>
  <si>
    <t>attribute.attributes[*].is_display_on_comparable_section</t>
  </si>
  <si>
    <t>attribute_att_is_display_on_comparable_section</t>
  </si>
  <si>
    <t>attribute.attributes[*].is_display_on_product_page</t>
  </si>
  <si>
    <t>attribute_att_is_display_on_product_page</t>
  </si>
  <si>
    <t>attribute.attributes[*].is_catalog_filter</t>
  </si>
  <si>
    <t>attribute_att_is_catalog_filter</t>
  </si>
  <si>
    <t>other.vendor_remark</t>
  </si>
  <si>
    <t>vendor_remark</t>
  </si>
  <si>
    <t>files[*].sequence</t>
  </si>
  <si>
    <t>files_seq</t>
  </si>
  <si>
    <t>files[*].file.size</t>
  </si>
  <si>
    <t>files_size</t>
  </si>
  <si>
    <t>files[*].file.name</t>
  </si>
  <si>
    <t>files_name</t>
  </si>
  <si>
    <t>files[*].file.type</t>
  </si>
  <si>
    <t>files_type</t>
  </si>
  <si>
    <t>files[*].url</t>
  </si>
  <si>
    <t>files_url</t>
  </si>
  <si>
    <t>files[*].cdn_url</t>
  </si>
  <si>
    <t>files_cdn_url</t>
  </si>
  <si>
    <t>files[*].document_type</t>
  </si>
  <si>
    <t>files_document_type</t>
  </si>
  <si>
    <t>files[*].create_on</t>
  </si>
  <si>
    <t>files_create_on</t>
  </si>
  <si>
    <t>update_info.action_type</t>
  </si>
  <si>
    <t>update_info_action_type</t>
  </si>
  <si>
    <t>TABLE_SCHEMA</t>
  </si>
  <si>
    <t>TABLE_TYPE</t>
  </si>
  <si>
    <t>TABLE_ROWS</t>
  </si>
  <si>
    <t>AVG_ROW_LENGTH</t>
  </si>
  <si>
    <t>DATA_LENGTH</t>
  </si>
  <si>
    <t>MAX_DATA_LENGTH</t>
  </si>
  <si>
    <t>INDEX_LENGTH</t>
  </si>
  <si>
    <t>DATA_FREE</t>
  </si>
  <si>
    <t>AUTO_INCREMENT</t>
  </si>
  <si>
    <t>CREATE_TIME</t>
  </si>
  <si>
    <t>UPDATE_TIME</t>
  </si>
  <si>
    <t>TABLE_COLLATION</t>
  </si>
  <si>
    <t>TABLE_COMMENT</t>
  </si>
  <si>
    <t>b2s_new</t>
  </si>
  <si>
    <t>admin_analytics_usage_version_log</t>
  </si>
  <si>
    <t>BASE TABLE</t>
  </si>
  <si>
    <t>utf8_general_ci</t>
  </si>
  <si>
    <t>Admin Notification Viewer Log Table</t>
  </si>
  <si>
    <t>admin_passwords</t>
  </si>
  <si>
    <t>Admin Passwords</t>
  </si>
  <si>
    <t>admin_system_messages</t>
  </si>
  <si>
    <t>Admin System Messages</t>
  </si>
  <si>
    <t>admin_user</t>
  </si>
  <si>
    <t>Admin User Table</t>
  </si>
  <si>
    <t>admin_user_expiration</t>
  </si>
  <si>
    <t>Admin User expiration dates table</t>
  </si>
  <si>
    <t>admin_user_session</t>
  </si>
  <si>
    <t>Admin User sessions table</t>
  </si>
  <si>
    <t>adminnotification_inbox</t>
  </si>
  <si>
    <t>Adminnotification Inbox</t>
  </si>
  <si>
    <t>adobe_stock_asset</t>
  </si>
  <si>
    <t>Adobe Stock Asset</t>
  </si>
  <si>
    <t>adobe_stock_category</t>
  </si>
  <si>
    <t>Adobe Stock Category</t>
  </si>
  <si>
    <t>adobe_stock_creator</t>
  </si>
  <si>
    <t>Adobe Stock Creator</t>
  </si>
  <si>
    <t>adobe_user_profile</t>
  </si>
  <si>
    <t>Adobe IMS User Profile</t>
  </si>
  <si>
    <t>algolia_additional_sections_cl</t>
  </si>
  <si>
    <t>algolia_categories_cl</t>
  </si>
  <si>
    <t>algolia_delete_products_cl</t>
  </si>
  <si>
    <t>algolia_pages_cl</t>
  </si>
  <si>
    <t>algolia_products_cl</t>
  </si>
  <si>
    <t>algolia_queue_runner_cl</t>
  </si>
  <si>
    <t>algolia_suggestions_cl</t>
  </si>
  <si>
    <t>algoliasearch_landing_page</t>
  </si>
  <si>
    <t>algoliasearch_query</t>
  </si>
  <si>
    <t>algoliasearch_queue</t>
  </si>
  <si>
    <t>algoliasearch_queue_archive</t>
  </si>
  <si>
    <t>algoliasearch_queue_log</t>
  </si>
  <si>
    <t>amasty_ampromo_rule</t>
  </si>
  <si>
    <t>Amasty Autoadd Rules Table</t>
  </si>
  <si>
    <t>amasty_amrules_rule</t>
  </si>
  <si>
    <t>Amasty Promotions Rules Table</t>
  </si>
  <si>
    <t>amasty_amrules_usage_counter</t>
  </si>
  <si>
    <t>amasty_amrules_usage_limit</t>
  </si>
  <si>
    <t>amasty_amshopby_cms_page</t>
  </si>
  <si>
    <t>amasty_amshopby_filter_setting</t>
  </si>
  <si>
    <t>amasty_amshopby_group_attr</t>
  </si>
  <si>
    <t>amasty_amshopby_group_attr_option</t>
  </si>
  <si>
    <t>amasty_amshopby_group_attr_value</t>
  </si>
  <si>
    <t>amasty_amshopby_option_setting</t>
  </si>
  <si>
    <t>amasty_amshopby_page</t>
  </si>
  <si>
    <t>Amasty ShopBy Page Table</t>
  </si>
  <si>
    <t>amasty_amshopby_page_store</t>
  </si>
  <si>
    <t>Amasty ShopBy Page To Store Linkage Table</t>
  </si>
  <si>
    <t>amasty_banners_lite_banner_data</t>
  </si>
  <si>
    <t>Amasty Promo Banners Lite Banner Data Table</t>
  </si>
  <si>
    <t>amasty_banners_lite_rule</t>
  </si>
  <si>
    <t>Amasty Promo Banners Lite Rule</t>
  </si>
  <si>
    <t>amasty_bannerslider_banner_analytics</t>
  </si>
  <si>
    <t>amasty_bannerslider_banner_click_temp</t>
  </si>
  <si>
    <t>amasty_bannerslider_banner_dynamic</t>
  </si>
  <si>
    <t>Banner Dynamic Table</t>
  </si>
  <si>
    <t>amasty_bannerslider_banner_static</t>
  </si>
  <si>
    <t>Banner Static Table</t>
  </si>
  <si>
    <t>amasty_bannerslider_banner_view_temp</t>
  </si>
  <si>
    <t>amasty_bannerslider_slider_banner</t>
  </si>
  <si>
    <t>Slider and Banner tables relations</t>
  </si>
  <si>
    <t>amasty_bannerslider_slider_dynamic</t>
  </si>
  <si>
    <t>Slider Dynamic Table</t>
  </si>
  <si>
    <t>amasty_bannerslider_slider_static</t>
  </si>
  <si>
    <t>Slider Static Table</t>
  </si>
  <si>
    <t>amasty_conditions_quote</t>
  </si>
  <si>
    <t>Amasty Conditions Quote Information</t>
  </si>
  <si>
    <t>amasty_feed_category</t>
  </si>
  <si>
    <t>amasty_feed_category_mapping</t>
  </si>
  <si>
    <t>amasty_feed_entity</t>
  </si>
  <si>
    <t>amasty_feed_entity_cl</t>
  </si>
  <si>
    <t>amasty_feed_field</t>
  </si>
  <si>
    <t>amasty_feed_field_conditions</t>
  </si>
  <si>
    <t>amasty_feed_google_taxonomy</t>
  </si>
  <si>
    <t>amasty_feed_product_cl</t>
  </si>
  <si>
    <t>amasty_feed_schedule</t>
  </si>
  <si>
    <t>Cron Schedule Execution</t>
  </si>
  <si>
    <t>amasty_feed_valid_products</t>
  </si>
  <si>
    <t>amasty_preorder_order_item_preorder</t>
  </si>
  <si>
    <t>amasty_preorder_order_preorder</t>
  </si>
  <si>
    <t>amasty_sorting_bestseller_cl</t>
  </si>
  <si>
    <t>amasty_sorting_bestsellers</t>
  </si>
  <si>
    <t>Amasty Sorting Bestsellers</t>
  </si>
  <si>
    <t>amasty_sorting_most_viewed</t>
  </si>
  <si>
    <t>Amasty Sorting Most Viewed</t>
  </si>
  <si>
    <t>amasty_sorting_most_viewed_cl</t>
  </si>
  <si>
    <t>amasty_sorting_wished</t>
  </si>
  <si>
    <t>Amasty Sorting Wished</t>
  </si>
  <si>
    <t>amasty_sorting_wished_cl</t>
  </si>
  <si>
    <t>amazon_customer</t>
  </si>
  <si>
    <t>amazon_pending_authorization</t>
  </si>
  <si>
    <t>amazon_pending_capture</t>
  </si>
  <si>
    <t>amazon_pending_refund</t>
  </si>
  <si>
    <t>amazon_quote</t>
  </si>
  <si>
    <t>amazon_sales_order</t>
  </si>
  <si>
    <t>authorization_role</t>
  </si>
  <si>
    <t>Admin Role Table</t>
  </si>
  <si>
    <t>authorization_rule</t>
  </si>
  <si>
    <t>Admin Rule Table</t>
  </si>
  <si>
    <t>b2s_contact</t>
  </si>
  <si>
    <t>b2s_order_sync</t>
  </si>
  <si>
    <t>B2S Order Sync</t>
  </si>
  <si>
    <t>b2s_payment_confirmation</t>
  </si>
  <si>
    <t>b2s_shipment_queue</t>
  </si>
  <si>
    <t>B2S Shipment Queue</t>
  </si>
  <si>
    <t>b2s_shipment_queue_item</t>
  </si>
  <si>
    <t>B2S Shipment Queue's item</t>
  </si>
  <si>
    <t>braintree_credit_prices</t>
  </si>
  <si>
    <t>Braintree credit rates</t>
  </si>
  <si>
    <t>braintree_transaction_details</t>
  </si>
  <si>
    <t>Braintree transaction details table</t>
  </si>
  <si>
    <t>cache</t>
  </si>
  <si>
    <t>Caches</t>
  </si>
  <si>
    <t>cache_tag</t>
  </si>
  <si>
    <t>Tag Caches</t>
  </si>
  <si>
    <t>captcha_log</t>
  </si>
  <si>
    <t>Count Login Attempts</t>
  </si>
  <si>
    <t>catalog_category_entity</t>
  </si>
  <si>
    <t>Catalog Category Table</t>
  </si>
  <si>
    <t>catalog_category_entity_datetime</t>
  </si>
  <si>
    <t>Catalog Category Datetime Attribute Backend Table</t>
  </si>
  <si>
    <t>catalog_category_entity_decimal</t>
  </si>
  <si>
    <t>Catalog Category Decimal Attribute Backend Table</t>
  </si>
  <si>
    <t>catalog_category_entity_int</t>
  </si>
  <si>
    <t>Catalog Category Integer Attribute Backend Table</t>
  </si>
  <si>
    <t>catalog_category_entity_text</t>
  </si>
  <si>
    <t>Catalog Category Text Attribute Backend Table</t>
  </si>
  <si>
    <t>catalog_category_entity_varchar</t>
  </si>
  <si>
    <t>Catalog Category Varchar Attribute Backend Table</t>
  </si>
  <si>
    <t>catalog_category_product</t>
  </si>
  <si>
    <t>Catalog Product To Category Linkage Table</t>
  </si>
  <si>
    <t>catalog_category_product_cl</t>
  </si>
  <si>
    <t>catalog_category_product_index</t>
  </si>
  <si>
    <t>Catalog Category Product Index</t>
  </si>
  <si>
    <t>catalog_category_product_index_replica</t>
  </si>
  <si>
    <t>catalog_category_product_index_store1</t>
  </si>
  <si>
    <t>Catalog Category Product Index Store1</t>
  </si>
  <si>
    <t>catalog_category_product_index_store1_replica</t>
  </si>
  <si>
    <t>Catalog Category Product Index Store1 Replica</t>
  </si>
  <si>
    <t>catalog_category_product_index_store5</t>
  </si>
  <si>
    <t>Catalog Category Product Index Store5</t>
  </si>
  <si>
    <t>catalog_category_product_index_store5_replica</t>
  </si>
  <si>
    <t>Catalog Category Product Index Store5 Replica</t>
  </si>
  <si>
    <t>catalog_category_product_index_tmp</t>
  </si>
  <si>
    <t>Catalog Category Product Indexer temporary table</t>
  </si>
  <si>
    <t>catalog_compare_item</t>
  </si>
  <si>
    <t>Catalog Compare Table</t>
  </si>
  <si>
    <t>catalog_compare_list</t>
  </si>
  <si>
    <t>Catalog Compare List with hash Table</t>
  </si>
  <si>
    <t>catalog_eav_attribute</t>
  </si>
  <si>
    <t>Catalog EAV Attribute Table</t>
  </si>
  <si>
    <t>catalog_product_attribute_cl</t>
  </si>
  <si>
    <t>catalog_product_bundle_option</t>
  </si>
  <si>
    <t>Catalog Product Bundle Option</t>
  </si>
  <si>
    <t>catalog_product_bundle_option_value</t>
  </si>
  <si>
    <t>Catalog Product Bundle Option Value</t>
  </si>
  <si>
    <t>catalog_product_bundle_price_index</t>
  </si>
  <si>
    <t>Catalog Product Bundle Price Index</t>
  </si>
  <si>
    <t>catalog_product_bundle_selection</t>
  </si>
  <si>
    <t>Catalog Product Bundle Selection</t>
  </si>
  <si>
    <t>catalog_product_bundle_selection_price</t>
  </si>
  <si>
    <t>Catalog Product Bundle Selection Price</t>
  </si>
  <si>
    <t>catalog_product_bundle_stock_index</t>
  </si>
  <si>
    <t>Catalog Product Bundle Stock Index</t>
  </si>
  <si>
    <t>catalog_product_category_cl</t>
  </si>
  <si>
    <t>catalog_product_entity</t>
  </si>
  <si>
    <t>Catalog Product Table</t>
  </si>
  <si>
    <t>catalog_product_entity_datetime</t>
  </si>
  <si>
    <t>Catalog Product Datetime Attribute Backend Table</t>
  </si>
  <si>
    <t>catalog_product_entity_decimal</t>
  </si>
  <si>
    <t>Catalog Product Decimal Attribute Backend Table</t>
  </si>
  <si>
    <t>catalog_product_entity_gallery</t>
  </si>
  <si>
    <t>Catalog Product Gallery Attribute Backend Table</t>
  </si>
  <si>
    <t>catalog_product_entity_int</t>
  </si>
  <si>
    <t>Catalog Product Integer Attribute Backend Table</t>
  </si>
  <si>
    <t>catalog_product_entity_media_gallery</t>
  </si>
  <si>
    <t>Catalog Product Media Gallery Attribute Backend Table</t>
  </si>
  <si>
    <t>catalog_product_entity_media_gallery_value</t>
  </si>
  <si>
    <t>Catalog Product Media Gallery Attribute Value Table</t>
  </si>
  <si>
    <t>catalog_product_entity_media_gallery_value_to_entity</t>
  </si>
  <si>
    <t>Link Media value to Product entity table</t>
  </si>
  <si>
    <t>catalog_product_entity_media_gallery_value_video</t>
  </si>
  <si>
    <t>Catalog Product Video Table</t>
  </si>
  <si>
    <t>catalog_product_entity_text</t>
  </si>
  <si>
    <t>Catalog Product Text Attribute Backend Table</t>
  </si>
  <si>
    <t>catalog_product_entity_tier_price</t>
  </si>
  <si>
    <t>Catalog Product Tier Price Attribute Backend Table</t>
  </si>
  <si>
    <t>catalog_product_entity_varchar</t>
  </si>
  <si>
    <t>Catalog Product Varchar Attribute Backend Table</t>
  </si>
  <si>
    <t>catalog_product_frontend_action</t>
  </si>
  <si>
    <t>Catalog Product Frontend Action Table</t>
  </si>
  <si>
    <t>catalog_product_index_eav</t>
  </si>
  <si>
    <t>Catalog Product EAV Index Table</t>
  </si>
  <si>
    <t>catalog_product_index_eav_decimal</t>
  </si>
  <si>
    <t>Catalog Product EAV Decimal Index Table</t>
  </si>
  <si>
    <t>catalog_product_index_eav_decimal_idx</t>
  </si>
  <si>
    <t>Catalog Product EAV Decimal Indexer Index Table</t>
  </si>
  <si>
    <t>catalog_product_index_eav_decimal_replica</t>
  </si>
  <si>
    <t>catalog_product_index_eav_decimal_tmp</t>
  </si>
  <si>
    <t>Catalog Product EAV Decimal Indexer Temp Table</t>
  </si>
  <si>
    <t>catalog_product_index_eav_idx</t>
  </si>
  <si>
    <t>Catalog Product EAV Indexer Index Table</t>
  </si>
  <si>
    <t>catalog_product_index_eav_replica</t>
  </si>
  <si>
    <t>catalog_product_index_eav_tmp</t>
  </si>
  <si>
    <t>Catalog Product EAV Indexer Temp Table</t>
  </si>
  <si>
    <t>catalog_product_index_price</t>
  </si>
  <si>
    <t>Catalog Product Price Index Table</t>
  </si>
  <si>
    <t>catalog_product_index_price_bundle_idx</t>
  </si>
  <si>
    <t>Catalog Product Index Price Bundle Idx</t>
  </si>
  <si>
    <t>catalog_product_index_price_bundle_opt_idx</t>
  </si>
  <si>
    <t>Catalog Product Index Price Bundle Opt Idx</t>
  </si>
  <si>
    <t>catalog_product_index_price_bundle_opt_tmp</t>
  </si>
  <si>
    <t>Catalog Product Index Price Bundle Opt Tmp</t>
  </si>
  <si>
    <t>catalog_product_index_price_bundle_sel_idx</t>
  </si>
  <si>
    <t>Catalog Product Index Price Bundle Sel Idx</t>
  </si>
  <si>
    <t>catalog_product_index_price_bundle_sel_tmp</t>
  </si>
  <si>
    <t>Catalog Product Index Price Bundle Sel Tmp</t>
  </si>
  <si>
    <t>catalog_product_index_price_bundle_tmp</t>
  </si>
  <si>
    <t>Catalog Product Index Price Bundle Tmp</t>
  </si>
  <si>
    <t>catalog_product_index_price_cfg_opt_agr_idx</t>
  </si>
  <si>
    <t>Catalog Product Price Indexer Config Option Aggregate Index Table</t>
  </si>
  <si>
    <t>catalog_product_index_price_cfg_opt_agr_tmp</t>
  </si>
  <si>
    <t>Catalog Product Price Indexer Config Option Aggregate Temp Table</t>
  </si>
  <si>
    <t>catalog_product_index_price_cfg_opt_idx</t>
  </si>
  <si>
    <t>Catalog Product Price Indexer Config Option Index Table</t>
  </si>
  <si>
    <t>catalog_product_index_price_cfg_opt_tmp</t>
  </si>
  <si>
    <t>Catalog Product Price Indexer Config Option Temp Table</t>
  </si>
  <si>
    <t>catalog_product_index_price_downlod_idx</t>
  </si>
  <si>
    <t>Indexer Table for price of downloadable products</t>
  </si>
  <si>
    <t>catalog_product_index_price_downlod_tmp</t>
  </si>
  <si>
    <t>Temporary Indexer Table for price of downloadable products</t>
  </si>
  <si>
    <t>catalog_product_index_price_final_idx</t>
  </si>
  <si>
    <t>Catalog Product Price Indexer Final Index Table</t>
  </si>
  <si>
    <t>catalog_product_index_price_final_tmp</t>
  </si>
  <si>
    <t>Catalog Product Price Indexer Final Temp Table</t>
  </si>
  <si>
    <t>catalog_product_index_price_idx</t>
  </si>
  <si>
    <t>Catalog Product Price Indexer Index Table</t>
  </si>
  <si>
    <t>catalog_product_index_price_opt_agr_idx</t>
  </si>
  <si>
    <t>Catalog Product Price Indexer Option Aggregate Index Table</t>
  </si>
  <si>
    <t>catalog_product_index_price_opt_agr_tmp</t>
  </si>
  <si>
    <t>Catalog Product Price Indexer Option Aggregate Temp Table</t>
  </si>
  <si>
    <t>catalog_product_index_price_opt_idx</t>
  </si>
  <si>
    <t>Catalog Product Price Indexer Option Index Table</t>
  </si>
  <si>
    <t>catalog_product_index_price_opt_tmp</t>
  </si>
  <si>
    <t>Catalog Product Price Indexer Option Temp Table</t>
  </si>
  <si>
    <t>catalog_product_index_price_replica</t>
  </si>
  <si>
    <t>catalog_product_index_price_tmp</t>
  </si>
  <si>
    <t>Catalog Product Price Indexer Temp Table</t>
  </si>
  <si>
    <t>catalog_product_index_tier_price</t>
  </si>
  <si>
    <t>Catalog Product Tier Price Index Table</t>
  </si>
  <si>
    <t>catalog_product_index_website</t>
  </si>
  <si>
    <t>Catalog Product Website Index Table</t>
  </si>
  <si>
    <t>catalog_product_link</t>
  </si>
  <si>
    <t>Catalog Product To Product Linkage Table</t>
  </si>
  <si>
    <t>catalog_product_link_attribute</t>
  </si>
  <si>
    <t>Catalog Product Link Attribute Table</t>
  </si>
  <si>
    <t>catalog_product_link_attribute_decimal</t>
  </si>
  <si>
    <t>Catalog Product Link Decimal Attribute Table</t>
  </si>
  <si>
    <t>catalog_product_link_attribute_int</t>
  </si>
  <si>
    <t>Catalog Product Link Integer Attribute Table</t>
  </si>
  <si>
    <t>catalog_product_link_attribute_varchar</t>
  </si>
  <si>
    <t>Catalog Product Link Varchar Attribute Table</t>
  </si>
  <si>
    <t>catalog_product_link_type</t>
  </si>
  <si>
    <t>Catalog Product Link Type Table</t>
  </si>
  <si>
    <t>catalog_product_option</t>
  </si>
  <si>
    <t>Catalog Product Option Table</t>
  </si>
  <si>
    <t>catalog_product_option_price</t>
  </si>
  <si>
    <t>Catalog Product Option Price Table</t>
  </si>
  <si>
    <t>catalog_product_option_title</t>
  </si>
  <si>
    <t>Catalog Product Option Title Table</t>
  </si>
  <si>
    <t>catalog_product_option_type_price</t>
  </si>
  <si>
    <t>Catalog Product Option Type Price Table</t>
  </si>
  <si>
    <t>catalog_product_option_type_title</t>
  </si>
  <si>
    <t>Catalog Product Option Type Title Table</t>
  </si>
  <si>
    <t>catalog_product_option_type_value</t>
  </si>
  <si>
    <t>Catalog Product Option Type Value Table</t>
  </si>
  <si>
    <t>catalog_product_price_cl</t>
  </si>
  <si>
    <t>catalog_product_relation</t>
  </si>
  <si>
    <t>Catalog Product Relation Table</t>
  </si>
  <si>
    <t>catalog_product_super_attribute</t>
  </si>
  <si>
    <t>Catalog Product Super Attribute Table</t>
  </si>
  <si>
    <t>catalog_product_super_attribute_label</t>
  </si>
  <si>
    <t>Catalog Product Super Attribute Label Table</t>
  </si>
  <si>
    <t>catalog_product_super_link</t>
  </si>
  <si>
    <t>Catalog Product Super Link Table</t>
  </si>
  <si>
    <t>catalog_product_website</t>
  </si>
  <si>
    <t>Catalog Product To Website Linkage Table</t>
  </si>
  <si>
    <t>catalog_url_rewrite_product_category</t>
  </si>
  <si>
    <t>url_rewrite_relation</t>
  </si>
  <si>
    <t>cataloginventory_stock</t>
  </si>
  <si>
    <t>Cataloginventory Stock</t>
  </si>
  <si>
    <t>cataloginventory_stock_cl</t>
  </si>
  <si>
    <t>cataloginventory_stock_item</t>
  </si>
  <si>
    <t>Cataloginventory Stock Item</t>
  </si>
  <si>
    <t>cataloginventory_stock_status</t>
  </si>
  <si>
    <t>Cataloginventory Stock Status</t>
  </si>
  <si>
    <t>cataloginventory_stock_status_idx</t>
  </si>
  <si>
    <t>Cataloginventory Stock Status Indexer Idx</t>
  </si>
  <si>
    <t>cataloginventory_stock_status_replica</t>
  </si>
  <si>
    <t>cataloginventory_stock_status_tmp</t>
  </si>
  <si>
    <t>Cataloginventory Stock Status Indexer Tmp</t>
  </si>
  <si>
    <t>catalogrule</t>
  </si>
  <si>
    <t>CatalogRule</t>
  </si>
  <si>
    <t>catalogrule_customer_group</t>
  </si>
  <si>
    <t>Catalog Rules To Customer Groups Relations</t>
  </si>
  <si>
    <t>catalogrule_group_website</t>
  </si>
  <si>
    <t>CatalogRule Group Website</t>
  </si>
  <si>
    <t>catalogrule_group_website_replica</t>
  </si>
  <si>
    <t>catalogrule_product</t>
  </si>
  <si>
    <t>CatalogRule Product</t>
  </si>
  <si>
    <t>catalogrule_product_cl</t>
  </si>
  <si>
    <t>catalogrule_product_price</t>
  </si>
  <si>
    <t>CatalogRule Product Price</t>
  </si>
  <si>
    <t>catalogrule_product_price_replica</t>
  </si>
  <si>
    <t>catalogrule_product_replica</t>
  </si>
  <si>
    <t>catalogrule_rule_cl</t>
  </si>
  <si>
    <t>catalogrule_website</t>
  </si>
  <si>
    <t>Catalog Rules To Websites Relations</t>
  </si>
  <si>
    <t>catalogsearch_fulltext_cl</t>
  </si>
  <si>
    <t>catalogsearch_recommendations</t>
  </si>
  <si>
    <t>Advanced Search Recommendations</t>
  </si>
  <si>
    <t>checkout_agreement</t>
  </si>
  <si>
    <t>Checkout Agreement</t>
  </si>
  <si>
    <t>checkout_agreement_store</t>
  </si>
  <si>
    <t>Checkout Agreement Store</t>
  </si>
  <si>
    <t>cms_block</t>
  </si>
  <si>
    <t>CMS Block Table</t>
  </si>
  <si>
    <t>cms_block_store</t>
  </si>
  <si>
    <t>CMS Block To Store Linkage Table</t>
  </si>
  <si>
    <t>cms_page</t>
  </si>
  <si>
    <t>CMS Page Table</t>
  </si>
  <si>
    <t>cms_page_store</t>
  </si>
  <si>
    <t>CMS Page To Store Linkage Table</t>
  </si>
  <si>
    <t>core_config_data</t>
  </si>
  <si>
    <t>Config Data</t>
  </si>
  <si>
    <t>cron_schedule</t>
  </si>
  <si>
    <t>Cron Schedule</t>
  </si>
  <si>
    <t>customer_address_entity</t>
  </si>
  <si>
    <t>Customer Address Entity</t>
  </si>
  <si>
    <t>customer_address_entity_datetime</t>
  </si>
  <si>
    <t>Customer Address Entity Datetime</t>
  </si>
  <si>
    <t>customer_address_entity_decimal</t>
  </si>
  <si>
    <t>Customer Address Entity Decimal</t>
  </si>
  <si>
    <t>customer_address_entity_int</t>
  </si>
  <si>
    <t>Customer Address Entity Int</t>
  </si>
  <si>
    <t>customer_address_entity_text</t>
  </si>
  <si>
    <t>Customer Address Entity Text</t>
  </si>
  <si>
    <t>customer_address_entity_varchar</t>
  </si>
  <si>
    <t>Customer Address Entity Varchar</t>
  </si>
  <si>
    <t>customer_dummy_cl</t>
  </si>
  <si>
    <t>customer_eav_attribute</t>
  </si>
  <si>
    <t>Customer Eav Attribute</t>
  </si>
  <si>
    <t>customer_eav_attribute_website</t>
  </si>
  <si>
    <t>Customer Eav Attribute Website</t>
  </si>
  <si>
    <t>customer_entity</t>
  </si>
  <si>
    <t>Customer Entity</t>
  </si>
  <si>
    <t>customer_entity_datetime</t>
  </si>
  <si>
    <t>Customer Entity Datetime</t>
  </si>
  <si>
    <t>customer_entity_decimal</t>
  </si>
  <si>
    <t>Customer Entity Decimal</t>
  </si>
  <si>
    <t>customer_entity_int</t>
  </si>
  <si>
    <t>Customer Entity Int</t>
  </si>
  <si>
    <t>customer_entity_text</t>
  </si>
  <si>
    <t>Customer Entity Text</t>
  </si>
  <si>
    <t>customer_entity_varchar</t>
  </si>
  <si>
    <t>Customer Entity Varchar</t>
  </si>
  <si>
    <t>customer_form_attribute</t>
  </si>
  <si>
    <t>Customer Form Attribute</t>
  </si>
  <si>
    <t>customer_grid_flat</t>
  </si>
  <si>
    <t>customer_group</t>
  </si>
  <si>
    <t>Customer Group</t>
  </si>
  <si>
    <t>customer_log</t>
  </si>
  <si>
    <t>Customer Log Table</t>
  </si>
  <si>
    <t>customer_visitor</t>
  </si>
  <si>
    <t>Visitor Table</t>
  </si>
  <si>
    <t>design_change</t>
  </si>
  <si>
    <t>Design Changes</t>
  </si>
  <si>
    <t>design_config_dummy_cl</t>
  </si>
  <si>
    <t>design_config_grid_flat</t>
  </si>
  <si>
    <t>directory_city_subdistrict</t>
  </si>
  <si>
    <t>Directory City Subdistrict</t>
  </si>
  <si>
    <t>directory_city_subdistrict_name</t>
  </si>
  <si>
    <t>Directory City Subdistrict Name</t>
  </si>
  <si>
    <t>directory_country</t>
  </si>
  <si>
    <t>Directory Country</t>
  </si>
  <si>
    <t>directory_country_format</t>
  </si>
  <si>
    <t>Directory Country Format</t>
  </si>
  <si>
    <t>directory_country_region</t>
  </si>
  <si>
    <t>Directory Country Region</t>
  </si>
  <si>
    <t>directory_country_region_name</t>
  </si>
  <si>
    <t>Directory Country Region Name</t>
  </si>
  <si>
    <t>directory_currency_rate</t>
  </si>
  <si>
    <t>Directory Currency Rate</t>
  </si>
  <si>
    <t>directory_region_city</t>
  </si>
  <si>
    <t>Directory Region City</t>
  </si>
  <si>
    <t>directory_region_city_name</t>
  </si>
  <si>
    <t>Directory Region City Name</t>
  </si>
  <si>
    <t>downloadable_link</t>
  </si>
  <si>
    <t>Downloadable Link Table</t>
  </si>
  <si>
    <t>downloadable_link_price</t>
  </si>
  <si>
    <t>Downloadable Link Price Table</t>
  </si>
  <si>
    <t>downloadable_link_purchased</t>
  </si>
  <si>
    <t>Downloadable Link Purchased Table</t>
  </si>
  <si>
    <t>downloadable_link_purchased_item</t>
  </si>
  <si>
    <t>Downloadable Link Purchased Item Table</t>
  </si>
  <si>
    <t>downloadable_link_title</t>
  </si>
  <si>
    <t>Link Title Table</t>
  </si>
  <si>
    <t>downloadable_sample</t>
  </si>
  <si>
    <t>Downloadable Sample Table</t>
  </si>
  <si>
    <t>downloadable_sample_title</t>
  </si>
  <si>
    <t>Downloadable Sample Title Table</t>
  </si>
  <si>
    <t>eav_attribute</t>
  </si>
  <si>
    <t>Eav Attribute</t>
  </si>
  <si>
    <t>eav_attribute_group</t>
  </si>
  <si>
    <t>Eav Attribute Group</t>
  </si>
  <si>
    <t>eav_attribute_label</t>
  </si>
  <si>
    <t>Eav Attribute Label</t>
  </si>
  <si>
    <t>eav_attribute_option</t>
  </si>
  <si>
    <t>Eav Attribute Option</t>
  </si>
  <si>
    <t>eav_attribute_option_swatch</t>
  </si>
  <si>
    <t>Magento Swatches table</t>
  </si>
  <si>
    <t>eav_attribute_option_value</t>
  </si>
  <si>
    <t>Eav Attribute Option Value</t>
  </si>
  <si>
    <t>eav_attribute_set</t>
  </si>
  <si>
    <t>Eav Attribute Set</t>
  </si>
  <si>
    <t>eav_entity</t>
  </si>
  <si>
    <t>Eav Entity</t>
  </si>
  <si>
    <t>eav_entity_attribute</t>
  </si>
  <si>
    <t>Eav Entity Attributes</t>
  </si>
  <si>
    <t>eav_entity_datetime</t>
  </si>
  <si>
    <t>Eav Entity Value Prefix</t>
  </si>
  <si>
    <t>eav_entity_decimal</t>
  </si>
  <si>
    <t>eav_entity_int</t>
  </si>
  <si>
    <t>eav_entity_store</t>
  </si>
  <si>
    <t>Eav Entity Store</t>
  </si>
  <si>
    <t>eav_entity_text</t>
  </si>
  <si>
    <t>eav_entity_type</t>
  </si>
  <si>
    <t>Eav Entity Type</t>
  </si>
  <si>
    <t>eav_entity_varchar</t>
  </si>
  <si>
    <t>eav_form_element</t>
  </si>
  <si>
    <t>Eav Form Element</t>
  </si>
  <si>
    <t>eav_form_fieldset</t>
  </si>
  <si>
    <t>Eav Form Fieldset</t>
  </si>
  <si>
    <t>eav_form_fieldset_label</t>
  </si>
  <si>
    <t>Eav Form Fieldset Label</t>
  </si>
  <si>
    <t>eav_form_type</t>
  </si>
  <si>
    <t>Eav Form Type</t>
  </si>
  <si>
    <t>eav_form_type_entity</t>
  </si>
  <si>
    <t>Eav Form Type Entity</t>
  </si>
  <si>
    <t>email_abandoned_cart</t>
  </si>
  <si>
    <t>Abandoned Carts Table</t>
  </si>
  <si>
    <t>email_automation</t>
  </si>
  <si>
    <t>Automation Status</t>
  </si>
  <si>
    <t>email_campaign</t>
  </si>
  <si>
    <t>Connector Campaigns</t>
  </si>
  <si>
    <t>email_catalog</t>
  </si>
  <si>
    <t>Connector Catalog</t>
  </si>
  <si>
    <t>Connector Contacts</t>
  </si>
  <si>
    <t>email_contact_consent</t>
  </si>
  <si>
    <t>Email contact consent table.</t>
  </si>
  <si>
    <t>email_coupon_attribute</t>
  </si>
  <si>
    <t>Dotdigital coupon attributes table</t>
  </si>
  <si>
    <t>email_failed_auth</t>
  </si>
  <si>
    <t>Email Failed Auth Table.</t>
  </si>
  <si>
    <t>email_importer</t>
  </si>
  <si>
    <t>Email Importer</t>
  </si>
  <si>
    <t>email_order</t>
  </si>
  <si>
    <t>Transactional Order Data</t>
  </si>
  <si>
    <t>email_review</t>
  </si>
  <si>
    <t>Connector Reviews</t>
  </si>
  <si>
    <t>email_rules</t>
  </si>
  <si>
    <t>Connector Rules</t>
  </si>
  <si>
    <t>email_sms_order_queue</t>
  </si>
  <si>
    <t>Dotdigital SMS order queue table</t>
  </si>
  <si>
    <t>email_template</t>
  </si>
  <si>
    <t>Email Templates</t>
  </si>
  <si>
    <t>email_wishlist</t>
  </si>
  <si>
    <t>Connector Wishlist</t>
  </si>
  <si>
    <t>firebear_export_history</t>
  </si>
  <si>
    <t>Export Jobs</t>
  </si>
  <si>
    <t>firebear_export_jobs</t>
  </si>
  <si>
    <t>File Updated At</t>
  </si>
  <si>
    <t>firebear_export_jobs_event</t>
  </si>
  <si>
    <t>Export job event</t>
  </si>
  <si>
    <t>firebear_import_history</t>
  </si>
  <si>
    <t>firebear_import_job_mapping</t>
  </si>
  <si>
    <t>Import Attributes Mapping</t>
  </si>
  <si>
    <t>firebear_import_job_replacing</t>
  </si>
  <si>
    <t>Import Find and Replace Data</t>
  </si>
  <si>
    <t>firebear_import_jobs</t>
  </si>
  <si>
    <t>firebear_importexport_importdata</t>
  </si>
  <si>
    <t>Firebear Import Data Table</t>
  </si>
  <si>
    <t>flag</t>
  </si>
  <si>
    <t>Flag</t>
  </si>
  <si>
    <t>gift_message</t>
  </si>
  <si>
    <t>Gift Message</t>
  </si>
  <si>
    <t>googleoptimizer_code</t>
  </si>
  <si>
    <t>Google Experiment code</t>
  </si>
  <si>
    <t>import_history</t>
  </si>
  <si>
    <t>Import history table</t>
  </si>
  <si>
    <t>importexport_importdata</t>
  </si>
  <si>
    <t>Import Data Table</t>
  </si>
  <si>
    <t>indexer_state</t>
  </si>
  <si>
    <t>Indexer State</t>
  </si>
  <si>
    <t>integration</t>
  </si>
  <si>
    <t>inventory_cl</t>
  </si>
  <si>
    <t>inventory_geoname</t>
  </si>
  <si>
    <t>inventory_low_stock_notification_configuration</t>
  </si>
  <si>
    <t>inventory_order_notification</t>
  </si>
  <si>
    <t>inventory_pickup_location_order</t>
  </si>
  <si>
    <t>inventory_pickup_location_quote_address</t>
  </si>
  <si>
    <t>inventory_reservation</t>
  </si>
  <si>
    <t>inventory_shipment_source</t>
  </si>
  <si>
    <t>inventory_source</t>
  </si>
  <si>
    <t>inventory_source_carrier_link</t>
  </si>
  <si>
    <t>inventory_source_item</t>
  </si>
  <si>
    <t>inventory_source_stock_link</t>
  </si>
  <si>
    <t>inventory_stock</t>
  </si>
  <si>
    <t>inventory_stock_1</t>
  </si>
  <si>
    <t>VIEW</t>
  </si>
  <si>
    <t>inventory_stock_sales_channel</t>
  </si>
  <si>
    <t>klarna_core_order</t>
  </si>
  <si>
    <t>Klarna Order</t>
  </si>
  <si>
    <t>klarna_payments_quote</t>
  </si>
  <si>
    <t>Klarna Payments Quote</t>
  </si>
  <si>
    <t>layout_link</t>
  </si>
  <si>
    <t>Layout Link</t>
  </si>
  <si>
    <t>layout_update</t>
  </si>
  <si>
    <t>Layout Updates</t>
  </si>
  <si>
    <t>login_as_customer</t>
  </si>
  <si>
    <t>Magento Login as Customer Table</t>
  </si>
  <si>
    <t>login_as_customer_assistance_allowed</t>
  </si>
  <si>
    <t>Magento Login as Customer Assistance Allowed Table</t>
  </si>
  <si>
    <t>magento_acknowledged_bulk</t>
  </si>
  <si>
    <t>Bulk that was viewed by user from notification area</t>
  </si>
  <si>
    <t>magento_bulk</t>
  </si>
  <si>
    <t>Bulk entity that represents set of related asynchronous operations</t>
  </si>
  <si>
    <t>magento_login_as_customer_log</t>
  </si>
  <si>
    <t>Login as Customer Logging</t>
  </si>
  <si>
    <t>magento_operation</t>
  </si>
  <si>
    <t>Operation entity</t>
  </si>
  <si>
    <t>mageplaza_smtp_abandonedcart</t>
  </si>
  <si>
    <t>SMTP Abandoned Cart</t>
  </si>
  <si>
    <t>mageplaza_smtp_log</t>
  </si>
  <si>
    <t>mageplaza_social_customer</t>
  </si>
  <si>
    <t>Social Customer Table</t>
  </si>
  <si>
    <t>mageplaza_twofactorauth_trusted</t>
  </si>
  <si>
    <t>Trusted Device Table</t>
  </si>
  <si>
    <t>media_content_asset</t>
  </si>
  <si>
    <t>Relation between media content and media asset</t>
  </si>
  <si>
    <t>media_gallery_asset</t>
  </si>
  <si>
    <t>Media Gallery Asset</t>
  </si>
  <si>
    <t>media_gallery_asset_keyword</t>
  </si>
  <si>
    <t>Media Gallery Asset Keyword</t>
  </si>
  <si>
    <t>media_gallery_keyword</t>
  </si>
  <si>
    <t>Media Gallery Keyword</t>
  </si>
  <si>
    <t>mview_state</t>
  </si>
  <si>
    <t>View State</t>
  </si>
  <si>
    <t>newsletter_problem</t>
  </si>
  <si>
    <t>Newsletter Problems</t>
  </si>
  <si>
    <t>newsletter_queue</t>
  </si>
  <si>
    <t>Newsletter Queue</t>
  </si>
  <si>
    <t>newsletter_queue_link</t>
  </si>
  <si>
    <t>Newsletter Queue Link</t>
  </si>
  <si>
    <t>newsletter_queue_store_link</t>
  </si>
  <si>
    <t>Newsletter Queue Store Link</t>
  </si>
  <si>
    <t>newsletter_subscriber</t>
  </si>
  <si>
    <t>Newsletter Subscriber</t>
  </si>
  <si>
    <t>newsletter_template</t>
  </si>
  <si>
    <t>Newsletter Template</t>
  </si>
  <si>
    <t>oauth_consumer</t>
  </si>
  <si>
    <t>OAuth Consumers</t>
  </si>
  <si>
    <t>oauth_nonce</t>
  </si>
  <si>
    <t>OAuth Nonce</t>
  </si>
  <si>
    <t>oauth_token</t>
  </si>
  <si>
    <t>OAuth Tokens</t>
  </si>
  <si>
    <t>oauth_token_request_log</t>
  </si>
  <si>
    <t>Log of token request authentication failures.</t>
  </si>
  <si>
    <t>password_reset_request_event</t>
  </si>
  <si>
    <t>Password Reset Request Event under a security control</t>
  </si>
  <si>
    <t>patch_list</t>
  </si>
  <si>
    <t>List of data/schema patches</t>
  </si>
  <si>
    <t>payment_2c2p_meta</t>
  </si>
  <si>
    <t>2C2P Payment Meta</t>
  </si>
  <si>
    <t>paypal_billing_agreement</t>
  </si>
  <si>
    <t>Sales Billing Agreement</t>
  </si>
  <si>
    <t>paypal_billing_agreement_order</t>
  </si>
  <si>
    <t>Sales Billing Agreement Order</t>
  </si>
  <si>
    <t>paypal_cert</t>
  </si>
  <si>
    <t>Paypal Certificate Table</t>
  </si>
  <si>
    <t>paypal_payment_transaction</t>
  </si>
  <si>
    <t>PayPal Payflow Link Payment Transaction</t>
  </si>
  <si>
    <t>paypal_settlement_report</t>
  </si>
  <si>
    <t>Paypal Settlement Report Table</t>
  </si>
  <si>
    <t>paypal_settlement_report_row</t>
  </si>
  <si>
    <t>Paypal Settlement Report Row Table</t>
  </si>
  <si>
    <t>persistent_session</t>
  </si>
  <si>
    <t>Persistent Session</t>
  </si>
  <si>
    <t>product_alert_price</t>
  </si>
  <si>
    <t>Product Alert Price</t>
  </si>
  <si>
    <t>product_alert_stock</t>
  </si>
  <si>
    <t>Product Alert Stock</t>
  </si>
  <si>
    <t>queue</t>
  </si>
  <si>
    <t>Table storing unique queues</t>
  </si>
  <si>
    <t>queue_lock</t>
  </si>
  <si>
    <t>Messages that were processed are inserted here to be locked.</t>
  </si>
  <si>
    <t>queue_message</t>
  </si>
  <si>
    <t>Queue messages</t>
  </si>
  <si>
    <t>queue_message_status</t>
  </si>
  <si>
    <t>Relation table to keep associations between queues and messages</t>
  </si>
  <si>
    <t>queue_poison_pill</t>
  </si>
  <si>
    <t>Sequence table for poison pill versions</t>
  </si>
  <si>
    <t>quote</t>
  </si>
  <si>
    <t>Sales Flat Quote</t>
  </si>
  <si>
    <t>quote_address</t>
  </si>
  <si>
    <t>Sales Flat Quote Address</t>
  </si>
  <si>
    <t>quote_address_item</t>
  </si>
  <si>
    <t>Sales Flat Quote Address Item</t>
  </si>
  <si>
    <t>quote_id_mask</t>
  </si>
  <si>
    <t>Quote ID and masked ID mapping</t>
  </si>
  <si>
    <t>quote_item</t>
  </si>
  <si>
    <t>Sales Flat Quote Item</t>
  </si>
  <si>
    <t>quote_item_option</t>
  </si>
  <si>
    <t>Sales Flat Quote Item Option</t>
  </si>
  <si>
    <t>quote_payment</t>
  </si>
  <si>
    <t>Sales Flat Quote Payment</t>
  </si>
  <si>
    <t>quote_shipping_rate</t>
  </si>
  <si>
    <t>Sales Flat Quote Shipping Rate</t>
  </si>
  <si>
    <t>rating</t>
  </si>
  <si>
    <t>Ratings</t>
  </si>
  <si>
    <t>rating_entity</t>
  </si>
  <si>
    <t>Rating entities</t>
  </si>
  <si>
    <t>rating_option</t>
  </si>
  <si>
    <t>Rating options</t>
  </si>
  <si>
    <t>rating_option_vote</t>
  </si>
  <si>
    <t>Rating option values</t>
  </si>
  <si>
    <t>rating_option_vote_aggregated</t>
  </si>
  <si>
    <t>Rating vote aggregated</t>
  </si>
  <si>
    <t>rating_store</t>
  </si>
  <si>
    <t>Rating Store</t>
  </si>
  <si>
    <t>rating_title</t>
  </si>
  <si>
    <t>Rating Title</t>
  </si>
  <si>
    <t>release_notification_viewer_log</t>
  </si>
  <si>
    <t>Release Notification Viewer Log Table</t>
  </si>
  <si>
    <t>report_compared_product_index</t>
  </si>
  <si>
    <t>Reports Compared Product Index Table</t>
  </si>
  <si>
    <t>report_event</t>
  </si>
  <si>
    <t>Reports Event Table</t>
  </si>
  <si>
    <t>report_event_types</t>
  </si>
  <si>
    <t>Reports Event Type Table</t>
  </si>
  <si>
    <t>report_viewed_product_aggregated_daily</t>
  </si>
  <si>
    <t>Most Viewed Products Aggregated Daily</t>
  </si>
  <si>
    <t>report_viewed_product_aggregated_monthly</t>
  </si>
  <si>
    <t>Most Viewed Products Aggregated Monthly</t>
  </si>
  <si>
    <t>report_viewed_product_aggregated_yearly</t>
  </si>
  <si>
    <t>Most Viewed Products Aggregated Yearly</t>
  </si>
  <si>
    <t>report_viewed_product_index</t>
  </si>
  <si>
    <t>Reports Viewed Product Index Table</t>
  </si>
  <si>
    <t>reporting_counts</t>
  </si>
  <si>
    <t>Reporting for all count related events generated via the cron job</t>
  </si>
  <si>
    <t>reporting_module_status</t>
  </si>
  <si>
    <t>Module Status Table</t>
  </si>
  <si>
    <t>reporting_orders</t>
  </si>
  <si>
    <t>Reporting for all orders</t>
  </si>
  <si>
    <t>reporting_system_updates</t>
  </si>
  <si>
    <t>Reporting for system updates</t>
  </si>
  <si>
    <t>reporting_users</t>
  </si>
  <si>
    <t>Reporting for user actions</t>
  </si>
  <si>
    <t>review</t>
  </si>
  <si>
    <t>Review base information</t>
  </si>
  <si>
    <t>review_detail</t>
  </si>
  <si>
    <t>Review detail information</t>
  </si>
  <si>
    <t>review_entity</t>
  </si>
  <si>
    <t>Review entities</t>
  </si>
  <si>
    <t>review_entity_summary</t>
  </si>
  <si>
    <t>Review aggregates</t>
  </si>
  <si>
    <t>review_status</t>
  </si>
  <si>
    <t>Review statuses</t>
  </si>
  <si>
    <t>review_store</t>
  </si>
  <si>
    <t>Review Store</t>
  </si>
  <si>
    <t>sales_bestsellers_aggregated_daily</t>
  </si>
  <si>
    <t>Sales Bestsellers Aggregated Daily</t>
  </si>
  <si>
    <t>sales_bestsellers_aggregated_monthly</t>
  </si>
  <si>
    <t>Sales Bestsellers Aggregated Monthly</t>
  </si>
  <si>
    <t>sales_bestsellers_aggregated_yearly</t>
  </si>
  <si>
    <t>Sales Bestsellers Aggregated Yearly</t>
  </si>
  <si>
    <t>sales_creditmemo</t>
  </si>
  <si>
    <t>Sales Flat Creditmemo</t>
  </si>
  <si>
    <t>sales_creditmemo_comment</t>
  </si>
  <si>
    <t>Sales Flat Creditmemo Comment</t>
  </si>
  <si>
    <t>sales_creditmemo_grid</t>
  </si>
  <si>
    <t>Sales Flat Creditmemo Grid</t>
  </si>
  <si>
    <t>sales_creditmemo_item</t>
  </si>
  <si>
    <t>Sales Flat Creditmemo Item</t>
  </si>
  <si>
    <t>sales_invoice</t>
  </si>
  <si>
    <t>Sales Flat Invoice</t>
  </si>
  <si>
    <t>sales_invoice_comment</t>
  </si>
  <si>
    <t>Sales Flat Invoice Comment</t>
  </si>
  <si>
    <t>sales_invoice_grid</t>
  </si>
  <si>
    <t>Sales Flat Invoice Grid</t>
  </si>
  <si>
    <t>sales_invoice_item</t>
  </si>
  <si>
    <t>Sales Flat Invoice Item</t>
  </si>
  <si>
    <t>sales_invoiced_aggregated</t>
  </si>
  <si>
    <t>Sales Invoiced Aggregated</t>
  </si>
  <si>
    <t>sales_invoiced_aggregated_order</t>
  </si>
  <si>
    <t>Sales Invoiced Aggregated Order</t>
  </si>
  <si>
    <t>sales_order</t>
  </si>
  <si>
    <t>Sales Flat Order</t>
  </si>
  <si>
    <t>sales_order_address</t>
  </si>
  <si>
    <t>Sales Flat Order Address</t>
  </si>
  <si>
    <t>sales_order_aggregated_created</t>
  </si>
  <si>
    <t>Sales Order Aggregated Created</t>
  </si>
  <si>
    <t>sales_order_aggregated_updated</t>
  </si>
  <si>
    <t>Sales Order Aggregated Updated</t>
  </si>
  <si>
    <t>sales_order_grid</t>
  </si>
  <si>
    <t>Sales Flat Order Grid</t>
  </si>
  <si>
    <t>sales_order_item</t>
  </si>
  <si>
    <t>Sales Flat Order Item</t>
  </si>
  <si>
    <t>sales_order_payment</t>
  </si>
  <si>
    <t>Sales Flat Order Payment</t>
  </si>
  <si>
    <t>sales_order_status</t>
  </si>
  <si>
    <t>Sales Order Status Table</t>
  </si>
  <si>
    <t>sales_order_status_history</t>
  </si>
  <si>
    <t>Sales Flat Order Status History</t>
  </si>
  <si>
    <t>sales_order_status_label</t>
  </si>
  <si>
    <t>Sales Order Status Label Table</t>
  </si>
  <si>
    <t>sales_order_status_state</t>
  </si>
  <si>
    <t>sales_order_tax</t>
  </si>
  <si>
    <t>Sales Order Tax Table</t>
  </si>
  <si>
    <t>sales_order_tax_item</t>
  </si>
  <si>
    <t>Sales Order Tax Item</t>
  </si>
  <si>
    <t>sales_payment_transaction</t>
  </si>
  <si>
    <t>Sales Payment Transaction</t>
  </si>
  <si>
    <t>sales_refunded_aggregated</t>
  </si>
  <si>
    <t>Sales Refunded Aggregated</t>
  </si>
  <si>
    <t>sales_refunded_aggregated_order</t>
  </si>
  <si>
    <t>Sales Refunded Aggregated Order</t>
  </si>
  <si>
    <t>sales_sequence_meta</t>
  </si>
  <si>
    <t>sales_sequence_profile</t>
  </si>
  <si>
    <t>sales_shipment</t>
  </si>
  <si>
    <t>Sales Flat Shipment</t>
  </si>
  <si>
    <t>sales_shipment_comment</t>
  </si>
  <si>
    <t>Sales Flat Shipment Comment</t>
  </si>
  <si>
    <t>sales_shipment_grid</t>
  </si>
  <si>
    <t>Sales Flat Shipment Grid</t>
  </si>
  <si>
    <t>sales_shipment_item</t>
  </si>
  <si>
    <t>Sales Flat Shipment Item</t>
  </si>
  <si>
    <t>sales_shipment_track</t>
  </si>
  <si>
    <t>Sales Flat Shipment Track</t>
  </si>
  <si>
    <t>sales_shipping_aggregated</t>
  </si>
  <si>
    <t>Sales Shipping Aggregated</t>
  </si>
  <si>
    <t>sales_shipping_aggregated_order</t>
  </si>
  <si>
    <t>Sales Shipping Aggregated Order</t>
  </si>
  <si>
    <t>salesrule</t>
  </si>
  <si>
    <t>Salesrule</t>
  </si>
  <si>
    <t>salesrule_coupon</t>
  </si>
  <si>
    <t>Salesrule Coupon</t>
  </si>
  <si>
    <t>salesrule_coupon_aggregated</t>
  </si>
  <si>
    <t>Coupon Aggregated</t>
  </si>
  <si>
    <t>salesrule_coupon_aggregated_order</t>
  </si>
  <si>
    <t>Coupon Aggregated Order</t>
  </si>
  <si>
    <t>salesrule_coupon_aggregated_updated</t>
  </si>
  <si>
    <t>Salesrule Coupon Aggregated Updated</t>
  </si>
  <si>
    <t>salesrule_coupon_usage</t>
  </si>
  <si>
    <t>Salesrule Coupon Usage</t>
  </si>
  <si>
    <t>salesrule_customer</t>
  </si>
  <si>
    <t>Salesrule Customer</t>
  </si>
  <si>
    <t>salesrule_customer_group</t>
  </si>
  <si>
    <t>Sales Rules To Customer Groups Relations</t>
  </si>
  <si>
    <t>salesrule_label</t>
  </si>
  <si>
    <t>Salesrule Label</t>
  </si>
  <si>
    <t>salesrule_product_attribute</t>
  </si>
  <si>
    <t>Salesrule Product Attribute</t>
  </si>
  <si>
    <t>salesrule_website</t>
  </si>
  <si>
    <t>Sales Rules To Websites Relations</t>
  </si>
  <si>
    <t>search_query</t>
  </si>
  <si>
    <t>Search query table</t>
  </si>
  <si>
    <t>search_synonyms</t>
  </si>
  <si>
    <t>table storing various synonyms groups</t>
  </si>
  <si>
    <t>sendfriend_log</t>
  </si>
  <si>
    <t>Send to friend function log storage table</t>
  </si>
  <si>
    <t>sequence_creditmemo_0</t>
  </si>
  <si>
    <t>sequence_creditmemo_1</t>
  </si>
  <si>
    <t>sequence_creditmemo_5</t>
  </si>
  <si>
    <t>sequence_invoice_0</t>
  </si>
  <si>
    <t>sequence_invoice_1</t>
  </si>
  <si>
    <t>sequence_invoice_5</t>
  </si>
  <si>
    <t>sequence_order_0</t>
  </si>
  <si>
    <t>sequence_order_1</t>
  </si>
  <si>
    <t>sequence_order_5</t>
  </si>
  <si>
    <t>sequence_rma_item_0</t>
  </si>
  <si>
    <t>sequence_rma_item_1</t>
  </si>
  <si>
    <t>sequence_rma_item_5</t>
  </si>
  <si>
    <t>sequence_shipment_0</t>
  </si>
  <si>
    <t>sequence_shipment_1</t>
  </si>
  <si>
    <t>sequence_shipment_5</t>
  </si>
  <si>
    <t>session</t>
  </si>
  <si>
    <t>Database Sessions Storage</t>
  </si>
  <si>
    <t>setup_module</t>
  </si>
  <si>
    <t>Module versions registry</t>
  </si>
  <si>
    <t>shipping_tablerate</t>
  </si>
  <si>
    <t>Shipping Tablerate</t>
  </si>
  <si>
    <t>sitemap</t>
  </si>
  <si>
    <t>XML Sitemap</t>
  </si>
  <si>
    <t>store</t>
  </si>
  <si>
    <t>Stores</t>
  </si>
  <si>
    <t>store_group</t>
  </si>
  <si>
    <t>Store Groups</t>
  </si>
  <si>
    <t>store_website</t>
  </si>
  <si>
    <t>Websites</t>
  </si>
  <si>
    <t>storelocator</t>
  </si>
  <si>
    <t>Store Locator</t>
  </si>
  <si>
    <t>storelocator_store</t>
  </si>
  <si>
    <t>tax_calculation</t>
  </si>
  <si>
    <t>Tax Calculation</t>
  </si>
  <si>
    <t>tax_calculation_rate</t>
  </si>
  <si>
    <t>Tax Calculation Rate</t>
  </si>
  <si>
    <t>tax_calculation_rate_title</t>
  </si>
  <si>
    <t>Tax Calculation Rate Title</t>
  </si>
  <si>
    <t>tax_calculation_rule</t>
  </si>
  <si>
    <t>Tax Calculation Rule</t>
  </si>
  <si>
    <t>tax_class</t>
  </si>
  <si>
    <t>Tax Class</t>
  </si>
  <si>
    <t>tax_order_aggregated_created</t>
  </si>
  <si>
    <t>Tax Order Aggregation</t>
  </si>
  <si>
    <t>tax_order_aggregated_updated</t>
  </si>
  <si>
    <t>Tax Order Aggregated Updated</t>
  </si>
  <si>
    <t>theme</t>
  </si>
  <si>
    <t>Core theme</t>
  </si>
  <si>
    <t>theme_file</t>
  </si>
  <si>
    <t>Core theme files</t>
  </si>
  <si>
    <t>translation</t>
  </si>
  <si>
    <t>ui_bookmark</t>
  </si>
  <si>
    <t>Bookmark</t>
  </si>
  <si>
    <t>url_rewrite</t>
  </si>
  <si>
    <t>Url Rewrites</t>
  </si>
  <si>
    <t>variable</t>
  </si>
  <si>
    <t>Variables</t>
  </si>
  <si>
    <t>variable_value</t>
  </si>
  <si>
    <t>Variable Value</t>
  </si>
  <si>
    <t>vault_payment_token</t>
  </si>
  <si>
    <t>Vault tokens of payment</t>
  </si>
  <si>
    <t>vault_payment_token_order_payment_link</t>
  </si>
  <si>
    <t>Order payments to vault token</t>
  </si>
  <si>
    <t>vertex_commodity_code_order_item</t>
  </si>
  <si>
    <t>Vertex Commodity Code</t>
  </si>
  <si>
    <t>vertex_commodity_code_product</t>
  </si>
  <si>
    <t>vertex_custom_option_flex_field</t>
  </si>
  <si>
    <t>Customizable Option to Flex Field Map</t>
  </si>
  <si>
    <t>vertex_customer_code</t>
  </si>
  <si>
    <t>Customer Code for Vertex</t>
  </si>
  <si>
    <t>vertex_customer_country</t>
  </si>
  <si>
    <t>Country associated to Customer</t>
  </si>
  <si>
    <t>vertex_invoice_sent</t>
  </si>
  <si>
    <t>vertex_order_invoice_status</t>
  </si>
  <si>
    <t>Invoice has been logged in Vertex</t>
  </si>
  <si>
    <t>vertex_sales_creditmemo_item_invoice_text_code</t>
  </si>
  <si>
    <t>Creditmemo text code from Vertex</t>
  </si>
  <si>
    <t>vertex_sales_creditmemo_item_tax_code</t>
  </si>
  <si>
    <t>Creditmemo tax code from Vertex</t>
  </si>
  <si>
    <t>vertex_sales_creditmemo_item_vertex_tax_code</t>
  </si>
  <si>
    <t>Creditmemo vertex tax code from Vertex</t>
  </si>
  <si>
    <t>vertex_sales_order_item_invoice_text_code</t>
  </si>
  <si>
    <t>Invoice text code from Vertex</t>
  </si>
  <si>
    <t>vertex_sales_order_item_tax_code</t>
  </si>
  <si>
    <t>Invoice tax code from Vertex</t>
  </si>
  <si>
    <t>vertex_sales_order_item_vertex_tax_code</t>
  </si>
  <si>
    <t>Invoice Vertex tax code from Vertex</t>
  </si>
  <si>
    <t>vertex_taxrequest</t>
  </si>
  <si>
    <t>The tax request table</t>
  </si>
  <si>
    <t>vertex_vat_country_code</t>
  </si>
  <si>
    <t>Vat Country code associated to Order Address</t>
  </si>
  <si>
    <t>weee_tax</t>
  </si>
  <si>
    <t>Weee Tax</t>
  </si>
  <si>
    <t>widget</t>
  </si>
  <si>
    <t>Preconfigured Widgets</t>
  </si>
  <si>
    <t>widget_instance</t>
  </si>
  <si>
    <t>Instances of Widget for Package Theme</t>
  </si>
  <si>
    <t>widget_instance_page</t>
  </si>
  <si>
    <t>Instance of Widget on Page</t>
  </si>
  <si>
    <t>widget_instance_page_layout</t>
  </si>
  <si>
    <t>Layout updates</t>
  </si>
  <si>
    <t>wishlist</t>
  </si>
  <si>
    <t>Wishlist main Table</t>
  </si>
  <si>
    <t>wishlist_item</t>
  </si>
  <si>
    <t>Wishlist items</t>
  </si>
  <si>
    <t>wishlist_item_option</t>
  </si>
  <si>
    <t>Wishlist Item Option Table</t>
  </si>
  <si>
    <t>yotpo_order_status_history</t>
  </si>
  <si>
    <t>yotpo_rich_snippets</t>
  </si>
  <si>
    <t>yotpo_sync</t>
  </si>
  <si>
    <t>database_name</t>
  </si>
  <si>
    <t>max_length</t>
  </si>
  <si>
    <t>COLUMN_COMMENT</t>
  </si>
  <si>
    <t>Log ID</t>
  </si>
  <si>
    <t>last_viewed_in_version</t>
  </si>
  <si>
    <t>Viewer last viewed on product version</t>
  </si>
  <si>
    <t>password_id</t>
  </si>
  <si>
    <t>Password ID</t>
  </si>
  <si>
    <t>User ID</t>
  </si>
  <si>
    <t>password_hash</t>
  </si>
  <si>
    <t>Password Hash</t>
  </si>
  <si>
    <t>expires</t>
  </si>
  <si>
    <t>Deprecated</t>
  </si>
  <si>
    <t>last_updated</t>
  </si>
  <si>
    <t>Last Updated</t>
  </si>
  <si>
    <t>identity</t>
  </si>
  <si>
    <t>Message ID</t>
  </si>
  <si>
    <t>severity</t>
  </si>
  <si>
    <t>Problem type</t>
  </si>
  <si>
    <t>created_at</t>
  </si>
  <si>
    <t>Create date</t>
  </si>
  <si>
    <t>firstname</t>
  </si>
  <si>
    <t>User First Name</t>
  </si>
  <si>
    <t>lastname</t>
  </si>
  <si>
    <t>User Last Name</t>
  </si>
  <si>
    <t>User Email</t>
  </si>
  <si>
    <t>username</t>
  </si>
  <si>
    <t>User Login</t>
  </si>
  <si>
    <t>password</t>
  </si>
  <si>
    <t>User Password</t>
  </si>
  <si>
    <t>created</t>
  </si>
  <si>
    <t>User Created Time</t>
  </si>
  <si>
    <t>modified</t>
  </si>
  <si>
    <t>User Modified Time</t>
  </si>
  <si>
    <t>logdate</t>
  </si>
  <si>
    <t>User Last Login Time</t>
  </si>
  <si>
    <t>lognum</t>
  </si>
  <si>
    <t>User Login Number</t>
  </si>
  <si>
    <t>reload_acl_flag</t>
  </si>
  <si>
    <t>Reload ACL</t>
  </si>
  <si>
    <t>is_active</t>
  </si>
  <si>
    <t>User Is Active</t>
  </si>
  <si>
    <t>extra</t>
  </si>
  <si>
    <t>User Extra Data</t>
  </si>
  <si>
    <t>rp_token</t>
  </si>
  <si>
    <t>Reset Password Link Token</t>
  </si>
  <si>
    <t>rp_token_created_at</t>
  </si>
  <si>
    <t>Reset Password Link Token Creation Date</t>
  </si>
  <si>
    <t>interface_locale</t>
  </si>
  <si>
    <t>Backend interface locale</t>
  </si>
  <si>
    <t>failures_num</t>
  </si>
  <si>
    <t>Failure Number</t>
  </si>
  <si>
    <t>first_failure</t>
  </si>
  <si>
    <t>First Failure</t>
  </si>
  <si>
    <t>lock_expires</t>
  </si>
  <si>
    <t>Expiration Lock Dates</t>
  </si>
  <si>
    <t>refresh_token</t>
  </si>
  <si>
    <t>Email connector refresh token</t>
  </si>
  <si>
    <t>mp_tfa_enable</t>
  </si>
  <si>
    <t>Mageplaza TFA Enable</t>
  </si>
  <si>
    <t>mp_tfa_secret</t>
  </si>
  <si>
    <t>Mageplaza TFA Secret Code</t>
  </si>
  <si>
    <t>mp_tfa_status</t>
  </si>
  <si>
    <t>Mageplaza TFA Status</t>
  </si>
  <si>
    <t>expires_at</t>
  </si>
  <si>
    <t>User Expiration Date</t>
  </si>
  <si>
    <t>Entity ID</t>
  </si>
  <si>
    <t>Session ID value</t>
  </si>
  <si>
    <t>Admin User ID</t>
  </si>
  <si>
    <t>Current Session status</t>
  </si>
  <si>
    <t>Created Time</t>
  </si>
  <si>
    <t>updated_at</t>
  </si>
  <si>
    <t>Update Time</t>
  </si>
  <si>
    <t>ip</t>
  </si>
  <si>
    <t>Remote user IP</t>
  </si>
  <si>
    <t>notification_id</t>
  </si>
  <si>
    <t>Notification ID</t>
  </si>
  <si>
    <t>date_added</t>
  </si>
  <si>
    <t>url</t>
  </si>
  <si>
    <t>Url</t>
  </si>
  <si>
    <t>is_read</t>
  </si>
  <si>
    <t>Flag if notification read</t>
  </si>
  <si>
    <t>is_remove</t>
  </si>
  <si>
    <t>Flag if notification might be removed</t>
  </si>
  <si>
    <t>is_amasty</t>
  </si>
  <si>
    <t>Is Amasty Notification</t>
  </si>
  <si>
    <t>expiration_date</t>
  </si>
  <si>
    <t>Expiration Date</t>
  </si>
  <si>
    <t>Image Url</t>
  </si>
  <si>
    <t>media_gallery_id</t>
  </si>
  <si>
    <t>Media gallery ID</t>
  </si>
  <si>
    <t>category_id</t>
  </si>
  <si>
    <t>Category ID</t>
  </si>
  <si>
    <t>creator_id</t>
  </si>
  <si>
    <t>Creator ID</t>
  </si>
  <si>
    <t>is_licensed</t>
  </si>
  <si>
    <t>Is Licensed</t>
  </si>
  <si>
    <t>creation_date</t>
  </si>
  <si>
    <t>Creation Date</t>
  </si>
  <si>
    <t>Asset creator's name</t>
  </si>
  <si>
    <t>admin_user_id</t>
  </si>
  <si>
    <t>Admin User Id</t>
  </si>
  <si>
    <t>Display Name</t>
  </si>
  <si>
    <t>user profile email</t>
  </si>
  <si>
    <t>image</t>
  </si>
  <si>
    <t>user profile avatar</t>
  </si>
  <si>
    <t>Account Type</t>
  </si>
  <si>
    <t>access_token</t>
  </si>
  <si>
    <t>Access Token</t>
  </si>
  <si>
    <t>Refresh Token</t>
  </si>
  <si>
    <t>Created At</t>
  </si>
  <si>
    <t>Updated At</t>
  </si>
  <si>
    <t>access_token_expires_at</t>
  </si>
  <si>
    <t>Access Token Expires At</t>
  </si>
  <si>
    <t>version_id</t>
  </si>
  <si>
    <t>Version ID</t>
  </si>
  <si>
    <t>entity_id</t>
  </si>
  <si>
    <t>landing_page_id</t>
  </si>
  <si>
    <t>Landing_page_id</t>
  </si>
  <si>
    <t>store_id</t>
  </si>
  <si>
    <t>Store_id</t>
  </si>
  <si>
    <t>url_key</t>
  </si>
  <si>
    <t>Url_key</t>
  </si>
  <si>
    <t>Is_active</t>
  </si>
  <si>
    <t>date_from</t>
  </si>
  <si>
    <t>Date_from</t>
  </si>
  <si>
    <t>date_to</t>
  </si>
  <si>
    <t>Date_to</t>
  </si>
  <si>
    <t>meta_title</t>
  </si>
  <si>
    <t>Meta_title</t>
  </si>
  <si>
    <t>meta_description</t>
  </si>
  <si>
    <t>Meta_description</t>
  </si>
  <si>
    <t>meta_keywords</t>
  </si>
  <si>
    <t>Meta_keywords</t>
  </si>
  <si>
    <t>content</t>
  </si>
  <si>
    <t>Content</t>
  </si>
  <si>
    <t>query</t>
  </si>
  <si>
    <t>Query</t>
  </si>
  <si>
    <t>configuration</t>
  </si>
  <si>
    <t>Configuration</t>
  </si>
  <si>
    <t>custom_js</t>
  </si>
  <si>
    <t>Custom_js</t>
  </si>
  <si>
    <t>custom_css</t>
  </si>
  <si>
    <t>Custom_css</t>
  </si>
  <si>
    <t>query_id</t>
  </si>
  <si>
    <t>Query_id</t>
  </si>
  <si>
    <t>query_text</t>
  </si>
  <si>
    <t>Query_text</t>
  </si>
  <si>
    <t>banner_image</t>
  </si>
  <si>
    <t>Banner_image</t>
  </si>
  <si>
    <t>banner_url</t>
  </si>
  <si>
    <t>Banner_url</t>
  </si>
  <si>
    <t>banner_alt</t>
  </si>
  <si>
    <t>Banner_alt</t>
  </si>
  <si>
    <t>banner_content</t>
  </si>
  <si>
    <t>Banner_content</t>
  </si>
  <si>
    <t>Created_at</t>
  </si>
  <si>
    <t>job_id</t>
  </si>
  <si>
    <t>Job_id</t>
  </si>
  <si>
    <t>Date and time of job creation</t>
  </si>
  <si>
    <t>locked_at</t>
  </si>
  <si>
    <t>Indicates time where PID was assigned to the job</t>
  </si>
  <si>
    <t>Method</t>
  </si>
  <si>
    <t>mediumtext</t>
  </si>
  <si>
    <t>max_retries</t>
  </si>
  <si>
    <t>Max_retries</t>
  </si>
  <si>
    <t>retries</t>
  </si>
  <si>
    <t>Retries</t>
  </si>
  <si>
    <t>error_log</t>
  </si>
  <si>
    <t>Error_log</t>
  </si>
  <si>
    <t>data_size</t>
  </si>
  <si>
    <t>Data_size</t>
  </si>
  <si>
    <t>is_full_reindex</t>
  </si>
  <si>
    <t>Indicates if the job is part of a full reindex</t>
  </si>
  <si>
    <t>Data</t>
  </si>
  <si>
    <t>started</t>
  </si>
  <si>
    <t>Started</t>
  </si>
  <si>
    <t>duration</t>
  </si>
  <si>
    <t>Duration</t>
  </si>
  <si>
    <t>processed_jobs</t>
  </si>
  <si>
    <t>Processed_jobs</t>
  </si>
  <si>
    <t>with_empty_queue</t>
  </si>
  <si>
    <t>With_empty_queue</t>
  </si>
  <si>
    <t>salesrule_id</t>
  </si>
  <si>
    <t>Salesrule Entity Id</t>
  </si>
  <si>
    <t>Promo Products SKUs</t>
  </si>
  <si>
    <t>Promo Rule Type</t>
  </si>
  <si>
    <t>top_banner_show_gift_images</t>
  </si>
  <si>
    <t>Show Gift Images</t>
  </si>
  <si>
    <t>after_product_banner_show_gift_images</t>
  </si>
  <si>
    <t>items_discount</t>
  </si>
  <si>
    <t>Promo Items Discount</t>
  </si>
  <si>
    <t>minimal_items_price</t>
  </si>
  <si>
    <t>Minimal Price</t>
  </si>
  <si>
    <t>apply_tax</t>
  </si>
  <si>
    <t>Apply tax on original price of promo items added for free</t>
  </si>
  <si>
    <t>apply_shipping</t>
  </si>
  <si>
    <t>Apply shipping on promo items added for free</t>
  </si>
  <si>
    <t>eachm</t>
  </si>
  <si>
    <t>Each M Product</t>
  </si>
  <si>
    <t>priceselector</t>
  </si>
  <si>
    <t>Price Base On</t>
  </si>
  <si>
    <t>promo_cats</t>
  </si>
  <si>
    <t>Additional Y cats</t>
  </si>
  <si>
    <t>promo_skus</t>
  </si>
  <si>
    <t>Additional Y skus</t>
  </si>
  <si>
    <t>nqty</t>
  </si>
  <si>
    <t>N Qty</t>
  </si>
  <si>
    <t>skip_rule</t>
  </si>
  <si>
    <t>Skip Rule</t>
  </si>
  <si>
    <t>max_discount</t>
  </si>
  <si>
    <t>Max Discount Amount</t>
  </si>
  <si>
    <t>apply_discount_to</t>
  </si>
  <si>
    <t>Apply Discount To</t>
  </si>
  <si>
    <t>use_for</t>
  </si>
  <si>
    <t>Use</t>
  </si>
  <si>
    <t>Salesrule_id</t>
  </si>
  <si>
    <t>count</t>
  </si>
  <si>
    <t>Count</t>
  </si>
  <si>
    <t>limit</t>
  </si>
  <si>
    <t>Limit</t>
  </si>
  <si>
    <t>Entity_id</t>
  </si>
  <si>
    <t>page_id</t>
  </si>
  <si>
    <t>Page_id</t>
  </si>
  <si>
    <t>enabled</t>
  </si>
  <si>
    <t>Enabled</t>
  </si>
  <si>
    <t>setting_id</t>
  </si>
  <si>
    <t>Setting_id</t>
  </si>
  <si>
    <t>filter_code</t>
  </si>
  <si>
    <t>Filter_code</t>
  </si>
  <si>
    <t>is_multiselect</t>
  </si>
  <si>
    <t>Is_multiselect</t>
  </si>
  <si>
    <t>display_mode</t>
  </si>
  <si>
    <t>Display_mode</t>
  </si>
  <si>
    <t>is_seo_significant</t>
  </si>
  <si>
    <t>Is_seo_significant</t>
  </si>
  <si>
    <t>slider_step</t>
  </si>
  <si>
    <t>Slider Step</t>
  </si>
  <si>
    <t>units_label_use_currency_symbol</t>
  </si>
  <si>
    <t>is Units label used currency symbol</t>
  </si>
  <si>
    <t>units_label</t>
  </si>
  <si>
    <t>Units label</t>
  </si>
  <si>
    <t>index_mode</t>
  </si>
  <si>
    <t>Robots Index Mode</t>
  </si>
  <si>
    <t>follow_mode</t>
  </si>
  <si>
    <t>Robots Follow Mode</t>
  </si>
  <si>
    <t>is_expanded</t>
  </si>
  <si>
    <t>Is filter expanded</t>
  </si>
  <si>
    <t>sort_options_by</t>
  </si>
  <si>
    <t>Sort Options By</t>
  </si>
  <si>
    <t>show_product_quantities</t>
  </si>
  <si>
    <t>Show Product Quantities</t>
  </si>
  <si>
    <t>is_show_search_box</t>
  </si>
  <si>
    <t>Show Search Box</t>
  </si>
  <si>
    <t>number_unfolded_options</t>
  </si>
  <si>
    <t>Number of unfolded options</t>
  </si>
  <si>
    <t>tooltip</t>
  </si>
  <si>
    <t>Tooltip</t>
  </si>
  <si>
    <t>is_use_and_logic</t>
  </si>
  <si>
    <t>Is Use And Logic</t>
  </si>
  <si>
    <t>add_from_to_widget</t>
  </si>
  <si>
    <t>Add From To Widget</t>
  </si>
  <si>
    <t>visible_in_categories</t>
  </si>
  <si>
    <t>Visible In Categories</t>
  </si>
  <si>
    <t>categories_filter</t>
  </si>
  <si>
    <t>Categories Filter</t>
  </si>
  <si>
    <t>attributes_filter</t>
  </si>
  <si>
    <t>Attributes Filter</t>
  </si>
  <si>
    <t>attributes_options_filter</t>
  </si>
  <si>
    <t>Attributes Options Filter</t>
  </si>
  <si>
    <t>block_position</t>
  </si>
  <si>
    <t>Show in the Block</t>
  </si>
  <si>
    <t>slider_min</t>
  </si>
  <si>
    <t>Slider Min Value</t>
  </si>
  <si>
    <t>slider_max</t>
  </si>
  <si>
    <t>Slider Max Value</t>
  </si>
  <si>
    <t>rel_nofollow</t>
  </si>
  <si>
    <t>Add rel="nofollow"</t>
  </si>
  <si>
    <t>show_icons_on_product</t>
  </si>
  <si>
    <t>Show options images block on product view page</t>
  </si>
  <si>
    <t>category_tree_display_mode</t>
  </si>
  <si>
    <t>Category Tree Display Mode</t>
  </si>
  <si>
    <t>position_label</t>
  </si>
  <si>
    <t>Position label</t>
  </si>
  <si>
    <t>limit_options_show_search_box</t>
  </si>
  <si>
    <t>Show Search Box When Number Options</t>
  </si>
  <si>
    <t>group_id</t>
  </si>
  <si>
    <t>Group_id</t>
  </si>
  <si>
    <t>Attribute_id</t>
  </si>
  <si>
    <t>group_code</t>
  </si>
  <si>
    <t>Group_code</t>
  </si>
  <si>
    <t>Position</t>
  </si>
  <si>
    <t>visual</t>
  </si>
  <si>
    <t>Visual</t>
  </si>
  <si>
    <t>group_option_id</t>
  </si>
  <si>
    <t>Group_option_id</t>
  </si>
  <si>
    <t>option_id</t>
  </si>
  <si>
    <t>Option ID</t>
  </si>
  <si>
    <t>sort_order</t>
  </si>
  <si>
    <t>Sort Order</t>
  </si>
  <si>
    <t>value</t>
  </si>
  <si>
    <t>Option Value</t>
  </si>
  <si>
    <t>option_setting_id</t>
  </si>
  <si>
    <t>Option_setting_id</t>
  </si>
  <si>
    <t>Value</t>
  </si>
  <si>
    <t>url_alias</t>
  </si>
  <si>
    <t>Url_alias</t>
  </si>
  <si>
    <t>is_featured</t>
  </si>
  <si>
    <t>Is_featured</t>
  </si>
  <si>
    <t>Image</t>
  </si>
  <si>
    <t>top_cms_block_id</t>
  </si>
  <si>
    <t>Top_cms_block_id</t>
  </si>
  <si>
    <t>bottom_cms_block_id</t>
  </si>
  <si>
    <t>Bottom_cms_block_id</t>
  </si>
  <si>
    <t>slider_position</t>
  </si>
  <si>
    <t>Slider Position</t>
  </si>
  <si>
    <t>slider_image</t>
  </si>
  <si>
    <t>Slider Image</t>
  </si>
  <si>
    <t>short_description</t>
  </si>
  <si>
    <t>Short description for product page or tooltip</t>
  </si>
  <si>
    <t>small_image_alt</t>
  </si>
  <si>
    <t>Image alt</t>
  </si>
  <si>
    <t>is_show_in_slider</t>
  </si>
  <si>
    <t>Is show in slider</t>
  </si>
  <si>
    <t>Page ID</t>
  </si>
  <si>
    <t>Meta Title</t>
  </si>
  <si>
    <t>Page Meta Keywords</t>
  </si>
  <si>
    <t>Page Meta Description</t>
  </si>
  <si>
    <t>conditions</t>
  </si>
  <si>
    <t>Conditions</t>
  </si>
  <si>
    <t>categories</t>
  </si>
  <si>
    <t>Categories</t>
  </si>
  <si>
    <t>top_block_id</t>
  </si>
  <si>
    <t>Top Block ID</t>
  </si>
  <si>
    <t>bottom_block_id</t>
  </si>
  <si>
    <t>Bottom Block ID</t>
  </si>
  <si>
    <t>Store ID</t>
  </si>
  <si>
    <t>banner_type</t>
  </si>
  <si>
    <t>Banner Type</t>
  </si>
  <si>
    <t>Banner Image</t>
  </si>
  <si>
    <t>Banner Alt</t>
  </si>
  <si>
    <t>banner_hover_text</t>
  </si>
  <si>
    <t>Banner Hover Text</t>
  </si>
  <si>
    <t>banner_link</t>
  </si>
  <si>
    <t>Banner Link</t>
  </si>
  <si>
    <t>banner_product_sku</t>
  </si>
  <si>
    <t>banner_product_categories</t>
  </si>
  <si>
    <t>show_banner_for</t>
  </si>
  <si>
    <t>Analytic ID</t>
  </si>
  <si>
    <t>Type of Analytics</t>
  </si>
  <si>
    <t>counter</t>
  </si>
  <si>
    <t>Counter</t>
  </si>
  <si>
    <t>banner_id</t>
  </si>
  <si>
    <t>Banner Id</t>
  </si>
  <si>
    <t>Version Id</t>
  </si>
  <si>
    <t>Banner Status</t>
  </si>
  <si>
    <t>image_alt</t>
  </si>
  <si>
    <t>Banner Image Alt</t>
  </si>
  <si>
    <t>target_url</t>
  </si>
  <si>
    <t>Banner Target URL</t>
  </si>
  <si>
    <t>hover_text</t>
  </si>
  <si>
    <t>Banner On Hover Text</t>
  </si>
  <si>
    <t>Banner Store Id</t>
  </si>
  <si>
    <t>Banner Name</t>
  </si>
  <si>
    <t>Banner Customer Group</t>
  </si>
  <si>
    <t>visible_on</t>
  </si>
  <si>
    <t>Visible On</t>
  </si>
  <si>
    <t>target_type</t>
  </si>
  <si>
    <t>Target Type</t>
  </si>
  <si>
    <t>Visible From Date</t>
  </si>
  <si>
    <t>Visible To Date</t>
  </si>
  <si>
    <t>slider_id</t>
  </si>
  <si>
    <t>Slider Id</t>
  </si>
  <si>
    <t>Banner Position</t>
  </si>
  <si>
    <t>Slider Name</t>
  </si>
  <si>
    <t>Slider Status</t>
  </si>
  <si>
    <t>Slider Store Id</t>
  </si>
  <si>
    <t>autoplay</t>
  </si>
  <si>
    <t>Enable Autoplay</t>
  </si>
  <si>
    <t>pause_time</t>
  </si>
  <si>
    <t>Pause Time Between Transitions, ms</t>
  </si>
  <si>
    <t>animation_effect</t>
  </si>
  <si>
    <t>Animation Effect</t>
  </si>
  <si>
    <t>transition_speed</t>
  </si>
  <si>
    <t>Slide Transition Speed, ms</t>
  </si>
  <si>
    <t>navigation_arrows</t>
  </si>
  <si>
    <t>Navigation Arrows</t>
  </si>
  <si>
    <t>arrows_style</t>
  </si>
  <si>
    <t>Arrows Style</t>
  </si>
  <si>
    <t>navigation_bullets</t>
  </si>
  <si>
    <t>Navigation Bullets</t>
  </si>
  <si>
    <t>bullets_style</t>
  </si>
  <si>
    <t>Bullets Style</t>
  </si>
  <si>
    <t>banner_width</t>
  </si>
  <si>
    <t>Banner Width, px *</t>
  </si>
  <si>
    <t>banner_height</t>
  </si>
  <si>
    <t>Banner Height, px *</t>
  </si>
  <si>
    <t>resize_images</t>
  </si>
  <si>
    <t>Resize Images</t>
  </si>
  <si>
    <t>quote_id</t>
  </si>
  <si>
    <t>Payment Code For Quote</t>
  </si>
  <si>
    <t>feed_category_id</t>
  </si>
  <si>
    <t>Feed Category Id</t>
  </si>
  <si>
    <t>use_taxonomy</t>
  </si>
  <si>
    <t>Flag to use taxonomy</t>
  </si>
  <si>
    <t>taxonomy_source</t>
  </si>
  <si>
    <t xml:space="preserve">Source for taxonomy </t>
  </si>
  <si>
    <t>Rule Id</t>
  </si>
  <si>
    <t>Feed Category ID</t>
  </si>
  <si>
    <t>Variable</t>
  </si>
  <si>
    <t>skip</t>
  </si>
  <si>
    <t>Skip this category in feed</t>
  </si>
  <si>
    <t>filename</t>
  </si>
  <si>
    <t>File Name</t>
  </si>
  <si>
    <t>feed_type</t>
  </si>
  <si>
    <t>Feed Type</t>
  </si>
  <si>
    <t>Is Active</t>
  </si>
  <si>
    <t>execute_mode</t>
  </si>
  <si>
    <t>Execute Mode</t>
  </si>
  <si>
    <t>csv_column_name</t>
  </si>
  <si>
    <t>Csv Column Name</t>
  </si>
  <si>
    <t>csv_header</t>
  </si>
  <si>
    <t>Csv Header</t>
  </si>
  <si>
    <t>csv_enclosure</t>
  </si>
  <si>
    <t>Csv Enclosure</t>
  </si>
  <si>
    <t>csv_delimiter</t>
  </si>
  <si>
    <t>Csv Delimiter</t>
  </si>
  <si>
    <t>format_price_currency</t>
  </si>
  <si>
    <t>Format Price Currency</t>
  </si>
  <si>
    <t>csv_field</t>
  </si>
  <si>
    <t>Csv Field</t>
  </si>
  <si>
    <t>xml_header</t>
  </si>
  <si>
    <t>Xml Header</t>
  </si>
  <si>
    <t>xml_item</t>
  </si>
  <si>
    <t>Xml Item</t>
  </si>
  <si>
    <t>xml_content</t>
  </si>
  <si>
    <t>Xml Content</t>
  </si>
  <si>
    <t>xml_footer</t>
  </si>
  <si>
    <t>Xml Footer</t>
  </si>
  <si>
    <t>format_price_currency_show</t>
  </si>
  <si>
    <t>Format Price Currency Show</t>
  </si>
  <si>
    <t>format_price_decimals</t>
  </si>
  <si>
    <t>Format Price Decimals</t>
  </si>
  <si>
    <t>format_price_decimal_point</t>
  </si>
  <si>
    <t>Format Price Decimal Point</t>
  </si>
  <si>
    <t>format_price_thousands_separator</t>
  </si>
  <si>
    <t>Format Price Thousands Separator</t>
  </si>
  <si>
    <t>format_date</t>
  </si>
  <si>
    <t>Format Date</t>
  </si>
  <si>
    <t>conditions_serialized</t>
  </si>
  <si>
    <t>Conditions Serialized</t>
  </si>
  <si>
    <t>generated_at</t>
  </si>
  <si>
    <t>Generated At</t>
  </si>
  <si>
    <t>delivery_enabled</t>
  </si>
  <si>
    <t>Delivery Enabled</t>
  </si>
  <si>
    <t>delivery_host</t>
  </si>
  <si>
    <t>Delivery Host</t>
  </si>
  <si>
    <t>Delivery Type</t>
  </si>
  <si>
    <t>delivery_user</t>
  </si>
  <si>
    <t>Delivery User</t>
  </si>
  <si>
    <t>delivery_password</t>
  </si>
  <si>
    <t>Delivery Password</t>
  </si>
  <si>
    <t>delivery_path</t>
  </si>
  <si>
    <t>Delivery Path</t>
  </si>
  <si>
    <t>delivery_passive_mode</t>
  </si>
  <si>
    <t>Delivery Passive Mode</t>
  </si>
  <si>
    <t>utm_source</t>
  </si>
  <si>
    <t>Utm Source</t>
  </si>
  <si>
    <t>utm_medium</t>
  </si>
  <si>
    <t>Utm Medium</t>
  </si>
  <si>
    <t>utm_term</t>
  </si>
  <si>
    <t>Utm Term</t>
  </si>
  <si>
    <t>utm_content</t>
  </si>
  <si>
    <t>Utm Content</t>
  </si>
  <si>
    <t>utm_campaign</t>
  </si>
  <si>
    <t>Utm Campaign</t>
  </si>
  <si>
    <t>is_template</t>
  </si>
  <si>
    <t>Is Template</t>
  </si>
  <si>
    <t>compress</t>
  </si>
  <si>
    <t>Compress</t>
  </si>
  <si>
    <t>exclude_disabled</t>
  </si>
  <si>
    <t>Exclude Disabled Products</t>
  </si>
  <si>
    <t>exclude_out_of_stock</t>
  </si>
  <si>
    <t>Exclude Out of Stock Products</t>
  </si>
  <si>
    <t>exclude_not_visible</t>
  </si>
  <si>
    <t>Exclude Not Visible Products</t>
  </si>
  <si>
    <t>products_amount</t>
  </si>
  <si>
    <t>Number of products</t>
  </si>
  <si>
    <t>generation_type</t>
  </si>
  <si>
    <t>Used generation type</t>
  </si>
  <si>
    <t>Last feed generation status</t>
  </si>
  <si>
    <t>feed_field_id</t>
  </si>
  <si>
    <t>Custom Field Id</t>
  </si>
  <si>
    <t>Condition Id</t>
  </si>
  <si>
    <t>result_serialized</t>
  </si>
  <si>
    <t>Result</t>
  </si>
  <si>
    <t>category</t>
  </si>
  <si>
    <t>language_code</t>
  </si>
  <si>
    <t>Language Code</t>
  </si>
  <si>
    <t>cron_time</t>
  </si>
  <si>
    <t>Cron Time Execution</t>
  </si>
  <si>
    <t>cron_day</t>
  </si>
  <si>
    <t>Cron Day Execution</t>
  </si>
  <si>
    <t>feed_id</t>
  </si>
  <si>
    <t>Feed Id</t>
  </si>
  <si>
    <t>Entity Id</t>
  </si>
  <si>
    <t>Feed ID</t>
  </si>
  <si>
    <t>valid_product_id</t>
  </si>
  <si>
    <t>Valid products for conditions</t>
  </si>
  <si>
    <t>order_item_id</t>
  </si>
  <si>
    <t>Order_item_id</t>
  </si>
  <si>
    <t>is_preorder</t>
  </si>
  <si>
    <t>Is_preorder</t>
  </si>
  <si>
    <t>preorder_note</t>
  </si>
  <si>
    <t>Preorder Note</t>
  </si>
  <si>
    <t>Order_id</t>
  </si>
  <si>
    <t>warning</t>
  </si>
  <si>
    <t>Warning</t>
  </si>
  <si>
    <t>Store Id</t>
  </si>
  <si>
    <t>qty_ordered</t>
  </si>
  <si>
    <t>Bestsellers</t>
  </si>
  <si>
    <t>views_num</t>
  </si>
  <si>
    <t>Most Viewed</t>
  </si>
  <si>
    <t>wished</t>
  </si>
  <si>
    <t>Wished</t>
  </si>
  <si>
    <t>Customer_id</t>
  </si>
  <si>
    <t>amazon_id</t>
  </si>
  <si>
    <t>Amazon_id</t>
  </si>
  <si>
    <t>payment_id</t>
  </si>
  <si>
    <t>Payment_id</t>
  </si>
  <si>
    <t>authorization_id</t>
  </si>
  <si>
    <t>Authorization_id</t>
  </si>
  <si>
    <t>Updated_at</t>
  </si>
  <si>
    <t>processed</t>
  </si>
  <si>
    <t>Initial authorization processed</t>
  </si>
  <si>
    <t>capture</t>
  </si>
  <si>
    <t>Initial authorization has capture</t>
  </si>
  <si>
    <t>capture_id</t>
  </si>
  <si>
    <t>Initial authorization capture id</t>
  </si>
  <si>
    <t>Capture_id</t>
  </si>
  <si>
    <t>order id</t>
  </si>
  <si>
    <t>payment id</t>
  </si>
  <si>
    <t>refund_id</t>
  </si>
  <si>
    <t>Refund_id</t>
  </si>
  <si>
    <t>Quote ID</t>
  </si>
  <si>
    <t>amazon_order_reference_id</t>
  </si>
  <si>
    <t>Amazon Order Reference ID</t>
  </si>
  <si>
    <t>sandbox_simulation_reference</t>
  </si>
  <si>
    <t>Sandbox simulation reference</t>
  </si>
  <si>
    <t>confirmed</t>
  </si>
  <si>
    <t>Quote confirmed with Amazon</t>
  </si>
  <si>
    <t>Order ID</t>
  </si>
  <si>
    <t>role_id</t>
  </si>
  <si>
    <t>Role ID</t>
  </si>
  <si>
    <t>Parent Role ID</t>
  </si>
  <si>
    <t>tree_level</t>
  </si>
  <si>
    <t>Role Tree Level</t>
  </si>
  <si>
    <t>Role Sort Order</t>
  </si>
  <si>
    <t>role_type</t>
  </si>
  <si>
    <t>Role Type</t>
  </si>
  <si>
    <t>user_type</t>
  </si>
  <si>
    <t>User Type</t>
  </si>
  <si>
    <t>role_name</t>
  </si>
  <si>
    <t>Role Name</t>
  </si>
  <si>
    <t>rule_id</t>
  </si>
  <si>
    <t>Rule ID</t>
  </si>
  <si>
    <t>resource_id</t>
  </si>
  <si>
    <t>Resource ID</t>
  </si>
  <si>
    <t>privileges</t>
  </si>
  <si>
    <t>Privileges</t>
  </si>
  <si>
    <t>permission</t>
  </si>
  <si>
    <t>Permission</t>
  </si>
  <si>
    <t>Telephone</t>
  </si>
  <si>
    <t>request</t>
  </si>
  <si>
    <t>failed_count</t>
  </si>
  <si>
    <t>Failed Count</t>
  </si>
  <si>
    <t>Customer ID</t>
  </si>
  <si>
    <t>order_increment_id</t>
  </si>
  <si>
    <t>Order Increment ID</t>
  </si>
  <si>
    <t>Customer Name</t>
  </si>
  <si>
    <t>Phone Number</t>
  </si>
  <si>
    <t>payment_method</t>
  </si>
  <si>
    <t>Payment Method</t>
  </si>
  <si>
    <t>transfer_date</t>
  </si>
  <si>
    <t>Transfer Date</t>
  </si>
  <si>
    <t>transfer_time</t>
  </si>
  <si>
    <t>Transfer Time</t>
  </si>
  <si>
    <t>transfer_amount</t>
  </si>
  <si>
    <t>Transfer Amount</t>
  </si>
  <si>
    <t>Order Id</t>
  </si>
  <si>
    <t>item_id</t>
  </si>
  <si>
    <t>Item ID</t>
  </si>
  <si>
    <t>Stock Quantity</t>
  </si>
  <si>
    <t>Shipment status</t>
  </si>
  <si>
    <t>FailedCount counter</t>
  </si>
  <si>
    <t>payload</t>
  </si>
  <si>
    <t>Payload</t>
  </si>
  <si>
    <t>tracking_number</t>
  </si>
  <si>
    <t>Shipment tracking number</t>
  </si>
  <si>
    <t>shipment_provider</t>
  </si>
  <si>
    <t>Shipment provider</t>
  </si>
  <si>
    <t>refund_shipping</t>
  </si>
  <si>
    <t>Refund Shipping amount</t>
  </si>
  <si>
    <t>adjustment_refund</t>
  </si>
  <si>
    <t>Positive refund adjustment</t>
  </si>
  <si>
    <t>adjustment_fee</t>
  </si>
  <si>
    <t>Negative refund adjustment</t>
  </si>
  <si>
    <t>Item id in sales_order_item</t>
  </si>
  <si>
    <t>shipment_queue_id</t>
  </si>
  <si>
    <t>Shipment Id this item belong to</t>
  </si>
  <si>
    <t>Item qty to be shipped or cancel</t>
  </si>
  <si>
    <t>Row ID</t>
  </si>
  <si>
    <t>term</t>
  </si>
  <si>
    <t>Credit Term</t>
  </si>
  <si>
    <t>monthly_payment</t>
  </si>
  <si>
    <t>Monthly Payment</t>
  </si>
  <si>
    <t>instalment_rate</t>
  </si>
  <si>
    <t>Instalment Rate</t>
  </si>
  <si>
    <t>cost_of_purchase</t>
  </si>
  <si>
    <t>Cost of purchase</t>
  </si>
  <si>
    <t>total_inc_interest</t>
  </si>
  <si>
    <t>Total Inc Interest</t>
  </si>
  <si>
    <t>transaction_source</t>
  </si>
  <si>
    <t>Transaction Source</t>
  </si>
  <si>
    <t>Cache Id</t>
  </si>
  <si>
    <t>mediumblob</t>
  </si>
  <si>
    <t>Cache Data</t>
  </si>
  <si>
    <t>create_time</t>
  </si>
  <si>
    <t>Cache Creation Time</t>
  </si>
  <si>
    <t>update_time</t>
  </si>
  <si>
    <t>Time of Cache Updating</t>
  </si>
  <si>
    <t>expire_time</t>
  </si>
  <si>
    <t>Cache Expiration Time</t>
  </si>
  <si>
    <t>tag</t>
  </si>
  <si>
    <t>Tag</t>
  </si>
  <si>
    <t>cache_id</t>
  </si>
  <si>
    <t>attribute_set_id</t>
  </si>
  <si>
    <t>Attribute Set ID</t>
  </si>
  <si>
    <t>Parent Category ID</t>
  </si>
  <si>
    <t>Creation Time</t>
  </si>
  <si>
    <t>path</t>
  </si>
  <si>
    <t>Tree Path</t>
  </si>
  <si>
    <t>Tree Level</t>
  </si>
  <si>
    <t>children_count</t>
  </si>
  <si>
    <t>Child Count</t>
  </si>
  <si>
    <t>value_id</t>
  </si>
  <si>
    <t>Value ID</t>
  </si>
  <si>
    <t>Attribute ID</t>
  </si>
  <si>
    <t>is_parent</t>
  </si>
  <si>
    <t>Is Parent</t>
  </si>
  <si>
    <t>visibility</t>
  </si>
  <si>
    <t>Visibility</t>
  </si>
  <si>
    <t>Category Id</t>
  </si>
  <si>
    <t>catalog_compare_item_id</t>
  </si>
  <si>
    <t>Compare Item ID</t>
  </si>
  <si>
    <t>visitor_id</t>
  </si>
  <si>
    <t>Visitor ID</t>
  </si>
  <si>
    <t>list_id</t>
  </si>
  <si>
    <t>List ID</t>
  </si>
  <si>
    <t>Compare List ID</t>
  </si>
  <si>
    <t>list_id_mask</t>
  </si>
  <si>
    <t>Masked ID</t>
  </si>
  <si>
    <t>frontend_input_renderer</t>
  </si>
  <si>
    <t>Frontend Input Renderer</t>
  </si>
  <si>
    <t>is_global</t>
  </si>
  <si>
    <t>Is Global</t>
  </si>
  <si>
    <t>is_visible</t>
  </si>
  <si>
    <t>Is Visible</t>
  </si>
  <si>
    <t>is_searchable</t>
  </si>
  <si>
    <t>Is Searchable</t>
  </si>
  <si>
    <t>is_filterable</t>
  </si>
  <si>
    <t>Is Filterable</t>
  </si>
  <si>
    <t>is_comparable</t>
  </si>
  <si>
    <t>Is Comparable</t>
  </si>
  <si>
    <t>is_visible_on_front</t>
  </si>
  <si>
    <t>Is Visible On Front</t>
  </si>
  <si>
    <t>is_html_allowed_on_front</t>
  </si>
  <si>
    <t>Is HTML Allowed On Front</t>
  </si>
  <si>
    <t>is_used_for_price_rules</t>
  </si>
  <si>
    <t>Is Used For Price Rules</t>
  </si>
  <si>
    <t>is_filterable_in_search</t>
  </si>
  <si>
    <t>Is Filterable In Search</t>
  </si>
  <si>
    <t>used_in_product_listing</t>
  </si>
  <si>
    <t>Is Used In Product Listing</t>
  </si>
  <si>
    <t>used_for_sort_by</t>
  </si>
  <si>
    <t>Is Used For Sorting</t>
  </si>
  <si>
    <t>apply_to</t>
  </si>
  <si>
    <t>Apply To</t>
  </si>
  <si>
    <t>is_visible_in_advanced_search</t>
  </si>
  <si>
    <t>Is Visible In Advanced Search</t>
  </si>
  <si>
    <t>is_wysiwyg_enabled</t>
  </si>
  <si>
    <t>Is WYSIWYG Enabled</t>
  </si>
  <si>
    <t>is_used_for_promo_rules</t>
  </si>
  <si>
    <t>Is Used For Promo Rules</t>
  </si>
  <si>
    <t>is_required_in_admin_store</t>
  </si>
  <si>
    <t>Is Required In Admin Store</t>
  </si>
  <si>
    <t>is_used_in_grid</t>
  </si>
  <si>
    <t>Is Used in Grid</t>
  </si>
  <si>
    <t>is_visible_in_grid</t>
  </si>
  <si>
    <t>Is Visible in Grid</t>
  </si>
  <si>
    <t>is_filterable_in_grid</t>
  </si>
  <si>
    <t>Is Filterable in Grid</t>
  </si>
  <si>
    <t>search_weight</t>
  </si>
  <si>
    <t>Search Weight</t>
  </si>
  <si>
    <t>additional_data</t>
  </si>
  <si>
    <t>Additional swatch attributes data</t>
  </si>
  <si>
    <t>Parent ID</t>
  </si>
  <si>
    <t>required</t>
  </si>
  <si>
    <t>Required</t>
  </si>
  <si>
    <t>parent_product_id</t>
  </si>
  <si>
    <t>Parent Product ID</t>
  </si>
  <si>
    <t>website_id</t>
  </si>
  <si>
    <t>Website ID</t>
  </si>
  <si>
    <t>customer_group_id</t>
  </si>
  <si>
    <t>Customer Group ID</t>
  </si>
  <si>
    <t>min_price</t>
  </si>
  <si>
    <t>Min Price</t>
  </si>
  <si>
    <t>max_price</t>
  </si>
  <si>
    <t>Max Price</t>
  </si>
  <si>
    <t>selection_id</t>
  </si>
  <si>
    <t>Selection ID</t>
  </si>
  <si>
    <t>is_default</t>
  </si>
  <si>
    <t>Is Default</t>
  </si>
  <si>
    <t>selection_price_type</t>
  </si>
  <si>
    <t>Selection Price Type</t>
  </si>
  <si>
    <t>selection_price_value</t>
  </si>
  <si>
    <t>Selection Price Value</t>
  </si>
  <si>
    <t>selection_qty</t>
  </si>
  <si>
    <t>Selection Qty</t>
  </si>
  <si>
    <t>selection_can_change_qty</t>
  </si>
  <si>
    <t>Selection Can Change Qty</t>
  </si>
  <si>
    <t>stock_id</t>
  </si>
  <si>
    <t>Stock ID</t>
  </si>
  <si>
    <t>stock_status</t>
  </si>
  <si>
    <t>Stock Status</t>
  </si>
  <si>
    <t>type_id</t>
  </si>
  <si>
    <t>Type ID</t>
  </si>
  <si>
    <t>has_options</t>
  </si>
  <si>
    <t>Has Options</t>
  </si>
  <si>
    <t>required_options</t>
  </si>
  <si>
    <t>Required Options</t>
  </si>
  <si>
    <t>media_type</t>
  </si>
  <si>
    <t>Media entry type</t>
  </si>
  <si>
    <t>disabled</t>
  </si>
  <si>
    <t>Visibility status</t>
  </si>
  <si>
    <t>label</t>
  </si>
  <si>
    <t>Label</t>
  </si>
  <si>
    <t>Is Disabled</t>
  </si>
  <si>
    <t>record_id</t>
  </si>
  <si>
    <t>Record ID</t>
  </si>
  <si>
    <t>Value media Entry ID</t>
  </si>
  <si>
    <t>Product Entity ID</t>
  </si>
  <si>
    <t>Media Entity ID</t>
  </si>
  <si>
    <t>provider</t>
  </si>
  <si>
    <t>Video provider ID</t>
  </si>
  <si>
    <t>Video URL</t>
  </si>
  <si>
    <t>metadata</t>
  </si>
  <si>
    <t>Video meta data</t>
  </si>
  <si>
    <t>all_groups</t>
  </si>
  <si>
    <t>Is Applicable To All Customer Groups</t>
  </si>
  <si>
    <t>percentage_value</t>
  </si>
  <si>
    <t>Percentage value</t>
  </si>
  <si>
    <t>action_id</t>
  </si>
  <si>
    <t>Product Action ID</t>
  </si>
  <si>
    <t>Type of product action</t>
  </si>
  <si>
    <t>added_at</t>
  </si>
  <si>
    <t>Added At</t>
  </si>
  <si>
    <t>source_id</t>
  </si>
  <si>
    <t>Original entity ID for attribute value</t>
  </si>
  <si>
    <t>tax_class_id</t>
  </si>
  <si>
    <t>Tax Class ID</t>
  </si>
  <si>
    <t>price</t>
  </si>
  <si>
    <t>final_price</t>
  </si>
  <si>
    <t>Final Price</t>
  </si>
  <si>
    <t>tier_price</t>
  </si>
  <si>
    <t>Tier Price</t>
  </si>
  <si>
    <t>Price Type</t>
  </si>
  <si>
    <t>special_price</t>
  </si>
  <si>
    <t>Special Price</t>
  </si>
  <si>
    <t>tier_percent</t>
  </si>
  <si>
    <t>Tier Percent</t>
  </si>
  <si>
    <t>orig_price</t>
  </si>
  <si>
    <t>Orig Price</t>
  </si>
  <si>
    <t>base_tier</t>
  </si>
  <si>
    <t>Base Tier</t>
  </si>
  <si>
    <t>alt_price</t>
  </si>
  <si>
    <t>Alt Price</t>
  </si>
  <si>
    <t>alt_tier_price</t>
  </si>
  <si>
    <t>Alt Tier Price</t>
  </si>
  <si>
    <t>group_type</t>
  </si>
  <si>
    <t>Group Type</t>
  </si>
  <si>
    <t>is_required</t>
  </si>
  <si>
    <t>Is Required</t>
  </si>
  <si>
    <t>child_id</t>
  </si>
  <si>
    <t>Child ID</t>
  </si>
  <si>
    <t>Minimum price</t>
  </si>
  <si>
    <t>Maximum price</t>
  </si>
  <si>
    <t>Original Price</t>
  </si>
  <si>
    <t>default_store_id</t>
  </si>
  <si>
    <t>Default store ID for website</t>
  </si>
  <si>
    <t>website_date</t>
  </si>
  <si>
    <t>Website Date</t>
  </si>
  <si>
    <t>rate</t>
  </si>
  <si>
    <t>Rate</t>
  </si>
  <si>
    <t>link_id</t>
  </si>
  <si>
    <t>Link ID</t>
  </si>
  <si>
    <t>linked_product_id</t>
  </si>
  <si>
    <t>Linked Product ID</t>
  </si>
  <si>
    <t>link_type_id</t>
  </si>
  <si>
    <t>Link Type ID</t>
  </si>
  <si>
    <t>product_link_attribute_id</t>
  </si>
  <si>
    <t>Product Link Attribute ID</t>
  </si>
  <si>
    <t>product_link_attribute_code</t>
  </si>
  <si>
    <t>Product Link Attribute Code</t>
  </si>
  <si>
    <t>data_type</t>
  </si>
  <si>
    <t>Data Type</t>
  </si>
  <si>
    <t>is_require</t>
  </si>
  <si>
    <t>max_characters</t>
  </si>
  <si>
    <t>Max Characters</t>
  </si>
  <si>
    <t>file_extension</t>
  </si>
  <si>
    <t>File Extension</t>
  </si>
  <si>
    <t>image_size_x</t>
  </si>
  <si>
    <t>Image Size X</t>
  </si>
  <si>
    <t>image_size_y</t>
  </si>
  <si>
    <t>Image Size Y</t>
  </si>
  <si>
    <t>option_price_id</t>
  </si>
  <si>
    <t>Option Price ID</t>
  </si>
  <si>
    <t>option_title_id</t>
  </si>
  <si>
    <t>Option Title ID</t>
  </si>
  <si>
    <t>option_type_price_id</t>
  </si>
  <si>
    <t>Option Type Price ID</t>
  </si>
  <si>
    <t>option_type_id</t>
  </si>
  <si>
    <t>Option Type ID</t>
  </si>
  <si>
    <t>option_type_title_id</t>
  </si>
  <si>
    <t>Option Type Title ID</t>
  </si>
  <si>
    <t>product_super_attribute_id</t>
  </si>
  <si>
    <t>Product Super Attribute ID</t>
  </si>
  <si>
    <t>use_default</t>
  </si>
  <si>
    <t>Use Default Value</t>
  </si>
  <si>
    <t>url_rewrite_id</t>
  </si>
  <si>
    <t>stock_name</t>
  </si>
  <si>
    <t>Stock Name</t>
  </si>
  <si>
    <t>Min Qty</t>
  </si>
  <si>
    <t>use_config_min_qty</t>
  </si>
  <si>
    <t>Use Config Min Qty</t>
  </si>
  <si>
    <t>is_qty_decimal</t>
  </si>
  <si>
    <t>Is Qty Decimal</t>
  </si>
  <si>
    <t>backorders</t>
  </si>
  <si>
    <t>Backorders</t>
  </si>
  <si>
    <t>use_config_backorders</t>
  </si>
  <si>
    <t>Use Config Backorders</t>
  </si>
  <si>
    <t>min_sale_qty</t>
  </si>
  <si>
    <t>Min Sale Qty</t>
  </si>
  <si>
    <t>use_config_min_sale_qty</t>
  </si>
  <si>
    <t>Use Config Min Sale Qty</t>
  </si>
  <si>
    <t>max_sale_qty</t>
  </si>
  <si>
    <t>Max Sale Qty</t>
  </si>
  <si>
    <t>use_config_max_sale_qty</t>
  </si>
  <si>
    <t>Use Config Max Sale Qty</t>
  </si>
  <si>
    <t>is_in_stock</t>
  </si>
  <si>
    <t>Is In Stock</t>
  </si>
  <si>
    <t>low_stock_date</t>
  </si>
  <si>
    <t>Low Stock Date</t>
  </si>
  <si>
    <t>notify_stock_qty</t>
  </si>
  <si>
    <t>Notify Stock Qty</t>
  </si>
  <si>
    <t>use_config_notify_stock_qty</t>
  </si>
  <si>
    <t>Use Config Notify Stock Qty</t>
  </si>
  <si>
    <t>manage_stock</t>
  </si>
  <si>
    <t>Manage Stock</t>
  </si>
  <si>
    <t>use_config_manage_stock</t>
  </si>
  <si>
    <t>Use Config Manage Stock</t>
  </si>
  <si>
    <t>stock_status_changed_auto</t>
  </si>
  <si>
    <t>Stock Status Changed Automatically</t>
  </si>
  <si>
    <t>use_config_qty_increments</t>
  </si>
  <si>
    <t>Use Config Qty Increments</t>
  </si>
  <si>
    <t>qty_increments</t>
  </si>
  <si>
    <t>Qty Increments</t>
  </si>
  <si>
    <t>use_config_enable_qty_inc</t>
  </si>
  <si>
    <t>Use Config Enable Qty Increments</t>
  </si>
  <si>
    <t>enable_qty_increments</t>
  </si>
  <si>
    <t>Enable Qty Increments</t>
  </si>
  <si>
    <t>is_decimal_divided</t>
  </si>
  <si>
    <t>Is Divided into Multiple Boxes for Shipping</t>
  </si>
  <si>
    <t>from_date</t>
  </si>
  <si>
    <t>From</t>
  </si>
  <si>
    <t>to_date</t>
  </si>
  <si>
    <t>To</t>
  </si>
  <si>
    <t>actions_serialized</t>
  </si>
  <si>
    <t>Actions Serialized</t>
  </si>
  <si>
    <t>stop_rules_processing</t>
  </si>
  <si>
    <t>Stop Rules Processing</t>
  </si>
  <si>
    <t>simple_action</t>
  </si>
  <si>
    <t>Simple Action</t>
  </si>
  <si>
    <t>Discount Amount</t>
  </si>
  <si>
    <t>rule_product_id</t>
  </si>
  <si>
    <t>Rule Product ID</t>
  </si>
  <si>
    <t>from_time</t>
  </si>
  <si>
    <t>From Time</t>
  </si>
  <si>
    <t>to_time</t>
  </si>
  <si>
    <t>To time</t>
  </si>
  <si>
    <t>action_operator</t>
  </si>
  <si>
    <t>Action Operator</t>
  </si>
  <si>
    <t>action_amount</t>
  </si>
  <si>
    <t>Action Amount</t>
  </si>
  <si>
    <t>action_stop</t>
  </si>
  <si>
    <t>Action Stop</t>
  </si>
  <si>
    <t>rule_product_price_id</t>
  </si>
  <si>
    <t>Rule Product PriceId</t>
  </si>
  <si>
    <t>rule_date</t>
  </si>
  <si>
    <t>Rule Date</t>
  </si>
  <si>
    <t>rule_price</t>
  </si>
  <si>
    <t>Rule Price</t>
  </si>
  <si>
    <t>latest_start_date</t>
  </si>
  <si>
    <t>Latest StartDate</t>
  </si>
  <si>
    <t>earliest_end_date</t>
  </si>
  <si>
    <t>Earliest EndDate</t>
  </si>
  <si>
    <t>Query ID</t>
  </si>
  <si>
    <t>relation_id</t>
  </si>
  <si>
    <t>Relation ID</t>
  </si>
  <si>
    <t>agreement_id</t>
  </si>
  <si>
    <t>Agreement ID</t>
  </si>
  <si>
    <t>content_height</t>
  </si>
  <si>
    <t>Content Height</t>
  </si>
  <si>
    <t>checkbox_text</t>
  </si>
  <si>
    <t>Checkbox Text</t>
  </si>
  <si>
    <t>is_html</t>
  </si>
  <si>
    <t>Is Html</t>
  </si>
  <si>
    <t>mode</t>
  </si>
  <si>
    <t>Applied mode</t>
  </si>
  <si>
    <t>block_id</t>
  </si>
  <si>
    <t>Block Title</t>
  </si>
  <si>
    <t>identifier</t>
  </si>
  <si>
    <t>Block String Identifier</t>
  </si>
  <si>
    <t>Block Content</t>
  </si>
  <si>
    <t>creation_time</t>
  </si>
  <si>
    <t>Block Creation Time</t>
  </si>
  <si>
    <t>Block Modification Time</t>
  </si>
  <si>
    <t>Is Block Active</t>
  </si>
  <si>
    <t>Page Title</t>
  </si>
  <si>
    <t>page_layout</t>
  </si>
  <si>
    <t>Page Layout</t>
  </si>
  <si>
    <t>Page String Identifier</t>
  </si>
  <si>
    <t>content_heading</t>
  </si>
  <si>
    <t>Page Content Heading</t>
  </si>
  <si>
    <t>Page Content</t>
  </si>
  <si>
    <t>Page Creation Time</t>
  </si>
  <si>
    <t>Page Modification Time</t>
  </si>
  <si>
    <t>Is Page Active</t>
  </si>
  <si>
    <t>Page Sort Order</t>
  </si>
  <si>
    <t>layout_update_xml</t>
  </si>
  <si>
    <t>Page Layout Update Content</t>
  </si>
  <si>
    <t>custom_theme</t>
  </si>
  <si>
    <t>Page Custom Theme</t>
  </si>
  <si>
    <t>custom_root_template</t>
  </si>
  <si>
    <t>Page Custom Template</t>
  </si>
  <si>
    <t>custom_layout_update_xml</t>
  </si>
  <si>
    <t>Page Custom Layout Update Content</t>
  </si>
  <si>
    <t>layout_update_selected</t>
  </si>
  <si>
    <t>Page Custom Layout File</t>
  </si>
  <si>
    <t>custom_theme_from</t>
  </si>
  <si>
    <t>Page Custom Theme Active From Date</t>
  </si>
  <si>
    <t>custom_theme_to</t>
  </si>
  <si>
    <t>Page Custom Theme Active To Date</t>
  </si>
  <si>
    <t>Page Meta Title</t>
  </si>
  <si>
    <t>config_id</t>
  </si>
  <si>
    <t>Config ID</t>
  </si>
  <si>
    <t>scope</t>
  </si>
  <si>
    <t>Config Scope</t>
  </si>
  <si>
    <t>scope_id</t>
  </si>
  <si>
    <t>Config Scope ID</t>
  </si>
  <si>
    <t>Config Path</t>
  </si>
  <si>
    <t>Config Value</t>
  </si>
  <si>
    <t>schedule_id</t>
  </si>
  <si>
    <t>Schedule ID</t>
  </si>
  <si>
    <t>job_code</t>
  </si>
  <si>
    <t>Job Code</t>
  </si>
  <si>
    <t>messages</t>
  </si>
  <si>
    <t>Messages</t>
  </si>
  <si>
    <t>scheduled_at</t>
  </si>
  <si>
    <t>Scheduled At</t>
  </si>
  <si>
    <t>executed_at</t>
  </si>
  <si>
    <t>Executed At</t>
  </si>
  <si>
    <t>finished_at</t>
  </si>
  <si>
    <t>Finished At</t>
  </si>
  <si>
    <t>increment_id</t>
  </si>
  <si>
    <t>Increment ID</t>
  </si>
  <si>
    <t>First Name</t>
  </si>
  <si>
    <t>Last Name</t>
  </si>
  <si>
    <t>middlename</t>
  </si>
  <si>
    <t>Middle Name</t>
  </si>
  <si>
    <t>Zip/Postal Code</t>
  </si>
  <si>
    <t>prefix</t>
  </si>
  <si>
    <t>Name Prefix</t>
  </si>
  <si>
    <t>State/Province</t>
  </si>
  <si>
    <t>region_id</t>
  </si>
  <si>
    <t>Street Address</t>
  </si>
  <si>
    <t>suffix</t>
  </si>
  <si>
    <t>Name Suffix</t>
  </si>
  <si>
    <t>vat_id</t>
  </si>
  <si>
    <t>VAT number</t>
  </si>
  <si>
    <t>vat_is_valid</t>
  </si>
  <si>
    <t>VAT number validity</t>
  </si>
  <si>
    <t>vat_request_date</t>
  </si>
  <si>
    <t>VAT number validation request date</t>
  </si>
  <si>
    <t>vat_request_id</t>
  </si>
  <si>
    <t>VAT number validation request ID</t>
  </si>
  <si>
    <t>vat_request_success</t>
  </si>
  <si>
    <t>VAT number validation request success</t>
  </si>
  <si>
    <t>city_id</t>
  </si>
  <si>
    <t>City Id</t>
  </si>
  <si>
    <t>subdistrict_id</t>
  </si>
  <si>
    <t>subdistrict</t>
  </si>
  <si>
    <t>Subdistrict</t>
  </si>
  <si>
    <t>input_filter</t>
  </si>
  <si>
    <t>Input Filter</t>
  </si>
  <si>
    <t>multiline_count</t>
  </si>
  <si>
    <t>Multiline Count</t>
  </si>
  <si>
    <t>validate_rules</t>
  </si>
  <si>
    <t>Validate Rules</t>
  </si>
  <si>
    <t>is_system</t>
  </si>
  <si>
    <t>Is System</t>
  </si>
  <si>
    <t>data_model</t>
  </si>
  <si>
    <t>Data Model</t>
  </si>
  <si>
    <t>is_searchable_in_grid</t>
  </si>
  <si>
    <t>Is Searchable in Grid</t>
  </si>
  <si>
    <t>default_value</t>
  </si>
  <si>
    <t>Default Value</t>
  </si>
  <si>
    <t>Group ID</t>
  </si>
  <si>
    <t>disable_auto_group_change</t>
  </si>
  <si>
    <t>Disable automatic group change based on VAT ID</t>
  </si>
  <si>
    <t>created_in</t>
  </si>
  <si>
    <t>Created From</t>
  </si>
  <si>
    <t>Middle Name/Initial</t>
  </si>
  <si>
    <t>dob</t>
  </si>
  <si>
    <t>Date of Birth</t>
  </si>
  <si>
    <t>Password_hash</t>
  </si>
  <si>
    <t>Reset password token</t>
  </si>
  <si>
    <t>Reset password token creation time</t>
  </si>
  <si>
    <t>default_billing</t>
  </si>
  <si>
    <t>Default Billing Address</t>
  </si>
  <si>
    <t>default_shipping</t>
  </si>
  <si>
    <t>Default Shipping Address</t>
  </si>
  <si>
    <t>taxvat</t>
  </si>
  <si>
    <t>Tax/VAT Number</t>
  </si>
  <si>
    <t>confirmation</t>
  </si>
  <si>
    <t>Is Confirmed</t>
  </si>
  <si>
    <t>gender</t>
  </si>
  <si>
    <t>Lock Expiration Date</t>
  </si>
  <si>
    <t>form_code</t>
  </si>
  <si>
    <t>Form Code</t>
  </si>
  <si>
    <t>Website_id</t>
  </si>
  <si>
    <t>Confirmation</t>
  </si>
  <si>
    <t>Created_in</t>
  </si>
  <si>
    <t>Dob</t>
  </si>
  <si>
    <t>Taxvat</t>
  </si>
  <si>
    <t>Lock_expires</t>
  </si>
  <si>
    <t>shipping_full</t>
  </si>
  <si>
    <t>Shipping_full</t>
  </si>
  <si>
    <t>billing_full</t>
  </si>
  <si>
    <t>Billing_full</t>
  </si>
  <si>
    <t>billing_firstname</t>
  </si>
  <si>
    <t>Billing_firstname</t>
  </si>
  <si>
    <t>billing_lastname</t>
  </si>
  <si>
    <t>Billing_lastname</t>
  </si>
  <si>
    <t>billing_telephone</t>
  </si>
  <si>
    <t>Billing_telephone</t>
  </si>
  <si>
    <t>billing_postcode</t>
  </si>
  <si>
    <t>Billing_postcode</t>
  </si>
  <si>
    <t>billing_country_id</t>
  </si>
  <si>
    <t>Billing_country_id</t>
  </si>
  <si>
    <t>billing_region</t>
  </si>
  <si>
    <t>Billing_region</t>
  </si>
  <si>
    <t>billing_region_id</t>
  </si>
  <si>
    <t>Billing_region_id</t>
  </si>
  <si>
    <t>billing_street</t>
  </si>
  <si>
    <t>Billing_street</t>
  </si>
  <si>
    <t>billing_city</t>
  </si>
  <si>
    <t>Billing_city</t>
  </si>
  <si>
    <t>billing_fax</t>
  </si>
  <si>
    <t>Billing_fax</t>
  </si>
  <si>
    <t>billing_vat_id</t>
  </si>
  <si>
    <t>Billing_vat_id</t>
  </si>
  <si>
    <t>billing_company</t>
  </si>
  <si>
    <t>Billing_company</t>
  </si>
  <si>
    <t>customer_group_code</t>
  </si>
  <si>
    <t>Customer Group Code</t>
  </si>
  <si>
    <t>last_login_at</t>
  </si>
  <si>
    <t>Last Login Time</t>
  </si>
  <si>
    <t>last_logout_at</t>
  </si>
  <si>
    <t>Last Logout Time</t>
  </si>
  <si>
    <t>Session ID</t>
  </si>
  <si>
    <t>last_visit_at</t>
  </si>
  <si>
    <t>Last Visit Time</t>
  </si>
  <si>
    <t>design_change_id</t>
  </si>
  <si>
    <t>Design Change ID</t>
  </si>
  <si>
    <t>design</t>
  </si>
  <si>
    <t>Design</t>
  </si>
  <si>
    <t>First Date of Design Activity</t>
  </si>
  <si>
    <t>Last Date of Design Activity</t>
  </si>
  <si>
    <t>store_website_id</t>
  </si>
  <si>
    <t>Store_website_id</t>
  </si>
  <si>
    <t>store_group_id</t>
  </si>
  <si>
    <t>Store_group_id</t>
  </si>
  <si>
    <t>theme_theme_id</t>
  </si>
  <si>
    <t>Theme_theme_id</t>
  </si>
  <si>
    <t>Subdistrict ID</t>
  </si>
  <si>
    <t>Region ID</t>
  </si>
  <si>
    <t>Subdistrict code</t>
  </si>
  <si>
    <t>default_name</t>
  </si>
  <si>
    <t>Subdistrict Name</t>
  </si>
  <si>
    <t>locale</t>
  </si>
  <si>
    <t>Locale</t>
  </si>
  <si>
    <t>City Name</t>
  </si>
  <si>
    <t>Country ID in ISO-2</t>
  </si>
  <si>
    <t>iso2_code</t>
  </si>
  <si>
    <t>Country ISO-2 format</t>
  </si>
  <si>
    <t>iso3_code</t>
  </si>
  <si>
    <t>Country ISO-3</t>
  </si>
  <si>
    <t>country_format_id</t>
  </si>
  <si>
    <t>Country Format ID</t>
  </si>
  <si>
    <t>Country Format Type</t>
  </si>
  <si>
    <t>format</t>
  </si>
  <si>
    <t>Country Format</t>
  </si>
  <si>
    <t>Region code</t>
  </si>
  <si>
    <t>Region Name</t>
  </si>
  <si>
    <t>currency_from</t>
  </si>
  <si>
    <t>Currency Code Convert From</t>
  </si>
  <si>
    <t>currency_to</t>
  </si>
  <si>
    <t>Currency Code Convert To</t>
  </si>
  <si>
    <t>Currency Conversion Rate</t>
  </si>
  <si>
    <t>City ID</t>
  </si>
  <si>
    <t>City code</t>
  </si>
  <si>
    <t>Sort order</t>
  </si>
  <si>
    <t>number_of_downloads</t>
  </si>
  <si>
    <t>Number of downloads</t>
  </si>
  <si>
    <t>is_shareable</t>
  </si>
  <si>
    <t>Shareable flag</t>
  </si>
  <si>
    <t>link_url</t>
  </si>
  <si>
    <t>Link Url</t>
  </si>
  <si>
    <t>link_file</t>
  </si>
  <si>
    <t>Link File</t>
  </si>
  <si>
    <t>link_type</t>
  </si>
  <si>
    <t>Link Type</t>
  </si>
  <si>
    <t>sample_url</t>
  </si>
  <si>
    <t>Sample Url</t>
  </si>
  <si>
    <t>sample_file</t>
  </si>
  <si>
    <t>Sample File</t>
  </si>
  <si>
    <t>sample_type</t>
  </si>
  <si>
    <t>Sample Type</t>
  </si>
  <si>
    <t>price_id</t>
  </si>
  <si>
    <t>Price ID</t>
  </si>
  <si>
    <t>purchased_id</t>
  </si>
  <si>
    <t>Purchased ID</t>
  </si>
  <si>
    <t>Order Item ID</t>
  </si>
  <si>
    <t>Date of creation</t>
  </si>
  <si>
    <t>Date of modification</t>
  </si>
  <si>
    <t>product_sku</t>
  </si>
  <si>
    <t>Product sku</t>
  </si>
  <si>
    <t>link_section_title</t>
  </si>
  <si>
    <t>Link_section_title</t>
  </si>
  <si>
    <t>link_hash</t>
  </si>
  <si>
    <t>Link hash</t>
  </si>
  <si>
    <t>number_of_downloads_bought</t>
  </si>
  <si>
    <t>Number of downloads bought</t>
  </si>
  <si>
    <t>number_of_downloads_used</t>
  </si>
  <si>
    <t>Number of downloads used</t>
  </si>
  <si>
    <t>link_title</t>
  </si>
  <si>
    <t>Link Title</t>
  </si>
  <si>
    <t>Shareable Flag</t>
  </si>
  <si>
    <t>Title ID</t>
  </si>
  <si>
    <t>sample_id</t>
  </si>
  <si>
    <t>Sample ID</t>
  </si>
  <si>
    <t>Sample URL</t>
  </si>
  <si>
    <t>Sample file</t>
  </si>
  <si>
    <t>entity_type_id</t>
  </si>
  <si>
    <t>Entity Type ID</t>
  </si>
  <si>
    <t>attribute_code</t>
  </si>
  <si>
    <t>Attribute Code</t>
  </si>
  <si>
    <t>attribute_model</t>
  </si>
  <si>
    <t>Attribute Model</t>
  </si>
  <si>
    <t>backend_model</t>
  </si>
  <si>
    <t>Backend Model</t>
  </si>
  <si>
    <t>backend_type</t>
  </si>
  <si>
    <t>Backend Type</t>
  </si>
  <si>
    <t>backend_table</t>
  </si>
  <si>
    <t>Backend Table</t>
  </si>
  <si>
    <t>frontend_model</t>
  </si>
  <si>
    <t>Frontend Model</t>
  </si>
  <si>
    <t>frontend_input</t>
  </si>
  <si>
    <t>Frontend Input</t>
  </si>
  <si>
    <t>frontend_label</t>
  </si>
  <si>
    <t>Frontend Label</t>
  </si>
  <si>
    <t>frontend_class</t>
  </si>
  <si>
    <t>Frontend Class</t>
  </si>
  <si>
    <t>source_model</t>
  </si>
  <si>
    <t>Source Model</t>
  </si>
  <si>
    <t>Defines Is Required</t>
  </si>
  <si>
    <t>is_user_defined</t>
  </si>
  <si>
    <t>Defines Is User Defined</t>
  </si>
  <si>
    <t>is_unique</t>
  </si>
  <si>
    <t>Defines Is Unique</t>
  </si>
  <si>
    <t>Note</t>
  </si>
  <si>
    <t>attribute_group_id</t>
  </si>
  <si>
    <t>Attribute Group ID</t>
  </si>
  <si>
    <t>attribute_group_name</t>
  </si>
  <si>
    <t>Attribute Group Name</t>
  </si>
  <si>
    <t>default_id</t>
  </si>
  <si>
    <t>Default ID</t>
  </si>
  <si>
    <t>attribute_group_code</t>
  </si>
  <si>
    <t>Attribute Group Code</t>
  </si>
  <si>
    <t>tab_group_code</t>
  </si>
  <si>
    <t>Tab Group Code</t>
  </si>
  <si>
    <t>attribute_label_id</t>
  </si>
  <si>
    <t>Attribute Label ID</t>
  </si>
  <si>
    <t>swatch_id</t>
  </si>
  <si>
    <t>Swatch ID</t>
  </si>
  <si>
    <t>Swatch type: 0 - text, 1 - visual color, 2 - visual image</t>
  </si>
  <si>
    <t>Swatch Value</t>
  </si>
  <si>
    <t>attribute_set_name</t>
  </si>
  <si>
    <t>Attribute Set Name</t>
  </si>
  <si>
    <t>Defines Is Entity Active</t>
  </si>
  <si>
    <t>entity_attribute_id</t>
  </si>
  <si>
    <t>Entity Attribute ID</t>
  </si>
  <si>
    <t>Attribute Value</t>
  </si>
  <si>
    <t>entity_store_id</t>
  </si>
  <si>
    <t>Entity Store ID</t>
  </si>
  <si>
    <t>increment_prefix</t>
  </si>
  <si>
    <t>Increment Prefix</t>
  </si>
  <si>
    <t>increment_last_id</t>
  </si>
  <si>
    <t>Last Incremented ID</t>
  </si>
  <si>
    <t>entity_type_code</t>
  </si>
  <si>
    <t>Entity Type Code</t>
  </si>
  <si>
    <t>entity_model</t>
  </si>
  <si>
    <t>Entity Model</t>
  </si>
  <si>
    <t>entity_table</t>
  </si>
  <si>
    <t>Entity Table</t>
  </si>
  <si>
    <t>value_table_prefix</t>
  </si>
  <si>
    <t>Value Table Prefix</t>
  </si>
  <si>
    <t>entity_id_field</t>
  </si>
  <si>
    <t>Entity ID Field</t>
  </si>
  <si>
    <t>is_data_sharing</t>
  </si>
  <si>
    <t>Defines Is Data Sharing</t>
  </si>
  <si>
    <t>data_sharing_key</t>
  </si>
  <si>
    <t>Data Sharing Key</t>
  </si>
  <si>
    <t>default_attribute_set_id</t>
  </si>
  <si>
    <t>Default Attribute Set ID</t>
  </si>
  <si>
    <t>increment_model</t>
  </si>
  <si>
    <t>Increment Model</t>
  </si>
  <si>
    <t>increment_per_store</t>
  </si>
  <si>
    <t>Increment Per Store</t>
  </si>
  <si>
    <t>increment_pad_length</t>
  </si>
  <si>
    <t>Increment Pad Length</t>
  </si>
  <si>
    <t>increment_pad_char</t>
  </si>
  <si>
    <t>Increment Pad Char</t>
  </si>
  <si>
    <t>additional_attribute_table</t>
  </si>
  <si>
    <t>Additional Attribute Table</t>
  </si>
  <si>
    <t>entity_attribute_collection</t>
  </si>
  <si>
    <t>Entity Attribute Collection</t>
  </si>
  <si>
    <t>element_id</t>
  </si>
  <si>
    <t>Element ID</t>
  </si>
  <si>
    <t>fieldset_id</t>
  </si>
  <si>
    <t>Fieldset ID</t>
  </si>
  <si>
    <t>Theme</t>
  </si>
  <si>
    <t>Primary Key</t>
  </si>
  <si>
    <t>Quote Id</t>
  </si>
  <si>
    <t>Contact Status</t>
  </si>
  <si>
    <t>Quote Active</t>
  </si>
  <si>
    <t>quote_updated_at</t>
  </si>
  <si>
    <t>Quote updated at</t>
  </si>
  <si>
    <t>abandoned_cart_number</t>
  </si>
  <si>
    <t>Abandoned Cart number</t>
  </si>
  <si>
    <t>items_count</t>
  </si>
  <si>
    <t>Quote items count</t>
  </si>
  <si>
    <t>items_ids</t>
  </si>
  <si>
    <t>Quote item ids</t>
  </si>
  <si>
    <t>Updated at</t>
  </si>
  <si>
    <t>automation_type</t>
  </si>
  <si>
    <t>Automation Type</t>
  </si>
  <si>
    <t>enrolment_status</t>
  </si>
  <si>
    <t>Enrolment Status</t>
  </si>
  <si>
    <t>program_id</t>
  </si>
  <si>
    <t>Program ID</t>
  </si>
  <si>
    <t>Website Id</t>
  </si>
  <si>
    <t>Message</t>
  </si>
  <si>
    <t>campaign_id</t>
  </si>
  <si>
    <t>Campaign ID</t>
  </si>
  <si>
    <t>Contact Email</t>
  </si>
  <si>
    <t>sent_at</t>
  </si>
  <si>
    <t>Send Date</t>
  </si>
  <si>
    <t>Sales Quote ID</t>
  </si>
  <si>
    <t>Error Message</t>
  </si>
  <si>
    <t>checkout_method</t>
  </si>
  <si>
    <t>Checkout Method Used</t>
  </si>
  <si>
    <t>event_name</t>
  </si>
  <si>
    <t>Event Name</t>
  </si>
  <si>
    <t>send_id</t>
  </si>
  <si>
    <t>Send Id</t>
  </si>
  <si>
    <t>send_status</t>
  </si>
  <si>
    <t>Campaign send status</t>
  </si>
  <si>
    <t>Product processed</t>
  </si>
  <si>
    <t>last_imported_at</t>
  </si>
  <si>
    <t>Last imported date</t>
  </si>
  <si>
    <t>email_contact_id</t>
  </si>
  <si>
    <t>is_guest</t>
  </si>
  <si>
    <t>Is Guest</t>
  </si>
  <si>
    <t>Connector Contact ID</t>
  </si>
  <si>
    <t>Customer Email</t>
  </si>
  <si>
    <t>is_subscriber</t>
  </si>
  <si>
    <t>Is Subscriber</t>
  </si>
  <si>
    <t>subscriber_status</t>
  </si>
  <si>
    <t>Subscriber status</t>
  </si>
  <si>
    <t>email_imported</t>
  </si>
  <si>
    <t>Is Imported</t>
  </si>
  <si>
    <t>subscriber_imported</t>
  </si>
  <si>
    <t>Is Subscriber Imported</t>
  </si>
  <si>
    <t>suppressed</t>
  </si>
  <si>
    <t>Is Suppressed</t>
  </si>
  <si>
    <t>last_subscribed_at</t>
  </si>
  <si>
    <t>Last time user subscribed</t>
  </si>
  <si>
    <t>Email Contact Id</t>
  </si>
  <si>
    <t>consent_url</t>
  </si>
  <si>
    <t>Contact consent url</t>
  </si>
  <si>
    <t>consent_datetime</t>
  </si>
  <si>
    <t>Contact consent datetime</t>
  </si>
  <si>
    <t>consent_ip</t>
  </si>
  <si>
    <t>Contact consent ip</t>
  </si>
  <si>
    <t>consent_user_agent</t>
  </si>
  <si>
    <t>Contact consent user agent</t>
  </si>
  <si>
    <t>salesrule_coupon_id</t>
  </si>
  <si>
    <t>Coupon ID</t>
  </si>
  <si>
    <t>Coupon expiration date</t>
  </si>
  <si>
    <t>Number of fails</t>
  </si>
  <si>
    <t>first_attempt_date</t>
  </si>
  <si>
    <t>First attempt date</t>
  </si>
  <si>
    <t>last_attempt_date</t>
  </si>
  <si>
    <t>Last attempt date</t>
  </si>
  <si>
    <t>URL</t>
  </si>
  <si>
    <t>import_type</t>
  </si>
  <si>
    <t>Import Type</t>
  </si>
  <si>
    <t>import_status</t>
  </si>
  <si>
    <t>Import Status</t>
  </si>
  <si>
    <t>import_id</t>
  </si>
  <si>
    <t>Import Id</t>
  </si>
  <si>
    <t>import_data</t>
  </si>
  <si>
    <t>Import Data</t>
  </si>
  <si>
    <t>import_mode</t>
  </si>
  <si>
    <t>Import Mode</t>
  </si>
  <si>
    <t>import_file</t>
  </si>
  <si>
    <t>Import File</t>
  </si>
  <si>
    <t>import_started</t>
  </si>
  <si>
    <t>Import Started</t>
  </si>
  <si>
    <t>import_finished</t>
  </si>
  <si>
    <t>Import Finished</t>
  </si>
  <si>
    <t>email_order_id</t>
  </si>
  <si>
    <t>Order Status</t>
  </si>
  <si>
    <t>Is Order Imported</t>
  </si>
  <si>
    <t>Is Order Modified</t>
  </si>
  <si>
    <t>review_id</t>
  </si>
  <si>
    <t>Review Id</t>
  </si>
  <si>
    <t>review_imported</t>
  </si>
  <si>
    <t>Review Imported</t>
  </si>
  <si>
    <t>Rule Name</t>
  </si>
  <si>
    <t>website_ids</t>
  </si>
  <si>
    <t>Rule Type</t>
  </si>
  <si>
    <t>combination</t>
  </si>
  <si>
    <t>Rule Condition</t>
  </si>
  <si>
    <t>blob</t>
  </si>
  <si>
    <t>Rule Conditions</t>
  </si>
  <si>
    <t>Primary key</t>
  </si>
  <si>
    <t>Phone number</t>
  </si>
  <si>
    <t>Customer email</t>
  </si>
  <si>
    <t>Additional data</t>
  </si>
  <si>
    <t>Message content</t>
  </si>
  <si>
    <t>message_id</t>
  </si>
  <si>
    <t>Delivery message</t>
  </si>
  <si>
    <t>Sent at date</t>
  </si>
  <si>
    <t>Creation time</t>
  </si>
  <si>
    <t>Update time</t>
  </si>
  <si>
    <t>template_id</t>
  </si>
  <si>
    <t>Template ID</t>
  </si>
  <si>
    <t>template_code</t>
  </si>
  <si>
    <t>Template Name</t>
  </si>
  <si>
    <t>template_text</t>
  </si>
  <si>
    <t>Template Content</t>
  </si>
  <si>
    <t>template_styles</t>
  </si>
  <si>
    <t>Templste Styles</t>
  </si>
  <si>
    <t>template_type</t>
  </si>
  <si>
    <t>Template Type</t>
  </si>
  <si>
    <t>template_subject</t>
  </si>
  <si>
    <t>Template Subject</t>
  </si>
  <si>
    <t>template_sender_name</t>
  </si>
  <si>
    <t>Template Sender Name</t>
  </si>
  <si>
    <t>template_sender_email</t>
  </si>
  <si>
    <t>Template Sender Email</t>
  </si>
  <si>
    <t>Date of Template Creation</t>
  </si>
  <si>
    <t>modified_at</t>
  </si>
  <si>
    <t>Date of Template Modification</t>
  </si>
  <si>
    <t>orig_template_code</t>
  </si>
  <si>
    <t>Original Template Code</t>
  </si>
  <si>
    <t>orig_template_variables</t>
  </si>
  <si>
    <t>Original Template Variables</t>
  </si>
  <si>
    <t>is_legacy</t>
  </si>
  <si>
    <t>Should the template render in legacy mode</t>
  </si>
  <si>
    <t>wishlist_id</t>
  </si>
  <si>
    <t>Wishlist Id</t>
  </si>
  <si>
    <t>item_count</t>
  </si>
  <si>
    <t>Item Count</t>
  </si>
  <si>
    <t>wishlist_imported</t>
  </si>
  <si>
    <t>Wishlist Imported</t>
  </si>
  <si>
    <t>wishlist_modified</t>
  </si>
  <si>
    <t>Wishlist Modified</t>
  </si>
  <si>
    <t>history_id</t>
  </si>
  <si>
    <t>History Id</t>
  </si>
  <si>
    <t>Job Id</t>
  </si>
  <si>
    <t>started_at</t>
  </si>
  <si>
    <t>Finished</t>
  </si>
  <si>
    <t>file</t>
  </si>
  <si>
    <t>Exported File</t>
  </si>
  <si>
    <t>temp_file</t>
  </si>
  <si>
    <t>Temp file export</t>
  </si>
  <si>
    <t>is_moved</t>
  </si>
  <si>
    <t>Is Moved</t>
  </si>
  <si>
    <t>Is Job Active</t>
  </si>
  <si>
    <t>cron</t>
  </si>
  <si>
    <t>Cron schedule</t>
  </si>
  <si>
    <t>frequency</t>
  </si>
  <si>
    <t>entity</t>
  </si>
  <si>
    <t>Entity Type</t>
  </si>
  <si>
    <t>behavior_data</t>
  </si>
  <si>
    <t>Behavior Data (json)</t>
  </si>
  <si>
    <t>export_source</t>
  </si>
  <si>
    <t>Export Source</t>
  </si>
  <si>
    <t>source_data</t>
  </si>
  <si>
    <t>Source Data (json)</t>
  </si>
  <si>
    <t>file_updated_at</t>
  </si>
  <si>
    <t>xslt</t>
  </si>
  <si>
    <t>longblob</t>
  </si>
  <si>
    <t>Xslt</t>
  </si>
  <si>
    <t>event</t>
  </si>
  <si>
    <t>Event name</t>
  </si>
  <si>
    <t>Imported File</t>
  </si>
  <si>
    <t>Magento Attribute Id</t>
  </si>
  <si>
    <t>special_attribute</t>
  </si>
  <si>
    <t>Special System Attribute</t>
  </si>
  <si>
    <t>import_code</t>
  </si>
  <si>
    <t>Import Attribute Code</t>
  </si>
  <si>
    <t>custom</t>
  </si>
  <si>
    <t>Magento Attribute Code</t>
  </si>
  <si>
    <t>target</t>
  </si>
  <si>
    <t>Target Option</t>
  </si>
  <si>
    <t>is_case_sensitive</t>
  </si>
  <si>
    <t>Is Case Sensitive</t>
  </si>
  <si>
    <t>find</t>
  </si>
  <si>
    <t>Find text</t>
  </si>
  <si>
    <t>entity_type</t>
  </si>
  <si>
    <t>Entity type</t>
  </si>
  <si>
    <t>replace</t>
  </si>
  <si>
    <t>Replace text</t>
  </si>
  <si>
    <t>import_source</t>
  </si>
  <si>
    <t>Import Source</t>
  </si>
  <si>
    <t>mapping</t>
  </si>
  <si>
    <t>mapping field</t>
  </si>
  <si>
    <t>price_rules</t>
  </si>
  <si>
    <t>Price rules</t>
  </si>
  <si>
    <t>translate_from</t>
  </si>
  <si>
    <t>Translate from</t>
  </si>
  <si>
    <t>translate_to</t>
  </si>
  <si>
    <t>Translate to</t>
  </si>
  <si>
    <t>Entity</t>
  </si>
  <si>
    <t>behavior</t>
  </si>
  <si>
    <t>Behavior</t>
  </si>
  <si>
    <t>subentity</t>
  </si>
  <si>
    <t>SubEntity</t>
  </si>
  <si>
    <t>File</t>
  </si>
  <si>
    <t>longtext</t>
  </si>
  <si>
    <t>flag_id</t>
  </si>
  <si>
    <t>Flag Id</t>
  </si>
  <si>
    <t>flag_code</t>
  </si>
  <si>
    <t>Flag Code</t>
  </si>
  <si>
    <t>Flag State</t>
  </si>
  <si>
    <t>flag_data</t>
  </si>
  <si>
    <t>Flag Data</t>
  </si>
  <si>
    <t>Date of Last Flag Update</t>
  </si>
  <si>
    <t>gift_message_id</t>
  </si>
  <si>
    <t>GiftMessage ID</t>
  </si>
  <si>
    <t>sender</t>
  </si>
  <si>
    <t>Sender</t>
  </si>
  <si>
    <t>recipient</t>
  </si>
  <si>
    <t>Registrant</t>
  </si>
  <si>
    <t>code_id</t>
  </si>
  <si>
    <t>Google experiment code ID</t>
  </si>
  <si>
    <t>Optimized entity ID product ID or catalog ID</t>
  </si>
  <si>
    <t>Optimized entity type</t>
  </si>
  <si>
    <t>experiment_script</t>
  </si>
  <si>
    <t>Google experiment script</t>
  </si>
  <si>
    <t>History record ID</t>
  </si>
  <si>
    <t>Started at</t>
  </si>
  <si>
    <t>imported_file</t>
  </si>
  <si>
    <t>Imported file</t>
  </si>
  <si>
    <t>execution_time</t>
  </si>
  <si>
    <t>Execution time</t>
  </si>
  <si>
    <t>summary</t>
  </si>
  <si>
    <t>Summary</t>
  </si>
  <si>
    <t>error_file</t>
  </si>
  <si>
    <t>Imported file with errors</t>
  </si>
  <si>
    <t>Indexer State ID</t>
  </si>
  <si>
    <t>indexer_id</t>
  </si>
  <si>
    <t>Indexer ID</t>
  </si>
  <si>
    <t>Indexer Status</t>
  </si>
  <si>
    <t>updated</t>
  </si>
  <si>
    <t>hash_config</t>
  </si>
  <si>
    <t>Hash of indexer config</t>
  </si>
  <si>
    <t>integration_id</t>
  </si>
  <si>
    <t>Integration ID</t>
  </si>
  <si>
    <t>Integration name is displayed in the admin interface</t>
  </si>
  <si>
    <t>Email address of the contact person</t>
  </si>
  <si>
    <t>endpoint</t>
  </si>
  <si>
    <t>Endpoint for posting consumer credentials</t>
  </si>
  <si>
    <t>Integration status</t>
  </si>
  <si>
    <t>consumer_id</t>
  </si>
  <si>
    <t>Oauth consumer</t>
  </si>
  <si>
    <t>setup_type</t>
  </si>
  <si>
    <t>Integration type - manual or config file</t>
  </si>
  <si>
    <t>identity_link_url</t>
  </si>
  <si>
    <t>Identity linking Url</t>
  </si>
  <si>
    <t>country_code</t>
  </si>
  <si>
    <t>source_code</t>
  </si>
  <si>
    <t>notification_sent</t>
  </si>
  <si>
    <t>Has Notification Been Sent For Order</t>
  </si>
  <si>
    <t>send_notification</t>
  </si>
  <si>
    <t>Should Notification Be Send For Order</t>
  </si>
  <si>
    <t>pickup_location_code</t>
  </si>
  <si>
    <t>Pickup Location Code</t>
  </si>
  <si>
    <t>address_id</t>
  </si>
  <si>
    <t>Quote Address ID</t>
  </si>
  <si>
    <t>reservation_id</t>
  </si>
  <si>
    <t>shipment_id</t>
  </si>
  <si>
    <t>use_default_carrier_config</t>
  </si>
  <si>
    <t>is_pickup_location_active</t>
  </si>
  <si>
    <t>frontend_name</t>
  </si>
  <si>
    <t>frontend_description</t>
  </si>
  <si>
    <t>carrier_code</t>
  </si>
  <si>
    <t>source_item_id</t>
  </si>
  <si>
    <t>is_salable</t>
  </si>
  <si>
    <t>klarna_order_id</t>
  </si>
  <si>
    <t>Klarna Order Id</t>
  </si>
  <si>
    <t>Session Id</t>
  </si>
  <si>
    <t>Reservation Id</t>
  </si>
  <si>
    <t>is_acknowledged</t>
  </si>
  <si>
    <t>Is Acknowledged</t>
  </si>
  <si>
    <t>payments_quote_id</t>
  </si>
  <si>
    <t>Payments Id</t>
  </si>
  <si>
    <t>Klarna Session Id</t>
  </si>
  <si>
    <t>client_token</t>
  </si>
  <si>
    <t>Klarna Client Token</t>
  </si>
  <si>
    <t>authorization_token</t>
  </si>
  <si>
    <t>Authorization Token</t>
  </si>
  <si>
    <t>payment_methods</t>
  </si>
  <si>
    <t>Payment Method Categories</t>
  </si>
  <si>
    <t>payment_method_info</t>
  </si>
  <si>
    <t>Payment Method Category Info</t>
  </si>
  <si>
    <t>layout_link_id</t>
  </si>
  <si>
    <t>theme_id</t>
  </si>
  <si>
    <t>Theme ID</t>
  </si>
  <si>
    <t>layout_update_id</t>
  </si>
  <si>
    <t>Layout Update ID</t>
  </si>
  <si>
    <t>is_temporary</t>
  </si>
  <si>
    <t>Defines whether Layout Update is Temporary</t>
  </si>
  <si>
    <t>handle</t>
  </si>
  <si>
    <t>Handle</t>
  </si>
  <si>
    <t>xml</t>
  </si>
  <si>
    <t>Xml</t>
  </si>
  <si>
    <t>Last Update Timestamp</t>
  </si>
  <si>
    <t>secret</t>
  </si>
  <si>
    <t>Login Secret</t>
  </si>
  <si>
    <t>admin_id</t>
  </si>
  <si>
    <t>Admin ID</t>
  </si>
  <si>
    <t>Internal ID</t>
  </si>
  <si>
    <t>bulk_uuid</t>
  </si>
  <si>
    <t>Related Bulk UUID</t>
  </si>
  <si>
    <t>Bulk Internal ID (must not be exposed)</t>
  </si>
  <si>
    <t>uuid</t>
  </si>
  <si>
    <t>Bulk UUID (can be exposed to reference bulk entity)</t>
  </si>
  <si>
    <t>ID of the WebAPI user that performed an action</t>
  </si>
  <si>
    <t>Which type of user</t>
  </si>
  <si>
    <t>Bulk Description</t>
  </si>
  <si>
    <t>operation_count</t>
  </si>
  <si>
    <t>Total number of operations scheduled within this bulk</t>
  </si>
  <si>
    <t>start_time</t>
  </si>
  <si>
    <t>Bulk start time</t>
  </si>
  <si>
    <t>Log Id</t>
  </si>
  <si>
    <t>Event Date</t>
  </si>
  <si>
    <t>User Id</t>
  </si>
  <si>
    <t>user_name</t>
  </si>
  <si>
    <t>User Name</t>
  </si>
  <si>
    <t>Customer Id</t>
  </si>
  <si>
    <t>customer_email</t>
  </si>
  <si>
    <t>Operation ID</t>
  </si>
  <si>
    <t>operation_key</t>
  </si>
  <si>
    <t>Operation Key</t>
  </si>
  <si>
    <t>topic_name</t>
  </si>
  <si>
    <t>Name of the related message queue topic</t>
  </si>
  <si>
    <t>serialized_data</t>
  </si>
  <si>
    <t>Data (serialized) required to perform an operation</t>
  </si>
  <si>
    <t>result_serialized_data</t>
  </si>
  <si>
    <t>Result data (serialized) after perform an operation</t>
  </si>
  <si>
    <t>Operation status (OPEN | COMPLETE | RETRIABLY_FAILED | NOT_RETRIABLY_FAILED)</t>
  </si>
  <si>
    <t>error_code</t>
  </si>
  <si>
    <t>Code of the error that appeared during operation execution (used to aggregate related failed operations)</t>
  </si>
  <si>
    <t>result_message</t>
  </si>
  <si>
    <t>Operation result message</t>
  </si>
  <si>
    <t>log_ids</t>
  </si>
  <si>
    <t>Log Ids</t>
  </si>
  <si>
    <t>token</t>
  </si>
  <si>
    <t>Token</t>
  </si>
  <si>
    <t>subject</t>
  </si>
  <si>
    <t>Email Subject</t>
  </si>
  <si>
    <t>email_content</t>
  </si>
  <si>
    <t>Email Content</t>
  </si>
  <si>
    <t>Recipient</t>
  </si>
  <si>
    <t>cc</t>
  </si>
  <si>
    <t>Cc</t>
  </si>
  <si>
    <t>bcc</t>
  </si>
  <si>
    <t>Bcc</t>
  </si>
  <si>
    <t>social_customer_id</t>
  </si>
  <si>
    <t>Social Customer ID</t>
  </si>
  <si>
    <t>social_id</t>
  </si>
  <si>
    <t>Social Id</t>
  </si>
  <si>
    <t>is_send_password_email</t>
  </si>
  <si>
    <t>Is Send Password Email</t>
  </si>
  <si>
    <t>social_created_at</t>
  </si>
  <si>
    <t>Social Created At</t>
  </si>
  <si>
    <t>trusted_id</t>
  </si>
  <si>
    <t>Trusted ID</t>
  </si>
  <si>
    <t>Device Name</t>
  </si>
  <si>
    <t>device_ip</t>
  </si>
  <si>
    <t>Device IP</t>
  </si>
  <si>
    <t>Device Last Login</t>
  </si>
  <si>
    <t>Trusted Created At</t>
  </si>
  <si>
    <t>asset_id</t>
  </si>
  <si>
    <t>Content type</t>
  </si>
  <si>
    <t>Content entity id</t>
  </si>
  <si>
    <t>field</t>
  </si>
  <si>
    <t>Content field</t>
  </si>
  <si>
    <t>source</t>
  </si>
  <si>
    <t>hash</t>
  </si>
  <si>
    <t>File hash</t>
  </si>
  <si>
    <t>content_type</t>
  </si>
  <si>
    <t>Content Type</t>
  </si>
  <si>
    <t>height</t>
  </si>
  <si>
    <t>size</t>
  </si>
  <si>
    <t>Asset file size in bytes</t>
  </si>
  <si>
    <t>keyword_id</t>
  </si>
  <si>
    <t>Keyword Id</t>
  </si>
  <si>
    <t>Asset ID</t>
  </si>
  <si>
    <t>Keyword ID</t>
  </si>
  <si>
    <t>keyword</t>
  </si>
  <si>
    <t>View State ID</t>
  </si>
  <si>
    <t>view_id</t>
  </si>
  <si>
    <t>View ID</t>
  </si>
  <si>
    <t>View Mode</t>
  </si>
  <si>
    <t>View Status</t>
  </si>
  <si>
    <t>View updated time</t>
  </si>
  <si>
    <t>View Version ID</t>
  </si>
  <si>
    <t>problem_id</t>
  </si>
  <si>
    <t>Problem ID</t>
  </si>
  <si>
    <t>subscriber_id</t>
  </si>
  <si>
    <t>Subscriber ID</t>
  </si>
  <si>
    <t>queue_id</t>
  </si>
  <si>
    <t>Queue ID</t>
  </si>
  <si>
    <t>problem_error_code</t>
  </si>
  <si>
    <t>Problem Error Code</t>
  </si>
  <si>
    <t>problem_error_text</t>
  </si>
  <si>
    <t>Problem Error Text</t>
  </si>
  <si>
    <t>newsletter_type</t>
  </si>
  <si>
    <t>Newsletter Type</t>
  </si>
  <si>
    <t>newsletter_text</t>
  </si>
  <si>
    <t>Newsletter Text</t>
  </si>
  <si>
    <t>newsletter_styles</t>
  </si>
  <si>
    <t>Newsletter Styles</t>
  </si>
  <si>
    <t>newsletter_subject</t>
  </si>
  <si>
    <t>Newsletter Subject</t>
  </si>
  <si>
    <t>newsletter_sender_name</t>
  </si>
  <si>
    <t>Newsletter Sender Name</t>
  </si>
  <si>
    <t>newsletter_sender_email</t>
  </si>
  <si>
    <t>Newsletter Sender Email</t>
  </si>
  <si>
    <t>queue_status</t>
  </si>
  <si>
    <t>Queue Status</t>
  </si>
  <si>
    <t>queue_start_at</t>
  </si>
  <si>
    <t>Queue Start At</t>
  </si>
  <si>
    <t>queue_finish_at</t>
  </si>
  <si>
    <t>Queue Finish At</t>
  </si>
  <si>
    <t>queue_link_id</t>
  </si>
  <si>
    <t>Queue Link ID</t>
  </si>
  <si>
    <t>letter_sent_at</t>
  </si>
  <si>
    <t>Letter Sent At</t>
  </si>
  <si>
    <t>change_status_at</t>
  </si>
  <si>
    <t>Change Status At</t>
  </si>
  <si>
    <t>subscriber_email</t>
  </si>
  <si>
    <t>Subscriber Email</t>
  </si>
  <si>
    <t>Subscriber Status</t>
  </si>
  <si>
    <t>subscriber_confirm_code</t>
  </si>
  <si>
    <t>Subscriber Confirm Code</t>
  </si>
  <si>
    <t>Template Code</t>
  </si>
  <si>
    <t>Template Text</t>
  </si>
  <si>
    <t>Template Styles</t>
  </si>
  <si>
    <t>template_actual</t>
  </si>
  <si>
    <t>Template Actual</t>
  </si>
  <si>
    <t>Modified At</t>
  </si>
  <si>
    <t>Name of consumer</t>
  </si>
  <si>
    <t>key</t>
  </si>
  <si>
    <t>Key code</t>
  </si>
  <si>
    <t>Secret code</t>
  </si>
  <si>
    <t>callback_url</t>
  </si>
  <si>
    <t>Callback URL</t>
  </si>
  <si>
    <t>rejected_callback_url</t>
  </si>
  <si>
    <t>Rejected callback URL</t>
  </si>
  <si>
    <t>nonce</t>
  </si>
  <si>
    <t>Nonce String</t>
  </si>
  <si>
    <t>Nonce Timestamp</t>
  </si>
  <si>
    <t>Consumer ID</t>
  </si>
  <si>
    <t>Oauth Consumer ID</t>
  </si>
  <si>
    <t>Admin user ID</t>
  </si>
  <si>
    <t>Customer user ID</t>
  </si>
  <si>
    <t>Token Type</t>
  </si>
  <si>
    <t>Token Secret</t>
  </si>
  <si>
    <t>verifier</t>
  </si>
  <si>
    <t>Token Verifier</t>
  </si>
  <si>
    <t>Token Callback URL</t>
  </si>
  <si>
    <t>revoked</t>
  </si>
  <si>
    <t>Is Token revoked</t>
  </si>
  <si>
    <t>authorized</t>
  </si>
  <si>
    <t>Is Token authorized</t>
  </si>
  <si>
    <t>User type</t>
  </si>
  <si>
    <t>Token creation timestamp</t>
  </si>
  <si>
    <t>Customer email or admin login</t>
  </si>
  <si>
    <t>User type (admin or customer)</t>
  </si>
  <si>
    <t>failures_count</t>
  </si>
  <si>
    <t>Number of failed authentication attempts in a row</t>
  </si>
  <si>
    <t>lock_expires_at</t>
  </si>
  <si>
    <t>Lock expiration time</t>
  </si>
  <si>
    <t>request_type</t>
  </si>
  <si>
    <t>Type of the event under a security control</t>
  </si>
  <si>
    <t>account_reference</t>
  </si>
  <si>
    <t>An identifier for existing account or another target</t>
  </si>
  <si>
    <t>Timestamp when the event occurs</t>
  </si>
  <si>
    <t>patch_id</t>
  </si>
  <si>
    <t>Patch Auto Increment</t>
  </si>
  <si>
    <t>patch_name</t>
  </si>
  <si>
    <t>Patch Class Name</t>
  </si>
  <si>
    <t>version</t>
  </si>
  <si>
    <t>Version</t>
  </si>
  <si>
    <t>request_timestamp</t>
  </si>
  <si>
    <t>Request Timestamp</t>
  </si>
  <si>
    <t>merchant_id</t>
  </si>
  <si>
    <t>Merchant ID</t>
  </si>
  <si>
    <t>Invoice Number</t>
  </si>
  <si>
    <t>currency</t>
  </si>
  <si>
    <t>Currency</t>
  </si>
  <si>
    <t>amount</t>
  </si>
  <si>
    <t>transaction_ref</t>
  </si>
  <si>
    <t>Transaction Ref.</t>
  </si>
  <si>
    <t>approval_code</t>
  </si>
  <si>
    <t>Approval Code</t>
  </si>
  <si>
    <t>eci</t>
  </si>
  <si>
    <t>ECI</t>
  </si>
  <si>
    <t>transaction_datetime</t>
  </si>
  <si>
    <t>Transaction Datetime</t>
  </si>
  <si>
    <t>payment_channel</t>
  </si>
  <si>
    <t>Payment Channel</t>
  </si>
  <si>
    <t>payment_status</t>
  </si>
  <si>
    <t>Payment Status</t>
  </si>
  <si>
    <t>channel_response_code</t>
  </si>
  <si>
    <t>Channel Response Code</t>
  </si>
  <si>
    <t>channel_response_desc</t>
  </si>
  <si>
    <t>Channel Response Desc</t>
  </si>
  <si>
    <t>masked_pan</t>
  </si>
  <si>
    <t>Masked Pan</t>
  </si>
  <si>
    <t>backend_invoice</t>
  </si>
  <si>
    <t>Backend Invoice</t>
  </si>
  <si>
    <t>paid_channel</t>
  </si>
  <si>
    <t>Paid Channel</t>
  </si>
  <si>
    <t>paid_agent</t>
  </si>
  <si>
    <t>Paid Agent</t>
  </si>
  <si>
    <t>recurring_unique_id</t>
  </si>
  <si>
    <t>Recurring Unique ID</t>
  </si>
  <si>
    <t>user_defined_1</t>
  </si>
  <si>
    <t>User Defined 1</t>
  </si>
  <si>
    <t>user_defined_2</t>
  </si>
  <si>
    <t>User Defined 2</t>
  </si>
  <si>
    <t>user_defined_3</t>
  </si>
  <si>
    <t>User Defined 3</t>
  </si>
  <si>
    <t>user_defined_4</t>
  </si>
  <si>
    <t>User Defined 4</t>
  </si>
  <si>
    <t>user_defined_5</t>
  </si>
  <si>
    <t>User Defined 5</t>
  </si>
  <si>
    <t>browser_info</t>
  </si>
  <si>
    <t>Browser Info</t>
  </si>
  <si>
    <t>ipp_period</t>
  </si>
  <si>
    <t>IPP Period</t>
  </si>
  <si>
    <t>ipp_interest_type</t>
  </si>
  <si>
    <t>IPP Interest Type</t>
  </si>
  <si>
    <t>ipp_interest_rate</t>
  </si>
  <si>
    <t>IPP Interest Rate</t>
  </si>
  <si>
    <t>ipp_merchant_absorb_rate</t>
  </si>
  <si>
    <t>IPP Interest Absorb Rate</t>
  </si>
  <si>
    <t>method_code</t>
  </si>
  <si>
    <t>Method Code</t>
  </si>
  <si>
    <t>Reference ID</t>
  </si>
  <si>
    <t>agreement_label</t>
  </si>
  <si>
    <t>Agreement Label</t>
  </si>
  <si>
    <t>cert_id</t>
  </si>
  <si>
    <t>Cert ID</t>
  </si>
  <si>
    <t>transaction_id</t>
  </si>
  <si>
    <t>txn_id</t>
  </si>
  <si>
    <t>Txn ID</t>
  </si>
  <si>
    <t>additional_information</t>
  </si>
  <si>
    <t>Additional Information</t>
  </si>
  <si>
    <t>report_id</t>
  </si>
  <si>
    <t>Report ID</t>
  </si>
  <si>
    <t>report_date</t>
  </si>
  <si>
    <t>Report Date</t>
  </si>
  <si>
    <t>Account ID</t>
  </si>
  <si>
    <t>Filename</t>
  </si>
  <si>
    <t>last_modified</t>
  </si>
  <si>
    <t>Last Modified</t>
  </si>
  <si>
    <t>row_id</t>
  </si>
  <si>
    <t>Transaction ID</t>
  </si>
  <si>
    <t>Invoice ID</t>
  </si>
  <si>
    <t>paypal_reference_id</t>
  </si>
  <si>
    <t>Paypal Reference ID</t>
  </si>
  <si>
    <t>paypal_reference_id_type</t>
  </si>
  <si>
    <t>Paypal Reference ID Type</t>
  </si>
  <si>
    <t>transaction_event_code</t>
  </si>
  <si>
    <t>Transaction Event Code</t>
  </si>
  <si>
    <t>transaction_initiation_date</t>
  </si>
  <si>
    <t>Transaction Initiation Date</t>
  </si>
  <si>
    <t>transaction_completion_date</t>
  </si>
  <si>
    <t>Transaction Completion Date</t>
  </si>
  <si>
    <t>transaction_debit_or_credit</t>
  </si>
  <si>
    <t>Transaction Debit Or Credit</t>
  </si>
  <si>
    <t>gross_transaction_amount</t>
  </si>
  <si>
    <t>Gross Transaction Amount</t>
  </si>
  <si>
    <t>gross_transaction_currency</t>
  </si>
  <si>
    <t>Gross Transaction Currency</t>
  </si>
  <si>
    <t>fee_debit_or_credit</t>
  </si>
  <si>
    <t>Fee Debit Or Credit</t>
  </si>
  <si>
    <t>fee_amount</t>
  </si>
  <si>
    <t>Fee Amount</t>
  </si>
  <si>
    <t>fee_currency</t>
  </si>
  <si>
    <t>Fee Currency</t>
  </si>
  <si>
    <t>custom_field</t>
  </si>
  <si>
    <t>Custom Field</t>
  </si>
  <si>
    <t>payment_tracking_id</t>
  </si>
  <si>
    <t>Payment Tracking ID</t>
  </si>
  <si>
    <t>persistent_id</t>
  </si>
  <si>
    <t>Unique cookie key</t>
  </si>
  <si>
    <t>info</t>
  </si>
  <si>
    <t>Session Data</t>
  </si>
  <si>
    <t>alert_price_id</t>
  </si>
  <si>
    <t>Product alert price ID</t>
  </si>
  <si>
    <t>Price amount</t>
  </si>
  <si>
    <t>add_date</t>
  </si>
  <si>
    <t>Product alert add date</t>
  </si>
  <si>
    <t>last_send_date</t>
  </si>
  <si>
    <t>Product alert last send date</t>
  </si>
  <si>
    <t>send_count</t>
  </si>
  <si>
    <t>Product alert send count</t>
  </si>
  <si>
    <t>Product alert status</t>
  </si>
  <si>
    <t>alert_stock_id</t>
  </si>
  <si>
    <t>Product alert stock ID</t>
  </si>
  <si>
    <t>send_date</t>
  </si>
  <si>
    <t>Product alert send date</t>
  </si>
  <si>
    <t>Send Count</t>
  </si>
  <si>
    <t>Queue name</t>
  </si>
  <si>
    <t>message_code</t>
  </si>
  <si>
    <t>Message Code</t>
  </si>
  <si>
    <t>Message topic</t>
  </si>
  <si>
    <t>body</t>
  </si>
  <si>
    <t>Message body</t>
  </si>
  <si>
    <t>Message status in particular queue</t>
  </si>
  <si>
    <t>number_of_trials</t>
  </si>
  <si>
    <t>Number of trials to processed failed message processing</t>
  </si>
  <si>
    <t>Poison Pill version.</t>
  </si>
  <si>
    <t>converted_at</t>
  </si>
  <si>
    <t>Converted At</t>
  </si>
  <si>
    <t>is_virtual</t>
  </si>
  <si>
    <t>Is Virtual</t>
  </si>
  <si>
    <t>is_multi_shipping</t>
  </si>
  <si>
    <t>Is Multi Shipping</t>
  </si>
  <si>
    <t>Items Count</t>
  </si>
  <si>
    <t>items_qty</t>
  </si>
  <si>
    <t>Items Qty</t>
  </si>
  <si>
    <t>orig_order_id</t>
  </si>
  <si>
    <t>Orig Order ID</t>
  </si>
  <si>
    <t>store_to_base_rate</t>
  </si>
  <si>
    <t>Store To Base Rate</t>
  </si>
  <si>
    <t>store_to_quote_rate</t>
  </si>
  <si>
    <t>Store To Quote Rate</t>
  </si>
  <si>
    <t>base_currency_code</t>
  </si>
  <si>
    <t>Base Currency Code</t>
  </si>
  <si>
    <t>store_currency_code</t>
  </si>
  <si>
    <t>Store Currency Code</t>
  </si>
  <si>
    <t>quote_currency_code</t>
  </si>
  <si>
    <t>Quote Currency Code</t>
  </si>
  <si>
    <t>grand_total</t>
  </si>
  <si>
    <t>base_grand_total</t>
  </si>
  <si>
    <t>Base Grand Total</t>
  </si>
  <si>
    <t>Checkout Method</t>
  </si>
  <si>
    <t>customer_tax_class_id</t>
  </si>
  <si>
    <t>Customer Tax Class ID</t>
  </si>
  <si>
    <t>customer_prefix</t>
  </si>
  <si>
    <t>Customer Prefix</t>
  </si>
  <si>
    <t>customer_firstname</t>
  </si>
  <si>
    <t>Customer Firstname</t>
  </si>
  <si>
    <t>customer_middlename</t>
  </si>
  <si>
    <t>Customer Middlename</t>
  </si>
  <si>
    <t>customer_lastname</t>
  </si>
  <si>
    <t>Customer Lastname</t>
  </si>
  <si>
    <t>customer_suffix</t>
  </si>
  <si>
    <t>Customer Suffix</t>
  </si>
  <si>
    <t>customer_dob</t>
  </si>
  <si>
    <t>Customer Dob</t>
  </si>
  <si>
    <t>customer_note</t>
  </si>
  <si>
    <t>Customer Note</t>
  </si>
  <si>
    <t>customer_note_notify</t>
  </si>
  <si>
    <t>Customer Note Notify</t>
  </si>
  <si>
    <t>customer_is_guest</t>
  </si>
  <si>
    <t>Customer Is Guest</t>
  </si>
  <si>
    <t>remote_ip</t>
  </si>
  <si>
    <t>Remote Ip</t>
  </si>
  <si>
    <t>applied_rule_ids</t>
  </si>
  <si>
    <t>Applied Rule Ids</t>
  </si>
  <si>
    <t>reserved_order_id</t>
  </si>
  <si>
    <t>Reserved Order ID</t>
  </si>
  <si>
    <t>Coupon Code</t>
  </si>
  <si>
    <t>global_currency_code</t>
  </si>
  <si>
    <t>Global Currency Code</t>
  </si>
  <si>
    <t>base_to_global_rate</t>
  </si>
  <si>
    <t>Base To Global Rate</t>
  </si>
  <si>
    <t>base_to_quote_rate</t>
  </si>
  <si>
    <t>Base To Quote Rate</t>
  </si>
  <si>
    <t>customer_taxvat</t>
  </si>
  <si>
    <t>Customer Taxvat</t>
  </si>
  <si>
    <t>customer_gender</t>
  </si>
  <si>
    <t>Customer Gender</t>
  </si>
  <si>
    <t>subtotal</t>
  </si>
  <si>
    <t>Subtotal</t>
  </si>
  <si>
    <t>base_subtotal</t>
  </si>
  <si>
    <t>Base Subtotal</t>
  </si>
  <si>
    <t>subtotal_with_discount</t>
  </si>
  <si>
    <t>Subtotal With Discount</t>
  </si>
  <si>
    <t>base_subtotal_with_discount</t>
  </si>
  <si>
    <t>Base Subtotal With Discount</t>
  </si>
  <si>
    <t>is_changed</t>
  </si>
  <si>
    <t>Is Changed</t>
  </si>
  <si>
    <t>trigger_recollect</t>
  </si>
  <si>
    <t>Trigger Recollect</t>
  </si>
  <si>
    <t>ext_shipping_info</t>
  </si>
  <si>
    <t>Ext Shipping Info</t>
  </si>
  <si>
    <t>Gift Message ID</t>
  </si>
  <si>
    <t>is_persistent</t>
  </si>
  <si>
    <t>Is Quote Persistent</t>
  </si>
  <si>
    <t>has_full_tax_invoice</t>
  </si>
  <si>
    <t>Has Full Tax Invoice</t>
  </si>
  <si>
    <t>tax_invoice_name</t>
  </si>
  <si>
    <t>Tax Invoice Name</t>
  </si>
  <si>
    <t>tax_vat_number</t>
  </si>
  <si>
    <t>Tax Vat Number</t>
  </si>
  <si>
    <t>tax_invoice_address</t>
  </si>
  <si>
    <t>Tax Invoice Address</t>
  </si>
  <si>
    <t>mp_smtp_ace_token</t>
  </si>
  <si>
    <t>ACE Token</t>
  </si>
  <si>
    <t>mp_smtp_ace_sent</t>
  </si>
  <si>
    <t>ACE Sent</t>
  </si>
  <si>
    <t>mp_smtp_ace_log_ids</t>
  </si>
  <si>
    <t>ACE Log Ids</t>
  </si>
  <si>
    <t>mp_smtp_ace_log_data</t>
  </si>
  <si>
    <t>ACE Log Data</t>
  </si>
  <si>
    <t>is_pre_order</t>
  </si>
  <si>
    <t>Has Pre Order</t>
  </si>
  <si>
    <t>Address ID</t>
  </si>
  <si>
    <t>save_in_address_book</t>
  </si>
  <si>
    <t>Save In Address Book</t>
  </si>
  <si>
    <t>customer_address_id</t>
  </si>
  <si>
    <t>Customer Address ID</t>
  </si>
  <si>
    <t>address_type</t>
  </si>
  <si>
    <t>Address Type</t>
  </si>
  <si>
    <t>Prefix</t>
  </si>
  <si>
    <t>Suffix</t>
  </si>
  <si>
    <t>Country ID</t>
  </si>
  <si>
    <t>same_as_billing</t>
  </si>
  <si>
    <t>Same As Billing</t>
  </si>
  <si>
    <t>collect_shipping_rates</t>
  </si>
  <si>
    <t>Collect Shipping Rates</t>
  </si>
  <si>
    <t>shipping_method</t>
  </si>
  <si>
    <t>shipping_description</t>
  </si>
  <si>
    <t>Shipping Description</t>
  </si>
  <si>
    <t>tax_amount</t>
  </si>
  <si>
    <t>Tax Amount</t>
  </si>
  <si>
    <t>base_tax_amount</t>
  </si>
  <si>
    <t>Base Tax Amount</t>
  </si>
  <si>
    <t>shipping_amount</t>
  </si>
  <si>
    <t>Shipping Amount</t>
  </si>
  <si>
    <t>base_shipping_amount</t>
  </si>
  <si>
    <t>Base Shipping Amount</t>
  </si>
  <si>
    <t>shipping_tax_amount</t>
  </si>
  <si>
    <t>Shipping Tax Amount</t>
  </si>
  <si>
    <t>base_shipping_tax_amount</t>
  </si>
  <si>
    <t>Base Shipping Tax Amount</t>
  </si>
  <si>
    <t>base_discount_amount</t>
  </si>
  <si>
    <t>Base Discount Amount</t>
  </si>
  <si>
    <t>customer_notes</t>
  </si>
  <si>
    <t>Customer Notes</t>
  </si>
  <si>
    <t>applied_taxes</t>
  </si>
  <si>
    <t>Applied Taxes</t>
  </si>
  <si>
    <t>discount_description</t>
  </si>
  <si>
    <t>Discount Description</t>
  </si>
  <si>
    <t>shipping_discount_amount</t>
  </si>
  <si>
    <t>Shipping Discount Amount</t>
  </si>
  <si>
    <t>base_shipping_discount_amount</t>
  </si>
  <si>
    <t>Base Shipping Discount Amount</t>
  </si>
  <si>
    <t>subtotal_incl_tax</t>
  </si>
  <si>
    <t>Subtotal Incl Tax</t>
  </si>
  <si>
    <t>base_subtotal_total_incl_tax</t>
  </si>
  <si>
    <t>Base Subtotal Total Incl Tax</t>
  </si>
  <si>
    <t>discount_tax_compensation_amount</t>
  </si>
  <si>
    <t>Discount Tax Compensation Amount</t>
  </si>
  <si>
    <t>base_discount_tax_compensation_amount</t>
  </si>
  <si>
    <t>Base Discount Tax Compensation Amount</t>
  </si>
  <si>
    <t>shipping_discount_tax_compensation_amount</t>
  </si>
  <si>
    <t>Shipping Discount Tax Compensation Amount</t>
  </si>
  <si>
    <t>base_shipping_discount_tax_compensation_amnt</t>
  </si>
  <si>
    <t>Base Shipping Discount Tax Compensation Amount</t>
  </si>
  <si>
    <t>shipping_incl_tax</t>
  </si>
  <si>
    <t>Shipping Incl Tax</t>
  </si>
  <si>
    <t>base_shipping_incl_tax</t>
  </si>
  <si>
    <t>Base Shipping Incl Tax</t>
  </si>
  <si>
    <t>Vat ID</t>
  </si>
  <si>
    <t>Vat Is Valid</t>
  </si>
  <si>
    <t>Vat Request ID</t>
  </si>
  <si>
    <t>Vat Request Date</t>
  </si>
  <si>
    <t>Vat Request Success</t>
  </si>
  <si>
    <t>validated_country_code</t>
  </si>
  <si>
    <t>Validated Country Code</t>
  </si>
  <si>
    <t>validated_vat_number</t>
  </si>
  <si>
    <t>Validated Vat Number</t>
  </si>
  <si>
    <t>free_shipping</t>
  </si>
  <si>
    <t>Free Shipping</t>
  </si>
  <si>
    <t>address_item_id</t>
  </si>
  <si>
    <t>Address Item ID</t>
  </si>
  <si>
    <t>parent_item_id</t>
  </si>
  <si>
    <t>Parent Item ID</t>
  </si>
  <si>
    <t>quote_address_id</t>
  </si>
  <si>
    <t>quote_item_id</t>
  </si>
  <si>
    <t>Quote Item ID</t>
  </si>
  <si>
    <t>Additional Data</t>
  </si>
  <si>
    <t>row_total</t>
  </si>
  <si>
    <t>Row Total</t>
  </si>
  <si>
    <t>base_row_total</t>
  </si>
  <si>
    <t>Base Row Total</t>
  </si>
  <si>
    <t>row_total_with_discount</t>
  </si>
  <si>
    <t>Row Total With Discount</t>
  </si>
  <si>
    <t>row_weight</t>
  </si>
  <si>
    <t>Row Weight</t>
  </si>
  <si>
    <t>super_product_id</t>
  </si>
  <si>
    <t>Super Product ID</t>
  </si>
  <si>
    <t>Sku</t>
  </si>
  <si>
    <t>Discount Percent</t>
  </si>
  <si>
    <t>no_discount</t>
  </si>
  <si>
    <t>No Discount</t>
  </si>
  <si>
    <t>tax_percent</t>
  </si>
  <si>
    <t>Tax Percent</t>
  </si>
  <si>
    <t>base_price</t>
  </si>
  <si>
    <t>Base Price</t>
  </si>
  <si>
    <t>base_cost</t>
  </si>
  <si>
    <t>Base Cost</t>
  </si>
  <si>
    <t>price_incl_tax</t>
  </si>
  <si>
    <t>Price Incl Tax</t>
  </si>
  <si>
    <t>base_price_incl_tax</t>
  </si>
  <si>
    <t>Base Price Incl Tax</t>
  </si>
  <si>
    <t>row_total_incl_tax</t>
  </si>
  <si>
    <t>Row Total Incl Tax</t>
  </si>
  <si>
    <t>base_row_total_incl_tax</t>
  </si>
  <si>
    <t>Base Row Total Incl Tax</t>
  </si>
  <si>
    <t>masked_id</t>
  </si>
  <si>
    <t>custom_price</t>
  </si>
  <si>
    <t>Custom Price</t>
  </si>
  <si>
    <t>Product Type</t>
  </si>
  <si>
    <t>base_tax_before_discount</t>
  </si>
  <si>
    <t>Base Tax Before Discount</t>
  </si>
  <si>
    <t>tax_before_discount</t>
  </si>
  <si>
    <t>Tax Before Discount</t>
  </si>
  <si>
    <t>original_custom_price</t>
  </si>
  <si>
    <t>Original Custom Price</t>
  </si>
  <si>
    <t>redirect_url</t>
  </si>
  <si>
    <t>Redirect Url</t>
  </si>
  <si>
    <t>weee_tax_applied</t>
  </si>
  <si>
    <t>Weee Tax Applied</t>
  </si>
  <si>
    <t>weee_tax_applied_amount</t>
  </si>
  <si>
    <t>Weee Tax Applied Amount</t>
  </si>
  <si>
    <t>weee_tax_applied_row_amount</t>
  </si>
  <si>
    <t>Weee Tax Applied Row Amount</t>
  </si>
  <si>
    <t>weee_tax_disposition</t>
  </si>
  <si>
    <t>Weee Tax Disposition</t>
  </si>
  <si>
    <t>weee_tax_row_disposition</t>
  </si>
  <si>
    <t>Weee Tax Row Disposition</t>
  </si>
  <si>
    <t>base_weee_tax_applied_amount</t>
  </si>
  <si>
    <t>Base Weee Tax Applied Amount</t>
  </si>
  <si>
    <t>base_weee_tax_applied_row_amnt</t>
  </si>
  <si>
    <t>Base Weee Tax Applied Row Amnt</t>
  </si>
  <si>
    <t>base_weee_tax_disposition</t>
  </si>
  <si>
    <t>Base Weee Tax Disposition</t>
  </si>
  <si>
    <t>base_weee_tax_row_disposition</t>
  </si>
  <si>
    <t>Base Weee Tax Row Disposition</t>
  </si>
  <si>
    <t>algoliasearch_query_param</t>
  </si>
  <si>
    <t>Reference for Algolia analytics order conversion</t>
  </si>
  <si>
    <t>Payment ID</t>
  </si>
  <si>
    <t>cc_type</t>
  </si>
  <si>
    <t>Cc Type</t>
  </si>
  <si>
    <t>cc_number_enc</t>
  </si>
  <si>
    <t>Cc Number Enc</t>
  </si>
  <si>
    <t>cc_last_4</t>
  </si>
  <si>
    <t>Cc Last 4</t>
  </si>
  <si>
    <t>cc_cid_enc</t>
  </si>
  <si>
    <t>Cc Cid Enc</t>
  </si>
  <si>
    <t>cc_owner</t>
  </si>
  <si>
    <t>Cc Owner</t>
  </si>
  <si>
    <t>cc_exp_month</t>
  </si>
  <si>
    <t>Cc Exp Month</t>
  </si>
  <si>
    <t>cc_exp_year</t>
  </si>
  <si>
    <t>Cc Exp Year</t>
  </si>
  <si>
    <t>cc_ss_owner</t>
  </si>
  <si>
    <t>Cc Ss Owner</t>
  </si>
  <si>
    <t>cc_ss_start_month</t>
  </si>
  <si>
    <t>Cc Ss Start Month</t>
  </si>
  <si>
    <t>cc_ss_start_year</t>
  </si>
  <si>
    <t>Cc Ss Start Year</t>
  </si>
  <si>
    <t>po_number</t>
  </si>
  <si>
    <t>Po Number</t>
  </si>
  <si>
    <t>cc_ss_issue</t>
  </si>
  <si>
    <t>Cc Ss Issue</t>
  </si>
  <si>
    <t>paypal_payer_id</t>
  </si>
  <si>
    <t>Paypal Payer ID</t>
  </si>
  <si>
    <t>paypal_payer_status</t>
  </si>
  <si>
    <t>Paypal Payer Status</t>
  </si>
  <si>
    <t>paypal_correlation_id</t>
  </si>
  <si>
    <t>Paypal Correlation ID</t>
  </si>
  <si>
    <t>rate_id</t>
  </si>
  <si>
    <t>Rate ID</t>
  </si>
  <si>
    <t>carrier</t>
  </si>
  <si>
    <t>Carrier</t>
  </si>
  <si>
    <t>carrier_title</t>
  </si>
  <si>
    <t>Carrier Title</t>
  </si>
  <si>
    <t>method_description</t>
  </si>
  <si>
    <t>Method Description</t>
  </si>
  <si>
    <t>error_message</t>
  </si>
  <si>
    <t>method_title</t>
  </si>
  <si>
    <t>Method Title</t>
  </si>
  <si>
    <t>rating_id</t>
  </si>
  <si>
    <t>Rating ID</t>
  </si>
  <si>
    <t>rating_code</t>
  </si>
  <si>
    <t>Rating Code</t>
  </si>
  <si>
    <t>Rating Position On Storefront</t>
  </si>
  <si>
    <t>Rating is active.</t>
  </si>
  <si>
    <t>entity_code</t>
  </si>
  <si>
    <t>Entity Code</t>
  </si>
  <si>
    <t>Rating Option ID</t>
  </si>
  <si>
    <t>Rating Option Code</t>
  </si>
  <si>
    <t>Rating Option Value</t>
  </si>
  <si>
    <t>Ration option position on Storefront</t>
  </si>
  <si>
    <t>vote_id</t>
  </si>
  <si>
    <t>Vote ID</t>
  </si>
  <si>
    <t>Vote option ID</t>
  </si>
  <si>
    <t>Customer IP</t>
  </si>
  <si>
    <t>remote_ip_long</t>
  </si>
  <si>
    <t>Customer IP converted to long integer format</t>
  </si>
  <si>
    <t>entity_pk_value</t>
  </si>
  <si>
    <t>Review ID</t>
  </si>
  <si>
    <t>percent</t>
  </si>
  <si>
    <t>Percent amount</t>
  </si>
  <si>
    <t>Vote option value</t>
  </si>
  <si>
    <t>primary_id</t>
  </si>
  <si>
    <t>Vote aggregation ID</t>
  </si>
  <si>
    <t>vote_count</t>
  </si>
  <si>
    <t>Vote dty</t>
  </si>
  <si>
    <t>vote_value_sum</t>
  </si>
  <si>
    <t>General vote sum</t>
  </si>
  <si>
    <t>Vote percent</t>
  </si>
  <si>
    <t>percent_approved</t>
  </si>
  <si>
    <t>Vote percent approved by admin</t>
  </si>
  <si>
    <t>Rating Label</t>
  </si>
  <si>
    <t>viewer_id</t>
  </si>
  <si>
    <t>Viewer admin user ID</t>
  </si>
  <si>
    <t>last_view_version</t>
  </si>
  <si>
    <t>Viewer last view on product version</t>
  </si>
  <si>
    <t>index_id</t>
  </si>
  <si>
    <t>Index ID</t>
  </si>
  <si>
    <t>event_id</t>
  </si>
  <si>
    <t>Event ID</t>
  </si>
  <si>
    <t>logged_at</t>
  </si>
  <si>
    <t>Logged At</t>
  </si>
  <si>
    <t>event_type_id</t>
  </si>
  <si>
    <t>Event Type ID</t>
  </si>
  <si>
    <t>object_id</t>
  </si>
  <si>
    <t>Object ID</t>
  </si>
  <si>
    <t>subject_id</t>
  </si>
  <si>
    <t>Subject ID</t>
  </si>
  <si>
    <t>subtype</t>
  </si>
  <si>
    <t>Subtype</t>
  </si>
  <si>
    <t>customer_login</t>
  </si>
  <si>
    <t>Customer Login</t>
  </si>
  <si>
    <t>period</t>
  </si>
  <si>
    <t>product_price</t>
  </si>
  <si>
    <t>Product Price</t>
  </si>
  <si>
    <t>Number of Views</t>
  </si>
  <si>
    <t>rating_pos</t>
  </si>
  <si>
    <t>Rating Pos</t>
  </si>
  <si>
    <t>Item Reported</t>
  </si>
  <si>
    <t>Count Value</t>
  </si>
  <si>
    <t>Module ID</t>
  </si>
  <si>
    <t>Module Name</t>
  </si>
  <si>
    <t>Module Active Status</t>
  </si>
  <si>
    <t>setup_version</t>
  </si>
  <si>
    <t>Module Version</t>
  </si>
  <si>
    <t>Module State</t>
  </si>
  <si>
    <t>total</t>
  </si>
  <si>
    <t>total_base</t>
  </si>
  <si>
    <t>Line Item Count</t>
  </si>
  <si>
    <t>Update Type</t>
  </si>
  <si>
    <t>action</t>
  </si>
  <si>
    <t>Action Performed</t>
  </si>
  <si>
    <t>Review create date</t>
  </si>
  <si>
    <t>status_id</t>
  </si>
  <si>
    <t>Status code</t>
  </si>
  <si>
    <t>detail_id</t>
  </si>
  <si>
    <t>Review detail ID</t>
  </si>
  <si>
    <t>detail</t>
  </si>
  <si>
    <t>Detail description</t>
  </si>
  <si>
    <t>nickname</t>
  </si>
  <si>
    <t>User nickname</t>
  </si>
  <si>
    <t>Review entity ID</t>
  </si>
  <si>
    <t>Review entity code</t>
  </si>
  <si>
    <t>Summary review entity ID</t>
  </si>
  <si>
    <t>Entity type ID</t>
  </si>
  <si>
    <t>reviews_count</t>
  </si>
  <si>
    <t>Qty of reviews</t>
  </si>
  <si>
    <t>rating_summary</t>
  </si>
  <si>
    <t>Summarized rating</t>
  </si>
  <si>
    <t>Status ID</t>
  </si>
  <si>
    <t>status_code</t>
  </si>
  <si>
    <t>Qty Ordered</t>
  </si>
  <si>
    <t>adjustment_positive</t>
  </si>
  <si>
    <t>Adjustment Positive</t>
  </si>
  <si>
    <t>store_to_order_rate</t>
  </si>
  <si>
    <t>Store To Order Rate</t>
  </si>
  <si>
    <t>base_to_order_rate</t>
  </si>
  <si>
    <t>Base To Order Rate</t>
  </si>
  <si>
    <t>base_adjustment_negative</t>
  </si>
  <si>
    <t>Base Adjustment Negative</t>
  </si>
  <si>
    <t>base_subtotal_incl_tax</t>
  </si>
  <si>
    <t>Base Subtotal Incl Tax</t>
  </si>
  <si>
    <t>adjustment_negative</t>
  </si>
  <si>
    <t>Adjustment Negative</t>
  </si>
  <si>
    <t>base_adjustment</t>
  </si>
  <si>
    <t>Base Adjustment</t>
  </si>
  <si>
    <t>adjustment</t>
  </si>
  <si>
    <t>Adjustment</t>
  </si>
  <si>
    <t>base_adjustment_positive</t>
  </si>
  <si>
    <t>Base Adjustment Positive</t>
  </si>
  <si>
    <t>email_sent</t>
  </si>
  <si>
    <t>Email Sent</t>
  </si>
  <si>
    <t>send_email</t>
  </si>
  <si>
    <t>Send Email</t>
  </si>
  <si>
    <t>creditmemo_status</t>
  </si>
  <si>
    <t>Creditmemo Status</t>
  </si>
  <si>
    <t>shipping_address_id</t>
  </si>
  <si>
    <t>Shipping Address ID</t>
  </si>
  <si>
    <t>billing_address_id</t>
  </si>
  <si>
    <t>Billing Address ID</t>
  </si>
  <si>
    <t>order_currency_code</t>
  </si>
  <si>
    <t>Order Currency Code</t>
  </si>
  <si>
    <t>is_customer_notified</t>
  </si>
  <si>
    <t>Is Customer Notified</t>
  </si>
  <si>
    <t>order_created_at</t>
  </si>
  <si>
    <t>Order Created At</t>
  </si>
  <si>
    <t>billing_name</t>
  </si>
  <si>
    <t>Billing Name</t>
  </si>
  <si>
    <t>billing_address</t>
  </si>
  <si>
    <t>Billing Address</t>
  </si>
  <si>
    <t>shipping_address</t>
  </si>
  <si>
    <t>Shipping Address</t>
  </si>
  <si>
    <t>shipping_information</t>
  </si>
  <si>
    <t>Shipping Method Name</t>
  </si>
  <si>
    <t>shipping_and_handling</t>
  </si>
  <si>
    <t>Shipping and handling amount</t>
  </si>
  <si>
    <t>order_base_grand_total</t>
  </si>
  <si>
    <t>Order Grand Total</t>
  </si>
  <si>
    <t>tax_ratio</t>
  </si>
  <si>
    <t>Ratio of tax in the creditmemo item over tax of the order item</t>
  </si>
  <si>
    <t>total_qty</t>
  </si>
  <si>
    <t>Total Qty</t>
  </si>
  <si>
    <t>is_used_for_refund</t>
  </si>
  <si>
    <t>Is Used For Refund</t>
  </si>
  <si>
    <t>can_void_flag</t>
  </si>
  <si>
    <t>Can Void Flag</t>
  </si>
  <si>
    <t>base_total_refunded</t>
  </si>
  <si>
    <t>Base Total Refunded</t>
  </si>
  <si>
    <t>Store Name</t>
  </si>
  <si>
    <t>Ratio of tax invoiced over tax of the order item</t>
  </si>
  <si>
    <t>orders_count</t>
  </si>
  <si>
    <t>Orders Count</t>
  </si>
  <si>
    <t>orders_invoiced</t>
  </si>
  <si>
    <t>Orders Invoiced</t>
  </si>
  <si>
    <t>invoiced</t>
  </si>
  <si>
    <t>Invoiced</t>
  </si>
  <si>
    <t>invoiced_captured</t>
  </si>
  <si>
    <t>Invoiced Captured</t>
  </si>
  <si>
    <t>invoiced_not_captured</t>
  </si>
  <si>
    <t>Invoiced Not Captured</t>
  </si>
  <si>
    <t>protect_code</t>
  </si>
  <si>
    <t>Protect Code</t>
  </si>
  <si>
    <t>base_discount_canceled</t>
  </si>
  <si>
    <t>Base Discount Canceled</t>
  </si>
  <si>
    <t>base_discount_invoiced</t>
  </si>
  <si>
    <t>Base Discount Invoiced</t>
  </si>
  <si>
    <t>base_discount_refunded</t>
  </si>
  <si>
    <t>Base Discount Refunded</t>
  </si>
  <si>
    <t>base_shipping_canceled</t>
  </si>
  <si>
    <t>Base Shipping Canceled</t>
  </si>
  <si>
    <t>base_shipping_invoiced</t>
  </si>
  <si>
    <t>Base Shipping Invoiced</t>
  </si>
  <si>
    <t>base_shipping_refunded</t>
  </si>
  <si>
    <t>Base Shipping Refunded</t>
  </si>
  <si>
    <t>base_shipping_tax_refunded</t>
  </si>
  <si>
    <t>Base Shipping Tax Refunded</t>
  </si>
  <si>
    <t>base_subtotal_canceled</t>
  </si>
  <si>
    <t>Base Subtotal Canceled</t>
  </si>
  <si>
    <t>base_subtotal_invoiced</t>
  </si>
  <si>
    <t>Base Subtotal Invoiced</t>
  </si>
  <si>
    <t>base_subtotal_refunded</t>
  </si>
  <si>
    <t>Base Subtotal Refunded</t>
  </si>
  <si>
    <t>base_tax_canceled</t>
  </si>
  <si>
    <t>Base Tax Canceled</t>
  </si>
  <si>
    <t>base_tax_invoiced</t>
  </si>
  <si>
    <t>Base Tax Invoiced</t>
  </si>
  <si>
    <t>base_tax_refunded</t>
  </si>
  <si>
    <t>Base Tax Refunded</t>
  </si>
  <si>
    <t>base_total_canceled</t>
  </si>
  <si>
    <t>Base Total Canceled</t>
  </si>
  <si>
    <t>base_total_invoiced</t>
  </si>
  <si>
    <t>Base Total Invoiced</t>
  </si>
  <si>
    <t>base_total_invoiced_cost</t>
  </si>
  <si>
    <t>Base Total Invoiced Cost</t>
  </si>
  <si>
    <t>base_total_offline_refunded</t>
  </si>
  <si>
    <t>Base Total Offline Refunded</t>
  </si>
  <si>
    <t>base_total_online_refunded</t>
  </si>
  <si>
    <t>Base Total Online Refunded</t>
  </si>
  <si>
    <t>base_total_paid</t>
  </si>
  <si>
    <t>Base Total Paid</t>
  </si>
  <si>
    <t>base_total_qty_ordered</t>
  </si>
  <si>
    <t>Base Total Qty Ordered</t>
  </si>
  <si>
    <t>discount_canceled</t>
  </si>
  <si>
    <t>Discount Canceled</t>
  </si>
  <si>
    <t>discount_invoiced</t>
  </si>
  <si>
    <t>Discount Invoiced</t>
  </si>
  <si>
    <t>discount_refunded</t>
  </si>
  <si>
    <t>Discount Refunded</t>
  </si>
  <si>
    <t>shipping_canceled</t>
  </si>
  <si>
    <t>Shipping Canceled</t>
  </si>
  <si>
    <t>shipping_invoiced</t>
  </si>
  <si>
    <t>Shipping Invoiced</t>
  </si>
  <si>
    <t>shipping_refunded</t>
  </si>
  <si>
    <t>Shipping Refunded</t>
  </si>
  <si>
    <t>shipping_tax_refunded</t>
  </si>
  <si>
    <t>Shipping Tax Refunded</t>
  </si>
  <si>
    <t>subtotal_canceled</t>
  </si>
  <si>
    <t>Subtotal Canceled</t>
  </si>
  <si>
    <t>subtotal_invoiced</t>
  </si>
  <si>
    <t>Subtotal Invoiced</t>
  </si>
  <si>
    <t>subtotal_refunded</t>
  </si>
  <si>
    <t>Subtotal Refunded</t>
  </si>
  <si>
    <t>tax_canceled</t>
  </si>
  <si>
    <t>Tax Canceled</t>
  </si>
  <si>
    <t>tax_invoiced</t>
  </si>
  <si>
    <t>Tax Invoiced</t>
  </si>
  <si>
    <t>tax_refunded</t>
  </si>
  <si>
    <t>Tax Refunded</t>
  </si>
  <si>
    <t>total_canceled</t>
  </si>
  <si>
    <t>Total Canceled</t>
  </si>
  <si>
    <t>total_invoiced</t>
  </si>
  <si>
    <t>Total Invoiced</t>
  </si>
  <si>
    <t>total_offline_refunded</t>
  </si>
  <si>
    <t>Total Offline Refunded</t>
  </si>
  <si>
    <t>total_online_refunded</t>
  </si>
  <si>
    <t>Total Online Refunded</t>
  </si>
  <si>
    <t>total_paid</t>
  </si>
  <si>
    <t>Total Paid</t>
  </si>
  <si>
    <t>total_qty_ordered</t>
  </si>
  <si>
    <t>Total Qty Ordered</t>
  </si>
  <si>
    <t>total_refunded</t>
  </si>
  <si>
    <t>Total Refunded</t>
  </si>
  <si>
    <t>can_ship_partially</t>
  </si>
  <si>
    <t>Can Ship Partially</t>
  </si>
  <si>
    <t>can_ship_partially_item</t>
  </si>
  <si>
    <t>Can Ship Partially Item</t>
  </si>
  <si>
    <t>edit_increment</t>
  </si>
  <si>
    <t>Edit Increment</t>
  </si>
  <si>
    <t>forced_shipment_with_invoice</t>
  </si>
  <si>
    <t>Forced Do Shipment With Invoice</t>
  </si>
  <si>
    <t>payment_auth_expiration</t>
  </si>
  <si>
    <t>Payment Authorization Expiration</t>
  </si>
  <si>
    <t>base_total_due</t>
  </si>
  <si>
    <t>Base Total Due</t>
  </si>
  <si>
    <t>payment_authorization_amount</t>
  </si>
  <si>
    <t>Payment Authorization Amount</t>
  </si>
  <si>
    <t>total_due</t>
  </si>
  <si>
    <t>Total Due</t>
  </si>
  <si>
    <t>ext_customer_id</t>
  </si>
  <si>
    <t>Ext Customer ID</t>
  </si>
  <si>
    <t>ext_order_id</t>
  </si>
  <si>
    <t>Ext Order ID</t>
  </si>
  <si>
    <t>hold_before_state</t>
  </si>
  <si>
    <t>Hold Before State</t>
  </si>
  <si>
    <t>hold_before_status</t>
  </si>
  <si>
    <t>Hold Before Status</t>
  </si>
  <si>
    <t>original_increment_id</t>
  </si>
  <si>
    <t>Original Increment ID</t>
  </si>
  <si>
    <t>relation_child_id</t>
  </si>
  <si>
    <t>Relation Child ID</t>
  </si>
  <si>
    <t>relation_child_real_id</t>
  </si>
  <si>
    <t>Relation Child Real ID</t>
  </si>
  <si>
    <t>relation_parent_id</t>
  </si>
  <si>
    <t>Relation Parent ID</t>
  </si>
  <si>
    <t>relation_parent_real_id</t>
  </si>
  <si>
    <t>Relation Parent Real ID</t>
  </si>
  <si>
    <t>x_forwarded_for</t>
  </si>
  <si>
    <t>X Forwarded For</t>
  </si>
  <si>
    <t>total_item_count</t>
  </si>
  <si>
    <t>Total Item Count</t>
  </si>
  <si>
    <t>discount_tax_compensation_invoiced</t>
  </si>
  <si>
    <t>Discount Tax Compensation Invoiced</t>
  </si>
  <si>
    <t>base_discount_tax_compensation_invoiced</t>
  </si>
  <si>
    <t>Base Discount Tax Compensation Invoiced</t>
  </si>
  <si>
    <t>discount_tax_compensation_refunded</t>
  </si>
  <si>
    <t>Discount Tax Compensation Refunded</t>
  </si>
  <si>
    <t>base_discount_tax_compensation_refunded</t>
  </si>
  <si>
    <t>Base Discount Tax Compensation Refunded</t>
  </si>
  <si>
    <t>coupon_rule_name</t>
  </si>
  <si>
    <t>Coupon Sales Rule Name</t>
  </si>
  <si>
    <t>paypal_ipn_customer_notified</t>
  </si>
  <si>
    <t>Paypal Ipn Customer Notified</t>
  </si>
  <si>
    <t>mp_smtp_email_marketing_synced</t>
  </si>
  <si>
    <t>Mp SMTP Email Marketing synced</t>
  </si>
  <si>
    <t>Region</t>
  </si>
  <si>
    <t>Lastname</t>
  </si>
  <si>
    <t>Firstname</t>
  </si>
  <si>
    <t>Middlename</t>
  </si>
  <si>
    <t>Vertex Customer Vat Country</t>
  </si>
  <si>
    <t>total_qty_invoiced</t>
  </si>
  <si>
    <t>Total Qty Invoiced</t>
  </si>
  <si>
    <t>total_income_amount</t>
  </si>
  <si>
    <t>Total Income Amount</t>
  </si>
  <si>
    <t>total_revenue_amount</t>
  </si>
  <si>
    <t>Total Revenue Amount</t>
  </si>
  <si>
    <t>total_profit_amount</t>
  </si>
  <si>
    <t>Total Profit Amount</t>
  </si>
  <si>
    <t>total_invoiced_amount</t>
  </si>
  <si>
    <t>Total Invoiced Amount</t>
  </si>
  <si>
    <t>total_canceled_amount</t>
  </si>
  <si>
    <t>Total Canceled Amount</t>
  </si>
  <si>
    <t>total_paid_amount</t>
  </si>
  <si>
    <t>Total Paid Amount</t>
  </si>
  <si>
    <t>total_refunded_amount</t>
  </si>
  <si>
    <t>Total Refunded Amount</t>
  </si>
  <si>
    <t>total_tax_amount</t>
  </si>
  <si>
    <t>Total Tax Amount</t>
  </si>
  <si>
    <t>total_tax_amount_actual</t>
  </si>
  <si>
    <t>Total Tax Amount Actual</t>
  </si>
  <si>
    <t>total_shipping_amount</t>
  </si>
  <si>
    <t>Total Shipping Amount</t>
  </si>
  <si>
    <t>total_shipping_amount_actual</t>
  </si>
  <si>
    <t>Total Shipping Amount Actual</t>
  </si>
  <si>
    <t>total_discount_amount</t>
  </si>
  <si>
    <t>Total Discount Amount</t>
  </si>
  <si>
    <t>total_discount_amount_actual</t>
  </si>
  <si>
    <t>Total Discount Amount Actual</t>
  </si>
  <si>
    <t>shipping_name</t>
  </si>
  <si>
    <t>Shipping Name</t>
  </si>
  <si>
    <t>product_options</t>
  </si>
  <si>
    <t>Product Options</t>
  </si>
  <si>
    <t>qty_backordered</t>
  </si>
  <si>
    <t>Qty Backordered</t>
  </si>
  <si>
    <t>qty_canceled</t>
  </si>
  <si>
    <t>Qty Canceled</t>
  </si>
  <si>
    <t>qty_invoiced</t>
  </si>
  <si>
    <t>Qty Invoiced</t>
  </si>
  <si>
    <t>qty_refunded</t>
  </si>
  <si>
    <t>Qty Refunded</t>
  </si>
  <si>
    <t>qty_shipped</t>
  </si>
  <si>
    <t>Qty Shipped</t>
  </si>
  <si>
    <t>original_price</t>
  </si>
  <si>
    <t>base_original_price</t>
  </si>
  <si>
    <t>Base Original Price</t>
  </si>
  <si>
    <t>amount_refunded</t>
  </si>
  <si>
    <t>Amount Refunded</t>
  </si>
  <si>
    <t>base_amount_refunded</t>
  </si>
  <si>
    <t>Base Amount Refunded</t>
  </si>
  <si>
    <t>row_invoiced</t>
  </si>
  <si>
    <t>Row Invoiced</t>
  </si>
  <si>
    <t>base_row_invoiced</t>
  </si>
  <si>
    <t>Base Row Invoiced</t>
  </si>
  <si>
    <t>ext_order_item_id</t>
  </si>
  <si>
    <t>Ext Order Item ID</t>
  </si>
  <si>
    <t>locked_do_invoice</t>
  </si>
  <si>
    <t>Locked Do Invoice</t>
  </si>
  <si>
    <t>locked_do_ship</t>
  </si>
  <si>
    <t>Locked Do Ship</t>
  </si>
  <si>
    <t>discount_tax_compensation_canceled</t>
  </si>
  <si>
    <t>Discount Tax Compensation Canceled</t>
  </si>
  <si>
    <t>gift_message_available</t>
  </si>
  <si>
    <t>Gift Message Available</t>
  </si>
  <si>
    <t>base_shipping_captured</t>
  </si>
  <si>
    <t>Base Shipping Captured</t>
  </si>
  <si>
    <t>shipping_captured</t>
  </si>
  <si>
    <t>Shipping Captured</t>
  </si>
  <si>
    <t>base_amount_paid</t>
  </si>
  <si>
    <t>Base Amount Paid</t>
  </si>
  <si>
    <t>amount_canceled</t>
  </si>
  <si>
    <t>Amount Canceled</t>
  </si>
  <si>
    <t>base_amount_authorized</t>
  </si>
  <si>
    <t>Base Amount Authorized</t>
  </si>
  <si>
    <t>base_amount_paid_online</t>
  </si>
  <si>
    <t>Base Amount Paid Online</t>
  </si>
  <si>
    <t>base_amount_refunded_online</t>
  </si>
  <si>
    <t>Base Amount Refunded Online</t>
  </si>
  <si>
    <t>Amount Paid</t>
  </si>
  <si>
    <t>amount_authorized</t>
  </si>
  <si>
    <t>Amount Authorized</t>
  </si>
  <si>
    <t>base_amount_ordered</t>
  </si>
  <si>
    <t>Base Amount Ordered</t>
  </si>
  <si>
    <t>amount_ordered</t>
  </si>
  <si>
    <t>Amount Ordered</t>
  </si>
  <si>
    <t>base_amount_canceled</t>
  </si>
  <si>
    <t>Base Amount Canceled</t>
  </si>
  <si>
    <t>quote_payment_id</t>
  </si>
  <si>
    <t>Quote Payment ID</t>
  </si>
  <si>
    <t>echeck_bank_name</t>
  </si>
  <si>
    <t>Echeck Bank Name</t>
  </si>
  <si>
    <t>cc_debug_request_body</t>
  </si>
  <si>
    <t>Cc Debug Request Body</t>
  </si>
  <si>
    <t>cc_secure_verify</t>
  </si>
  <si>
    <t>Cc Secure Verify</t>
  </si>
  <si>
    <t>protection_eligibility</t>
  </si>
  <si>
    <t>Protection Eligibility</t>
  </si>
  <si>
    <t>cc_approval</t>
  </si>
  <si>
    <t>Cc Approval</t>
  </si>
  <si>
    <t>cc_status_description</t>
  </si>
  <si>
    <t>Cc Status Description</t>
  </si>
  <si>
    <t>echeck_type</t>
  </si>
  <si>
    <t>Echeck Type</t>
  </si>
  <si>
    <t>cc_debug_response_serialized</t>
  </si>
  <si>
    <t>Cc Debug Response Serialized</t>
  </si>
  <si>
    <t>echeck_account_type</t>
  </si>
  <si>
    <t>Echeck Account Type</t>
  </si>
  <si>
    <t>last_trans_id</t>
  </si>
  <si>
    <t>Last Trans ID</t>
  </si>
  <si>
    <t>cc_cid_status</t>
  </si>
  <si>
    <t>Cc Cid Status</t>
  </si>
  <si>
    <t>cc_status</t>
  </si>
  <si>
    <t>Cc Status</t>
  </si>
  <si>
    <t>echeck_routing_number</t>
  </si>
  <si>
    <t>Echeck Routing Number</t>
  </si>
  <si>
    <t>Account Status</t>
  </si>
  <si>
    <t>anet_trans_method</t>
  </si>
  <si>
    <t>Anet Trans Method</t>
  </si>
  <si>
    <t>cc_debug_response_body</t>
  </si>
  <si>
    <t>Cc Debug Response Body</t>
  </si>
  <si>
    <t>echeck_account_name</t>
  </si>
  <si>
    <t>Echeck Account Name</t>
  </si>
  <si>
    <t>cc_avs_status</t>
  </si>
  <si>
    <t>Cc Avs Status</t>
  </si>
  <si>
    <t>cc_trans_id</t>
  </si>
  <si>
    <t>Cc Trans ID</t>
  </si>
  <si>
    <t>address_status</t>
  </si>
  <si>
    <t>Address Status</t>
  </si>
  <si>
    <t>entity_name</t>
  </si>
  <si>
    <t>Shows what entity history is bind to.</t>
  </si>
  <si>
    <t>visible_on_front</t>
  </si>
  <si>
    <t>Visible on front</t>
  </si>
  <si>
    <t>Tax ID</t>
  </si>
  <si>
    <t>Percent</t>
  </si>
  <si>
    <t>base_amount</t>
  </si>
  <si>
    <t>Base Amount</t>
  </si>
  <si>
    <t>Process</t>
  </si>
  <si>
    <t>base_real_amount</t>
  </si>
  <si>
    <t>Base Real Amount</t>
  </si>
  <si>
    <t>tax_item_id</t>
  </si>
  <si>
    <t>Tax Item ID</t>
  </si>
  <si>
    <t>Real Tax Percent For Item</t>
  </si>
  <si>
    <t>Tax amount for the item and tax rate</t>
  </si>
  <si>
    <t>Base tax amount for the item and tax rate</t>
  </si>
  <si>
    <t>real_amount</t>
  </si>
  <si>
    <t>Real tax amount for the item and tax rate</t>
  </si>
  <si>
    <t>real_base_amount</t>
  </si>
  <si>
    <t>Real base tax amount for the item and tax rate</t>
  </si>
  <si>
    <t>associated_item_id</t>
  </si>
  <si>
    <t>Id of the associated item</t>
  </si>
  <si>
    <t>taxable_item_type</t>
  </si>
  <si>
    <t>Type of the taxable item</t>
  </si>
  <si>
    <t>parent_txn_id</t>
  </si>
  <si>
    <t>Parent Txn ID</t>
  </si>
  <si>
    <t>txn_type</t>
  </si>
  <si>
    <t>Txn Type</t>
  </si>
  <si>
    <t>is_closed</t>
  </si>
  <si>
    <t>Is Closed</t>
  </si>
  <si>
    <t>refunded</t>
  </si>
  <si>
    <t>Refunded</t>
  </si>
  <si>
    <t>online_refunded</t>
  </si>
  <si>
    <t>Online Refunded</t>
  </si>
  <si>
    <t>offline_refunded</t>
  </si>
  <si>
    <t>Offline Refunded</t>
  </si>
  <si>
    <t>meta_id</t>
  </si>
  <si>
    <t>sequence_table</t>
  </si>
  <si>
    <t>table for sequence</t>
  </si>
  <si>
    <t>profile_id</t>
  </si>
  <si>
    <t>Meta_id</t>
  </si>
  <si>
    <t>start_value</t>
  </si>
  <si>
    <t>Start value for sequence</t>
  </si>
  <si>
    <t>step</t>
  </si>
  <si>
    <t>Step for sequence</t>
  </si>
  <si>
    <t>max_value</t>
  </si>
  <si>
    <t>MaxValue for sequence</t>
  </si>
  <si>
    <t>warning_value</t>
  </si>
  <si>
    <t>WarningValue for sequence</t>
  </si>
  <si>
    <t>isActive flag</t>
  </si>
  <si>
    <t>total_weight</t>
  </si>
  <si>
    <t>Total Weight</t>
  </si>
  <si>
    <t>shipment_status</t>
  </si>
  <si>
    <t>Shipment Status</t>
  </si>
  <si>
    <t>packages</t>
  </si>
  <si>
    <t>Packed Products in Packages</t>
  </si>
  <si>
    <t>shipping_label</t>
  </si>
  <si>
    <t>Shipping Label Content</t>
  </si>
  <si>
    <t>Order</t>
  </si>
  <si>
    <t>track_number</t>
  </si>
  <si>
    <t>Carrier Code</t>
  </si>
  <si>
    <t>total_shipping</t>
  </si>
  <si>
    <t>Total Shipping</t>
  </si>
  <si>
    <t>total_shipping_actual</t>
  </si>
  <si>
    <t>Total Shipping Actual</t>
  </si>
  <si>
    <t>uses_per_customer</t>
  </si>
  <si>
    <t>Uses Per Customer</t>
  </si>
  <si>
    <t>is_advanced</t>
  </si>
  <si>
    <t>Is Advanced</t>
  </si>
  <si>
    <t>product_ids</t>
  </si>
  <si>
    <t>Product Ids</t>
  </si>
  <si>
    <t>discount_qty</t>
  </si>
  <si>
    <t>Discount Qty</t>
  </si>
  <si>
    <t>discount_step</t>
  </si>
  <si>
    <t>Discount Step</t>
  </si>
  <si>
    <t>apply_to_shipping</t>
  </si>
  <si>
    <t>Apply To Shipping</t>
  </si>
  <si>
    <t>times_used</t>
  </si>
  <si>
    <t>Times Used</t>
  </si>
  <si>
    <t>is_rss</t>
  </si>
  <si>
    <t>Is Rss</t>
  </si>
  <si>
    <t>Coupon Type</t>
  </si>
  <si>
    <t>use_auto_generation</t>
  </si>
  <si>
    <t>Use Auto Generation</t>
  </si>
  <si>
    <t>uses_per_coupon</t>
  </si>
  <si>
    <t>User Per Coupon</t>
  </si>
  <si>
    <t>simple_free_shipping</t>
  </si>
  <si>
    <t>Simple Free Shipping</t>
  </si>
  <si>
    <t>coupon_id</t>
  </si>
  <si>
    <t>usage_limit</t>
  </si>
  <si>
    <t>Usage Limit</t>
  </si>
  <si>
    <t>usage_per_customer</t>
  </si>
  <si>
    <t>Usage Per Customer</t>
  </si>
  <si>
    <t>is_primary</t>
  </si>
  <si>
    <t>Is Primary</t>
  </si>
  <si>
    <t>Coupon Code Creation Date</t>
  </si>
  <si>
    <t>Coupon Code Type</t>
  </si>
  <si>
    <t>generated_by_dotmailer</t>
  </si>
  <si>
    <t>1 = Generated by dotmailer</t>
  </si>
  <si>
    <t>coupon_uses</t>
  </si>
  <si>
    <t>Coupon Uses</t>
  </si>
  <si>
    <t>subtotal_amount</t>
  </si>
  <si>
    <t>Subtotal Amount</t>
  </si>
  <si>
    <t>total_amount</t>
  </si>
  <si>
    <t>Total Amount</t>
  </si>
  <si>
    <t>subtotal_amount_actual</t>
  </si>
  <si>
    <t>Subtotal Amount Actual</t>
  </si>
  <si>
    <t>discount_amount_actual</t>
  </si>
  <si>
    <t>Discount Amount Actual</t>
  </si>
  <si>
    <t>total_amount_actual</t>
  </si>
  <si>
    <t>Total Amount Actual</t>
  </si>
  <si>
    <t>rule_name</t>
  </si>
  <si>
    <t>rule_customer_id</t>
  </si>
  <si>
    <t>Rule Customer ID</t>
  </si>
  <si>
    <t>label_id</t>
  </si>
  <si>
    <t>Label ID</t>
  </si>
  <si>
    <t>Query text</t>
  </si>
  <si>
    <t>num_results</t>
  </si>
  <si>
    <t>Num results</t>
  </si>
  <si>
    <t>popularity</t>
  </si>
  <si>
    <t>Popularity</t>
  </si>
  <si>
    <t>redirect</t>
  </si>
  <si>
    <t>Redirect</t>
  </si>
  <si>
    <t>display_in_terms</t>
  </si>
  <si>
    <t>Display in terms</t>
  </si>
  <si>
    <t>Active status</t>
  </si>
  <si>
    <t>is_processed</t>
  </si>
  <si>
    <t>Processed status</t>
  </si>
  <si>
    <t>Synonyms Group ID</t>
  </si>
  <si>
    <t>synonyms</t>
  </si>
  <si>
    <t>list of synonyms making up this group</t>
  </si>
  <si>
    <t>Store ID - identifies the store view these synonyms belong to</t>
  </si>
  <si>
    <t>Website ID - identifies the website ID these synonyms belong to</t>
  </si>
  <si>
    <t>Customer IP address</t>
  </si>
  <si>
    <t>Log time</t>
  </si>
  <si>
    <t>sequence_value</t>
  </si>
  <si>
    <t>Sequence_value</t>
  </si>
  <si>
    <t>session_expires</t>
  </si>
  <si>
    <t>Date of Session Expiration</t>
  </si>
  <si>
    <t>session_data</t>
  </si>
  <si>
    <t>module</t>
  </si>
  <si>
    <t>Module</t>
  </si>
  <si>
    <t>schema_version</t>
  </si>
  <si>
    <t>Schema Version</t>
  </si>
  <si>
    <t>data_version</t>
  </si>
  <si>
    <t>Data Version</t>
  </si>
  <si>
    <t>pk</t>
  </si>
  <si>
    <t>dest_country_id</t>
  </si>
  <si>
    <t>Destination coutry ISO/2 or ISO/3 code</t>
  </si>
  <si>
    <t>dest_region_id</t>
  </si>
  <si>
    <t>Destination Region ID</t>
  </si>
  <si>
    <t>dest_zip</t>
  </si>
  <si>
    <t>Destination Post Code (Zip)</t>
  </si>
  <si>
    <t>condition_name</t>
  </si>
  <si>
    <t>Rate Condition name</t>
  </si>
  <si>
    <t>condition_value</t>
  </si>
  <si>
    <t>Rate condition value</t>
  </si>
  <si>
    <t>cost</t>
  </si>
  <si>
    <t>sitemap_id</t>
  </si>
  <si>
    <t>Sitemap ID</t>
  </si>
  <si>
    <t>sitemap_type</t>
  </si>
  <si>
    <t>Sitemap Type</t>
  </si>
  <si>
    <t>sitemap_filename</t>
  </si>
  <si>
    <t>Sitemap Filename</t>
  </si>
  <si>
    <t>sitemap_path</t>
  </si>
  <si>
    <t>Sitemap Path</t>
  </si>
  <si>
    <t>sitemap_time</t>
  </si>
  <si>
    <t>Sitemap Time</t>
  </si>
  <si>
    <t>Store Sort Order</t>
  </si>
  <si>
    <t>Store Activity</t>
  </si>
  <si>
    <t>Store Group Name</t>
  </si>
  <si>
    <t>root_category_id</t>
  </si>
  <si>
    <t>Root Category ID</t>
  </si>
  <si>
    <t>Default Store ID</t>
  </si>
  <si>
    <t>Store group unique code</t>
  </si>
  <si>
    <t>Website Name</t>
  </si>
  <si>
    <t>default_group_id</t>
  </si>
  <si>
    <t>Default Group ID</t>
  </si>
  <si>
    <t>Defines Is Website Default</t>
  </si>
  <si>
    <t>Store Locator Name</t>
  </si>
  <si>
    <t>Store Locator Address</t>
  </si>
  <si>
    <t>zipcode</t>
  </si>
  <si>
    <t>Store Locator Zip Code</t>
  </si>
  <si>
    <t>Store Locator City</t>
  </si>
  <si>
    <t>Store Locator Country</t>
  </si>
  <si>
    <t>Store Locator Phone</t>
  </si>
  <si>
    <t>Store Locator Fax</t>
  </si>
  <si>
    <t>Store Locator Description</t>
  </si>
  <si>
    <t>store_url</t>
  </si>
  <si>
    <t>Store Locator Store Website</t>
  </si>
  <si>
    <t>Store Locator Store Status</t>
  </si>
  <si>
    <t>Store Locator Image Link</t>
  </si>
  <si>
    <t>marker</t>
  </si>
  <si>
    <t>Store Locator Marker Link</t>
  </si>
  <si>
    <t>lat</t>
  </si>
  <si>
    <t>Store Locator Latitude Value</t>
  </si>
  <si>
    <t>long</t>
  </si>
  <si>
    <t>Store Locator Longitude Value</t>
  </si>
  <si>
    <t>order_by</t>
  </si>
  <si>
    <t>Store Locator Order By</t>
  </si>
  <si>
    <t>Store Locator Creation Time</t>
  </si>
  <si>
    <t>Store Locator Modification Time</t>
  </si>
  <si>
    <t>storelocator_id</t>
  </si>
  <si>
    <t>Store Locator Id</t>
  </si>
  <si>
    <t>tax_calculation_id</t>
  </si>
  <si>
    <t>Tax Calculation ID</t>
  </si>
  <si>
    <t>tax_calculation_rate_id</t>
  </si>
  <si>
    <t>Tax Calculation Rate ID</t>
  </si>
  <si>
    <t>tax_calculation_rule_id</t>
  </si>
  <si>
    <t>Tax Calculation Rule ID</t>
  </si>
  <si>
    <t>product_tax_class_id</t>
  </si>
  <si>
    <t>Product Tax Class ID</t>
  </si>
  <si>
    <t>tax_country_id</t>
  </si>
  <si>
    <t>Tax Country ID</t>
  </si>
  <si>
    <t>tax_region_id</t>
  </si>
  <si>
    <t>Tax Region ID</t>
  </si>
  <si>
    <t>tax_postcode</t>
  </si>
  <si>
    <t>Tax Postcode</t>
  </si>
  <si>
    <t>zip_is_range</t>
  </si>
  <si>
    <t>Zip Is Range</t>
  </si>
  <si>
    <t>zip_from</t>
  </si>
  <si>
    <t>Zip From</t>
  </si>
  <si>
    <t>zip_to</t>
  </si>
  <si>
    <t>Zip To</t>
  </si>
  <si>
    <t>tax_calculation_rate_title_id</t>
  </si>
  <si>
    <t>Tax Calculation Rate Title ID</t>
  </si>
  <si>
    <t>calculate_subtotal</t>
  </si>
  <si>
    <t>Calculate off subtotal option</t>
  </si>
  <si>
    <t>class_id</t>
  </si>
  <si>
    <t>Class ID</t>
  </si>
  <si>
    <t>class_name</t>
  </si>
  <si>
    <t>Class Name</t>
  </si>
  <si>
    <t>class_type</t>
  </si>
  <si>
    <t>Class Type</t>
  </si>
  <si>
    <t>tax_base_amount_sum</t>
  </si>
  <si>
    <t>Tax Base Amount Sum</t>
  </si>
  <si>
    <t>Theme identifier</t>
  </si>
  <si>
    <t>theme_path</t>
  </si>
  <si>
    <t>Theme Path</t>
  </si>
  <si>
    <t>theme_title</t>
  </si>
  <si>
    <t>Theme Title</t>
  </si>
  <si>
    <t>preview_image</t>
  </si>
  <si>
    <t>Preview Image</t>
  </si>
  <si>
    <t>Is Theme Featured</t>
  </si>
  <si>
    <t>area</t>
  </si>
  <si>
    <t>Theme Area</t>
  </si>
  <si>
    <t>Theme type: 0:physical, 1:virtual, 2:staging</t>
  </si>
  <si>
    <t>Full theme code, including package</t>
  </si>
  <si>
    <t>theme_files_id</t>
  </si>
  <si>
    <t>Theme files identifier</t>
  </si>
  <si>
    <t>file_path</t>
  </si>
  <si>
    <t>Relative path to file</t>
  </si>
  <si>
    <t>File Type</t>
  </si>
  <si>
    <t>File Content</t>
  </si>
  <si>
    <t>Is Temporary File</t>
  </si>
  <si>
    <t>key_id</t>
  </si>
  <si>
    <t>Key ID of Translation</t>
  </si>
  <si>
    <t>Translation String</t>
  </si>
  <si>
    <t>translate</t>
  </si>
  <si>
    <t>Translate</t>
  </si>
  <si>
    <t>crc_string</t>
  </si>
  <si>
    <t>Translation String CRC32 Hash</t>
  </si>
  <si>
    <t>bookmark_id</t>
  </si>
  <si>
    <t>Bookmark identifier</t>
  </si>
  <si>
    <t>namespace</t>
  </si>
  <si>
    <t>Bookmark namespace</t>
  </si>
  <si>
    <t>Bookmark Identifier</t>
  </si>
  <si>
    <t>current</t>
  </si>
  <si>
    <t>Mark current bookmark per user and identifier</t>
  </si>
  <si>
    <t>Bookmark title</t>
  </si>
  <si>
    <t>config</t>
  </si>
  <si>
    <t>Bookmark config</t>
  </si>
  <si>
    <t>Bookmark created at</t>
  </si>
  <si>
    <t>Bookmark updated at</t>
  </si>
  <si>
    <t>Rewrite ID</t>
  </si>
  <si>
    <t>Entity type code</t>
  </si>
  <si>
    <t>request_path</t>
  </si>
  <si>
    <t>Request Path</t>
  </si>
  <si>
    <t>target_path</t>
  </si>
  <si>
    <t>Target Path</t>
  </si>
  <si>
    <t>redirect_type</t>
  </si>
  <si>
    <t>Redirect Type</t>
  </si>
  <si>
    <t>is_autogenerated</t>
  </si>
  <si>
    <t>Is rewrite generated automatically flag</t>
  </si>
  <si>
    <t>Meta data for url rewrite</t>
  </si>
  <si>
    <t>variable_id</t>
  </si>
  <si>
    <t>Variable ID</t>
  </si>
  <si>
    <t>Variable Code</t>
  </si>
  <si>
    <t>Variable Name</t>
  </si>
  <si>
    <t>Variable Value ID</t>
  </si>
  <si>
    <t>plain_value</t>
  </si>
  <si>
    <t>Plain Text Value</t>
  </si>
  <si>
    <t>html_value</t>
  </si>
  <si>
    <t>Html Value</t>
  </si>
  <si>
    <t>public_hash</t>
  </si>
  <si>
    <t>Hash code for using on frontend</t>
  </si>
  <si>
    <t>payment_method_code</t>
  </si>
  <si>
    <t>Payment method code</t>
  </si>
  <si>
    <t>Expires At</t>
  </si>
  <si>
    <t>gateway_token</t>
  </si>
  <si>
    <t>Gateway Token</t>
  </si>
  <si>
    <t>details</t>
  </si>
  <si>
    <t>Details</t>
  </si>
  <si>
    <t>order_payment_id</t>
  </si>
  <si>
    <t>Order payment ID</t>
  </si>
  <si>
    <t>payment_token_id</t>
  </si>
  <si>
    <t>Payment token ID</t>
  </si>
  <si>
    <t>Commodity Code</t>
  </si>
  <si>
    <t>Commodity Type</t>
  </si>
  <si>
    <t>Map Entity ID</t>
  </si>
  <si>
    <t>Customizable Option ID</t>
  </si>
  <si>
    <t>flex_field</t>
  </si>
  <si>
    <t>customer_country</t>
  </si>
  <si>
    <t>Customer Country</t>
  </si>
  <si>
    <t>sent_to_vertex</t>
  </si>
  <si>
    <t>Creditmemo Item ID</t>
  </si>
  <si>
    <t>invoice_text_code</t>
  </si>
  <si>
    <t>tax_code</t>
  </si>
  <si>
    <t>vertex_tax_code</t>
  </si>
  <si>
    <t>request_id</t>
  </si>
  <si>
    <t>Request Id</t>
  </si>
  <si>
    <t>Request type</t>
  </si>
  <si>
    <t>total_tax</t>
  </si>
  <si>
    <t>source_path</t>
  </si>
  <si>
    <t>Source path controller_module_action</t>
  </si>
  <si>
    <t>tax_area_id</t>
  </si>
  <si>
    <t>Tax Jurisdictions Id</t>
  </si>
  <si>
    <t>sub_total</t>
  </si>
  <si>
    <t>Response Subtotal Amount</t>
  </si>
  <si>
    <t>Response Total Amount</t>
  </si>
  <si>
    <t>lookup_result</t>
  </si>
  <si>
    <t>Tax Area Response Lookup Result</t>
  </si>
  <si>
    <t>request_date</t>
  </si>
  <si>
    <t>Request create date</t>
  </si>
  <si>
    <t>request_xml</t>
  </si>
  <si>
    <t>Request XML</t>
  </si>
  <si>
    <t>response_xml</t>
  </si>
  <si>
    <t>Response XML</t>
  </si>
  <si>
    <t>response_time</t>
  </si>
  <si>
    <t>Milliseconds taken for Vertex API call to complete</t>
  </si>
  <si>
    <t>country</t>
  </si>
  <si>
    <t>widget_id</t>
  </si>
  <si>
    <t>Widget ID</t>
  </si>
  <si>
    <t>widget_code</t>
  </si>
  <si>
    <t>Widget code for template directive</t>
  </si>
  <si>
    <t>widget_type</t>
  </si>
  <si>
    <t>Widget Type</t>
  </si>
  <si>
    <t>parameters</t>
  </si>
  <si>
    <t>Parameters</t>
  </si>
  <si>
    <t>instance_id</t>
  </si>
  <si>
    <t>Instance ID</t>
  </si>
  <si>
    <t>instance_type</t>
  </si>
  <si>
    <t>Instance Type</t>
  </si>
  <si>
    <t>Widget Title</t>
  </si>
  <si>
    <t>store_ids</t>
  </si>
  <si>
    <t>Store ids</t>
  </si>
  <si>
    <t>widget_parameters</t>
  </si>
  <si>
    <t>Widget parameters</t>
  </si>
  <si>
    <t>page_group</t>
  </si>
  <si>
    <t>Block Group Type</t>
  </si>
  <si>
    <t>layout_handle</t>
  </si>
  <si>
    <t>Layout Handle</t>
  </si>
  <si>
    <t>block_reference</t>
  </si>
  <si>
    <t>Container</t>
  </si>
  <si>
    <t>page_for</t>
  </si>
  <si>
    <t>For instance entities</t>
  </si>
  <si>
    <t>entities</t>
  </si>
  <si>
    <t>Catalog entities (comma separated)</t>
  </si>
  <si>
    <t>page_template</t>
  </si>
  <si>
    <t>Path to widget template</t>
  </si>
  <si>
    <t>Wishlist ID</t>
  </si>
  <si>
    <t>shared</t>
  </si>
  <si>
    <t>Sharing flag (0 or 1)</t>
  </si>
  <si>
    <t>sharing_code</t>
  </si>
  <si>
    <t>Sharing encrypted code</t>
  </si>
  <si>
    <t>Last updated date</t>
  </si>
  <si>
    <t>wishlist_item_id</t>
  </si>
  <si>
    <t>Wishlist item ID</t>
  </si>
  <si>
    <t>Add date and time</t>
  </si>
  <si>
    <t>Short description of wish list item</t>
  </si>
  <si>
    <t>Wishlist Item ID</t>
  </si>
  <si>
    <t>old_status</t>
  </si>
  <si>
    <t>Old Status</t>
  </si>
  <si>
    <t>new_status</t>
  </si>
  <si>
    <t>New Status</t>
  </si>
  <si>
    <t>rich_snippet_id</t>
  </si>
  <si>
    <t>average_score</t>
  </si>
  <si>
    <t>Average Score</t>
  </si>
  <si>
    <t>Reviews Count</t>
  </si>
  <si>
    <t>expiration_time</t>
  </si>
  <si>
    <t>Expiry Time</t>
  </si>
  <si>
    <t>sync_id</t>
  </si>
  <si>
    <t>sync_flag</t>
  </si>
  <si>
    <t>Sync Flag</t>
  </si>
  <si>
    <t>sync_date</t>
  </si>
  <si>
    <t>Sync Date</t>
  </si>
  <si>
    <t>Table_Name</t>
  </si>
  <si>
    <t>Field_Name</t>
  </si>
  <si>
    <t>Field_Type</t>
  </si>
  <si>
    <t>case 1, datetime2</t>
  </si>
  <si>
    <t>case 1, smalldatetime</t>
  </si>
  <si>
    <t>case 3, smalldatetime</t>
  </si>
  <si>
    <t>case 3, datetime2</t>
  </si>
  <si>
    <t>case 1,datetime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</si>
</sst>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yyyy"/>
    <numFmt numFmtId="165" formatCode="m/d/yyyy\ h:mm"/>
    <numFmt numFmtId="166" formatCode="[$-1070409]d/mm/yyyy\ h:mm\ AM/PM"/>
    <numFmt numFmtId="167" formatCode="yyyy\-mm\-dd\ h:mm:ss"/>
    <numFmt numFmtId="168" formatCode="m/d/yyyy"/>
  </numFmts>
  <fonts count="45">
    <font>
      <sz val="11"/>
      <color theme="1"/>
      <name val="Arial"/>
    </font>
    <font>
      <sz val="11"/>
      <color theme="1"/>
      <name val="Calibri"/>
    </font>
    <font>
      <sz val="11"/>
      <color theme="1"/>
      <name val="Calibri"/>
    </font>
    <font>
      <b/>
      <sz val="11"/>
      <color rgb="FFFFFFFF"/>
      <name val="Calibri"/>
    </font>
    <font>
      <sz val="11"/>
      <name val="Arial"/>
    </font>
    <font>
      <b/>
      <sz val="10"/>
      <color theme="1"/>
      <name val="Arial"/>
    </font>
    <font>
      <sz val="10"/>
      <color theme="1"/>
      <name val="Arial"/>
    </font>
    <font>
      <b/>
      <sz val="8"/>
      <color theme="1"/>
      <name val="Arial"/>
    </font>
    <font>
      <sz val="10"/>
      <color rgb="FFC00000"/>
      <name val="Arial"/>
    </font>
    <font>
      <sz val="11"/>
      <color rgb="FF000000"/>
      <name val="Arial"/>
    </font>
    <font>
      <b/>
      <sz val="10"/>
      <color rgb="FF000000"/>
      <name val="Arial"/>
    </font>
    <font>
      <sz val="10"/>
      <color rgb="FF000000"/>
      <name val="Arial"/>
    </font>
    <font>
      <sz val="10"/>
      <color rgb="FFFF0000"/>
      <name val="Arial"/>
    </font>
    <font>
      <sz val="11"/>
      <color rgb="FF000000"/>
      <name val="Calibri"/>
    </font>
    <font>
      <sz val="9"/>
      <color rgb="FF000000"/>
      <name val="Comfortaa"/>
    </font>
    <font>
      <sz val="9"/>
      <color rgb="FFC00000"/>
      <name val="Comfortaa"/>
    </font>
    <font>
      <sz val="9"/>
      <color theme="1"/>
      <name val="Comfortaa"/>
    </font>
    <font>
      <sz val="11"/>
      <color rgb="FFC00000"/>
      <name val="Calibri"/>
    </font>
    <font>
      <b/>
      <sz val="11"/>
      <color rgb="FF000000"/>
      <name val="Calibri"/>
    </font>
    <font>
      <sz val="11"/>
      <color theme="1"/>
      <name val="Arial"/>
    </font>
    <font>
      <sz val="11"/>
      <color rgb="FF000000"/>
      <name val="Tahoma"/>
    </font>
    <font>
      <sz val="11"/>
      <color rgb="FF444444"/>
      <name val="Calibri"/>
    </font>
    <font>
      <sz val="11"/>
      <color rgb="FFC00000"/>
      <name val="Calibri"/>
    </font>
    <font>
      <b/>
      <sz val="11"/>
      <color theme="1"/>
      <name val="Calibri"/>
    </font>
    <font>
      <sz val="11"/>
      <color rgb="FF000000"/>
      <name val="Roboto"/>
    </font>
    <font>
      <sz val="11"/>
      <color rgb="FF1D1C1D"/>
      <name val="Slack-Lato"/>
    </font>
    <font>
      <sz val="11"/>
      <color theme="0"/>
      <name val="Calibri"/>
    </font>
    <font>
      <sz val="11"/>
      <color rgb="FFFF0000"/>
      <name val="Calibri"/>
    </font>
    <font>
      <sz val="11"/>
      <color rgb="FFFF0000"/>
      <name val="Calibri"/>
    </font>
    <font>
      <sz val="11"/>
      <color rgb="FF000000"/>
      <name val="Docs-Roboto"/>
    </font>
    <font>
      <b/>
      <sz val="8"/>
      <color rgb="FF494747"/>
      <name val="Menlo"/>
    </font>
    <font>
      <sz val="11"/>
      <color rgb="FF000000"/>
      <name val="Quattrocento Sans"/>
    </font>
    <font>
      <sz val="9"/>
      <color rgb="FF050505"/>
      <name val="Open Sans"/>
    </font>
    <font>
      <sz val="1"/>
      <color theme="1"/>
      <name val="Monospace"/>
    </font>
    <font>
      <sz val="11"/>
      <color rgb="FFFFFFFF"/>
      <name val="Calibri"/>
    </font>
    <font>
      <sz val="11"/>
      <color rgb="FF000000"/>
      <name val="Docs-Calibri"/>
    </font>
    <font>
      <sz val="11"/>
      <color rgb="FF000000"/>
      <name val="Calibri"/>
    </font>
    <font>
      <sz val="10"/>
      <color theme="1"/>
      <name val="Calibri"/>
    </font>
    <font>
      <b/>
      <sz val="10"/>
      <color theme="1"/>
      <name val="Calibri"/>
    </font>
    <font>
      <sz val="11"/>
      <color rgb="FF9C0006"/>
      <name val="Calibri"/>
    </font>
    <font>
      <sz val="11"/>
      <color rgb="FFFF0000"/>
      <name val="Calibri"/>
      <family val="2"/>
    </font>
    <font>
      <sz val="11"/>
      <color rgb="FF000000"/>
      <name val="Calibri"/>
      <family val="2"/>
    </font>
    <font>
      <sz val="11"/>
      <color theme="1"/>
      <name val="Calibri"/>
      <family val="2"/>
    </font>
    <font>
      <sz val="11"/>
      <color rgb="FF000000"/>
      <name val="Arial"/>
      <family val="2"/>
    </font>
    <font>
      <sz val="11"/>
      <name val="Calibri"/>
      <family val="2"/>
    </font>
  </fonts>
  <fills count="34">
    <fill>
      <patternFill patternType="none"/>
    </fill>
    <fill>
      <patternFill patternType="gray125"/>
    </fill>
    <fill>
      <patternFill patternType="solid">
        <fgColor theme="4"/>
        <bgColor theme="4"/>
      </patternFill>
    </fill>
    <fill>
      <patternFill patternType="solid">
        <fgColor rgb="FF8EAADB"/>
        <bgColor rgb="FF8EAADB"/>
      </patternFill>
    </fill>
    <fill>
      <patternFill patternType="solid">
        <fgColor theme="9"/>
        <bgColor theme="9"/>
      </patternFill>
    </fill>
    <fill>
      <patternFill patternType="solid">
        <fgColor rgb="FFFFF2CC"/>
        <bgColor rgb="FFFFF2CC"/>
      </patternFill>
    </fill>
    <fill>
      <patternFill patternType="solid">
        <fgColor rgb="FF93C47D"/>
        <bgColor rgb="FF93C47D"/>
      </patternFill>
    </fill>
    <fill>
      <patternFill patternType="solid">
        <fgColor rgb="FFA4C2F4"/>
        <bgColor rgb="FFA4C2F4"/>
      </patternFill>
    </fill>
    <fill>
      <patternFill patternType="solid">
        <fgColor rgb="FFD9EAD3"/>
        <bgColor rgb="FFD9EAD3"/>
      </patternFill>
    </fill>
    <fill>
      <patternFill patternType="solid">
        <fgColor rgb="FFD9E2F3"/>
        <bgColor rgb="FFD9E2F3"/>
      </patternFill>
    </fill>
    <fill>
      <patternFill patternType="solid">
        <fgColor rgb="FFFFFF00"/>
        <bgColor rgb="FFFFFF00"/>
      </patternFill>
    </fill>
    <fill>
      <patternFill patternType="solid">
        <fgColor rgb="FFFFD965"/>
        <bgColor rgb="FFFFD965"/>
      </patternFill>
    </fill>
    <fill>
      <patternFill patternType="solid">
        <fgColor rgb="FF999999"/>
        <bgColor rgb="FF999999"/>
      </patternFill>
    </fill>
    <fill>
      <patternFill patternType="solid">
        <fgColor theme="5"/>
        <bgColor theme="5"/>
      </patternFill>
    </fill>
    <fill>
      <patternFill patternType="solid">
        <fgColor rgb="FFD9D9D9"/>
        <bgColor rgb="FFD9D9D9"/>
      </patternFill>
    </fill>
    <fill>
      <patternFill patternType="solid">
        <fgColor rgb="FFF4CCCC"/>
        <bgColor rgb="FFF4CCCC"/>
      </patternFill>
    </fill>
    <fill>
      <patternFill patternType="solid">
        <fgColor rgb="FF0000FF"/>
        <bgColor rgb="FF0000FF"/>
      </patternFill>
    </fill>
    <fill>
      <patternFill patternType="solid">
        <fgColor rgb="FFFFFFFF"/>
        <bgColor rgb="FFFFFFFF"/>
      </patternFill>
    </fill>
    <fill>
      <patternFill patternType="solid">
        <fgColor rgb="FF5B9BD5"/>
        <bgColor rgb="FF5B9BD5"/>
      </patternFill>
    </fill>
    <fill>
      <patternFill patternType="solid">
        <fgColor theme="8"/>
        <bgColor theme="8"/>
      </patternFill>
    </fill>
    <fill>
      <patternFill patternType="solid">
        <fgColor rgb="FFFFE599"/>
        <bgColor rgb="FFFFE599"/>
      </patternFill>
    </fill>
    <fill>
      <patternFill patternType="solid">
        <fgColor theme="6"/>
        <bgColor theme="6"/>
      </patternFill>
    </fill>
    <fill>
      <patternFill patternType="solid">
        <fgColor theme="0"/>
        <bgColor theme="0"/>
      </patternFill>
    </fill>
    <fill>
      <patternFill patternType="solid">
        <fgColor rgb="FFFFD966"/>
        <bgColor rgb="FFFFD966"/>
      </patternFill>
    </fill>
    <fill>
      <patternFill patternType="solid">
        <fgColor rgb="FFFF0000"/>
        <bgColor rgb="FFFF0000"/>
      </patternFill>
    </fill>
    <fill>
      <patternFill patternType="solid">
        <fgColor rgb="FFF8F8F8"/>
        <bgColor rgb="FFF8F8F8"/>
      </patternFill>
    </fill>
    <fill>
      <patternFill patternType="solid">
        <fgColor theme="7"/>
        <bgColor theme="7"/>
      </patternFill>
    </fill>
    <fill>
      <patternFill patternType="solid">
        <fgColor rgb="FF00FF00"/>
        <bgColor rgb="FF00FF00"/>
      </patternFill>
    </fill>
    <fill>
      <patternFill patternType="solid">
        <fgColor rgb="FFB6D7A8"/>
        <bgColor rgb="FFB6D7A8"/>
      </patternFill>
    </fill>
    <fill>
      <patternFill patternType="solid">
        <fgColor rgb="FFFF9900"/>
        <bgColor rgb="FFFF9900"/>
      </patternFill>
    </fill>
    <fill>
      <patternFill patternType="solid">
        <fgColor rgb="FFF5F5F5"/>
        <bgColor rgb="FFF5F5F5"/>
      </patternFill>
    </fill>
    <fill>
      <patternFill patternType="solid">
        <fgColor rgb="FFF8F9FA"/>
        <bgColor rgb="FFF8F9FA"/>
      </patternFill>
    </fill>
    <fill>
      <patternFill patternType="solid">
        <fgColor rgb="FFE2EFD9"/>
        <bgColor rgb="FFE2EFD9"/>
      </patternFill>
    </fill>
    <fill>
      <patternFill patternType="solid">
        <fgColor rgb="FFFFC7CE"/>
        <bgColor rgb="FFFFC7CE"/>
      </patternFill>
    </fill>
  </fills>
  <borders count="12">
    <border>
      <left/>
      <right/>
      <top/>
      <bottom/>
      <diagonal/>
    </border>
    <border>
      <left/>
      <right/>
      <top/>
      <bottom style="thin">
        <color rgb="FF000000"/>
      </bottom>
      <diagonal/>
    </border>
    <border>
      <left/>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double">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99">
    <xf numFmtId="0" fontId="0" fillId="0" borderId="0" xfId="0" applyFont="1" applyAlignment="1"/>
    <xf numFmtId="0" fontId="1" fillId="0" borderId="0" xfId="0" applyFont="1"/>
    <xf numFmtId="0" fontId="2" fillId="0" borderId="0" xfId="0" applyFont="1"/>
    <xf numFmtId="0" fontId="1" fillId="0" borderId="0" xfId="0" applyFont="1" applyAlignment="1">
      <alignment horizontal="left"/>
    </xf>
    <xf numFmtId="0" fontId="3" fillId="2" borderId="3" xfId="0" applyFont="1" applyFill="1" applyBorder="1" applyAlignment="1">
      <alignment horizontal="left" vertical="top"/>
    </xf>
    <xf numFmtId="0" fontId="1" fillId="0" borderId="0" xfId="0" applyFont="1" applyAlignment="1">
      <alignment vertical="center"/>
    </xf>
    <xf numFmtId="0" fontId="5" fillId="3" borderId="4" xfId="0" applyFont="1" applyFill="1" applyBorder="1" applyAlignment="1">
      <alignment horizontal="left" vertical="center" wrapText="1"/>
    </xf>
    <xf numFmtId="0" fontId="5" fillId="3"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0" borderId="0" xfId="0" applyFont="1" applyAlignment="1">
      <alignment wrapText="1"/>
    </xf>
    <xf numFmtId="0" fontId="7" fillId="3" borderId="4" xfId="0" applyFont="1" applyFill="1" applyBorder="1" applyAlignment="1">
      <alignment horizontal="left" vertical="center" wrapText="1"/>
    </xf>
    <xf numFmtId="0" fontId="7" fillId="3"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6" fillId="9" borderId="4" xfId="0" applyFont="1" applyFill="1" applyBorder="1" applyAlignment="1">
      <alignment horizontal="left" vertical="center"/>
    </xf>
    <xf numFmtId="0" fontId="6" fillId="9" borderId="4" xfId="0" applyFont="1" applyFill="1" applyBorder="1" applyAlignment="1">
      <alignment horizontal="left" vertical="center" wrapText="1"/>
    </xf>
    <xf numFmtId="0" fontId="6" fillId="10" borderId="4" xfId="0" applyFont="1" applyFill="1" applyBorder="1" applyAlignment="1">
      <alignment horizontal="left" vertical="center" wrapText="1"/>
    </xf>
    <xf numFmtId="0" fontId="6" fillId="9" borderId="4" xfId="0" applyFont="1" applyFill="1" applyBorder="1" applyAlignment="1">
      <alignment horizontal="left" vertical="center"/>
    </xf>
    <xf numFmtId="0" fontId="6" fillId="9" borderId="4" xfId="0" applyFont="1" applyFill="1" applyBorder="1" applyAlignment="1">
      <alignment horizontal="center" vertical="center"/>
    </xf>
    <xf numFmtId="0" fontId="6" fillId="9" borderId="4"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6" fillId="5" borderId="4" xfId="0" applyFont="1" applyFill="1" applyBorder="1" applyAlignment="1">
      <alignment horizontal="center" vertical="center"/>
    </xf>
    <xf numFmtId="0" fontId="6" fillId="8" borderId="4" xfId="0" applyFont="1" applyFill="1" applyBorder="1" applyAlignment="1">
      <alignment horizontal="center" vertical="center"/>
    </xf>
    <xf numFmtId="9" fontId="6" fillId="9" borderId="4" xfId="0" applyNumberFormat="1" applyFont="1" applyFill="1" applyBorder="1" applyAlignment="1">
      <alignment horizontal="center" vertical="center"/>
    </xf>
    <xf numFmtId="164" fontId="6" fillId="9" borderId="4" xfId="0" applyNumberFormat="1" applyFont="1" applyFill="1" applyBorder="1" applyAlignment="1">
      <alignment horizontal="center" vertical="center"/>
    </xf>
    <xf numFmtId="0" fontId="1" fillId="0" borderId="0" xfId="0" applyFont="1" applyAlignment="1">
      <alignment horizontal="left" vertical="center"/>
    </xf>
    <xf numFmtId="0" fontId="6" fillId="9" borderId="4" xfId="0" applyFont="1" applyFill="1" applyBorder="1" applyAlignment="1">
      <alignment horizontal="left" vertical="top"/>
    </xf>
    <xf numFmtId="0" fontId="6" fillId="9" borderId="4" xfId="0" applyFont="1" applyFill="1" applyBorder="1" applyAlignment="1">
      <alignment vertical="center" wrapText="1"/>
    </xf>
    <xf numFmtId="0" fontId="6" fillId="9" borderId="4" xfId="0" applyFont="1" applyFill="1" applyBorder="1" applyAlignment="1">
      <alignment vertical="top" wrapText="1"/>
    </xf>
    <xf numFmtId="0" fontId="6" fillId="9" borderId="4" xfId="0" applyFont="1" applyFill="1" applyBorder="1" applyAlignment="1">
      <alignment vertical="top"/>
    </xf>
    <xf numFmtId="0" fontId="6" fillId="9" borderId="4" xfId="0" applyFont="1" applyFill="1" applyBorder="1" applyAlignment="1">
      <alignment vertical="top"/>
    </xf>
    <xf numFmtId="0" fontId="6" fillId="9" borderId="4" xfId="0" applyFont="1" applyFill="1" applyBorder="1" applyAlignment="1">
      <alignment horizontal="center" vertical="top"/>
    </xf>
    <xf numFmtId="0" fontId="5" fillId="4" borderId="4" xfId="0" applyFont="1" applyFill="1" applyBorder="1" applyAlignment="1">
      <alignment horizontal="center" vertical="center"/>
    </xf>
    <xf numFmtId="0" fontId="8" fillId="7" borderId="4" xfId="0" applyFont="1" applyFill="1" applyBorder="1" applyAlignment="1">
      <alignment horizontal="center" vertical="center"/>
    </xf>
    <xf numFmtId="0" fontId="5" fillId="4" borderId="4" xfId="0" applyFont="1" applyFill="1" applyBorder="1" applyAlignment="1">
      <alignment horizontal="center" vertical="center"/>
    </xf>
    <xf numFmtId="0" fontId="6" fillId="10" borderId="4" xfId="0" applyFont="1" applyFill="1" applyBorder="1" applyAlignment="1">
      <alignment vertical="top" wrapText="1"/>
    </xf>
    <xf numFmtId="0" fontId="6" fillId="9" borderId="4" xfId="0" applyFont="1" applyFill="1" applyBorder="1" applyAlignment="1">
      <alignment vertical="center" wrapText="1"/>
    </xf>
    <xf numFmtId="0" fontId="8" fillId="11" borderId="4" xfId="0" applyFont="1" applyFill="1" applyBorder="1" applyAlignment="1">
      <alignment horizontal="center" vertical="center"/>
    </xf>
    <xf numFmtId="0" fontId="9" fillId="9" borderId="0" xfId="0" applyFont="1" applyFill="1" applyAlignment="1">
      <alignment horizontal="center" wrapText="1"/>
    </xf>
    <xf numFmtId="0" fontId="6" fillId="9" borderId="4" xfId="0" applyFont="1" applyFill="1" applyBorder="1" applyAlignment="1">
      <alignment horizontal="left" vertical="top"/>
    </xf>
    <xf numFmtId="0" fontId="6" fillId="9" borderId="8" xfId="0" applyFont="1" applyFill="1" applyBorder="1" applyAlignment="1">
      <alignment horizontal="center" vertical="center"/>
    </xf>
    <xf numFmtId="0" fontId="6" fillId="9" borderId="4" xfId="0" applyFont="1" applyFill="1" applyBorder="1" applyAlignment="1">
      <alignment vertical="center"/>
    </xf>
    <xf numFmtId="0" fontId="6" fillId="10" borderId="4" xfId="0" applyFont="1" applyFill="1" applyBorder="1" applyAlignment="1">
      <alignment vertical="top"/>
    </xf>
    <xf numFmtId="0" fontId="6" fillId="9" borderId="4" xfId="0" applyFont="1" applyFill="1" applyBorder="1"/>
    <xf numFmtId="0" fontId="6" fillId="9" borderId="4" xfId="0" applyFont="1" applyFill="1" applyBorder="1" applyAlignment="1">
      <alignment horizontal="center"/>
    </xf>
    <xf numFmtId="0" fontId="5" fillId="4" borderId="9" xfId="0" applyFont="1" applyFill="1" applyBorder="1" applyAlignment="1">
      <alignment horizontal="center" vertical="center"/>
    </xf>
    <xf numFmtId="0" fontId="8" fillId="7" borderId="9" xfId="0" applyFont="1" applyFill="1" applyBorder="1" applyAlignment="1">
      <alignment horizontal="center" vertical="center"/>
    </xf>
    <xf numFmtId="0" fontId="5" fillId="4" borderId="9" xfId="0" applyFont="1" applyFill="1" applyBorder="1" applyAlignment="1">
      <alignment horizontal="center" vertical="center"/>
    </xf>
    <xf numFmtId="0" fontId="8" fillId="7" borderId="8" xfId="0" applyFont="1" applyFill="1" applyBorder="1" applyAlignment="1">
      <alignment horizontal="center" vertical="center"/>
    </xf>
    <xf numFmtId="0" fontId="6" fillId="0" borderId="0" xfId="0" applyFont="1" applyAlignment="1">
      <alignment horizontal="left"/>
    </xf>
    <xf numFmtId="0" fontId="6" fillId="0" borderId="0" xfId="0" applyFont="1"/>
    <xf numFmtId="0" fontId="6" fillId="0" borderId="0" xfId="0" applyFont="1" applyAlignment="1">
      <alignment horizontal="center"/>
    </xf>
    <xf numFmtId="0" fontId="10" fillId="12" borderId="0" xfId="0" applyFont="1" applyFill="1" applyAlignment="1"/>
    <xf numFmtId="0" fontId="10" fillId="12" borderId="10" xfId="0" applyFont="1" applyFill="1" applyBorder="1" applyAlignment="1">
      <alignment horizontal="center"/>
    </xf>
    <xf numFmtId="0" fontId="6" fillId="0" borderId="0" xfId="0" applyFont="1" applyAlignment="1">
      <alignment vertical="center"/>
    </xf>
    <xf numFmtId="0" fontId="3" fillId="13" borderId="3" xfId="0" applyFont="1" applyFill="1" applyBorder="1" applyAlignment="1">
      <alignment horizontal="left" vertical="top"/>
    </xf>
    <xf numFmtId="0" fontId="6" fillId="11" borderId="4" xfId="0" applyFont="1" applyFill="1" applyBorder="1" applyAlignment="1">
      <alignment horizontal="left" vertical="top"/>
    </xf>
    <xf numFmtId="0" fontId="6" fillId="11" borderId="4" xfId="0" applyFont="1" applyFill="1" applyBorder="1" applyAlignment="1">
      <alignment vertical="top" wrapText="1"/>
    </xf>
    <xf numFmtId="0" fontId="6" fillId="11" borderId="11" xfId="0" applyFont="1" applyFill="1" applyBorder="1" applyAlignment="1">
      <alignment vertical="top" wrapText="1"/>
    </xf>
    <xf numFmtId="0" fontId="6" fillId="11" borderId="5" xfId="0" applyFont="1" applyFill="1" applyBorder="1" applyAlignment="1">
      <alignment vertical="top"/>
    </xf>
    <xf numFmtId="0" fontId="6" fillId="11" borderId="5" xfId="0" applyFont="1" applyFill="1" applyBorder="1" applyAlignment="1">
      <alignment vertical="top"/>
    </xf>
    <xf numFmtId="0" fontId="6" fillId="11" borderId="4" xfId="0" applyFont="1" applyFill="1" applyBorder="1" applyAlignment="1">
      <alignment vertical="top"/>
    </xf>
    <xf numFmtId="0" fontId="6" fillId="11" borderId="4" xfId="0" applyFont="1" applyFill="1" applyBorder="1" applyAlignment="1">
      <alignment horizontal="center" vertical="center" wrapText="1"/>
    </xf>
    <xf numFmtId="0" fontId="6" fillId="11" borderId="4" xfId="0" applyFont="1" applyFill="1" applyBorder="1" applyAlignment="1">
      <alignment horizontal="center" vertical="top"/>
    </xf>
    <xf numFmtId="0" fontId="6" fillId="11" borderId="4" xfId="0" applyFont="1" applyFill="1" applyBorder="1" applyAlignment="1">
      <alignment vertical="center" wrapText="1"/>
    </xf>
    <xf numFmtId="0" fontId="6" fillId="11" borderId="4" xfId="0" applyFont="1" applyFill="1" applyBorder="1" applyAlignment="1">
      <alignment vertical="center"/>
    </xf>
    <xf numFmtId="0" fontId="11" fillId="11" borderId="4" xfId="0" applyFont="1" applyFill="1" applyBorder="1" applyAlignment="1">
      <alignment horizontal="center" vertical="top" wrapText="1"/>
    </xf>
    <xf numFmtId="0" fontId="6" fillId="11" borderId="4" xfId="0" applyFont="1" applyFill="1" applyBorder="1" applyAlignment="1">
      <alignment vertical="center" wrapText="1"/>
    </xf>
    <xf numFmtId="0" fontId="6" fillId="11" borderId="4" xfId="0" applyFont="1" applyFill="1" applyBorder="1" applyAlignment="1">
      <alignment horizontal="center" vertical="center" wrapText="1"/>
    </xf>
    <xf numFmtId="0" fontId="6" fillId="11" borderId="4" xfId="0" applyFont="1" applyFill="1" applyBorder="1" applyAlignment="1">
      <alignment vertical="top" wrapText="1"/>
    </xf>
    <xf numFmtId="0" fontId="6" fillId="11" borderId="11" xfId="0" applyFont="1" applyFill="1" applyBorder="1" applyAlignment="1">
      <alignment vertical="top" wrapText="1"/>
    </xf>
    <xf numFmtId="0" fontId="6" fillId="11" borderId="4" xfId="0" applyFont="1" applyFill="1" applyBorder="1" applyAlignment="1">
      <alignment vertical="top"/>
    </xf>
    <xf numFmtId="0" fontId="12" fillId="10" borderId="4" xfId="0" applyFont="1" applyFill="1" applyBorder="1" applyAlignment="1">
      <alignment horizontal="center" vertical="center" wrapText="1"/>
    </xf>
    <xf numFmtId="0" fontId="6" fillId="11" borderId="4" xfId="0" applyFont="1" applyFill="1" applyBorder="1" applyAlignment="1">
      <alignment horizontal="left" vertical="top"/>
    </xf>
    <xf numFmtId="0" fontId="6" fillId="10" borderId="11" xfId="0" applyFont="1" applyFill="1" applyBorder="1" applyAlignment="1">
      <alignment vertical="top" wrapText="1"/>
    </xf>
    <xf numFmtId="0" fontId="6" fillId="14" borderId="4" xfId="0" applyFont="1" applyFill="1" applyBorder="1" applyAlignment="1">
      <alignment horizontal="left" vertical="top"/>
    </xf>
    <xf numFmtId="0" fontId="6" fillId="14" borderId="4" xfId="0" applyFont="1" applyFill="1" applyBorder="1" applyAlignment="1">
      <alignment vertical="top" wrapText="1"/>
    </xf>
    <xf numFmtId="0" fontId="6" fillId="14" borderId="11" xfId="0" applyFont="1" applyFill="1" applyBorder="1" applyAlignment="1">
      <alignment vertical="top" wrapText="1"/>
    </xf>
    <xf numFmtId="0" fontId="6" fillId="14" borderId="5" xfId="0" applyFont="1" applyFill="1" applyBorder="1" applyAlignment="1">
      <alignment vertical="top"/>
    </xf>
    <xf numFmtId="0" fontId="6" fillId="14" borderId="5" xfId="0" applyFont="1" applyFill="1" applyBorder="1" applyAlignment="1">
      <alignment vertical="top"/>
    </xf>
    <xf numFmtId="0" fontId="6" fillId="14" borderId="4" xfId="0" applyFont="1" applyFill="1" applyBorder="1" applyAlignment="1">
      <alignment vertical="top"/>
    </xf>
    <xf numFmtId="0" fontId="6" fillId="14" borderId="4" xfId="0" applyFont="1" applyFill="1" applyBorder="1" applyAlignment="1">
      <alignment vertical="center"/>
    </xf>
    <xf numFmtId="0" fontId="6" fillId="14" borderId="4" xfId="0" applyFont="1" applyFill="1" applyBorder="1" applyAlignment="1">
      <alignment horizontal="center" vertical="top"/>
    </xf>
    <xf numFmtId="0" fontId="6" fillId="14" borderId="4" xfId="0" applyFont="1" applyFill="1" applyBorder="1" applyAlignment="1">
      <alignment vertical="center" wrapText="1"/>
    </xf>
    <xf numFmtId="0" fontId="12" fillId="14" borderId="4" xfId="0" applyFont="1" applyFill="1" applyBorder="1" applyAlignment="1">
      <alignment horizontal="center" vertical="center" wrapText="1"/>
    </xf>
    <xf numFmtId="0" fontId="6" fillId="14" borderId="4" xfId="0" applyFont="1" applyFill="1" applyBorder="1" applyAlignment="1">
      <alignment vertical="center" wrapText="1"/>
    </xf>
    <xf numFmtId="0" fontId="2" fillId="14" borderId="0" xfId="0" applyFont="1" applyFill="1"/>
    <xf numFmtId="0" fontId="11" fillId="11" borderId="4" xfId="0" applyFont="1" applyFill="1" applyBorder="1" applyAlignment="1">
      <alignment horizontal="center" vertical="center" wrapText="1"/>
    </xf>
    <xf numFmtId="0" fontId="6" fillId="15" borderId="4" xfId="0" applyFont="1" applyFill="1" applyBorder="1" applyAlignment="1">
      <alignment vertical="top" wrapText="1"/>
    </xf>
    <xf numFmtId="0" fontId="6" fillId="11" borderId="4" xfId="0" applyFont="1" applyFill="1" applyBorder="1" applyAlignment="1">
      <alignment vertical="center"/>
    </xf>
    <xf numFmtId="0" fontId="10" fillId="12" borderId="0" xfId="0" applyFont="1" applyFill="1" applyAlignment="1">
      <alignment horizontal="center"/>
    </xf>
    <xf numFmtId="0" fontId="10" fillId="12" borderId="0" xfId="0" applyFont="1" applyFill="1" applyAlignment="1">
      <alignment wrapText="1"/>
    </xf>
    <xf numFmtId="0" fontId="13" fillId="17" borderId="0" xfId="0" applyFont="1" applyFill="1" applyAlignment="1"/>
    <xf numFmtId="0" fontId="2" fillId="0" borderId="0" xfId="0" applyFont="1" applyAlignment="1"/>
    <xf numFmtId="0" fontId="14" fillId="18" borderId="3" xfId="0" applyFont="1" applyFill="1" applyBorder="1"/>
    <xf numFmtId="0" fontId="14" fillId="18" borderId="3" xfId="0" applyFont="1" applyFill="1" applyBorder="1" applyAlignment="1">
      <alignment horizontal="left"/>
    </xf>
    <xf numFmtId="0" fontId="15" fillId="19" borderId="3" xfId="0" applyFont="1" applyFill="1" applyBorder="1" applyAlignment="1">
      <alignment horizontal="center"/>
    </xf>
    <xf numFmtId="0" fontId="16" fillId="20" borderId="0" xfId="0" applyFont="1" applyFill="1" applyAlignment="1"/>
    <xf numFmtId="0" fontId="16" fillId="10" borderId="0" xfId="0" applyFont="1" applyFill="1" applyAlignment="1"/>
    <xf numFmtId="0" fontId="16" fillId="6" borderId="0" xfId="0" applyFont="1" applyFill="1" applyAlignment="1"/>
    <xf numFmtId="0" fontId="16" fillId="21" borderId="0" xfId="0" applyFont="1" applyFill="1" applyAlignment="1">
      <alignment horizontal="center"/>
    </xf>
    <xf numFmtId="0" fontId="16" fillId="0" borderId="0" xfId="0" applyFont="1"/>
    <xf numFmtId="0" fontId="14" fillId="0" borderId="0" xfId="0" applyFont="1" applyAlignment="1"/>
    <xf numFmtId="0" fontId="14" fillId="22" borderId="0" xfId="0" applyFont="1" applyFill="1" applyAlignment="1"/>
    <xf numFmtId="0" fontId="14" fillId="0" borderId="0" xfId="0" applyFont="1" applyAlignment="1">
      <alignment horizontal="right"/>
    </xf>
    <xf numFmtId="0" fontId="14" fillId="0" borderId="0" xfId="0" applyFont="1" applyAlignment="1">
      <alignment horizontal="left"/>
    </xf>
    <xf numFmtId="0" fontId="14" fillId="0" borderId="0" xfId="0" applyFont="1" applyAlignment="1"/>
    <xf numFmtId="0" fontId="16" fillId="22" borderId="0" xfId="0" applyFont="1" applyFill="1" applyAlignment="1"/>
    <xf numFmtId="0" fontId="16" fillId="0" borderId="0" xfId="0" applyFont="1" applyAlignment="1"/>
    <xf numFmtId="165" fontId="14" fillId="0" borderId="0" xfId="0" applyNumberFormat="1" applyFont="1" applyAlignment="1">
      <alignment horizontal="left"/>
    </xf>
    <xf numFmtId="0" fontId="14" fillId="0" borderId="0" xfId="0" applyFont="1" applyAlignment="1"/>
    <xf numFmtId="0" fontId="14" fillId="0" borderId="0" xfId="0" applyFont="1" applyAlignment="1">
      <alignment horizontal="center"/>
    </xf>
    <xf numFmtId="0" fontId="15" fillId="0" borderId="0" xfId="0" applyFont="1" applyAlignment="1"/>
    <xf numFmtId="0" fontId="14" fillId="0" borderId="0" xfId="0" applyFont="1" applyAlignment="1"/>
    <xf numFmtId="0" fontId="14" fillId="0" borderId="0" xfId="0" applyFont="1" applyAlignment="1">
      <alignment horizontal="left"/>
    </xf>
    <xf numFmtId="0" fontId="14" fillId="0" borderId="0" xfId="0" applyFont="1" applyAlignment="1">
      <alignment horizontal="left"/>
    </xf>
    <xf numFmtId="0" fontId="16" fillId="22" borderId="0" xfId="0" applyFont="1" applyFill="1"/>
    <xf numFmtId="3" fontId="14" fillId="22" borderId="0" xfId="0" applyNumberFormat="1" applyFont="1" applyFill="1" applyAlignment="1">
      <alignment horizontal="right"/>
    </xf>
    <xf numFmtId="0" fontId="14" fillId="22" borderId="0" xfId="0" applyFont="1" applyFill="1" applyAlignment="1"/>
    <xf numFmtId="0" fontId="14" fillId="22" borderId="0" xfId="0" applyFont="1" applyFill="1" applyAlignment="1">
      <alignment horizontal="left"/>
    </xf>
    <xf numFmtId="0" fontId="14" fillId="22" borderId="0" xfId="0" applyFont="1" applyFill="1" applyAlignment="1"/>
    <xf numFmtId="3" fontId="14" fillId="0" borderId="0" xfId="0" applyNumberFormat="1" applyFont="1" applyAlignment="1">
      <alignment horizontal="right"/>
    </xf>
    <xf numFmtId="0" fontId="16" fillId="0" borderId="0" xfId="0" applyFont="1" applyAlignment="1"/>
    <xf numFmtId="0" fontId="16" fillId="22" borderId="0" xfId="0" applyFont="1" applyFill="1" applyAlignment="1"/>
    <xf numFmtId="0" fontId="15" fillId="0" borderId="0" xfId="0" applyFont="1" applyAlignment="1"/>
    <xf numFmtId="0" fontId="15" fillId="0" borderId="0" xfId="0" applyFont="1" applyAlignment="1">
      <alignment horizontal="left"/>
    </xf>
    <xf numFmtId="0" fontId="15" fillId="0" borderId="0" xfId="0" applyFont="1" applyAlignment="1"/>
    <xf numFmtId="0" fontId="15" fillId="22" borderId="0" xfId="0" applyFont="1" applyFill="1" applyAlignment="1"/>
    <xf numFmtId="0" fontId="13" fillId="0" borderId="0" xfId="0" applyFont="1" applyAlignment="1"/>
    <xf numFmtId="22" fontId="14" fillId="0" borderId="0" xfId="0" applyNumberFormat="1" applyFont="1" applyAlignment="1"/>
    <xf numFmtId="0" fontId="15" fillId="0" borderId="0" xfId="0" applyFont="1" applyAlignment="1"/>
    <xf numFmtId="0" fontId="15" fillId="0" borderId="0" xfId="0" applyFont="1" applyAlignment="1">
      <alignment horizontal="right"/>
    </xf>
    <xf numFmtId="165" fontId="15" fillId="0" borderId="0" xfId="0" applyNumberFormat="1" applyFont="1" applyAlignment="1">
      <alignment horizontal="left"/>
    </xf>
    <xf numFmtId="0" fontId="15" fillId="0" borderId="0" xfId="0" applyFont="1" applyAlignment="1">
      <alignment horizontal="center"/>
    </xf>
    <xf numFmtId="0" fontId="15" fillId="22" borderId="0" xfId="0" applyFont="1" applyFill="1" applyAlignment="1"/>
    <xf numFmtId="0" fontId="15" fillId="0" borderId="0" xfId="0" applyFont="1"/>
    <xf numFmtId="0" fontId="14" fillId="5" borderId="0" xfId="0" applyFont="1" applyFill="1" applyAlignment="1"/>
    <xf numFmtId="0" fontId="14" fillId="5" borderId="0" xfId="0" applyFont="1" applyFill="1" applyAlignment="1">
      <alignment horizontal="right"/>
    </xf>
    <xf numFmtId="0" fontId="14" fillId="5" borderId="0" xfId="0" applyFont="1" applyFill="1" applyAlignment="1">
      <alignment horizontal="left"/>
    </xf>
    <xf numFmtId="0" fontId="14" fillId="5" borderId="0" xfId="0" applyFont="1" applyFill="1" applyAlignment="1"/>
    <xf numFmtId="0" fontId="16" fillId="5" borderId="0" xfId="0" applyFont="1" applyFill="1" applyAlignment="1"/>
    <xf numFmtId="22" fontId="14" fillId="22" borderId="0" xfId="0" applyNumberFormat="1" applyFont="1" applyFill="1" applyAlignment="1"/>
    <xf numFmtId="0" fontId="14" fillId="0" borderId="0" xfId="0" applyFont="1" applyAlignment="1"/>
    <xf numFmtId="0" fontId="13" fillId="17" borderId="0" xfId="0" applyFont="1" applyFill="1" applyAlignment="1"/>
    <xf numFmtId="0" fontId="14" fillId="0" borderId="0" xfId="0" applyFont="1"/>
    <xf numFmtId="0" fontId="14" fillId="0" borderId="0" xfId="0" applyFont="1" applyAlignment="1">
      <alignment horizontal="left"/>
    </xf>
    <xf numFmtId="0" fontId="14" fillId="22" borderId="0" xfId="0" applyFont="1" applyFill="1" applyAlignment="1"/>
    <xf numFmtId="0" fontId="14" fillId="22" borderId="0" xfId="0" applyFont="1" applyFill="1"/>
    <xf numFmtId="22" fontId="14" fillId="0" borderId="0" xfId="0" applyNumberFormat="1" applyFont="1" applyAlignment="1">
      <alignment horizontal="left"/>
    </xf>
    <xf numFmtId="166" fontId="16" fillId="0" borderId="0" xfId="0" applyNumberFormat="1" applyFont="1" applyAlignment="1">
      <alignment horizontal="left"/>
    </xf>
    <xf numFmtId="0" fontId="13" fillId="23" borderId="3" xfId="0" applyFont="1" applyFill="1" applyBorder="1"/>
    <xf numFmtId="0" fontId="13" fillId="23" borderId="3" xfId="0" applyFont="1" applyFill="1" applyBorder="1" applyAlignment="1"/>
    <xf numFmtId="0" fontId="17" fillId="0" borderId="0" xfId="0" applyFont="1" applyAlignment="1">
      <alignment horizontal="center"/>
    </xf>
    <xf numFmtId="0" fontId="13" fillId="0" borderId="0" xfId="0" applyFont="1" applyAlignment="1">
      <alignment horizontal="right"/>
    </xf>
    <xf numFmtId="0" fontId="13" fillId="0" borderId="0" xfId="0" applyFont="1"/>
    <xf numFmtId="0" fontId="13" fillId="0" borderId="0" xfId="0" applyFont="1" applyAlignment="1"/>
    <xf numFmtId="0" fontId="13" fillId="10" borderId="0" xfId="0" applyFont="1" applyFill="1" applyAlignment="1"/>
    <xf numFmtId="0" fontId="13" fillId="10" borderId="0" xfId="0" applyFont="1" applyFill="1" applyAlignment="1">
      <alignment horizontal="right"/>
    </xf>
    <xf numFmtId="0" fontId="13" fillId="10" borderId="0" xfId="0" applyFont="1" applyFill="1"/>
    <xf numFmtId="0" fontId="9" fillId="10" borderId="0" xfId="0" applyFont="1" applyFill="1" applyAlignment="1">
      <alignment horizontal="left"/>
    </xf>
    <xf numFmtId="0" fontId="2" fillId="10" borderId="0" xfId="0" applyFont="1" applyFill="1"/>
    <xf numFmtId="0" fontId="13" fillId="10" borderId="4" xfId="0" applyFont="1" applyFill="1" applyBorder="1" applyAlignment="1">
      <alignment horizontal="left"/>
    </xf>
    <xf numFmtId="0" fontId="18" fillId="0" borderId="0" xfId="0" applyFont="1" applyAlignment="1"/>
    <xf numFmtId="0" fontId="19" fillId="10" borderId="0" xfId="0" applyFont="1" applyFill="1" applyAlignment="1">
      <alignment horizontal="left"/>
    </xf>
    <xf numFmtId="0" fontId="2" fillId="10" borderId="0" xfId="0" applyFont="1" applyFill="1" applyAlignment="1"/>
    <xf numFmtId="0" fontId="13" fillId="10" borderId="0" xfId="0" applyFont="1" applyFill="1" applyAlignment="1"/>
    <xf numFmtId="0" fontId="14" fillId="10" borderId="0" xfId="0" applyFont="1" applyFill="1" applyAlignment="1"/>
    <xf numFmtId="0" fontId="19" fillId="10" borderId="0" xfId="0" applyFont="1" applyFill="1" applyAlignment="1"/>
    <xf numFmtId="0" fontId="20" fillId="10" borderId="0" xfId="0" applyFont="1" applyFill="1" applyAlignment="1">
      <alignment horizontal="left"/>
    </xf>
    <xf numFmtId="0" fontId="13" fillId="18" borderId="3" xfId="0" applyFont="1" applyFill="1" applyBorder="1"/>
    <xf numFmtId="0" fontId="13" fillId="18" borderId="3" xfId="0" applyFont="1" applyFill="1" applyBorder="1" applyAlignment="1">
      <alignment horizontal="left"/>
    </xf>
    <xf numFmtId="0" fontId="2" fillId="23" borderId="0" xfId="0" applyFont="1" applyFill="1" applyAlignment="1"/>
    <xf numFmtId="0" fontId="13" fillId="22" borderId="0" xfId="0" applyFont="1" applyFill="1" applyAlignment="1"/>
    <xf numFmtId="0" fontId="13" fillId="0" borderId="0" xfId="0" applyFont="1" applyAlignment="1">
      <alignment horizontal="left"/>
    </xf>
    <xf numFmtId="0" fontId="13" fillId="0" borderId="0" xfId="0" applyFont="1" applyAlignment="1">
      <alignment horizontal="left"/>
    </xf>
    <xf numFmtId="22" fontId="13" fillId="0" borderId="0" xfId="0" applyNumberFormat="1" applyFont="1" applyAlignment="1"/>
    <xf numFmtId="165" fontId="13" fillId="0" borderId="0" xfId="0" applyNumberFormat="1" applyFont="1" applyAlignment="1">
      <alignment horizontal="left"/>
    </xf>
    <xf numFmtId="166" fontId="1" fillId="0" borderId="0" xfId="0" applyNumberFormat="1" applyFont="1" applyAlignment="1">
      <alignment horizontal="left"/>
    </xf>
    <xf numFmtId="0" fontId="2" fillId="23" borderId="0" xfId="0" applyFont="1" applyFill="1"/>
    <xf numFmtId="0" fontId="21" fillId="17" borderId="0" xfId="0" applyFont="1" applyFill="1" applyAlignment="1">
      <alignment horizontal="left"/>
    </xf>
    <xf numFmtId="22" fontId="13" fillId="0" borderId="0" xfId="0" applyNumberFormat="1" applyFont="1" applyAlignment="1">
      <alignment horizontal="left"/>
    </xf>
    <xf numFmtId="0" fontId="22" fillId="22" borderId="0" xfId="0" applyFont="1" applyFill="1" applyAlignment="1"/>
    <xf numFmtId="0" fontId="13" fillId="0" borderId="0" xfId="0" applyFont="1" applyAlignment="1">
      <alignment horizontal="left"/>
    </xf>
    <xf numFmtId="22" fontId="13" fillId="0" borderId="0" xfId="0" applyNumberFormat="1" applyFont="1" applyAlignment="1">
      <alignment horizontal="left"/>
    </xf>
    <xf numFmtId="0" fontId="2" fillId="22" borderId="0" xfId="0" applyFont="1" applyFill="1"/>
    <xf numFmtId="0" fontId="2" fillId="11" borderId="0" xfId="0" applyFont="1" applyFill="1" applyAlignment="1"/>
    <xf numFmtId="0" fontId="13" fillId="0" borderId="0" xfId="0" applyFont="1" applyAlignment="1"/>
    <xf numFmtId="0" fontId="13" fillId="18" borderId="3" xfId="0" applyFont="1" applyFill="1" applyBorder="1" applyAlignment="1"/>
    <xf numFmtId="0" fontId="13" fillId="19" borderId="3" xfId="0" applyFont="1" applyFill="1" applyBorder="1"/>
    <xf numFmtId="0" fontId="2" fillId="21" borderId="0" xfId="0" applyFont="1" applyFill="1" applyAlignment="1"/>
    <xf numFmtId="0" fontId="22" fillId="0" borderId="0" xfId="0" applyFont="1" applyAlignment="1"/>
    <xf numFmtId="22" fontId="13" fillId="0" borderId="0" xfId="0" applyNumberFormat="1" applyFont="1" applyAlignment="1">
      <alignment horizontal="left"/>
    </xf>
    <xf numFmtId="0" fontId="23" fillId="0" borderId="0" xfId="0" applyFont="1" applyAlignment="1"/>
    <xf numFmtId="0" fontId="13" fillId="11" borderId="0" xfId="0" applyFont="1" applyFill="1" applyAlignment="1"/>
    <xf numFmtId="22" fontId="13" fillId="0" borderId="0" xfId="0" applyNumberFormat="1" applyFont="1" applyAlignment="1">
      <alignment horizontal="left"/>
    </xf>
    <xf numFmtId="0" fontId="13" fillId="23" borderId="0" xfId="0" applyFont="1" applyFill="1" applyAlignment="1"/>
    <xf numFmtId="0" fontId="13" fillId="24" borderId="0" xfId="0" applyFont="1" applyFill="1" applyAlignment="1"/>
    <xf numFmtId="167" fontId="13" fillId="0" borderId="0" xfId="0" applyNumberFormat="1" applyFont="1" applyAlignment="1">
      <alignment horizontal="left"/>
    </xf>
    <xf numFmtId="0" fontId="13" fillId="22" borderId="0" xfId="0" applyFont="1" applyFill="1" applyAlignment="1"/>
    <xf numFmtId="166" fontId="1" fillId="0" borderId="0" xfId="0" applyNumberFormat="1" applyFont="1" applyAlignment="1">
      <alignment horizontal="left"/>
    </xf>
    <xf numFmtId="0" fontId="13" fillId="9" borderId="0" xfId="0" applyFont="1" applyFill="1" applyAlignment="1"/>
    <xf numFmtId="0" fontId="2" fillId="0" borderId="0" xfId="0" applyFont="1"/>
    <xf numFmtId="0" fontId="13" fillId="23" borderId="3" xfId="0" applyFont="1" applyFill="1" applyBorder="1"/>
    <xf numFmtId="0" fontId="24" fillId="17" borderId="0" xfId="0" applyFont="1" applyFill="1" applyAlignment="1"/>
    <xf numFmtId="22" fontId="13" fillId="0" borderId="0" xfId="0" applyNumberFormat="1" applyFont="1"/>
    <xf numFmtId="166" fontId="1" fillId="0" borderId="0" xfId="0" applyNumberFormat="1" applyFont="1"/>
    <xf numFmtId="0" fontId="1" fillId="0" borderId="0" xfId="0" applyFont="1" applyAlignment="1">
      <alignment horizontal="right"/>
    </xf>
    <xf numFmtId="0" fontId="21" fillId="0" borderId="0" xfId="0" applyFont="1"/>
    <xf numFmtId="0" fontId="25" fillId="25" borderId="0" xfId="0" applyFont="1" applyFill="1" applyAlignment="1">
      <alignment horizontal="left"/>
    </xf>
    <xf numFmtId="0" fontId="26" fillId="19" borderId="3" xfId="0" applyFont="1" applyFill="1" applyBorder="1"/>
    <xf numFmtId="166" fontId="26" fillId="19" borderId="3" xfId="0" applyNumberFormat="1" applyFont="1" applyFill="1" applyBorder="1"/>
    <xf numFmtId="0" fontId="2" fillId="26" borderId="0" xfId="0" applyFont="1" applyFill="1" applyAlignment="1"/>
    <xf numFmtId="0" fontId="2" fillId="22" borderId="0" xfId="0" applyFont="1" applyFill="1" applyAlignment="1"/>
    <xf numFmtId="0" fontId="2" fillId="13" borderId="0" xfId="0" applyFont="1" applyFill="1" applyAlignment="1">
      <alignment horizontal="center"/>
    </xf>
    <xf numFmtId="0" fontId="13" fillId="27" borderId="0" xfId="0" applyFont="1" applyFill="1" applyAlignment="1"/>
    <xf numFmtId="0" fontId="13" fillId="0" borderId="0" xfId="0" applyFont="1" applyAlignment="1"/>
    <xf numFmtId="14" fontId="13" fillId="0" borderId="0" xfId="0" applyNumberFormat="1" applyFont="1" applyAlignment="1">
      <alignment horizontal="right"/>
    </xf>
    <xf numFmtId="0" fontId="2" fillId="0" borderId="0" xfId="0" applyFont="1" applyAlignment="1">
      <alignment horizontal="center"/>
    </xf>
    <xf numFmtId="0" fontId="2" fillId="28" borderId="0" xfId="0" applyFont="1" applyFill="1" applyAlignment="1">
      <alignment horizontal="center"/>
    </xf>
    <xf numFmtId="0" fontId="13" fillId="29" borderId="0" xfId="0" applyFont="1" applyFill="1" applyAlignment="1"/>
    <xf numFmtId="0" fontId="13" fillId="0" borderId="0" xfId="0" applyFont="1" applyAlignment="1"/>
    <xf numFmtId="168" fontId="13" fillId="0" borderId="0" xfId="0" applyNumberFormat="1" applyFont="1" applyAlignment="1">
      <alignment horizontal="right"/>
    </xf>
    <xf numFmtId="0" fontId="1" fillId="13" borderId="0" xfId="0" applyFont="1" applyFill="1" applyAlignment="1"/>
    <xf numFmtId="0" fontId="13" fillId="0" borderId="0" xfId="0" applyFont="1" applyAlignment="1"/>
    <xf numFmtId="168" fontId="13" fillId="0" borderId="0" xfId="0" applyNumberFormat="1" applyFont="1" applyAlignment="1">
      <alignment horizontal="right"/>
    </xf>
    <xf numFmtId="0" fontId="24" fillId="0" borderId="0" xfId="0" applyFont="1" applyAlignment="1"/>
    <xf numFmtId="0" fontId="2" fillId="0" borderId="0" xfId="0" applyFont="1" applyAlignment="1">
      <alignment horizontal="center"/>
    </xf>
    <xf numFmtId="0" fontId="26" fillId="26" borderId="3" xfId="0" applyFont="1" applyFill="1" applyBorder="1"/>
    <xf numFmtId="0" fontId="13" fillId="10" borderId="0" xfId="0" applyFont="1" applyFill="1" applyAlignment="1">
      <alignment horizontal="left"/>
    </xf>
    <xf numFmtId="0" fontId="1" fillId="10" borderId="0" xfId="0" applyFont="1" applyFill="1" applyAlignment="1">
      <alignment horizontal="right"/>
    </xf>
    <xf numFmtId="0" fontId="1" fillId="10" borderId="0" xfId="0" applyFont="1" applyFill="1" applyAlignment="1"/>
    <xf numFmtId="0" fontId="27" fillId="0" borderId="0" xfId="0" applyFont="1" applyAlignment="1"/>
    <xf numFmtId="0" fontId="28" fillId="0" borderId="0" xfId="0" applyFont="1" applyAlignment="1"/>
    <xf numFmtId="0" fontId="13" fillId="10" borderId="0" xfId="0" applyFont="1" applyFill="1" applyAlignment="1">
      <alignment horizontal="left"/>
    </xf>
    <xf numFmtId="0" fontId="19" fillId="22" borderId="0" xfId="0" applyFont="1" applyFill="1" applyAlignment="1">
      <alignment horizontal="left"/>
    </xf>
    <xf numFmtId="0" fontId="23" fillId="0" borderId="0" xfId="0" applyFont="1"/>
    <xf numFmtId="0" fontId="13" fillId="30" borderId="0" xfId="0" applyFont="1" applyFill="1" applyAlignment="1"/>
    <xf numFmtId="0" fontId="27" fillId="0" borderId="0" xfId="0" applyFont="1"/>
    <xf numFmtId="14" fontId="13" fillId="0" borderId="0" xfId="0" applyNumberFormat="1" applyFont="1" applyAlignment="1"/>
    <xf numFmtId="0" fontId="1" fillId="26" borderId="3" xfId="0" applyFont="1" applyFill="1" applyBorder="1"/>
    <xf numFmtId="0" fontId="17" fillId="19" borderId="3" xfId="0" applyFont="1" applyFill="1" applyBorder="1" applyAlignment="1">
      <alignment horizontal="center"/>
    </xf>
    <xf numFmtId="3" fontId="1" fillId="0" borderId="0" xfId="0" applyNumberFormat="1" applyFont="1"/>
    <xf numFmtId="0" fontId="1" fillId="0" borderId="0" xfId="0" applyFont="1" applyAlignment="1">
      <alignment horizontal="center"/>
    </xf>
    <xf numFmtId="0" fontId="29" fillId="17" borderId="0" xfId="0" applyFont="1" applyFill="1" applyAlignment="1">
      <alignment horizontal="left"/>
    </xf>
    <xf numFmtId="0" fontId="30" fillId="17" borderId="0" xfId="0" applyFont="1" applyFill="1" applyAlignment="1">
      <alignment horizontal="left"/>
    </xf>
    <xf numFmtId="0" fontId="30" fillId="17" borderId="0" xfId="0" applyFont="1" applyFill="1" applyAlignment="1">
      <alignment horizontal="left" vertical="top"/>
    </xf>
    <xf numFmtId="0" fontId="31" fillId="23" borderId="3" xfId="0" applyFont="1" applyFill="1" applyBorder="1"/>
    <xf numFmtId="0" fontId="13" fillId="0" borderId="0" xfId="0" applyFont="1" applyAlignment="1">
      <alignment horizontal="center"/>
    </xf>
    <xf numFmtId="0" fontId="1" fillId="19" borderId="3" xfId="0" applyFont="1" applyFill="1" applyBorder="1"/>
    <xf numFmtId="0" fontId="1" fillId="19" borderId="3" xfId="0" applyFont="1" applyFill="1" applyBorder="1" applyAlignment="1"/>
    <xf numFmtId="0" fontId="1" fillId="18" borderId="3" xfId="0" applyFont="1" applyFill="1" applyBorder="1" applyAlignment="1"/>
    <xf numFmtId="0" fontId="1" fillId="0" borderId="0" xfId="0" applyFont="1" applyAlignment="1"/>
    <xf numFmtId="0" fontId="32" fillId="0" borderId="0" xfId="0" applyFont="1" applyAlignment="1">
      <alignment horizontal="center"/>
    </xf>
    <xf numFmtId="0" fontId="1" fillId="0" borderId="0" xfId="0" applyFont="1" applyAlignment="1"/>
    <xf numFmtId="0" fontId="1" fillId="0" borderId="0" xfId="0" applyFont="1" applyAlignment="1"/>
    <xf numFmtId="0" fontId="33" fillId="31" borderId="0" xfId="0" applyFont="1" applyFill="1" applyAlignment="1"/>
    <xf numFmtId="0" fontId="26" fillId="26" borderId="3" xfId="0" applyFont="1" applyFill="1" applyBorder="1" applyAlignment="1">
      <alignment horizontal="center"/>
    </xf>
    <xf numFmtId="0" fontId="34" fillId="26" borderId="3" xfId="0" applyFont="1" applyFill="1" applyBorder="1" applyAlignment="1">
      <alignment horizontal="center"/>
    </xf>
    <xf numFmtId="0" fontId="1" fillId="0" borderId="0" xfId="0" applyFont="1" applyAlignment="1">
      <alignment horizontal="left" vertical="center"/>
    </xf>
    <xf numFmtId="0" fontId="2" fillId="0" borderId="0" xfId="0" applyFont="1" applyAlignment="1">
      <alignment horizontal="left"/>
    </xf>
    <xf numFmtId="0" fontId="13" fillId="0" borderId="0" xfId="0" applyFont="1" applyAlignment="1">
      <alignment horizontal="left" vertical="center"/>
    </xf>
    <xf numFmtId="0" fontId="2" fillId="0" borderId="0" xfId="0" applyFont="1" applyAlignment="1">
      <alignment horizontal="left"/>
    </xf>
    <xf numFmtId="0" fontId="35" fillId="17" borderId="0" xfId="0" applyFont="1" applyFill="1" applyAlignment="1">
      <alignment horizontal="left"/>
    </xf>
    <xf numFmtId="0" fontId="36" fillId="0" borderId="0" xfId="0" applyFont="1" applyAlignment="1">
      <alignment horizontal="left"/>
    </xf>
    <xf numFmtId="0" fontId="13" fillId="17" borderId="0" xfId="0" applyFont="1" applyFill="1" applyAlignment="1">
      <alignment horizontal="left"/>
    </xf>
    <xf numFmtId="0" fontId="2" fillId="0" borderId="0" xfId="0" applyFont="1" applyAlignment="1">
      <alignment horizontal="left"/>
    </xf>
    <xf numFmtId="0" fontId="36" fillId="0" borderId="0" xfId="0" applyFont="1" applyAlignment="1">
      <alignment horizontal="left"/>
    </xf>
    <xf numFmtId="0" fontId="37" fillId="32" borderId="3" xfId="0" applyFont="1" applyFill="1" applyBorder="1"/>
    <xf numFmtId="0" fontId="38" fillId="32" borderId="3" xfId="0" applyFont="1" applyFill="1" applyBorder="1"/>
    <xf numFmtId="0" fontId="37" fillId="0" borderId="0" xfId="0" applyFont="1"/>
    <xf numFmtId="22" fontId="1" fillId="0" borderId="0" xfId="0" applyNumberFormat="1" applyFont="1"/>
    <xf numFmtId="0" fontId="39" fillId="33" borderId="3" xfId="0" applyFont="1" applyFill="1" applyBorder="1"/>
    <xf numFmtId="0" fontId="40" fillId="0" borderId="0" xfId="0" applyFont="1" applyAlignment="1">
      <alignment horizontal="right"/>
    </xf>
    <xf numFmtId="0" fontId="41" fillId="0" borderId="0" xfId="0" applyFont="1" applyAlignment="1"/>
    <xf numFmtId="0" fontId="40" fillId="0" borderId="0" xfId="0" applyFont="1" applyAlignment="1"/>
    <xf numFmtId="0" fontId="41" fillId="0" borderId="0" xfId="0" applyFont="1"/>
    <xf numFmtId="0" fontId="42" fillId="0" borderId="0" xfId="0" applyFont="1"/>
    <xf numFmtId="0" fontId="40" fillId="10" borderId="0" xfId="0" applyFont="1" applyFill="1"/>
    <xf numFmtId="0" fontId="40" fillId="0" borderId="0" xfId="0" applyFont="1"/>
    <xf numFmtId="0" fontId="40" fillId="10" borderId="0" xfId="0" applyFont="1" applyFill="1" applyAlignment="1"/>
    <xf numFmtId="0" fontId="40" fillId="10" borderId="0" xfId="0" applyFont="1" applyFill="1" applyAlignment="1">
      <alignment horizontal="right"/>
    </xf>
    <xf numFmtId="0" fontId="13" fillId="23" borderId="3" xfId="0" applyFont="1" applyFill="1" applyBorder="1" applyAlignment="1">
      <alignment horizontal="center"/>
    </xf>
    <xf numFmtId="0" fontId="41" fillId="23" borderId="3" xfId="0" applyFont="1" applyFill="1" applyBorder="1" applyAlignment="1">
      <alignment horizontal="center"/>
    </xf>
    <xf numFmtId="0" fontId="43" fillId="10" borderId="0" xfId="0" applyFont="1" applyFill="1" applyAlignment="1">
      <alignment horizontal="left"/>
    </xf>
    <xf numFmtId="0" fontId="44" fillId="10" borderId="0" xfId="0" applyFont="1" applyFill="1" applyAlignment="1"/>
    <xf numFmtId="0" fontId="44" fillId="0" borderId="0" xfId="0" applyFont="1" applyAlignment="1"/>
    <xf numFmtId="0" fontId="3" fillId="2" borderId="1" xfId="0" applyFont="1" applyFill="1" applyBorder="1" applyAlignment="1">
      <alignment horizontal="left" vertical="top"/>
    </xf>
    <xf numFmtId="0" fontId="4" fillId="0" borderId="2" xfId="0" applyFont="1" applyBorder="1"/>
    <xf numFmtId="0" fontId="5" fillId="3" borderId="5" xfId="0" applyFont="1" applyFill="1" applyBorder="1" applyAlignment="1">
      <alignment horizontal="center" vertical="center" wrapText="1"/>
    </xf>
    <xf numFmtId="0" fontId="4" fillId="0" borderId="6" xfId="0" applyFont="1" applyBorder="1"/>
    <xf numFmtId="0" fontId="4" fillId="0" borderId="7" xfId="0" applyFont="1" applyBorder="1"/>
    <xf numFmtId="0" fontId="5" fillId="4" borderId="5" xfId="0" applyFont="1" applyFill="1" applyBorder="1" applyAlignment="1">
      <alignment horizontal="center" vertical="center" wrapText="1"/>
    </xf>
    <xf numFmtId="0" fontId="3" fillId="13" borderId="1" xfId="0" applyFont="1" applyFill="1" applyBorder="1" applyAlignment="1">
      <alignment horizontal="left" vertical="top"/>
    </xf>
    <xf numFmtId="0" fontId="3" fillId="1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00"/>
  <sheetViews>
    <sheetView workbookViewId="0"/>
  </sheetViews>
  <sheetFormatPr baseColWidth="10" defaultColWidth="12.6640625" defaultRowHeight="15" customHeight="1"/>
  <cols>
    <col min="1" max="1" width="11.5" customWidth="1"/>
    <col min="2" max="2" width="9.6640625" customWidth="1"/>
    <col min="3" max="26" width="7.6640625" customWidth="1"/>
  </cols>
  <sheetData>
    <row r="3" spans="1:2">
      <c r="A3" s="1" t="s">
        <v>0</v>
      </c>
      <c r="B3" s="2" t="s">
        <v>1</v>
      </c>
    </row>
    <row r="4" spans="1:2">
      <c r="A4" s="3" t="s">
        <v>2</v>
      </c>
      <c r="B4" s="2">
        <v>28124094</v>
      </c>
    </row>
    <row r="5" spans="1:2">
      <c r="A5" s="3" t="s">
        <v>3</v>
      </c>
      <c r="B5" s="2">
        <v>2185188</v>
      </c>
    </row>
    <row r="6" spans="1:2">
      <c r="A6" s="3" t="s">
        <v>4</v>
      </c>
      <c r="B6" s="2">
        <v>6536960</v>
      </c>
    </row>
    <row r="7" spans="1:2">
      <c r="A7" s="3" t="s">
        <v>5</v>
      </c>
      <c r="B7" s="2">
        <v>3638826</v>
      </c>
    </row>
    <row r="8" spans="1:2">
      <c r="A8" s="3" t="s">
        <v>6</v>
      </c>
      <c r="B8" s="2">
        <v>13412849</v>
      </c>
    </row>
    <row r="9" spans="1:2">
      <c r="A9" s="3" t="s">
        <v>7</v>
      </c>
      <c r="B9" s="2">
        <v>64924295</v>
      </c>
    </row>
    <row r="10" spans="1:2">
      <c r="A10" s="3" t="s">
        <v>8</v>
      </c>
    </row>
    <row r="11" spans="1:2">
      <c r="A11" s="3" t="s">
        <v>9</v>
      </c>
      <c r="B11" s="2">
        <v>118822212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O1000"/>
  <sheetViews>
    <sheetView workbookViewId="0"/>
  </sheetViews>
  <sheetFormatPr baseColWidth="10" defaultColWidth="12.6640625" defaultRowHeight="15" customHeight="1"/>
  <cols>
    <col min="1" max="1" width="16" customWidth="1"/>
    <col min="2" max="2" width="20.5" customWidth="1"/>
    <col min="3" max="3" width="27.1640625" customWidth="1"/>
    <col min="4" max="4" width="14.83203125" customWidth="1"/>
    <col min="5" max="5" width="7.6640625" customWidth="1"/>
    <col min="6" max="6" width="14.1640625" customWidth="1"/>
    <col min="7" max="7" width="13" customWidth="1"/>
    <col min="8" max="8" width="14.6640625" customWidth="1"/>
    <col min="9" max="9" width="7.6640625" customWidth="1"/>
    <col min="10" max="10" width="17" customWidth="1"/>
    <col min="11" max="11" width="11.5" customWidth="1"/>
    <col min="12" max="12" width="8.1640625" customWidth="1"/>
    <col min="13" max="13" width="14.6640625" customWidth="1"/>
    <col min="14" max="14" width="20.5" customWidth="1"/>
    <col min="15" max="15" width="35.33203125" customWidth="1"/>
    <col min="16" max="26" width="7.6640625" customWidth="1"/>
  </cols>
  <sheetData>
    <row r="1" spans="1:15">
      <c r="A1" s="174" t="s">
        <v>154</v>
      </c>
      <c r="B1" s="174" t="s">
        <v>155</v>
      </c>
      <c r="C1" s="174" t="s">
        <v>156</v>
      </c>
      <c r="D1" s="174" t="s">
        <v>157</v>
      </c>
      <c r="E1" s="174" t="s">
        <v>158</v>
      </c>
      <c r="F1" s="174" t="s">
        <v>3628</v>
      </c>
      <c r="G1" s="174" t="s">
        <v>3629</v>
      </c>
      <c r="H1" s="174" t="s">
        <v>3630</v>
      </c>
      <c r="I1" s="174" t="s">
        <v>3631</v>
      </c>
      <c r="J1" s="174" t="s">
        <v>163</v>
      </c>
      <c r="K1" s="176" t="s">
        <v>165</v>
      </c>
      <c r="L1" s="176" t="s">
        <v>3632</v>
      </c>
      <c r="M1" s="103" t="s">
        <v>166</v>
      </c>
      <c r="N1" s="104" t="s">
        <v>167</v>
      </c>
      <c r="O1" s="105" t="s">
        <v>168</v>
      </c>
    </row>
    <row r="2" spans="1:15">
      <c r="A2" s="159" t="s">
        <v>3</v>
      </c>
      <c r="B2" s="159" t="s">
        <v>415</v>
      </c>
      <c r="C2" s="159" t="s">
        <v>5067</v>
      </c>
      <c r="D2" s="159">
        <v>18293</v>
      </c>
      <c r="E2" s="159" t="s">
        <v>5068</v>
      </c>
      <c r="F2" s="159">
        <v>13832</v>
      </c>
      <c r="G2" s="159">
        <v>13624</v>
      </c>
      <c r="H2" s="159">
        <v>168</v>
      </c>
      <c r="I2" s="159">
        <v>40</v>
      </c>
      <c r="J2" s="159" t="s">
        <v>5069</v>
      </c>
      <c r="K2" s="176" t="s">
        <v>59</v>
      </c>
      <c r="L2" s="183"/>
      <c r="M2" s="98" t="s">
        <v>5070</v>
      </c>
      <c r="N2" s="98" t="s">
        <v>215</v>
      </c>
      <c r="O2" s="208" t="s">
        <v>176</v>
      </c>
    </row>
    <row r="3" spans="1:15">
      <c r="A3" s="159" t="s">
        <v>3</v>
      </c>
      <c r="B3" s="159" t="s">
        <v>266</v>
      </c>
      <c r="C3" s="159" t="s">
        <v>5071</v>
      </c>
      <c r="D3" s="159">
        <v>2732672</v>
      </c>
      <c r="E3" s="159" t="s">
        <v>5068</v>
      </c>
      <c r="F3" s="159">
        <v>549640</v>
      </c>
      <c r="G3" s="159">
        <v>546144</v>
      </c>
      <c r="H3" s="159">
        <v>3312</v>
      </c>
      <c r="I3" s="159">
        <v>184</v>
      </c>
      <c r="J3" s="159" t="s">
        <v>5072</v>
      </c>
      <c r="K3" s="176" t="s">
        <v>59</v>
      </c>
      <c r="L3" s="183"/>
      <c r="M3" s="98" t="s">
        <v>5073</v>
      </c>
      <c r="N3" s="98" t="s">
        <v>465</v>
      </c>
      <c r="O3" s="208" t="s">
        <v>176</v>
      </c>
    </row>
    <row r="4" spans="1:15">
      <c r="A4" s="159" t="s">
        <v>3</v>
      </c>
      <c r="B4" s="159" t="s">
        <v>266</v>
      </c>
      <c r="C4" s="159" t="s">
        <v>81</v>
      </c>
      <c r="D4" s="159">
        <v>1480</v>
      </c>
      <c r="E4" s="159" t="s">
        <v>5068</v>
      </c>
      <c r="F4" s="159">
        <v>328</v>
      </c>
      <c r="G4" s="159">
        <v>256</v>
      </c>
      <c r="H4" s="159">
        <v>16</v>
      </c>
      <c r="I4" s="159">
        <v>56</v>
      </c>
      <c r="J4" s="159" t="s">
        <v>5072</v>
      </c>
      <c r="K4" s="176" t="s">
        <v>59</v>
      </c>
      <c r="L4" s="183"/>
      <c r="M4" s="98" t="s">
        <v>5074</v>
      </c>
      <c r="N4" s="98" t="s">
        <v>465</v>
      </c>
      <c r="O4" s="208" t="s">
        <v>176</v>
      </c>
    </row>
    <row r="5" spans="1:15">
      <c r="A5" s="159" t="s">
        <v>3</v>
      </c>
      <c r="B5" s="159" t="s">
        <v>266</v>
      </c>
      <c r="C5" s="159" t="s">
        <v>5075</v>
      </c>
      <c r="D5" s="159">
        <v>33</v>
      </c>
      <c r="E5" s="159" t="s">
        <v>5068</v>
      </c>
      <c r="F5" s="159">
        <v>72</v>
      </c>
      <c r="G5" s="159">
        <v>24</v>
      </c>
      <c r="H5" s="159">
        <v>16</v>
      </c>
      <c r="I5" s="159">
        <v>32</v>
      </c>
      <c r="J5" s="159" t="s">
        <v>5076</v>
      </c>
      <c r="K5" s="176" t="s">
        <v>59</v>
      </c>
      <c r="L5" s="183"/>
      <c r="M5" s="98" t="s">
        <v>1167</v>
      </c>
      <c r="N5" s="98" t="s">
        <v>175</v>
      </c>
      <c r="O5" s="208" t="s">
        <v>176</v>
      </c>
    </row>
    <row r="6" spans="1:15">
      <c r="A6" s="159" t="s">
        <v>3</v>
      </c>
      <c r="B6" s="159" t="s">
        <v>266</v>
      </c>
      <c r="C6" s="159" t="s">
        <v>5077</v>
      </c>
      <c r="D6" s="159">
        <v>306</v>
      </c>
      <c r="E6" s="159" t="s">
        <v>5068</v>
      </c>
      <c r="F6" s="159">
        <v>136</v>
      </c>
      <c r="G6" s="159">
        <v>48</v>
      </c>
      <c r="H6" s="159">
        <v>16</v>
      </c>
      <c r="I6" s="159">
        <v>72</v>
      </c>
      <c r="J6" s="159" t="s">
        <v>5078</v>
      </c>
      <c r="K6" s="176" t="s">
        <v>59</v>
      </c>
      <c r="L6" s="183"/>
      <c r="M6" s="98" t="s">
        <v>5079</v>
      </c>
      <c r="N6" s="98" t="s">
        <v>465</v>
      </c>
      <c r="O6" s="208" t="s">
        <v>176</v>
      </c>
    </row>
    <row r="7" spans="1:15">
      <c r="A7" s="159" t="s">
        <v>3</v>
      </c>
      <c r="B7" s="159" t="s">
        <v>5080</v>
      </c>
      <c r="C7" s="159" t="s">
        <v>5081</v>
      </c>
      <c r="D7" s="159">
        <v>85396</v>
      </c>
      <c r="E7" s="159" t="s">
        <v>5068</v>
      </c>
      <c r="F7" s="159">
        <v>8648</v>
      </c>
      <c r="G7" s="159">
        <v>8624</v>
      </c>
      <c r="H7" s="159">
        <v>8</v>
      </c>
      <c r="I7" s="159">
        <v>16</v>
      </c>
      <c r="J7" s="159" t="s">
        <v>5082</v>
      </c>
      <c r="K7" s="176" t="s">
        <v>59</v>
      </c>
      <c r="L7" s="183"/>
      <c r="M7" s="98" t="s">
        <v>371</v>
      </c>
      <c r="N7" s="98" t="s">
        <v>215</v>
      </c>
      <c r="O7" s="208" t="s">
        <v>176</v>
      </c>
    </row>
    <row r="8" spans="1:15">
      <c r="A8" s="159" t="s">
        <v>3</v>
      </c>
      <c r="B8" s="159" t="s">
        <v>266</v>
      </c>
      <c r="C8" s="159" t="s">
        <v>5083</v>
      </c>
      <c r="D8" s="159">
        <v>86593</v>
      </c>
      <c r="E8" s="159" t="s">
        <v>5068</v>
      </c>
      <c r="F8" s="159">
        <v>70344</v>
      </c>
      <c r="G8" s="159">
        <v>69872</v>
      </c>
      <c r="H8" s="159">
        <v>464</v>
      </c>
      <c r="I8" s="159">
        <v>8</v>
      </c>
      <c r="J8" s="159" t="s">
        <v>5078</v>
      </c>
      <c r="K8" s="176" t="s">
        <v>59</v>
      </c>
      <c r="L8" s="183"/>
      <c r="M8" s="98" t="s">
        <v>5084</v>
      </c>
      <c r="N8" s="98" t="s">
        <v>465</v>
      </c>
      <c r="O8" s="208" t="s">
        <v>176</v>
      </c>
    </row>
    <row r="9" spans="1:15">
      <c r="A9" s="159" t="s">
        <v>3</v>
      </c>
      <c r="B9" s="159" t="s">
        <v>266</v>
      </c>
      <c r="C9" s="159" t="s">
        <v>5085</v>
      </c>
      <c r="D9" s="159">
        <v>1888</v>
      </c>
      <c r="E9" s="159" t="s">
        <v>5068</v>
      </c>
      <c r="F9" s="159">
        <v>648</v>
      </c>
      <c r="G9" s="159">
        <v>512</v>
      </c>
      <c r="H9" s="159">
        <v>16</v>
      </c>
      <c r="I9" s="159">
        <v>120</v>
      </c>
      <c r="J9" s="209">
        <v>241920.44930555555</v>
      </c>
      <c r="K9" s="176" t="s">
        <v>59</v>
      </c>
      <c r="L9" s="183"/>
      <c r="M9" s="98" t="s">
        <v>5086</v>
      </c>
      <c r="N9" s="98" t="s">
        <v>215</v>
      </c>
      <c r="O9" s="208" t="s">
        <v>176</v>
      </c>
    </row>
    <row r="10" spans="1:15">
      <c r="A10" s="159" t="s">
        <v>3</v>
      </c>
      <c r="B10" s="159" t="s">
        <v>415</v>
      </c>
      <c r="C10" s="159" t="s">
        <v>5087</v>
      </c>
      <c r="D10" s="159">
        <v>120303</v>
      </c>
      <c r="E10" s="159" t="s">
        <v>5068</v>
      </c>
      <c r="F10" s="159">
        <v>27592</v>
      </c>
      <c r="G10" s="159">
        <v>27344</v>
      </c>
      <c r="H10" s="159">
        <v>232</v>
      </c>
      <c r="I10" s="159">
        <v>16</v>
      </c>
      <c r="J10" s="159" t="s">
        <v>5088</v>
      </c>
      <c r="K10" s="176" t="s">
        <v>59</v>
      </c>
      <c r="L10" s="183"/>
      <c r="M10" s="98" t="s">
        <v>5089</v>
      </c>
      <c r="N10" s="98" t="s">
        <v>215</v>
      </c>
      <c r="O10" s="208" t="s">
        <v>176</v>
      </c>
    </row>
    <row r="11" spans="1:15">
      <c r="A11" s="159" t="s">
        <v>3</v>
      </c>
      <c r="B11" s="159" t="s">
        <v>415</v>
      </c>
      <c r="C11" s="159" t="s">
        <v>5090</v>
      </c>
      <c r="D11" s="159">
        <v>18293</v>
      </c>
      <c r="E11" s="159" t="s">
        <v>5068</v>
      </c>
      <c r="F11" s="159">
        <v>9992</v>
      </c>
      <c r="G11" s="159">
        <v>9856</v>
      </c>
      <c r="H11" s="159">
        <v>80</v>
      </c>
      <c r="I11" s="159">
        <v>56</v>
      </c>
      <c r="J11" s="159" t="s">
        <v>5088</v>
      </c>
      <c r="K11" s="176" t="s">
        <v>59</v>
      </c>
      <c r="L11" s="183"/>
      <c r="M11" s="98" t="s">
        <v>5091</v>
      </c>
      <c r="N11" s="98" t="s">
        <v>215</v>
      </c>
      <c r="O11" s="208" t="s">
        <v>176</v>
      </c>
    </row>
    <row r="12" spans="1:15">
      <c r="A12" s="159" t="s">
        <v>3</v>
      </c>
      <c r="B12" s="159" t="s">
        <v>415</v>
      </c>
      <c r="C12" s="159" t="s">
        <v>5092</v>
      </c>
      <c r="D12" s="159">
        <v>1143</v>
      </c>
      <c r="E12" s="159" t="s">
        <v>5068</v>
      </c>
      <c r="F12" s="159">
        <v>264</v>
      </c>
      <c r="G12" s="159">
        <v>216</v>
      </c>
      <c r="H12" s="159">
        <v>16</v>
      </c>
      <c r="I12" s="159">
        <v>32</v>
      </c>
      <c r="J12" s="159" t="s">
        <v>5093</v>
      </c>
      <c r="K12" s="176" t="s">
        <v>59</v>
      </c>
      <c r="L12" s="183"/>
      <c r="M12" s="98" t="s">
        <v>5094</v>
      </c>
      <c r="N12" s="98" t="s">
        <v>215</v>
      </c>
      <c r="O12" s="208" t="s">
        <v>176</v>
      </c>
    </row>
    <row r="13" spans="1:15">
      <c r="A13" s="159" t="s">
        <v>3</v>
      </c>
      <c r="B13" s="159" t="s">
        <v>415</v>
      </c>
      <c r="C13" s="159" t="s">
        <v>5095</v>
      </c>
      <c r="D13" s="159">
        <v>343</v>
      </c>
      <c r="E13" s="159" t="s">
        <v>5068</v>
      </c>
      <c r="F13" s="159">
        <v>136</v>
      </c>
      <c r="G13" s="159">
        <v>80</v>
      </c>
      <c r="H13" s="159">
        <v>16</v>
      </c>
      <c r="I13" s="159">
        <v>40</v>
      </c>
      <c r="J13" s="159" t="s">
        <v>5093</v>
      </c>
      <c r="K13" s="176" t="s">
        <v>59</v>
      </c>
      <c r="L13" s="183"/>
      <c r="M13" s="98" t="s">
        <v>4124</v>
      </c>
      <c r="N13" s="98" t="s">
        <v>215</v>
      </c>
      <c r="O13" s="208" t="s">
        <v>176</v>
      </c>
    </row>
    <row r="14" spans="1:15">
      <c r="A14" s="159" t="s">
        <v>5096</v>
      </c>
      <c r="B14" s="159" t="s">
        <v>266</v>
      </c>
      <c r="C14" s="2" t="s">
        <v>5097</v>
      </c>
      <c r="D14" s="159">
        <v>11234</v>
      </c>
      <c r="G14" s="159">
        <v>7696</v>
      </c>
      <c r="H14" s="159">
        <v>4024</v>
      </c>
      <c r="J14" s="210"/>
      <c r="K14" s="176" t="s">
        <v>59</v>
      </c>
      <c r="L14" s="183"/>
      <c r="M14" s="98" t="s">
        <v>3897</v>
      </c>
      <c r="N14" s="98" t="s">
        <v>5098</v>
      </c>
      <c r="O14" s="208" t="s">
        <v>176</v>
      </c>
    </row>
    <row r="15" spans="1:15">
      <c r="A15" s="159" t="s">
        <v>5096</v>
      </c>
      <c r="B15" s="159" t="s">
        <v>266</v>
      </c>
      <c r="C15" s="2" t="s">
        <v>5099</v>
      </c>
      <c r="D15" s="159">
        <v>77</v>
      </c>
      <c r="G15" s="159">
        <v>8.19</v>
      </c>
      <c r="H15" s="159">
        <v>16</v>
      </c>
      <c r="J15" s="210"/>
      <c r="K15" s="176" t="s">
        <v>59</v>
      </c>
      <c r="L15" s="183"/>
      <c r="M15" s="98" t="s">
        <v>3897</v>
      </c>
      <c r="N15" s="98" t="s">
        <v>5098</v>
      </c>
      <c r="O15" s="208" t="s">
        <v>176</v>
      </c>
    </row>
    <row r="16" spans="1:15">
      <c r="A16" s="159" t="s">
        <v>5096</v>
      </c>
      <c r="B16" s="159" t="s">
        <v>266</v>
      </c>
      <c r="C16" s="2" t="s">
        <v>5100</v>
      </c>
      <c r="D16" s="159">
        <v>60</v>
      </c>
      <c r="G16" s="159">
        <v>32</v>
      </c>
      <c r="H16" s="159">
        <v>32</v>
      </c>
      <c r="J16" s="210"/>
      <c r="K16" s="176" t="s">
        <v>59</v>
      </c>
      <c r="L16" s="183"/>
      <c r="M16" s="98" t="s">
        <v>3897</v>
      </c>
      <c r="N16" s="98" t="s">
        <v>5098</v>
      </c>
      <c r="O16" s="208" t="s">
        <v>176</v>
      </c>
    </row>
    <row r="17" spans="1:15">
      <c r="A17" s="159" t="s">
        <v>5096</v>
      </c>
      <c r="B17" s="159" t="s">
        <v>415</v>
      </c>
      <c r="C17" s="2" t="s">
        <v>5101</v>
      </c>
      <c r="D17" s="159">
        <v>128705</v>
      </c>
      <c r="G17" s="159">
        <v>65000</v>
      </c>
      <c r="H17" s="159">
        <v>14000</v>
      </c>
      <c r="J17" s="210"/>
      <c r="K17" s="176" t="s">
        <v>59</v>
      </c>
      <c r="L17" s="183"/>
      <c r="M17" s="98" t="s">
        <v>3897</v>
      </c>
      <c r="N17" s="98" t="s">
        <v>5098</v>
      </c>
      <c r="O17" s="208" t="s">
        <v>176</v>
      </c>
    </row>
    <row r="18" spans="1:15">
      <c r="A18" s="159" t="s">
        <v>5096</v>
      </c>
      <c r="B18" s="159" t="s">
        <v>415</v>
      </c>
      <c r="C18" s="2" t="s">
        <v>5102</v>
      </c>
      <c r="D18" s="159">
        <v>343106</v>
      </c>
      <c r="G18" s="159">
        <v>92000</v>
      </c>
      <c r="H18" s="159">
        <v>22000</v>
      </c>
      <c r="J18" s="210"/>
      <c r="K18" s="176" t="s">
        <v>59</v>
      </c>
      <c r="L18" s="183"/>
      <c r="M18" s="98" t="s">
        <v>3897</v>
      </c>
      <c r="N18" s="98" t="s">
        <v>5098</v>
      </c>
      <c r="O18" s="208" t="s">
        <v>176</v>
      </c>
    </row>
    <row r="19" spans="1:15">
      <c r="A19" s="159" t="s">
        <v>5096</v>
      </c>
      <c r="B19" s="159" t="s">
        <v>266</v>
      </c>
      <c r="C19" s="2" t="s">
        <v>5103</v>
      </c>
      <c r="D19" s="159">
        <v>192777</v>
      </c>
      <c r="G19" s="159">
        <v>22000</v>
      </c>
      <c r="H19" s="159">
        <v>12000</v>
      </c>
      <c r="J19" s="210"/>
      <c r="K19" s="176" t="s">
        <v>59</v>
      </c>
      <c r="L19" s="183"/>
      <c r="M19" s="98" t="s">
        <v>3897</v>
      </c>
      <c r="N19" s="98" t="s">
        <v>5098</v>
      </c>
      <c r="O19" s="208" t="s">
        <v>176</v>
      </c>
    </row>
    <row r="20" spans="1:15">
      <c r="A20" s="159" t="s">
        <v>5096</v>
      </c>
      <c r="B20" s="159" t="s">
        <v>266</v>
      </c>
      <c r="C20" s="2" t="s">
        <v>5104</v>
      </c>
      <c r="D20" s="159">
        <v>192777</v>
      </c>
      <c r="G20" s="159">
        <v>127000</v>
      </c>
      <c r="H20" s="159">
        <v>31000</v>
      </c>
      <c r="J20" s="210"/>
      <c r="K20" s="176" t="s">
        <v>59</v>
      </c>
      <c r="L20" s="183"/>
      <c r="M20" s="98" t="s">
        <v>3897</v>
      </c>
      <c r="N20" s="98" t="s">
        <v>5098</v>
      </c>
      <c r="O20" s="208" t="s">
        <v>176</v>
      </c>
    </row>
    <row r="21" spans="1:15" ht="15.75" customHeight="1">
      <c r="A21" s="159" t="s">
        <v>5096</v>
      </c>
      <c r="B21" s="159" t="s">
        <v>415</v>
      </c>
      <c r="C21" s="2" t="s">
        <v>5105</v>
      </c>
      <c r="D21" s="159">
        <v>86734</v>
      </c>
      <c r="G21" s="159">
        <v>60000</v>
      </c>
      <c r="H21" s="159">
        <v>23000</v>
      </c>
      <c r="J21" s="210"/>
      <c r="K21" s="176" t="s">
        <v>59</v>
      </c>
      <c r="L21" s="183"/>
      <c r="M21" s="98" t="s">
        <v>3897</v>
      </c>
      <c r="N21" s="98" t="s">
        <v>5098</v>
      </c>
      <c r="O21" s="208" t="s">
        <v>176</v>
      </c>
    </row>
    <row r="22" spans="1:15" ht="15.75" customHeight="1">
      <c r="A22" s="159" t="s">
        <v>5096</v>
      </c>
      <c r="B22" s="159" t="s">
        <v>415</v>
      </c>
      <c r="C22" s="2" t="s">
        <v>5106</v>
      </c>
      <c r="D22" s="159">
        <v>495512</v>
      </c>
      <c r="G22" s="159">
        <v>201000</v>
      </c>
      <c r="H22" s="159">
        <v>53000</v>
      </c>
      <c r="J22" s="210"/>
      <c r="K22" s="176" t="s">
        <v>59</v>
      </c>
      <c r="L22" s="183"/>
      <c r="M22" s="98" t="s">
        <v>3897</v>
      </c>
      <c r="N22" s="98" t="s">
        <v>5098</v>
      </c>
      <c r="O22" s="208" t="s">
        <v>176</v>
      </c>
    </row>
    <row r="23" spans="1:15" ht="15.75" customHeight="1">
      <c r="J23" s="210"/>
      <c r="K23" s="183"/>
      <c r="L23" s="183"/>
    </row>
    <row r="24" spans="1:15" ht="15.75" customHeight="1">
      <c r="J24" s="210"/>
      <c r="K24" s="183"/>
      <c r="L24" s="183"/>
    </row>
    <row r="25" spans="1:15" ht="15.75" customHeight="1">
      <c r="J25" s="210"/>
      <c r="K25" s="183"/>
      <c r="L25" s="183"/>
    </row>
    <row r="26" spans="1:15" ht="15.75" customHeight="1">
      <c r="J26" s="210"/>
      <c r="K26" s="183"/>
      <c r="L26" s="183"/>
    </row>
    <row r="27" spans="1:15" ht="15.75" customHeight="1">
      <c r="J27" s="210"/>
      <c r="K27" s="183"/>
      <c r="L27" s="183"/>
    </row>
    <row r="28" spans="1:15" ht="15.75" customHeight="1">
      <c r="J28" s="210"/>
      <c r="K28" s="183"/>
      <c r="L28" s="183"/>
    </row>
    <row r="29" spans="1:15" ht="15.75" customHeight="1">
      <c r="J29" s="210"/>
      <c r="K29" s="183"/>
      <c r="L29" s="183"/>
    </row>
    <row r="30" spans="1:15" ht="15.75" customHeight="1">
      <c r="E30" s="2" t="s">
        <v>5107</v>
      </c>
      <c r="J30" s="210"/>
      <c r="K30" s="183"/>
      <c r="L30" s="183"/>
    </row>
    <row r="31" spans="1:15" ht="15.75" customHeight="1">
      <c r="J31" s="210"/>
      <c r="K31" s="183"/>
      <c r="L31" s="183"/>
    </row>
    <row r="32" spans="1:15" ht="15.75" customHeight="1">
      <c r="J32" s="210"/>
      <c r="K32" s="183"/>
      <c r="L32" s="183"/>
    </row>
    <row r="33" spans="10:12" ht="15.75" customHeight="1">
      <c r="J33" s="210"/>
      <c r="K33" s="183"/>
      <c r="L33" s="183"/>
    </row>
    <row r="34" spans="10:12" ht="15.75" customHeight="1">
      <c r="J34" s="210"/>
      <c r="K34" s="183"/>
      <c r="L34" s="183"/>
    </row>
    <row r="35" spans="10:12" ht="15.75" customHeight="1">
      <c r="J35" s="210"/>
      <c r="K35" s="183"/>
      <c r="L35" s="183"/>
    </row>
    <row r="36" spans="10:12" ht="15.75" customHeight="1">
      <c r="J36" s="210"/>
      <c r="K36" s="183"/>
      <c r="L36" s="183"/>
    </row>
    <row r="37" spans="10:12" ht="15.75" customHeight="1">
      <c r="J37" s="210"/>
      <c r="K37" s="183"/>
      <c r="L37" s="183"/>
    </row>
    <row r="38" spans="10:12" ht="15.75" customHeight="1">
      <c r="J38" s="210"/>
      <c r="K38" s="183"/>
      <c r="L38" s="183"/>
    </row>
    <row r="39" spans="10:12" ht="15.75" customHeight="1">
      <c r="J39" s="210"/>
      <c r="K39" s="183"/>
      <c r="L39" s="183"/>
    </row>
    <row r="40" spans="10:12" ht="15.75" customHeight="1">
      <c r="J40" s="210"/>
      <c r="K40" s="183"/>
      <c r="L40" s="183"/>
    </row>
    <row r="41" spans="10:12" ht="15.75" customHeight="1">
      <c r="J41" s="210"/>
      <c r="K41" s="183"/>
      <c r="L41" s="183"/>
    </row>
    <row r="42" spans="10:12" ht="15.75" customHeight="1">
      <c r="J42" s="210"/>
      <c r="K42" s="183"/>
      <c r="L42" s="183"/>
    </row>
    <row r="43" spans="10:12" ht="15.75" customHeight="1">
      <c r="J43" s="210"/>
      <c r="K43" s="183"/>
      <c r="L43" s="183"/>
    </row>
    <row r="44" spans="10:12" ht="15.75" customHeight="1">
      <c r="J44" s="210"/>
      <c r="K44" s="183"/>
      <c r="L44" s="183"/>
    </row>
    <row r="45" spans="10:12" ht="15.75" customHeight="1">
      <c r="J45" s="210"/>
      <c r="K45" s="183"/>
      <c r="L45" s="183"/>
    </row>
    <row r="46" spans="10:12" ht="15.75" customHeight="1">
      <c r="J46" s="210"/>
      <c r="K46" s="183"/>
      <c r="L46" s="183"/>
    </row>
    <row r="47" spans="10:12" ht="15.75" customHeight="1">
      <c r="J47" s="210"/>
      <c r="K47" s="183"/>
      <c r="L47" s="183"/>
    </row>
    <row r="48" spans="10:12" ht="15.75" customHeight="1">
      <c r="J48" s="210"/>
      <c r="K48" s="183"/>
      <c r="L48" s="183"/>
    </row>
    <row r="49" spans="10:12" ht="15.75" customHeight="1">
      <c r="J49" s="210"/>
      <c r="K49" s="183"/>
      <c r="L49" s="183"/>
    </row>
    <row r="50" spans="10:12" ht="15.75" customHeight="1">
      <c r="J50" s="210"/>
      <c r="K50" s="183"/>
      <c r="L50" s="183"/>
    </row>
    <row r="51" spans="10:12" ht="15.75" customHeight="1">
      <c r="J51" s="210"/>
      <c r="K51" s="183"/>
      <c r="L51" s="183"/>
    </row>
    <row r="52" spans="10:12" ht="15.75" customHeight="1">
      <c r="J52" s="210"/>
      <c r="K52" s="183"/>
      <c r="L52" s="183"/>
    </row>
    <row r="53" spans="10:12" ht="15.75" customHeight="1">
      <c r="J53" s="210"/>
      <c r="K53" s="183"/>
      <c r="L53" s="183"/>
    </row>
    <row r="54" spans="10:12" ht="15.75" customHeight="1">
      <c r="J54" s="210"/>
      <c r="K54" s="183"/>
      <c r="L54" s="183"/>
    </row>
    <row r="55" spans="10:12" ht="15.75" customHeight="1">
      <c r="J55" s="210"/>
      <c r="K55" s="183"/>
      <c r="L55" s="183"/>
    </row>
    <row r="56" spans="10:12" ht="15.75" customHeight="1">
      <c r="J56" s="210"/>
      <c r="K56" s="183"/>
      <c r="L56" s="183"/>
    </row>
    <row r="57" spans="10:12" ht="15.75" customHeight="1">
      <c r="J57" s="210"/>
      <c r="K57" s="183"/>
      <c r="L57" s="183"/>
    </row>
    <row r="58" spans="10:12" ht="15.75" customHeight="1">
      <c r="J58" s="210"/>
      <c r="K58" s="183"/>
      <c r="L58" s="183"/>
    </row>
    <row r="59" spans="10:12" ht="15.75" customHeight="1">
      <c r="J59" s="210"/>
      <c r="K59" s="183"/>
      <c r="L59" s="183"/>
    </row>
    <row r="60" spans="10:12" ht="15.75" customHeight="1">
      <c r="J60" s="210"/>
      <c r="K60" s="183"/>
      <c r="L60" s="183"/>
    </row>
    <row r="61" spans="10:12" ht="15.75" customHeight="1">
      <c r="J61" s="210"/>
      <c r="K61" s="183"/>
      <c r="L61" s="183"/>
    </row>
    <row r="62" spans="10:12" ht="15.75" customHeight="1">
      <c r="J62" s="210"/>
      <c r="K62" s="183"/>
      <c r="L62" s="183"/>
    </row>
    <row r="63" spans="10:12" ht="15.75" customHeight="1">
      <c r="J63" s="210"/>
      <c r="K63" s="183"/>
      <c r="L63" s="183"/>
    </row>
    <row r="64" spans="10:12" ht="15.75" customHeight="1">
      <c r="J64" s="210"/>
      <c r="K64" s="183"/>
      <c r="L64" s="183"/>
    </row>
    <row r="65" spans="10:12" ht="15.75" customHeight="1">
      <c r="J65" s="210"/>
      <c r="K65" s="183"/>
      <c r="L65" s="183"/>
    </row>
    <row r="66" spans="10:12" ht="15.75" customHeight="1">
      <c r="J66" s="210"/>
      <c r="K66" s="183"/>
      <c r="L66" s="183"/>
    </row>
    <row r="67" spans="10:12" ht="15.75" customHeight="1">
      <c r="J67" s="210"/>
      <c r="K67" s="183"/>
      <c r="L67" s="183"/>
    </row>
    <row r="68" spans="10:12" ht="15.75" customHeight="1">
      <c r="J68" s="210"/>
      <c r="K68" s="183"/>
      <c r="L68" s="183"/>
    </row>
    <row r="69" spans="10:12" ht="15.75" customHeight="1">
      <c r="J69" s="210"/>
      <c r="K69" s="183"/>
      <c r="L69" s="183"/>
    </row>
    <row r="70" spans="10:12" ht="15.75" customHeight="1">
      <c r="J70" s="210"/>
      <c r="K70" s="183"/>
      <c r="L70" s="183"/>
    </row>
    <row r="71" spans="10:12" ht="15.75" customHeight="1">
      <c r="J71" s="210"/>
      <c r="K71" s="183"/>
      <c r="L71" s="183"/>
    </row>
    <row r="72" spans="10:12" ht="15.75" customHeight="1">
      <c r="J72" s="210"/>
      <c r="K72" s="183"/>
      <c r="L72" s="183"/>
    </row>
    <row r="73" spans="10:12" ht="15.75" customHeight="1">
      <c r="J73" s="210"/>
      <c r="K73" s="183"/>
      <c r="L73" s="183"/>
    </row>
    <row r="74" spans="10:12" ht="15.75" customHeight="1">
      <c r="J74" s="210"/>
      <c r="K74" s="183"/>
      <c r="L74" s="183"/>
    </row>
    <row r="75" spans="10:12" ht="15.75" customHeight="1">
      <c r="J75" s="210"/>
      <c r="K75" s="183"/>
      <c r="L75" s="183"/>
    </row>
    <row r="76" spans="10:12" ht="15.75" customHeight="1">
      <c r="J76" s="210"/>
      <c r="K76" s="183"/>
      <c r="L76" s="183"/>
    </row>
    <row r="77" spans="10:12" ht="15.75" customHeight="1">
      <c r="J77" s="210"/>
      <c r="K77" s="183"/>
      <c r="L77" s="183"/>
    </row>
    <row r="78" spans="10:12" ht="15.75" customHeight="1">
      <c r="J78" s="210"/>
      <c r="K78" s="183"/>
      <c r="L78" s="183"/>
    </row>
    <row r="79" spans="10:12" ht="15.75" customHeight="1">
      <c r="J79" s="210"/>
      <c r="K79" s="183"/>
      <c r="L79" s="183"/>
    </row>
    <row r="80" spans="10:12" ht="15.75" customHeight="1">
      <c r="J80" s="210"/>
      <c r="K80" s="183"/>
      <c r="L80" s="183"/>
    </row>
    <row r="81" spans="10:12" ht="15.75" customHeight="1">
      <c r="J81" s="210"/>
      <c r="K81" s="183"/>
      <c r="L81" s="183"/>
    </row>
    <row r="82" spans="10:12" ht="15.75" customHeight="1">
      <c r="J82" s="210"/>
      <c r="K82" s="183"/>
      <c r="L82" s="183"/>
    </row>
    <row r="83" spans="10:12" ht="15.75" customHeight="1">
      <c r="J83" s="210"/>
      <c r="K83" s="183"/>
      <c r="L83" s="183"/>
    </row>
    <row r="84" spans="10:12" ht="15.75" customHeight="1">
      <c r="J84" s="210"/>
      <c r="K84" s="183"/>
      <c r="L84" s="183"/>
    </row>
    <row r="85" spans="10:12" ht="15.75" customHeight="1">
      <c r="J85" s="210"/>
      <c r="K85" s="183"/>
      <c r="L85" s="183"/>
    </row>
    <row r="86" spans="10:12" ht="15.75" customHeight="1">
      <c r="J86" s="210"/>
      <c r="K86" s="183"/>
      <c r="L86" s="183"/>
    </row>
    <row r="87" spans="10:12" ht="15.75" customHeight="1">
      <c r="J87" s="210"/>
      <c r="K87" s="183"/>
      <c r="L87" s="183"/>
    </row>
    <row r="88" spans="10:12" ht="15.75" customHeight="1">
      <c r="J88" s="210"/>
      <c r="K88" s="183"/>
      <c r="L88" s="183"/>
    </row>
    <row r="89" spans="10:12" ht="15.75" customHeight="1">
      <c r="J89" s="210"/>
      <c r="K89" s="183"/>
      <c r="L89" s="183"/>
    </row>
    <row r="90" spans="10:12" ht="15.75" customHeight="1">
      <c r="J90" s="210"/>
      <c r="K90" s="183"/>
      <c r="L90" s="183"/>
    </row>
    <row r="91" spans="10:12" ht="15.75" customHeight="1">
      <c r="J91" s="210"/>
      <c r="K91" s="183"/>
      <c r="L91" s="183"/>
    </row>
    <row r="92" spans="10:12" ht="15.75" customHeight="1">
      <c r="J92" s="210"/>
      <c r="K92" s="183"/>
      <c r="L92" s="183"/>
    </row>
    <row r="93" spans="10:12" ht="15.75" customHeight="1">
      <c r="J93" s="210"/>
      <c r="K93" s="183"/>
      <c r="L93" s="183"/>
    </row>
    <row r="94" spans="10:12" ht="15.75" customHeight="1">
      <c r="J94" s="210"/>
      <c r="K94" s="183"/>
      <c r="L94" s="183"/>
    </row>
    <row r="95" spans="10:12" ht="15.75" customHeight="1">
      <c r="J95" s="210"/>
      <c r="K95" s="183"/>
      <c r="L95" s="183"/>
    </row>
    <row r="96" spans="10:12" ht="15.75" customHeight="1">
      <c r="J96" s="210"/>
      <c r="K96" s="183"/>
      <c r="L96" s="183"/>
    </row>
    <row r="97" spans="10:12" ht="15.75" customHeight="1">
      <c r="J97" s="210"/>
      <c r="K97" s="183"/>
      <c r="L97" s="183"/>
    </row>
    <row r="98" spans="10:12" ht="15.75" customHeight="1">
      <c r="J98" s="210"/>
      <c r="K98" s="183"/>
      <c r="L98" s="183"/>
    </row>
    <row r="99" spans="10:12" ht="15.75" customHeight="1">
      <c r="J99" s="210"/>
      <c r="K99" s="183"/>
      <c r="L99" s="183"/>
    </row>
    <row r="100" spans="10:12" ht="15.75" customHeight="1">
      <c r="J100" s="210"/>
      <c r="K100" s="183"/>
      <c r="L100" s="183"/>
    </row>
    <row r="101" spans="10:12" ht="15.75" customHeight="1">
      <c r="J101" s="210"/>
      <c r="K101" s="183"/>
      <c r="L101" s="183"/>
    </row>
    <row r="102" spans="10:12" ht="15.75" customHeight="1">
      <c r="J102" s="210"/>
      <c r="K102" s="183"/>
      <c r="L102" s="183"/>
    </row>
    <row r="103" spans="10:12" ht="15.75" customHeight="1">
      <c r="J103" s="210"/>
      <c r="K103" s="183"/>
      <c r="L103" s="183"/>
    </row>
    <row r="104" spans="10:12" ht="15.75" customHeight="1">
      <c r="J104" s="210"/>
      <c r="K104" s="183"/>
      <c r="L104" s="183"/>
    </row>
    <row r="105" spans="10:12" ht="15.75" customHeight="1">
      <c r="J105" s="210"/>
      <c r="K105" s="183"/>
      <c r="L105" s="183"/>
    </row>
    <row r="106" spans="10:12" ht="15.75" customHeight="1">
      <c r="J106" s="210"/>
      <c r="K106" s="183"/>
      <c r="L106" s="183"/>
    </row>
    <row r="107" spans="10:12" ht="15.75" customHeight="1">
      <c r="J107" s="210"/>
      <c r="K107" s="183"/>
      <c r="L107" s="183"/>
    </row>
    <row r="108" spans="10:12" ht="15.75" customHeight="1">
      <c r="J108" s="210"/>
      <c r="K108" s="183"/>
      <c r="L108" s="183"/>
    </row>
    <row r="109" spans="10:12" ht="15.75" customHeight="1">
      <c r="J109" s="210"/>
      <c r="K109" s="183"/>
      <c r="L109" s="183"/>
    </row>
    <row r="110" spans="10:12" ht="15.75" customHeight="1">
      <c r="J110" s="210"/>
      <c r="K110" s="183"/>
      <c r="L110" s="183"/>
    </row>
    <row r="111" spans="10:12" ht="15.75" customHeight="1">
      <c r="J111" s="210"/>
      <c r="K111" s="183"/>
      <c r="L111" s="183"/>
    </row>
    <row r="112" spans="10:12" ht="15.75" customHeight="1">
      <c r="J112" s="210"/>
      <c r="K112" s="183"/>
      <c r="L112" s="183"/>
    </row>
    <row r="113" spans="10:12" ht="15.75" customHeight="1">
      <c r="J113" s="210"/>
      <c r="K113" s="183"/>
      <c r="L113" s="183"/>
    </row>
    <row r="114" spans="10:12" ht="15.75" customHeight="1">
      <c r="J114" s="210"/>
      <c r="K114" s="183"/>
      <c r="L114" s="183"/>
    </row>
    <row r="115" spans="10:12" ht="15.75" customHeight="1">
      <c r="J115" s="210"/>
      <c r="K115" s="183"/>
      <c r="L115" s="183"/>
    </row>
    <row r="116" spans="10:12" ht="15.75" customHeight="1">
      <c r="J116" s="210"/>
      <c r="K116" s="183"/>
      <c r="L116" s="183"/>
    </row>
    <row r="117" spans="10:12" ht="15.75" customHeight="1">
      <c r="J117" s="210"/>
      <c r="K117" s="183"/>
      <c r="L117" s="183"/>
    </row>
    <row r="118" spans="10:12" ht="15.75" customHeight="1">
      <c r="J118" s="210"/>
      <c r="K118" s="183"/>
      <c r="L118" s="183"/>
    </row>
    <row r="119" spans="10:12" ht="15.75" customHeight="1">
      <c r="J119" s="210"/>
      <c r="K119" s="183"/>
      <c r="L119" s="183"/>
    </row>
    <row r="120" spans="10:12" ht="15.75" customHeight="1">
      <c r="J120" s="210"/>
      <c r="K120" s="183"/>
      <c r="L120" s="183"/>
    </row>
    <row r="121" spans="10:12" ht="15.75" customHeight="1">
      <c r="J121" s="210"/>
      <c r="K121" s="183"/>
      <c r="L121" s="183"/>
    </row>
    <row r="122" spans="10:12" ht="15.75" customHeight="1">
      <c r="J122" s="210"/>
      <c r="K122" s="183"/>
      <c r="L122" s="183"/>
    </row>
    <row r="123" spans="10:12" ht="15.75" customHeight="1">
      <c r="J123" s="210"/>
      <c r="K123" s="183"/>
      <c r="L123" s="183"/>
    </row>
    <row r="124" spans="10:12" ht="15.75" customHeight="1">
      <c r="J124" s="210"/>
      <c r="K124" s="183"/>
      <c r="L124" s="183"/>
    </row>
    <row r="125" spans="10:12" ht="15.75" customHeight="1">
      <c r="J125" s="210"/>
      <c r="K125" s="183"/>
      <c r="L125" s="183"/>
    </row>
    <row r="126" spans="10:12" ht="15.75" customHeight="1">
      <c r="J126" s="210"/>
      <c r="K126" s="183"/>
      <c r="L126" s="183"/>
    </row>
    <row r="127" spans="10:12" ht="15.75" customHeight="1">
      <c r="J127" s="210"/>
      <c r="K127" s="183"/>
      <c r="L127" s="183"/>
    </row>
    <row r="128" spans="10:12" ht="15.75" customHeight="1">
      <c r="J128" s="210"/>
      <c r="K128" s="183"/>
      <c r="L128" s="183"/>
    </row>
    <row r="129" spans="10:12" ht="15.75" customHeight="1">
      <c r="J129" s="210"/>
      <c r="K129" s="183"/>
      <c r="L129" s="183"/>
    </row>
    <row r="130" spans="10:12" ht="15.75" customHeight="1">
      <c r="J130" s="210"/>
      <c r="K130" s="183"/>
      <c r="L130" s="183"/>
    </row>
    <row r="131" spans="10:12" ht="15.75" customHeight="1">
      <c r="J131" s="210"/>
      <c r="K131" s="183"/>
      <c r="L131" s="183"/>
    </row>
    <row r="132" spans="10:12" ht="15.75" customHeight="1">
      <c r="J132" s="210"/>
      <c r="K132" s="183"/>
      <c r="L132" s="183"/>
    </row>
    <row r="133" spans="10:12" ht="15.75" customHeight="1">
      <c r="J133" s="210"/>
      <c r="K133" s="183"/>
      <c r="L133" s="183"/>
    </row>
    <row r="134" spans="10:12" ht="15.75" customHeight="1">
      <c r="J134" s="210"/>
      <c r="K134" s="183"/>
      <c r="L134" s="183"/>
    </row>
    <row r="135" spans="10:12" ht="15.75" customHeight="1">
      <c r="J135" s="210"/>
      <c r="K135" s="183"/>
      <c r="L135" s="183"/>
    </row>
    <row r="136" spans="10:12" ht="15.75" customHeight="1">
      <c r="J136" s="210"/>
      <c r="K136" s="183"/>
      <c r="L136" s="183"/>
    </row>
    <row r="137" spans="10:12" ht="15.75" customHeight="1">
      <c r="J137" s="210"/>
      <c r="K137" s="183"/>
      <c r="L137" s="183"/>
    </row>
    <row r="138" spans="10:12" ht="15.75" customHeight="1">
      <c r="J138" s="210"/>
      <c r="K138" s="183"/>
      <c r="L138" s="183"/>
    </row>
    <row r="139" spans="10:12" ht="15.75" customHeight="1">
      <c r="J139" s="210"/>
      <c r="K139" s="183"/>
      <c r="L139" s="183"/>
    </row>
    <row r="140" spans="10:12" ht="15.75" customHeight="1">
      <c r="J140" s="210"/>
      <c r="K140" s="183"/>
      <c r="L140" s="183"/>
    </row>
    <row r="141" spans="10:12" ht="15.75" customHeight="1">
      <c r="J141" s="210"/>
      <c r="K141" s="183"/>
      <c r="L141" s="183"/>
    </row>
    <row r="142" spans="10:12" ht="15.75" customHeight="1">
      <c r="J142" s="210"/>
      <c r="K142" s="183"/>
      <c r="L142" s="183"/>
    </row>
    <row r="143" spans="10:12" ht="15.75" customHeight="1">
      <c r="J143" s="210"/>
      <c r="K143" s="183"/>
      <c r="L143" s="183"/>
    </row>
    <row r="144" spans="10:12" ht="15.75" customHeight="1">
      <c r="J144" s="210"/>
      <c r="K144" s="183"/>
      <c r="L144" s="183"/>
    </row>
    <row r="145" spans="10:12" ht="15.75" customHeight="1">
      <c r="J145" s="210"/>
      <c r="K145" s="183"/>
      <c r="L145" s="183"/>
    </row>
    <row r="146" spans="10:12" ht="15.75" customHeight="1">
      <c r="J146" s="210"/>
      <c r="K146" s="183"/>
      <c r="L146" s="183"/>
    </row>
    <row r="147" spans="10:12" ht="15.75" customHeight="1">
      <c r="J147" s="210"/>
      <c r="K147" s="183"/>
      <c r="L147" s="183"/>
    </row>
    <row r="148" spans="10:12" ht="15.75" customHeight="1">
      <c r="J148" s="210"/>
      <c r="K148" s="183"/>
      <c r="L148" s="183"/>
    </row>
    <row r="149" spans="10:12" ht="15.75" customHeight="1">
      <c r="J149" s="210"/>
      <c r="K149" s="183"/>
      <c r="L149" s="183"/>
    </row>
    <row r="150" spans="10:12" ht="15.75" customHeight="1">
      <c r="J150" s="210"/>
      <c r="K150" s="183"/>
      <c r="L150" s="183"/>
    </row>
    <row r="151" spans="10:12" ht="15.75" customHeight="1">
      <c r="J151" s="210"/>
      <c r="K151" s="183"/>
      <c r="L151" s="183"/>
    </row>
    <row r="152" spans="10:12" ht="15.75" customHeight="1">
      <c r="J152" s="210"/>
      <c r="K152" s="183"/>
      <c r="L152" s="183"/>
    </row>
    <row r="153" spans="10:12" ht="15.75" customHeight="1">
      <c r="J153" s="210"/>
      <c r="K153" s="183"/>
      <c r="L153" s="183"/>
    </row>
    <row r="154" spans="10:12" ht="15.75" customHeight="1">
      <c r="J154" s="210"/>
      <c r="K154" s="183"/>
      <c r="L154" s="183"/>
    </row>
    <row r="155" spans="10:12" ht="15.75" customHeight="1">
      <c r="J155" s="210"/>
      <c r="K155" s="183"/>
      <c r="L155" s="183"/>
    </row>
    <row r="156" spans="10:12" ht="15.75" customHeight="1">
      <c r="J156" s="210"/>
      <c r="K156" s="183"/>
      <c r="L156" s="183"/>
    </row>
    <row r="157" spans="10:12" ht="15.75" customHeight="1">
      <c r="J157" s="210"/>
      <c r="K157" s="183"/>
      <c r="L157" s="183"/>
    </row>
    <row r="158" spans="10:12" ht="15.75" customHeight="1">
      <c r="J158" s="210"/>
      <c r="K158" s="183"/>
      <c r="L158" s="183"/>
    </row>
    <row r="159" spans="10:12" ht="15.75" customHeight="1">
      <c r="J159" s="210"/>
      <c r="K159" s="183"/>
      <c r="L159" s="183"/>
    </row>
    <row r="160" spans="10:12" ht="15.75" customHeight="1">
      <c r="J160" s="210"/>
      <c r="K160" s="183"/>
      <c r="L160" s="183"/>
    </row>
    <row r="161" spans="10:12" ht="15.75" customHeight="1">
      <c r="J161" s="210"/>
      <c r="K161" s="183"/>
      <c r="L161" s="183"/>
    </row>
    <row r="162" spans="10:12" ht="15.75" customHeight="1">
      <c r="J162" s="210"/>
      <c r="K162" s="183"/>
      <c r="L162" s="183"/>
    </row>
    <row r="163" spans="10:12" ht="15.75" customHeight="1">
      <c r="J163" s="210"/>
      <c r="K163" s="183"/>
      <c r="L163" s="183"/>
    </row>
    <row r="164" spans="10:12" ht="15.75" customHeight="1">
      <c r="J164" s="210"/>
      <c r="K164" s="183"/>
      <c r="L164" s="183"/>
    </row>
    <row r="165" spans="10:12" ht="15.75" customHeight="1">
      <c r="J165" s="210"/>
      <c r="K165" s="183"/>
      <c r="L165" s="183"/>
    </row>
    <row r="166" spans="10:12" ht="15.75" customHeight="1">
      <c r="J166" s="210"/>
      <c r="K166" s="183"/>
      <c r="L166" s="183"/>
    </row>
    <row r="167" spans="10:12" ht="15.75" customHeight="1">
      <c r="J167" s="210"/>
      <c r="K167" s="183"/>
      <c r="L167" s="183"/>
    </row>
    <row r="168" spans="10:12" ht="15.75" customHeight="1">
      <c r="J168" s="210"/>
      <c r="K168" s="183"/>
      <c r="L168" s="183"/>
    </row>
    <row r="169" spans="10:12" ht="15.75" customHeight="1">
      <c r="J169" s="210"/>
      <c r="K169" s="183"/>
      <c r="L169" s="183"/>
    </row>
    <row r="170" spans="10:12" ht="15.75" customHeight="1">
      <c r="J170" s="210"/>
      <c r="K170" s="183"/>
      <c r="L170" s="183"/>
    </row>
    <row r="171" spans="10:12" ht="15.75" customHeight="1">
      <c r="J171" s="210"/>
      <c r="K171" s="183"/>
      <c r="L171" s="183"/>
    </row>
    <row r="172" spans="10:12" ht="15.75" customHeight="1">
      <c r="J172" s="210"/>
      <c r="K172" s="183"/>
      <c r="L172" s="183"/>
    </row>
    <row r="173" spans="10:12" ht="15.75" customHeight="1">
      <c r="J173" s="210"/>
      <c r="K173" s="183"/>
      <c r="L173" s="183"/>
    </row>
    <row r="174" spans="10:12" ht="15.75" customHeight="1">
      <c r="J174" s="210"/>
      <c r="K174" s="183"/>
      <c r="L174" s="183"/>
    </row>
    <row r="175" spans="10:12" ht="15.75" customHeight="1">
      <c r="J175" s="210"/>
      <c r="K175" s="183"/>
      <c r="L175" s="183"/>
    </row>
    <row r="176" spans="10:12" ht="15.75" customHeight="1">
      <c r="J176" s="210"/>
      <c r="K176" s="183"/>
      <c r="L176" s="183"/>
    </row>
    <row r="177" spans="10:12" ht="15.75" customHeight="1">
      <c r="J177" s="210"/>
      <c r="K177" s="183"/>
      <c r="L177" s="183"/>
    </row>
    <row r="178" spans="10:12" ht="15.75" customHeight="1">
      <c r="J178" s="210"/>
      <c r="K178" s="183"/>
      <c r="L178" s="183"/>
    </row>
    <row r="179" spans="10:12" ht="15.75" customHeight="1">
      <c r="J179" s="210"/>
      <c r="K179" s="183"/>
      <c r="L179" s="183"/>
    </row>
    <row r="180" spans="10:12" ht="15.75" customHeight="1">
      <c r="J180" s="210"/>
      <c r="K180" s="183"/>
      <c r="L180" s="183"/>
    </row>
    <row r="181" spans="10:12" ht="15.75" customHeight="1">
      <c r="J181" s="210"/>
      <c r="K181" s="183"/>
      <c r="L181" s="183"/>
    </row>
    <row r="182" spans="10:12" ht="15.75" customHeight="1">
      <c r="J182" s="210"/>
      <c r="K182" s="183"/>
      <c r="L182" s="183"/>
    </row>
    <row r="183" spans="10:12" ht="15.75" customHeight="1">
      <c r="J183" s="210"/>
      <c r="K183" s="183"/>
      <c r="L183" s="183"/>
    </row>
    <row r="184" spans="10:12" ht="15.75" customHeight="1">
      <c r="J184" s="210"/>
      <c r="K184" s="183"/>
      <c r="L184" s="183"/>
    </row>
    <row r="185" spans="10:12" ht="15.75" customHeight="1">
      <c r="J185" s="210"/>
      <c r="K185" s="183"/>
      <c r="L185" s="183"/>
    </row>
    <row r="186" spans="10:12" ht="15.75" customHeight="1">
      <c r="J186" s="210"/>
      <c r="K186" s="183"/>
      <c r="L186" s="183"/>
    </row>
    <row r="187" spans="10:12" ht="15.75" customHeight="1">
      <c r="J187" s="210"/>
      <c r="K187" s="183"/>
      <c r="L187" s="183"/>
    </row>
    <row r="188" spans="10:12" ht="15.75" customHeight="1">
      <c r="J188" s="210"/>
      <c r="K188" s="183"/>
      <c r="L188" s="183"/>
    </row>
    <row r="189" spans="10:12" ht="15.75" customHeight="1">
      <c r="J189" s="210"/>
      <c r="K189" s="183"/>
      <c r="L189" s="183"/>
    </row>
    <row r="190" spans="10:12" ht="15.75" customHeight="1">
      <c r="J190" s="210"/>
      <c r="K190" s="183"/>
      <c r="L190" s="183"/>
    </row>
    <row r="191" spans="10:12" ht="15.75" customHeight="1">
      <c r="J191" s="210"/>
      <c r="K191" s="183"/>
      <c r="L191" s="183"/>
    </row>
    <row r="192" spans="10:12" ht="15.75" customHeight="1">
      <c r="J192" s="210"/>
      <c r="K192" s="183"/>
      <c r="L192" s="183"/>
    </row>
    <row r="193" spans="10:12" ht="15.75" customHeight="1">
      <c r="J193" s="210"/>
      <c r="K193" s="183"/>
      <c r="L193" s="183"/>
    </row>
    <row r="194" spans="10:12" ht="15.75" customHeight="1">
      <c r="J194" s="210"/>
      <c r="K194" s="183"/>
      <c r="L194" s="183"/>
    </row>
    <row r="195" spans="10:12" ht="15.75" customHeight="1">
      <c r="J195" s="210"/>
      <c r="K195" s="183"/>
      <c r="L195" s="183"/>
    </row>
    <row r="196" spans="10:12" ht="15.75" customHeight="1">
      <c r="J196" s="210"/>
      <c r="K196" s="183"/>
      <c r="L196" s="183"/>
    </row>
    <row r="197" spans="10:12" ht="15.75" customHeight="1">
      <c r="J197" s="210"/>
      <c r="K197" s="183"/>
      <c r="L197" s="183"/>
    </row>
    <row r="198" spans="10:12" ht="15.75" customHeight="1">
      <c r="J198" s="210"/>
      <c r="K198" s="183"/>
      <c r="L198" s="183"/>
    </row>
    <row r="199" spans="10:12" ht="15.75" customHeight="1">
      <c r="J199" s="210"/>
      <c r="K199" s="183"/>
      <c r="L199" s="183"/>
    </row>
    <row r="200" spans="10:12" ht="15.75" customHeight="1">
      <c r="J200" s="210"/>
      <c r="K200" s="183"/>
      <c r="L200" s="183"/>
    </row>
    <row r="201" spans="10:12" ht="15.75" customHeight="1">
      <c r="J201" s="210"/>
      <c r="K201" s="183"/>
      <c r="L201" s="183"/>
    </row>
    <row r="202" spans="10:12" ht="15.75" customHeight="1">
      <c r="J202" s="210"/>
      <c r="K202" s="183"/>
      <c r="L202" s="183"/>
    </row>
    <row r="203" spans="10:12" ht="15.75" customHeight="1">
      <c r="J203" s="210"/>
      <c r="K203" s="183"/>
      <c r="L203" s="183"/>
    </row>
    <row r="204" spans="10:12" ht="15.75" customHeight="1">
      <c r="J204" s="210"/>
      <c r="K204" s="183"/>
      <c r="L204" s="183"/>
    </row>
    <row r="205" spans="10:12" ht="15.75" customHeight="1">
      <c r="J205" s="210"/>
      <c r="K205" s="183"/>
      <c r="L205" s="183"/>
    </row>
    <row r="206" spans="10:12" ht="15.75" customHeight="1">
      <c r="J206" s="210"/>
      <c r="K206" s="183"/>
      <c r="L206" s="183"/>
    </row>
    <row r="207" spans="10:12" ht="15.75" customHeight="1">
      <c r="J207" s="210"/>
      <c r="K207" s="183"/>
      <c r="L207" s="183"/>
    </row>
    <row r="208" spans="10:12" ht="15.75" customHeight="1">
      <c r="J208" s="210"/>
      <c r="K208" s="183"/>
      <c r="L208" s="183"/>
    </row>
    <row r="209" spans="10:12" ht="15.75" customHeight="1">
      <c r="J209" s="210"/>
      <c r="K209" s="183"/>
      <c r="L209" s="183"/>
    </row>
    <row r="210" spans="10:12" ht="15.75" customHeight="1">
      <c r="J210" s="210"/>
      <c r="K210" s="183"/>
      <c r="L210" s="183"/>
    </row>
    <row r="211" spans="10:12" ht="15.75" customHeight="1">
      <c r="J211" s="210"/>
      <c r="K211" s="183"/>
      <c r="L211" s="183"/>
    </row>
    <row r="212" spans="10:12" ht="15.75" customHeight="1">
      <c r="J212" s="210"/>
      <c r="K212" s="183"/>
      <c r="L212" s="183"/>
    </row>
    <row r="213" spans="10:12" ht="15.75" customHeight="1">
      <c r="J213" s="210"/>
      <c r="K213" s="183"/>
      <c r="L213" s="183"/>
    </row>
    <row r="214" spans="10:12" ht="15.75" customHeight="1">
      <c r="J214" s="210"/>
      <c r="K214" s="183"/>
      <c r="L214" s="183"/>
    </row>
    <row r="215" spans="10:12" ht="15.75" customHeight="1">
      <c r="J215" s="210"/>
      <c r="K215" s="183"/>
      <c r="L215" s="183"/>
    </row>
    <row r="216" spans="10:12" ht="15.75" customHeight="1">
      <c r="J216" s="210"/>
      <c r="K216" s="183"/>
      <c r="L216" s="183"/>
    </row>
    <row r="217" spans="10:12" ht="15.75" customHeight="1">
      <c r="J217" s="210"/>
      <c r="K217" s="183"/>
      <c r="L217" s="183"/>
    </row>
    <row r="218" spans="10:12" ht="15.75" customHeight="1">
      <c r="J218" s="210"/>
      <c r="K218" s="183"/>
      <c r="L218" s="183"/>
    </row>
    <row r="219" spans="10:12" ht="15.75" customHeight="1">
      <c r="J219" s="210"/>
      <c r="K219" s="183"/>
      <c r="L219" s="183"/>
    </row>
    <row r="220" spans="10:12" ht="15.75" customHeight="1">
      <c r="J220" s="210"/>
      <c r="K220" s="183"/>
      <c r="L220" s="183"/>
    </row>
    <row r="221" spans="10:12" ht="15.75" customHeight="1">
      <c r="J221" s="210"/>
      <c r="K221" s="183"/>
      <c r="L221" s="183"/>
    </row>
    <row r="222" spans="10:12" ht="15.75" customHeight="1">
      <c r="J222" s="210"/>
      <c r="K222" s="183"/>
      <c r="L222" s="183"/>
    </row>
    <row r="223" spans="10:12" ht="15.75" customHeight="1">
      <c r="J223" s="210"/>
      <c r="K223" s="183"/>
      <c r="L223" s="183"/>
    </row>
    <row r="224" spans="10:12" ht="15.75" customHeight="1">
      <c r="J224" s="210"/>
      <c r="K224" s="183"/>
      <c r="L224" s="183"/>
    </row>
    <row r="225" spans="10:12" ht="15.75" customHeight="1">
      <c r="J225" s="210"/>
      <c r="K225" s="183"/>
      <c r="L225" s="183"/>
    </row>
    <row r="226" spans="10:12" ht="15.75" customHeight="1">
      <c r="J226" s="210"/>
      <c r="K226" s="183"/>
      <c r="L226" s="183"/>
    </row>
    <row r="227" spans="10:12" ht="15.75" customHeight="1">
      <c r="J227" s="210"/>
      <c r="K227" s="183"/>
      <c r="L227" s="183"/>
    </row>
    <row r="228" spans="10:12" ht="15.75" customHeight="1">
      <c r="J228" s="210"/>
      <c r="K228" s="183"/>
      <c r="L228" s="183"/>
    </row>
    <row r="229" spans="10:12" ht="15.75" customHeight="1">
      <c r="J229" s="210"/>
      <c r="K229" s="183"/>
      <c r="L229" s="183"/>
    </row>
    <row r="230" spans="10:12" ht="15.75" customHeight="1">
      <c r="J230" s="210"/>
      <c r="K230" s="183"/>
      <c r="L230" s="183"/>
    </row>
    <row r="231" spans="10:12" ht="15.75" customHeight="1">
      <c r="J231" s="210"/>
      <c r="K231" s="183"/>
      <c r="L231" s="183"/>
    </row>
    <row r="232" spans="10:12" ht="15.75" customHeight="1">
      <c r="J232" s="210"/>
      <c r="K232" s="183"/>
      <c r="L232" s="183"/>
    </row>
    <row r="233" spans="10:12" ht="15.75" customHeight="1">
      <c r="J233" s="210"/>
      <c r="K233" s="183"/>
      <c r="L233" s="183"/>
    </row>
    <row r="234" spans="10:12" ht="15.75" customHeight="1">
      <c r="J234" s="210"/>
      <c r="K234" s="183"/>
      <c r="L234" s="183"/>
    </row>
    <row r="235" spans="10:12" ht="15.75" customHeight="1">
      <c r="J235" s="210"/>
      <c r="K235" s="183"/>
      <c r="L235" s="183"/>
    </row>
    <row r="236" spans="10:12" ht="15.75" customHeight="1">
      <c r="J236" s="210"/>
      <c r="K236" s="183"/>
      <c r="L236" s="183"/>
    </row>
    <row r="237" spans="10:12" ht="15.75" customHeight="1">
      <c r="J237" s="210"/>
      <c r="K237" s="183"/>
      <c r="L237" s="183"/>
    </row>
    <row r="238" spans="10:12" ht="15.75" customHeight="1">
      <c r="J238" s="210"/>
      <c r="K238" s="183"/>
      <c r="L238" s="183"/>
    </row>
    <row r="239" spans="10:12" ht="15.75" customHeight="1">
      <c r="J239" s="210"/>
      <c r="K239" s="183"/>
      <c r="L239" s="183"/>
    </row>
    <row r="240" spans="10:12" ht="15.75" customHeight="1">
      <c r="J240" s="210"/>
      <c r="K240" s="183"/>
      <c r="L240" s="183"/>
    </row>
    <row r="241" spans="10:12" ht="15.75" customHeight="1">
      <c r="J241" s="210"/>
      <c r="K241" s="183"/>
      <c r="L241" s="183"/>
    </row>
    <row r="242" spans="10:12" ht="15.75" customHeight="1">
      <c r="J242" s="210"/>
      <c r="K242" s="183"/>
      <c r="L242" s="183"/>
    </row>
    <row r="243" spans="10:12" ht="15.75" customHeight="1">
      <c r="J243" s="210"/>
      <c r="K243" s="183"/>
      <c r="L243" s="183"/>
    </row>
    <row r="244" spans="10:12" ht="15.75" customHeight="1">
      <c r="J244" s="210"/>
      <c r="K244" s="183"/>
      <c r="L244" s="183"/>
    </row>
    <row r="245" spans="10:12" ht="15.75" customHeight="1">
      <c r="J245" s="210"/>
      <c r="K245" s="183"/>
      <c r="L245" s="183"/>
    </row>
    <row r="246" spans="10:12" ht="15.75" customHeight="1">
      <c r="J246" s="210"/>
      <c r="K246" s="183"/>
      <c r="L246" s="183"/>
    </row>
    <row r="247" spans="10:12" ht="15.75" customHeight="1">
      <c r="J247" s="210"/>
      <c r="K247" s="183"/>
      <c r="L247" s="183"/>
    </row>
    <row r="248" spans="10:12" ht="15.75" customHeight="1">
      <c r="J248" s="210"/>
      <c r="K248" s="183"/>
      <c r="L248" s="183"/>
    </row>
    <row r="249" spans="10:12" ht="15.75" customHeight="1">
      <c r="J249" s="210"/>
      <c r="K249" s="183"/>
      <c r="L249" s="183"/>
    </row>
    <row r="250" spans="10:12" ht="15.75" customHeight="1">
      <c r="J250" s="210"/>
      <c r="K250" s="183"/>
      <c r="L250" s="183"/>
    </row>
    <row r="251" spans="10:12" ht="15.75" customHeight="1">
      <c r="J251" s="210"/>
      <c r="K251" s="183"/>
      <c r="L251" s="183"/>
    </row>
    <row r="252" spans="10:12" ht="15.75" customHeight="1">
      <c r="J252" s="210"/>
      <c r="K252" s="183"/>
      <c r="L252" s="183"/>
    </row>
    <row r="253" spans="10:12" ht="15.75" customHeight="1">
      <c r="J253" s="210"/>
      <c r="K253" s="183"/>
      <c r="L253" s="183"/>
    </row>
    <row r="254" spans="10:12" ht="15.75" customHeight="1">
      <c r="J254" s="210"/>
      <c r="K254" s="183"/>
      <c r="L254" s="183"/>
    </row>
    <row r="255" spans="10:12" ht="15.75" customHeight="1">
      <c r="J255" s="210"/>
      <c r="K255" s="183"/>
      <c r="L255" s="183"/>
    </row>
    <row r="256" spans="10:12" ht="15.75" customHeight="1">
      <c r="J256" s="210"/>
      <c r="K256" s="183"/>
      <c r="L256" s="183"/>
    </row>
    <row r="257" spans="10:12" ht="15.75" customHeight="1">
      <c r="J257" s="210"/>
      <c r="K257" s="183"/>
      <c r="L257" s="183"/>
    </row>
    <row r="258" spans="10:12" ht="15.75" customHeight="1">
      <c r="J258" s="210"/>
      <c r="K258" s="183"/>
      <c r="L258" s="183"/>
    </row>
    <row r="259" spans="10:12" ht="15.75" customHeight="1">
      <c r="J259" s="210"/>
      <c r="K259" s="183"/>
      <c r="L259" s="183"/>
    </row>
    <row r="260" spans="10:12" ht="15.75" customHeight="1">
      <c r="J260" s="210"/>
      <c r="K260" s="183"/>
      <c r="L260" s="183"/>
    </row>
    <row r="261" spans="10:12" ht="15.75" customHeight="1">
      <c r="J261" s="210"/>
      <c r="K261" s="183"/>
      <c r="L261" s="183"/>
    </row>
    <row r="262" spans="10:12" ht="15.75" customHeight="1">
      <c r="J262" s="210"/>
      <c r="K262" s="183"/>
      <c r="L262" s="183"/>
    </row>
    <row r="263" spans="10:12" ht="15.75" customHeight="1">
      <c r="J263" s="210"/>
      <c r="K263" s="183"/>
      <c r="L263" s="183"/>
    </row>
    <row r="264" spans="10:12" ht="15.75" customHeight="1">
      <c r="J264" s="210"/>
      <c r="K264" s="183"/>
      <c r="L264" s="183"/>
    </row>
    <row r="265" spans="10:12" ht="15.75" customHeight="1">
      <c r="J265" s="210"/>
      <c r="K265" s="183"/>
      <c r="L265" s="183"/>
    </row>
    <row r="266" spans="10:12" ht="15.75" customHeight="1">
      <c r="J266" s="210"/>
      <c r="K266" s="183"/>
      <c r="L266" s="183"/>
    </row>
    <row r="267" spans="10:12" ht="15.75" customHeight="1">
      <c r="J267" s="210"/>
      <c r="K267" s="183"/>
      <c r="L267" s="183"/>
    </row>
    <row r="268" spans="10:12" ht="15.75" customHeight="1">
      <c r="J268" s="210"/>
      <c r="K268" s="183"/>
      <c r="L268" s="183"/>
    </row>
    <row r="269" spans="10:12" ht="15.75" customHeight="1">
      <c r="J269" s="210"/>
      <c r="K269" s="183"/>
      <c r="L269" s="183"/>
    </row>
    <row r="270" spans="10:12" ht="15.75" customHeight="1">
      <c r="J270" s="210"/>
      <c r="K270" s="183"/>
      <c r="L270" s="183"/>
    </row>
    <row r="271" spans="10:12" ht="15.75" customHeight="1">
      <c r="J271" s="210"/>
      <c r="K271" s="183"/>
      <c r="L271" s="183"/>
    </row>
    <row r="272" spans="10:12" ht="15.75" customHeight="1">
      <c r="J272" s="210"/>
      <c r="K272" s="183"/>
      <c r="L272" s="183"/>
    </row>
    <row r="273" spans="10:12" ht="15.75" customHeight="1">
      <c r="J273" s="210"/>
      <c r="K273" s="183"/>
      <c r="L273" s="183"/>
    </row>
    <row r="274" spans="10:12" ht="15.75" customHeight="1">
      <c r="J274" s="210"/>
      <c r="K274" s="183"/>
      <c r="L274" s="183"/>
    </row>
    <row r="275" spans="10:12" ht="15.75" customHeight="1">
      <c r="J275" s="210"/>
      <c r="K275" s="183"/>
      <c r="L275" s="183"/>
    </row>
    <row r="276" spans="10:12" ht="15.75" customHeight="1">
      <c r="J276" s="210"/>
      <c r="K276" s="183"/>
      <c r="L276" s="183"/>
    </row>
    <row r="277" spans="10:12" ht="15.75" customHeight="1">
      <c r="J277" s="210"/>
      <c r="K277" s="183"/>
      <c r="L277" s="183"/>
    </row>
    <row r="278" spans="10:12" ht="15.75" customHeight="1">
      <c r="J278" s="210"/>
      <c r="K278" s="183"/>
      <c r="L278" s="183"/>
    </row>
    <row r="279" spans="10:12" ht="15.75" customHeight="1">
      <c r="J279" s="210"/>
      <c r="K279" s="183"/>
      <c r="L279" s="183"/>
    </row>
    <row r="280" spans="10:12" ht="15.75" customHeight="1">
      <c r="J280" s="210"/>
      <c r="K280" s="183"/>
      <c r="L280" s="183"/>
    </row>
    <row r="281" spans="10:12" ht="15.75" customHeight="1">
      <c r="J281" s="210"/>
      <c r="K281" s="183"/>
      <c r="L281" s="183"/>
    </row>
    <row r="282" spans="10:12" ht="15.75" customHeight="1">
      <c r="J282" s="210"/>
      <c r="K282" s="183"/>
      <c r="L282" s="183"/>
    </row>
    <row r="283" spans="10:12" ht="15.75" customHeight="1">
      <c r="J283" s="210"/>
      <c r="K283" s="183"/>
      <c r="L283" s="183"/>
    </row>
    <row r="284" spans="10:12" ht="15.75" customHeight="1">
      <c r="J284" s="210"/>
      <c r="K284" s="183"/>
      <c r="L284" s="183"/>
    </row>
    <row r="285" spans="10:12" ht="15.75" customHeight="1">
      <c r="J285" s="210"/>
      <c r="K285" s="183"/>
      <c r="L285" s="183"/>
    </row>
    <row r="286" spans="10:12" ht="15.75" customHeight="1">
      <c r="J286" s="210"/>
      <c r="K286" s="183"/>
      <c r="L286" s="183"/>
    </row>
    <row r="287" spans="10:12" ht="15.75" customHeight="1">
      <c r="J287" s="210"/>
      <c r="K287" s="183"/>
      <c r="L287" s="183"/>
    </row>
    <row r="288" spans="10:12" ht="15.75" customHeight="1">
      <c r="J288" s="210"/>
      <c r="K288" s="183"/>
      <c r="L288" s="183"/>
    </row>
    <row r="289" spans="10:12" ht="15.75" customHeight="1">
      <c r="J289" s="210"/>
      <c r="K289" s="183"/>
      <c r="L289" s="183"/>
    </row>
    <row r="290" spans="10:12" ht="15.75" customHeight="1">
      <c r="J290" s="210"/>
      <c r="K290" s="183"/>
      <c r="L290" s="183"/>
    </row>
    <row r="291" spans="10:12" ht="15.75" customHeight="1">
      <c r="J291" s="210"/>
      <c r="K291" s="183"/>
      <c r="L291" s="183"/>
    </row>
    <row r="292" spans="10:12" ht="15.75" customHeight="1">
      <c r="J292" s="210"/>
      <c r="K292" s="183"/>
      <c r="L292" s="183"/>
    </row>
    <row r="293" spans="10:12" ht="15.75" customHeight="1">
      <c r="J293" s="210"/>
      <c r="K293" s="183"/>
      <c r="L293" s="183"/>
    </row>
    <row r="294" spans="10:12" ht="15.75" customHeight="1">
      <c r="J294" s="210"/>
      <c r="K294" s="183"/>
      <c r="L294" s="183"/>
    </row>
    <row r="295" spans="10:12" ht="15.75" customHeight="1">
      <c r="J295" s="210"/>
      <c r="K295" s="183"/>
      <c r="L295" s="183"/>
    </row>
    <row r="296" spans="10:12" ht="15.75" customHeight="1">
      <c r="J296" s="210"/>
      <c r="K296" s="183"/>
      <c r="L296" s="183"/>
    </row>
    <row r="297" spans="10:12" ht="15.75" customHeight="1">
      <c r="J297" s="210"/>
      <c r="K297" s="183"/>
      <c r="L297" s="183"/>
    </row>
    <row r="298" spans="10:12" ht="15.75" customHeight="1">
      <c r="J298" s="210"/>
      <c r="K298" s="183"/>
      <c r="L298" s="183"/>
    </row>
    <row r="299" spans="10:12" ht="15.75" customHeight="1">
      <c r="J299" s="210"/>
      <c r="K299" s="183"/>
      <c r="L299" s="183"/>
    </row>
    <row r="300" spans="10:12" ht="15.75" customHeight="1">
      <c r="J300" s="210"/>
      <c r="K300" s="183"/>
      <c r="L300" s="183"/>
    </row>
    <row r="301" spans="10:12" ht="15.75" customHeight="1">
      <c r="J301" s="210"/>
      <c r="K301" s="183"/>
      <c r="L301" s="183"/>
    </row>
    <row r="302" spans="10:12" ht="15.75" customHeight="1">
      <c r="J302" s="210"/>
      <c r="K302" s="183"/>
      <c r="L302" s="183"/>
    </row>
    <row r="303" spans="10:12" ht="15.75" customHeight="1">
      <c r="J303" s="210"/>
      <c r="K303" s="183"/>
      <c r="L303" s="183"/>
    </row>
    <row r="304" spans="10:12" ht="15.75" customHeight="1">
      <c r="J304" s="210"/>
      <c r="K304" s="183"/>
      <c r="L304" s="183"/>
    </row>
    <row r="305" spans="10:12" ht="15.75" customHeight="1">
      <c r="J305" s="210"/>
      <c r="K305" s="183"/>
      <c r="L305" s="183"/>
    </row>
    <row r="306" spans="10:12" ht="15.75" customHeight="1">
      <c r="J306" s="210"/>
      <c r="K306" s="183"/>
      <c r="L306" s="183"/>
    </row>
    <row r="307" spans="10:12" ht="15.75" customHeight="1">
      <c r="J307" s="210"/>
      <c r="K307" s="183"/>
      <c r="L307" s="183"/>
    </row>
    <row r="308" spans="10:12" ht="15.75" customHeight="1">
      <c r="J308" s="210"/>
      <c r="K308" s="183"/>
      <c r="L308" s="183"/>
    </row>
    <row r="309" spans="10:12" ht="15.75" customHeight="1">
      <c r="J309" s="210"/>
      <c r="K309" s="183"/>
      <c r="L309" s="183"/>
    </row>
    <row r="310" spans="10:12" ht="15.75" customHeight="1">
      <c r="J310" s="210"/>
      <c r="K310" s="183"/>
      <c r="L310" s="183"/>
    </row>
    <row r="311" spans="10:12" ht="15.75" customHeight="1">
      <c r="J311" s="210"/>
      <c r="K311" s="183"/>
      <c r="L311" s="183"/>
    </row>
    <row r="312" spans="10:12" ht="15.75" customHeight="1">
      <c r="J312" s="210"/>
      <c r="K312" s="183"/>
      <c r="L312" s="183"/>
    </row>
    <row r="313" spans="10:12" ht="15.75" customHeight="1">
      <c r="J313" s="210"/>
      <c r="K313" s="183"/>
      <c r="L313" s="183"/>
    </row>
    <row r="314" spans="10:12" ht="15.75" customHeight="1">
      <c r="J314" s="210"/>
      <c r="K314" s="183"/>
      <c r="L314" s="183"/>
    </row>
    <row r="315" spans="10:12" ht="15.75" customHeight="1">
      <c r="J315" s="210"/>
      <c r="K315" s="183"/>
      <c r="L315" s="183"/>
    </row>
    <row r="316" spans="10:12" ht="15.75" customHeight="1">
      <c r="J316" s="210"/>
      <c r="K316" s="183"/>
      <c r="L316" s="183"/>
    </row>
    <row r="317" spans="10:12" ht="15.75" customHeight="1">
      <c r="J317" s="210"/>
      <c r="K317" s="183"/>
      <c r="L317" s="183"/>
    </row>
    <row r="318" spans="10:12" ht="15.75" customHeight="1">
      <c r="J318" s="210"/>
      <c r="K318" s="183"/>
      <c r="L318" s="183"/>
    </row>
    <row r="319" spans="10:12" ht="15.75" customHeight="1">
      <c r="J319" s="210"/>
      <c r="K319" s="183"/>
      <c r="L319" s="183"/>
    </row>
    <row r="320" spans="10:12" ht="15.75" customHeight="1">
      <c r="J320" s="210"/>
      <c r="K320" s="183"/>
      <c r="L320" s="183"/>
    </row>
    <row r="321" spans="10:12" ht="15.75" customHeight="1">
      <c r="J321" s="210"/>
      <c r="K321" s="183"/>
      <c r="L321" s="183"/>
    </row>
    <row r="322" spans="10:12" ht="15.75" customHeight="1">
      <c r="J322" s="210"/>
      <c r="K322" s="183"/>
      <c r="L322" s="183"/>
    </row>
    <row r="323" spans="10:12" ht="15.75" customHeight="1">
      <c r="J323" s="210"/>
      <c r="K323" s="183"/>
      <c r="L323" s="183"/>
    </row>
    <row r="324" spans="10:12" ht="15.75" customHeight="1">
      <c r="J324" s="210"/>
      <c r="K324" s="183"/>
      <c r="L324" s="183"/>
    </row>
    <row r="325" spans="10:12" ht="15.75" customHeight="1">
      <c r="J325" s="210"/>
      <c r="K325" s="183"/>
      <c r="L325" s="183"/>
    </row>
    <row r="326" spans="10:12" ht="15.75" customHeight="1">
      <c r="J326" s="210"/>
      <c r="K326" s="183"/>
      <c r="L326" s="183"/>
    </row>
    <row r="327" spans="10:12" ht="15.75" customHeight="1">
      <c r="J327" s="210"/>
      <c r="K327" s="183"/>
      <c r="L327" s="183"/>
    </row>
    <row r="328" spans="10:12" ht="15.75" customHeight="1">
      <c r="J328" s="210"/>
      <c r="K328" s="183"/>
      <c r="L328" s="183"/>
    </row>
    <row r="329" spans="10:12" ht="15.75" customHeight="1">
      <c r="J329" s="210"/>
      <c r="K329" s="183"/>
      <c r="L329" s="183"/>
    </row>
    <row r="330" spans="10:12" ht="15.75" customHeight="1">
      <c r="J330" s="210"/>
      <c r="K330" s="183"/>
      <c r="L330" s="183"/>
    </row>
    <row r="331" spans="10:12" ht="15.75" customHeight="1">
      <c r="J331" s="210"/>
      <c r="K331" s="183"/>
      <c r="L331" s="183"/>
    </row>
    <row r="332" spans="10:12" ht="15.75" customHeight="1">
      <c r="J332" s="210"/>
      <c r="K332" s="183"/>
      <c r="L332" s="183"/>
    </row>
    <row r="333" spans="10:12" ht="15.75" customHeight="1">
      <c r="J333" s="210"/>
      <c r="K333" s="183"/>
      <c r="L333" s="183"/>
    </row>
    <row r="334" spans="10:12" ht="15.75" customHeight="1">
      <c r="J334" s="210"/>
      <c r="K334" s="183"/>
      <c r="L334" s="183"/>
    </row>
    <row r="335" spans="10:12" ht="15.75" customHeight="1">
      <c r="J335" s="210"/>
      <c r="K335" s="183"/>
      <c r="L335" s="183"/>
    </row>
    <row r="336" spans="10:12" ht="15.75" customHeight="1">
      <c r="J336" s="210"/>
      <c r="K336" s="183"/>
      <c r="L336" s="183"/>
    </row>
    <row r="337" spans="10:12" ht="15.75" customHeight="1">
      <c r="J337" s="210"/>
      <c r="K337" s="183"/>
      <c r="L337" s="183"/>
    </row>
    <row r="338" spans="10:12" ht="15.75" customHeight="1">
      <c r="J338" s="210"/>
      <c r="K338" s="183"/>
      <c r="L338" s="183"/>
    </row>
    <row r="339" spans="10:12" ht="15.75" customHeight="1">
      <c r="J339" s="210"/>
      <c r="K339" s="183"/>
      <c r="L339" s="183"/>
    </row>
    <row r="340" spans="10:12" ht="15.75" customHeight="1">
      <c r="J340" s="210"/>
      <c r="K340" s="183"/>
      <c r="L340" s="183"/>
    </row>
    <row r="341" spans="10:12" ht="15.75" customHeight="1">
      <c r="J341" s="210"/>
      <c r="K341" s="183"/>
      <c r="L341" s="183"/>
    </row>
    <row r="342" spans="10:12" ht="15.75" customHeight="1">
      <c r="J342" s="210"/>
      <c r="K342" s="183"/>
      <c r="L342" s="183"/>
    </row>
    <row r="343" spans="10:12" ht="15.75" customHeight="1">
      <c r="J343" s="210"/>
      <c r="K343" s="183"/>
      <c r="L343" s="183"/>
    </row>
    <row r="344" spans="10:12" ht="15.75" customHeight="1">
      <c r="J344" s="210"/>
      <c r="K344" s="183"/>
      <c r="L344" s="183"/>
    </row>
    <row r="345" spans="10:12" ht="15.75" customHeight="1">
      <c r="J345" s="210"/>
      <c r="K345" s="183"/>
      <c r="L345" s="183"/>
    </row>
    <row r="346" spans="10:12" ht="15.75" customHeight="1">
      <c r="J346" s="210"/>
      <c r="K346" s="183"/>
      <c r="L346" s="183"/>
    </row>
    <row r="347" spans="10:12" ht="15.75" customHeight="1">
      <c r="J347" s="210"/>
      <c r="K347" s="183"/>
      <c r="L347" s="183"/>
    </row>
    <row r="348" spans="10:12" ht="15.75" customHeight="1">
      <c r="J348" s="210"/>
      <c r="K348" s="183"/>
      <c r="L348" s="183"/>
    </row>
    <row r="349" spans="10:12" ht="15.75" customHeight="1">
      <c r="J349" s="210"/>
      <c r="K349" s="183"/>
      <c r="L349" s="183"/>
    </row>
    <row r="350" spans="10:12" ht="15.75" customHeight="1">
      <c r="J350" s="210"/>
      <c r="K350" s="183"/>
      <c r="L350" s="183"/>
    </row>
    <row r="351" spans="10:12" ht="15.75" customHeight="1">
      <c r="J351" s="210"/>
      <c r="K351" s="183"/>
      <c r="L351" s="183"/>
    </row>
    <row r="352" spans="10:12" ht="15.75" customHeight="1">
      <c r="J352" s="210"/>
      <c r="K352" s="183"/>
      <c r="L352" s="183"/>
    </row>
    <row r="353" spans="10:12" ht="15.75" customHeight="1">
      <c r="J353" s="210"/>
      <c r="K353" s="183"/>
      <c r="L353" s="183"/>
    </row>
    <row r="354" spans="10:12" ht="15.75" customHeight="1">
      <c r="J354" s="210"/>
      <c r="K354" s="183"/>
      <c r="L354" s="183"/>
    </row>
    <row r="355" spans="10:12" ht="15.75" customHeight="1">
      <c r="J355" s="210"/>
      <c r="K355" s="183"/>
      <c r="L355" s="183"/>
    </row>
    <row r="356" spans="10:12" ht="15.75" customHeight="1">
      <c r="J356" s="210"/>
      <c r="K356" s="183"/>
      <c r="L356" s="183"/>
    </row>
    <row r="357" spans="10:12" ht="15.75" customHeight="1">
      <c r="J357" s="210"/>
      <c r="K357" s="183"/>
      <c r="L357" s="183"/>
    </row>
    <row r="358" spans="10:12" ht="15.75" customHeight="1">
      <c r="J358" s="210"/>
      <c r="K358" s="183"/>
      <c r="L358" s="183"/>
    </row>
    <row r="359" spans="10:12" ht="15.75" customHeight="1">
      <c r="J359" s="210"/>
      <c r="K359" s="183"/>
      <c r="L359" s="183"/>
    </row>
    <row r="360" spans="10:12" ht="15.75" customHeight="1">
      <c r="J360" s="210"/>
      <c r="K360" s="183"/>
      <c r="L360" s="183"/>
    </row>
    <row r="361" spans="10:12" ht="15.75" customHeight="1">
      <c r="J361" s="210"/>
      <c r="K361" s="183"/>
      <c r="L361" s="183"/>
    </row>
    <row r="362" spans="10:12" ht="15.75" customHeight="1">
      <c r="J362" s="210"/>
      <c r="K362" s="183"/>
      <c r="L362" s="183"/>
    </row>
    <row r="363" spans="10:12" ht="15.75" customHeight="1">
      <c r="J363" s="210"/>
      <c r="K363" s="183"/>
      <c r="L363" s="183"/>
    </row>
    <row r="364" spans="10:12" ht="15.75" customHeight="1">
      <c r="J364" s="210"/>
      <c r="K364" s="183"/>
      <c r="L364" s="183"/>
    </row>
    <row r="365" spans="10:12" ht="15.75" customHeight="1">
      <c r="J365" s="210"/>
      <c r="K365" s="183"/>
      <c r="L365" s="183"/>
    </row>
    <row r="366" spans="10:12" ht="15.75" customHeight="1">
      <c r="J366" s="210"/>
      <c r="K366" s="183"/>
      <c r="L366" s="183"/>
    </row>
    <row r="367" spans="10:12" ht="15.75" customHeight="1">
      <c r="J367" s="210"/>
      <c r="K367" s="183"/>
      <c r="L367" s="183"/>
    </row>
    <row r="368" spans="10:12" ht="15.75" customHeight="1">
      <c r="J368" s="210"/>
      <c r="K368" s="183"/>
      <c r="L368" s="183"/>
    </row>
    <row r="369" spans="10:12" ht="15.75" customHeight="1">
      <c r="J369" s="210"/>
      <c r="K369" s="183"/>
      <c r="L369" s="183"/>
    </row>
    <row r="370" spans="10:12" ht="15.75" customHeight="1">
      <c r="J370" s="210"/>
      <c r="K370" s="183"/>
      <c r="L370" s="183"/>
    </row>
    <row r="371" spans="10:12" ht="15.75" customHeight="1">
      <c r="J371" s="210"/>
      <c r="K371" s="183"/>
      <c r="L371" s="183"/>
    </row>
    <row r="372" spans="10:12" ht="15.75" customHeight="1">
      <c r="J372" s="210"/>
      <c r="K372" s="183"/>
      <c r="L372" s="183"/>
    </row>
    <row r="373" spans="10:12" ht="15.75" customHeight="1">
      <c r="J373" s="210"/>
      <c r="K373" s="183"/>
      <c r="L373" s="183"/>
    </row>
    <row r="374" spans="10:12" ht="15.75" customHeight="1">
      <c r="J374" s="210"/>
      <c r="K374" s="183"/>
      <c r="L374" s="183"/>
    </row>
    <row r="375" spans="10:12" ht="15.75" customHeight="1">
      <c r="J375" s="210"/>
      <c r="K375" s="183"/>
      <c r="L375" s="183"/>
    </row>
    <row r="376" spans="10:12" ht="15.75" customHeight="1">
      <c r="J376" s="210"/>
      <c r="K376" s="183"/>
      <c r="L376" s="183"/>
    </row>
    <row r="377" spans="10:12" ht="15.75" customHeight="1">
      <c r="J377" s="210"/>
      <c r="K377" s="183"/>
      <c r="L377" s="183"/>
    </row>
    <row r="378" spans="10:12" ht="15.75" customHeight="1">
      <c r="J378" s="210"/>
      <c r="K378" s="183"/>
      <c r="L378" s="183"/>
    </row>
    <row r="379" spans="10:12" ht="15.75" customHeight="1">
      <c r="J379" s="210"/>
      <c r="K379" s="183"/>
      <c r="L379" s="183"/>
    </row>
    <row r="380" spans="10:12" ht="15.75" customHeight="1">
      <c r="J380" s="210"/>
      <c r="K380" s="183"/>
      <c r="L380" s="183"/>
    </row>
    <row r="381" spans="10:12" ht="15.75" customHeight="1">
      <c r="J381" s="210"/>
      <c r="K381" s="183"/>
      <c r="L381" s="183"/>
    </row>
    <row r="382" spans="10:12" ht="15.75" customHeight="1">
      <c r="J382" s="210"/>
      <c r="K382" s="183"/>
      <c r="L382" s="183"/>
    </row>
    <row r="383" spans="10:12" ht="15.75" customHeight="1">
      <c r="J383" s="210"/>
      <c r="K383" s="183"/>
      <c r="L383" s="183"/>
    </row>
    <row r="384" spans="10:12" ht="15.75" customHeight="1">
      <c r="J384" s="210"/>
      <c r="K384" s="183"/>
      <c r="L384" s="183"/>
    </row>
    <row r="385" spans="10:12" ht="15.75" customHeight="1">
      <c r="J385" s="210"/>
      <c r="K385" s="183"/>
      <c r="L385" s="183"/>
    </row>
    <row r="386" spans="10:12" ht="15.75" customHeight="1">
      <c r="J386" s="210"/>
      <c r="K386" s="183"/>
      <c r="L386" s="183"/>
    </row>
    <row r="387" spans="10:12" ht="15.75" customHeight="1">
      <c r="J387" s="210"/>
      <c r="K387" s="183"/>
      <c r="L387" s="183"/>
    </row>
    <row r="388" spans="10:12" ht="15.75" customHeight="1">
      <c r="J388" s="210"/>
      <c r="K388" s="183"/>
      <c r="L388" s="183"/>
    </row>
    <row r="389" spans="10:12" ht="15.75" customHeight="1">
      <c r="J389" s="210"/>
      <c r="K389" s="183"/>
      <c r="L389" s="183"/>
    </row>
    <row r="390" spans="10:12" ht="15.75" customHeight="1">
      <c r="J390" s="210"/>
      <c r="K390" s="183"/>
      <c r="L390" s="183"/>
    </row>
    <row r="391" spans="10:12" ht="15.75" customHeight="1">
      <c r="J391" s="210"/>
      <c r="K391" s="183"/>
      <c r="L391" s="183"/>
    </row>
    <row r="392" spans="10:12" ht="15.75" customHeight="1">
      <c r="J392" s="210"/>
      <c r="K392" s="183"/>
      <c r="L392" s="183"/>
    </row>
    <row r="393" spans="10:12" ht="15.75" customHeight="1">
      <c r="J393" s="210"/>
      <c r="K393" s="183"/>
      <c r="L393" s="183"/>
    </row>
    <row r="394" spans="10:12" ht="15.75" customHeight="1">
      <c r="J394" s="210"/>
      <c r="K394" s="183"/>
      <c r="L394" s="183"/>
    </row>
    <row r="395" spans="10:12" ht="15.75" customHeight="1">
      <c r="J395" s="210"/>
      <c r="K395" s="183"/>
      <c r="L395" s="183"/>
    </row>
    <row r="396" spans="10:12" ht="15.75" customHeight="1">
      <c r="J396" s="210"/>
      <c r="K396" s="183"/>
      <c r="L396" s="183"/>
    </row>
    <row r="397" spans="10:12" ht="15.75" customHeight="1">
      <c r="J397" s="210"/>
      <c r="K397" s="183"/>
      <c r="L397" s="183"/>
    </row>
    <row r="398" spans="10:12" ht="15.75" customHeight="1">
      <c r="J398" s="210"/>
      <c r="K398" s="183"/>
      <c r="L398" s="183"/>
    </row>
    <row r="399" spans="10:12" ht="15.75" customHeight="1">
      <c r="J399" s="210"/>
      <c r="K399" s="183"/>
      <c r="L399" s="183"/>
    </row>
    <row r="400" spans="10:12" ht="15.75" customHeight="1">
      <c r="J400" s="210"/>
      <c r="K400" s="183"/>
      <c r="L400" s="183"/>
    </row>
    <row r="401" spans="10:12" ht="15.75" customHeight="1">
      <c r="J401" s="210"/>
      <c r="K401" s="183"/>
      <c r="L401" s="183"/>
    </row>
    <row r="402" spans="10:12" ht="15.75" customHeight="1">
      <c r="J402" s="210"/>
      <c r="K402" s="183"/>
      <c r="L402" s="183"/>
    </row>
    <row r="403" spans="10:12" ht="15.75" customHeight="1">
      <c r="J403" s="210"/>
      <c r="K403" s="183"/>
      <c r="L403" s="183"/>
    </row>
    <row r="404" spans="10:12" ht="15.75" customHeight="1">
      <c r="J404" s="210"/>
      <c r="K404" s="183"/>
      <c r="L404" s="183"/>
    </row>
    <row r="405" spans="10:12" ht="15.75" customHeight="1">
      <c r="J405" s="210"/>
      <c r="K405" s="183"/>
      <c r="L405" s="183"/>
    </row>
    <row r="406" spans="10:12" ht="15.75" customHeight="1">
      <c r="J406" s="210"/>
      <c r="K406" s="183"/>
      <c r="L406" s="183"/>
    </row>
    <row r="407" spans="10:12" ht="15.75" customHeight="1">
      <c r="J407" s="210"/>
      <c r="K407" s="183"/>
      <c r="L407" s="183"/>
    </row>
    <row r="408" spans="10:12" ht="15.75" customHeight="1">
      <c r="J408" s="210"/>
      <c r="K408" s="183"/>
      <c r="L408" s="183"/>
    </row>
    <row r="409" spans="10:12" ht="15.75" customHeight="1">
      <c r="J409" s="210"/>
      <c r="K409" s="183"/>
      <c r="L409" s="183"/>
    </row>
    <row r="410" spans="10:12" ht="15.75" customHeight="1">
      <c r="J410" s="210"/>
      <c r="K410" s="183"/>
      <c r="L410" s="183"/>
    </row>
    <row r="411" spans="10:12" ht="15.75" customHeight="1">
      <c r="J411" s="210"/>
      <c r="K411" s="183"/>
      <c r="L411" s="183"/>
    </row>
    <row r="412" spans="10:12" ht="15.75" customHeight="1">
      <c r="J412" s="210"/>
      <c r="K412" s="183"/>
      <c r="L412" s="183"/>
    </row>
    <row r="413" spans="10:12" ht="15.75" customHeight="1">
      <c r="J413" s="210"/>
      <c r="K413" s="183"/>
      <c r="L413" s="183"/>
    </row>
    <row r="414" spans="10:12" ht="15.75" customHeight="1">
      <c r="J414" s="210"/>
      <c r="K414" s="183"/>
      <c r="L414" s="183"/>
    </row>
    <row r="415" spans="10:12" ht="15.75" customHeight="1">
      <c r="J415" s="210"/>
      <c r="K415" s="183"/>
      <c r="L415" s="183"/>
    </row>
    <row r="416" spans="10:12" ht="15.75" customHeight="1">
      <c r="J416" s="210"/>
      <c r="K416" s="183"/>
      <c r="L416" s="183"/>
    </row>
    <row r="417" spans="10:12" ht="15.75" customHeight="1">
      <c r="J417" s="210"/>
      <c r="K417" s="183"/>
      <c r="L417" s="183"/>
    </row>
    <row r="418" spans="10:12" ht="15.75" customHeight="1">
      <c r="J418" s="210"/>
      <c r="K418" s="183"/>
      <c r="L418" s="183"/>
    </row>
    <row r="419" spans="10:12" ht="15.75" customHeight="1">
      <c r="J419" s="210"/>
      <c r="K419" s="183"/>
      <c r="L419" s="183"/>
    </row>
    <row r="420" spans="10:12" ht="15.75" customHeight="1">
      <c r="J420" s="210"/>
      <c r="K420" s="183"/>
      <c r="L420" s="183"/>
    </row>
    <row r="421" spans="10:12" ht="15.75" customHeight="1">
      <c r="J421" s="210"/>
      <c r="K421" s="183"/>
      <c r="L421" s="183"/>
    </row>
    <row r="422" spans="10:12" ht="15.75" customHeight="1">
      <c r="J422" s="210"/>
      <c r="K422" s="183"/>
      <c r="L422" s="183"/>
    </row>
    <row r="423" spans="10:12" ht="15.75" customHeight="1">
      <c r="J423" s="210"/>
      <c r="K423" s="183"/>
      <c r="L423" s="183"/>
    </row>
    <row r="424" spans="10:12" ht="15.75" customHeight="1">
      <c r="J424" s="210"/>
      <c r="K424" s="183"/>
      <c r="L424" s="183"/>
    </row>
    <row r="425" spans="10:12" ht="15.75" customHeight="1">
      <c r="J425" s="210"/>
      <c r="K425" s="183"/>
      <c r="L425" s="183"/>
    </row>
    <row r="426" spans="10:12" ht="15.75" customHeight="1">
      <c r="J426" s="210"/>
      <c r="K426" s="183"/>
      <c r="L426" s="183"/>
    </row>
    <row r="427" spans="10:12" ht="15.75" customHeight="1">
      <c r="J427" s="210"/>
      <c r="K427" s="183"/>
      <c r="L427" s="183"/>
    </row>
    <row r="428" spans="10:12" ht="15.75" customHeight="1">
      <c r="J428" s="210"/>
      <c r="K428" s="183"/>
      <c r="L428" s="183"/>
    </row>
    <row r="429" spans="10:12" ht="15.75" customHeight="1">
      <c r="J429" s="210"/>
      <c r="K429" s="183"/>
      <c r="L429" s="183"/>
    </row>
    <row r="430" spans="10:12" ht="15.75" customHeight="1">
      <c r="J430" s="210"/>
      <c r="K430" s="183"/>
      <c r="L430" s="183"/>
    </row>
    <row r="431" spans="10:12" ht="15.75" customHeight="1">
      <c r="J431" s="210"/>
      <c r="K431" s="183"/>
      <c r="L431" s="183"/>
    </row>
    <row r="432" spans="10:12" ht="15.75" customHeight="1">
      <c r="J432" s="210"/>
      <c r="K432" s="183"/>
      <c r="L432" s="183"/>
    </row>
    <row r="433" spans="10:12" ht="15.75" customHeight="1">
      <c r="J433" s="210"/>
      <c r="K433" s="183"/>
      <c r="L433" s="183"/>
    </row>
    <row r="434" spans="10:12" ht="15.75" customHeight="1">
      <c r="J434" s="210"/>
      <c r="K434" s="183"/>
      <c r="L434" s="183"/>
    </row>
    <row r="435" spans="10:12" ht="15.75" customHeight="1">
      <c r="J435" s="210"/>
      <c r="K435" s="183"/>
      <c r="L435" s="183"/>
    </row>
    <row r="436" spans="10:12" ht="15.75" customHeight="1">
      <c r="J436" s="210"/>
      <c r="K436" s="183"/>
      <c r="L436" s="183"/>
    </row>
    <row r="437" spans="10:12" ht="15.75" customHeight="1">
      <c r="J437" s="210"/>
      <c r="K437" s="183"/>
      <c r="L437" s="183"/>
    </row>
    <row r="438" spans="10:12" ht="15.75" customHeight="1">
      <c r="J438" s="210"/>
      <c r="K438" s="183"/>
      <c r="L438" s="183"/>
    </row>
    <row r="439" spans="10:12" ht="15.75" customHeight="1">
      <c r="J439" s="210"/>
      <c r="K439" s="183"/>
      <c r="L439" s="183"/>
    </row>
    <row r="440" spans="10:12" ht="15.75" customHeight="1">
      <c r="J440" s="210"/>
      <c r="K440" s="183"/>
      <c r="L440" s="183"/>
    </row>
    <row r="441" spans="10:12" ht="15.75" customHeight="1">
      <c r="J441" s="210"/>
      <c r="K441" s="183"/>
      <c r="L441" s="183"/>
    </row>
    <row r="442" spans="10:12" ht="15.75" customHeight="1">
      <c r="J442" s="210"/>
      <c r="K442" s="183"/>
      <c r="L442" s="183"/>
    </row>
    <row r="443" spans="10:12" ht="15.75" customHeight="1">
      <c r="J443" s="210"/>
      <c r="K443" s="183"/>
      <c r="L443" s="183"/>
    </row>
    <row r="444" spans="10:12" ht="15.75" customHeight="1">
      <c r="J444" s="210"/>
      <c r="K444" s="183"/>
      <c r="L444" s="183"/>
    </row>
    <row r="445" spans="10:12" ht="15.75" customHeight="1">
      <c r="J445" s="210"/>
      <c r="K445" s="183"/>
      <c r="L445" s="183"/>
    </row>
    <row r="446" spans="10:12" ht="15.75" customHeight="1">
      <c r="J446" s="210"/>
      <c r="K446" s="183"/>
      <c r="L446" s="183"/>
    </row>
    <row r="447" spans="10:12" ht="15.75" customHeight="1">
      <c r="J447" s="210"/>
      <c r="K447" s="183"/>
      <c r="L447" s="183"/>
    </row>
    <row r="448" spans="10:12" ht="15.75" customHeight="1">
      <c r="J448" s="210"/>
      <c r="K448" s="183"/>
      <c r="L448" s="183"/>
    </row>
    <row r="449" spans="10:12" ht="15.75" customHeight="1">
      <c r="J449" s="210"/>
      <c r="K449" s="183"/>
      <c r="L449" s="183"/>
    </row>
    <row r="450" spans="10:12" ht="15.75" customHeight="1">
      <c r="J450" s="210"/>
      <c r="K450" s="183"/>
      <c r="L450" s="183"/>
    </row>
    <row r="451" spans="10:12" ht="15.75" customHeight="1">
      <c r="J451" s="210"/>
      <c r="K451" s="183"/>
      <c r="L451" s="183"/>
    </row>
    <row r="452" spans="10:12" ht="15.75" customHeight="1">
      <c r="J452" s="210"/>
      <c r="K452" s="183"/>
      <c r="L452" s="183"/>
    </row>
    <row r="453" spans="10:12" ht="15.75" customHeight="1">
      <c r="J453" s="210"/>
      <c r="K453" s="183"/>
      <c r="L453" s="183"/>
    </row>
    <row r="454" spans="10:12" ht="15.75" customHeight="1">
      <c r="J454" s="210"/>
      <c r="K454" s="183"/>
      <c r="L454" s="183"/>
    </row>
    <row r="455" spans="10:12" ht="15.75" customHeight="1">
      <c r="J455" s="210"/>
      <c r="K455" s="183"/>
      <c r="L455" s="183"/>
    </row>
    <row r="456" spans="10:12" ht="15.75" customHeight="1">
      <c r="J456" s="210"/>
      <c r="K456" s="183"/>
      <c r="L456" s="183"/>
    </row>
    <row r="457" spans="10:12" ht="15.75" customHeight="1">
      <c r="J457" s="210"/>
      <c r="K457" s="183"/>
      <c r="L457" s="183"/>
    </row>
    <row r="458" spans="10:12" ht="15.75" customHeight="1">
      <c r="J458" s="210"/>
      <c r="K458" s="183"/>
      <c r="L458" s="183"/>
    </row>
    <row r="459" spans="10:12" ht="15.75" customHeight="1">
      <c r="J459" s="210"/>
      <c r="K459" s="183"/>
      <c r="L459" s="183"/>
    </row>
    <row r="460" spans="10:12" ht="15.75" customHeight="1">
      <c r="J460" s="210"/>
      <c r="K460" s="183"/>
      <c r="L460" s="183"/>
    </row>
    <row r="461" spans="10:12" ht="15.75" customHeight="1">
      <c r="J461" s="210"/>
      <c r="K461" s="183"/>
      <c r="L461" s="183"/>
    </row>
    <row r="462" spans="10:12" ht="15.75" customHeight="1">
      <c r="J462" s="210"/>
      <c r="K462" s="183"/>
      <c r="L462" s="183"/>
    </row>
    <row r="463" spans="10:12" ht="15.75" customHeight="1">
      <c r="J463" s="210"/>
      <c r="K463" s="183"/>
      <c r="L463" s="183"/>
    </row>
    <row r="464" spans="10:12" ht="15.75" customHeight="1">
      <c r="J464" s="210"/>
      <c r="K464" s="183"/>
      <c r="L464" s="183"/>
    </row>
    <row r="465" spans="10:12" ht="15.75" customHeight="1">
      <c r="J465" s="210"/>
      <c r="K465" s="183"/>
      <c r="L465" s="183"/>
    </row>
    <row r="466" spans="10:12" ht="15.75" customHeight="1">
      <c r="J466" s="210"/>
      <c r="K466" s="183"/>
      <c r="L466" s="183"/>
    </row>
    <row r="467" spans="10:12" ht="15.75" customHeight="1">
      <c r="J467" s="210"/>
      <c r="K467" s="183"/>
      <c r="L467" s="183"/>
    </row>
    <row r="468" spans="10:12" ht="15.75" customHeight="1">
      <c r="J468" s="210"/>
      <c r="K468" s="183"/>
      <c r="L468" s="183"/>
    </row>
    <row r="469" spans="10:12" ht="15.75" customHeight="1">
      <c r="J469" s="210"/>
      <c r="K469" s="183"/>
      <c r="L469" s="183"/>
    </row>
    <row r="470" spans="10:12" ht="15.75" customHeight="1">
      <c r="J470" s="210"/>
      <c r="K470" s="183"/>
      <c r="L470" s="183"/>
    </row>
    <row r="471" spans="10:12" ht="15.75" customHeight="1">
      <c r="J471" s="210"/>
      <c r="K471" s="183"/>
      <c r="L471" s="183"/>
    </row>
    <row r="472" spans="10:12" ht="15.75" customHeight="1">
      <c r="J472" s="210"/>
      <c r="K472" s="183"/>
      <c r="L472" s="183"/>
    </row>
    <row r="473" spans="10:12" ht="15.75" customHeight="1">
      <c r="J473" s="210"/>
      <c r="K473" s="183"/>
      <c r="L473" s="183"/>
    </row>
    <row r="474" spans="10:12" ht="15.75" customHeight="1">
      <c r="J474" s="210"/>
      <c r="K474" s="183"/>
      <c r="L474" s="183"/>
    </row>
    <row r="475" spans="10:12" ht="15.75" customHeight="1">
      <c r="J475" s="210"/>
      <c r="K475" s="183"/>
      <c r="L475" s="183"/>
    </row>
    <row r="476" spans="10:12" ht="15.75" customHeight="1">
      <c r="J476" s="210"/>
      <c r="K476" s="183"/>
      <c r="L476" s="183"/>
    </row>
    <row r="477" spans="10:12" ht="15.75" customHeight="1">
      <c r="J477" s="210"/>
      <c r="K477" s="183"/>
      <c r="L477" s="183"/>
    </row>
    <row r="478" spans="10:12" ht="15.75" customHeight="1">
      <c r="J478" s="210"/>
      <c r="K478" s="183"/>
      <c r="L478" s="183"/>
    </row>
    <row r="479" spans="10:12" ht="15.75" customHeight="1">
      <c r="J479" s="210"/>
      <c r="K479" s="183"/>
      <c r="L479" s="183"/>
    </row>
    <row r="480" spans="10:12" ht="15.75" customHeight="1">
      <c r="J480" s="210"/>
      <c r="K480" s="183"/>
      <c r="L480" s="183"/>
    </row>
    <row r="481" spans="10:12" ht="15.75" customHeight="1">
      <c r="J481" s="210"/>
      <c r="K481" s="183"/>
      <c r="L481" s="183"/>
    </row>
    <row r="482" spans="10:12" ht="15.75" customHeight="1">
      <c r="J482" s="210"/>
      <c r="K482" s="183"/>
      <c r="L482" s="183"/>
    </row>
    <row r="483" spans="10:12" ht="15.75" customHeight="1">
      <c r="J483" s="210"/>
      <c r="K483" s="183"/>
      <c r="L483" s="183"/>
    </row>
    <row r="484" spans="10:12" ht="15.75" customHeight="1">
      <c r="J484" s="210"/>
      <c r="K484" s="183"/>
      <c r="L484" s="183"/>
    </row>
    <row r="485" spans="10:12" ht="15.75" customHeight="1">
      <c r="J485" s="210"/>
      <c r="K485" s="183"/>
      <c r="L485" s="183"/>
    </row>
    <row r="486" spans="10:12" ht="15.75" customHeight="1">
      <c r="J486" s="210"/>
      <c r="K486" s="183"/>
      <c r="L486" s="183"/>
    </row>
    <row r="487" spans="10:12" ht="15.75" customHeight="1">
      <c r="J487" s="210"/>
      <c r="K487" s="183"/>
      <c r="L487" s="183"/>
    </row>
    <row r="488" spans="10:12" ht="15.75" customHeight="1">
      <c r="J488" s="210"/>
      <c r="K488" s="183"/>
      <c r="L488" s="183"/>
    </row>
    <row r="489" spans="10:12" ht="15.75" customHeight="1">
      <c r="J489" s="210"/>
      <c r="K489" s="183"/>
      <c r="L489" s="183"/>
    </row>
    <row r="490" spans="10:12" ht="15.75" customHeight="1">
      <c r="J490" s="210"/>
      <c r="K490" s="183"/>
      <c r="L490" s="183"/>
    </row>
    <row r="491" spans="10:12" ht="15.75" customHeight="1">
      <c r="J491" s="210"/>
      <c r="K491" s="183"/>
      <c r="L491" s="183"/>
    </row>
    <row r="492" spans="10:12" ht="15.75" customHeight="1">
      <c r="J492" s="210"/>
      <c r="K492" s="183"/>
      <c r="L492" s="183"/>
    </row>
    <row r="493" spans="10:12" ht="15.75" customHeight="1">
      <c r="J493" s="210"/>
      <c r="K493" s="183"/>
      <c r="L493" s="183"/>
    </row>
    <row r="494" spans="10:12" ht="15.75" customHeight="1">
      <c r="J494" s="210"/>
      <c r="K494" s="183"/>
      <c r="L494" s="183"/>
    </row>
    <row r="495" spans="10:12" ht="15.75" customHeight="1">
      <c r="J495" s="210"/>
      <c r="K495" s="183"/>
      <c r="L495" s="183"/>
    </row>
    <row r="496" spans="10:12" ht="15.75" customHeight="1">
      <c r="J496" s="210"/>
      <c r="K496" s="183"/>
      <c r="L496" s="183"/>
    </row>
    <row r="497" spans="10:12" ht="15.75" customHeight="1">
      <c r="J497" s="210"/>
      <c r="K497" s="183"/>
      <c r="L497" s="183"/>
    </row>
    <row r="498" spans="10:12" ht="15.75" customHeight="1">
      <c r="J498" s="210"/>
      <c r="K498" s="183"/>
      <c r="L498" s="183"/>
    </row>
    <row r="499" spans="10:12" ht="15.75" customHeight="1">
      <c r="J499" s="210"/>
      <c r="K499" s="183"/>
      <c r="L499" s="183"/>
    </row>
    <row r="500" spans="10:12" ht="15.75" customHeight="1">
      <c r="J500" s="210"/>
      <c r="K500" s="183"/>
      <c r="L500" s="183"/>
    </row>
    <row r="501" spans="10:12" ht="15.75" customHeight="1">
      <c r="J501" s="210"/>
      <c r="K501" s="183"/>
      <c r="L501" s="183"/>
    </row>
    <row r="502" spans="10:12" ht="15.75" customHeight="1">
      <c r="J502" s="210"/>
      <c r="K502" s="183"/>
      <c r="L502" s="183"/>
    </row>
    <row r="503" spans="10:12" ht="15.75" customHeight="1">
      <c r="J503" s="210"/>
      <c r="K503" s="183"/>
      <c r="L503" s="183"/>
    </row>
    <row r="504" spans="10:12" ht="15.75" customHeight="1">
      <c r="J504" s="210"/>
      <c r="K504" s="183"/>
      <c r="L504" s="183"/>
    </row>
    <row r="505" spans="10:12" ht="15.75" customHeight="1">
      <c r="J505" s="210"/>
      <c r="K505" s="183"/>
      <c r="L505" s="183"/>
    </row>
    <row r="506" spans="10:12" ht="15.75" customHeight="1">
      <c r="J506" s="210"/>
      <c r="K506" s="183"/>
      <c r="L506" s="183"/>
    </row>
    <row r="507" spans="10:12" ht="15.75" customHeight="1">
      <c r="J507" s="210"/>
      <c r="K507" s="183"/>
      <c r="L507" s="183"/>
    </row>
    <row r="508" spans="10:12" ht="15.75" customHeight="1">
      <c r="J508" s="210"/>
      <c r="K508" s="183"/>
      <c r="L508" s="183"/>
    </row>
    <row r="509" spans="10:12" ht="15.75" customHeight="1">
      <c r="J509" s="210"/>
      <c r="K509" s="183"/>
      <c r="L509" s="183"/>
    </row>
    <row r="510" spans="10:12" ht="15.75" customHeight="1">
      <c r="J510" s="210"/>
      <c r="K510" s="183"/>
      <c r="L510" s="183"/>
    </row>
    <row r="511" spans="10:12" ht="15.75" customHeight="1">
      <c r="J511" s="210"/>
      <c r="K511" s="183"/>
      <c r="L511" s="183"/>
    </row>
    <row r="512" spans="10:12" ht="15.75" customHeight="1">
      <c r="J512" s="210"/>
      <c r="K512" s="183"/>
      <c r="L512" s="183"/>
    </row>
    <row r="513" spans="10:12" ht="15.75" customHeight="1">
      <c r="J513" s="210"/>
      <c r="K513" s="183"/>
      <c r="L513" s="183"/>
    </row>
    <row r="514" spans="10:12" ht="15.75" customHeight="1">
      <c r="J514" s="210"/>
      <c r="K514" s="183"/>
      <c r="L514" s="183"/>
    </row>
    <row r="515" spans="10:12" ht="15.75" customHeight="1">
      <c r="J515" s="210"/>
      <c r="K515" s="183"/>
      <c r="L515" s="183"/>
    </row>
    <row r="516" spans="10:12" ht="15.75" customHeight="1">
      <c r="J516" s="210"/>
      <c r="K516" s="183"/>
      <c r="L516" s="183"/>
    </row>
    <row r="517" spans="10:12" ht="15.75" customHeight="1">
      <c r="J517" s="210"/>
      <c r="K517" s="183"/>
      <c r="L517" s="183"/>
    </row>
    <row r="518" spans="10:12" ht="15.75" customHeight="1">
      <c r="J518" s="210"/>
      <c r="K518" s="183"/>
      <c r="L518" s="183"/>
    </row>
    <row r="519" spans="10:12" ht="15.75" customHeight="1">
      <c r="J519" s="210"/>
      <c r="K519" s="183"/>
      <c r="L519" s="183"/>
    </row>
    <row r="520" spans="10:12" ht="15.75" customHeight="1">
      <c r="J520" s="210"/>
      <c r="K520" s="183"/>
      <c r="L520" s="183"/>
    </row>
    <row r="521" spans="10:12" ht="15.75" customHeight="1">
      <c r="J521" s="210"/>
      <c r="K521" s="183"/>
      <c r="L521" s="183"/>
    </row>
    <row r="522" spans="10:12" ht="15.75" customHeight="1">
      <c r="J522" s="210"/>
      <c r="K522" s="183"/>
      <c r="L522" s="183"/>
    </row>
    <row r="523" spans="10:12" ht="15.75" customHeight="1">
      <c r="J523" s="210"/>
      <c r="K523" s="183"/>
      <c r="L523" s="183"/>
    </row>
    <row r="524" spans="10:12" ht="15.75" customHeight="1">
      <c r="J524" s="210"/>
      <c r="K524" s="183"/>
      <c r="L524" s="183"/>
    </row>
    <row r="525" spans="10:12" ht="15.75" customHeight="1">
      <c r="J525" s="210"/>
      <c r="K525" s="183"/>
      <c r="L525" s="183"/>
    </row>
    <row r="526" spans="10:12" ht="15.75" customHeight="1">
      <c r="J526" s="210"/>
      <c r="K526" s="183"/>
      <c r="L526" s="183"/>
    </row>
    <row r="527" spans="10:12" ht="15.75" customHeight="1">
      <c r="J527" s="210"/>
      <c r="K527" s="183"/>
      <c r="L527" s="183"/>
    </row>
    <row r="528" spans="10:12" ht="15.75" customHeight="1">
      <c r="J528" s="210"/>
      <c r="K528" s="183"/>
      <c r="L528" s="183"/>
    </row>
    <row r="529" spans="10:12" ht="15.75" customHeight="1">
      <c r="J529" s="210"/>
      <c r="K529" s="183"/>
      <c r="L529" s="183"/>
    </row>
    <row r="530" spans="10:12" ht="15.75" customHeight="1">
      <c r="J530" s="210"/>
      <c r="K530" s="183"/>
      <c r="L530" s="183"/>
    </row>
    <row r="531" spans="10:12" ht="15.75" customHeight="1">
      <c r="J531" s="210"/>
      <c r="K531" s="183"/>
      <c r="L531" s="183"/>
    </row>
    <row r="532" spans="10:12" ht="15.75" customHeight="1">
      <c r="J532" s="210"/>
      <c r="K532" s="183"/>
      <c r="L532" s="183"/>
    </row>
    <row r="533" spans="10:12" ht="15.75" customHeight="1">
      <c r="J533" s="210"/>
      <c r="K533" s="183"/>
      <c r="L533" s="183"/>
    </row>
    <row r="534" spans="10:12" ht="15.75" customHeight="1">
      <c r="J534" s="210"/>
      <c r="K534" s="183"/>
      <c r="L534" s="183"/>
    </row>
    <row r="535" spans="10:12" ht="15.75" customHeight="1">
      <c r="J535" s="210"/>
      <c r="K535" s="183"/>
      <c r="L535" s="183"/>
    </row>
    <row r="536" spans="10:12" ht="15.75" customHeight="1">
      <c r="J536" s="210"/>
      <c r="K536" s="183"/>
      <c r="L536" s="183"/>
    </row>
    <row r="537" spans="10:12" ht="15.75" customHeight="1">
      <c r="J537" s="210"/>
      <c r="K537" s="183"/>
      <c r="L537" s="183"/>
    </row>
    <row r="538" spans="10:12" ht="15.75" customHeight="1">
      <c r="J538" s="210"/>
      <c r="K538" s="183"/>
      <c r="L538" s="183"/>
    </row>
    <row r="539" spans="10:12" ht="15.75" customHeight="1">
      <c r="J539" s="210"/>
      <c r="K539" s="183"/>
      <c r="L539" s="183"/>
    </row>
    <row r="540" spans="10:12" ht="15.75" customHeight="1">
      <c r="J540" s="210"/>
      <c r="K540" s="183"/>
      <c r="L540" s="183"/>
    </row>
    <row r="541" spans="10:12" ht="15.75" customHeight="1">
      <c r="J541" s="210"/>
      <c r="K541" s="183"/>
      <c r="L541" s="183"/>
    </row>
    <row r="542" spans="10:12" ht="15.75" customHeight="1">
      <c r="J542" s="210"/>
      <c r="K542" s="183"/>
      <c r="L542" s="183"/>
    </row>
    <row r="543" spans="10:12" ht="15.75" customHeight="1">
      <c r="J543" s="210"/>
      <c r="K543" s="183"/>
      <c r="L543" s="183"/>
    </row>
    <row r="544" spans="10:12" ht="15.75" customHeight="1">
      <c r="J544" s="210"/>
      <c r="K544" s="183"/>
      <c r="L544" s="183"/>
    </row>
    <row r="545" spans="10:12" ht="15.75" customHeight="1">
      <c r="J545" s="210"/>
      <c r="K545" s="183"/>
      <c r="L545" s="183"/>
    </row>
    <row r="546" spans="10:12" ht="15.75" customHeight="1">
      <c r="J546" s="210"/>
      <c r="K546" s="183"/>
      <c r="L546" s="183"/>
    </row>
    <row r="547" spans="10:12" ht="15.75" customHeight="1">
      <c r="J547" s="210"/>
      <c r="K547" s="183"/>
      <c r="L547" s="183"/>
    </row>
    <row r="548" spans="10:12" ht="15.75" customHeight="1">
      <c r="J548" s="210"/>
      <c r="K548" s="183"/>
      <c r="L548" s="183"/>
    </row>
    <row r="549" spans="10:12" ht="15.75" customHeight="1">
      <c r="J549" s="210"/>
      <c r="K549" s="183"/>
      <c r="L549" s="183"/>
    </row>
    <row r="550" spans="10:12" ht="15.75" customHeight="1">
      <c r="J550" s="210"/>
      <c r="K550" s="183"/>
      <c r="L550" s="183"/>
    </row>
    <row r="551" spans="10:12" ht="15.75" customHeight="1">
      <c r="J551" s="210"/>
      <c r="K551" s="183"/>
      <c r="L551" s="183"/>
    </row>
    <row r="552" spans="10:12" ht="15.75" customHeight="1">
      <c r="J552" s="210"/>
      <c r="K552" s="183"/>
      <c r="L552" s="183"/>
    </row>
    <row r="553" spans="10:12" ht="15.75" customHeight="1">
      <c r="J553" s="210"/>
      <c r="K553" s="183"/>
      <c r="L553" s="183"/>
    </row>
    <row r="554" spans="10:12" ht="15.75" customHeight="1">
      <c r="J554" s="210"/>
      <c r="K554" s="183"/>
      <c r="L554" s="183"/>
    </row>
    <row r="555" spans="10:12" ht="15.75" customHeight="1">
      <c r="J555" s="210"/>
      <c r="K555" s="183"/>
      <c r="L555" s="183"/>
    </row>
    <row r="556" spans="10:12" ht="15.75" customHeight="1">
      <c r="J556" s="210"/>
      <c r="K556" s="183"/>
      <c r="L556" s="183"/>
    </row>
    <row r="557" spans="10:12" ht="15.75" customHeight="1">
      <c r="J557" s="210"/>
      <c r="K557" s="183"/>
      <c r="L557" s="183"/>
    </row>
    <row r="558" spans="10:12" ht="15.75" customHeight="1">
      <c r="J558" s="210"/>
      <c r="K558" s="183"/>
      <c r="L558" s="183"/>
    </row>
    <row r="559" spans="10:12" ht="15.75" customHeight="1">
      <c r="J559" s="210"/>
      <c r="K559" s="183"/>
      <c r="L559" s="183"/>
    </row>
    <row r="560" spans="10:12" ht="15.75" customHeight="1">
      <c r="J560" s="210"/>
      <c r="K560" s="183"/>
      <c r="L560" s="183"/>
    </row>
    <row r="561" spans="10:12" ht="15.75" customHeight="1">
      <c r="J561" s="210"/>
      <c r="K561" s="183"/>
      <c r="L561" s="183"/>
    </row>
    <row r="562" spans="10:12" ht="15.75" customHeight="1">
      <c r="J562" s="210"/>
      <c r="K562" s="183"/>
      <c r="L562" s="183"/>
    </row>
    <row r="563" spans="10:12" ht="15.75" customHeight="1">
      <c r="J563" s="210"/>
      <c r="K563" s="183"/>
      <c r="L563" s="183"/>
    </row>
    <row r="564" spans="10:12" ht="15.75" customHeight="1">
      <c r="J564" s="210"/>
      <c r="K564" s="183"/>
      <c r="L564" s="183"/>
    </row>
    <row r="565" spans="10:12" ht="15.75" customHeight="1">
      <c r="J565" s="210"/>
      <c r="K565" s="183"/>
      <c r="L565" s="183"/>
    </row>
    <row r="566" spans="10:12" ht="15.75" customHeight="1">
      <c r="J566" s="210"/>
      <c r="K566" s="183"/>
      <c r="L566" s="183"/>
    </row>
    <row r="567" spans="10:12" ht="15.75" customHeight="1">
      <c r="J567" s="210"/>
      <c r="K567" s="183"/>
      <c r="L567" s="183"/>
    </row>
    <row r="568" spans="10:12" ht="15.75" customHeight="1">
      <c r="J568" s="210"/>
      <c r="K568" s="183"/>
      <c r="L568" s="183"/>
    </row>
    <row r="569" spans="10:12" ht="15.75" customHeight="1">
      <c r="J569" s="210"/>
      <c r="K569" s="183"/>
      <c r="L569" s="183"/>
    </row>
    <row r="570" spans="10:12" ht="15.75" customHeight="1">
      <c r="J570" s="210"/>
      <c r="K570" s="183"/>
      <c r="L570" s="183"/>
    </row>
    <row r="571" spans="10:12" ht="15.75" customHeight="1">
      <c r="J571" s="210"/>
      <c r="K571" s="183"/>
      <c r="L571" s="183"/>
    </row>
    <row r="572" spans="10:12" ht="15.75" customHeight="1">
      <c r="J572" s="210"/>
      <c r="K572" s="183"/>
      <c r="L572" s="183"/>
    </row>
    <row r="573" spans="10:12" ht="15.75" customHeight="1">
      <c r="J573" s="210"/>
      <c r="K573" s="183"/>
      <c r="L573" s="183"/>
    </row>
    <row r="574" spans="10:12" ht="15.75" customHeight="1">
      <c r="J574" s="210"/>
      <c r="K574" s="183"/>
      <c r="L574" s="183"/>
    </row>
    <row r="575" spans="10:12" ht="15.75" customHeight="1">
      <c r="J575" s="210"/>
      <c r="K575" s="183"/>
      <c r="L575" s="183"/>
    </row>
    <row r="576" spans="10:12" ht="15.75" customHeight="1">
      <c r="J576" s="210"/>
      <c r="K576" s="183"/>
      <c r="L576" s="183"/>
    </row>
    <row r="577" spans="10:12" ht="15.75" customHeight="1">
      <c r="J577" s="210"/>
      <c r="K577" s="183"/>
      <c r="L577" s="183"/>
    </row>
    <row r="578" spans="10:12" ht="15.75" customHeight="1">
      <c r="J578" s="210"/>
      <c r="K578" s="183"/>
      <c r="L578" s="183"/>
    </row>
    <row r="579" spans="10:12" ht="15.75" customHeight="1">
      <c r="J579" s="210"/>
      <c r="K579" s="183"/>
      <c r="L579" s="183"/>
    </row>
    <row r="580" spans="10:12" ht="15.75" customHeight="1">
      <c r="J580" s="210"/>
      <c r="K580" s="183"/>
      <c r="L580" s="183"/>
    </row>
    <row r="581" spans="10:12" ht="15.75" customHeight="1">
      <c r="J581" s="210"/>
      <c r="K581" s="183"/>
      <c r="L581" s="183"/>
    </row>
    <row r="582" spans="10:12" ht="15.75" customHeight="1">
      <c r="J582" s="210"/>
      <c r="K582" s="183"/>
      <c r="L582" s="183"/>
    </row>
    <row r="583" spans="10:12" ht="15.75" customHeight="1">
      <c r="J583" s="210"/>
      <c r="K583" s="183"/>
      <c r="L583" s="183"/>
    </row>
    <row r="584" spans="10:12" ht="15.75" customHeight="1">
      <c r="J584" s="210"/>
      <c r="K584" s="183"/>
      <c r="L584" s="183"/>
    </row>
    <row r="585" spans="10:12" ht="15.75" customHeight="1">
      <c r="J585" s="210"/>
      <c r="K585" s="183"/>
      <c r="L585" s="183"/>
    </row>
    <row r="586" spans="10:12" ht="15.75" customHeight="1">
      <c r="J586" s="210"/>
      <c r="K586" s="183"/>
      <c r="L586" s="183"/>
    </row>
    <row r="587" spans="10:12" ht="15.75" customHeight="1">
      <c r="J587" s="210"/>
      <c r="K587" s="183"/>
      <c r="L587" s="183"/>
    </row>
    <row r="588" spans="10:12" ht="15.75" customHeight="1">
      <c r="J588" s="210"/>
      <c r="K588" s="183"/>
      <c r="L588" s="183"/>
    </row>
    <row r="589" spans="10:12" ht="15.75" customHeight="1">
      <c r="J589" s="210"/>
      <c r="K589" s="183"/>
      <c r="L589" s="183"/>
    </row>
    <row r="590" spans="10:12" ht="15.75" customHeight="1">
      <c r="J590" s="210"/>
      <c r="K590" s="183"/>
      <c r="L590" s="183"/>
    </row>
    <row r="591" spans="10:12" ht="15.75" customHeight="1">
      <c r="J591" s="210"/>
      <c r="K591" s="183"/>
      <c r="L591" s="183"/>
    </row>
    <row r="592" spans="10:12" ht="15.75" customHeight="1">
      <c r="J592" s="210"/>
      <c r="K592" s="183"/>
      <c r="L592" s="183"/>
    </row>
    <row r="593" spans="10:12" ht="15.75" customHeight="1">
      <c r="J593" s="210"/>
      <c r="K593" s="183"/>
      <c r="L593" s="183"/>
    </row>
    <row r="594" spans="10:12" ht="15.75" customHeight="1">
      <c r="J594" s="210"/>
      <c r="K594" s="183"/>
      <c r="L594" s="183"/>
    </row>
    <row r="595" spans="10:12" ht="15.75" customHeight="1">
      <c r="J595" s="210"/>
      <c r="K595" s="183"/>
      <c r="L595" s="183"/>
    </row>
    <row r="596" spans="10:12" ht="15.75" customHeight="1">
      <c r="J596" s="210"/>
      <c r="K596" s="183"/>
      <c r="L596" s="183"/>
    </row>
    <row r="597" spans="10:12" ht="15.75" customHeight="1">
      <c r="J597" s="210"/>
      <c r="K597" s="183"/>
      <c r="L597" s="183"/>
    </row>
    <row r="598" spans="10:12" ht="15.75" customHeight="1">
      <c r="J598" s="210"/>
      <c r="K598" s="183"/>
      <c r="L598" s="183"/>
    </row>
    <row r="599" spans="10:12" ht="15.75" customHeight="1">
      <c r="J599" s="210"/>
      <c r="K599" s="183"/>
      <c r="L599" s="183"/>
    </row>
    <row r="600" spans="10:12" ht="15.75" customHeight="1">
      <c r="J600" s="210"/>
      <c r="K600" s="183"/>
      <c r="L600" s="183"/>
    </row>
    <row r="601" spans="10:12" ht="15.75" customHeight="1">
      <c r="J601" s="210"/>
      <c r="K601" s="183"/>
      <c r="L601" s="183"/>
    </row>
    <row r="602" spans="10:12" ht="15.75" customHeight="1">
      <c r="J602" s="210"/>
      <c r="K602" s="183"/>
      <c r="L602" s="183"/>
    </row>
    <row r="603" spans="10:12" ht="15.75" customHeight="1">
      <c r="J603" s="210"/>
      <c r="K603" s="183"/>
      <c r="L603" s="183"/>
    </row>
    <row r="604" spans="10:12" ht="15.75" customHeight="1">
      <c r="J604" s="210"/>
      <c r="K604" s="183"/>
      <c r="L604" s="183"/>
    </row>
    <row r="605" spans="10:12" ht="15.75" customHeight="1">
      <c r="J605" s="210"/>
      <c r="K605" s="183"/>
      <c r="L605" s="183"/>
    </row>
    <row r="606" spans="10:12" ht="15.75" customHeight="1">
      <c r="J606" s="210"/>
      <c r="K606" s="183"/>
      <c r="L606" s="183"/>
    </row>
    <row r="607" spans="10:12" ht="15.75" customHeight="1">
      <c r="J607" s="210"/>
      <c r="K607" s="183"/>
      <c r="L607" s="183"/>
    </row>
    <row r="608" spans="10:12" ht="15.75" customHeight="1">
      <c r="J608" s="210"/>
      <c r="K608" s="183"/>
      <c r="L608" s="183"/>
    </row>
    <row r="609" spans="10:12" ht="15.75" customHeight="1">
      <c r="J609" s="210"/>
      <c r="K609" s="183"/>
      <c r="L609" s="183"/>
    </row>
    <row r="610" spans="10:12" ht="15.75" customHeight="1">
      <c r="J610" s="210"/>
      <c r="K610" s="183"/>
      <c r="L610" s="183"/>
    </row>
    <row r="611" spans="10:12" ht="15.75" customHeight="1">
      <c r="J611" s="210"/>
      <c r="K611" s="183"/>
      <c r="L611" s="183"/>
    </row>
    <row r="612" spans="10:12" ht="15.75" customHeight="1">
      <c r="J612" s="210"/>
      <c r="K612" s="183"/>
      <c r="L612" s="183"/>
    </row>
    <row r="613" spans="10:12" ht="15.75" customHeight="1">
      <c r="J613" s="210"/>
      <c r="K613" s="183"/>
      <c r="L613" s="183"/>
    </row>
    <row r="614" spans="10:12" ht="15.75" customHeight="1">
      <c r="J614" s="210"/>
      <c r="K614" s="183"/>
      <c r="L614" s="183"/>
    </row>
    <row r="615" spans="10:12" ht="15.75" customHeight="1">
      <c r="J615" s="210"/>
      <c r="K615" s="183"/>
      <c r="L615" s="183"/>
    </row>
    <row r="616" spans="10:12" ht="15.75" customHeight="1">
      <c r="J616" s="210"/>
      <c r="K616" s="183"/>
      <c r="L616" s="183"/>
    </row>
    <row r="617" spans="10:12" ht="15.75" customHeight="1">
      <c r="J617" s="210"/>
      <c r="K617" s="183"/>
      <c r="L617" s="183"/>
    </row>
    <row r="618" spans="10:12" ht="15.75" customHeight="1">
      <c r="J618" s="210"/>
      <c r="K618" s="183"/>
      <c r="L618" s="183"/>
    </row>
    <row r="619" spans="10:12" ht="15.75" customHeight="1">
      <c r="J619" s="210"/>
      <c r="K619" s="183"/>
      <c r="L619" s="183"/>
    </row>
    <row r="620" spans="10:12" ht="15.75" customHeight="1">
      <c r="J620" s="210"/>
      <c r="K620" s="183"/>
      <c r="L620" s="183"/>
    </row>
    <row r="621" spans="10:12" ht="15.75" customHeight="1">
      <c r="J621" s="210"/>
      <c r="K621" s="183"/>
      <c r="L621" s="183"/>
    </row>
    <row r="622" spans="10:12" ht="15.75" customHeight="1">
      <c r="J622" s="210"/>
      <c r="K622" s="183"/>
      <c r="L622" s="183"/>
    </row>
    <row r="623" spans="10:12" ht="15.75" customHeight="1">
      <c r="J623" s="210"/>
      <c r="K623" s="183"/>
      <c r="L623" s="183"/>
    </row>
    <row r="624" spans="10:12" ht="15.75" customHeight="1">
      <c r="J624" s="210"/>
      <c r="K624" s="183"/>
      <c r="L624" s="183"/>
    </row>
    <row r="625" spans="10:12" ht="15.75" customHeight="1">
      <c r="J625" s="210"/>
      <c r="K625" s="183"/>
      <c r="L625" s="183"/>
    </row>
    <row r="626" spans="10:12" ht="15.75" customHeight="1">
      <c r="J626" s="210"/>
      <c r="K626" s="183"/>
      <c r="L626" s="183"/>
    </row>
    <row r="627" spans="10:12" ht="15.75" customHeight="1">
      <c r="J627" s="210"/>
      <c r="K627" s="183"/>
      <c r="L627" s="183"/>
    </row>
    <row r="628" spans="10:12" ht="15.75" customHeight="1">
      <c r="J628" s="210"/>
      <c r="K628" s="183"/>
      <c r="L628" s="183"/>
    </row>
    <row r="629" spans="10:12" ht="15.75" customHeight="1">
      <c r="J629" s="210"/>
      <c r="K629" s="183"/>
      <c r="L629" s="183"/>
    </row>
    <row r="630" spans="10:12" ht="15.75" customHeight="1">
      <c r="J630" s="210"/>
      <c r="K630" s="183"/>
      <c r="L630" s="183"/>
    </row>
    <row r="631" spans="10:12" ht="15.75" customHeight="1">
      <c r="J631" s="210"/>
      <c r="K631" s="183"/>
      <c r="L631" s="183"/>
    </row>
    <row r="632" spans="10:12" ht="15.75" customHeight="1">
      <c r="J632" s="210"/>
      <c r="K632" s="183"/>
      <c r="L632" s="183"/>
    </row>
    <row r="633" spans="10:12" ht="15.75" customHeight="1">
      <c r="J633" s="210"/>
      <c r="K633" s="183"/>
      <c r="L633" s="183"/>
    </row>
    <row r="634" spans="10:12" ht="15.75" customHeight="1">
      <c r="J634" s="210"/>
      <c r="K634" s="183"/>
      <c r="L634" s="183"/>
    </row>
    <row r="635" spans="10:12" ht="15.75" customHeight="1">
      <c r="J635" s="210"/>
      <c r="K635" s="183"/>
      <c r="L635" s="183"/>
    </row>
    <row r="636" spans="10:12" ht="15.75" customHeight="1">
      <c r="J636" s="210"/>
      <c r="K636" s="183"/>
      <c r="L636" s="183"/>
    </row>
    <row r="637" spans="10:12" ht="15.75" customHeight="1">
      <c r="J637" s="210"/>
      <c r="K637" s="183"/>
      <c r="L637" s="183"/>
    </row>
    <row r="638" spans="10:12" ht="15.75" customHeight="1">
      <c r="J638" s="210"/>
      <c r="K638" s="183"/>
      <c r="L638" s="183"/>
    </row>
    <row r="639" spans="10:12" ht="15.75" customHeight="1">
      <c r="J639" s="210"/>
      <c r="K639" s="183"/>
      <c r="L639" s="183"/>
    </row>
    <row r="640" spans="10:12" ht="15.75" customHeight="1">
      <c r="J640" s="210"/>
      <c r="K640" s="183"/>
      <c r="L640" s="183"/>
    </row>
    <row r="641" spans="10:12" ht="15.75" customHeight="1">
      <c r="J641" s="210"/>
      <c r="K641" s="183"/>
      <c r="L641" s="183"/>
    </row>
    <row r="642" spans="10:12" ht="15.75" customHeight="1">
      <c r="J642" s="210"/>
      <c r="K642" s="183"/>
      <c r="L642" s="183"/>
    </row>
    <row r="643" spans="10:12" ht="15.75" customHeight="1">
      <c r="J643" s="210"/>
      <c r="K643" s="183"/>
      <c r="L643" s="183"/>
    </row>
    <row r="644" spans="10:12" ht="15.75" customHeight="1">
      <c r="J644" s="210"/>
      <c r="K644" s="183"/>
      <c r="L644" s="183"/>
    </row>
    <row r="645" spans="10:12" ht="15.75" customHeight="1">
      <c r="J645" s="210"/>
      <c r="K645" s="183"/>
      <c r="L645" s="183"/>
    </row>
    <row r="646" spans="10:12" ht="15.75" customHeight="1">
      <c r="J646" s="210"/>
      <c r="K646" s="183"/>
      <c r="L646" s="183"/>
    </row>
    <row r="647" spans="10:12" ht="15.75" customHeight="1">
      <c r="J647" s="210"/>
      <c r="K647" s="183"/>
      <c r="L647" s="183"/>
    </row>
    <row r="648" spans="10:12" ht="15.75" customHeight="1">
      <c r="J648" s="210"/>
      <c r="K648" s="183"/>
      <c r="L648" s="183"/>
    </row>
    <row r="649" spans="10:12" ht="15.75" customHeight="1">
      <c r="J649" s="210"/>
      <c r="K649" s="183"/>
      <c r="L649" s="183"/>
    </row>
    <row r="650" spans="10:12" ht="15.75" customHeight="1">
      <c r="J650" s="210"/>
      <c r="K650" s="183"/>
      <c r="L650" s="183"/>
    </row>
    <row r="651" spans="10:12" ht="15.75" customHeight="1">
      <c r="J651" s="210"/>
      <c r="K651" s="183"/>
      <c r="L651" s="183"/>
    </row>
    <row r="652" spans="10:12" ht="15.75" customHeight="1">
      <c r="J652" s="210"/>
      <c r="K652" s="183"/>
      <c r="L652" s="183"/>
    </row>
    <row r="653" spans="10:12" ht="15.75" customHeight="1">
      <c r="J653" s="210"/>
      <c r="K653" s="183"/>
      <c r="L653" s="183"/>
    </row>
    <row r="654" spans="10:12" ht="15.75" customHeight="1">
      <c r="J654" s="210"/>
      <c r="K654" s="183"/>
      <c r="L654" s="183"/>
    </row>
    <row r="655" spans="10:12" ht="15.75" customHeight="1">
      <c r="J655" s="210"/>
      <c r="K655" s="183"/>
      <c r="L655" s="183"/>
    </row>
    <row r="656" spans="10:12" ht="15.75" customHeight="1">
      <c r="J656" s="210"/>
      <c r="K656" s="183"/>
      <c r="L656" s="183"/>
    </row>
    <row r="657" spans="10:12" ht="15.75" customHeight="1">
      <c r="J657" s="210"/>
      <c r="K657" s="183"/>
      <c r="L657" s="183"/>
    </row>
    <row r="658" spans="10:12" ht="15.75" customHeight="1">
      <c r="J658" s="210"/>
      <c r="K658" s="183"/>
      <c r="L658" s="183"/>
    </row>
    <row r="659" spans="10:12" ht="15.75" customHeight="1">
      <c r="J659" s="210"/>
      <c r="K659" s="183"/>
      <c r="L659" s="183"/>
    </row>
    <row r="660" spans="10:12" ht="15.75" customHeight="1">
      <c r="J660" s="210"/>
      <c r="K660" s="183"/>
      <c r="L660" s="183"/>
    </row>
    <row r="661" spans="10:12" ht="15.75" customHeight="1">
      <c r="J661" s="210"/>
      <c r="K661" s="183"/>
      <c r="L661" s="183"/>
    </row>
    <row r="662" spans="10:12" ht="15.75" customHeight="1">
      <c r="J662" s="210"/>
      <c r="K662" s="183"/>
      <c r="L662" s="183"/>
    </row>
    <row r="663" spans="10:12" ht="15.75" customHeight="1">
      <c r="J663" s="210"/>
      <c r="K663" s="183"/>
      <c r="L663" s="183"/>
    </row>
    <row r="664" spans="10:12" ht="15.75" customHeight="1">
      <c r="J664" s="210"/>
      <c r="K664" s="183"/>
      <c r="L664" s="183"/>
    </row>
    <row r="665" spans="10:12" ht="15.75" customHeight="1">
      <c r="J665" s="210"/>
      <c r="K665" s="183"/>
      <c r="L665" s="183"/>
    </row>
    <row r="666" spans="10:12" ht="15.75" customHeight="1">
      <c r="J666" s="210"/>
      <c r="K666" s="183"/>
      <c r="L666" s="183"/>
    </row>
    <row r="667" spans="10:12" ht="15.75" customHeight="1">
      <c r="J667" s="210"/>
      <c r="K667" s="183"/>
      <c r="L667" s="183"/>
    </row>
    <row r="668" spans="10:12" ht="15.75" customHeight="1">
      <c r="J668" s="210"/>
      <c r="K668" s="183"/>
      <c r="L668" s="183"/>
    </row>
    <row r="669" spans="10:12" ht="15.75" customHeight="1">
      <c r="J669" s="210"/>
      <c r="K669" s="183"/>
      <c r="L669" s="183"/>
    </row>
    <row r="670" spans="10:12" ht="15.75" customHeight="1">
      <c r="J670" s="210"/>
      <c r="K670" s="183"/>
      <c r="L670" s="183"/>
    </row>
    <row r="671" spans="10:12" ht="15.75" customHeight="1">
      <c r="J671" s="210"/>
      <c r="K671" s="183"/>
      <c r="L671" s="183"/>
    </row>
    <row r="672" spans="10:12" ht="15.75" customHeight="1">
      <c r="J672" s="210"/>
      <c r="K672" s="183"/>
      <c r="L672" s="183"/>
    </row>
    <row r="673" spans="10:12" ht="15.75" customHeight="1">
      <c r="J673" s="210"/>
      <c r="K673" s="183"/>
      <c r="L673" s="183"/>
    </row>
    <row r="674" spans="10:12" ht="15.75" customHeight="1">
      <c r="J674" s="210"/>
      <c r="K674" s="183"/>
      <c r="L674" s="183"/>
    </row>
    <row r="675" spans="10:12" ht="15.75" customHeight="1">
      <c r="J675" s="210"/>
      <c r="K675" s="183"/>
      <c r="L675" s="183"/>
    </row>
    <row r="676" spans="10:12" ht="15.75" customHeight="1">
      <c r="J676" s="210"/>
      <c r="K676" s="183"/>
      <c r="L676" s="183"/>
    </row>
    <row r="677" spans="10:12" ht="15.75" customHeight="1">
      <c r="J677" s="210"/>
      <c r="K677" s="183"/>
      <c r="L677" s="183"/>
    </row>
    <row r="678" spans="10:12" ht="15.75" customHeight="1">
      <c r="J678" s="210"/>
      <c r="K678" s="183"/>
      <c r="L678" s="183"/>
    </row>
    <row r="679" spans="10:12" ht="15.75" customHeight="1">
      <c r="J679" s="210"/>
      <c r="K679" s="183"/>
      <c r="L679" s="183"/>
    </row>
    <row r="680" spans="10:12" ht="15.75" customHeight="1">
      <c r="J680" s="210"/>
      <c r="K680" s="183"/>
      <c r="L680" s="183"/>
    </row>
    <row r="681" spans="10:12" ht="15.75" customHeight="1">
      <c r="J681" s="210"/>
      <c r="K681" s="183"/>
      <c r="L681" s="183"/>
    </row>
    <row r="682" spans="10:12" ht="15.75" customHeight="1">
      <c r="J682" s="210"/>
      <c r="K682" s="183"/>
      <c r="L682" s="183"/>
    </row>
    <row r="683" spans="10:12" ht="15.75" customHeight="1">
      <c r="J683" s="210"/>
      <c r="K683" s="183"/>
      <c r="L683" s="183"/>
    </row>
    <row r="684" spans="10:12" ht="15.75" customHeight="1">
      <c r="J684" s="210"/>
      <c r="K684" s="183"/>
      <c r="L684" s="183"/>
    </row>
    <row r="685" spans="10:12" ht="15.75" customHeight="1">
      <c r="J685" s="210"/>
      <c r="K685" s="183"/>
      <c r="L685" s="183"/>
    </row>
    <row r="686" spans="10:12" ht="15.75" customHeight="1">
      <c r="J686" s="210"/>
      <c r="K686" s="183"/>
      <c r="L686" s="183"/>
    </row>
    <row r="687" spans="10:12" ht="15.75" customHeight="1">
      <c r="J687" s="210"/>
      <c r="K687" s="183"/>
      <c r="L687" s="183"/>
    </row>
    <row r="688" spans="10:12" ht="15.75" customHeight="1">
      <c r="J688" s="210"/>
      <c r="K688" s="183"/>
      <c r="L688" s="183"/>
    </row>
    <row r="689" spans="10:12" ht="15.75" customHeight="1">
      <c r="J689" s="210"/>
      <c r="K689" s="183"/>
      <c r="L689" s="183"/>
    </row>
    <row r="690" spans="10:12" ht="15.75" customHeight="1">
      <c r="J690" s="210"/>
      <c r="K690" s="183"/>
      <c r="L690" s="183"/>
    </row>
    <row r="691" spans="10:12" ht="15.75" customHeight="1">
      <c r="J691" s="210"/>
      <c r="K691" s="183"/>
      <c r="L691" s="183"/>
    </row>
    <row r="692" spans="10:12" ht="15.75" customHeight="1">
      <c r="J692" s="210"/>
      <c r="K692" s="183"/>
      <c r="L692" s="183"/>
    </row>
    <row r="693" spans="10:12" ht="15.75" customHeight="1">
      <c r="J693" s="210"/>
      <c r="K693" s="183"/>
      <c r="L693" s="183"/>
    </row>
    <row r="694" spans="10:12" ht="15.75" customHeight="1">
      <c r="J694" s="210"/>
      <c r="K694" s="183"/>
      <c r="L694" s="183"/>
    </row>
    <row r="695" spans="10:12" ht="15.75" customHeight="1">
      <c r="J695" s="210"/>
      <c r="K695" s="183"/>
      <c r="L695" s="183"/>
    </row>
    <row r="696" spans="10:12" ht="15.75" customHeight="1">
      <c r="J696" s="210"/>
      <c r="K696" s="183"/>
      <c r="L696" s="183"/>
    </row>
    <row r="697" spans="10:12" ht="15.75" customHeight="1">
      <c r="J697" s="210"/>
      <c r="K697" s="183"/>
      <c r="L697" s="183"/>
    </row>
    <row r="698" spans="10:12" ht="15.75" customHeight="1">
      <c r="J698" s="210"/>
      <c r="K698" s="183"/>
      <c r="L698" s="183"/>
    </row>
    <row r="699" spans="10:12" ht="15.75" customHeight="1">
      <c r="J699" s="210"/>
      <c r="K699" s="183"/>
      <c r="L699" s="183"/>
    </row>
    <row r="700" spans="10:12" ht="15.75" customHeight="1">
      <c r="J700" s="210"/>
      <c r="K700" s="183"/>
      <c r="L700" s="183"/>
    </row>
    <row r="701" spans="10:12" ht="15.75" customHeight="1">
      <c r="J701" s="210"/>
      <c r="K701" s="183"/>
      <c r="L701" s="183"/>
    </row>
    <row r="702" spans="10:12" ht="15.75" customHeight="1">
      <c r="J702" s="210"/>
      <c r="K702" s="183"/>
      <c r="L702" s="183"/>
    </row>
    <row r="703" spans="10:12" ht="15.75" customHeight="1">
      <c r="J703" s="210"/>
      <c r="K703" s="183"/>
      <c r="L703" s="183"/>
    </row>
    <row r="704" spans="10:12" ht="15.75" customHeight="1">
      <c r="J704" s="210"/>
      <c r="K704" s="183"/>
      <c r="L704" s="183"/>
    </row>
    <row r="705" spans="10:12" ht="15.75" customHeight="1">
      <c r="J705" s="210"/>
      <c r="K705" s="183"/>
      <c r="L705" s="183"/>
    </row>
    <row r="706" spans="10:12" ht="15.75" customHeight="1">
      <c r="J706" s="210"/>
      <c r="K706" s="183"/>
      <c r="L706" s="183"/>
    </row>
    <row r="707" spans="10:12" ht="15.75" customHeight="1">
      <c r="J707" s="210"/>
      <c r="K707" s="183"/>
      <c r="L707" s="183"/>
    </row>
    <row r="708" spans="10:12" ht="15.75" customHeight="1">
      <c r="J708" s="210"/>
      <c r="K708" s="183"/>
      <c r="L708" s="183"/>
    </row>
    <row r="709" spans="10:12" ht="15.75" customHeight="1">
      <c r="J709" s="210"/>
      <c r="K709" s="183"/>
      <c r="L709" s="183"/>
    </row>
    <row r="710" spans="10:12" ht="15.75" customHeight="1">
      <c r="J710" s="210"/>
      <c r="K710" s="183"/>
      <c r="L710" s="183"/>
    </row>
    <row r="711" spans="10:12" ht="15.75" customHeight="1">
      <c r="J711" s="210"/>
      <c r="K711" s="183"/>
      <c r="L711" s="183"/>
    </row>
    <row r="712" spans="10:12" ht="15.75" customHeight="1">
      <c r="J712" s="210"/>
      <c r="K712" s="183"/>
      <c r="L712" s="183"/>
    </row>
    <row r="713" spans="10:12" ht="15.75" customHeight="1">
      <c r="J713" s="210"/>
      <c r="K713" s="183"/>
      <c r="L713" s="183"/>
    </row>
    <row r="714" spans="10:12" ht="15.75" customHeight="1">
      <c r="J714" s="210"/>
      <c r="K714" s="183"/>
      <c r="L714" s="183"/>
    </row>
    <row r="715" spans="10:12" ht="15.75" customHeight="1">
      <c r="J715" s="210"/>
      <c r="K715" s="183"/>
      <c r="L715" s="183"/>
    </row>
    <row r="716" spans="10:12" ht="15.75" customHeight="1">
      <c r="J716" s="210"/>
      <c r="K716" s="183"/>
      <c r="L716" s="183"/>
    </row>
    <row r="717" spans="10:12" ht="15.75" customHeight="1">
      <c r="J717" s="210"/>
      <c r="K717" s="183"/>
      <c r="L717" s="183"/>
    </row>
    <row r="718" spans="10:12" ht="15.75" customHeight="1">
      <c r="J718" s="210"/>
      <c r="K718" s="183"/>
      <c r="L718" s="183"/>
    </row>
    <row r="719" spans="10:12" ht="15.75" customHeight="1">
      <c r="J719" s="210"/>
      <c r="K719" s="183"/>
      <c r="L719" s="183"/>
    </row>
    <row r="720" spans="10:12" ht="15.75" customHeight="1">
      <c r="J720" s="210"/>
      <c r="K720" s="183"/>
      <c r="L720" s="183"/>
    </row>
    <row r="721" spans="10:12" ht="15.75" customHeight="1">
      <c r="J721" s="210"/>
      <c r="K721" s="183"/>
      <c r="L721" s="183"/>
    </row>
    <row r="722" spans="10:12" ht="15.75" customHeight="1">
      <c r="J722" s="210"/>
      <c r="K722" s="183"/>
      <c r="L722" s="183"/>
    </row>
    <row r="723" spans="10:12" ht="15.75" customHeight="1">
      <c r="J723" s="210"/>
      <c r="K723" s="183"/>
      <c r="L723" s="183"/>
    </row>
    <row r="724" spans="10:12" ht="15.75" customHeight="1">
      <c r="J724" s="210"/>
      <c r="K724" s="183"/>
      <c r="L724" s="183"/>
    </row>
    <row r="725" spans="10:12" ht="15.75" customHeight="1">
      <c r="J725" s="210"/>
      <c r="K725" s="183"/>
      <c r="L725" s="183"/>
    </row>
    <row r="726" spans="10:12" ht="15.75" customHeight="1">
      <c r="J726" s="210"/>
      <c r="K726" s="183"/>
      <c r="L726" s="183"/>
    </row>
    <row r="727" spans="10:12" ht="15.75" customHeight="1">
      <c r="J727" s="210"/>
      <c r="K727" s="183"/>
      <c r="L727" s="183"/>
    </row>
    <row r="728" spans="10:12" ht="15.75" customHeight="1">
      <c r="J728" s="210"/>
      <c r="K728" s="183"/>
      <c r="L728" s="183"/>
    </row>
    <row r="729" spans="10:12" ht="15.75" customHeight="1">
      <c r="J729" s="210"/>
      <c r="K729" s="183"/>
      <c r="L729" s="183"/>
    </row>
    <row r="730" spans="10:12" ht="15.75" customHeight="1">
      <c r="J730" s="210"/>
      <c r="K730" s="183"/>
      <c r="L730" s="183"/>
    </row>
    <row r="731" spans="10:12" ht="15.75" customHeight="1">
      <c r="J731" s="210"/>
      <c r="K731" s="183"/>
      <c r="L731" s="183"/>
    </row>
    <row r="732" spans="10:12" ht="15.75" customHeight="1">
      <c r="J732" s="210"/>
      <c r="K732" s="183"/>
      <c r="L732" s="183"/>
    </row>
    <row r="733" spans="10:12" ht="15.75" customHeight="1">
      <c r="J733" s="210"/>
      <c r="K733" s="183"/>
      <c r="L733" s="183"/>
    </row>
    <row r="734" spans="10:12" ht="15.75" customHeight="1">
      <c r="J734" s="210"/>
      <c r="K734" s="183"/>
      <c r="L734" s="183"/>
    </row>
    <row r="735" spans="10:12" ht="15.75" customHeight="1">
      <c r="J735" s="210"/>
      <c r="K735" s="183"/>
      <c r="L735" s="183"/>
    </row>
    <row r="736" spans="10:12" ht="15.75" customHeight="1">
      <c r="J736" s="210"/>
      <c r="K736" s="183"/>
      <c r="L736" s="183"/>
    </row>
    <row r="737" spans="10:12" ht="15.75" customHeight="1">
      <c r="J737" s="210"/>
      <c r="K737" s="183"/>
      <c r="L737" s="183"/>
    </row>
    <row r="738" spans="10:12" ht="15.75" customHeight="1">
      <c r="J738" s="210"/>
      <c r="K738" s="183"/>
      <c r="L738" s="183"/>
    </row>
    <row r="739" spans="10:12" ht="15.75" customHeight="1">
      <c r="J739" s="210"/>
      <c r="K739" s="183"/>
      <c r="L739" s="183"/>
    </row>
    <row r="740" spans="10:12" ht="15.75" customHeight="1">
      <c r="J740" s="210"/>
      <c r="K740" s="183"/>
      <c r="L740" s="183"/>
    </row>
    <row r="741" spans="10:12" ht="15.75" customHeight="1">
      <c r="J741" s="210"/>
      <c r="K741" s="183"/>
      <c r="L741" s="183"/>
    </row>
    <row r="742" spans="10:12" ht="15.75" customHeight="1">
      <c r="J742" s="210"/>
      <c r="K742" s="183"/>
      <c r="L742" s="183"/>
    </row>
    <row r="743" spans="10:12" ht="15.75" customHeight="1">
      <c r="J743" s="210"/>
      <c r="K743" s="183"/>
      <c r="L743" s="183"/>
    </row>
    <row r="744" spans="10:12" ht="15.75" customHeight="1">
      <c r="J744" s="210"/>
      <c r="K744" s="183"/>
      <c r="L744" s="183"/>
    </row>
    <row r="745" spans="10:12" ht="15.75" customHeight="1">
      <c r="J745" s="210"/>
      <c r="K745" s="183"/>
      <c r="L745" s="183"/>
    </row>
    <row r="746" spans="10:12" ht="15.75" customHeight="1">
      <c r="J746" s="210"/>
      <c r="K746" s="183"/>
      <c r="L746" s="183"/>
    </row>
    <row r="747" spans="10:12" ht="15.75" customHeight="1">
      <c r="J747" s="210"/>
      <c r="K747" s="183"/>
      <c r="L747" s="183"/>
    </row>
    <row r="748" spans="10:12" ht="15.75" customHeight="1">
      <c r="J748" s="210"/>
      <c r="K748" s="183"/>
      <c r="L748" s="183"/>
    </row>
    <row r="749" spans="10:12" ht="15.75" customHeight="1">
      <c r="J749" s="210"/>
      <c r="K749" s="183"/>
      <c r="L749" s="183"/>
    </row>
    <row r="750" spans="10:12" ht="15.75" customHeight="1">
      <c r="J750" s="210"/>
      <c r="K750" s="183"/>
      <c r="L750" s="183"/>
    </row>
    <row r="751" spans="10:12" ht="15.75" customHeight="1">
      <c r="J751" s="210"/>
      <c r="K751" s="183"/>
      <c r="L751" s="183"/>
    </row>
    <row r="752" spans="10:12" ht="15.75" customHeight="1">
      <c r="J752" s="210"/>
      <c r="K752" s="183"/>
      <c r="L752" s="183"/>
    </row>
    <row r="753" spans="10:12" ht="15.75" customHeight="1">
      <c r="J753" s="210"/>
      <c r="K753" s="183"/>
      <c r="L753" s="183"/>
    </row>
    <row r="754" spans="10:12" ht="15.75" customHeight="1">
      <c r="J754" s="210"/>
      <c r="K754" s="183"/>
      <c r="L754" s="183"/>
    </row>
    <row r="755" spans="10:12" ht="15.75" customHeight="1">
      <c r="J755" s="210"/>
      <c r="K755" s="183"/>
      <c r="L755" s="183"/>
    </row>
    <row r="756" spans="10:12" ht="15.75" customHeight="1">
      <c r="J756" s="210"/>
      <c r="K756" s="183"/>
      <c r="L756" s="183"/>
    </row>
    <row r="757" spans="10:12" ht="15.75" customHeight="1">
      <c r="J757" s="210"/>
      <c r="K757" s="183"/>
      <c r="L757" s="183"/>
    </row>
    <row r="758" spans="10:12" ht="15.75" customHeight="1">
      <c r="J758" s="210"/>
      <c r="K758" s="183"/>
      <c r="L758" s="183"/>
    </row>
    <row r="759" spans="10:12" ht="15.75" customHeight="1">
      <c r="J759" s="210"/>
      <c r="K759" s="183"/>
      <c r="L759" s="183"/>
    </row>
    <row r="760" spans="10:12" ht="15.75" customHeight="1">
      <c r="J760" s="210"/>
      <c r="K760" s="183"/>
      <c r="L760" s="183"/>
    </row>
    <row r="761" spans="10:12" ht="15.75" customHeight="1">
      <c r="J761" s="210"/>
      <c r="K761" s="183"/>
      <c r="L761" s="183"/>
    </row>
    <row r="762" spans="10:12" ht="15.75" customHeight="1">
      <c r="J762" s="210"/>
      <c r="K762" s="183"/>
      <c r="L762" s="183"/>
    </row>
    <row r="763" spans="10:12" ht="15.75" customHeight="1">
      <c r="J763" s="210"/>
      <c r="K763" s="183"/>
      <c r="L763" s="183"/>
    </row>
    <row r="764" spans="10:12" ht="15.75" customHeight="1">
      <c r="J764" s="210"/>
      <c r="K764" s="183"/>
      <c r="L764" s="183"/>
    </row>
    <row r="765" spans="10:12" ht="15.75" customHeight="1">
      <c r="J765" s="210"/>
      <c r="K765" s="183"/>
      <c r="L765" s="183"/>
    </row>
    <row r="766" spans="10:12" ht="15.75" customHeight="1">
      <c r="J766" s="210"/>
      <c r="K766" s="183"/>
      <c r="L766" s="183"/>
    </row>
    <row r="767" spans="10:12" ht="15.75" customHeight="1">
      <c r="J767" s="210"/>
      <c r="K767" s="183"/>
      <c r="L767" s="183"/>
    </row>
    <row r="768" spans="10:12" ht="15.75" customHeight="1">
      <c r="J768" s="210"/>
      <c r="K768" s="183"/>
      <c r="L768" s="183"/>
    </row>
    <row r="769" spans="10:12" ht="15.75" customHeight="1">
      <c r="J769" s="210"/>
      <c r="K769" s="183"/>
      <c r="L769" s="183"/>
    </row>
    <row r="770" spans="10:12" ht="15.75" customHeight="1">
      <c r="J770" s="210"/>
      <c r="K770" s="183"/>
      <c r="L770" s="183"/>
    </row>
    <row r="771" spans="10:12" ht="15.75" customHeight="1">
      <c r="J771" s="210"/>
      <c r="K771" s="183"/>
      <c r="L771" s="183"/>
    </row>
    <row r="772" spans="10:12" ht="15.75" customHeight="1">
      <c r="J772" s="210"/>
      <c r="K772" s="183"/>
      <c r="L772" s="183"/>
    </row>
    <row r="773" spans="10:12" ht="15.75" customHeight="1">
      <c r="J773" s="210"/>
      <c r="K773" s="183"/>
      <c r="L773" s="183"/>
    </row>
    <row r="774" spans="10:12" ht="15.75" customHeight="1">
      <c r="J774" s="210"/>
      <c r="K774" s="183"/>
      <c r="L774" s="183"/>
    </row>
    <row r="775" spans="10:12" ht="15.75" customHeight="1">
      <c r="J775" s="210"/>
      <c r="K775" s="183"/>
      <c r="L775" s="183"/>
    </row>
    <row r="776" spans="10:12" ht="15.75" customHeight="1">
      <c r="J776" s="210"/>
      <c r="K776" s="183"/>
      <c r="L776" s="183"/>
    </row>
    <row r="777" spans="10:12" ht="15.75" customHeight="1">
      <c r="J777" s="210"/>
      <c r="K777" s="183"/>
      <c r="L777" s="183"/>
    </row>
    <row r="778" spans="10:12" ht="15.75" customHeight="1">
      <c r="J778" s="210"/>
      <c r="K778" s="183"/>
      <c r="L778" s="183"/>
    </row>
    <row r="779" spans="10:12" ht="15.75" customHeight="1">
      <c r="J779" s="210"/>
      <c r="K779" s="183"/>
      <c r="L779" s="183"/>
    </row>
    <row r="780" spans="10:12" ht="15.75" customHeight="1">
      <c r="J780" s="210"/>
      <c r="K780" s="183"/>
      <c r="L780" s="183"/>
    </row>
    <row r="781" spans="10:12" ht="15.75" customHeight="1">
      <c r="J781" s="210"/>
      <c r="K781" s="183"/>
      <c r="L781" s="183"/>
    </row>
    <row r="782" spans="10:12" ht="15.75" customHeight="1">
      <c r="J782" s="210"/>
      <c r="K782" s="183"/>
      <c r="L782" s="183"/>
    </row>
    <row r="783" spans="10:12" ht="15.75" customHeight="1">
      <c r="J783" s="210"/>
      <c r="K783" s="183"/>
      <c r="L783" s="183"/>
    </row>
    <row r="784" spans="10:12" ht="15.75" customHeight="1">
      <c r="J784" s="210"/>
      <c r="K784" s="183"/>
      <c r="L784" s="183"/>
    </row>
    <row r="785" spans="10:12" ht="15.75" customHeight="1">
      <c r="J785" s="210"/>
      <c r="K785" s="183"/>
      <c r="L785" s="183"/>
    </row>
    <row r="786" spans="10:12" ht="15.75" customHeight="1">
      <c r="J786" s="210"/>
      <c r="K786" s="183"/>
      <c r="L786" s="183"/>
    </row>
    <row r="787" spans="10:12" ht="15.75" customHeight="1">
      <c r="J787" s="210"/>
      <c r="K787" s="183"/>
      <c r="L787" s="183"/>
    </row>
    <row r="788" spans="10:12" ht="15.75" customHeight="1">
      <c r="J788" s="210"/>
      <c r="K788" s="183"/>
      <c r="L788" s="183"/>
    </row>
    <row r="789" spans="10:12" ht="15.75" customHeight="1">
      <c r="J789" s="210"/>
      <c r="K789" s="183"/>
      <c r="L789" s="183"/>
    </row>
    <row r="790" spans="10:12" ht="15.75" customHeight="1">
      <c r="J790" s="210"/>
      <c r="K790" s="183"/>
      <c r="L790" s="183"/>
    </row>
    <row r="791" spans="10:12" ht="15.75" customHeight="1">
      <c r="J791" s="210"/>
      <c r="K791" s="183"/>
      <c r="L791" s="183"/>
    </row>
    <row r="792" spans="10:12" ht="15.75" customHeight="1">
      <c r="J792" s="210"/>
      <c r="K792" s="183"/>
      <c r="L792" s="183"/>
    </row>
    <row r="793" spans="10:12" ht="15.75" customHeight="1">
      <c r="J793" s="210"/>
      <c r="K793" s="183"/>
      <c r="L793" s="183"/>
    </row>
    <row r="794" spans="10:12" ht="15.75" customHeight="1">
      <c r="J794" s="210"/>
      <c r="K794" s="183"/>
      <c r="L794" s="183"/>
    </row>
    <row r="795" spans="10:12" ht="15.75" customHeight="1">
      <c r="J795" s="210"/>
      <c r="K795" s="183"/>
      <c r="L795" s="183"/>
    </row>
    <row r="796" spans="10:12" ht="15.75" customHeight="1">
      <c r="J796" s="210"/>
      <c r="K796" s="183"/>
      <c r="L796" s="183"/>
    </row>
    <row r="797" spans="10:12" ht="15.75" customHeight="1">
      <c r="J797" s="210"/>
      <c r="K797" s="183"/>
      <c r="L797" s="183"/>
    </row>
    <row r="798" spans="10:12" ht="15.75" customHeight="1">
      <c r="J798" s="210"/>
      <c r="K798" s="183"/>
      <c r="L798" s="183"/>
    </row>
    <row r="799" spans="10:12" ht="15.75" customHeight="1">
      <c r="J799" s="210"/>
      <c r="K799" s="183"/>
      <c r="L799" s="183"/>
    </row>
    <row r="800" spans="10:12" ht="15.75" customHeight="1">
      <c r="J800" s="210"/>
      <c r="K800" s="183"/>
      <c r="L800" s="183"/>
    </row>
    <row r="801" spans="10:12" ht="15.75" customHeight="1">
      <c r="J801" s="210"/>
      <c r="K801" s="183"/>
      <c r="L801" s="183"/>
    </row>
    <row r="802" spans="10:12" ht="15.75" customHeight="1">
      <c r="J802" s="210"/>
      <c r="K802" s="183"/>
      <c r="L802" s="183"/>
    </row>
    <row r="803" spans="10:12" ht="15.75" customHeight="1">
      <c r="J803" s="210"/>
      <c r="K803" s="183"/>
      <c r="L803" s="183"/>
    </row>
    <row r="804" spans="10:12" ht="15.75" customHeight="1">
      <c r="J804" s="210"/>
      <c r="K804" s="183"/>
      <c r="L804" s="183"/>
    </row>
    <row r="805" spans="10:12" ht="15.75" customHeight="1">
      <c r="J805" s="210"/>
      <c r="K805" s="183"/>
      <c r="L805" s="183"/>
    </row>
    <row r="806" spans="10:12" ht="15.75" customHeight="1">
      <c r="J806" s="210"/>
      <c r="K806" s="183"/>
      <c r="L806" s="183"/>
    </row>
    <row r="807" spans="10:12" ht="15.75" customHeight="1">
      <c r="J807" s="210"/>
      <c r="K807" s="183"/>
      <c r="L807" s="183"/>
    </row>
    <row r="808" spans="10:12" ht="15.75" customHeight="1">
      <c r="J808" s="210"/>
      <c r="K808" s="183"/>
      <c r="L808" s="183"/>
    </row>
    <row r="809" spans="10:12" ht="15.75" customHeight="1">
      <c r="J809" s="210"/>
      <c r="K809" s="183"/>
      <c r="L809" s="183"/>
    </row>
    <row r="810" spans="10:12" ht="15.75" customHeight="1">
      <c r="J810" s="210"/>
      <c r="K810" s="183"/>
      <c r="L810" s="183"/>
    </row>
    <row r="811" spans="10:12" ht="15.75" customHeight="1">
      <c r="J811" s="210"/>
      <c r="K811" s="183"/>
      <c r="L811" s="183"/>
    </row>
    <row r="812" spans="10:12" ht="15.75" customHeight="1">
      <c r="J812" s="210"/>
      <c r="K812" s="183"/>
      <c r="L812" s="183"/>
    </row>
    <row r="813" spans="10:12" ht="15.75" customHeight="1">
      <c r="J813" s="210"/>
      <c r="K813" s="183"/>
      <c r="L813" s="183"/>
    </row>
    <row r="814" spans="10:12" ht="15.75" customHeight="1">
      <c r="J814" s="210"/>
      <c r="K814" s="183"/>
      <c r="L814" s="183"/>
    </row>
    <row r="815" spans="10:12" ht="15.75" customHeight="1">
      <c r="J815" s="210"/>
      <c r="K815" s="183"/>
      <c r="L815" s="183"/>
    </row>
    <row r="816" spans="10:12" ht="15.75" customHeight="1">
      <c r="J816" s="210"/>
      <c r="K816" s="183"/>
      <c r="L816" s="183"/>
    </row>
    <row r="817" spans="10:12" ht="15.75" customHeight="1">
      <c r="J817" s="210"/>
      <c r="K817" s="183"/>
      <c r="L817" s="183"/>
    </row>
    <row r="818" spans="10:12" ht="15.75" customHeight="1">
      <c r="J818" s="210"/>
      <c r="K818" s="183"/>
      <c r="L818" s="183"/>
    </row>
    <row r="819" spans="10:12" ht="15.75" customHeight="1">
      <c r="J819" s="210"/>
      <c r="K819" s="183"/>
      <c r="L819" s="183"/>
    </row>
    <row r="820" spans="10:12" ht="15.75" customHeight="1">
      <c r="J820" s="210"/>
      <c r="K820" s="183"/>
      <c r="L820" s="183"/>
    </row>
    <row r="821" spans="10:12" ht="15.75" customHeight="1">
      <c r="J821" s="210"/>
      <c r="K821" s="183"/>
      <c r="L821" s="183"/>
    </row>
    <row r="822" spans="10:12" ht="15.75" customHeight="1">
      <c r="J822" s="210"/>
      <c r="K822" s="183"/>
      <c r="L822" s="183"/>
    </row>
    <row r="823" spans="10:12" ht="15.75" customHeight="1">
      <c r="J823" s="210"/>
      <c r="K823" s="183"/>
      <c r="L823" s="183"/>
    </row>
    <row r="824" spans="10:12" ht="15.75" customHeight="1">
      <c r="J824" s="210"/>
      <c r="K824" s="183"/>
      <c r="L824" s="183"/>
    </row>
    <row r="825" spans="10:12" ht="15.75" customHeight="1">
      <c r="J825" s="210"/>
      <c r="K825" s="183"/>
      <c r="L825" s="183"/>
    </row>
    <row r="826" spans="10:12" ht="15.75" customHeight="1">
      <c r="J826" s="210"/>
      <c r="K826" s="183"/>
      <c r="L826" s="183"/>
    </row>
    <row r="827" spans="10:12" ht="15.75" customHeight="1">
      <c r="J827" s="210"/>
      <c r="K827" s="183"/>
      <c r="L827" s="183"/>
    </row>
    <row r="828" spans="10:12" ht="15.75" customHeight="1">
      <c r="J828" s="210"/>
      <c r="K828" s="183"/>
      <c r="L828" s="183"/>
    </row>
    <row r="829" spans="10:12" ht="15.75" customHeight="1">
      <c r="J829" s="210"/>
      <c r="K829" s="183"/>
      <c r="L829" s="183"/>
    </row>
    <row r="830" spans="10:12" ht="15.75" customHeight="1">
      <c r="J830" s="210"/>
      <c r="K830" s="183"/>
      <c r="L830" s="183"/>
    </row>
    <row r="831" spans="10:12" ht="15.75" customHeight="1">
      <c r="J831" s="210"/>
      <c r="K831" s="183"/>
      <c r="L831" s="183"/>
    </row>
    <row r="832" spans="10:12" ht="15.75" customHeight="1">
      <c r="J832" s="210"/>
      <c r="K832" s="183"/>
      <c r="L832" s="183"/>
    </row>
    <row r="833" spans="10:12" ht="15.75" customHeight="1">
      <c r="J833" s="210"/>
      <c r="K833" s="183"/>
      <c r="L833" s="183"/>
    </row>
    <row r="834" spans="10:12" ht="15.75" customHeight="1">
      <c r="J834" s="210"/>
      <c r="K834" s="183"/>
      <c r="L834" s="183"/>
    </row>
    <row r="835" spans="10:12" ht="15.75" customHeight="1">
      <c r="J835" s="210"/>
      <c r="K835" s="183"/>
      <c r="L835" s="183"/>
    </row>
    <row r="836" spans="10:12" ht="15.75" customHeight="1">
      <c r="J836" s="210"/>
      <c r="K836" s="183"/>
      <c r="L836" s="183"/>
    </row>
    <row r="837" spans="10:12" ht="15.75" customHeight="1">
      <c r="J837" s="210"/>
      <c r="K837" s="183"/>
      <c r="L837" s="183"/>
    </row>
    <row r="838" spans="10:12" ht="15.75" customHeight="1">
      <c r="J838" s="210"/>
      <c r="K838" s="183"/>
      <c r="L838" s="183"/>
    </row>
    <row r="839" spans="10:12" ht="15.75" customHeight="1">
      <c r="J839" s="210"/>
      <c r="K839" s="183"/>
      <c r="L839" s="183"/>
    </row>
    <row r="840" spans="10:12" ht="15.75" customHeight="1">
      <c r="J840" s="210"/>
      <c r="K840" s="183"/>
      <c r="L840" s="183"/>
    </row>
    <row r="841" spans="10:12" ht="15.75" customHeight="1">
      <c r="J841" s="210"/>
      <c r="K841" s="183"/>
      <c r="L841" s="183"/>
    </row>
    <row r="842" spans="10:12" ht="15.75" customHeight="1">
      <c r="J842" s="210"/>
      <c r="K842" s="183"/>
      <c r="L842" s="183"/>
    </row>
    <row r="843" spans="10:12" ht="15.75" customHeight="1">
      <c r="J843" s="210"/>
      <c r="K843" s="183"/>
      <c r="L843" s="183"/>
    </row>
    <row r="844" spans="10:12" ht="15.75" customHeight="1">
      <c r="J844" s="210"/>
      <c r="K844" s="183"/>
      <c r="L844" s="183"/>
    </row>
    <row r="845" spans="10:12" ht="15.75" customHeight="1">
      <c r="J845" s="210"/>
      <c r="K845" s="183"/>
      <c r="L845" s="183"/>
    </row>
    <row r="846" spans="10:12" ht="15.75" customHeight="1">
      <c r="J846" s="210"/>
      <c r="K846" s="183"/>
      <c r="L846" s="183"/>
    </row>
    <row r="847" spans="10:12" ht="15.75" customHeight="1">
      <c r="J847" s="210"/>
      <c r="K847" s="183"/>
      <c r="L847" s="183"/>
    </row>
    <row r="848" spans="10:12" ht="15.75" customHeight="1">
      <c r="J848" s="210"/>
      <c r="K848" s="183"/>
      <c r="L848" s="183"/>
    </row>
    <row r="849" spans="10:12" ht="15.75" customHeight="1">
      <c r="J849" s="210"/>
      <c r="K849" s="183"/>
      <c r="L849" s="183"/>
    </row>
    <row r="850" spans="10:12" ht="15.75" customHeight="1">
      <c r="J850" s="210"/>
      <c r="K850" s="183"/>
      <c r="L850" s="183"/>
    </row>
    <row r="851" spans="10:12" ht="15.75" customHeight="1">
      <c r="J851" s="210"/>
      <c r="K851" s="183"/>
      <c r="L851" s="183"/>
    </row>
    <row r="852" spans="10:12" ht="15.75" customHeight="1">
      <c r="J852" s="210"/>
      <c r="K852" s="183"/>
      <c r="L852" s="183"/>
    </row>
    <row r="853" spans="10:12" ht="15.75" customHeight="1">
      <c r="J853" s="210"/>
      <c r="K853" s="183"/>
      <c r="L853" s="183"/>
    </row>
    <row r="854" spans="10:12" ht="15.75" customHeight="1">
      <c r="J854" s="210"/>
      <c r="K854" s="183"/>
      <c r="L854" s="183"/>
    </row>
    <row r="855" spans="10:12" ht="15.75" customHeight="1">
      <c r="J855" s="210"/>
      <c r="K855" s="183"/>
      <c r="L855" s="183"/>
    </row>
    <row r="856" spans="10:12" ht="15.75" customHeight="1">
      <c r="J856" s="210"/>
      <c r="K856" s="183"/>
      <c r="L856" s="183"/>
    </row>
    <row r="857" spans="10:12" ht="15.75" customHeight="1">
      <c r="J857" s="210"/>
      <c r="K857" s="183"/>
      <c r="L857" s="183"/>
    </row>
    <row r="858" spans="10:12" ht="15.75" customHeight="1">
      <c r="J858" s="210"/>
      <c r="K858" s="183"/>
      <c r="L858" s="183"/>
    </row>
    <row r="859" spans="10:12" ht="15.75" customHeight="1">
      <c r="J859" s="210"/>
      <c r="K859" s="183"/>
      <c r="L859" s="183"/>
    </row>
    <row r="860" spans="10:12" ht="15.75" customHeight="1">
      <c r="J860" s="210"/>
      <c r="K860" s="183"/>
      <c r="L860" s="183"/>
    </row>
    <row r="861" spans="10:12" ht="15.75" customHeight="1">
      <c r="J861" s="210"/>
      <c r="K861" s="183"/>
      <c r="L861" s="183"/>
    </row>
    <row r="862" spans="10:12" ht="15.75" customHeight="1">
      <c r="J862" s="210"/>
      <c r="K862" s="183"/>
      <c r="L862" s="183"/>
    </row>
    <row r="863" spans="10:12" ht="15.75" customHeight="1">
      <c r="J863" s="210"/>
      <c r="K863" s="183"/>
      <c r="L863" s="183"/>
    </row>
    <row r="864" spans="10:12" ht="15.75" customHeight="1">
      <c r="J864" s="210"/>
      <c r="K864" s="183"/>
      <c r="L864" s="183"/>
    </row>
    <row r="865" spans="10:12" ht="15.75" customHeight="1">
      <c r="J865" s="210"/>
      <c r="K865" s="183"/>
      <c r="L865" s="183"/>
    </row>
    <row r="866" spans="10:12" ht="15.75" customHeight="1">
      <c r="J866" s="210"/>
      <c r="K866" s="183"/>
      <c r="L866" s="183"/>
    </row>
    <row r="867" spans="10:12" ht="15.75" customHeight="1">
      <c r="J867" s="210"/>
      <c r="K867" s="183"/>
      <c r="L867" s="183"/>
    </row>
    <row r="868" spans="10:12" ht="15.75" customHeight="1">
      <c r="J868" s="210"/>
      <c r="K868" s="183"/>
      <c r="L868" s="183"/>
    </row>
    <row r="869" spans="10:12" ht="15.75" customHeight="1">
      <c r="J869" s="210"/>
      <c r="K869" s="183"/>
      <c r="L869" s="183"/>
    </row>
    <row r="870" spans="10:12" ht="15.75" customHeight="1">
      <c r="J870" s="210"/>
      <c r="K870" s="183"/>
      <c r="L870" s="183"/>
    </row>
    <row r="871" spans="10:12" ht="15.75" customHeight="1">
      <c r="J871" s="210"/>
      <c r="K871" s="183"/>
      <c r="L871" s="183"/>
    </row>
    <row r="872" spans="10:12" ht="15.75" customHeight="1">
      <c r="J872" s="210"/>
      <c r="K872" s="183"/>
      <c r="L872" s="183"/>
    </row>
    <row r="873" spans="10:12" ht="15.75" customHeight="1">
      <c r="J873" s="210"/>
      <c r="K873" s="183"/>
      <c r="L873" s="183"/>
    </row>
    <row r="874" spans="10:12" ht="15.75" customHeight="1">
      <c r="J874" s="210"/>
      <c r="K874" s="183"/>
      <c r="L874" s="183"/>
    </row>
    <row r="875" spans="10:12" ht="15.75" customHeight="1">
      <c r="J875" s="210"/>
      <c r="K875" s="183"/>
      <c r="L875" s="183"/>
    </row>
    <row r="876" spans="10:12" ht="15.75" customHeight="1">
      <c r="J876" s="210"/>
      <c r="K876" s="183"/>
      <c r="L876" s="183"/>
    </row>
    <row r="877" spans="10:12" ht="15.75" customHeight="1">
      <c r="J877" s="210"/>
      <c r="K877" s="183"/>
      <c r="L877" s="183"/>
    </row>
    <row r="878" spans="10:12" ht="15.75" customHeight="1">
      <c r="J878" s="210"/>
      <c r="K878" s="183"/>
      <c r="L878" s="183"/>
    </row>
    <row r="879" spans="10:12" ht="15.75" customHeight="1">
      <c r="J879" s="210"/>
      <c r="K879" s="183"/>
      <c r="L879" s="183"/>
    </row>
    <row r="880" spans="10:12" ht="15.75" customHeight="1">
      <c r="J880" s="210"/>
      <c r="K880" s="183"/>
      <c r="L880" s="183"/>
    </row>
    <row r="881" spans="10:12" ht="15.75" customHeight="1">
      <c r="J881" s="210"/>
      <c r="K881" s="183"/>
      <c r="L881" s="183"/>
    </row>
    <row r="882" spans="10:12" ht="15.75" customHeight="1">
      <c r="J882" s="210"/>
      <c r="K882" s="183"/>
      <c r="L882" s="183"/>
    </row>
    <row r="883" spans="10:12" ht="15.75" customHeight="1">
      <c r="J883" s="210"/>
      <c r="K883" s="183"/>
      <c r="L883" s="183"/>
    </row>
    <row r="884" spans="10:12" ht="15.75" customHeight="1">
      <c r="J884" s="210"/>
      <c r="K884" s="183"/>
      <c r="L884" s="183"/>
    </row>
    <row r="885" spans="10:12" ht="15.75" customHeight="1">
      <c r="J885" s="210"/>
      <c r="K885" s="183"/>
      <c r="L885" s="183"/>
    </row>
    <row r="886" spans="10:12" ht="15.75" customHeight="1">
      <c r="J886" s="210"/>
      <c r="K886" s="183"/>
      <c r="L886" s="183"/>
    </row>
    <row r="887" spans="10:12" ht="15.75" customHeight="1">
      <c r="J887" s="210"/>
      <c r="K887" s="183"/>
      <c r="L887" s="183"/>
    </row>
    <row r="888" spans="10:12" ht="15.75" customHeight="1">
      <c r="J888" s="210"/>
      <c r="K888" s="183"/>
      <c r="L888" s="183"/>
    </row>
    <row r="889" spans="10:12" ht="15.75" customHeight="1">
      <c r="J889" s="210"/>
      <c r="K889" s="183"/>
      <c r="L889" s="183"/>
    </row>
    <row r="890" spans="10:12" ht="15.75" customHeight="1">
      <c r="J890" s="210"/>
      <c r="K890" s="183"/>
      <c r="L890" s="183"/>
    </row>
    <row r="891" spans="10:12" ht="15.75" customHeight="1">
      <c r="J891" s="210"/>
      <c r="K891" s="183"/>
      <c r="L891" s="183"/>
    </row>
    <row r="892" spans="10:12" ht="15.75" customHeight="1">
      <c r="J892" s="210"/>
      <c r="K892" s="183"/>
      <c r="L892" s="183"/>
    </row>
    <row r="893" spans="10:12" ht="15.75" customHeight="1">
      <c r="J893" s="210"/>
      <c r="K893" s="183"/>
      <c r="L893" s="183"/>
    </row>
    <row r="894" spans="10:12" ht="15.75" customHeight="1">
      <c r="J894" s="210"/>
      <c r="K894" s="183"/>
      <c r="L894" s="183"/>
    </row>
    <row r="895" spans="10:12" ht="15.75" customHeight="1">
      <c r="J895" s="210"/>
      <c r="K895" s="183"/>
      <c r="L895" s="183"/>
    </row>
    <row r="896" spans="10:12" ht="15.75" customHeight="1">
      <c r="J896" s="210"/>
      <c r="K896" s="183"/>
      <c r="L896" s="183"/>
    </row>
    <row r="897" spans="10:12" ht="15.75" customHeight="1">
      <c r="J897" s="210"/>
      <c r="K897" s="183"/>
      <c r="L897" s="183"/>
    </row>
    <row r="898" spans="10:12" ht="15.75" customHeight="1">
      <c r="J898" s="210"/>
      <c r="K898" s="183"/>
      <c r="L898" s="183"/>
    </row>
    <row r="899" spans="10:12" ht="15.75" customHeight="1">
      <c r="J899" s="210"/>
      <c r="K899" s="183"/>
      <c r="L899" s="183"/>
    </row>
    <row r="900" spans="10:12" ht="15.75" customHeight="1">
      <c r="J900" s="210"/>
      <c r="K900" s="183"/>
      <c r="L900" s="183"/>
    </row>
    <row r="901" spans="10:12" ht="15.75" customHeight="1">
      <c r="J901" s="210"/>
      <c r="K901" s="183"/>
      <c r="L901" s="183"/>
    </row>
    <row r="902" spans="10:12" ht="15.75" customHeight="1">
      <c r="J902" s="210"/>
      <c r="K902" s="183"/>
      <c r="L902" s="183"/>
    </row>
    <row r="903" spans="10:12" ht="15.75" customHeight="1">
      <c r="J903" s="210"/>
      <c r="K903" s="183"/>
      <c r="L903" s="183"/>
    </row>
    <row r="904" spans="10:12" ht="15.75" customHeight="1">
      <c r="J904" s="210"/>
      <c r="K904" s="183"/>
      <c r="L904" s="183"/>
    </row>
    <row r="905" spans="10:12" ht="15.75" customHeight="1">
      <c r="J905" s="210"/>
      <c r="K905" s="183"/>
      <c r="L905" s="183"/>
    </row>
    <row r="906" spans="10:12" ht="15.75" customHeight="1">
      <c r="J906" s="210"/>
      <c r="K906" s="183"/>
      <c r="L906" s="183"/>
    </row>
    <row r="907" spans="10:12" ht="15.75" customHeight="1">
      <c r="J907" s="210"/>
      <c r="K907" s="183"/>
      <c r="L907" s="183"/>
    </row>
    <row r="908" spans="10:12" ht="15.75" customHeight="1">
      <c r="J908" s="210"/>
      <c r="K908" s="183"/>
      <c r="L908" s="183"/>
    </row>
    <row r="909" spans="10:12" ht="15.75" customHeight="1">
      <c r="J909" s="210"/>
      <c r="K909" s="183"/>
      <c r="L909" s="183"/>
    </row>
    <row r="910" spans="10:12" ht="15.75" customHeight="1">
      <c r="J910" s="210"/>
      <c r="K910" s="183"/>
      <c r="L910" s="183"/>
    </row>
    <row r="911" spans="10:12" ht="15.75" customHeight="1">
      <c r="J911" s="210"/>
      <c r="K911" s="183"/>
      <c r="L911" s="183"/>
    </row>
    <row r="912" spans="10:12" ht="15.75" customHeight="1">
      <c r="J912" s="210"/>
      <c r="K912" s="183"/>
      <c r="L912" s="183"/>
    </row>
    <row r="913" spans="10:12" ht="15.75" customHeight="1">
      <c r="J913" s="210"/>
      <c r="K913" s="183"/>
      <c r="L913" s="183"/>
    </row>
    <row r="914" spans="10:12" ht="15.75" customHeight="1">
      <c r="J914" s="210"/>
      <c r="K914" s="183"/>
      <c r="L914" s="183"/>
    </row>
    <row r="915" spans="10:12" ht="15.75" customHeight="1">
      <c r="J915" s="210"/>
      <c r="K915" s="183"/>
      <c r="L915" s="183"/>
    </row>
    <row r="916" spans="10:12" ht="15.75" customHeight="1">
      <c r="J916" s="210"/>
      <c r="K916" s="183"/>
      <c r="L916" s="183"/>
    </row>
    <row r="917" spans="10:12" ht="15.75" customHeight="1">
      <c r="J917" s="210"/>
      <c r="K917" s="183"/>
      <c r="L917" s="183"/>
    </row>
    <row r="918" spans="10:12" ht="15.75" customHeight="1">
      <c r="J918" s="210"/>
      <c r="K918" s="183"/>
      <c r="L918" s="183"/>
    </row>
    <row r="919" spans="10:12" ht="15.75" customHeight="1">
      <c r="J919" s="210"/>
      <c r="K919" s="183"/>
      <c r="L919" s="183"/>
    </row>
    <row r="920" spans="10:12" ht="15.75" customHeight="1">
      <c r="J920" s="210"/>
      <c r="K920" s="183"/>
      <c r="L920" s="183"/>
    </row>
    <row r="921" spans="10:12" ht="15.75" customHeight="1">
      <c r="J921" s="210"/>
      <c r="K921" s="183"/>
      <c r="L921" s="183"/>
    </row>
    <row r="922" spans="10:12" ht="15.75" customHeight="1">
      <c r="J922" s="210"/>
      <c r="K922" s="183"/>
      <c r="L922" s="183"/>
    </row>
    <row r="923" spans="10:12" ht="15.75" customHeight="1">
      <c r="J923" s="210"/>
      <c r="K923" s="183"/>
      <c r="L923" s="183"/>
    </row>
    <row r="924" spans="10:12" ht="15.75" customHeight="1">
      <c r="J924" s="210"/>
      <c r="K924" s="183"/>
      <c r="L924" s="183"/>
    </row>
    <row r="925" spans="10:12" ht="15.75" customHeight="1">
      <c r="J925" s="210"/>
      <c r="K925" s="183"/>
      <c r="L925" s="183"/>
    </row>
    <row r="926" spans="10:12" ht="15.75" customHeight="1">
      <c r="J926" s="210"/>
      <c r="K926" s="183"/>
      <c r="L926" s="183"/>
    </row>
    <row r="927" spans="10:12" ht="15.75" customHeight="1">
      <c r="J927" s="210"/>
      <c r="K927" s="183"/>
      <c r="L927" s="183"/>
    </row>
    <row r="928" spans="10:12" ht="15.75" customHeight="1">
      <c r="J928" s="210"/>
      <c r="K928" s="183"/>
      <c r="L928" s="183"/>
    </row>
    <row r="929" spans="10:12" ht="15.75" customHeight="1">
      <c r="J929" s="210"/>
      <c r="K929" s="183"/>
      <c r="L929" s="183"/>
    </row>
    <row r="930" spans="10:12" ht="15.75" customHeight="1">
      <c r="J930" s="210"/>
      <c r="K930" s="183"/>
      <c r="L930" s="183"/>
    </row>
    <row r="931" spans="10:12" ht="15.75" customHeight="1">
      <c r="J931" s="210"/>
      <c r="K931" s="183"/>
      <c r="L931" s="183"/>
    </row>
    <row r="932" spans="10:12" ht="15.75" customHeight="1">
      <c r="J932" s="210"/>
      <c r="K932" s="183"/>
      <c r="L932" s="183"/>
    </row>
    <row r="933" spans="10:12" ht="15.75" customHeight="1">
      <c r="J933" s="210"/>
      <c r="K933" s="183"/>
      <c r="L933" s="183"/>
    </row>
    <row r="934" spans="10:12" ht="15.75" customHeight="1">
      <c r="J934" s="210"/>
      <c r="K934" s="183"/>
      <c r="L934" s="183"/>
    </row>
    <row r="935" spans="10:12" ht="15.75" customHeight="1">
      <c r="J935" s="210"/>
      <c r="K935" s="183"/>
      <c r="L935" s="183"/>
    </row>
    <row r="936" spans="10:12" ht="15.75" customHeight="1">
      <c r="J936" s="210"/>
      <c r="K936" s="183"/>
      <c r="L936" s="183"/>
    </row>
    <row r="937" spans="10:12" ht="15.75" customHeight="1">
      <c r="J937" s="210"/>
      <c r="K937" s="183"/>
      <c r="L937" s="183"/>
    </row>
    <row r="938" spans="10:12" ht="15.75" customHeight="1">
      <c r="J938" s="210"/>
      <c r="K938" s="183"/>
      <c r="L938" s="183"/>
    </row>
    <row r="939" spans="10:12" ht="15.75" customHeight="1">
      <c r="J939" s="210"/>
      <c r="K939" s="183"/>
      <c r="L939" s="183"/>
    </row>
    <row r="940" spans="10:12" ht="15.75" customHeight="1">
      <c r="J940" s="210"/>
      <c r="K940" s="183"/>
      <c r="L940" s="183"/>
    </row>
    <row r="941" spans="10:12" ht="15.75" customHeight="1">
      <c r="J941" s="210"/>
      <c r="K941" s="183"/>
      <c r="L941" s="183"/>
    </row>
    <row r="942" spans="10:12" ht="15.75" customHeight="1">
      <c r="J942" s="210"/>
      <c r="K942" s="183"/>
      <c r="L942" s="183"/>
    </row>
    <row r="943" spans="10:12" ht="15.75" customHeight="1">
      <c r="J943" s="210"/>
      <c r="K943" s="183"/>
      <c r="L943" s="183"/>
    </row>
    <row r="944" spans="10:12" ht="15.75" customHeight="1">
      <c r="J944" s="210"/>
      <c r="K944" s="183"/>
      <c r="L944" s="183"/>
    </row>
    <row r="945" spans="10:12" ht="15.75" customHeight="1">
      <c r="J945" s="210"/>
      <c r="K945" s="183"/>
      <c r="L945" s="183"/>
    </row>
    <row r="946" spans="10:12" ht="15.75" customHeight="1">
      <c r="J946" s="210"/>
      <c r="K946" s="183"/>
      <c r="L946" s="183"/>
    </row>
    <row r="947" spans="10:12" ht="15.75" customHeight="1">
      <c r="J947" s="210"/>
      <c r="K947" s="183"/>
      <c r="L947" s="183"/>
    </row>
    <row r="948" spans="10:12" ht="15.75" customHeight="1">
      <c r="J948" s="210"/>
      <c r="K948" s="183"/>
      <c r="L948" s="183"/>
    </row>
    <row r="949" spans="10:12" ht="15.75" customHeight="1">
      <c r="J949" s="210"/>
      <c r="K949" s="183"/>
      <c r="L949" s="183"/>
    </row>
    <row r="950" spans="10:12" ht="15.75" customHeight="1">
      <c r="J950" s="210"/>
      <c r="K950" s="183"/>
      <c r="L950" s="183"/>
    </row>
    <row r="951" spans="10:12" ht="15.75" customHeight="1">
      <c r="J951" s="210"/>
      <c r="K951" s="183"/>
      <c r="L951" s="183"/>
    </row>
    <row r="952" spans="10:12" ht="15.75" customHeight="1">
      <c r="J952" s="210"/>
      <c r="K952" s="183"/>
      <c r="L952" s="183"/>
    </row>
    <row r="953" spans="10:12" ht="15.75" customHeight="1">
      <c r="J953" s="210"/>
      <c r="K953" s="183"/>
      <c r="L953" s="183"/>
    </row>
    <row r="954" spans="10:12" ht="15.75" customHeight="1">
      <c r="J954" s="210"/>
      <c r="K954" s="183"/>
      <c r="L954" s="183"/>
    </row>
    <row r="955" spans="10:12" ht="15.75" customHeight="1">
      <c r="J955" s="210"/>
      <c r="K955" s="183"/>
      <c r="L955" s="183"/>
    </row>
    <row r="956" spans="10:12" ht="15.75" customHeight="1">
      <c r="J956" s="210"/>
      <c r="K956" s="183"/>
      <c r="L956" s="183"/>
    </row>
    <row r="957" spans="10:12" ht="15.75" customHeight="1">
      <c r="J957" s="210"/>
      <c r="K957" s="183"/>
      <c r="L957" s="183"/>
    </row>
    <row r="958" spans="10:12" ht="15.75" customHeight="1">
      <c r="J958" s="210"/>
      <c r="K958" s="183"/>
      <c r="L958" s="183"/>
    </row>
    <row r="959" spans="10:12" ht="15.75" customHeight="1">
      <c r="J959" s="210"/>
      <c r="K959" s="183"/>
      <c r="L959" s="183"/>
    </row>
    <row r="960" spans="10:12" ht="15.75" customHeight="1">
      <c r="J960" s="210"/>
      <c r="K960" s="183"/>
      <c r="L960" s="183"/>
    </row>
    <row r="961" spans="10:12" ht="15.75" customHeight="1">
      <c r="J961" s="210"/>
      <c r="K961" s="183"/>
      <c r="L961" s="183"/>
    </row>
    <row r="962" spans="10:12" ht="15.75" customHeight="1">
      <c r="J962" s="210"/>
      <c r="K962" s="183"/>
      <c r="L962" s="183"/>
    </row>
    <row r="963" spans="10:12" ht="15.75" customHeight="1">
      <c r="J963" s="210"/>
      <c r="K963" s="183"/>
      <c r="L963" s="183"/>
    </row>
    <row r="964" spans="10:12" ht="15.75" customHeight="1">
      <c r="J964" s="210"/>
      <c r="K964" s="183"/>
      <c r="L964" s="183"/>
    </row>
    <row r="965" spans="10:12" ht="15.75" customHeight="1">
      <c r="J965" s="210"/>
      <c r="K965" s="183"/>
      <c r="L965" s="183"/>
    </row>
    <row r="966" spans="10:12" ht="15.75" customHeight="1">
      <c r="J966" s="210"/>
      <c r="K966" s="183"/>
      <c r="L966" s="183"/>
    </row>
    <row r="967" spans="10:12" ht="15.75" customHeight="1">
      <c r="J967" s="210"/>
      <c r="K967" s="183"/>
      <c r="L967" s="183"/>
    </row>
    <row r="968" spans="10:12" ht="15.75" customHeight="1">
      <c r="J968" s="210"/>
      <c r="K968" s="183"/>
      <c r="L968" s="183"/>
    </row>
    <row r="969" spans="10:12" ht="15.75" customHeight="1">
      <c r="J969" s="210"/>
      <c r="K969" s="183"/>
      <c r="L969" s="183"/>
    </row>
    <row r="970" spans="10:12" ht="15.75" customHeight="1">
      <c r="J970" s="210"/>
      <c r="K970" s="183"/>
      <c r="L970" s="183"/>
    </row>
    <row r="971" spans="10:12" ht="15.75" customHeight="1">
      <c r="J971" s="210"/>
      <c r="K971" s="183"/>
      <c r="L971" s="183"/>
    </row>
    <row r="972" spans="10:12" ht="15.75" customHeight="1">
      <c r="J972" s="210"/>
      <c r="K972" s="183"/>
      <c r="L972" s="183"/>
    </row>
    <row r="973" spans="10:12" ht="15.75" customHeight="1">
      <c r="J973" s="210"/>
      <c r="K973" s="183"/>
      <c r="L973" s="183"/>
    </row>
    <row r="974" spans="10:12" ht="15.75" customHeight="1">
      <c r="J974" s="210"/>
      <c r="K974" s="183"/>
      <c r="L974" s="183"/>
    </row>
    <row r="975" spans="10:12" ht="15.75" customHeight="1">
      <c r="J975" s="210"/>
      <c r="K975" s="183"/>
      <c r="L975" s="183"/>
    </row>
    <row r="976" spans="10:12" ht="15.75" customHeight="1">
      <c r="J976" s="210"/>
      <c r="K976" s="183"/>
      <c r="L976" s="183"/>
    </row>
    <row r="977" spans="10:12" ht="15.75" customHeight="1">
      <c r="J977" s="210"/>
      <c r="K977" s="183"/>
      <c r="L977" s="183"/>
    </row>
    <row r="978" spans="10:12" ht="15.75" customHeight="1">
      <c r="J978" s="210"/>
      <c r="K978" s="183"/>
      <c r="L978" s="183"/>
    </row>
    <row r="979" spans="10:12" ht="15.75" customHeight="1">
      <c r="J979" s="210"/>
      <c r="K979" s="183"/>
      <c r="L979" s="183"/>
    </row>
    <row r="980" spans="10:12" ht="15.75" customHeight="1">
      <c r="J980" s="210"/>
      <c r="K980" s="183"/>
      <c r="L980" s="183"/>
    </row>
    <row r="981" spans="10:12" ht="15.75" customHeight="1">
      <c r="J981" s="210"/>
      <c r="K981" s="183"/>
      <c r="L981" s="183"/>
    </row>
    <row r="982" spans="10:12" ht="15.75" customHeight="1">
      <c r="J982" s="210"/>
      <c r="K982" s="183"/>
      <c r="L982" s="183"/>
    </row>
    <row r="983" spans="10:12" ht="15.75" customHeight="1">
      <c r="J983" s="210"/>
      <c r="K983" s="183"/>
      <c r="L983" s="183"/>
    </row>
    <row r="984" spans="10:12" ht="15.75" customHeight="1">
      <c r="J984" s="210"/>
      <c r="K984" s="183"/>
      <c r="L984" s="183"/>
    </row>
    <row r="985" spans="10:12" ht="15.75" customHeight="1">
      <c r="J985" s="210"/>
      <c r="K985" s="183"/>
      <c r="L985" s="183"/>
    </row>
    <row r="986" spans="10:12" ht="15.75" customHeight="1">
      <c r="J986" s="210"/>
      <c r="K986" s="183"/>
      <c r="L986" s="183"/>
    </row>
    <row r="987" spans="10:12" ht="15.75" customHeight="1">
      <c r="J987" s="210"/>
      <c r="K987" s="183"/>
      <c r="L987" s="183"/>
    </row>
    <row r="988" spans="10:12" ht="15.75" customHeight="1">
      <c r="J988" s="210"/>
      <c r="K988" s="183"/>
      <c r="L988" s="183"/>
    </row>
    <row r="989" spans="10:12" ht="15.75" customHeight="1">
      <c r="J989" s="210"/>
      <c r="K989" s="183"/>
      <c r="L989" s="183"/>
    </row>
    <row r="990" spans="10:12" ht="15.75" customHeight="1">
      <c r="J990" s="210"/>
      <c r="K990" s="183"/>
      <c r="L990" s="183"/>
    </row>
    <row r="991" spans="10:12" ht="15.75" customHeight="1">
      <c r="J991" s="210"/>
      <c r="K991" s="183"/>
      <c r="L991" s="183"/>
    </row>
    <row r="992" spans="10:12" ht="15.75" customHeight="1">
      <c r="J992" s="210"/>
      <c r="K992" s="183"/>
      <c r="L992" s="183"/>
    </row>
    <row r="993" spans="10:12" ht="15.75" customHeight="1">
      <c r="J993" s="210"/>
      <c r="K993" s="183"/>
      <c r="L993" s="183"/>
    </row>
    <row r="994" spans="10:12" ht="15.75" customHeight="1">
      <c r="J994" s="210"/>
      <c r="K994" s="183"/>
      <c r="L994" s="183"/>
    </row>
    <row r="995" spans="10:12" ht="15.75" customHeight="1">
      <c r="J995" s="210"/>
      <c r="K995" s="183"/>
      <c r="L995" s="183"/>
    </row>
    <row r="996" spans="10:12" ht="15.75" customHeight="1">
      <c r="J996" s="210"/>
      <c r="K996" s="183"/>
      <c r="L996" s="183"/>
    </row>
    <row r="997" spans="10:12" ht="15.75" customHeight="1">
      <c r="J997" s="210"/>
      <c r="K997" s="183"/>
      <c r="L997" s="183"/>
    </row>
    <row r="998" spans="10:12" ht="15.75" customHeight="1">
      <c r="J998" s="210"/>
      <c r="K998" s="183"/>
      <c r="L998" s="183"/>
    </row>
    <row r="999" spans="10:12" ht="15.75" customHeight="1">
      <c r="J999" s="210"/>
      <c r="K999" s="183"/>
      <c r="L999" s="183"/>
    </row>
    <row r="1000" spans="10:12" ht="15.75" customHeight="1">
      <c r="J1000" s="210"/>
      <c r="K1000" s="183"/>
      <c r="L1000" s="183"/>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D9E2F3"/>
  </sheetPr>
  <dimension ref="A1:Y1003"/>
  <sheetViews>
    <sheetView workbookViewId="0"/>
  </sheetViews>
  <sheetFormatPr baseColWidth="10" defaultColWidth="12.6640625" defaultRowHeight="15" customHeight="1"/>
  <cols>
    <col min="1" max="1" width="16.5" customWidth="1"/>
    <col min="2" max="2" width="50" customWidth="1"/>
    <col min="3" max="3" width="16.5" customWidth="1"/>
    <col min="4" max="7" width="7.6640625" customWidth="1"/>
    <col min="8" max="8" width="34.83203125" customWidth="1"/>
    <col min="9" max="25" width="7.6640625" customWidth="1"/>
  </cols>
  <sheetData>
    <row r="1" spans="1:10">
      <c r="A1" s="155" t="s">
        <v>154</v>
      </c>
      <c r="B1" s="155" t="s">
        <v>466</v>
      </c>
      <c r="C1" s="155" t="s">
        <v>467</v>
      </c>
      <c r="D1" s="155" t="s">
        <v>468</v>
      </c>
      <c r="E1" s="155" t="s">
        <v>469</v>
      </c>
      <c r="F1" s="155" t="s">
        <v>470</v>
      </c>
      <c r="G1" s="155" t="s">
        <v>471</v>
      </c>
      <c r="H1" s="155" t="s">
        <v>472</v>
      </c>
      <c r="I1" s="155" t="s">
        <v>473</v>
      </c>
      <c r="J1" s="155" t="s">
        <v>474</v>
      </c>
    </row>
    <row r="2" spans="1:10">
      <c r="A2" s="133" t="s">
        <v>4</v>
      </c>
      <c r="B2" s="133" t="s">
        <v>3676</v>
      </c>
      <c r="C2" s="133" t="s">
        <v>325</v>
      </c>
      <c r="D2" s="133" t="s">
        <v>484</v>
      </c>
      <c r="E2" s="158">
        <v>4</v>
      </c>
      <c r="F2" s="158">
        <v>10</v>
      </c>
      <c r="G2" s="158">
        <v>0</v>
      </c>
      <c r="H2" s="133" t="s">
        <v>5108</v>
      </c>
      <c r="I2" s="133" t="s">
        <v>479</v>
      </c>
      <c r="J2" s="158">
        <v>0</v>
      </c>
    </row>
    <row r="3" spans="1:10">
      <c r="A3" s="133" t="s">
        <v>4</v>
      </c>
      <c r="B3" s="133" t="s">
        <v>3676</v>
      </c>
      <c r="C3" s="133" t="s">
        <v>4348</v>
      </c>
      <c r="D3" s="133" t="s">
        <v>477</v>
      </c>
      <c r="E3" s="158">
        <v>12</v>
      </c>
      <c r="F3" s="158">
        <v>0</v>
      </c>
      <c r="G3" s="158">
        <v>0</v>
      </c>
      <c r="H3" s="133" t="s">
        <v>479</v>
      </c>
      <c r="I3" s="133" t="s">
        <v>548</v>
      </c>
      <c r="J3" s="158">
        <v>0</v>
      </c>
    </row>
    <row r="4" spans="1:10">
      <c r="A4" s="133" t="s">
        <v>4</v>
      </c>
      <c r="B4" s="133" t="s">
        <v>3676</v>
      </c>
      <c r="C4" s="133" t="s">
        <v>4663</v>
      </c>
      <c r="D4" s="133" t="s">
        <v>477</v>
      </c>
      <c r="E4" s="158">
        <v>20</v>
      </c>
      <c r="F4" s="158">
        <v>0</v>
      </c>
      <c r="G4" s="158">
        <v>0</v>
      </c>
      <c r="H4" s="133" t="s">
        <v>479</v>
      </c>
      <c r="I4" s="133" t="s">
        <v>548</v>
      </c>
      <c r="J4" s="158">
        <v>0</v>
      </c>
    </row>
    <row r="5" spans="1:10">
      <c r="A5" s="133" t="s">
        <v>4</v>
      </c>
      <c r="B5" s="133" t="s">
        <v>3676</v>
      </c>
      <c r="C5" s="133" t="s">
        <v>5109</v>
      </c>
      <c r="D5" s="133" t="s">
        <v>477</v>
      </c>
      <c r="E5" s="158">
        <v>20</v>
      </c>
      <c r="F5" s="158">
        <v>0</v>
      </c>
      <c r="G5" s="158">
        <v>0</v>
      </c>
      <c r="H5" s="133" t="s">
        <v>1566</v>
      </c>
      <c r="I5" s="133" t="s">
        <v>548</v>
      </c>
      <c r="J5" s="158">
        <v>0</v>
      </c>
    </row>
    <row r="6" spans="1:10">
      <c r="A6" s="133" t="s">
        <v>4</v>
      </c>
      <c r="B6" s="133" t="s">
        <v>3676</v>
      </c>
      <c r="C6" s="133" t="s">
        <v>4664</v>
      </c>
      <c r="D6" s="133" t="s">
        <v>496</v>
      </c>
      <c r="E6" s="158">
        <v>4</v>
      </c>
      <c r="F6" s="158">
        <v>16</v>
      </c>
      <c r="G6" s="158">
        <v>0</v>
      </c>
      <c r="H6" s="133" t="s">
        <v>479</v>
      </c>
      <c r="I6" s="133" t="s">
        <v>548</v>
      </c>
      <c r="J6" s="158">
        <v>0</v>
      </c>
    </row>
    <row r="7" spans="1:10">
      <c r="A7" s="133" t="s">
        <v>4</v>
      </c>
      <c r="B7" s="133" t="s">
        <v>3676</v>
      </c>
      <c r="C7" s="133" t="s">
        <v>5110</v>
      </c>
      <c r="D7" s="133" t="s">
        <v>477</v>
      </c>
      <c r="E7" s="158">
        <v>20</v>
      </c>
      <c r="F7" s="158">
        <v>0</v>
      </c>
      <c r="G7" s="158">
        <v>0</v>
      </c>
      <c r="H7" s="133" t="s">
        <v>5111</v>
      </c>
      <c r="I7" s="133" t="s">
        <v>548</v>
      </c>
      <c r="J7" s="158">
        <v>0</v>
      </c>
    </row>
    <row r="8" spans="1:10">
      <c r="A8" s="133" t="s">
        <v>4</v>
      </c>
      <c r="B8" s="133" t="s">
        <v>3676</v>
      </c>
      <c r="C8" s="133" t="s">
        <v>3689</v>
      </c>
      <c r="D8" s="133" t="s">
        <v>477</v>
      </c>
      <c r="E8" s="158">
        <v>20</v>
      </c>
      <c r="F8" s="158">
        <v>0</v>
      </c>
      <c r="G8" s="158">
        <v>0</v>
      </c>
      <c r="H8" s="133" t="s">
        <v>5112</v>
      </c>
      <c r="I8" s="133" t="s">
        <v>548</v>
      </c>
      <c r="J8" s="158">
        <v>0</v>
      </c>
    </row>
    <row r="9" spans="1:10">
      <c r="A9" s="133" t="s">
        <v>4</v>
      </c>
      <c r="B9" s="133" t="s">
        <v>3676</v>
      </c>
      <c r="C9" s="133" t="s">
        <v>4694</v>
      </c>
      <c r="D9" s="133" t="s">
        <v>484</v>
      </c>
      <c r="E9" s="158">
        <v>4</v>
      </c>
      <c r="F9" s="158">
        <v>10</v>
      </c>
      <c r="G9" s="158">
        <v>0</v>
      </c>
      <c r="H9" s="133" t="s">
        <v>5113</v>
      </c>
      <c r="I9" s="133" t="s">
        <v>615</v>
      </c>
      <c r="J9" s="158">
        <v>0</v>
      </c>
    </row>
    <row r="10" spans="1:10">
      <c r="A10" s="133" t="s">
        <v>4</v>
      </c>
      <c r="B10" s="133" t="s">
        <v>3676</v>
      </c>
      <c r="C10" s="133" t="s">
        <v>292</v>
      </c>
      <c r="D10" s="133" t="s">
        <v>484</v>
      </c>
      <c r="E10" s="158">
        <v>4</v>
      </c>
      <c r="F10" s="158">
        <v>10</v>
      </c>
      <c r="G10" s="158">
        <v>0</v>
      </c>
      <c r="H10" s="133" t="s">
        <v>479</v>
      </c>
      <c r="I10" s="133" t="s">
        <v>1210</v>
      </c>
      <c r="J10" s="158">
        <v>0</v>
      </c>
    </row>
    <row r="11" spans="1:10">
      <c r="A11" s="133" t="s">
        <v>4</v>
      </c>
      <c r="B11" s="133" t="s">
        <v>3676</v>
      </c>
      <c r="C11" s="133" t="s">
        <v>5114</v>
      </c>
      <c r="D11" s="133" t="s">
        <v>477</v>
      </c>
      <c r="E11" s="158">
        <v>10</v>
      </c>
      <c r="F11" s="158">
        <v>0</v>
      </c>
      <c r="G11" s="158">
        <v>0</v>
      </c>
      <c r="H11" s="133" t="s">
        <v>5115</v>
      </c>
      <c r="I11" s="133" t="s">
        <v>596</v>
      </c>
      <c r="J11" s="158">
        <v>0</v>
      </c>
    </row>
    <row r="12" spans="1:10">
      <c r="A12" s="133" t="s">
        <v>4</v>
      </c>
      <c r="B12" s="133" t="s">
        <v>3676</v>
      </c>
      <c r="C12" s="133" t="s">
        <v>523</v>
      </c>
      <c r="D12" s="133" t="s">
        <v>477</v>
      </c>
      <c r="E12" s="158">
        <v>8</v>
      </c>
      <c r="F12" s="158">
        <v>0</v>
      </c>
      <c r="G12" s="158">
        <v>0</v>
      </c>
      <c r="H12" s="133" t="s">
        <v>479</v>
      </c>
      <c r="I12" s="133" t="s">
        <v>548</v>
      </c>
      <c r="J12" s="158">
        <v>0</v>
      </c>
    </row>
    <row r="13" spans="1:10">
      <c r="A13" s="133" t="s">
        <v>4</v>
      </c>
      <c r="B13" s="133" t="s">
        <v>3676</v>
      </c>
      <c r="C13" s="133" t="s">
        <v>669</v>
      </c>
      <c r="D13" s="133" t="s">
        <v>496</v>
      </c>
      <c r="E13" s="158">
        <v>4</v>
      </c>
      <c r="F13" s="158">
        <v>16</v>
      </c>
      <c r="G13" s="158">
        <v>0</v>
      </c>
      <c r="H13" s="133" t="s">
        <v>479</v>
      </c>
      <c r="I13" s="133" t="s">
        <v>548</v>
      </c>
      <c r="J13" s="158">
        <v>0</v>
      </c>
    </row>
    <row r="14" spans="1:10">
      <c r="A14" s="133" t="s">
        <v>4</v>
      </c>
      <c r="B14" s="133" t="s">
        <v>3676</v>
      </c>
      <c r="C14" s="133" t="s">
        <v>670</v>
      </c>
      <c r="D14" s="133" t="s">
        <v>477</v>
      </c>
      <c r="E14" s="158">
        <v>8</v>
      </c>
      <c r="F14" s="158">
        <v>0</v>
      </c>
      <c r="G14" s="158">
        <v>0</v>
      </c>
      <c r="H14" s="133" t="s">
        <v>479</v>
      </c>
      <c r="I14" s="133" t="s">
        <v>548</v>
      </c>
      <c r="J14" s="158">
        <v>0</v>
      </c>
    </row>
    <row r="15" spans="1:10">
      <c r="A15" s="133" t="s">
        <v>4</v>
      </c>
      <c r="B15" s="133" t="s">
        <v>3676</v>
      </c>
      <c r="C15" s="133" t="s">
        <v>215</v>
      </c>
      <c r="D15" s="133" t="s">
        <v>496</v>
      </c>
      <c r="E15" s="158">
        <v>4</v>
      </c>
      <c r="F15" s="158">
        <v>16</v>
      </c>
      <c r="G15" s="158">
        <v>0</v>
      </c>
      <c r="H15" s="133" t="s">
        <v>479</v>
      </c>
      <c r="I15" s="133" t="s">
        <v>548</v>
      </c>
      <c r="J15" s="158">
        <v>0</v>
      </c>
    </row>
    <row r="16" spans="1:10">
      <c r="A16" s="133" t="s">
        <v>4</v>
      </c>
      <c r="B16" s="133" t="s">
        <v>71</v>
      </c>
      <c r="C16" s="133" t="s">
        <v>1814</v>
      </c>
      <c r="D16" s="133" t="s">
        <v>477</v>
      </c>
      <c r="E16" s="158">
        <v>10</v>
      </c>
      <c r="F16" s="158">
        <v>0</v>
      </c>
      <c r="G16" s="158">
        <v>0</v>
      </c>
      <c r="H16" s="133" t="s">
        <v>5116</v>
      </c>
      <c r="I16" s="133" t="s">
        <v>479</v>
      </c>
      <c r="J16" s="158">
        <v>0</v>
      </c>
    </row>
    <row r="17" spans="1:10">
      <c r="A17" s="133" t="s">
        <v>4</v>
      </c>
      <c r="B17" s="133" t="s">
        <v>71</v>
      </c>
      <c r="C17" s="133" t="s">
        <v>5117</v>
      </c>
      <c r="D17" s="133" t="s">
        <v>477</v>
      </c>
      <c r="E17" s="158">
        <v>100</v>
      </c>
      <c r="F17" s="158">
        <v>0</v>
      </c>
      <c r="G17" s="158">
        <v>0</v>
      </c>
      <c r="H17" s="133" t="s">
        <v>5118</v>
      </c>
      <c r="I17" s="133" t="s">
        <v>548</v>
      </c>
      <c r="J17" s="158">
        <v>0</v>
      </c>
    </row>
    <row r="18" spans="1:10">
      <c r="A18" s="133" t="s">
        <v>4</v>
      </c>
      <c r="B18" s="133" t="s">
        <v>71</v>
      </c>
      <c r="C18" s="133" t="s">
        <v>5119</v>
      </c>
      <c r="D18" s="133" t="s">
        <v>4440</v>
      </c>
      <c r="E18" s="158">
        <v>3</v>
      </c>
      <c r="F18" s="158">
        <v>8</v>
      </c>
      <c r="G18" s="158">
        <v>0</v>
      </c>
      <c r="H18" s="133" t="s">
        <v>5120</v>
      </c>
      <c r="I18" s="133" t="s">
        <v>5121</v>
      </c>
      <c r="J18" s="158">
        <v>0</v>
      </c>
    </row>
    <row r="19" spans="1:10">
      <c r="A19" s="133" t="s">
        <v>4</v>
      </c>
      <c r="B19" s="133" t="s">
        <v>71</v>
      </c>
      <c r="C19" s="133" t="s">
        <v>5122</v>
      </c>
      <c r="D19" s="133" t="s">
        <v>4440</v>
      </c>
      <c r="E19" s="158">
        <v>3</v>
      </c>
      <c r="F19" s="158">
        <v>8</v>
      </c>
      <c r="G19" s="158">
        <v>0</v>
      </c>
      <c r="H19" s="133" t="s">
        <v>5123</v>
      </c>
      <c r="I19" s="133" t="s">
        <v>5121</v>
      </c>
      <c r="J19" s="158">
        <v>0</v>
      </c>
    </row>
    <row r="20" spans="1:10">
      <c r="A20" s="133" t="s">
        <v>4</v>
      </c>
      <c r="B20" s="133" t="s">
        <v>71</v>
      </c>
      <c r="C20" s="133" t="s">
        <v>5124</v>
      </c>
      <c r="D20" s="133" t="s">
        <v>477</v>
      </c>
      <c r="E20" s="158">
        <v>50</v>
      </c>
      <c r="F20" s="158">
        <v>0</v>
      </c>
      <c r="G20" s="158">
        <v>0</v>
      </c>
      <c r="H20" s="133" t="s">
        <v>5125</v>
      </c>
      <c r="I20" s="133" t="s">
        <v>5126</v>
      </c>
      <c r="J20" s="158">
        <v>0</v>
      </c>
    </row>
    <row r="21" spans="1:10" ht="15.75" customHeight="1">
      <c r="A21" s="133" t="s">
        <v>4</v>
      </c>
      <c r="B21" s="133" t="s">
        <v>71</v>
      </c>
      <c r="C21" s="133" t="s">
        <v>5127</v>
      </c>
      <c r="D21" s="133" t="s">
        <v>484</v>
      </c>
      <c r="E21" s="158">
        <v>4</v>
      </c>
      <c r="F21" s="158">
        <v>10</v>
      </c>
      <c r="G21" s="158">
        <v>0</v>
      </c>
      <c r="H21" s="133" t="s">
        <v>5128</v>
      </c>
      <c r="I21" s="133" t="s">
        <v>615</v>
      </c>
      <c r="J21" s="158">
        <v>0</v>
      </c>
    </row>
    <row r="22" spans="1:10" ht="15.75" customHeight="1">
      <c r="A22" s="133" t="s">
        <v>4</v>
      </c>
      <c r="B22" s="133" t="s">
        <v>71</v>
      </c>
      <c r="C22" s="133" t="s">
        <v>5129</v>
      </c>
      <c r="D22" s="133" t="s">
        <v>477</v>
      </c>
      <c r="E22" s="158">
        <v>10</v>
      </c>
      <c r="F22" s="158">
        <v>0</v>
      </c>
      <c r="G22" s="158">
        <v>0</v>
      </c>
      <c r="H22" s="133" t="s">
        <v>5130</v>
      </c>
      <c r="I22" s="133" t="s">
        <v>548</v>
      </c>
      <c r="J22" s="158">
        <v>0</v>
      </c>
    </row>
    <row r="23" spans="1:10" ht="15.75" customHeight="1">
      <c r="A23" s="133" t="s">
        <v>4</v>
      </c>
      <c r="B23" s="133" t="s">
        <v>71</v>
      </c>
      <c r="C23" s="133" t="s">
        <v>5131</v>
      </c>
      <c r="D23" s="133" t="s">
        <v>477</v>
      </c>
      <c r="E23" s="158">
        <v>10</v>
      </c>
      <c r="F23" s="158">
        <v>0</v>
      </c>
      <c r="G23" s="158">
        <v>0</v>
      </c>
      <c r="H23" s="133" t="s">
        <v>5132</v>
      </c>
      <c r="I23" s="133" t="s">
        <v>548</v>
      </c>
      <c r="J23" s="158">
        <v>0</v>
      </c>
    </row>
    <row r="24" spans="1:10" ht="15.75" customHeight="1">
      <c r="A24" s="133" t="s">
        <v>4</v>
      </c>
      <c r="B24" s="133" t="s">
        <v>71</v>
      </c>
      <c r="C24" s="133" t="s">
        <v>5133</v>
      </c>
      <c r="D24" s="133" t="s">
        <v>481</v>
      </c>
      <c r="E24" s="158">
        <v>9</v>
      </c>
      <c r="F24" s="158">
        <v>11</v>
      </c>
      <c r="G24" s="158">
        <v>8</v>
      </c>
      <c r="H24" s="133" t="s">
        <v>5134</v>
      </c>
      <c r="I24" s="133" t="s">
        <v>615</v>
      </c>
      <c r="J24" s="158">
        <v>0</v>
      </c>
    </row>
    <row r="25" spans="1:10" ht="15.75" customHeight="1">
      <c r="A25" s="133" t="s">
        <v>4</v>
      </c>
      <c r="B25" s="133" t="s">
        <v>71</v>
      </c>
      <c r="C25" s="133" t="s">
        <v>5135</v>
      </c>
      <c r="D25" s="133" t="s">
        <v>481</v>
      </c>
      <c r="E25" s="158">
        <v>9</v>
      </c>
      <c r="F25" s="158">
        <v>11</v>
      </c>
      <c r="G25" s="158">
        <v>8</v>
      </c>
      <c r="H25" s="133" t="s">
        <v>5136</v>
      </c>
      <c r="I25" s="133" t="s">
        <v>615</v>
      </c>
      <c r="J25" s="158">
        <v>0</v>
      </c>
    </row>
    <row r="26" spans="1:10" ht="15.75" customHeight="1">
      <c r="A26" s="133" t="s">
        <v>4</v>
      </c>
      <c r="B26" s="133" t="s">
        <v>71</v>
      </c>
      <c r="C26" s="133" t="s">
        <v>5137</v>
      </c>
      <c r="D26" s="133" t="s">
        <v>481</v>
      </c>
      <c r="E26" s="158">
        <v>9</v>
      </c>
      <c r="F26" s="158">
        <v>11</v>
      </c>
      <c r="G26" s="158">
        <v>8</v>
      </c>
      <c r="H26" s="133" t="s">
        <v>5138</v>
      </c>
      <c r="I26" s="133" t="s">
        <v>615</v>
      </c>
      <c r="J26" s="158">
        <v>0</v>
      </c>
    </row>
    <row r="27" spans="1:10" ht="15.75" customHeight="1">
      <c r="A27" s="133" t="s">
        <v>4</v>
      </c>
      <c r="B27" s="133" t="s">
        <v>71</v>
      </c>
      <c r="C27" s="133" t="s">
        <v>5139</v>
      </c>
      <c r="D27" s="133" t="s">
        <v>481</v>
      </c>
      <c r="E27" s="158">
        <v>9</v>
      </c>
      <c r="F27" s="158">
        <v>11</v>
      </c>
      <c r="G27" s="158">
        <v>8</v>
      </c>
      <c r="H27" s="133" t="s">
        <v>5140</v>
      </c>
      <c r="I27" s="133" t="s">
        <v>615</v>
      </c>
      <c r="J27" s="158">
        <v>0</v>
      </c>
    </row>
    <row r="28" spans="1:10" ht="15.75" customHeight="1">
      <c r="A28" s="133" t="s">
        <v>4</v>
      </c>
      <c r="B28" s="133" t="s">
        <v>71</v>
      </c>
      <c r="C28" s="133" t="s">
        <v>5141</v>
      </c>
      <c r="D28" s="133" t="s">
        <v>484</v>
      </c>
      <c r="E28" s="158">
        <v>4</v>
      </c>
      <c r="F28" s="158">
        <v>10</v>
      </c>
      <c r="G28" s="158">
        <v>0</v>
      </c>
      <c r="H28" s="133" t="s">
        <v>5142</v>
      </c>
      <c r="I28" s="133" t="s">
        <v>615</v>
      </c>
      <c r="J28" s="158">
        <v>0</v>
      </c>
    </row>
    <row r="29" spans="1:10" ht="15.75" customHeight="1">
      <c r="A29" s="133" t="s">
        <v>4</v>
      </c>
      <c r="B29" s="133" t="s">
        <v>71</v>
      </c>
      <c r="C29" s="133" t="s">
        <v>5143</v>
      </c>
      <c r="D29" s="133" t="s">
        <v>484</v>
      </c>
      <c r="E29" s="158">
        <v>4</v>
      </c>
      <c r="F29" s="158">
        <v>10</v>
      </c>
      <c r="G29" s="158">
        <v>0</v>
      </c>
      <c r="H29" s="133" t="s">
        <v>5144</v>
      </c>
      <c r="I29" s="133" t="s">
        <v>615</v>
      </c>
      <c r="J29" s="158">
        <v>0</v>
      </c>
    </row>
    <row r="30" spans="1:10" ht="15.75" customHeight="1">
      <c r="A30" s="133" t="s">
        <v>4</v>
      </c>
      <c r="B30" s="133" t="s">
        <v>71</v>
      </c>
      <c r="C30" s="133" t="s">
        <v>5145</v>
      </c>
      <c r="D30" s="133" t="s">
        <v>484</v>
      </c>
      <c r="E30" s="158">
        <v>4</v>
      </c>
      <c r="F30" s="158">
        <v>10</v>
      </c>
      <c r="G30" s="158">
        <v>0</v>
      </c>
      <c r="H30" s="133" t="s">
        <v>5146</v>
      </c>
      <c r="I30" s="133" t="s">
        <v>615</v>
      </c>
      <c r="J30" s="158">
        <v>0</v>
      </c>
    </row>
    <row r="31" spans="1:10" ht="15.75" customHeight="1">
      <c r="A31" s="133" t="s">
        <v>4</v>
      </c>
      <c r="B31" s="133" t="s">
        <v>71</v>
      </c>
      <c r="C31" s="133" t="s">
        <v>5147</v>
      </c>
      <c r="D31" s="133" t="s">
        <v>4440</v>
      </c>
      <c r="E31" s="158">
        <v>3</v>
      </c>
      <c r="F31" s="158">
        <v>8</v>
      </c>
      <c r="G31" s="158">
        <v>0</v>
      </c>
      <c r="H31" s="133" t="s">
        <v>5148</v>
      </c>
      <c r="I31" s="133" t="s">
        <v>5121</v>
      </c>
      <c r="J31" s="158">
        <v>0</v>
      </c>
    </row>
    <row r="32" spans="1:10" ht="15.75" customHeight="1">
      <c r="A32" s="133" t="s">
        <v>4</v>
      </c>
      <c r="B32" s="133" t="s">
        <v>71</v>
      </c>
      <c r="C32" s="133" t="s">
        <v>811</v>
      </c>
      <c r="D32" s="133" t="s">
        <v>477</v>
      </c>
      <c r="E32" s="158">
        <v>8</v>
      </c>
      <c r="F32" s="158">
        <v>0</v>
      </c>
      <c r="G32" s="158">
        <v>0</v>
      </c>
      <c r="H32" s="133" t="s">
        <v>5149</v>
      </c>
      <c r="I32" s="133" t="s">
        <v>813</v>
      </c>
      <c r="J32" s="158">
        <v>0</v>
      </c>
    </row>
    <row r="33" spans="1:10" ht="15.75" customHeight="1">
      <c r="A33" s="133" t="s">
        <v>4</v>
      </c>
      <c r="B33" s="133" t="s">
        <v>71</v>
      </c>
      <c r="C33" s="133" t="s">
        <v>5150</v>
      </c>
      <c r="D33" s="133" t="s">
        <v>484</v>
      </c>
      <c r="E33" s="158">
        <v>4</v>
      </c>
      <c r="F33" s="158">
        <v>10</v>
      </c>
      <c r="G33" s="158">
        <v>0</v>
      </c>
      <c r="H33" s="133" t="s">
        <v>5151</v>
      </c>
      <c r="I33" s="133" t="s">
        <v>615</v>
      </c>
      <c r="J33" s="158">
        <v>0</v>
      </c>
    </row>
    <row r="34" spans="1:10" ht="15.75" customHeight="1">
      <c r="A34" s="133" t="s">
        <v>4</v>
      </c>
      <c r="B34" s="133" t="s">
        <v>71</v>
      </c>
      <c r="C34" s="133" t="s">
        <v>5152</v>
      </c>
      <c r="D34" s="133" t="s">
        <v>477</v>
      </c>
      <c r="E34" s="158">
        <v>200</v>
      </c>
      <c r="F34" s="158">
        <v>0</v>
      </c>
      <c r="G34" s="158">
        <v>0</v>
      </c>
      <c r="H34" s="133" t="s">
        <v>479</v>
      </c>
      <c r="I34" s="133" t="s">
        <v>548</v>
      </c>
      <c r="J34" s="158">
        <v>0</v>
      </c>
    </row>
    <row r="35" spans="1:10" ht="15.75" customHeight="1">
      <c r="A35" s="133" t="s">
        <v>4</v>
      </c>
      <c r="B35" s="133" t="s">
        <v>71</v>
      </c>
      <c r="C35" s="133" t="s">
        <v>523</v>
      </c>
      <c r="D35" s="133" t="s">
        <v>477</v>
      </c>
      <c r="E35" s="158">
        <v>8</v>
      </c>
      <c r="F35" s="158">
        <v>0</v>
      </c>
      <c r="G35" s="158">
        <v>0</v>
      </c>
      <c r="H35" s="133" t="s">
        <v>834</v>
      </c>
      <c r="I35" s="133" t="s">
        <v>548</v>
      </c>
      <c r="J35" s="158">
        <v>0</v>
      </c>
    </row>
    <row r="36" spans="1:10" ht="15.75" customHeight="1">
      <c r="A36" s="133" t="s">
        <v>4</v>
      </c>
      <c r="B36" s="133" t="s">
        <v>71</v>
      </c>
      <c r="C36" s="133" t="s">
        <v>669</v>
      </c>
      <c r="D36" s="133" t="s">
        <v>496</v>
      </c>
      <c r="E36" s="158">
        <v>4</v>
      </c>
      <c r="F36" s="158">
        <v>16</v>
      </c>
      <c r="G36" s="158">
        <v>0</v>
      </c>
      <c r="H36" s="133" t="s">
        <v>835</v>
      </c>
      <c r="I36" s="133" t="s">
        <v>548</v>
      </c>
      <c r="J36" s="158">
        <v>0</v>
      </c>
    </row>
    <row r="37" spans="1:10" ht="15.75" customHeight="1">
      <c r="A37" s="133" t="s">
        <v>4</v>
      </c>
      <c r="B37" s="133" t="s">
        <v>71</v>
      </c>
      <c r="C37" s="133" t="s">
        <v>670</v>
      </c>
      <c r="D37" s="133" t="s">
        <v>477</v>
      </c>
      <c r="E37" s="158">
        <v>8</v>
      </c>
      <c r="F37" s="158">
        <v>0</v>
      </c>
      <c r="G37" s="158">
        <v>0</v>
      </c>
      <c r="H37" s="133" t="s">
        <v>5153</v>
      </c>
      <c r="I37" s="133" t="s">
        <v>548</v>
      </c>
      <c r="J37" s="158">
        <v>0</v>
      </c>
    </row>
    <row r="38" spans="1:10" ht="15.75" customHeight="1">
      <c r="A38" s="133" t="s">
        <v>4</v>
      </c>
      <c r="B38" s="133" t="s">
        <v>71</v>
      </c>
      <c r="C38" s="133" t="s">
        <v>215</v>
      </c>
      <c r="D38" s="133" t="s">
        <v>496</v>
      </c>
      <c r="E38" s="158">
        <v>4</v>
      </c>
      <c r="F38" s="158">
        <v>16</v>
      </c>
      <c r="G38" s="158">
        <v>0</v>
      </c>
      <c r="H38" s="133" t="s">
        <v>1982</v>
      </c>
      <c r="I38" s="133" t="s">
        <v>548</v>
      </c>
      <c r="J38" s="158">
        <v>0</v>
      </c>
    </row>
    <row r="39" spans="1:10" ht="15.75" customHeight="1">
      <c r="A39" s="133" t="s">
        <v>4</v>
      </c>
      <c r="B39" s="133" t="s">
        <v>3680</v>
      </c>
      <c r="C39" s="133" t="s">
        <v>3682</v>
      </c>
      <c r="D39" s="133" t="s">
        <v>477</v>
      </c>
      <c r="E39" s="158">
        <v>10</v>
      </c>
      <c r="F39" s="158">
        <v>0</v>
      </c>
      <c r="G39" s="158">
        <v>0</v>
      </c>
      <c r="H39" s="133" t="s">
        <v>5154</v>
      </c>
      <c r="I39" s="133" t="s">
        <v>479</v>
      </c>
      <c r="J39" s="158">
        <v>0</v>
      </c>
    </row>
    <row r="40" spans="1:10" ht="15.75" customHeight="1">
      <c r="A40" s="133" t="s">
        <v>4</v>
      </c>
      <c r="B40" s="133" t="s">
        <v>3680</v>
      </c>
      <c r="C40" s="133" t="s">
        <v>5155</v>
      </c>
      <c r="D40" s="133" t="s">
        <v>477</v>
      </c>
      <c r="E40" s="158">
        <v>50</v>
      </c>
      <c r="F40" s="158">
        <v>0</v>
      </c>
      <c r="G40" s="158">
        <v>0</v>
      </c>
      <c r="H40" s="133" t="s">
        <v>5156</v>
      </c>
      <c r="I40" s="133" t="s">
        <v>548</v>
      </c>
      <c r="J40" s="158">
        <v>0</v>
      </c>
    </row>
    <row r="41" spans="1:10" ht="15.75" customHeight="1">
      <c r="A41" s="133" t="s">
        <v>4</v>
      </c>
      <c r="B41" s="133" t="s">
        <v>3680</v>
      </c>
      <c r="C41" s="133" t="s">
        <v>811</v>
      </c>
      <c r="D41" s="133" t="s">
        <v>477</v>
      </c>
      <c r="E41" s="158">
        <v>8</v>
      </c>
      <c r="F41" s="158">
        <v>0</v>
      </c>
      <c r="G41" s="158">
        <v>0</v>
      </c>
      <c r="H41" s="133" t="s">
        <v>5157</v>
      </c>
      <c r="I41" s="133" t="s">
        <v>813</v>
      </c>
      <c r="J41" s="158">
        <v>0</v>
      </c>
    </row>
    <row r="42" spans="1:10" ht="15.75" customHeight="1">
      <c r="A42" s="133" t="s">
        <v>4</v>
      </c>
      <c r="B42" s="133" t="s">
        <v>3680</v>
      </c>
      <c r="C42" s="133" t="s">
        <v>523</v>
      </c>
      <c r="D42" s="133" t="s">
        <v>477</v>
      </c>
      <c r="E42" s="158">
        <v>8</v>
      </c>
      <c r="F42" s="158">
        <v>0</v>
      </c>
      <c r="G42" s="158">
        <v>0</v>
      </c>
      <c r="H42" s="133" t="s">
        <v>834</v>
      </c>
      <c r="I42" s="133" t="s">
        <v>548</v>
      </c>
      <c r="J42" s="158">
        <v>0</v>
      </c>
    </row>
    <row r="43" spans="1:10" ht="15.75" customHeight="1">
      <c r="A43" s="133" t="s">
        <v>4</v>
      </c>
      <c r="B43" s="133" t="s">
        <v>3680</v>
      </c>
      <c r="C43" s="133" t="s">
        <v>669</v>
      </c>
      <c r="D43" s="133" t="s">
        <v>496</v>
      </c>
      <c r="E43" s="158">
        <v>4</v>
      </c>
      <c r="F43" s="158">
        <v>16</v>
      </c>
      <c r="G43" s="158">
        <v>0</v>
      </c>
      <c r="H43" s="133" t="s">
        <v>835</v>
      </c>
      <c r="I43" s="133" t="s">
        <v>548</v>
      </c>
      <c r="J43" s="158">
        <v>0</v>
      </c>
    </row>
    <row r="44" spans="1:10" ht="15.75" customHeight="1">
      <c r="A44" s="133" t="s">
        <v>4</v>
      </c>
      <c r="B44" s="133" t="s">
        <v>3680</v>
      </c>
      <c r="C44" s="133" t="s">
        <v>670</v>
      </c>
      <c r="D44" s="133" t="s">
        <v>477</v>
      </c>
      <c r="E44" s="158">
        <v>8</v>
      </c>
      <c r="F44" s="158">
        <v>0</v>
      </c>
      <c r="G44" s="158">
        <v>0</v>
      </c>
      <c r="H44" s="133" t="s">
        <v>5153</v>
      </c>
      <c r="I44" s="133" t="s">
        <v>548</v>
      </c>
      <c r="J44" s="158">
        <v>0</v>
      </c>
    </row>
    <row r="45" spans="1:10" ht="15.75" customHeight="1">
      <c r="A45" s="133" t="s">
        <v>4</v>
      </c>
      <c r="B45" s="133" t="s">
        <v>3680</v>
      </c>
      <c r="C45" s="133" t="s">
        <v>215</v>
      </c>
      <c r="D45" s="133" t="s">
        <v>496</v>
      </c>
      <c r="E45" s="158">
        <v>4</v>
      </c>
      <c r="F45" s="158">
        <v>16</v>
      </c>
      <c r="G45" s="158">
        <v>0</v>
      </c>
      <c r="H45" s="133" t="s">
        <v>1982</v>
      </c>
      <c r="I45" s="133" t="s">
        <v>548</v>
      </c>
      <c r="J45" s="158">
        <v>0</v>
      </c>
    </row>
    <row r="46" spans="1:10" ht="15.75" customHeight="1">
      <c r="A46" s="133" t="s">
        <v>4</v>
      </c>
      <c r="B46" s="133" t="s">
        <v>3683</v>
      </c>
      <c r="C46" s="133" t="s">
        <v>5158</v>
      </c>
      <c r="D46" s="133" t="s">
        <v>477</v>
      </c>
      <c r="E46" s="158">
        <v>20</v>
      </c>
      <c r="F46" s="158">
        <v>0</v>
      </c>
      <c r="G46" s="158">
        <v>0</v>
      </c>
      <c r="H46" s="133" t="s">
        <v>1292</v>
      </c>
      <c r="I46" s="133" t="s">
        <v>548</v>
      </c>
      <c r="J46" s="158">
        <v>0</v>
      </c>
    </row>
    <row r="47" spans="1:10" ht="15.75" customHeight="1">
      <c r="A47" s="133" t="s">
        <v>4</v>
      </c>
      <c r="B47" s="133" t="s">
        <v>3683</v>
      </c>
      <c r="C47" s="133" t="s">
        <v>4409</v>
      </c>
      <c r="D47" s="133" t="s">
        <v>484</v>
      </c>
      <c r="E47" s="158">
        <v>4</v>
      </c>
      <c r="F47" s="158">
        <v>10</v>
      </c>
      <c r="G47" s="158">
        <v>0</v>
      </c>
      <c r="H47" s="133" t="s">
        <v>5159</v>
      </c>
      <c r="I47" s="133" t="s">
        <v>615</v>
      </c>
      <c r="J47" s="158">
        <v>0</v>
      </c>
    </row>
    <row r="48" spans="1:10" ht="15.75" customHeight="1">
      <c r="A48" s="133" t="s">
        <v>4</v>
      </c>
      <c r="B48" s="133" t="s">
        <v>3683</v>
      </c>
      <c r="C48" s="133" t="s">
        <v>5160</v>
      </c>
      <c r="D48" s="133" t="s">
        <v>477</v>
      </c>
      <c r="E48" s="158">
        <v>300</v>
      </c>
      <c r="F48" s="158">
        <v>0</v>
      </c>
      <c r="G48" s="158">
        <v>0</v>
      </c>
      <c r="H48" s="133" t="s">
        <v>5161</v>
      </c>
      <c r="I48" s="133" t="s">
        <v>548</v>
      </c>
      <c r="J48" s="158">
        <v>0</v>
      </c>
    </row>
    <row r="49" spans="1:10" ht="15.75" customHeight="1">
      <c r="A49" s="133" t="s">
        <v>4</v>
      </c>
      <c r="B49" s="133" t="s">
        <v>3683</v>
      </c>
      <c r="C49" s="133" t="s">
        <v>1815</v>
      </c>
      <c r="D49" s="133" t="s">
        <v>477</v>
      </c>
      <c r="E49" s="158">
        <v>100</v>
      </c>
      <c r="F49" s="158">
        <v>0</v>
      </c>
      <c r="G49" s="158">
        <v>0</v>
      </c>
      <c r="H49" s="133" t="s">
        <v>1687</v>
      </c>
      <c r="I49" s="133" t="s">
        <v>548</v>
      </c>
      <c r="J49" s="158">
        <v>0</v>
      </c>
    </row>
    <row r="50" spans="1:10" ht="15.75" customHeight="1">
      <c r="A50" s="133" t="s">
        <v>4</v>
      </c>
      <c r="B50" s="133" t="s">
        <v>3683</v>
      </c>
      <c r="C50" s="133" t="s">
        <v>4323</v>
      </c>
      <c r="D50" s="133" t="s">
        <v>477</v>
      </c>
      <c r="E50" s="158">
        <v>100</v>
      </c>
      <c r="F50" s="158">
        <v>0</v>
      </c>
      <c r="G50" s="158">
        <v>0</v>
      </c>
      <c r="H50" s="133" t="s">
        <v>1689</v>
      </c>
      <c r="I50" s="133" t="s">
        <v>548</v>
      </c>
      <c r="J50" s="158">
        <v>0</v>
      </c>
    </row>
    <row r="51" spans="1:10" ht="15.75" customHeight="1">
      <c r="A51" s="133" t="s">
        <v>4</v>
      </c>
      <c r="B51" s="133" t="s">
        <v>3683</v>
      </c>
      <c r="C51" s="133" t="s">
        <v>5162</v>
      </c>
      <c r="D51" s="133" t="s">
        <v>477</v>
      </c>
      <c r="E51" s="158">
        <v>100</v>
      </c>
      <c r="F51" s="158">
        <v>0</v>
      </c>
      <c r="G51" s="158">
        <v>0</v>
      </c>
      <c r="H51" s="133" t="s">
        <v>2303</v>
      </c>
      <c r="I51" s="133" t="s">
        <v>548</v>
      </c>
      <c r="J51" s="158">
        <v>0</v>
      </c>
    </row>
    <row r="52" spans="1:10" ht="15.75" customHeight="1">
      <c r="A52" s="133" t="s">
        <v>4</v>
      </c>
      <c r="B52" s="133" t="s">
        <v>3683</v>
      </c>
      <c r="C52" s="133" t="s">
        <v>1585</v>
      </c>
      <c r="D52" s="133" t="s">
        <v>477</v>
      </c>
      <c r="E52" s="158">
        <v>100</v>
      </c>
      <c r="F52" s="158">
        <v>0</v>
      </c>
      <c r="G52" s="158">
        <v>0</v>
      </c>
      <c r="H52" s="133" t="s">
        <v>2305</v>
      </c>
      <c r="I52" s="133" t="s">
        <v>548</v>
      </c>
      <c r="J52" s="158">
        <v>0</v>
      </c>
    </row>
    <row r="53" spans="1:10" ht="15.75" customHeight="1">
      <c r="A53" s="133" t="s">
        <v>4</v>
      </c>
      <c r="B53" s="133" t="s">
        <v>3683</v>
      </c>
      <c r="C53" s="133" t="s">
        <v>1804</v>
      </c>
      <c r="D53" s="133" t="s">
        <v>477</v>
      </c>
      <c r="E53" s="158">
        <v>100</v>
      </c>
      <c r="F53" s="158">
        <v>0</v>
      </c>
      <c r="G53" s="158">
        <v>0</v>
      </c>
      <c r="H53" s="133" t="s">
        <v>2307</v>
      </c>
      <c r="I53" s="133" t="s">
        <v>548</v>
      </c>
      <c r="J53" s="158">
        <v>0</v>
      </c>
    </row>
    <row r="54" spans="1:10" ht="15.75" customHeight="1">
      <c r="A54" s="133" t="s">
        <v>4</v>
      </c>
      <c r="B54" s="133" t="s">
        <v>3683</v>
      </c>
      <c r="C54" s="133" t="s">
        <v>5163</v>
      </c>
      <c r="D54" s="133" t="s">
        <v>477</v>
      </c>
      <c r="E54" s="158">
        <v>5</v>
      </c>
      <c r="F54" s="158">
        <v>0</v>
      </c>
      <c r="G54" s="158">
        <v>0</v>
      </c>
      <c r="H54" s="133" t="s">
        <v>934</v>
      </c>
      <c r="I54" s="133" t="s">
        <v>548</v>
      </c>
      <c r="J54" s="158">
        <v>0</v>
      </c>
    </row>
    <row r="55" spans="1:10" ht="15.75" customHeight="1">
      <c r="A55" s="133" t="s">
        <v>4</v>
      </c>
      <c r="B55" s="133" t="s">
        <v>3683</v>
      </c>
      <c r="C55" s="133" t="s">
        <v>3751</v>
      </c>
      <c r="D55" s="133" t="s">
        <v>477</v>
      </c>
      <c r="E55" s="158">
        <v>7</v>
      </c>
      <c r="F55" s="158">
        <v>0</v>
      </c>
      <c r="G55" s="158">
        <v>0</v>
      </c>
      <c r="H55" s="133" t="s">
        <v>5164</v>
      </c>
      <c r="I55" s="133" t="s">
        <v>548</v>
      </c>
      <c r="J55" s="158">
        <v>0</v>
      </c>
    </row>
    <row r="56" spans="1:10" ht="15.75" customHeight="1">
      <c r="A56" s="133" t="s">
        <v>4</v>
      </c>
      <c r="B56" s="133" t="s">
        <v>3683</v>
      </c>
      <c r="C56" s="133" t="s">
        <v>4643</v>
      </c>
      <c r="D56" s="133" t="s">
        <v>481</v>
      </c>
      <c r="E56" s="158">
        <v>9</v>
      </c>
      <c r="F56" s="158">
        <v>11</v>
      </c>
      <c r="G56" s="158">
        <v>8</v>
      </c>
      <c r="H56" s="133" t="s">
        <v>5165</v>
      </c>
      <c r="I56" s="133" t="s">
        <v>615</v>
      </c>
      <c r="J56" s="158">
        <v>0</v>
      </c>
    </row>
    <row r="57" spans="1:10" ht="15.75" customHeight="1">
      <c r="A57" s="133" t="s">
        <v>4</v>
      </c>
      <c r="B57" s="133" t="s">
        <v>3683</v>
      </c>
      <c r="C57" s="133" t="s">
        <v>5166</v>
      </c>
      <c r="D57" s="133" t="s">
        <v>481</v>
      </c>
      <c r="E57" s="158">
        <v>9</v>
      </c>
      <c r="F57" s="158">
        <v>11</v>
      </c>
      <c r="G57" s="158">
        <v>8</v>
      </c>
      <c r="H57" s="133" t="s">
        <v>5167</v>
      </c>
      <c r="I57" s="133" t="s">
        <v>615</v>
      </c>
      <c r="J57" s="158">
        <v>0</v>
      </c>
    </row>
    <row r="58" spans="1:10" ht="15.75" customHeight="1">
      <c r="A58" s="133" t="s">
        <v>4</v>
      </c>
      <c r="B58" s="133" t="s">
        <v>3683</v>
      </c>
      <c r="C58" s="133" t="s">
        <v>5168</v>
      </c>
      <c r="D58" s="133" t="s">
        <v>481</v>
      </c>
      <c r="E58" s="158">
        <v>9</v>
      </c>
      <c r="F58" s="158">
        <v>11</v>
      </c>
      <c r="G58" s="158">
        <v>8</v>
      </c>
      <c r="H58" s="133" t="s">
        <v>5169</v>
      </c>
      <c r="I58" s="133" t="s">
        <v>615</v>
      </c>
      <c r="J58" s="158">
        <v>0</v>
      </c>
    </row>
    <row r="59" spans="1:10" ht="15.75" customHeight="1">
      <c r="A59" s="133" t="s">
        <v>4</v>
      </c>
      <c r="B59" s="133" t="s">
        <v>3683</v>
      </c>
      <c r="C59" s="133" t="s">
        <v>5170</v>
      </c>
      <c r="D59" s="133" t="s">
        <v>481</v>
      </c>
      <c r="E59" s="158">
        <v>9</v>
      </c>
      <c r="F59" s="158">
        <v>11</v>
      </c>
      <c r="G59" s="158">
        <v>8</v>
      </c>
      <c r="H59" s="133" t="s">
        <v>5167</v>
      </c>
      <c r="I59" s="133" t="s">
        <v>615</v>
      </c>
      <c r="J59" s="158">
        <v>0</v>
      </c>
    </row>
    <row r="60" spans="1:10" ht="15.75" customHeight="1">
      <c r="A60" s="133" t="s">
        <v>4</v>
      </c>
      <c r="B60" s="133" t="s">
        <v>3683</v>
      </c>
      <c r="C60" s="133" t="s">
        <v>4580</v>
      </c>
      <c r="D60" s="133" t="s">
        <v>477</v>
      </c>
      <c r="E60" s="158">
        <v>100</v>
      </c>
      <c r="F60" s="158">
        <v>0</v>
      </c>
      <c r="G60" s="158">
        <v>0</v>
      </c>
      <c r="H60" s="133" t="s">
        <v>2310</v>
      </c>
      <c r="I60" s="133" t="s">
        <v>548</v>
      </c>
      <c r="J60" s="158">
        <v>0</v>
      </c>
    </row>
    <row r="61" spans="1:10" ht="15.75" customHeight="1">
      <c r="A61" s="133" t="s">
        <v>4</v>
      </c>
      <c r="B61" s="133" t="s">
        <v>3683</v>
      </c>
      <c r="C61" s="133" t="s">
        <v>4581</v>
      </c>
      <c r="D61" s="133" t="s">
        <v>477</v>
      </c>
      <c r="E61" s="158">
        <v>30</v>
      </c>
      <c r="F61" s="158">
        <v>0</v>
      </c>
      <c r="G61" s="158">
        <v>0</v>
      </c>
      <c r="H61" s="133" t="s">
        <v>5171</v>
      </c>
      <c r="I61" s="133" t="s">
        <v>548</v>
      </c>
      <c r="J61" s="158">
        <v>0</v>
      </c>
    </row>
    <row r="62" spans="1:10" ht="15.75" customHeight="1">
      <c r="A62" s="133" t="s">
        <v>4</v>
      </c>
      <c r="B62" s="133" t="s">
        <v>3683</v>
      </c>
      <c r="C62" s="133" t="s">
        <v>5172</v>
      </c>
      <c r="D62" s="133" t="s">
        <v>477</v>
      </c>
      <c r="E62" s="158">
        <v>3</v>
      </c>
      <c r="F62" s="158">
        <v>0</v>
      </c>
      <c r="G62" s="158">
        <v>0</v>
      </c>
      <c r="H62" s="133" t="s">
        <v>5173</v>
      </c>
      <c r="I62" s="133" t="s">
        <v>596</v>
      </c>
      <c r="J62" s="158">
        <v>0</v>
      </c>
    </row>
    <row r="63" spans="1:10" ht="15.75" customHeight="1">
      <c r="A63" s="133" t="s">
        <v>4</v>
      </c>
      <c r="B63" s="133" t="s">
        <v>3683</v>
      </c>
      <c r="C63" s="133" t="s">
        <v>5174</v>
      </c>
      <c r="D63" s="133" t="s">
        <v>477</v>
      </c>
      <c r="E63" s="158">
        <v>3</v>
      </c>
      <c r="F63" s="158">
        <v>0</v>
      </c>
      <c r="G63" s="158">
        <v>0</v>
      </c>
      <c r="H63" s="133" t="s">
        <v>5175</v>
      </c>
      <c r="I63" s="133" t="s">
        <v>596</v>
      </c>
      <c r="J63" s="158">
        <v>0</v>
      </c>
    </row>
    <row r="64" spans="1:10" ht="15.75" customHeight="1">
      <c r="A64" s="133" t="s">
        <v>4</v>
      </c>
      <c r="B64" s="133" t="s">
        <v>3683</v>
      </c>
      <c r="C64" s="133" t="s">
        <v>523</v>
      </c>
      <c r="D64" s="133" t="s">
        <v>477</v>
      </c>
      <c r="E64" s="158">
        <v>8</v>
      </c>
      <c r="F64" s="158">
        <v>0</v>
      </c>
      <c r="G64" s="158">
        <v>0</v>
      </c>
      <c r="H64" s="133" t="s">
        <v>834</v>
      </c>
      <c r="I64" s="133" t="s">
        <v>548</v>
      </c>
      <c r="J64" s="158">
        <v>0</v>
      </c>
    </row>
    <row r="65" spans="1:10" ht="15.75" customHeight="1">
      <c r="A65" s="133" t="s">
        <v>4</v>
      </c>
      <c r="B65" s="133" t="s">
        <v>3683</v>
      </c>
      <c r="C65" s="133" t="s">
        <v>669</v>
      </c>
      <c r="D65" s="133" t="s">
        <v>496</v>
      </c>
      <c r="E65" s="158">
        <v>4</v>
      </c>
      <c r="F65" s="158">
        <v>16</v>
      </c>
      <c r="G65" s="158">
        <v>0</v>
      </c>
      <c r="H65" s="133" t="s">
        <v>835</v>
      </c>
      <c r="I65" s="133" t="s">
        <v>548</v>
      </c>
      <c r="J65" s="158">
        <v>0</v>
      </c>
    </row>
    <row r="66" spans="1:10" ht="15.75" customHeight="1">
      <c r="A66" s="133" t="s">
        <v>4</v>
      </c>
      <c r="B66" s="133" t="s">
        <v>3683</v>
      </c>
      <c r="C66" s="133" t="s">
        <v>670</v>
      </c>
      <c r="D66" s="133" t="s">
        <v>477</v>
      </c>
      <c r="E66" s="158">
        <v>8</v>
      </c>
      <c r="F66" s="158">
        <v>0</v>
      </c>
      <c r="G66" s="158">
        <v>0</v>
      </c>
      <c r="H66" s="133" t="s">
        <v>5153</v>
      </c>
      <c r="I66" s="133" t="s">
        <v>548</v>
      </c>
      <c r="J66" s="158">
        <v>0</v>
      </c>
    </row>
    <row r="67" spans="1:10" ht="15.75" customHeight="1">
      <c r="A67" s="133" t="s">
        <v>4</v>
      </c>
      <c r="B67" s="133" t="s">
        <v>3683</v>
      </c>
      <c r="C67" s="133" t="s">
        <v>215</v>
      </c>
      <c r="D67" s="133" t="s">
        <v>496</v>
      </c>
      <c r="E67" s="158">
        <v>4</v>
      </c>
      <c r="F67" s="158">
        <v>16</v>
      </c>
      <c r="G67" s="158">
        <v>0</v>
      </c>
      <c r="H67" s="133" t="s">
        <v>1982</v>
      </c>
      <c r="I67" s="133" t="s">
        <v>548</v>
      </c>
      <c r="J67" s="158">
        <v>0</v>
      </c>
    </row>
    <row r="68" spans="1:10" ht="15.75" customHeight="1">
      <c r="A68" s="133" t="s">
        <v>4</v>
      </c>
      <c r="B68" s="133" t="s">
        <v>3683</v>
      </c>
      <c r="C68" s="133" t="s">
        <v>4675</v>
      </c>
      <c r="D68" s="133" t="s">
        <v>477</v>
      </c>
      <c r="E68" s="158">
        <v>100</v>
      </c>
      <c r="F68" s="158">
        <v>0</v>
      </c>
      <c r="G68" s="158">
        <v>0</v>
      </c>
      <c r="H68" s="133" t="s">
        <v>479</v>
      </c>
      <c r="I68" s="133" t="s">
        <v>548</v>
      </c>
      <c r="J68" s="158">
        <v>0</v>
      </c>
    </row>
    <row r="69" spans="1:10" ht="15.75" customHeight="1">
      <c r="A69" s="133" t="s">
        <v>4</v>
      </c>
      <c r="B69" s="133" t="s">
        <v>3683</v>
      </c>
      <c r="C69" s="133" t="s">
        <v>4676</v>
      </c>
      <c r="D69" s="133" t="s">
        <v>477</v>
      </c>
      <c r="E69" s="158">
        <v>30</v>
      </c>
      <c r="F69" s="158">
        <v>0</v>
      </c>
      <c r="G69" s="158">
        <v>0</v>
      </c>
      <c r="H69" s="133" t="s">
        <v>479</v>
      </c>
      <c r="I69" s="133" t="s">
        <v>548</v>
      </c>
      <c r="J69" s="158">
        <v>0</v>
      </c>
    </row>
    <row r="70" spans="1:10" ht="15.75" customHeight="1">
      <c r="A70" s="133" t="s">
        <v>4</v>
      </c>
      <c r="B70" s="133" t="s">
        <v>3683</v>
      </c>
      <c r="C70" s="133" t="s">
        <v>2581</v>
      </c>
      <c r="D70" s="133" t="s">
        <v>477</v>
      </c>
      <c r="E70" s="158">
        <v>300</v>
      </c>
      <c r="F70" s="158">
        <v>0</v>
      </c>
      <c r="G70" s="158">
        <v>0</v>
      </c>
      <c r="H70" s="133" t="s">
        <v>479</v>
      </c>
      <c r="I70" s="133" t="s">
        <v>548</v>
      </c>
      <c r="J70" s="158">
        <v>0</v>
      </c>
    </row>
    <row r="71" spans="1:10" ht="15.75" customHeight="1">
      <c r="A71" s="133" t="s">
        <v>4</v>
      </c>
      <c r="B71" s="133" t="s">
        <v>3683</v>
      </c>
      <c r="C71" s="133" t="s">
        <v>4362</v>
      </c>
      <c r="D71" s="133" t="s">
        <v>477</v>
      </c>
      <c r="E71" s="158">
        <v>100</v>
      </c>
      <c r="F71" s="158">
        <v>0</v>
      </c>
      <c r="G71" s="158">
        <v>0</v>
      </c>
      <c r="H71" s="133" t="s">
        <v>479</v>
      </c>
      <c r="I71" s="133" t="s">
        <v>548</v>
      </c>
      <c r="J71" s="158">
        <v>0</v>
      </c>
    </row>
    <row r="72" spans="1:10" ht="15.75" customHeight="1">
      <c r="A72" s="133" t="s">
        <v>4</v>
      </c>
      <c r="B72" s="133" t="s">
        <v>3685</v>
      </c>
      <c r="C72" s="133" t="s">
        <v>1607</v>
      </c>
      <c r="D72" s="133" t="s">
        <v>484</v>
      </c>
      <c r="E72" s="158">
        <v>4</v>
      </c>
      <c r="F72" s="158">
        <v>10</v>
      </c>
      <c r="G72" s="158">
        <v>0</v>
      </c>
      <c r="H72" s="133" t="s">
        <v>479</v>
      </c>
      <c r="I72" s="133" t="s">
        <v>479</v>
      </c>
      <c r="J72" s="158">
        <v>0</v>
      </c>
    </row>
    <row r="73" spans="1:10" ht="15.75" customHeight="1">
      <c r="A73" s="133" t="s">
        <v>4</v>
      </c>
      <c r="B73" s="133" t="s">
        <v>3685</v>
      </c>
      <c r="C73" s="133" t="s">
        <v>5176</v>
      </c>
      <c r="D73" s="133" t="s">
        <v>477</v>
      </c>
      <c r="E73" s="158">
        <v>50</v>
      </c>
      <c r="F73" s="158">
        <v>0</v>
      </c>
      <c r="G73" s="158">
        <v>0</v>
      </c>
      <c r="H73" s="133" t="s">
        <v>5177</v>
      </c>
      <c r="I73" s="133" t="s">
        <v>548</v>
      </c>
      <c r="J73" s="158">
        <v>0</v>
      </c>
    </row>
    <row r="74" spans="1:10" ht="15.75" customHeight="1">
      <c r="A74" s="133" t="s">
        <v>4</v>
      </c>
      <c r="B74" s="133" t="s">
        <v>3685</v>
      </c>
      <c r="C74" s="133" t="s">
        <v>523</v>
      </c>
      <c r="D74" s="133" t="s">
        <v>477</v>
      </c>
      <c r="E74" s="158">
        <v>8</v>
      </c>
      <c r="F74" s="158">
        <v>0</v>
      </c>
      <c r="G74" s="158">
        <v>0</v>
      </c>
      <c r="H74" s="133" t="s">
        <v>834</v>
      </c>
      <c r="I74" s="133" t="s">
        <v>548</v>
      </c>
      <c r="J74" s="158">
        <v>0</v>
      </c>
    </row>
    <row r="75" spans="1:10" ht="15.75" customHeight="1">
      <c r="A75" s="133" t="s">
        <v>4</v>
      </c>
      <c r="B75" s="133" t="s">
        <v>3685</v>
      </c>
      <c r="C75" s="133" t="s">
        <v>669</v>
      </c>
      <c r="D75" s="133" t="s">
        <v>496</v>
      </c>
      <c r="E75" s="158">
        <v>4</v>
      </c>
      <c r="F75" s="158">
        <v>16</v>
      </c>
      <c r="G75" s="158">
        <v>0</v>
      </c>
      <c r="H75" s="133" t="s">
        <v>835</v>
      </c>
      <c r="I75" s="133" t="s">
        <v>548</v>
      </c>
      <c r="J75" s="158">
        <v>0</v>
      </c>
    </row>
    <row r="76" spans="1:10" ht="15.75" customHeight="1">
      <c r="A76" s="133" t="s">
        <v>4</v>
      </c>
      <c r="B76" s="133" t="s">
        <v>3685</v>
      </c>
      <c r="C76" s="133" t="s">
        <v>670</v>
      </c>
      <c r="D76" s="133" t="s">
        <v>477</v>
      </c>
      <c r="E76" s="158">
        <v>8</v>
      </c>
      <c r="F76" s="158">
        <v>0</v>
      </c>
      <c r="G76" s="158">
        <v>0</v>
      </c>
      <c r="H76" s="133" t="s">
        <v>479</v>
      </c>
      <c r="I76" s="133" t="s">
        <v>479</v>
      </c>
      <c r="J76" s="158">
        <v>1</v>
      </c>
    </row>
    <row r="77" spans="1:10" ht="15.75" customHeight="1">
      <c r="A77" s="133" t="s">
        <v>4</v>
      </c>
      <c r="B77" s="133" t="s">
        <v>3685</v>
      </c>
      <c r="C77" s="133" t="s">
        <v>215</v>
      </c>
      <c r="D77" s="133" t="s">
        <v>496</v>
      </c>
      <c r="E77" s="158">
        <v>4</v>
      </c>
      <c r="F77" s="158">
        <v>16</v>
      </c>
      <c r="G77" s="158">
        <v>0</v>
      </c>
      <c r="H77" s="133" t="s">
        <v>479</v>
      </c>
      <c r="I77" s="133" t="s">
        <v>479</v>
      </c>
      <c r="J77" s="158">
        <v>1</v>
      </c>
    </row>
    <row r="78" spans="1:10" ht="15.75" customHeight="1">
      <c r="A78" s="133" t="s">
        <v>4</v>
      </c>
      <c r="B78" s="133" t="s">
        <v>3687</v>
      </c>
      <c r="C78" s="133" t="s">
        <v>3689</v>
      </c>
      <c r="D78" s="133" t="s">
        <v>477</v>
      </c>
      <c r="E78" s="158">
        <v>10</v>
      </c>
      <c r="F78" s="158">
        <v>0</v>
      </c>
      <c r="G78" s="158">
        <v>0</v>
      </c>
      <c r="H78" s="133" t="s">
        <v>5178</v>
      </c>
      <c r="I78" s="133" t="s">
        <v>479</v>
      </c>
      <c r="J78" s="158">
        <v>0</v>
      </c>
    </row>
    <row r="79" spans="1:10" ht="15.75" customHeight="1">
      <c r="A79" s="133" t="s">
        <v>4</v>
      </c>
      <c r="B79" s="133" t="s">
        <v>3687</v>
      </c>
      <c r="C79" s="133" t="s">
        <v>5179</v>
      </c>
      <c r="D79" s="133" t="s">
        <v>477</v>
      </c>
      <c r="E79" s="158">
        <v>50</v>
      </c>
      <c r="F79" s="158">
        <v>0</v>
      </c>
      <c r="G79" s="158">
        <v>0</v>
      </c>
      <c r="H79" s="133" t="s">
        <v>5180</v>
      </c>
      <c r="I79" s="133" t="s">
        <v>548</v>
      </c>
      <c r="J79" s="158">
        <v>0</v>
      </c>
    </row>
    <row r="80" spans="1:10" ht="15.75" customHeight="1">
      <c r="A80" s="133" t="s">
        <v>4</v>
      </c>
      <c r="B80" s="133" t="s">
        <v>3687</v>
      </c>
      <c r="C80" s="133" t="s">
        <v>4694</v>
      </c>
      <c r="D80" s="133" t="s">
        <v>484</v>
      </c>
      <c r="E80" s="158">
        <v>4</v>
      </c>
      <c r="F80" s="158">
        <v>10</v>
      </c>
      <c r="G80" s="158">
        <v>0</v>
      </c>
      <c r="H80" s="133" t="s">
        <v>5181</v>
      </c>
      <c r="I80" s="133" t="s">
        <v>615</v>
      </c>
      <c r="J80" s="158">
        <v>0</v>
      </c>
    </row>
    <row r="81" spans="1:10" ht="15.75" customHeight="1">
      <c r="A81" s="133" t="s">
        <v>4</v>
      </c>
      <c r="B81" s="133" t="s">
        <v>3687</v>
      </c>
      <c r="C81" s="133" t="s">
        <v>5182</v>
      </c>
      <c r="D81" s="133" t="s">
        <v>484</v>
      </c>
      <c r="E81" s="158">
        <v>4</v>
      </c>
      <c r="F81" s="158">
        <v>10</v>
      </c>
      <c r="G81" s="158">
        <v>0</v>
      </c>
      <c r="H81" s="133" t="s">
        <v>5183</v>
      </c>
      <c r="I81" s="133" t="s">
        <v>615</v>
      </c>
      <c r="J81" s="158">
        <v>0</v>
      </c>
    </row>
    <row r="82" spans="1:10" ht="15.75" customHeight="1">
      <c r="A82" s="133" t="s">
        <v>4</v>
      </c>
      <c r="B82" s="133" t="s">
        <v>3687</v>
      </c>
      <c r="C82" s="133" t="s">
        <v>3726</v>
      </c>
      <c r="D82" s="133" t="s">
        <v>477</v>
      </c>
      <c r="E82" s="158">
        <v>10</v>
      </c>
      <c r="F82" s="158">
        <v>0</v>
      </c>
      <c r="G82" s="158">
        <v>0</v>
      </c>
      <c r="H82" s="133" t="s">
        <v>5184</v>
      </c>
      <c r="I82" s="133" t="s">
        <v>548</v>
      </c>
      <c r="J82" s="158">
        <v>0</v>
      </c>
    </row>
    <row r="83" spans="1:10" ht="15.75" customHeight="1">
      <c r="A83" s="133" t="s">
        <v>4</v>
      </c>
      <c r="B83" s="133" t="s">
        <v>3687</v>
      </c>
      <c r="C83" s="133" t="s">
        <v>811</v>
      </c>
      <c r="D83" s="133" t="s">
        <v>477</v>
      </c>
      <c r="E83" s="158">
        <v>8</v>
      </c>
      <c r="F83" s="158">
        <v>0</v>
      </c>
      <c r="G83" s="158">
        <v>0</v>
      </c>
      <c r="H83" s="133" t="s">
        <v>5157</v>
      </c>
      <c r="I83" s="133" t="s">
        <v>813</v>
      </c>
      <c r="J83" s="158">
        <v>0</v>
      </c>
    </row>
    <row r="84" spans="1:10" ht="15.75" customHeight="1">
      <c r="A84" s="133" t="s">
        <v>4</v>
      </c>
      <c r="B84" s="133" t="s">
        <v>3687</v>
      </c>
      <c r="C84" s="133" t="s">
        <v>523</v>
      </c>
      <c r="D84" s="133" t="s">
        <v>477</v>
      </c>
      <c r="E84" s="158">
        <v>8</v>
      </c>
      <c r="F84" s="158">
        <v>0</v>
      </c>
      <c r="G84" s="158">
        <v>0</v>
      </c>
      <c r="H84" s="133" t="s">
        <v>834</v>
      </c>
      <c r="I84" s="133" t="s">
        <v>548</v>
      </c>
      <c r="J84" s="158">
        <v>0</v>
      </c>
    </row>
    <row r="85" spans="1:10" ht="15.75" customHeight="1">
      <c r="A85" s="133" t="s">
        <v>4</v>
      </c>
      <c r="B85" s="133" t="s">
        <v>3687</v>
      </c>
      <c r="C85" s="133" t="s">
        <v>669</v>
      </c>
      <c r="D85" s="133" t="s">
        <v>538</v>
      </c>
      <c r="E85" s="158">
        <v>8</v>
      </c>
      <c r="F85" s="158">
        <v>23</v>
      </c>
      <c r="G85" s="158">
        <v>3</v>
      </c>
      <c r="H85" s="133" t="s">
        <v>835</v>
      </c>
      <c r="I85" s="133" t="s">
        <v>548</v>
      </c>
      <c r="J85" s="158">
        <v>0</v>
      </c>
    </row>
    <row r="86" spans="1:10" ht="15.75" customHeight="1">
      <c r="A86" s="133" t="s">
        <v>4</v>
      </c>
      <c r="B86" s="133" t="s">
        <v>3687</v>
      </c>
      <c r="C86" s="133" t="s">
        <v>670</v>
      </c>
      <c r="D86" s="133" t="s">
        <v>477</v>
      </c>
      <c r="E86" s="158">
        <v>8</v>
      </c>
      <c r="F86" s="158">
        <v>0</v>
      </c>
      <c r="G86" s="158">
        <v>0</v>
      </c>
      <c r="H86" s="133" t="s">
        <v>5153</v>
      </c>
      <c r="I86" s="133" t="s">
        <v>548</v>
      </c>
      <c r="J86" s="158">
        <v>0</v>
      </c>
    </row>
    <row r="87" spans="1:10" ht="15.75" customHeight="1">
      <c r="A87" s="133" t="s">
        <v>4</v>
      </c>
      <c r="B87" s="133" t="s">
        <v>3687</v>
      </c>
      <c r="C87" s="133" t="s">
        <v>215</v>
      </c>
      <c r="D87" s="133" t="s">
        <v>538</v>
      </c>
      <c r="E87" s="158">
        <v>8</v>
      </c>
      <c r="F87" s="158">
        <v>23</v>
      </c>
      <c r="G87" s="158">
        <v>3</v>
      </c>
      <c r="H87" s="133" t="s">
        <v>1982</v>
      </c>
      <c r="I87" s="133" t="s">
        <v>548</v>
      </c>
      <c r="J87" s="158">
        <v>0</v>
      </c>
    </row>
    <row r="88" spans="1:10" ht="15.75" customHeight="1">
      <c r="A88" s="133" t="s">
        <v>4</v>
      </c>
      <c r="B88" s="133" t="s">
        <v>3690</v>
      </c>
      <c r="C88" s="133" t="s">
        <v>3692</v>
      </c>
      <c r="D88" s="133" t="s">
        <v>477</v>
      </c>
      <c r="E88" s="158">
        <v>10</v>
      </c>
      <c r="F88" s="158">
        <v>0</v>
      </c>
      <c r="G88" s="158">
        <v>0</v>
      </c>
      <c r="H88" s="133" t="s">
        <v>3511</v>
      </c>
      <c r="I88" s="133" t="s">
        <v>479</v>
      </c>
      <c r="J88" s="158">
        <v>0</v>
      </c>
    </row>
    <row r="89" spans="1:10" ht="15.75" customHeight="1">
      <c r="A89" s="133" t="s">
        <v>4</v>
      </c>
      <c r="B89" s="133" t="s">
        <v>3690</v>
      </c>
      <c r="C89" s="133" t="s">
        <v>5185</v>
      </c>
      <c r="D89" s="133" t="s">
        <v>477</v>
      </c>
      <c r="E89" s="158">
        <v>10</v>
      </c>
      <c r="F89" s="158">
        <v>0</v>
      </c>
      <c r="G89" s="158">
        <v>0</v>
      </c>
      <c r="H89" s="133" t="s">
        <v>788</v>
      </c>
      <c r="I89" s="133" t="s">
        <v>548</v>
      </c>
      <c r="J89" s="158">
        <v>0</v>
      </c>
    </row>
    <row r="90" spans="1:10" ht="15.75" customHeight="1">
      <c r="A90" s="133" t="s">
        <v>4</v>
      </c>
      <c r="B90" s="133" t="s">
        <v>3690</v>
      </c>
      <c r="C90" s="133" t="s">
        <v>5186</v>
      </c>
      <c r="D90" s="133" t="s">
        <v>477</v>
      </c>
      <c r="E90" s="158">
        <v>50</v>
      </c>
      <c r="F90" s="158">
        <v>0</v>
      </c>
      <c r="G90" s="158">
        <v>0</v>
      </c>
      <c r="H90" s="133" t="s">
        <v>5187</v>
      </c>
      <c r="I90" s="133" t="s">
        <v>548</v>
      </c>
      <c r="J90" s="158">
        <v>0</v>
      </c>
    </row>
    <row r="91" spans="1:10" ht="15.75" customHeight="1">
      <c r="A91" s="133" t="s">
        <v>4</v>
      </c>
      <c r="B91" s="133" t="s">
        <v>3690</v>
      </c>
      <c r="C91" s="133" t="s">
        <v>4306</v>
      </c>
      <c r="D91" s="133" t="s">
        <v>477</v>
      </c>
      <c r="E91" s="158">
        <v>50</v>
      </c>
      <c r="F91" s="158">
        <v>0</v>
      </c>
      <c r="G91" s="158">
        <v>0</v>
      </c>
      <c r="H91" s="133" t="s">
        <v>5188</v>
      </c>
      <c r="I91" s="133" t="s">
        <v>548</v>
      </c>
      <c r="J91" s="158">
        <v>0</v>
      </c>
    </row>
    <row r="92" spans="1:10" ht="15.75" customHeight="1">
      <c r="A92" s="133" t="s">
        <v>4</v>
      </c>
      <c r="B92" s="133" t="s">
        <v>3690</v>
      </c>
      <c r="C92" s="133" t="s">
        <v>5189</v>
      </c>
      <c r="D92" s="133" t="s">
        <v>477</v>
      </c>
      <c r="E92" s="158">
        <v>50</v>
      </c>
      <c r="F92" s="158">
        <v>0</v>
      </c>
      <c r="G92" s="158">
        <v>0</v>
      </c>
      <c r="H92" s="133" t="s">
        <v>5190</v>
      </c>
      <c r="I92" s="133" t="s">
        <v>548</v>
      </c>
      <c r="J92" s="158">
        <v>0</v>
      </c>
    </row>
    <row r="93" spans="1:10" ht="15.75" customHeight="1">
      <c r="A93" s="133" t="s">
        <v>4</v>
      </c>
      <c r="B93" s="133" t="s">
        <v>3690</v>
      </c>
      <c r="C93" s="133" t="s">
        <v>3731</v>
      </c>
      <c r="D93" s="133" t="s">
        <v>477</v>
      </c>
      <c r="E93" s="158">
        <v>10</v>
      </c>
      <c r="F93" s="158">
        <v>0</v>
      </c>
      <c r="G93" s="158">
        <v>0</v>
      </c>
      <c r="H93" s="133" t="s">
        <v>5191</v>
      </c>
      <c r="I93" s="133" t="s">
        <v>548</v>
      </c>
      <c r="J93" s="158">
        <v>0</v>
      </c>
    </row>
    <row r="94" spans="1:10" ht="15.75" customHeight="1">
      <c r="A94" s="133" t="s">
        <v>4</v>
      </c>
      <c r="B94" s="133" t="s">
        <v>3690</v>
      </c>
      <c r="C94" s="133" t="s">
        <v>5192</v>
      </c>
      <c r="D94" s="133" t="s">
        <v>477</v>
      </c>
      <c r="E94" s="158">
        <v>10</v>
      </c>
      <c r="F94" s="158">
        <v>0</v>
      </c>
      <c r="G94" s="158">
        <v>0</v>
      </c>
      <c r="H94" s="133" t="s">
        <v>5193</v>
      </c>
      <c r="I94" s="133" t="s">
        <v>548</v>
      </c>
      <c r="J94" s="158">
        <v>0</v>
      </c>
    </row>
    <row r="95" spans="1:10" ht="15.75" customHeight="1">
      <c r="A95" s="133" t="s">
        <v>4</v>
      </c>
      <c r="B95" s="133" t="s">
        <v>3690</v>
      </c>
      <c r="C95" s="133" t="s">
        <v>1611</v>
      </c>
      <c r="D95" s="133" t="s">
        <v>477</v>
      </c>
      <c r="E95" s="158">
        <v>50</v>
      </c>
      <c r="F95" s="158">
        <v>0</v>
      </c>
      <c r="G95" s="158">
        <v>0</v>
      </c>
      <c r="H95" s="133" t="s">
        <v>5194</v>
      </c>
      <c r="I95" s="133" t="s">
        <v>548</v>
      </c>
      <c r="J95" s="158">
        <v>0</v>
      </c>
    </row>
    <row r="96" spans="1:10" ht="15.75" customHeight="1">
      <c r="A96" s="133" t="s">
        <v>4</v>
      </c>
      <c r="B96" s="133" t="s">
        <v>3690</v>
      </c>
      <c r="C96" s="133" t="s">
        <v>5195</v>
      </c>
      <c r="D96" s="133" t="s">
        <v>477</v>
      </c>
      <c r="E96" s="158">
        <v>20</v>
      </c>
      <c r="F96" s="158">
        <v>0</v>
      </c>
      <c r="G96" s="158">
        <v>0</v>
      </c>
      <c r="H96" s="133" t="s">
        <v>947</v>
      </c>
      <c r="I96" s="133" t="s">
        <v>548</v>
      </c>
      <c r="J96" s="158">
        <v>0</v>
      </c>
    </row>
    <row r="97" spans="1:10" ht="15.75" customHeight="1">
      <c r="A97" s="133" t="s">
        <v>4</v>
      </c>
      <c r="B97" s="133" t="s">
        <v>3690</v>
      </c>
      <c r="C97" s="133" t="s">
        <v>5196</v>
      </c>
      <c r="D97" s="133" t="s">
        <v>477</v>
      </c>
      <c r="E97" s="158">
        <v>20</v>
      </c>
      <c r="F97" s="158">
        <v>0</v>
      </c>
      <c r="G97" s="158">
        <v>0</v>
      </c>
      <c r="H97" s="133" t="s">
        <v>5197</v>
      </c>
      <c r="I97" s="133" t="s">
        <v>548</v>
      </c>
      <c r="J97" s="158">
        <v>0</v>
      </c>
    </row>
    <row r="98" spans="1:10" ht="15.75" customHeight="1">
      <c r="A98" s="133" t="s">
        <v>4</v>
      </c>
      <c r="B98" s="133" t="s">
        <v>3690</v>
      </c>
      <c r="C98" s="133" t="s">
        <v>811</v>
      </c>
      <c r="D98" s="133" t="s">
        <v>477</v>
      </c>
      <c r="E98" s="158">
        <v>8</v>
      </c>
      <c r="F98" s="158">
        <v>0</v>
      </c>
      <c r="G98" s="158">
        <v>0</v>
      </c>
      <c r="H98" s="133" t="s">
        <v>5157</v>
      </c>
      <c r="I98" s="133" t="s">
        <v>813</v>
      </c>
      <c r="J98" s="158">
        <v>0</v>
      </c>
    </row>
    <row r="99" spans="1:10" ht="15.75" customHeight="1">
      <c r="A99" s="133" t="s">
        <v>4</v>
      </c>
      <c r="B99" s="133" t="s">
        <v>3690</v>
      </c>
      <c r="C99" s="133" t="s">
        <v>523</v>
      </c>
      <c r="D99" s="133" t="s">
        <v>477</v>
      </c>
      <c r="E99" s="158">
        <v>36</v>
      </c>
      <c r="F99" s="158">
        <v>0</v>
      </c>
      <c r="G99" s="158">
        <v>0</v>
      </c>
      <c r="H99" s="133" t="s">
        <v>5198</v>
      </c>
      <c r="I99" s="133" t="s">
        <v>548</v>
      </c>
      <c r="J99" s="158">
        <v>0</v>
      </c>
    </row>
    <row r="100" spans="1:10" ht="15.75" customHeight="1">
      <c r="A100" s="133" t="s">
        <v>4</v>
      </c>
      <c r="B100" s="133" t="s">
        <v>3690</v>
      </c>
      <c r="C100" s="133" t="s">
        <v>669</v>
      </c>
      <c r="D100" s="133" t="s">
        <v>496</v>
      </c>
      <c r="E100" s="158">
        <v>4</v>
      </c>
      <c r="F100" s="158">
        <v>16</v>
      </c>
      <c r="G100" s="158">
        <v>0</v>
      </c>
      <c r="H100" s="133" t="s">
        <v>835</v>
      </c>
      <c r="I100" s="133" t="s">
        <v>548</v>
      </c>
      <c r="J100" s="158">
        <v>0</v>
      </c>
    </row>
    <row r="101" spans="1:10" ht="15.75" customHeight="1">
      <c r="A101" s="133" t="s">
        <v>4</v>
      </c>
      <c r="B101" s="133" t="s">
        <v>3690</v>
      </c>
      <c r="C101" s="133" t="s">
        <v>670</v>
      </c>
      <c r="D101" s="133" t="s">
        <v>477</v>
      </c>
      <c r="E101" s="158">
        <v>36</v>
      </c>
      <c r="F101" s="158">
        <v>0</v>
      </c>
      <c r="G101" s="158">
        <v>0</v>
      </c>
      <c r="H101" s="133" t="s">
        <v>5199</v>
      </c>
      <c r="I101" s="133" t="s">
        <v>548</v>
      </c>
      <c r="J101" s="158">
        <v>0</v>
      </c>
    </row>
    <row r="102" spans="1:10" ht="15.75" customHeight="1">
      <c r="A102" s="133" t="s">
        <v>4</v>
      </c>
      <c r="B102" s="133" t="s">
        <v>3690</v>
      </c>
      <c r="C102" s="133" t="s">
        <v>215</v>
      </c>
      <c r="D102" s="133" t="s">
        <v>496</v>
      </c>
      <c r="E102" s="158">
        <v>4</v>
      </c>
      <c r="F102" s="158">
        <v>16</v>
      </c>
      <c r="G102" s="158">
        <v>0</v>
      </c>
      <c r="H102" s="133" t="s">
        <v>1982</v>
      </c>
      <c r="I102" s="133" t="s">
        <v>548</v>
      </c>
      <c r="J102" s="158">
        <v>0</v>
      </c>
    </row>
    <row r="103" spans="1:10" ht="15.75" customHeight="1">
      <c r="A103" s="133" t="s">
        <v>4</v>
      </c>
      <c r="B103" s="133" t="s">
        <v>3693</v>
      </c>
      <c r="C103" s="133" t="s">
        <v>3695</v>
      </c>
      <c r="D103" s="133" t="s">
        <v>484</v>
      </c>
      <c r="E103" s="158">
        <v>4</v>
      </c>
      <c r="F103" s="158">
        <v>10</v>
      </c>
      <c r="G103" s="158">
        <v>0</v>
      </c>
      <c r="H103" s="133" t="s">
        <v>479</v>
      </c>
      <c r="I103" s="133" t="s">
        <v>479</v>
      </c>
      <c r="J103" s="158">
        <v>0</v>
      </c>
    </row>
    <row r="104" spans="1:10" ht="15.75" customHeight="1">
      <c r="A104" s="133" t="s">
        <v>4</v>
      </c>
      <c r="B104" s="133" t="s">
        <v>3693</v>
      </c>
      <c r="C104" s="133" t="s">
        <v>5200</v>
      </c>
      <c r="D104" s="133" t="s">
        <v>477</v>
      </c>
      <c r="E104" s="158">
        <v>20</v>
      </c>
      <c r="F104" s="158">
        <v>0</v>
      </c>
      <c r="G104" s="158">
        <v>0</v>
      </c>
      <c r="H104" s="133" t="s">
        <v>479</v>
      </c>
      <c r="I104" s="133" t="s">
        <v>479</v>
      </c>
      <c r="J104" s="158">
        <v>0</v>
      </c>
    </row>
    <row r="105" spans="1:10" ht="15.75" customHeight="1">
      <c r="A105" s="133" t="s">
        <v>4</v>
      </c>
      <c r="B105" s="133" t="s">
        <v>3693</v>
      </c>
      <c r="C105" s="133" t="s">
        <v>5201</v>
      </c>
      <c r="D105" s="133" t="s">
        <v>477</v>
      </c>
      <c r="E105" s="158">
        <v>100</v>
      </c>
      <c r="F105" s="158">
        <v>0</v>
      </c>
      <c r="G105" s="158">
        <v>0</v>
      </c>
      <c r="H105" s="133" t="s">
        <v>479</v>
      </c>
      <c r="I105" s="133" t="s">
        <v>479</v>
      </c>
      <c r="J105" s="158">
        <v>0</v>
      </c>
    </row>
    <row r="106" spans="1:10" ht="15.75" customHeight="1">
      <c r="A106" s="133" t="s">
        <v>4</v>
      </c>
      <c r="B106" s="133" t="s">
        <v>3693</v>
      </c>
      <c r="C106" s="133" t="s">
        <v>811</v>
      </c>
      <c r="D106" s="133" t="s">
        <v>477</v>
      </c>
      <c r="E106" s="158">
        <v>20</v>
      </c>
      <c r="F106" s="158">
        <v>0</v>
      </c>
      <c r="G106" s="158">
        <v>0</v>
      </c>
      <c r="H106" s="133" t="s">
        <v>479</v>
      </c>
      <c r="I106" s="133" t="s">
        <v>479</v>
      </c>
      <c r="J106" s="158">
        <v>0</v>
      </c>
    </row>
    <row r="107" spans="1:10" ht="15.75" customHeight="1">
      <c r="A107" s="133" t="s">
        <v>4</v>
      </c>
      <c r="B107" s="133" t="s">
        <v>3693</v>
      </c>
      <c r="C107" s="133" t="s">
        <v>5202</v>
      </c>
      <c r="D107" s="133" t="s">
        <v>477</v>
      </c>
      <c r="E107" s="158">
        <v>20</v>
      </c>
      <c r="F107" s="158">
        <v>0</v>
      </c>
      <c r="G107" s="158">
        <v>0</v>
      </c>
      <c r="H107" s="133" t="s">
        <v>479</v>
      </c>
      <c r="I107" s="133" t="s">
        <v>479</v>
      </c>
      <c r="J107" s="158">
        <v>0</v>
      </c>
    </row>
    <row r="108" spans="1:10" ht="15.75" customHeight="1">
      <c r="A108" s="133" t="s">
        <v>4</v>
      </c>
      <c r="B108" s="133" t="s">
        <v>3693</v>
      </c>
      <c r="C108" s="133" t="s">
        <v>5203</v>
      </c>
      <c r="D108" s="133" t="s">
        <v>477</v>
      </c>
      <c r="E108" s="158">
        <v>20</v>
      </c>
      <c r="F108" s="158">
        <v>0</v>
      </c>
      <c r="G108" s="158">
        <v>0</v>
      </c>
      <c r="H108" s="133" t="s">
        <v>479</v>
      </c>
      <c r="I108" s="133" t="s">
        <v>479</v>
      </c>
      <c r="J108" s="158">
        <v>0</v>
      </c>
    </row>
    <row r="109" spans="1:10" ht="15.75" customHeight="1">
      <c r="A109" s="133" t="s">
        <v>4</v>
      </c>
      <c r="B109" s="133" t="s">
        <v>3693</v>
      </c>
      <c r="C109" s="133" t="s">
        <v>4580</v>
      </c>
      <c r="D109" s="133" t="s">
        <v>477</v>
      </c>
      <c r="E109" s="158">
        <v>100</v>
      </c>
      <c r="F109" s="158">
        <v>0</v>
      </c>
      <c r="G109" s="158">
        <v>0</v>
      </c>
      <c r="H109" s="133" t="s">
        <v>479</v>
      </c>
      <c r="I109" s="133" t="s">
        <v>479</v>
      </c>
      <c r="J109" s="158">
        <v>0</v>
      </c>
    </row>
    <row r="110" spans="1:10" ht="15.75" customHeight="1">
      <c r="A110" s="133" t="s">
        <v>4</v>
      </c>
      <c r="B110" s="133" t="s">
        <v>3693</v>
      </c>
      <c r="C110" s="133" t="s">
        <v>4581</v>
      </c>
      <c r="D110" s="133" t="s">
        <v>477</v>
      </c>
      <c r="E110" s="158">
        <v>20</v>
      </c>
      <c r="F110" s="158">
        <v>0</v>
      </c>
      <c r="G110" s="158">
        <v>0</v>
      </c>
      <c r="H110" s="133" t="s">
        <v>479</v>
      </c>
      <c r="I110" s="133" t="s">
        <v>479</v>
      </c>
      <c r="J110" s="158">
        <v>0</v>
      </c>
    </row>
    <row r="111" spans="1:10" ht="15.75" customHeight="1">
      <c r="A111" s="133" t="s">
        <v>4</v>
      </c>
      <c r="B111" s="133" t="s">
        <v>3693</v>
      </c>
      <c r="C111" s="133" t="s">
        <v>5204</v>
      </c>
      <c r="D111" s="133" t="s">
        <v>477</v>
      </c>
      <c r="E111" s="158">
        <v>100</v>
      </c>
      <c r="F111" s="158">
        <v>0</v>
      </c>
      <c r="G111" s="158">
        <v>0</v>
      </c>
      <c r="H111" s="133" t="s">
        <v>479</v>
      </c>
      <c r="I111" s="133" t="s">
        <v>479</v>
      </c>
      <c r="J111" s="158">
        <v>0</v>
      </c>
    </row>
    <row r="112" spans="1:10" ht="15.75" customHeight="1">
      <c r="A112" s="133" t="s">
        <v>4</v>
      </c>
      <c r="B112" s="133" t="s">
        <v>3693</v>
      </c>
      <c r="C112" s="133" t="s">
        <v>5205</v>
      </c>
      <c r="D112" s="133" t="s">
        <v>477</v>
      </c>
      <c r="E112" s="158">
        <v>300</v>
      </c>
      <c r="F112" s="158">
        <v>0</v>
      </c>
      <c r="G112" s="158">
        <v>0</v>
      </c>
      <c r="H112" s="133" t="s">
        <v>479</v>
      </c>
      <c r="I112" s="133" t="s">
        <v>479</v>
      </c>
      <c r="J112" s="158">
        <v>0</v>
      </c>
    </row>
    <row r="113" spans="1:10" ht="15.75" customHeight="1">
      <c r="A113" s="133" t="s">
        <v>4</v>
      </c>
      <c r="B113" s="133" t="s">
        <v>3693</v>
      </c>
      <c r="C113" s="133" t="s">
        <v>1815</v>
      </c>
      <c r="D113" s="133" t="s">
        <v>477</v>
      </c>
      <c r="E113" s="158">
        <v>100</v>
      </c>
      <c r="F113" s="158">
        <v>0</v>
      </c>
      <c r="G113" s="158">
        <v>0</v>
      </c>
      <c r="H113" s="133" t="s">
        <v>479</v>
      </c>
      <c r="I113" s="133" t="s">
        <v>479</v>
      </c>
      <c r="J113" s="158">
        <v>0</v>
      </c>
    </row>
    <row r="114" spans="1:10" ht="15.75" customHeight="1">
      <c r="A114" s="133" t="s">
        <v>4</v>
      </c>
      <c r="B114" s="133" t="s">
        <v>3693</v>
      </c>
      <c r="C114" s="133" t="s">
        <v>1816</v>
      </c>
      <c r="D114" s="133" t="s">
        <v>477</v>
      </c>
      <c r="E114" s="158">
        <v>100</v>
      </c>
      <c r="F114" s="158">
        <v>0</v>
      </c>
      <c r="G114" s="158">
        <v>0</v>
      </c>
      <c r="H114" s="133" t="s">
        <v>479</v>
      </c>
      <c r="I114" s="133" t="s">
        <v>479</v>
      </c>
      <c r="J114" s="158">
        <v>0</v>
      </c>
    </row>
    <row r="115" spans="1:10" ht="15.75" customHeight="1">
      <c r="A115" s="133" t="s">
        <v>4</v>
      </c>
      <c r="B115" s="133" t="s">
        <v>3693</v>
      </c>
      <c r="C115" s="133" t="s">
        <v>5162</v>
      </c>
      <c r="D115" s="133" t="s">
        <v>477</v>
      </c>
      <c r="E115" s="158">
        <v>100</v>
      </c>
      <c r="F115" s="158">
        <v>0</v>
      </c>
      <c r="G115" s="158">
        <v>0</v>
      </c>
      <c r="H115" s="133" t="s">
        <v>479</v>
      </c>
      <c r="I115" s="133" t="s">
        <v>479</v>
      </c>
      <c r="J115" s="158">
        <v>0</v>
      </c>
    </row>
    <row r="116" spans="1:10" ht="15.75" customHeight="1">
      <c r="A116" s="133" t="s">
        <v>4</v>
      </c>
      <c r="B116" s="133" t="s">
        <v>3693</v>
      </c>
      <c r="C116" s="133" t="s">
        <v>1585</v>
      </c>
      <c r="D116" s="133" t="s">
        <v>477</v>
      </c>
      <c r="E116" s="158">
        <v>100</v>
      </c>
      <c r="F116" s="158">
        <v>0</v>
      </c>
      <c r="G116" s="158">
        <v>0</v>
      </c>
      <c r="H116" s="133" t="s">
        <v>479</v>
      </c>
      <c r="I116" s="133" t="s">
        <v>479</v>
      </c>
      <c r="J116" s="158">
        <v>0</v>
      </c>
    </row>
    <row r="117" spans="1:10" ht="15.75" customHeight="1">
      <c r="A117" s="133" t="s">
        <v>4</v>
      </c>
      <c r="B117" s="133" t="s">
        <v>3693</v>
      </c>
      <c r="C117" s="133" t="s">
        <v>1804</v>
      </c>
      <c r="D117" s="133" t="s">
        <v>477</v>
      </c>
      <c r="E117" s="158">
        <v>100</v>
      </c>
      <c r="F117" s="158">
        <v>0</v>
      </c>
      <c r="G117" s="158">
        <v>0</v>
      </c>
      <c r="H117" s="133" t="s">
        <v>479</v>
      </c>
      <c r="I117" s="133" t="s">
        <v>479</v>
      </c>
      <c r="J117" s="158">
        <v>0</v>
      </c>
    </row>
    <row r="118" spans="1:10" ht="15.75" customHeight="1">
      <c r="A118" s="133" t="s">
        <v>4</v>
      </c>
      <c r="B118" s="133" t="s">
        <v>3693</v>
      </c>
      <c r="C118" s="133" t="s">
        <v>4324</v>
      </c>
      <c r="D118" s="133" t="s">
        <v>477</v>
      </c>
      <c r="E118" s="158">
        <v>20</v>
      </c>
      <c r="F118" s="158">
        <v>0</v>
      </c>
      <c r="G118" s="158">
        <v>0</v>
      </c>
      <c r="H118" s="133" t="s">
        <v>479</v>
      </c>
      <c r="I118" s="133" t="s">
        <v>479</v>
      </c>
      <c r="J118" s="158">
        <v>0</v>
      </c>
    </row>
    <row r="119" spans="1:10" ht="15.75" customHeight="1">
      <c r="A119" s="133" t="s">
        <v>4</v>
      </c>
      <c r="B119" s="133" t="s">
        <v>3693</v>
      </c>
      <c r="C119" s="133" t="s">
        <v>5206</v>
      </c>
      <c r="D119" s="133" t="s">
        <v>477</v>
      </c>
      <c r="E119" s="158">
        <v>100</v>
      </c>
      <c r="F119" s="158">
        <v>0</v>
      </c>
      <c r="G119" s="158">
        <v>0</v>
      </c>
      <c r="H119" s="133" t="s">
        <v>479</v>
      </c>
      <c r="I119" s="133" t="s">
        <v>479</v>
      </c>
      <c r="J119" s="158">
        <v>0</v>
      </c>
    </row>
    <row r="120" spans="1:10" ht="15.75" customHeight="1">
      <c r="A120" s="133" t="s">
        <v>4</v>
      </c>
      <c r="B120" s="133" t="s">
        <v>3693</v>
      </c>
      <c r="C120" s="133" t="s">
        <v>523</v>
      </c>
      <c r="D120" s="133" t="s">
        <v>477</v>
      </c>
      <c r="E120" s="158">
        <v>20</v>
      </c>
      <c r="F120" s="158">
        <v>0</v>
      </c>
      <c r="G120" s="158">
        <v>0</v>
      </c>
      <c r="H120" s="133" t="s">
        <v>479</v>
      </c>
      <c r="I120" s="133" t="s">
        <v>479</v>
      </c>
      <c r="J120" s="158">
        <v>0</v>
      </c>
    </row>
    <row r="121" spans="1:10" ht="15.75" customHeight="1">
      <c r="A121" s="133" t="s">
        <v>4</v>
      </c>
      <c r="B121" s="133" t="s">
        <v>3693</v>
      </c>
      <c r="C121" s="133" t="s">
        <v>814</v>
      </c>
      <c r="D121" s="133" t="s">
        <v>477</v>
      </c>
      <c r="E121" s="158">
        <v>100</v>
      </c>
      <c r="F121" s="158">
        <v>0</v>
      </c>
      <c r="G121" s="158">
        <v>0</v>
      </c>
      <c r="H121" s="133" t="s">
        <v>479</v>
      </c>
      <c r="I121" s="133" t="s">
        <v>479</v>
      </c>
      <c r="J121" s="158">
        <v>0</v>
      </c>
    </row>
    <row r="122" spans="1:10" ht="15.75" customHeight="1">
      <c r="A122" s="133" t="s">
        <v>4</v>
      </c>
      <c r="B122" s="133" t="s">
        <v>3693</v>
      </c>
      <c r="C122" s="133" t="s">
        <v>669</v>
      </c>
      <c r="D122" s="133" t="s">
        <v>538</v>
      </c>
      <c r="E122" s="158">
        <v>8</v>
      </c>
      <c r="F122" s="158">
        <v>23</v>
      </c>
      <c r="G122" s="158">
        <v>3</v>
      </c>
      <c r="H122" s="133" t="s">
        <v>479</v>
      </c>
      <c r="I122" s="133" t="s">
        <v>479</v>
      </c>
      <c r="J122" s="158">
        <v>0</v>
      </c>
    </row>
    <row r="123" spans="1:10" ht="15.75" customHeight="1">
      <c r="A123" s="133" t="s">
        <v>4</v>
      </c>
      <c r="B123" s="133" t="s">
        <v>3693</v>
      </c>
      <c r="C123" s="133" t="s">
        <v>670</v>
      </c>
      <c r="D123" s="133" t="s">
        <v>477</v>
      </c>
      <c r="E123" s="158">
        <v>20</v>
      </c>
      <c r="F123" s="158">
        <v>0</v>
      </c>
      <c r="G123" s="158">
        <v>0</v>
      </c>
      <c r="H123" s="133" t="s">
        <v>479</v>
      </c>
      <c r="I123" s="133" t="s">
        <v>479</v>
      </c>
      <c r="J123" s="158">
        <v>0</v>
      </c>
    </row>
    <row r="124" spans="1:10" ht="15.75" customHeight="1">
      <c r="A124" s="133" t="s">
        <v>4</v>
      </c>
      <c r="B124" s="133" t="s">
        <v>3693</v>
      </c>
      <c r="C124" s="133" t="s">
        <v>816</v>
      </c>
      <c r="D124" s="133" t="s">
        <v>477</v>
      </c>
      <c r="E124" s="158">
        <v>100</v>
      </c>
      <c r="F124" s="158">
        <v>0</v>
      </c>
      <c r="G124" s="158">
        <v>0</v>
      </c>
      <c r="H124" s="133" t="s">
        <v>479</v>
      </c>
      <c r="I124" s="133" t="s">
        <v>479</v>
      </c>
      <c r="J124" s="158">
        <v>0</v>
      </c>
    </row>
    <row r="125" spans="1:10" ht="15.75" customHeight="1">
      <c r="A125" s="133" t="s">
        <v>4</v>
      </c>
      <c r="B125" s="133" t="s">
        <v>3693</v>
      </c>
      <c r="C125" s="133" t="s">
        <v>215</v>
      </c>
      <c r="D125" s="133" t="s">
        <v>538</v>
      </c>
      <c r="E125" s="158">
        <v>8</v>
      </c>
      <c r="F125" s="158">
        <v>23</v>
      </c>
      <c r="G125" s="158">
        <v>3</v>
      </c>
      <c r="H125" s="133" t="s">
        <v>479</v>
      </c>
      <c r="I125" s="133" t="s">
        <v>479</v>
      </c>
      <c r="J125" s="158">
        <v>0</v>
      </c>
    </row>
    <row r="126" spans="1:10" ht="15.75" customHeight="1">
      <c r="A126" s="133" t="s">
        <v>4</v>
      </c>
      <c r="B126" s="133" t="s">
        <v>3693</v>
      </c>
      <c r="C126" s="133" t="s">
        <v>1571</v>
      </c>
      <c r="D126" s="133" t="s">
        <v>484</v>
      </c>
      <c r="E126" s="158">
        <v>4</v>
      </c>
      <c r="F126" s="158">
        <v>10</v>
      </c>
      <c r="G126" s="158">
        <v>0</v>
      </c>
      <c r="H126" s="133" t="s">
        <v>5207</v>
      </c>
      <c r="I126" s="133" t="s">
        <v>615</v>
      </c>
      <c r="J126" s="158">
        <v>0</v>
      </c>
    </row>
    <row r="127" spans="1:10" ht="15.75" customHeight="1">
      <c r="A127" s="133" t="s">
        <v>4</v>
      </c>
      <c r="B127" s="133" t="s">
        <v>3693</v>
      </c>
      <c r="C127" s="133" t="s">
        <v>5208</v>
      </c>
      <c r="D127" s="133" t="s">
        <v>481</v>
      </c>
      <c r="E127" s="158">
        <v>5</v>
      </c>
      <c r="F127" s="158">
        <v>9</v>
      </c>
      <c r="G127" s="158">
        <v>2</v>
      </c>
      <c r="H127" s="133" t="s">
        <v>5209</v>
      </c>
      <c r="I127" s="133" t="s">
        <v>615</v>
      </c>
      <c r="J127" s="158">
        <v>0</v>
      </c>
    </row>
    <row r="128" spans="1:10" ht="15.75" customHeight="1">
      <c r="A128" s="133" t="s">
        <v>4</v>
      </c>
      <c r="B128" s="133" t="s">
        <v>3693</v>
      </c>
      <c r="C128" s="133" t="s">
        <v>5210</v>
      </c>
      <c r="D128" s="133" t="s">
        <v>477</v>
      </c>
      <c r="E128" s="158">
        <v>20</v>
      </c>
      <c r="F128" s="158">
        <v>0</v>
      </c>
      <c r="G128" s="158">
        <v>0</v>
      </c>
      <c r="H128" s="133" t="s">
        <v>5211</v>
      </c>
      <c r="I128" s="133" t="s">
        <v>596</v>
      </c>
      <c r="J128" s="158">
        <v>0</v>
      </c>
    </row>
    <row r="129" spans="1:10" ht="15.75" customHeight="1">
      <c r="A129" s="133" t="s">
        <v>4</v>
      </c>
      <c r="B129" s="133" t="s">
        <v>3693</v>
      </c>
      <c r="C129" s="133" t="s">
        <v>658</v>
      </c>
      <c r="D129" s="133" t="s">
        <v>481</v>
      </c>
      <c r="E129" s="158">
        <v>5</v>
      </c>
      <c r="F129" s="158">
        <v>9</v>
      </c>
      <c r="G129" s="158">
        <v>2</v>
      </c>
      <c r="H129" s="133" t="s">
        <v>5212</v>
      </c>
      <c r="I129" s="133" t="s">
        <v>1223</v>
      </c>
      <c r="J129" s="158">
        <v>0</v>
      </c>
    </row>
    <row r="130" spans="1:10" ht="15.75" customHeight="1">
      <c r="A130" s="133" t="s">
        <v>4</v>
      </c>
      <c r="B130" s="133" t="s">
        <v>3693</v>
      </c>
      <c r="C130" s="133" t="s">
        <v>1206</v>
      </c>
      <c r="D130" s="133" t="s">
        <v>477</v>
      </c>
      <c r="E130" s="158">
        <v>20</v>
      </c>
      <c r="F130" s="158">
        <v>0</v>
      </c>
      <c r="G130" s="158">
        <v>0</v>
      </c>
      <c r="H130" s="133" t="s">
        <v>5213</v>
      </c>
      <c r="I130" s="133" t="s">
        <v>596</v>
      </c>
      <c r="J130" s="158">
        <v>0</v>
      </c>
    </row>
    <row r="131" spans="1:10" ht="15.75" customHeight="1">
      <c r="A131" s="133" t="s">
        <v>4</v>
      </c>
      <c r="B131" s="133" t="s">
        <v>3693</v>
      </c>
      <c r="C131" s="133" t="s">
        <v>5214</v>
      </c>
      <c r="D131" s="133" t="s">
        <v>484</v>
      </c>
      <c r="E131" s="158">
        <v>4</v>
      </c>
      <c r="F131" s="158">
        <v>10</v>
      </c>
      <c r="G131" s="158">
        <v>0</v>
      </c>
      <c r="H131" s="133" t="s">
        <v>5215</v>
      </c>
      <c r="I131" s="133" t="s">
        <v>615</v>
      </c>
      <c r="J131" s="158">
        <v>0</v>
      </c>
    </row>
    <row r="132" spans="1:10" ht="15.75" customHeight="1">
      <c r="A132" s="133" t="s">
        <v>4</v>
      </c>
      <c r="B132" s="133" t="s">
        <v>3693</v>
      </c>
      <c r="C132" s="133" t="s">
        <v>712</v>
      </c>
      <c r="D132" s="133" t="s">
        <v>477</v>
      </c>
      <c r="E132" s="158">
        <v>20</v>
      </c>
      <c r="F132" s="158">
        <v>0</v>
      </c>
      <c r="G132" s="158">
        <v>0</v>
      </c>
      <c r="H132" s="133" t="s">
        <v>5216</v>
      </c>
      <c r="I132" s="133" t="s">
        <v>548</v>
      </c>
      <c r="J132" s="158">
        <v>0</v>
      </c>
    </row>
    <row r="133" spans="1:10" ht="15.75" customHeight="1">
      <c r="A133" s="133" t="s">
        <v>4</v>
      </c>
      <c r="B133" s="133" t="s">
        <v>3693</v>
      </c>
      <c r="C133" s="133" t="s">
        <v>3608</v>
      </c>
      <c r="D133" s="133" t="s">
        <v>477</v>
      </c>
      <c r="E133" s="158">
        <v>20</v>
      </c>
      <c r="F133" s="158">
        <v>0</v>
      </c>
      <c r="G133" s="158">
        <v>0</v>
      </c>
      <c r="H133" s="133" t="s">
        <v>2727</v>
      </c>
      <c r="I133" s="133" t="s">
        <v>548</v>
      </c>
      <c r="J133" s="158">
        <v>0</v>
      </c>
    </row>
    <row r="134" spans="1:10" ht="15.75" customHeight="1">
      <c r="A134" s="133" t="s">
        <v>4</v>
      </c>
      <c r="B134" s="133" t="s">
        <v>3693</v>
      </c>
      <c r="C134" s="133" t="s">
        <v>5217</v>
      </c>
      <c r="D134" s="133" t="s">
        <v>477</v>
      </c>
      <c r="E134" s="158">
        <v>20</v>
      </c>
      <c r="F134" s="158">
        <v>0</v>
      </c>
      <c r="G134" s="158">
        <v>0</v>
      </c>
      <c r="H134" s="133" t="s">
        <v>5218</v>
      </c>
      <c r="I134" s="133" t="s">
        <v>548</v>
      </c>
      <c r="J134" s="158">
        <v>0</v>
      </c>
    </row>
    <row r="135" spans="1:10" ht="15.75" customHeight="1">
      <c r="A135" s="133" t="s">
        <v>4</v>
      </c>
      <c r="B135" s="133" t="s">
        <v>3696</v>
      </c>
      <c r="C135" s="133" t="s">
        <v>3698</v>
      </c>
      <c r="D135" s="133" t="s">
        <v>477</v>
      </c>
      <c r="E135" s="158">
        <v>20</v>
      </c>
      <c r="F135" s="158">
        <v>0</v>
      </c>
      <c r="G135" s="158">
        <v>0</v>
      </c>
      <c r="H135" s="133" t="s">
        <v>479</v>
      </c>
      <c r="I135" s="133" t="s">
        <v>479</v>
      </c>
      <c r="J135" s="158">
        <v>0</v>
      </c>
    </row>
    <row r="136" spans="1:10" ht="15.75" customHeight="1">
      <c r="A136" s="133" t="s">
        <v>4</v>
      </c>
      <c r="B136" s="133" t="s">
        <v>3696</v>
      </c>
      <c r="C136" s="133" t="s">
        <v>5219</v>
      </c>
      <c r="D136" s="133" t="s">
        <v>477</v>
      </c>
      <c r="E136" s="158">
        <v>20</v>
      </c>
      <c r="F136" s="158">
        <v>0</v>
      </c>
      <c r="G136" s="158">
        <v>0</v>
      </c>
      <c r="H136" s="133" t="s">
        <v>5219</v>
      </c>
      <c r="I136" s="133" t="s">
        <v>548</v>
      </c>
      <c r="J136" s="158">
        <v>0</v>
      </c>
    </row>
    <row r="137" spans="1:10" ht="15.75" customHeight="1">
      <c r="A137" s="133" t="s">
        <v>4</v>
      </c>
      <c r="B137" s="133" t="s">
        <v>3696</v>
      </c>
      <c r="C137" s="133" t="s">
        <v>5220</v>
      </c>
      <c r="D137" s="133" t="s">
        <v>477</v>
      </c>
      <c r="E137" s="158">
        <v>20</v>
      </c>
      <c r="F137" s="158">
        <v>0</v>
      </c>
      <c r="G137" s="158">
        <v>0</v>
      </c>
      <c r="H137" s="133" t="s">
        <v>5220</v>
      </c>
      <c r="I137" s="133" t="s">
        <v>548</v>
      </c>
      <c r="J137" s="158">
        <v>0</v>
      </c>
    </row>
    <row r="138" spans="1:10" ht="15.75" customHeight="1">
      <c r="A138" s="133" t="s">
        <v>4</v>
      </c>
      <c r="B138" s="133" t="s">
        <v>3696</v>
      </c>
      <c r="C138" s="133" t="s">
        <v>5221</v>
      </c>
      <c r="D138" s="133" t="s">
        <v>477</v>
      </c>
      <c r="E138" s="158">
        <v>200</v>
      </c>
      <c r="F138" s="158">
        <v>0</v>
      </c>
      <c r="G138" s="158">
        <v>0</v>
      </c>
      <c r="H138" s="133" t="s">
        <v>5222</v>
      </c>
      <c r="I138" s="133" t="s">
        <v>548</v>
      </c>
      <c r="J138" s="158">
        <v>0</v>
      </c>
    </row>
    <row r="139" spans="1:10" ht="15.75" customHeight="1">
      <c r="A139" s="133" t="s">
        <v>4</v>
      </c>
      <c r="B139" s="133" t="s">
        <v>3696</v>
      </c>
      <c r="C139" s="133" t="s">
        <v>5223</v>
      </c>
      <c r="D139" s="133" t="s">
        <v>484</v>
      </c>
      <c r="E139" s="158">
        <v>4</v>
      </c>
      <c r="F139" s="158">
        <v>10</v>
      </c>
      <c r="G139" s="158">
        <v>0</v>
      </c>
      <c r="H139" s="133" t="s">
        <v>5224</v>
      </c>
      <c r="I139" s="133" t="s">
        <v>615</v>
      </c>
      <c r="J139" s="158">
        <v>0</v>
      </c>
    </row>
    <row r="140" spans="1:10" ht="15.75" customHeight="1">
      <c r="A140" s="133" t="s">
        <v>4</v>
      </c>
      <c r="B140" s="133" t="s">
        <v>3696</v>
      </c>
      <c r="C140" s="133" t="s">
        <v>5225</v>
      </c>
      <c r="D140" s="133" t="s">
        <v>477</v>
      </c>
      <c r="E140" s="158">
        <v>50</v>
      </c>
      <c r="F140" s="158">
        <v>0</v>
      </c>
      <c r="G140" s="158">
        <v>0</v>
      </c>
      <c r="H140" s="133" t="s">
        <v>5226</v>
      </c>
      <c r="I140" s="133" t="s">
        <v>548</v>
      </c>
      <c r="J140" s="158">
        <v>0</v>
      </c>
    </row>
    <row r="141" spans="1:10" ht="15.75" customHeight="1">
      <c r="A141" s="133" t="s">
        <v>4</v>
      </c>
      <c r="B141" s="133" t="s">
        <v>3696</v>
      </c>
      <c r="C141" s="133" t="s">
        <v>3717</v>
      </c>
      <c r="D141" s="133" t="s">
        <v>484</v>
      </c>
      <c r="E141" s="158">
        <v>4</v>
      </c>
      <c r="F141" s="158">
        <v>10</v>
      </c>
      <c r="G141" s="158">
        <v>0</v>
      </c>
      <c r="H141" s="133" t="s">
        <v>5227</v>
      </c>
      <c r="I141" s="133" t="s">
        <v>615</v>
      </c>
      <c r="J141" s="158">
        <v>0</v>
      </c>
    </row>
    <row r="142" spans="1:10" ht="15.75" customHeight="1">
      <c r="A142" s="133" t="s">
        <v>4</v>
      </c>
      <c r="B142" s="133" t="s">
        <v>3696</v>
      </c>
      <c r="C142" s="133" t="s">
        <v>5228</v>
      </c>
      <c r="D142" s="133" t="s">
        <v>477</v>
      </c>
      <c r="E142" s="158">
        <v>100</v>
      </c>
      <c r="F142" s="158">
        <v>0</v>
      </c>
      <c r="G142" s="158">
        <v>0</v>
      </c>
      <c r="H142" s="133" t="s">
        <v>5229</v>
      </c>
      <c r="I142" s="133" t="s">
        <v>548</v>
      </c>
      <c r="J142" s="158">
        <v>0</v>
      </c>
    </row>
    <row r="143" spans="1:10" ht="15.75" customHeight="1">
      <c r="A143" s="133" t="s">
        <v>4</v>
      </c>
      <c r="B143" s="133" t="s">
        <v>3696</v>
      </c>
      <c r="C143" s="133" t="s">
        <v>5230</v>
      </c>
      <c r="D143" s="133" t="s">
        <v>477</v>
      </c>
      <c r="E143" s="158">
        <v>255</v>
      </c>
      <c r="F143" s="158">
        <v>0</v>
      </c>
      <c r="G143" s="158">
        <v>0</v>
      </c>
      <c r="H143" s="133" t="s">
        <v>5231</v>
      </c>
      <c r="I143" s="133" t="s">
        <v>548</v>
      </c>
      <c r="J143" s="158">
        <v>0</v>
      </c>
    </row>
    <row r="144" spans="1:10" ht="15.75" customHeight="1">
      <c r="A144" s="133" t="s">
        <v>4</v>
      </c>
      <c r="B144" s="133" t="s">
        <v>3696</v>
      </c>
      <c r="C144" s="133" t="s">
        <v>5232</v>
      </c>
      <c r="D144" s="133" t="s">
        <v>481</v>
      </c>
      <c r="E144" s="158">
        <v>5</v>
      </c>
      <c r="F144" s="158">
        <v>9</v>
      </c>
      <c r="G144" s="158">
        <v>2</v>
      </c>
      <c r="H144" s="133" t="s">
        <v>5233</v>
      </c>
      <c r="I144" s="133" t="s">
        <v>1223</v>
      </c>
      <c r="J144" s="158">
        <v>0</v>
      </c>
    </row>
    <row r="145" spans="1:10" ht="15.75" customHeight="1">
      <c r="A145" s="133" t="s">
        <v>4</v>
      </c>
      <c r="B145" s="133" t="s">
        <v>3696</v>
      </c>
      <c r="C145" s="133" t="s">
        <v>5234</v>
      </c>
      <c r="D145" s="133" t="s">
        <v>481</v>
      </c>
      <c r="E145" s="158">
        <v>5</v>
      </c>
      <c r="F145" s="158">
        <v>9</v>
      </c>
      <c r="G145" s="158">
        <v>2</v>
      </c>
      <c r="H145" s="133" t="s">
        <v>5235</v>
      </c>
      <c r="I145" s="133" t="s">
        <v>1223</v>
      </c>
      <c r="J145" s="158">
        <v>0</v>
      </c>
    </row>
    <row r="146" spans="1:10" ht="15.75" customHeight="1">
      <c r="A146" s="133" t="s">
        <v>4</v>
      </c>
      <c r="B146" s="133" t="s">
        <v>3700</v>
      </c>
      <c r="C146" s="133" t="s">
        <v>3695</v>
      </c>
      <c r="D146" s="133" t="s">
        <v>484</v>
      </c>
      <c r="E146" s="158">
        <v>4</v>
      </c>
      <c r="F146" s="158">
        <v>10</v>
      </c>
      <c r="G146" s="158">
        <v>0</v>
      </c>
      <c r="H146" s="133" t="s">
        <v>5236</v>
      </c>
      <c r="I146" s="133" t="s">
        <v>548</v>
      </c>
      <c r="J146" s="158">
        <v>0</v>
      </c>
    </row>
    <row r="147" spans="1:10" ht="15.75" customHeight="1">
      <c r="A147" s="133" t="s">
        <v>4</v>
      </c>
      <c r="B147" s="133" t="s">
        <v>3700</v>
      </c>
      <c r="C147" s="133" t="s">
        <v>5201</v>
      </c>
      <c r="D147" s="133" t="s">
        <v>477</v>
      </c>
      <c r="E147" s="158">
        <v>100</v>
      </c>
      <c r="F147" s="158">
        <v>0</v>
      </c>
      <c r="G147" s="158">
        <v>0</v>
      </c>
      <c r="H147" s="133" t="s">
        <v>5237</v>
      </c>
      <c r="I147" s="133" t="s">
        <v>548</v>
      </c>
      <c r="J147" s="158">
        <v>0</v>
      </c>
    </row>
    <row r="148" spans="1:10" ht="15.75" customHeight="1">
      <c r="A148" s="133" t="s">
        <v>4</v>
      </c>
      <c r="B148" s="133" t="s">
        <v>3700</v>
      </c>
      <c r="C148" s="133" t="s">
        <v>5238</v>
      </c>
      <c r="D148" s="133" t="s">
        <v>477</v>
      </c>
      <c r="E148" s="158">
        <v>20</v>
      </c>
      <c r="F148" s="158">
        <v>0</v>
      </c>
      <c r="G148" s="158">
        <v>0</v>
      </c>
      <c r="H148" s="133" t="s">
        <v>5239</v>
      </c>
      <c r="I148" s="133" t="s">
        <v>5240</v>
      </c>
      <c r="J148" s="158">
        <v>0</v>
      </c>
    </row>
    <row r="149" spans="1:10" ht="15.75" customHeight="1">
      <c r="A149" s="133" t="s">
        <v>4</v>
      </c>
      <c r="B149" s="133" t="s">
        <v>3700</v>
      </c>
      <c r="C149" s="133" t="s">
        <v>5241</v>
      </c>
      <c r="D149" s="133" t="s">
        <v>477</v>
      </c>
      <c r="E149" s="158">
        <v>20</v>
      </c>
      <c r="F149" s="158">
        <v>0</v>
      </c>
      <c r="G149" s="158">
        <v>0</v>
      </c>
      <c r="H149" s="133" t="s">
        <v>5242</v>
      </c>
      <c r="I149" s="133" t="s">
        <v>548</v>
      </c>
      <c r="J149" s="158">
        <v>0</v>
      </c>
    </row>
    <row r="150" spans="1:10" ht="15.75" customHeight="1">
      <c r="A150" s="133" t="s">
        <v>4</v>
      </c>
      <c r="B150" s="133" t="s">
        <v>3700</v>
      </c>
      <c r="C150" s="133" t="s">
        <v>1811</v>
      </c>
      <c r="D150" s="133" t="s">
        <v>477</v>
      </c>
      <c r="E150" s="158">
        <v>50</v>
      </c>
      <c r="F150" s="158">
        <v>0</v>
      </c>
      <c r="G150" s="158">
        <v>0</v>
      </c>
      <c r="H150" s="133" t="s">
        <v>5243</v>
      </c>
      <c r="I150" s="133" t="s">
        <v>548</v>
      </c>
      <c r="J150" s="158">
        <v>0</v>
      </c>
    </row>
    <row r="151" spans="1:10" ht="15.75" customHeight="1">
      <c r="A151" s="133" t="s">
        <v>4</v>
      </c>
      <c r="B151" s="133" t="s">
        <v>3700</v>
      </c>
      <c r="C151" s="133" t="s">
        <v>820</v>
      </c>
      <c r="D151" s="133" t="s">
        <v>477</v>
      </c>
      <c r="E151" s="158">
        <v>50</v>
      </c>
      <c r="F151" s="158">
        <v>0</v>
      </c>
      <c r="G151" s="158">
        <v>0</v>
      </c>
      <c r="H151" s="133" t="s">
        <v>2307</v>
      </c>
      <c r="I151" s="133" t="s">
        <v>548</v>
      </c>
      <c r="J151" s="158">
        <v>0</v>
      </c>
    </row>
    <row r="152" spans="1:10" ht="15.75" customHeight="1">
      <c r="A152" s="133" t="s">
        <v>4</v>
      </c>
      <c r="B152" s="133" t="s">
        <v>3700</v>
      </c>
      <c r="C152" s="133" t="s">
        <v>5244</v>
      </c>
      <c r="D152" s="133" t="s">
        <v>477</v>
      </c>
      <c r="E152" s="158">
        <v>20</v>
      </c>
      <c r="F152" s="158">
        <v>0</v>
      </c>
      <c r="G152" s="158">
        <v>0</v>
      </c>
      <c r="H152" s="133" t="s">
        <v>934</v>
      </c>
      <c r="I152" s="133" t="s">
        <v>548</v>
      </c>
      <c r="J152" s="158">
        <v>0</v>
      </c>
    </row>
    <row r="153" spans="1:10" ht="15.75" customHeight="1">
      <c r="A153" s="133" t="s">
        <v>4</v>
      </c>
      <c r="B153" s="133" t="s">
        <v>3700</v>
      </c>
      <c r="C153" s="133" t="s">
        <v>5245</v>
      </c>
      <c r="D153" s="133" t="s">
        <v>484</v>
      </c>
      <c r="E153" s="158">
        <v>4</v>
      </c>
      <c r="F153" s="158">
        <v>10</v>
      </c>
      <c r="G153" s="158">
        <v>0</v>
      </c>
      <c r="H153" s="133" t="s">
        <v>5246</v>
      </c>
      <c r="I153" s="133" t="s">
        <v>615</v>
      </c>
      <c r="J153" s="158">
        <v>0</v>
      </c>
    </row>
    <row r="154" spans="1:10" ht="15.75" customHeight="1">
      <c r="A154" s="133" t="s">
        <v>4</v>
      </c>
      <c r="B154" s="133" t="s">
        <v>3703</v>
      </c>
      <c r="C154" s="133" t="s">
        <v>3705</v>
      </c>
      <c r="D154" s="133" t="s">
        <v>477</v>
      </c>
      <c r="E154" s="158">
        <v>20</v>
      </c>
      <c r="F154" s="158">
        <v>0</v>
      </c>
      <c r="G154" s="158">
        <v>0</v>
      </c>
      <c r="H154" s="133" t="s">
        <v>479</v>
      </c>
      <c r="I154" s="133" t="s">
        <v>479</v>
      </c>
      <c r="J154" s="158">
        <v>0</v>
      </c>
    </row>
    <row r="155" spans="1:10" ht="15.75" customHeight="1">
      <c r="A155" s="133" t="s">
        <v>4</v>
      </c>
      <c r="B155" s="133" t="s">
        <v>3703</v>
      </c>
      <c r="C155" s="133" t="s">
        <v>5247</v>
      </c>
      <c r="D155" s="133" t="s">
        <v>1974</v>
      </c>
      <c r="E155" s="158">
        <v>3</v>
      </c>
      <c r="F155" s="158">
        <v>10</v>
      </c>
      <c r="G155" s="158">
        <v>0</v>
      </c>
      <c r="H155" s="133" t="s">
        <v>479</v>
      </c>
      <c r="I155" s="133" t="s">
        <v>1363</v>
      </c>
      <c r="J155" s="158">
        <v>0</v>
      </c>
    </row>
    <row r="156" spans="1:10" ht="15.75" customHeight="1">
      <c r="A156" s="133" t="s">
        <v>4</v>
      </c>
      <c r="B156" s="133" t="s">
        <v>3703</v>
      </c>
      <c r="C156" s="133" t="s">
        <v>4664</v>
      </c>
      <c r="D156" s="133" t="s">
        <v>496</v>
      </c>
      <c r="E156" s="158">
        <v>4</v>
      </c>
      <c r="F156" s="158">
        <v>16</v>
      </c>
      <c r="G156" s="158">
        <v>0</v>
      </c>
      <c r="H156" s="133" t="s">
        <v>479</v>
      </c>
      <c r="I156" s="133" t="s">
        <v>1363</v>
      </c>
      <c r="J156" s="158">
        <v>0</v>
      </c>
    </row>
    <row r="157" spans="1:10" ht="15.75" customHeight="1">
      <c r="A157" s="133" t="s">
        <v>4</v>
      </c>
      <c r="B157" s="133" t="s">
        <v>3703</v>
      </c>
      <c r="C157" s="133" t="s">
        <v>3742</v>
      </c>
      <c r="D157" s="133" t="s">
        <v>477</v>
      </c>
      <c r="E157" s="158">
        <v>20</v>
      </c>
      <c r="F157" s="158">
        <v>0</v>
      </c>
      <c r="G157" s="158">
        <v>0</v>
      </c>
      <c r="H157" s="133" t="s">
        <v>479</v>
      </c>
      <c r="I157" s="133" t="s">
        <v>548</v>
      </c>
      <c r="J157" s="158">
        <v>0</v>
      </c>
    </row>
    <row r="158" spans="1:10" ht="15.75" customHeight="1">
      <c r="A158" s="133" t="s">
        <v>4</v>
      </c>
      <c r="B158" s="133" t="s">
        <v>3703</v>
      </c>
      <c r="C158" s="133" t="s">
        <v>5248</v>
      </c>
      <c r="D158" s="133" t="s">
        <v>477</v>
      </c>
      <c r="E158" s="158">
        <v>20</v>
      </c>
      <c r="F158" s="158">
        <v>0</v>
      </c>
      <c r="G158" s="158">
        <v>0</v>
      </c>
      <c r="H158" s="133" t="s">
        <v>479</v>
      </c>
      <c r="I158" s="133" t="s">
        <v>548</v>
      </c>
      <c r="J158" s="158">
        <v>0</v>
      </c>
    </row>
    <row r="159" spans="1:10" ht="15.75" customHeight="1">
      <c r="A159" s="133" t="s">
        <v>4</v>
      </c>
      <c r="B159" s="133" t="s">
        <v>3703</v>
      </c>
      <c r="C159" s="133" t="s">
        <v>3695</v>
      </c>
      <c r="D159" s="133" t="s">
        <v>484</v>
      </c>
      <c r="E159" s="158">
        <v>4</v>
      </c>
      <c r="F159" s="158">
        <v>10</v>
      </c>
      <c r="G159" s="158">
        <v>0</v>
      </c>
      <c r="H159" s="133" t="s">
        <v>479</v>
      </c>
      <c r="I159" s="133" t="s">
        <v>615</v>
      </c>
      <c r="J159" s="158">
        <v>0</v>
      </c>
    </row>
    <row r="160" spans="1:10" ht="15.75" customHeight="1">
      <c r="A160" s="133" t="s">
        <v>4</v>
      </c>
      <c r="B160" s="133" t="s">
        <v>3703</v>
      </c>
      <c r="C160" s="133" t="s">
        <v>5201</v>
      </c>
      <c r="D160" s="133" t="s">
        <v>477</v>
      </c>
      <c r="E160" s="158">
        <v>100</v>
      </c>
      <c r="F160" s="158">
        <v>0</v>
      </c>
      <c r="G160" s="158">
        <v>0</v>
      </c>
      <c r="H160" s="133" t="s">
        <v>479</v>
      </c>
      <c r="I160" s="133" t="s">
        <v>548</v>
      </c>
      <c r="J160" s="158">
        <v>0</v>
      </c>
    </row>
    <row r="161" spans="1:10" ht="15.75" customHeight="1">
      <c r="A161" s="133" t="s">
        <v>4</v>
      </c>
      <c r="B161" s="133" t="s">
        <v>3703</v>
      </c>
      <c r="C161" s="133" t="s">
        <v>5202</v>
      </c>
      <c r="D161" s="133" t="s">
        <v>477</v>
      </c>
      <c r="E161" s="158">
        <v>20</v>
      </c>
      <c r="F161" s="158">
        <v>0</v>
      </c>
      <c r="G161" s="158">
        <v>0</v>
      </c>
      <c r="H161" s="133" t="s">
        <v>479</v>
      </c>
      <c r="I161" s="133" t="s">
        <v>548</v>
      </c>
      <c r="J161" s="158">
        <v>0</v>
      </c>
    </row>
    <row r="162" spans="1:10" ht="15.75" customHeight="1">
      <c r="A162" s="133" t="s">
        <v>4</v>
      </c>
      <c r="B162" s="133" t="s">
        <v>3703</v>
      </c>
      <c r="C162" s="133" t="s">
        <v>5225</v>
      </c>
      <c r="D162" s="133" t="s">
        <v>477</v>
      </c>
      <c r="E162" s="158">
        <v>50</v>
      </c>
      <c r="F162" s="158">
        <v>0</v>
      </c>
      <c r="G162" s="158">
        <v>0</v>
      </c>
      <c r="H162" s="133" t="s">
        <v>479</v>
      </c>
      <c r="I162" s="133" t="s">
        <v>548</v>
      </c>
      <c r="J162" s="158">
        <v>0</v>
      </c>
    </row>
    <row r="163" spans="1:10" ht="15.75" customHeight="1">
      <c r="A163" s="133" t="s">
        <v>4</v>
      </c>
      <c r="B163" s="133" t="s">
        <v>3703</v>
      </c>
      <c r="C163" s="133" t="s">
        <v>5249</v>
      </c>
      <c r="D163" s="133" t="s">
        <v>477</v>
      </c>
      <c r="E163" s="158">
        <v>20</v>
      </c>
      <c r="F163" s="158">
        <v>0</v>
      </c>
      <c r="G163" s="158">
        <v>0</v>
      </c>
      <c r="H163" s="133" t="s">
        <v>479</v>
      </c>
      <c r="I163" s="133" t="s">
        <v>548</v>
      </c>
      <c r="J163" s="158">
        <v>0</v>
      </c>
    </row>
    <row r="164" spans="1:10" ht="15.75" customHeight="1">
      <c r="A164" s="133" t="s">
        <v>4</v>
      </c>
      <c r="B164" s="133" t="s">
        <v>3703</v>
      </c>
      <c r="C164" s="133" t="s">
        <v>1814</v>
      </c>
      <c r="D164" s="133" t="s">
        <v>477</v>
      </c>
      <c r="E164" s="158">
        <v>10</v>
      </c>
      <c r="F164" s="158">
        <v>0</v>
      </c>
      <c r="G164" s="158">
        <v>0</v>
      </c>
      <c r="H164" s="133" t="s">
        <v>479</v>
      </c>
      <c r="I164" s="133" t="s">
        <v>548</v>
      </c>
      <c r="J164" s="158">
        <v>0</v>
      </c>
    </row>
    <row r="165" spans="1:10" ht="15.75" customHeight="1">
      <c r="A165" s="133" t="s">
        <v>4</v>
      </c>
      <c r="B165" s="133" t="s">
        <v>3703</v>
      </c>
      <c r="C165" s="133" t="s">
        <v>3739</v>
      </c>
      <c r="D165" s="133" t="s">
        <v>477</v>
      </c>
      <c r="E165" s="158">
        <v>20</v>
      </c>
      <c r="F165" s="158">
        <v>0</v>
      </c>
      <c r="G165" s="158">
        <v>0</v>
      </c>
      <c r="H165" s="133" t="s">
        <v>5250</v>
      </c>
      <c r="I165" s="133" t="s">
        <v>548</v>
      </c>
      <c r="J165" s="158">
        <v>0</v>
      </c>
    </row>
    <row r="166" spans="1:10" ht="15.75" customHeight="1">
      <c r="A166" s="133" t="s">
        <v>4</v>
      </c>
      <c r="B166" s="133" t="s">
        <v>3703</v>
      </c>
      <c r="C166" s="133" t="s">
        <v>1804</v>
      </c>
      <c r="D166" s="133" t="s">
        <v>477</v>
      </c>
      <c r="E166" s="158">
        <v>50</v>
      </c>
      <c r="F166" s="158">
        <v>0</v>
      </c>
      <c r="G166" s="158">
        <v>0</v>
      </c>
      <c r="H166" s="133" t="s">
        <v>479</v>
      </c>
      <c r="I166" s="133" t="s">
        <v>548</v>
      </c>
      <c r="J166" s="158">
        <v>0</v>
      </c>
    </row>
    <row r="167" spans="1:10" ht="15.75" customHeight="1">
      <c r="A167" s="133" t="s">
        <v>4</v>
      </c>
      <c r="B167" s="133" t="s">
        <v>3703</v>
      </c>
      <c r="C167" s="133" t="s">
        <v>3717</v>
      </c>
      <c r="D167" s="133" t="s">
        <v>484</v>
      </c>
      <c r="E167" s="158">
        <v>4</v>
      </c>
      <c r="F167" s="158">
        <v>10</v>
      </c>
      <c r="G167" s="158">
        <v>0</v>
      </c>
      <c r="H167" s="133" t="s">
        <v>5251</v>
      </c>
      <c r="I167" s="133" t="s">
        <v>548</v>
      </c>
      <c r="J167" s="158">
        <v>0</v>
      </c>
    </row>
    <row r="168" spans="1:10" ht="15.75" customHeight="1">
      <c r="A168" s="133" t="s">
        <v>4</v>
      </c>
      <c r="B168" s="133" t="s">
        <v>3703</v>
      </c>
      <c r="C168" s="133" t="s">
        <v>5228</v>
      </c>
      <c r="D168" s="133" t="s">
        <v>477</v>
      </c>
      <c r="E168" s="158">
        <v>20</v>
      </c>
      <c r="F168" s="158">
        <v>0</v>
      </c>
      <c r="G168" s="158">
        <v>0</v>
      </c>
      <c r="H168" s="133" t="s">
        <v>5252</v>
      </c>
      <c r="I168" s="133" t="s">
        <v>548</v>
      </c>
      <c r="J168" s="158">
        <v>0</v>
      </c>
    </row>
    <row r="169" spans="1:10" ht="15.75" customHeight="1">
      <c r="A169" s="133" t="s">
        <v>4</v>
      </c>
      <c r="B169" s="133" t="s">
        <v>3703</v>
      </c>
      <c r="C169" s="133" t="s">
        <v>3698</v>
      </c>
      <c r="D169" s="133" t="s">
        <v>477</v>
      </c>
      <c r="E169" s="158">
        <v>20</v>
      </c>
      <c r="F169" s="158">
        <v>0</v>
      </c>
      <c r="G169" s="158">
        <v>0</v>
      </c>
      <c r="H169" s="133" t="s">
        <v>479</v>
      </c>
      <c r="I169" s="133" t="s">
        <v>615</v>
      </c>
      <c r="J169" s="158">
        <v>0</v>
      </c>
    </row>
    <row r="170" spans="1:10" ht="15.75" customHeight="1">
      <c r="A170" s="133" t="s">
        <v>4</v>
      </c>
      <c r="B170" s="133" t="s">
        <v>3703</v>
      </c>
      <c r="C170" s="133" t="s">
        <v>5253</v>
      </c>
      <c r="D170" s="133" t="s">
        <v>496</v>
      </c>
      <c r="E170" s="158">
        <v>4</v>
      </c>
      <c r="F170" s="158">
        <v>16</v>
      </c>
      <c r="G170" s="158">
        <v>0</v>
      </c>
      <c r="H170" s="133" t="s">
        <v>5254</v>
      </c>
      <c r="I170" s="133" t="s">
        <v>1363</v>
      </c>
      <c r="J170" s="158">
        <v>0</v>
      </c>
    </row>
    <row r="171" spans="1:10" ht="15.75" customHeight="1">
      <c r="A171" s="133" t="s">
        <v>4</v>
      </c>
      <c r="B171" s="133" t="s">
        <v>3703</v>
      </c>
      <c r="C171" s="133" t="s">
        <v>5255</v>
      </c>
      <c r="D171" s="133" t="s">
        <v>496</v>
      </c>
      <c r="E171" s="158">
        <v>4</v>
      </c>
      <c r="F171" s="158">
        <v>16</v>
      </c>
      <c r="G171" s="158">
        <v>0</v>
      </c>
      <c r="H171" s="133" t="s">
        <v>5254</v>
      </c>
      <c r="I171" s="133" t="s">
        <v>1363</v>
      </c>
      <c r="J171" s="158">
        <v>0</v>
      </c>
    </row>
    <row r="172" spans="1:10" ht="15.75" customHeight="1">
      <c r="A172" s="133" t="s">
        <v>4</v>
      </c>
      <c r="B172" s="133" t="s">
        <v>3703</v>
      </c>
      <c r="C172" s="133" t="s">
        <v>5256</v>
      </c>
      <c r="D172" s="133" t="s">
        <v>484</v>
      </c>
      <c r="E172" s="158">
        <v>4</v>
      </c>
      <c r="F172" s="158">
        <v>10</v>
      </c>
      <c r="G172" s="158">
        <v>0</v>
      </c>
      <c r="H172" s="133" t="s">
        <v>479</v>
      </c>
      <c r="I172" s="133" t="s">
        <v>615</v>
      </c>
      <c r="J172" s="158">
        <v>0</v>
      </c>
    </row>
    <row r="173" spans="1:10" ht="15.75" customHeight="1">
      <c r="A173" s="133" t="s">
        <v>4</v>
      </c>
      <c r="B173" s="133" t="s">
        <v>3703</v>
      </c>
      <c r="C173" s="133" t="s">
        <v>5257</v>
      </c>
      <c r="D173" s="133" t="s">
        <v>484</v>
      </c>
      <c r="E173" s="158">
        <v>4</v>
      </c>
      <c r="F173" s="158">
        <v>10</v>
      </c>
      <c r="G173" s="158">
        <v>0</v>
      </c>
      <c r="H173" s="133" t="s">
        <v>479</v>
      </c>
      <c r="I173" s="133" t="s">
        <v>615</v>
      </c>
      <c r="J173" s="158">
        <v>0</v>
      </c>
    </row>
    <row r="174" spans="1:10" ht="15.75" customHeight="1">
      <c r="A174" s="133" t="s">
        <v>4</v>
      </c>
      <c r="B174" s="133" t="s">
        <v>3703</v>
      </c>
      <c r="C174" s="133" t="s">
        <v>5258</v>
      </c>
      <c r="D174" s="133" t="s">
        <v>484</v>
      </c>
      <c r="E174" s="158">
        <v>4</v>
      </c>
      <c r="F174" s="158">
        <v>10</v>
      </c>
      <c r="G174" s="158">
        <v>0</v>
      </c>
      <c r="H174" s="133" t="s">
        <v>479</v>
      </c>
      <c r="I174" s="133" t="s">
        <v>615</v>
      </c>
      <c r="J174" s="158">
        <v>0</v>
      </c>
    </row>
    <row r="175" spans="1:10" ht="15.75" customHeight="1">
      <c r="A175" s="133" t="s">
        <v>4</v>
      </c>
      <c r="B175" s="133" t="s">
        <v>3703</v>
      </c>
      <c r="C175" s="133" t="s">
        <v>4691</v>
      </c>
      <c r="D175" s="133" t="s">
        <v>481</v>
      </c>
      <c r="E175" s="158">
        <v>9</v>
      </c>
      <c r="F175" s="158">
        <v>11</v>
      </c>
      <c r="G175" s="158">
        <v>2</v>
      </c>
      <c r="H175" s="133" t="s">
        <v>479</v>
      </c>
      <c r="I175" s="133" t="s">
        <v>615</v>
      </c>
      <c r="J175" s="158">
        <v>0</v>
      </c>
    </row>
    <row r="176" spans="1:10" ht="15.75" customHeight="1">
      <c r="A176" s="133" t="s">
        <v>4</v>
      </c>
      <c r="B176" s="133" t="s">
        <v>3703</v>
      </c>
      <c r="C176" s="133" t="s">
        <v>5259</v>
      </c>
      <c r="D176" s="133" t="s">
        <v>481</v>
      </c>
      <c r="E176" s="158">
        <v>9</v>
      </c>
      <c r="F176" s="158">
        <v>11</v>
      </c>
      <c r="G176" s="158">
        <v>2</v>
      </c>
      <c r="H176" s="133" t="s">
        <v>479</v>
      </c>
      <c r="I176" s="133" t="s">
        <v>615</v>
      </c>
      <c r="J176" s="158">
        <v>0</v>
      </c>
    </row>
    <row r="177" spans="1:10" ht="15.75" customHeight="1">
      <c r="A177" s="133" t="s">
        <v>4</v>
      </c>
      <c r="B177" s="133" t="s">
        <v>3703</v>
      </c>
      <c r="C177" s="133" t="s">
        <v>5260</v>
      </c>
      <c r="D177" s="133" t="s">
        <v>484</v>
      </c>
      <c r="E177" s="158">
        <v>4</v>
      </c>
      <c r="F177" s="158">
        <v>10</v>
      </c>
      <c r="G177" s="158">
        <v>0</v>
      </c>
      <c r="H177" s="133" t="s">
        <v>479</v>
      </c>
      <c r="I177" s="133" t="s">
        <v>615</v>
      </c>
      <c r="J177" s="158">
        <v>0</v>
      </c>
    </row>
    <row r="178" spans="1:10" ht="15.75" customHeight="1">
      <c r="A178" s="133" t="s">
        <v>4</v>
      </c>
      <c r="B178" s="133" t="s">
        <v>3703</v>
      </c>
      <c r="C178" s="133" t="s">
        <v>5261</v>
      </c>
      <c r="D178" s="133" t="s">
        <v>484</v>
      </c>
      <c r="E178" s="158">
        <v>4</v>
      </c>
      <c r="F178" s="158">
        <v>10</v>
      </c>
      <c r="G178" s="158">
        <v>0</v>
      </c>
      <c r="H178" s="133" t="s">
        <v>479</v>
      </c>
      <c r="I178" s="133" t="s">
        <v>615</v>
      </c>
      <c r="J178" s="158">
        <v>0</v>
      </c>
    </row>
    <row r="179" spans="1:10" ht="15.75" customHeight="1">
      <c r="A179" s="133" t="s">
        <v>4</v>
      </c>
      <c r="B179" s="133" t="s">
        <v>3703</v>
      </c>
      <c r="C179" s="133" t="s">
        <v>5262</v>
      </c>
      <c r="D179" s="133" t="s">
        <v>484</v>
      </c>
      <c r="E179" s="158">
        <v>4</v>
      </c>
      <c r="F179" s="158">
        <v>10</v>
      </c>
      <c r="G179" s="158">
        <v>0</v>
      </c>
      <c r="H179" s="133" t="s">
        <v>479</v>
      </c>
      <c r="I179" s="133" t="s">
        <v>615</v>
      </c>
      <c r="J179" s="158">
        <v>0</v>
      </c>
    </row>
    <row r="180" spans="1:10" ht="15.75" customHeight="1">
      <c r="A180" s="133" t="s">
        <v>4</v>
      </c>
      <c r="B180" s="133" t="s">
        <v>3703</v>
      </c>
      <c r="C180" s="133" t="s">
        <v>5263</v>
      </c>
      <c r="D180" s="133" t="s">
        <v>484</v>
      </c>
      <c r="E180" s="158">
        <v>4</v>
      </c>
      <c r="F180" s="158">
        <v>10</v>
      </c>
      <c r="G180" s="158">
        <v>0</v>
      </c>
      <c r="H180" s="133" t="s">
        <v>479</v>
      </c>
      <c r="I180" s="133" t="s">
        <v>615</v>
      </c>
      <c r="J180" s="158">
        <v>0</v>
      </c>
    </row>
    <row r="181" spans="1:10" ht="15.75" customHeight="1">
      <c r="A181" s="133" t="s">
        <v>4</v>
      </c>
      <c r="B181" s="133" t="s">
        <v>3703</v>
      </c>
      <c r="C181" s="133" t="s">
        <v>5264</v>
      </c>
      <c r="D181" s="133" t="s">
        <v>477</v>
      </c>
      <c r="E181" s="158">
        <v>20</v>
      </c>
      <c r="F181" s="158">
        <v>0</v>
      </c>
      <c r="G181" s="158">
        <v>0</v>
      </c>
      <c r="H181" s="133" t="s">
        <v>479</v>
      </c>
      <c r="I181" s="133" t="s">
        <v>596</v>
      </c>
      <c r="J181" s="158">
        <v>0</v>
      </c>
    </row>
    <row r="182" spans="1:10" ht="15.75" customHeight="1">
      <c r="A182" s="133" t="s">
        <v>4</v>
      </c>
      <c r="B182" s="133" t="s">
        <v>3703</v>
      </c>
      <c r="C182" s="133" t="s">
        <v>5265</v>
      </c>
      <c r="D182" s="133" t="s">
        <v>477</v>
      </c>
      <c r="E182" s="158">
        <v>20</v>
      </c>
      <c r="F182" s="158">
        <v>0</v>
      </c>
      <c r="G182" s="158">
        <v>0</v>
      </c>
      <c r="H182" s="133" t="s">
        <v>479</v>
      </c>
      <c r="I182" s="133" t="s">
        <v>548</v>
      </c>
      <c r="J182" s="158">
        <v>0</v>
      </c>
    </row>
    <row r="183" spans="1:10" ht="15.75" customHeight="1">
      <c r="A183" s="133" t="s">
        <v>4</v>
      </c>
      <c r="B183" s="133" t="s">
        <v>3703</v>
      </c>
      <c r="C183" s="133" t="s">
        <v>164</v>
      </c>
      <c r="D183" s="133" t="s">
        <v>477</v>
      </c>
      <c r="E183" s="158">
        <v>255</v>
      </c>
      <c r="F183" s="158">
        <v>0</v>
      </c>
      <c r="G183" s="158">
        <v>0</v>
      </c>
      <c r="H183" s="133" t="s">
        <v>479</v>
      </c>
      <c r="I183" s="133" t="s">
        <v>548</v>
      </c>
      <c r="J183" s="158">
        <v>0</v>
      </c>
    </row>
    <row r="184" spans="1:10" ht="15.75" customHeight="1">
      <c r="A184" s="133" t="s">
        <v>4</v>
      </c>
      <c r="B184" s="133" t="s">
        <v>3703</v>
      </c>
      <c r="C184" s="133" t="s">
        <v>523</v>
      </c>
      <c r="D184" s="133" t="s">
        <v>477</v>
      </c>
      <c r="E184" s="158">
        <v>20</v>
      </c>
      <c r="F184" s="158">
        <v>0</v>
      </c>
      <c r="G184" s="158">
        <v>0</v>
      </c>
      <c r="H184" s="133" t="s">
        <v>479</v>
      </c>
      <c r="I184" s="133" t="s">
        <v>548</v>
      </c>
      <c r="J184" s="158">
        <v>0</v>
      </c>
    </row>
    <row r="185" spans="1:10" ht="15.75" customHeight="1">
      <c r="A185" s="133" t="s">
        <v>4</v>
      </c>
      <c r="B185" s="133" t="s">
        <v>3703</v>
      </c>
      <c r="C185" s="133" t="s">
        <v>814</v>
      </c>
      <c r="D185" s="133" t="s">
        <v>477</v>
      </c>
      <c r="E185" s="158">
        <v>100</v>
      </c>
      <c r="F185" s="158">
        <v>0</v>
      </c>
      <c r="G185" s="158">
        <v>0</v>
      </c>
      <c r="H185" s="133" t="s">
        <v>479</v>
      </c>
      <c r="I185" s="133" t="s">
        <v>548</v>
      </c>
      <c r="J185" s="158">
        <v>0</v>
      </c>
    </row>
    <row r="186" spans="1:10" ht="15.75" customHeight="1">
      <c r="A186" s="133" t="s">
        <v>4</v>
      </c>
      <c r="B186" s="133" t="s">
        <v>3703</v>
      </c>
      <c r="C186" s="133" t="s">
        <v>669</v>
      </c>
      <c r="D186" s="133" t="s">
        <v>496</v>
      </c>
      <c r="E186" s="158">
        <v>4</v>
      </c>
      <c r="F186" s="158">
        <v>16</v>
      </c>
      <c r="G186" s="158">
        <v>0</v>
      </c>
      <c r="H186" s="133" t="s">
        <v>479</v>
      </c>
      <c r="I186" s="133" t="s">
        <v>1363</v>
      </c>
      <c r="J186" s="158">
        <v>0</v>
      </c>
    </row>
    <row r="187" spans="1:10" ht="15.75" customHeight="1">
      <c r="A187" s="133" t="s">
        <v>4</v>
      </c>
      <c r="B187" s="133" t="s">
        <v>3703</v>
      </c>
      <c r="C187" s="133" t="s">
        <v>670</v>
      </c>
      <c r="D187" s="133" t="s">
        <v>477</v>
      </c>
      <c r="E187" s="158">
        <v>20</v>
      </c>
      <c r="F187" s="158">
        <v>0</v>
      </c>
      <c r="G187" s="158">
        <v>0</v>
      </c>
      <c r="H187" s="133" t="s">
        <v>479</v>
      </c>
      <c r="I187" s="133" t="s">
        <v>548</v>
      </c>
      <c r="J187" s="158">
        <v>0</v>
      </c>
    </row>
    <row r="188" spans="1:10" ht="15.75" customHeight="1">
      <c r="A188" s="133" t="s">
        <v>4</v>
      </c>
      <c r="B188" s="133" t="s">
        <v>3703</v>
      </c>
      <c r="C188" s="133" t="s">
        <v>816</v>
      </c>
      <c r="D188" s="133" t="s">
        <v>477</v>
      </c>
      <c r="E188" s="158">
        <v>100</v>
      </c>
      <c r="F188" s="158">
        <v>0</v>
      </c>
      <c r="G188" s="158">
        <v>0</v>
      </c>
      <c r="H188" s="133" t="s">
        <v>479</v>
      </c>
      <c r="I188" s="133" t="s">
        <v>548</v>
      </c>
      <c r="J188" s="158">
        <v>0</v>
      </c>
    </row>
    <row r="189" spans="1:10" ht="15.75" customHeight="1">
      <c r="A189" s="133" t="s">
        <v>4</v>
      </c>
      <c r="B189" s="133" t="s">
        <v>3703</v>
      </c>
      <c r="C189" s="133" t="s">
        <v>215</v>
      </c>
      <c r="D189" s="133" t="s">
        <v>496</v>
      </c>
      <c r="E189" s="158">
        <v>4</v>
      </c>
      <c r="F189" s="158">
        <v>16</v>
      </c>
      <c r="G189" s="158">
        <v>0</v>
      </c>
      <c r="H189" s="133" t="s">
        <v>479</v>
      </c>
      <c r="I189" s="133" t="s">
        <v>1363</v>
      </c>
      <c r="J189" s="158">
        <v>0</v>
      </c>
    </row>
    <row r="190" spans="1:10" ht="15.75" customHeight="1">
      <c r="A190" s="133" t="s">
        <v>4</v>
      </c>
      <c r="B190" s="133" t="s">
        <v>3703</v>
      </c>
      <c r="C190" s="133" t="s">
        <v>5266</v>
      </c>
      <c r="D190" s="133" t="s">
        <v>481</v>
      </c>
      <c r="E190" s="158">
        <v>5</v>
      </c>
      <c r="F190" s="158">
        <v>9</v>
      </c>
      <c r="G190" s="158">
        <v>2</v>
      </c>
      <c r="H190" s="133" t="s">
        <v>5267</v>
      </c>
      <c r="I190" s="133" t="s">
        <v>615</v>
      </c>
      <c r="J190" s="158">
        <v>0</v>
      </c>
    </row>
    <row r="191" spans="1:10" ht="15.75" customHeight="1">
      <c r="A191" s="133" t="s">
        <v>4</v>
      </c>
      <c r="B191" s="133" t="s">
        <v>3703</v>
      </c>
      <c r="C191" s="133" t="s">
        <v>5268</v>
      </c>
      <c r="D191" s="133" t="s">
        <v>481</v>
      </c>
      <c r="E191" s="158">
        <v>5</v>
      </c>
      <c r="F191" s="158">
        <v>9</v>
      </c>
      <c r="G191" s="158">
        <v>2</v>
      </c>
      <c r="H191" s="133" t="s">
        <v>5269</v>
      </c>
      <c r="I191" s="133" t="s">
        <v>615</v>
      </c>
      <c r="J191" s="158">
        <v>0</v>
      </c>
    </row>
    <row r="192" spans="1:10" ht="15.75" customHeight="1">
      <c r="A192" s="133" t="s">
        <v>4</v>
      </c>
      <c r="B192" s="133" t="s">
        <v>3703</v>
      </c>
      <c r="C192" s="133" t="s">
        <v>5270</v>
      </c>
      <c r="D192" s="133" t="s">
        <v>477</v>
      </c>
      <c r="E192" s="158">
        <v>20</v>
      </c>
      <c r="F192" s="158">
        <v>0</v>
      </c>
      <c r="G192" s="158">
        <v>0</v>
      </c>
      <c r="H192" s="133" t="s">
        <v>5271</v>
      </c>
      <c r="I192" s="133" t="s">
        <v>596</v>
      </c>
      <c r="J192" s="158">
        <v>0</v>
      </c>
    </row>
    <row r="193" spans="1:10" ht="15.75" customHeight="1">
      <c r="A193" s="133" t="s">
        <v>4</v>
      </c>
      <c r="B193" s="133" t="s">
        <v>3703</v>
      </c>
      <c r="C193" s="133" t="s">
        <v>5272</v>
      </c>
      <c r="D193" s="133" t="s">
        <v>477</v>
      </c>
      <c r="E193" s="158">
        <v>20</v>
      </c>
      <c r="F193" s="158">
        <v>0</v>
      </c>
      <c r="G193" s="158">
        <v>0</v>
      </c>
      <c r="H193" s="133" t="s">
        <v>5273</v>
      </c>
      <c r="I193" s="133" t="s">
        <v>548</v>
      </c>
      <c r="J193" s="158">
        <v>0</v>
      </c>
    </row>
    <row r="194" spans="1:10" ht="15.75" customHeight="1">
      <c r="A194" s="133" t="s">
        <v>4</v>
      </c>
      <c r="B194" s="133" t="s">
        <v>3703</v>
      </c>
      <c r="C194" s="133" t="s">
        <v>5274</v>
      </c>
      <c r="D194" s="133" t="s">
        <v>481</v>
      </c>
      <c r="E194" s="158">
        <v>5</v>
      </c>
      <c r="F194" s="158">
        <v>9</v>
      </c>
      <c r="G194" s="158">
        <v>2</v>
      </c>
      <c r="H194" s="133" t="s">
        <v>5275</v>
      </c>
      <c r="I194" s="133" t="s">
        <v>1223</v>
      </c>
      <c r="J194" s="158">
        <v>0</v>
      </c>
    </row>
    <row r="195" spans="1:10" ht="15.75" customHeight="1">
      <c r="A195" s="133" t="s">
        <v>4</v>
      </c>
      <c r="B195" s="133" t="s">
        <v>3703</v>
      </c>
      <c r="C195" s="133" t="s">
        <v>5276</v>
      </c>
      <c r="D195" s="133" t="s">
        <v>477</v>
      </c>
      <c r="E195" s="158">
        <v>20</v>
      </c>
      <c r="F195" s="158">
        <v>0</v>
      </c>
      <c r="G195" s="158">
        <v>0</v>
      </c>
      <c r="H195" s="133" t="s">
        <v>5277</v>
      </c>
      <c r="I195" s="133" t="s">
        <v>548</v>
      </c>
      <c r="J195" s="158">
        <v>0</v>
      </c>
    </row>
    <row r="196" spans="1:10" ht="15.75" customHeight="1">
      <c r="A196" s="133" t="s">
        <v>4</v>
      </c>
      <c r="B196" s="133" t="s">
        <v>3703</v>
      </c>
      <c r="C196" s="133" t="s">
        <v>5278</v>
      </c>
      <c r="D196" s="133" t="s">
        <v>477</v>
      </c>
      <c r="E196" s="158">
        <v>20</v>
      </c>
      <c r="F196" s="158">
        <v>0</v>
      </c>
      <c r="G196" s="158">
        <v>0</v>
      </c>
      <c r="H196" s="133" t="s">
        <v>5279</v>
      </c>
      <c r="I196" s="133" t="s">
        <v>548</v>
      </c>
      <c r="J196" s="158">
        <v>0</v>
      </c>
    </row>
    <row r="197" spans="1:10" ht="15.75" customHeight="1">
      <c r="A197" s="133" t="s">
        <v>4</v>
      </c>
      <c r="B197" s="133" t="s">
        <v>3703</v>
      </c>
      <c r="C197" s="133" t="s">
        <v>811</v>
      </c>
      <c r="D197" s="133" t="s">
        <v>477</v>
      </c>
      <c r="E197" s="158">
        <v>20</v>
      </c>
      <c r="F197" s="158">
        <v>0</v>
      </c>
      <c r="G197" s="158">
        <v>0</v>
      </c>
      <c r="H197" s="133" t="s">
        <v>5280</v>
      </c>
      <c r="I197" s="133" t="s">
        <v>548</v>
      </c>
      <c r="J197" s="158">
        <v>0</v>
      </c>
    </row>
    <row r="198" spans="1:10" ht="15.75" customHeight="1">
      <c r="A198" s="133" t="s">
        <v>4</v>
      </c>
      <c r="B198" s="133" t="s">
        <v>3703</v>
      </c>
      <c r="C198" s="133" t="s">
        <v>5281</v>
      </c>
      <c r="D198" s="133" t="s">
        <v>477</v>
      </c>
      <c r="E198" s="158">
        <v>255</v>
      </c>
      <c r="F198" s="158">
        <v>0</v>
      </c>
      <c r="G198" s="158">
        <v>0</v>
      </c>
      <c r="H198" s="133" t="s">
        <v>5282</v>
      </c>
      <c r="I198" s="133" t="s">
        <v>548</v>
      </c>
      <c r="J198" s="158">
        <v>0</v>
      </c>
    </row>
    <row r="199" spans="1:10" ht="15.75" customHeight="1">
      <c r="A199" s="133" t="s">
        <v>4</v>
      </c>
      <c r="B199" s="133" t="s">
        <v>3703</v>
      </c>
      <c r="C199" s="133" t="s">
        <v>5283</v>
      </c>
      <c r="D199" s="133" t="s">
        <v>477</v>
      </c>
      <c r="E199" s="158">
        <v>20</v>
      </c>
      <c r="F199" s="158">
        <v>0</v>
      </c>
      <c r="G199" s="158">
        <v>0</v>
      </c>
      <c r="H199" s="133" t="s">
        <v>5284</v>
      </c>
      <c r="I199" s="133" t="s">
        <v>596</v>
      </c>
      <c r="J199" s="158">
        <v>0</v>
      </c>
    </row>
    <row r="200" spans="1:10" ht="15.75" customHeight="1">
      <c r="A200" s="133" t="s">
        <v>4</v>
      </c>
      <c r="B200" s="133" t="s">
        <v>3706</v>
      </c>
      <c r="C200" s="133" t="s">
        <v>3695</v>
      </c>
      <c r="D200" s="133" t="s">
        <v>484</v>
      </c>
      <c r="E200" s="158">
        <v>4</v>
      </c>
      <c r="F200" s="158">
        <v>10</v>
      </c>
      <c r="G200" s="158">
        <v>0</v>
      </c>
      <c r="H200" s="133" t="s">
        <v>479</v>
      </c>
      <c r="I200" s="133" t="s">
        <v>479</v>
      </c>
      <c r="J200" s="158">
        <v>0</v>
      </c>
    </row>
    <row r="201" spans="1:10" ht="15.75" customHeight="1">
      <c r="A201" s="133" t="s">
        <v>4</v>
      </c>
      <c r="B201" s="133" t="s">
        <v>3706</v>
      </c>
      <c r="C201" s="133" t="s">
        <v>5248</v>
      </c>
      <c r="D201" s="133" t="s">
        <v>477</v>
      </c>
      <c r="E201" s="158">
        <v>20</v>
      </c>
      <c r="F201" s="158">
        <v>0</v>
      </c>
      <c r="G201" s="158">
        <v>0</v>
      </c>
      <c r="H201" s="133" t="s">
        <v>479</v>
      </c>
      <c r="I201" s="133" t="s">
        <v>479</v>
      </c>
      <c r="J201" s="158">
        <v>0</v>
      </c>
    </row>
    <row r="202" spans="1:10" ht="15.75" customHeight="1">
      <c r="A202" s="133" t="s">
        <v>4</v>
      </c>
      <c r="B202" s="133" t="s">
        <v>3706</v>
      </c>
      <c r="C202" s="133" t="s">
        <v>1611</v>
      </c>
      <c r="D202" s="133" t="s">
        <v>477</v>
      </c>
      <c r="E202" s="158">
        <v>20</v>
      </c>
      <c r="F202" s="158">
        <v>0</v>
      </c>
      <c r="G202" s="158">
        <v>0</v>
      </c>
      <c r="H202" s="133" t="s">
        <v>479</v>
      </c>
      <c r="I202" s="133" t="s">
        <v>479</v>
      </c>
      <c r="J202" s="158">
        <v>0</v>
      </c>
    </row>
    <row r="203" spans="1:10" ht="15.75" customHeight="1">
      <c r="A203" s="133" t="s">
        <v>4</v>
      </c>
      <c r="B203" s="133" t="s">
        <v>3706</v>
      </c>
      <c r="C203" s="133" t="s">
        <v>811</v>
      </c>
      <c r="D203" s="133" t="s">
        <v>477</v>
      </c>
      <c r="E203" s="158">
        <v>20</v>
      </c>
      <c r="F203" s="158">
        <v>0</v>
      </c>
      <c r="G203" s="158">
        <v>0</v>
      </c>
      <c r="H203" s="133" t="s">
        <v>479</v>
      </c>
      <c r="I203" s="133" t="s">
        <v>479</v>
      </c>
      <c r="J203" s="158">
        <v>0</v>
      </c>
    </row>
    <row r="204" spans="1:10" ht="15.75" customHeight="1">
      <c r="A204" s="133" t="s">
        <v>4</v>
      </c>
      <c r="B204" s="133" t="s">
        <v>3706</v>
      </c>
      <c r="C204" s="133" t="s">
        <v>5285</v>
      </c>
      <c r="D204" s="133" t="s">
        <v>496</v>
      </c>
      <c r="E204" s="158">
        <v>4</v>
      </c>
      <c r="F204" s="158">
        <v>16</v>
      </c>
      <c r="G204" s="158">
        <v>0</v>
      </c>
      <c r="H204" s="133" t="s">
        <v>479</v>
      </c>
      <c r="I204" s="133" t="s">
        <v>479</v>
      </c>
      <c r="J204" s="158">
        <v>0</v>
      </c>
    </row>
    <row r="205" spans="1:10" ht="15.75" customHeight="1">
      <c r="A205" s="133" t="s">
        <v>4</v>
      </c>
      <c r="B205" s="133" t="s">
        <v>3706</v>
      </c>
      <c r="C205" s="133" t="s">
        <v>5249</v>
      </c>
      <c r="D205" s="133" t="s">
        <v>477</v>
      </c>
      <c r="E205" s="158">
        <v>20</v>
      </c>
      <c r="F205" s="158">
        <v>0</v>
      </c>
      <c r="G205" s="158">
        <v>0</v>
      </c>
      <c r="H205" s="133" t="s">
        <v>479</v>
      </c>
      <c r="I205" s="133" t="s">
        <v>479</v>
      </c>
      <c r="J205" s="158">
        <v>0</v>
      </c>
    </row>
    <row r="206" spans="1:10" ht="15.75" customHeight="1">
      <c r="A206" s="133" t="s">
        <v>4</v>
      </c>
      <c r="B206" s="133" t="s">
        <v>3706</v>
      </c>
      <c r="C206" s="133" t="s">
        <v>5223</v>
      </c>
      <c r="D206" s="133" t="s">
        <v>484</v>
      </c>
      <c r="E206" s="158">
        <v>4</v>
      </c>
      <c r="F206" s="158">
        <v>10</v>
      </c>
      <c r="G206" s="158">
        <v>0</v>
      </c>
      <c r="H206" s="133" t="s">
        <v>479</v>
      </c>
      <c r="I206" s="133" t="s">
        <v>479</v>
      </c>
      <c r="J206" s="158">
        <v>0</v>
      </c>
    </row>
    <row r="207" spans="1:10" ht="15.75" customHeight="1">
      <c r="A207" s="133" t="s">
        <v>4</v>
      </c>
      <c r="B207" s="133" t="s">
        <v>3706</v>
      </c>
      <c r="C207" s="133" t="s">
        <v>5225</v>
      </c>
      <c r="D207" s="133" t="s">
        <v>477</v>
      </c>
      <c r="E207" s="158">
        <v>50</v>
      </c>
      <c r="F207" s="158">
        <v>0</v>
      </c>
      <c r="G207" s="158">
        <v>0</v>
      </c>
      <c r="H207" s="133" t="s">
        <v>479</v>
      </c>
      <c r="I207" s="133" t="s">
        <v>479</v>
      </c>
      <c r="J207" s="158">
        <v>0</v>
      </c>
    </row>
    <row r="208" spans="1:10" ht="15.75" customHeight="1">
      <c r="A208" s="133" t="s">
        <v>4</v>
      </c>
      <c r="B208" s="133" t="s">
        <v>3706</v>
      </c>
      <c r="C208" s="133" t="s">
        <v>523</v>
      </c>
      <c r="D208" s="133" t="s">
        <v>477</v>
      </c>
      <c r="E208" s="158">
        <v>20</v>
      </c>
      <c r="F208" s="158">
        <v>0</v>
      </c>
      <c r="G208" s="158">
        <v>0</v>
      </c>
      <c r="H208" s="133" t="s">
        <v>479</v>
      </c>
      <c r="I208" s="133" t="s">
        <v>479</v>
      </c>
      <c r="J208" s="158">
        <v>0</v>
      </c>
    </row>
    <row r="209" spans="1:10" ht="15.75" customHeight="1">
      <c r="A209" s="133" t="s">
        <v>4</v>
      </c>
      <c r="B209" s="133" t="s">
        <v>3706</v>
      </c>
      <c r="C209" s="133" t="s">
        <v>814</v>
      </c>
      <c r="D209" s="133" t="s">
        <v>477</v>
      </c>
      <c r="E209" s="158">
        <v>255</v>
      </c>
      <c r="F209" s="158">
        <v>0</v>
      </c>
      <c r="G209" s="158">
        <v>0</v>
      </c>
      <c r="H209" s="133" t="s">
        <v>479</v>
      </c>
      <c r="I209" s="133" t="s">
        <v>479</v>
      </c>
      <c r="J209" s="158">
        <v>0</v>
      </c>
    </row>
    <row r="210" spans="1:10" ht="15.75" customHeight="1">
      <c r="A210" s="133" t="s">
        <v>4</v>
      </c>
      <c r="B210" s="133" t="s">
        <v>3706</v>
      </c>
      <c r="C210" s="133" t="s">
        <v>669</v>
      </c>
      <c r="D210" s="133" t="s">
        <v>496</v>
      </c>
      <c r="E210" s="158">
        <v>4</v>
      </c>
      <c r="F210" s="158">
        <v>16</v>
      </c>
      <c r="G210" s="158">
        <v>0</v>
      </c>
      <c r="H210" s="133" t="s">
        <v>479</v>
      </c>
      <c r="I210" s="133" t="s">
        <v>479</v>
      </c>
      <c r="J210" s="158">
        <v>0</v>
      </c>
    </row>
    <row r="211" spans="1:10" ht="15.75" customHeight="1">
      <c r="A211" s="133" t="s">
        <v>4</v>
      </c>
      <c r="B211" s="133" t="s">
        <v>3706</v>
      </c>
      <c r="C211" s="133" t="s">
        <v>670</v>
      </c>
      <c r="D211" s="133" t="s">
        <v>477</v>
      </c>
      <c r="E211" s="158">
        <v>20</v>
      </c>
      <c r="F211" s="158">
        <v>0</v>
      </c>
      <c r="G211" s="158">
        <v>0</v>
      </c>
      <c r="H211" s="133" t="s">
        <v>479</v>
      </c>
      <c r="I211" s="133" t="s">
        <v>479</v>
      </c>
      <c r="J211" s="158">
        <v>0</v>
      </c>
    </row>
    <row r="212" spans="1:10" ht="15.75" customHeight="1">
      <c r="A212" s="133" t="s">
        <v>4</v>
      </c>
      <c r="B212" s="133" t="s">
        <v>3706</v>
      </c>
      <c r="C212" s="133" t="s">
        <v>816</v>
      </c>
      <c r="D212" s="133" t="s">
        <v>477</v>
      </c>
      <c r="E212" s="158">
        <v>255</v>
      </c>
      <c r="F212" s="158">
        <v>0</v>
      </c>
      <c r="G212" s="158">
        <v>0</v>
      </c>
      <c r="H212" s="133" t="s">
        <v>479</v>
      </c>
      <c r="I212" s="133" t="s">
        <v>479</v>
      </c>
      <c r="J212" s="158">
        <v>0</v>
      </c>
    </row>
    <row r="213" spans="1:10" ht="15.75" customHeight="1">
      <c r="A213" s="133" t="s">
        <v>4</v>
      </c>
      <c r="B213" s="133" t="s">
        <v>3706</v>
      </c>
      <c r="C213" s="133" t="s">
        <v>215</v>
      </c>
      <c r="D213" s="133" t="s">
        <v>496</v>
      </c>
      <c r="E213" s="158">
        <v>4</v>
      </c>
      <c r="F213" s="158">
        <v>16</v>
      </c>
      <c r="G213" s="158">
        <v>0</v>
      </c>
      <c r="H213" s="133" t="s">
        <v>479</v>
      </c>
      <c r="I213" s="133" t="s">
        <v>479</v>
      </c>
      <c r="J213" s="158">
        <v>0</v>
      </c>
    </row>
    <row r="214" spans="1:10" ht="15.75" customHeight="1">
      <c r="A214" s="133" t="s">
        <v>4</v>
      </c>
      <c r="B214" s="133" t="s">
        <v>3706</v>
      </c>
      <c r="C214" s="133" t="s">
        <v>1804</v>
      </c>
      <c r="D214" s="133" t="s">
        <v>477</v>
      </c>
      <c r="E214" s="158">
        <v>50</v>
      </c>
      <c r="F214" s="158">
        <v>0</v>
      </c>
      <c r="G214" s="158">
        <v>0</v>
      </c>
      <c r="H214" s="133" t="s">
        <v>479</v>
      </c>
      <c r="I214" s="133" t="s">
        <v>479</v>
      </c>
      <c r="J214" s="158">
        <v>0</v>
      </c>
    </row>
    <row r="215" spans="1:10" ht="15.75" customHeight="1">
      <c r="A215" s="133" t="s">
        <v>4</v>
      </c>
      <c r="B215" s="133" t="s">
        <v>3706</v>
      </c>
      <c r="C215" s="133" t="s">
        <v>5286</v>
      </c>
      <c r="D215" s="133" t="s">
        <v>484</v>
      </c>
      <c r="E215" s="158">
        <v>4</v>
      </c>
      <c r="F215" s="158">
        <v>10</v>
      </c>
      <c r="G215" s="158">
        <v>0</v>
      </c>
      <c r="H215" s="133" t="s">
        <v>5287</v>
      </c>
      <c r="I215" s="133" t="s">
        <v>615</v>
      </c>
      <c r="J215" s="158">
        <v>0</v>
      </c>
    </row>
    <row r="216" spans="1:10" ht="15.75" customHeight="1">
      <c r="A216" s="133" t="s">
        <v>4</v>
      </c>
      <c r="B216" s="133" t="s">
        <v>3709</v>
      </c>
      <c r="C216" s="133" t="s">
        <v>3717</v>
      </c>
      <c r="D216" s="133" t="s">
        <v>484</v>
      </c>
      <c r="E216" s="158">
        <v>4</v>
      </c>
      <c r="F216" s="158">
        <v>10</v>
      </c>
      <c r="G216" s="158">
        <v>0</v>
      </c>
      <c r="H216" s="133" t="s">
        <v>5288</v>
      </c>
      <c r="I216" s="133" t="s">
        <v>479</v>
      </c>
      <c r="J216" s="158">
        <v>0</v>
      </c>
    </row>
    <row r="217" spans="1:10" ht="15.75" customHeight="1">
      <c r="A217" s="133" t="s">
        <v>4</v>
      </c>
      <c r="B217" s="133" t="s">
        <v>3709</v>
      </c>
      <c r="C217" s="133" t="s">
        <v>3720</v>
      </c>
      <c r="D217" s="133" t="s">
        <v>477</v>
      </c>
      <c r="E217" s="158">
        <v>10</v>
      </c>
      <c r="F217" s="158">
        <v>0</v>
      </c>
      <c r="G217" s="158">
        <v>0</v>
      </c>
      <c r="H217" s="133" t="s">
        <v>4816</v>
      </c>
      <c r="I217" s="133" t="s">
        <v>548</v>
      </c>
      <c r="J217" s="158">
        <v>0</v>
      </c>
    </row>
    <row r="218" spans="1:10" ht="15.75" customHeight="1">
      <c r="A218" s="133" t="s">
        <v>4</v>
      </c>
      <c r="B218" s="133" t="s">
        <v>3709</v>
      </c>
      <c r="C218" s="133" t="s">
        <v>1611</v>
      </c>
      <c r="D218" s="133" t="s">
        <v>477</v>
      </c>
      <c r="E218" s="158">
        <v>50</v>
      </c>
      <c r="F218" s="158">
        <v>0</v>
      </c>
      <c r="G218" s="158">
        <v>0</v>
      </c>
      <c r="H218" s="133" t="s">
        <v>5289</v>
      </c>
      <c r="I218" s="133" t="s">
        <v>548</v>
      </c>
      <c r="J218" s="158">
        <v>0</v>
      </c>
    </row>
    <row r="219" spans="1:10" ht="15.75" customHeight="1">
      <c r="A219" s="133" t="s">
        <v>4</v>
      </c>
      <c r="B219" s="133" t="s">
        <v>3709</v>
      </c>
      <c r="C219" s="133" t="s">
        <v>523</v>
      </c>
      <c r="D219" s="133" t="s">
        <v>477</v>
      </c>
      <c r="E219" s="158">
        <v>8</v>
      </c>
      <c r="F219" s="158">
        <v>0</v>
      </c>
      <c r="G219" s="158">
        <v>0</v>
      </c>
      <c r="H219" s="133" t="s">
        <v>834</v>
      </c>
      <c r="I219" s="133" t="s">
        <v>548</v>
      </c>
      <c r="J219" s="158">
        <v>0</v>
      </c>
    </row>
    <row r="220" spans="1:10" ht="15.75" customHeight="1">
      <c r="A220" s="133" t="s">
        <v>4</v>
      </c>
      <c r="B220" s="133" t="s">
        <v>3709</v>
      </c>
      <c r="C220" s="133" t="s">
        <v>669</v>
      </c>
      <c r="D220" s="133" t="s">
        <v>496</v>
      </c>
      <c r="E220" s="158">
        <v>4</v>
      </c>
      <c r="F220" s="158">
        <v>16</v>
      </c>
      <c r="G220" s="158">
        <v>0</v>
      </c>
      <c r="H220" s="133" t="s">
        <v>835</v>
      </c>
      <c r="I220" s="133" t="s">
        <v>548</v>
      </c>
      <c r="J220" s="158">
        <v>0</v>
      </c>
    </row>
    <row r="221" spans="1:10" ht="15.75" customHeight="1">
      <c r="A221" s="133" t="s">
        <v>4</v>
      </c>
      <c r="B221" s="133" t="s">
        <v>3709</v>
      </c>
      <c r="C221" s="133" t="s">
        <v>670</v>
      </c>
      <c r="D221" s="133" t="s">
        <v>477</v>
      </c>
      <c r="E221" s="158">
        <v>8</v>
      </c>
      <c r="F221" s="158">
        <v>0</v>
      </c>
      <c r="G221" s="158">
        <v>0</v>
      </c>
      <c r="H221" s="133" t="s">
        <v>5153</v>
      </c>
      <c r="I221" s="133" t="s">
        <v>548</v>
      </c>
      <c r="J221" s="158">
        <v>0</v>
      </c>
    </row>
    <row r="222" spans="1:10" ht="15.75" customHeight="1">
      <c r="A222" s="133" t="s">
        <v>4</v>
      </c>
      <c r="B222" s="133" t="s">
        <v>3709</v>
      </c>
      <c r="C222" s="133" t="s">
        <v>215</v>
      </c>
      <c r="D222" s="133" t="s">
        <v>496</v>
      </c>
      <c r="E222" s="158">
        <v>4</v>
      </c>
      <c r="F222" s="158">
        <v>16</v>
      </c>
      <c r="G222" s="158">
        <v>0</v>
      </c>
      <c r="H222" s="133" t="s">
        <v>1982</v>
      </c>
      <c r="I222" s="133" t="s">
        <v>548</v>
      </c>
      <c r="J222" s="158">
        <v>0</v>
      </c>
    </row>
    <row r="223" spans="1:10" ht="15.75" customHeight="1">
      <c r="A223" s="133" t="s">
        <v>4</v>
      </c>
      <c r="B223" s="133" t="s">
        <v>3712</v>
      </c>
      <c r="C223" s="133" t="s">
        <v>3714</v>
      </c>
      <c r="D223" s="133" t="s">
        <v>484</v>
      </c>
      <c r="E223" s="158">
        <v>4</v>
      </c>
      <c r="F223" s="158">
        <v>10</v>
      </c>
      <c r="G223" s="158">
        <v>0</v>
      </c>
      <c r="H223" s="133" t="s">
        <v>5290</v>
      </c>
      <c r="I223" s="133" t="s">
        <v>479</v>
      </c>
      <c r="J223" s="158">
        <v>0</v>
      </c>
    </row>
    <row r="224" spans="1:10" ht="15.75" customHeight="1">
      <c r="A224" s="133" t="s">
        <v>4</v>
      </c>
      <c r="B224" s="133" t="s">
        <v>3712</v>
      </c>
      <c r="C224" s="133" t="s">
        <v>5291</v>
      </c>
      <c r="D224" s="133" t="s">
        <v>477</v>
      </c>
      <c r="E224" s="158">
        <v>50</v>
      </c>
      <c r="F224" s="158">
        <v>0</v>
      </c>
      <c r="G224" s="158">
        <v>0</v>
      </c>
      <c r="H224" s="133" t="s">
        <v>5292</v>
      </c>
      <c r="I224" s="133" t="s">
        <v>548</v>
      </c>
      <c r="J224" s="158">
        <v>0</v>
      </c>
    </row>
    <row r="225" spans="1:10" ht="15.75" customHeight="1">
      <c r="A225" s="133" t="s">
        <v>4</v>
      </c>
      <c r="B225" s="133" t="s">
        <v>3712</v>
      </c>
      <c r="C225" s="133" t="s">
        <v>811</v>
      </c>
      <c r="D225" s="133" t="s">
        <v>477</v>
      </c>
      <c r="E225" s="158">
        <v>8</v>
      </c>
      <c r="F225" s="158">
        <v>0</v>
      </c>
      <c r="G225" s="158">
        <v>0</v>
      </c>
      <c r="H225" s="133" t="s">
        <v>5293</v>
      </c>
      <c r="I225" s="133" t="s">
        <v>813</v>
      </c>
      <c r="J225" s="158">
        <v>0</v>
      </c>
    </row>
    <row r="226" spans="1:10" ht="15.75" customHeight="1">
      <c r="A226" s="133" t="s">
        <v>4</v>
      </c>
      <c r="B226" s="133" t="s">
        <v>3712</v>
      </c>
      <c r="C226" s="133" t="s">
        <v>523</v>
      </c>
      <c r="D226" s="133" t="s">
        <v>477</v>
      </c>
      <c r="E226" s="158">
        <v>8</v>
      </c>
      <c r="F226" s="158">
        <v>0</v>
      </c>
      <c r="G226" s="158">
        <v>0</v>
      </c>
      <c r="H226" s="133" t="s">
        <v>834</v>
      </c>
      <c r="I226" s="133" t="s">
        <v>548</v>
      </c>
      <c r="J226" s="158">
        <v>0</v>
      </c>
    </row>
    <row r="227" spans="1:10" ht="15.75" customHeight="1">
      <c r="A227" s="133" t="s">
        <v>4</v>
      </c>
      <c r="B227" s="133" t="s">
        <v>3712</v>
      </c>
      <c r="C227" s="133" t="s">
        <v>669</v>
      </c>
      <c r="D227" s="133" t="s">
        <v>496</v>
      </c>
      <c r="E227" s="158">
        <v>4</v>
      </c>
      <c r="F227" s="158">
        <v>16</v>
      </c>
      <c r="G227" s="158">
        <v>0</v>
      </c>
      <c r="H227" s="133" t="s">
        <v>835</v>
      </c>
      <c r="I227" s="133" t="s">
        <v>548</v>
      </c>
      <c r="J227" s="158">
        <v>0</v>
      </c>
    </row>
    <row r="228" spans="1:10" ht="15.75" customHeight="1">
      <c r="A228" s="133" t="s">
        <v>4</v>
      </c>
      <c r="B228" s="133" t="s">
        <v>3712</v>
      </c>
      <c r="C228" s="133" t="s">
        <v>670</v>
      </c>
      <c r="D228" s="133" t="s">
        <v>477</v>
      </c>
      <c r="E228" s="158">
        <v>8</v>
      </c>
      <c r="F228" s="158">
        <v>0</v>
      </c>
      <c r="G228" s="158">
        <v>0</v>
      </c>
      <c r="H228" s="133" t="s">
        <v>1982</v>
      </c>
      <c r="I228" s="133" t="s">
        <v>548</v>
      </c>
      <c r="J228" s="158">
        <v>0</v>
      </c>
    </row>
    <row r="229" spans="1:10" ht="15.75" customHeight="1">
      <c r="A229" s="133" t="s">
        <v>4</v>
      </c>
      <c r="B229" s="133" t="s">
        <v>3712</v>
      </c>
      <c r="C229" s="133" t="s">
        <v>215</v>
      </c>
      <c r="D229" s="133" t="s">
        <v>496</v>
      </c>
      <c r="E229" s="158">
        <v>4</v>
      </c>
      <c r="F229" s="158">
        <v>16</v>
      </c>
      <c r="G229" s="158">
        <v>0</v>
      </c>
      <c r="H229" s="133" t="s">
        <v>1982</v>
      </c>
      <c r="I229" s="133" t="s">
        <v>548</v>
      </c>
      <c r="J229" s="158">
        <v>0</v>
      </c>
    </row>
    <row r="230" spans="1:10" ht="15.75" customHeight="1">
      <c r="A230" s="133" t="s">
        <v>4</v>
      </c>
      <c r="B230" s="133" t="s">
        <v>3715</v>
      </c>
      <c r="C230" s="133" t="s">
        <v>3717</v>
      </c>
      <c r="D230" s="133" t="s">
        <v>484</v>
      </c>
      <c r="E230" s="158">
        <v>4</v>
      </c>
      <c r="F230" s="158">
        <v>10</v>
      </c>
      <c r="G230" s="158">
        <v>0</v>
      </c>
      <c r="H230" s="133" t="s">
        <v>5294</v>
      </c>
      <c r="I230" s="133" t="s">
        <v>479</v>
      </c>
      <c r="J230" s="158">
        <v>0</v>
      </c>
    </row>
    <row r="231" spans="1:10" ht="15.75" customHeight="1">
      <c r="A231" s="133" t="s">
        <v>4</v>
      </c>
      <c r="B231" s="133" t="s">
        <v>3715</v>
      </c>
      <c r="C231" s="133" t="s">
        <v>5228</v>
      </c>
      <c r="D231" s="133" t="s">
        <v>477</v>
      </c>
      <c r="E231" s="158">
        <v>50</v>
      </c>
      <c r="F231" s="158">
        <v>0</v>
      </c>
      <c r="G231" s="158">
        <v>0</v>
      </c>
      <c r="H231" s="133" t="s">
        <v>5295</v>
      </c>
      <c r="I231" s="133" t="s">
        <v>548</v>
      </c>
      <c r="J231" s="158">
        <v>0</v>
      </c>
    </row>
    <row r="232" spans="1:10" ht="15.75" customHeight="1">
      <c r="A232" s="133" t="s">
        <v>4</v>
      </c>
      <c r="B232" s="133" t="s">
        <v>3715</v>
      </c>
      <c r="C232" s="133" t="s">
        <v>523</v>
      </c>
      <c r="D232" s="133" t="s">
        <v>477</v>
      </c>
      <c r="E232" s="158">
        <v>8</v>
      </c>
      <c r="F232" s="158">
        <v>0</v>
      </c>
      <c r="G232" s="158">
        <v>0</v>
      </c>
      <c r="H232" s="133" t="s">
        <v>834</v>
      </c>
      <c r="I232" s="133" t="s">
        <v>548</v>
      </c>
      <c r="J232" s="158">
        <v>0</v>
      </c>
    </row>
    <row r="233" spans="1:10" ht="15.75" customHeight="1">
      <c r="A233" s="133" t="s">
        <v>4</v>
      </c>
      <c r="B233" s="133" t="s">
        <v>3715</v>
      </c>
      <c r="C233" s="133" t="s">
        <v>669</v>
      </c>
      <c r="D233" s="133" t="s">
        <v>496</v>
      </c>
      <c r="E233" s="158">
        <v>4</v>
      </c>
      <c r="F233" s="158">
        <v>16</v>
      </c>
      <c r="G233" s="158">
        <v>0</v>
      </c>
      <c r="H233" s="133" t="s">
        <v>835</v>
      </c>
      <c r="I233" s="133" t="s">
        <v>548</v>
      </c>
      <c r="J233" s="158">
        <v>0</v>
      </c>
    </row>
    <row r="234" spans="1:10" ht="15.75" customHeight="1">
      <c r="A234" s="133" t="s">
        <v>4</v>
      </c>
      <c r="B234" s="133" t="s">
        <v>3715</v>
      </c>
      <c r="C234" s="133" t="s">
        <v>670</v>
      </c>
      <c r="D234" s="133" t="s">
        <v>477</v>
      </c>
      <c r="E234" s="158">
        <v>8</v>
      </c>
      <c r="F234" s="158">
        <v>0</v>
      </c>
      <c r="G234" s="158">
        <v>0</v>
      </c>
      <c r="H234" s="133" t="s">
        <v>5153</v>
      </c>
      <c r="I234" s="133" t="s">
        <v>548</v>
      </c>
      <c r="J234" s="158">
        <v>0</v>
      </c>
    </row>
    <row r="235" spans="1:10" ht="15.75" customHeight="1">
      <c r="A235" s="133" t="s">
        <v>4</v>
      </c>
      <c r="B235" s="133" t="s">
        <v>3715</v>
      </c>
      <c r="C235" s="133" t="s">
        <v>215</v>
      </c>
      <c r="D235" s="133" t="s">
        <v>496</v>
      </c>
      <c r="E235" s="158">
        <v>4</v>
      </c>
      <c r="F235" s="158">
        <v>16</v>
      </c>
      <c r="G235" s="158">
        <v>0</v>
      </c>
      <c r="H235" s="133" t="s">
        <v>1982</v>
      </c>
      <c r="I235" s="133" t="s">
        <v>548</v>
      </c>
      <c r="J235" s="158">
        <v>0</v>
      </c>
    </row>
    <row r="236" spans="1:10" ht="15.75" customHeight="1">
      <c r="A236" s="133" t="s">
        <v>4</v>
      </c>
      <c r="B236" s="133" t="s">
        <v>3715</v>
      </c>
      <c r="C236" s="133" t="s">
        <v>5296</v>
      </c>
      <c r="D236" s="133" t="s">
        <v>491</v>
      </c>
      <c r="E236" s="158">
        <v>1</v>
      </c>
      <c r="F236" s="158">
        <v>0</v>
      </c>
      <c r="G236" s="158">
        <v>0</v>
      </c>
      <c r="H236" s="133" t="s">
        <v>479</v>
      </c>
      <c r="I236" s="133" t="s">
        <v>548</v>
      </c>
      <c r="J236" s="158">
        <v>0</v>
      </c>
    </row>
    <row r="237" spans="1:10" ht="15.75" customHeight="1">
      <c r="A237" s="133" t="s">
        <v>4</v>
      </c>
      <c r="B237" s="133" t="s">
        <v>3718</v>
      </c>
      <c r="C237" s="133" t="s">
        <v>3720</v>
      </c>
      <c r="D237" s="133" t="s">
        <v>477</v>
      </c>
      <c r="E237" s="158">
        <v>10</v>
      </c>
      <c r="F237" s="158">
        <v>0</v>
      </c>
      <c r="G237" s="158">
        <v>0</v>
      </c>
      <c r="H237" s="133" t="s">
        <v>5297</v>
      </c>
      <c r="I237" s="133" t="s">
        <v>479</v>
      </c>
      <c r="J237" s="158">
        <v>0</v>
      </c>
    </row>
    <row r="238" spans="1:10" ht="15.75" customHeight="1">
      <c r="A238" s="133" t="s">
        <v>4</v>
      </c>
      <c r="B238" s="133" t="s">
        <v>3718</v>
      </c>
      <c r="C238" s="133" t="s">
        <v>4321</v>
      </c>
      <c r="D238" s="133" t="s">
        <v>477</v>
      </c>
      <c r="E238" s="158">
        <v>50</v>
      </c>
      <c r="F238" s="158">
        <v>0</v>
      </c>
      <c r="G238" s="158">
        <v>0</v>
      </c>
      <c r="H238" s="133" t="s">
        <v>5298</v>
      </c>
      <c r="I238" s="133" t="s">
        <v>548</v>
      </c>
      <c r="J238" s="158">
        <v>0</v>
      </c>
    </row>
    <row r="239" spans="1:10" ht="15.75" customHeight="1">
      <c r="A239" s="133" t="s">
        <v>4</v>
      </c>
      <c r="B239" s="133" t="s">
        <v>3718</v>
      </c>
      <c r="C239" s="133" t="s">
        <v>5299</v>
      </c>
      <c r="D239" s="133" t="s">
        <v>484</v>
      </c>
      <c r="E239" s="158">
        <v>4</v>
      </c>
      <c r="F239" s="158">
        <v>10</v>
      </c>
      <c r="G239" s="158">
        <v>0</v>
      </c>
      <c r="H239" s="133" t="s">
        <v>5300</v>
      </c>
      <c r="I239" s="133" t="s">
        <v>615</v>
      </c>
      <c r="J239" s="158">
        <v>0</v>
      </c>
    </row>
    <row r="240" spans="1:10" ht="15.75" customHeight="1">
      <c r="A240" s="133" t="s">
        <v>4</v>
      </c>
      <c r="B240" s="133" t="s">
        <v>3718</v>
      </c>
      <c r="C240" s="133" t="s">
        <v>732</v>
      </c>
      <c r="D240" s="133" t="s">
        <v>477</v>
      </c>
      <c r="E240" s="158">
        <v>20</v>
      </c>
      <c r="F240" s="158">
        <v>0</v>
      </c>
      <c r="G240" s="158">
        <v>0</v>
      </c>
      <c r="H240" s="133" t="s">
        <v>5301</v>
      </c>
      <c r="I240" s="133" t="s">
        <v>548</v>
      </c>
      <c r="J240" s="158">
        <v>0</v>
      </c>
    </row>
    <row r="241" spans="1:10" ht="15.75" customHeight="1">
      <c r="A241" s="133" t="s">
        <v>4</v>
      </c>
      <c r="B241" s="133" t="s">
        <v>3718</v>
      </c>
      <c r="C241" s="133" t="s">
        <v>737</v>
      </c>
      <c r="D241" s="133" t="s">
        <v>477</v>
      </c>
      <c r="E241" s="158">
        <v>5</v>
      </c>
      <c r="F241" s="158">
        <v>0</v>
      </c>
      <c r="G241" s="158">
        <v>0</v>
      </c>
      <c r="H241" s="133" t="s">
        <v>5302</v>
      </c>
      <c r="I241" s="133" t="s">
        <v>548</v>
      </c>
      <c r="J241" s="158">
        <v>0</v>
      </c>
    </row>
    <row r="242" spans="1:10" ht="15.75" customHeight="1">
      <c r="A242" s="133" t="s">
        <v>4</v>
      </c>
      <c r="B242" s="133" t="s">
        <v>3718</v>
      </c>
      <c r="C242" s="133" t="s">
        <v>811</v>
      </c>
      <c r="D242" s="133" t="s">
        <v>477</v>
      </c>
      <c r="E242" s="158">
        <v>8</v>
      </c>
      <c r="F242" s="158">
        <v>0</v>
      </c>
      <c r="G242" s="158">
        <v>0</v>
      </c>
      <c r="H242" s="133" t="s">
        <v>5293</v>
      </c>
      <c r="I242" s="133" t="s">
        <v>813</v>
      </c>
      <c r="J242" s="158">
        <v>0</v>
      </c>
    </row>
    <row r="243" spans="1:10" ht="15.75" customHeight="1">
      <c r="A243" s="133" t="s">
        <v>4</v>
      </c>
      <c r="B243" s="133" t="s">
        <v>3718</v>
      </c>
      <c r="C243" s="133" t="s">
        <v>523</v>
      </c>
      <c r="D243" s="133" t="s">
        <v>477</v>
      </c>
      <c r="E243" s="158">
        <v>8</v>
      </c>
      <c r="F243" s="158">
        <v>0</v>
      </c>
      <c r="G243" s="158">
        <v>0</v>
      </c>
      <c r="H243" s="133" t="s">
        <v>834</v>
      </c>
      <c r="I243" s="133" t="s">
        <v>548</v>
      </c>
      <c r="J243" s="158">
        <v>0</v>
      </c>
    </row>
    <row r="244" spans="1:10" ht="15.75" customHeight="1">
      <c r="A244" s="133" t="s">
        <v>4</v>
      </c>
      <c r="B244" s="133" t="s">
        <v>3718</v>
      </c>
      <c r="C244" s="133" t="s">
        <v>669</v>
      </c>
      <c r="D244" s="133" t="s">
        <v>496</v>
      </c>
      <c r="E244" s="158">
        <v>4</v>
      </c>
      <c r="F244" s="158">
        <v>16</v>
      </c>
      <c r="G244" s="158">
        <v>0</v>
      </c>
      <c r="H244" s="133" t="s">
        <v>835</v>
      </c>
      <c r="I244" s="133" t="s">
        <v>548</v>
      </c>
      <c r="J244" s="158">
        <v>0</v>
      </c>
    </row>
    <row r="245" spans="1:10" ht="15.75" customHeight="1">
      <c r="A245" s="133" t="s">
        <v>4</v>
      </c>
      <c r="B245" s="133" t="s">
        <v>3718</v>
      </c>
      <c r="C245" s="133" t="s">
        <v>670</v>
      </c>
      <c r="D245" s="133" t="s">
        <v>477</v>
      </c>
      <c r="E245" s="158">
        <v>8</v>
      </c>
      <c r="F245" s="158">
        <v>0</v>
      </c>
      <c r="G245" s="158">
        <v>0</v>
      </c>
      <c r="H245" s="133" t="s">
        <v>5153</v>
      </c>
      <c r="I245" s="133" t="s">
        <v>548</v>
      </c>
      <c r="J245" s="158">
        <v>0</v>
      </c>
    </row>
    <row r="246" spans="1:10" ht="15.75" customHeight="1">
      <c r="A246" s="133" t="s">
        <v>4</v>
      </c>
      <c r="B246" s="133" t="s">
        <v>3718</v>
      </c>
      <c r="C246" s="133" t="s">
        <v>215</v>
      </c>
      <c r="D246" s="133" t="s">
        <v>496</v>
      </c>
      <c r="E246" s="158">
        <v>4</v>
      </c>
      <c r="F246" s="158">
        <v>16</v>
      </c>
      <c r="G246" s="158">
        <v>0</v>
      </c>
      <c r="H246" s="133" t="s">
        <v>1982</v>
      </c>
      <c r="I246" s="133" t="s">
        <v>548</v>
      </c>
      <c r="J246" s="158">
        <v>0</v>
      </c>
    </row>
    <row r="247" spans="1:10" ht="15.75" customHeight="1">
      <c r="A247" s="133" t="s">
        <v>4</v>
      </c>
      <c r="B247" s="133" t="s">
        <v>3718</v>
      </c>
      <c r="C247" s="133" t="s">
        <v>3714</v>
      </c>
      <c r="D247" s="133" t="s">
        <v>484</v>
      </c>
      <c r="E247" s="158">
        <v>4</v>
      </c>
      <c r="F247" s="158">
        <v>10</v>
      </c>
      <c r="G247" s="158">
        <v>0</v>
      </c>
      <c r="H247" s="133" t="s">
        <v>479</v>
      </c>
      <c r="I247" s="133" t="s">
        <v>615</v>
      </c>
      <c r="J247" s="158">
        <v>0</v>
      </c>
    </row>
    <row r="248" spans="1:10" ht="15.75" customHeight="1">
      <c r="A248" s="133" t="s">
        <v>4</v>
      </c>
      <c r="B248" s="133" t="s">
        <v>3718</v>
      </c>
      <c r="C248" s="133" t="s">
        <v>5303</v>
      </c>
      <c r="D248" s="133" t="s">
        <v>477</v>
      </c>
      <c r="E248" s="158">
        <v>20</v>
      </c>
      <c r="F248" s="158">
        <v>0</v>
      </c>
      <c r="G248" s="158">
        <v>0</v>
      </c>
      <c r="H248" s="133" t="s">
        <v>5304</v>
      </c>
      <c r="I248" s="133" t="s">
        <v>596</v>
      </c>
      <c r="J248" s="158">
        <v>0</v>
      </c>
    </row>
    <row r="249" spans="1:10" ht="15.75" customHeight="1">
      <c r="A249" s="133" t="s">
        <v>4</v>
      </c>
      <c r="B249" s="133" t="s">
        <v>3721</v>
      </c>
      <c r="C249" s="133" t="s">
        <v>3723</v>
      </c>
      <c r="D249" s="133" t="s">
        <v>484</v>
      </c>
      <c r="E249" s="158">
        <v>4</v>
      </c>
      <c r="F249" s="158">
        <v>10</v>
      </c>
      <c r="G249" s="158">
        <v>0</v>
      </c>
      <c r="H249" s="133" t="s">
        <v>479</v>
      </c>
      <c r="I249" s="133" t="s">
        <v>479</v>
      </c>
      <c r="J249" s="158">
        <v>0</v>
      </c>
    </row>
    <row r="250" spans="1:10" ht="15.75" customHeight="1">
      <c r="A250" s="133" t="s">
        <v>4</v>
      </c>
      <c r="B250" s="133" t="s">
        <v>3721</v>
      </c>
      <c r="C250" s="133" t="s">
        <v>5305</v>
      </c>
      <c r="D250" s="133" t="s">
        <v>477</v>
      </c>
      <c r="E250" s="158">
        <v>20</v>
      </c>
      <c r="F250" s="158">
        <v>0</v>
      </c>
      <c r="G250" s="158">
        <v>0</v>
      </c>
      <c r="H250" s="133" t="s">
        <v>479</v>
      </c>
      <c r="I250" s="133" t="s">
        <v>479</v>
      </c>
      <c r="J250" s="158">
        <v>0</v>
      </c>
    </row>
    <row r="251" spans="1:10" ht="15.75" customHeight="1">
      <c r="A251" s="133" t="s">
        <v>4</v>
      </c>
      <c r="B251" s="133" t="s">
        <v>3721</v>
      </c>
      <c r="C251" s="133" t="s">
        <v>5145</v>
      </c>
      <c r="D251" s="133" t="s">
        <v>4440</v>
      </c>
      <c r="E251" s="158">
        <v>3</v>
      </c>
      <c r="F251" s="158">
        <v>8</v>
      </c>
      <c r="G251" s="158">
        <v>0</v>
      </c>
      <c r="H251" s="133" t="s">
        <v>479</v>
      </c>
      <c r="I251" s="133" t="s">
        <v>479</v>
      </c>
      <c r="J251" s="158">
        <v>0</v>
      </c>
    </row>
    <row r="252" spans="1:10" ht="15.75" customHeight="1">
      <c r="A252" s="133" t="s">
        <v>4</v>
      </c>
      <c r="B252" s="133" t="s">
        <v>3721</v>
      </c>
      <c r="C252" s="133" t="s">
        <v>523</v>
      </c>
      <c r="D252" s="133" t="s">
        <v>477</v>
      </c>
      <c r="E252" s="158">
        <v>8</v>
      </c>
      <c r="F252" s="158">
        <v>0</v>
      </c>
      <c r="G252" s="158">
        <v>0</v>
      </c>
      <c r="H252" s="133" t="s">
        <v>834</v>
      </c>
      <c r="I252" s="133" t="s">
        <v>548</v>
      </c>
      <c r="J252" s="158">
        <v>0</v>
      </c>
    </row>
    <row r="253" spans="1:10" ht="15.75" customHeight="1">
      <c r="A253" s="133" t="s">
        <v>4</v>
      </c>
      <c r="B253" s="133" t="s">
        <v>3721</v>
      </c>
      <c r="C253" s="133" t="s">
        <v>669</v>
      </c>
      <c r="D253" s="133" t="s">
        <v>496</v>
      </c>
      <c r="E253" s="158">
        <v>4</v>
      </c>
      <c r="F253" s="158">
        <v>16</v>
      </c>
      <c r="G253" s="158">
        <v>0</v>
      </c>
      <c r="H253" s="133" t="s">
        <v>835</v>
      </c>
      <c r="I253" s="133" t="s">
        <v>548</v>
      </c>
      <c r="J253" s="158">
        <v>0</v>
      </c>
    </row>
    <row r="254" spans="1:10" ht="15.75" customHeight="1">
      <c r="A254" s="133" t="s">
        <v>4</v>
      </c>
      <c r="B254" s="133" t="s">
        <v>3721</v>
      </c>
      <c r="C254" s="133" t="s">
        <v>670</v>
      </c>
      <c r="D254" s="133" t="s">
        <v>477</v>
      </c>
      <c r="E254" s="158">
        <v>8</v>
      </c>
      <c r="F254" s="158">
        <v>0</v>
      </c>
      <c r="G254" s="158">
        <v>0</v>
      </c>
      <c r="H254" s="133" t="s">
        <v>5153</v>
      </c>
      <c r="I254" s="133" t="s">
        <v>548</v>
      </c>
      <c r="J254" s="158">
        <v>0</v>
      </c>
    </row>
    <row r="255" spans="1:10" ht="15.75" customHeight="1">
      <c r="A255" s="133" t="s">
        <v>4</v>
      </c>
      <c r="B255" s="133" t="s">
        <v>3721</v>
      </c>
      <c r="C255" s="133" t="s">
        <v>215</v>
      </c>
      <c r="D255" s="133" t="s">
        <v>496</v>
      </c>
      <c r="E255" s="158">
        <v>4</v>
      </c>
      <c r="F255" s="158">
        <v>16</v>
      </c>
      <c r="G255" s="158">
        <v>0</v>
      </c>
      <c r="H255" s="133" t="s">
        <v>1982</v>
      </c>
      <c r="I255" s="133" t="s">
        <v>548</v>
      </c>
      <c r="J255" s="158">
        <v>0</v>
      </c>
    </row>
    <row r="256" spans="1:10" ht="15.75" customHeight="1">
      <c r="A256" s="133" t="s">
        <v>4</v>
      </c>
      <c r="B256" s="133" t="s">
        <v>3724</v>
      </c>
      <c r="C256" s="133" t="s">
        <v>3726</v>
      </c>
      <c r="D256" s="133" t="s">
        <v>477</v>
      </c>
      <c r="E256" s="158">
        <v>10</v>
      </c>
      <c r="F256" s="158">
        <v>0</v>
      </c>
      <c r="G256" s="158">
        <v>0</v>
      </c>
      <c r="H256" s="133" t="s">
        <v>5184</v>
      </c>
      <c r="I256" s="133" t="s">
        <v>479</v>
      </c>
      <c r="J256" s="158">
        <v>0</v>
      </c>
    </row>
    <row r="257" spans="1:10" ht="15.75" customHeight="1">
      <c r="A257" s="133" t="s">
        <v>4</v>
      </c>
      <c r="B257" s="133" t="s">
        <v>3724</v>
      </c>
      <c r="C257" s="133" t="s">
        <v>5306</v>
      </c>
      <c r="D257" s="133" t="s">
        <v>477</v>
      </c>
      <c r="E257" s="158">
        <v>100</v>
      </c>
      <c r="F257" s="158">
        <v>0</v>
      </c>
      <c r="G257" s="158">
        <v>0</v>
      </c>
      <c r="H257" s="133" t="s">
        <v>5307</v>
      </c>
      <c r="I257" s="133" t="s">
        <v>548</v>
      </c>
      <c r="J257" s="158">
        <v>0</v>
      </c>
    </row>
    <row r="258" spans="1:10" ht="15.75" customHeight="1">
      <c r="A258" s="133" t="s">
        <v>4</v>
      </c>
      <c r="B258" s="133" t="s">
        <v>3724</v>
      </c>
      <c r="C258" s="133" t="s">
        <v>4580</v>
      </c>
      <c r="D258" s="133" t="s">
        <v>477</v>
      </c>
      <c r="E258" s="158">
        <v>100</v>
      </c>
      <c r="F258" s="158">
        <v>0</v>
      </c>
      <c r="G258" s="158">
        <v>0</v>
      </c>
      <c r="H258" s="133" t="s">
        <v>2310</v>
      </c>
      <c r="I258" s="133" t="s">
        <v>548</v>
      </c>
      <c r="J258" s="158">
        <v>0</v>
      </c>
    </row>
    <row r="259" spans="1:10" ht="15.75" customHeight="1">
      <c r="A259" s="133" t="s">
        <v>4</v>
      </c>
      <c r="B259" s="133" t="s">
        <v>3724</v>
      </c>
      <c r="C259" s="133" t="s">
        <v>4581</v>
      </c>
      <c r="D259" s="133" t="s">
        <v>477</v>
      </c>
      <c r="E259" s="158">
        <v>20</v>
      </c>
      <c r="F259" s="158">
        <v>0</v>
      </c>
      <c r="G259" s="158">
        <v>0</v>
      </c>
      <c r="H259" s="133" t="s">
        <v>5171</v>
      </c>
      <c r="I259" s="133" t="s">
        <v>548</v>
      </c>
      <c r="J259" s="158">
        <v>0</v>
      </c>
    </row>
    <row r="260" spans="1:10" ht="15.75" customHeight="1">
      <c r="A260" s="133" t="s">
        <v>4</v>
      </c>
      <c r="B260" s="133" t="s">
        <v>3724</v>
      </c>
      <c r="C260" s="133" t="s">
        <v>5308</v>
      </c>
      <c r="D260" s="133" t="s">
        <v>477</v>
      </c>
      <c r="E260" s="158">
        <v>400</v>
      </c>
      <c r="F260" s="158">
        <v>0</v>
      </c>
      <c r="G260" s="158">
        <v>0</v>
      </c>
      <c r="H260" s="133" t="s">
        <v>5309</v>
      </c>
      <c r="I260" s="133" t="s">
        <v>548</v>
      </c>
      <c r="J260" s="158">
        <v>0</v>
      </c>
    </row>
    <row r="261" spans="1:10" ht="15.75" customHeight="1">
      <c r="A261" s="133" t="s">
        <v>4</v>
      </c>
      <c r="B261" s="133" t="s">
        <v>3724</v>
      </c>
      <c r="C261" s="133" t="s">
        <v>5310</v>
      </c>
      <c r="D261" s="133" t="s">
        <v>477</v>
      </c>
      <c r="E261" s="158">
        <v>50</v>
      </c>
      <c r="F261" s="158">
        <v>0</v>
      </c>
      <c r="G261" s="158">
        <v>0</v>
      </c>
      <c r="H261" s="133" t="s">
        <v>5311</v>
      </c>
      <c r="I261" s="133" t="s">
        <v>548</v>
      </c>
      <c r="J261" s="158">
        <v>0</v>
      </c>
    </row>
    <row r="262" spans="1:10" ht="15.75" customHeight="1">
      <c r="A262" s="133" t="s">
        <v>4</v>
      </c>
      <c r="B262" s="133" t="s">
        <v>3724</v>
      </c>
      <c r="C262" s="133" t="s">
        <v>5312</v>
      </c>
      <c r="D262" s="133" t="s">
        <v>477</v>
      </c>
      <c r="E262" s="158">
        <v>50</v>
      </c>
      <c r="F262" s="158">
        <v>0</v>
      </c>
      <c r="G262" s="158">
        <v>0</v>
      </c>
      <c r="H262" s="133" t="s">
        <v>5313</v>
      </c>
      <c r="I262" s="133" t="s">
        <v>548</v>
      </c>
      <c r="J262" s="158">
        <v>0</v>
      </c>
    </row>
    <row r="263" spans="1:10" ht="15.75" customHeight="1">
      <c r="A263" s="133" t="s">
        <v>4</v>
      </c>
      <c r="B263" s="133" t="s">
        <v>3724</v>
      </c>
      <c r="C263" s="133" t="s">
        <v>5314</v>
      </c>
      <c r="D263" s="133" t="s">
        <v>477</v>
      </c>
      <c r="E263" s="158">
        <v>50</v>
      </c>
      <c r="F263" s="158">
        <v>0</v>
      </c>
      <c r="G263" s="158">
        <v>0</v>
      </c>
      <c r="H263" s="133" t="s">
        <v>5315</v>
      </c>
      <c r="I263" s="133" t="s">
        <v>548</v>
      </c>
      <c r="J263" s="158">
        <v>0</v>
      </c>
    </row>
    <row r="264" spans="1:10" ht="15.75" customHeight="1">
      <c r="A264" s="133" t="s">
        <v>4</v>
      </c>
      <c r="B264" s="133" t="s">
        <v>3724</v>
      </c>
      <c r="C264" s="133" t="s">
        <v>5316</v>
      </c>
      <c r="D264" s="133" t="s">
        <v>477</v>
      </c>
      <c r="E264" s="158">
        <v>50</v>
      </c>
      <c r="F264" s="158">
        <v>0</v>
      </c>
      <c r="G264" s="158">
        <v>0</v>
      </c>
      <c r="H264" s="133" t="s">
        <v>5317</v>
      </c>
      <c r="I264" s="133" t="s">
        <v>548</v>
      </c>
      <c r="J264" s="158">
        <v>0</v>
      </c>
    </row>
    <row r="265" spans="1:10" ht="15.75" customHeight="1">
      <c r="A265" s="133" t="s">
        <v>4</v>
      </c>
      <c r="B265" s="133" t="s">
        <v>3724</v>
      </c>
      <c r="C265" s="133" t="s">
        <v>5318</v>
      </c>
      <c r="D265" s="133" t="s">
        <v>477</v>
      </c>
      <c r="E265" s="158">
        <v>50</v>
      </c>
      <c r="F265" s="158">
        <v>0</v>
      </c>
      <c r="G265" s="158">
        <v>0</v>
      </c>
      <c r="H265" s="133" t="s">
        <v>5319</v>
      </c>
      <c r="I265" s="133" t="s">
        <v>548</v>
      </c>
      <c r="J265" s="158">
        <v>0</v>
      </c>
    </row>
    <row r="266" spans="1:10" ht="15.75" customHeight="1">
      <c r="A266" s="133" t="s">
        <v>4</v>
      </c>
      <c r="B266" s="133" t="s">
        <v>3724</v>
      </c>
      <c r="C266" s="133" t="s">
        <v>5320</v>
      </c>
      <c r="D266" s="133" t="s">
        <v>477</v>
      </c>
      <c r="E266" s="158">
        <v>50</v>
      </c>
      <c r="F266" s="158">
        <v>0</v>
      </c>
      <c r="G266" s="158">
        <v>0</v>
      </c>
      <c r="H266" s="133" t="s">
        <v>5321</v>
      </c>
      <c r="I266" s="133" t="s">
        <v>548</v>
      </c>
      <c r="J266" s="158">
        <v>0</v>
      </c>
    </row>
    <row r="267" spans="1:10" ht="15.75" customHeight="1">
      <c r="A267" s="133" t="s">
        <v>4</v>
      </c>
      <c r="B267" s="133" t="s">
        <v>3724</v>
      </c>
      <c r="C267" s="133" t="s">
        <v>5322</v>
      </c>
      <c r="D267" s="133" t="s">
        <v>481</v>
      </c>
      <c r="E267" s="158">
        <v>9</v>
      </c>
      <c r="F267" s="158">
        <v>13</v>
      </c>
      <c r="G267" s="158">
        <v>8</v>
      </c>
      <c r="H267" s="133" t="s">
        <v>5323</v>
      </c>
      <c r="I267" s="133" t="s">
        <v>615</v>
      </c>
      <c r="J267" s="158">
        <v>0</v>
      </c>
    </row>
    <row r="268" spans="1:10" ht="15.75" customHeight="1">
      <c r="A268" s="133" t="s">
        <v>4</v>
      </c>
      <c r="B268" s="133" t="s">
        <v>3724</v>
      </c>
      <c r="C268" s="133" t="s">
        <v>5324</v>
      </c>
      <c r="D268" s="133" t="s">
        <v>481</v>
      </c>
      <c r="E268" s="158">
        <v>9</v>
      </c>
      <c r="F268" s="158">
        <v>13</v>
      </c>
      <c r="G268" s="158">
        <v>8</v>
      </c>
      <c r="H268" s="133" t="s">
        <v>5325</v>
      </c>
      <c r="I268" s="133" t="s">
        <v>615</v>
      </c>
      <c r="J268" s="158">
        <v>0</v>
      </c>
    </row>
    <row r="269" spans="1:10" ht="15.75" customHeight="1">
      <c r="A269" s="133" t="s">
        <v>4</v>
      </c>
      <c r="B269" s="133" t="s">
        <v>3724</v>
      </c>
      <c r="C269" s="133" t="s">
        <v>811</v>
      </c>
      <c r="D269" s="133" t="s">
        <v>477</v>
      </c>
      <c r="E269" s="158">
        <v>8</v>
      </c>
      <c r="F269" s="158">
        <v>0</v>
      </c>
      <c r="G269" s="158">
        <v>0</v>
      </c>
      <c r="H269" s="133" t="s">
        <v>5157</v>
      </c>
      <c r="I269" s="133" t="s">
        <v>813</v>
      </c>
      <c r="J269" s="158">
        <v>0</v>
      </c>
    </row>
    <row r="270" spans="1:10" ht="15.75" customHeight="1">
      <c r="A270" s="133" t="s">
        <v>4</v>
      </c>
      <c r="B270" s="133" t="s">
        <v>3724</v>
      </c>
      <c r="C270" s="133" t="s">
        <v>523</v>
      </c>
      <c r="D270" s="133" t="s">
        <v>477</v>
      </c>
      <c r="E270" s="158">
        <v>8</v>
      </c>
      <c r="F270" s="158">
        <v>0</v>
      </c>
      <c r="G270" s="158">
        <v>0</v>
      </c>
      <c r="H270" s="133" t="s">
        <v>834</v>
      </c>
      <c r="I270" s="133" t="s">
        <v>548</v>
      </c>
      <c r="J270" s="158">
        <v>0</v>
      </c>
    </row>
    <row r="271" spans="1:10" ht="15.75" customHeight="1">
      <c r="A271" s="133" t="s">
        <v>4</v>
      </c>
      <c r="B271" s="133" t="s">
        <v>3724</v>
      </c>
      <c r="C271" s="133" t="s">
        <v>669</v>
      </c>
      <c r="D271" s="133" t="s">
        <v>538</v>
      </c>
      <c r="E271" s="158">
        <v>8</v>
      </c>
      <c r="F271" s="158">
        <v>23</v>
      </c>
      <c r="G271" s="158">
        <v>3</v>
      </c>
      <c r="H271" s="133" t="s">
        <v>835</v>
      </c>
      <c r="I271" s="133" t="s">
        <v>548</v>
      </c>
      <c r="J271" s="158">
        <v>0</v>
      </c>
    </row>
    <row r="272" spans="1:10" ht="15.75" customHeight="1">
      <c r="A272" s="133" t="s">
        <v>4</v>
      </c>
      <c r="B272" s="133" t="s">
        <v>3724</v>
      </c>
      <c r="C272" s="133" t="s">
        <v>670</v>
      </c>
      <c r="D272" s="133" t="s">
        <v>477</v>
      </c>
      <c r="E272" s="158">
        <v>8</v>
      </c>
      <c r="F272" s="158">
        <v>0</v>
      </c>
      <c r="G272" s="158">
        <v>0</v>
      </c>
      <c r="H272" s="133" t="s">
        <v>5153</v>
      </c>
      <c r="I272" s="133" t="s">
        <v>548</v>
      </c>
      <c r="J272" s="158">
        <v>0</v>
      </c>
    </row>
    <row r="273" spans="1:10" ht="15.75" customHeight="1">
      <c r="A273" s="133" t="s">
        <v>4</v>
      </c>
      <c r="B273" s="133" t="s">
        <v>3724</v>
      </c>
      <c r="C273" s="133" t="s">
        <v>215</v>
      </c>
      <c r="D273" s="133" t="s">
        <v>538</v>
      </c>
      <c r="E273" s="158">
        <v>8</v>
      </c>
      <c r="F273" s="158">
        <v>23</v>
      </c>
      <c r="G273" s="158">
        <v>3</v>
      </c>
      <c r="H273" s="133" t="s">
        <v>1982</v>
      </c>
      <c r="I273" s="133" t="s">
        <v>548</v>
      </c>
      <c r="J273" s="158">
        <v>0</v>
      </c>
    </row>
    <row r="274" spans="1:10" ht="15.75" customHeight="1">
      <c r="A274" s="133" t="s">
        <v>4</v>
      </c>
      <c r="B274" s="133" t="s">
        <v>3724</v>
      </c>
      <c r="C274" s="133" t="s">
        <v>5326</v>
      </c>
      <c r="D274" s="133" t="s">
        <v>477</v>
      </c>
      <c r="E274" s="158">
        <v>20</v>
      </c>
      <c r="F274" s="158">
        <v>0</v>
      </c>
      <c r="G274" s="158">
        <v>0</v>
      </c>
      <c r="H274" s="133" t="s">
        <v>479</v>
      </c>
      <c r="I274" s="133" t="s">
        <v>548</v>
      </c>
      <c r="J274" s="158">
        <v>0</v>
      </c>
    </row>
    <row r="275" spans="1:10" ht="15.75" customHeight="1">
      <c r="A275" s="133" t="s">
        <v>4</v>
      </c>
      <c r="B275" s="133" t="s">
        <v>3724</v>
      </c>
      <c r="C275" s="133" t="s">
        <v>5327</v>
      </c>
      <c r="D275" s="133" t="s">
        <v>477</v>
      </c>
      <c r="E275" s="158">
        <v>50</v>
      </c>
      <c r="F275" s="158">
        <v>0</v>
      </c>
      <c r="G275" s="158">
        <v>0</v>
      </c>
      <c r="H275" s="133" t="s">
        <v>5328</v>
      </c>
      <c r="I275" s="133" t="s">
        <v>548</v>
      </c>
      <c r="J275" s="158">
        <v>0</v>
      </c>
    </row>
    <row r="276" spans="1:10" ht="15.75" customHeight="1">
      <c r="A276" s="133" t="s">
        <v>4</v>
      </c>
      <c r="B276" s="133" t="s">
        <v>3727</v>
      </c>
      <c r="C276" s="133" t="s">
        <v>3728</v>
      </c>
      <c r="D276" s="133" t="s">
        <v>484</v>
      </c>
      <c r="E276" s="158">
        <v>4</v>
      </c>
      <c r="F276" s="158">
        <v>10</v>
      </c>
      <c r="G276" s="158">
        <v>0</v>
      </c>
      <c r="H276" s="133" t="s">
        <v>479</v>
      </c>
      <c r="I276" s="133" t="s">
        <v>479</v>
      </c>
      <c r="J276" s="158">
        <v>0</v>
      </c>
    </row>
    <row r="277" spans="1:10" ht="15.75" customHeight="1">
      <c r="A277" s="133" t="s">
        <v>4</v>
      </c>
      <c r="B277" s="133" t="s">
        <v>3727</v>
      </c>
      <c r="C277" s="133" t="s">
        <v>5329</v>
      </c>
      <c r="D277" s="133" t="s">
        <v>477</v>
      </c>
      <c r="E277" s="158">
        <v>20</v>
      </c>
      <c r="F277" s="158">
        <v>0</v>
      </c>
      <c r="G277" s="158">
        <v>0</v>
      </c>
      <c r="H277" s="133" t="s">
        <v>479</v>
      </c>
      <c r="I277" s="133" t="s">
        <v>479</v>
      </c>
      <c r="J277" s="158">
        <v>0</v>
      </c>
    </row>
    <row r="278" spans="1:10" ht="15.75" customHeight="1">
      <c r="A278" s="133" t="s">
        <v>4</v>
      </c>
      <c r="B278" s="133" t="s">
        <v>3727</v>
      </c>
      <c r="C278" s="133" t="s">
        <v>523</v>
      </c>
      <c r="D278" s="133" t="s">
        <v>477</v>
      </c>
      <c r="E278" s="158">
        <v>20</v>
      </c>
      <c r="F278" s="158">
        <v>0</v>
      </c>
      <c r="G278" s="158">
        <v>0</v>
      </c>
      <c r="H278" s="133" t="s">
        <v>479</v>
      </c>
      <c r="I278" s="133" t="s">
        <v>479</v>
      </c>
      <c r="J278" s="158">
        <v>0</v>
      </c>
    </row>
    <row r="279" spans="1:10" ht="15.75" customHeight="1">
      <c r="A279" s="133" t="s">
        <v>4</v>
      </c>
      <c r="B279" s="133" t="s">
        <v>3727</v>
      </c>
      <c r="C279" s="133" t="s">
        <v>814</v>
      </c>
      <c r="D279" s="133" t="s">
        <v>477</v>
      </c>
      <c r="E279" s="158">
        <v>100</v>
      </c>
      <c r="F279" s="158">
        <v>0</v>
      </c>
      <c r="G279" s="158">
        <v>0</v>
      </c>
      <c r="H279" s="133" t="s">
        <v>479</v>
      </c>
      <c r="I279" s="133" t="s">
        <v>479</v>
      </c>
      <c r="J279" s="158">
        <v>0</v>
      </c>
    </row>
    <row r="280" spans="1:10" ht="15.75" customHeight="1">
      <c r="A280" s="133" t="s">
        <v>4</v>
      </c>
      <c r="B280" s="133" t="s">
        <v>3727</v>
      </c>
      <c r="C280" s="133" t="s">
        <v>669</v>
      </c>
      <c r="D280" s="133" t="s">
        <v>538</v>
      </c>
      <c r="E280" s="158">
        <v>8</v>
      </c>
      <c r="F280" s="158">
        <v>23</v>
      </c>
      <c r="G280" s="158">
        <v>3</v>
      </c>
      <c r="H280" s="133" t="s">
        <v>479</v>
      </c>
      <c r="I280" s="133" t="s">
        <v>479</v>
      </c>
      <c r="J280" s="158">
        <v>0</v>
      </c>
    </row>
    <row r="281" spans="1:10" ht="15.75" customHeight="1">
      <c r="A281" s="133" t="s">
        <v>4</v>
      </c>
      <c r="B281" s="133" t="s">
        <v>3727</v>
      </c>
      <c r="C281" s="133" t="s">
        <v>670</v>
      </c>
      <c r="D281" s="133" t="s">
        <v>477</v>
      </c>
      <c r="E281" s="158">
        <v>20</v>
      </c>
      <c r="F281" s="158">
        <v>0</v>
      </c>
      <c r="G281" s="158">
        <v>0</v>
      </c>
      <c r="H281" s="133" t="s">
        <v>479</v>
      </c>
      <c r="I281" s="133" t="s">
        <v>479</v>
      </c>
      <c r="J281" s="158">
        <v>0</v>
      </c>
    </row>
    <row r="282" spans="1:10" ht="15.75" customHeight="1">
      <c r="A282" s="133" t="s">
        <v>4</v>
      </c>
      <c r="B282" s="133" t="s">
        <v>3727</v>
      </c>
      <c r="C282" s="133" t="s">
        <v>816</v>
      </c>
      <c r="D282" s="133" t="s">
        <v>477</v>
      </c>
      <c r="E282" s="158">
        <v>100</v>
      </c>
      <c r="F282" s="158">
        <v>0</v>
      </c>
      <c r="G282" s="158">
        <v>0</v>
      </c>
      <c r="H282" s="133" t="s">
        <v>479</v>
      </c>
      <c r="I282" s="133" t="s">
        <v>479</v>
      </c>
      <c r="J282" s="158">
        <v>0</v>
      </c>
    </row>
    <row r="283" spans="1:10" ht="15.75" customHeight="1">
      <c r="A283" s="133" t="s">
        <v>4</v>
      </c>
      <c r="B283" s="133" t="s">
        <v>3727</v>
      </c>
      <c r="C283" s="133" t="s">
        <v>215</v>
      </c>
      <c r="D283" s="133" t="s">
        <v>538</v>
      </c>
      <c r="E283" s="158">
        <v>8</v>
      </c>
      <c r="F283" s="158">
        <v>23</v>
      </c>
      <c r="G283" s="158">
        <v>3</v>
      </c>
      <c r="H283" s="133" t="s">
        <v>479</v>
      </c>
      <c r="I283" s="133" t="s">
        <v>479</v>
      </c>
      <c r="J283" s="158">
        <v>0</v>
      </c>
    </row>
    <row r="284" spans="1:10" ht="15.75" customHeight="1">
      <c r="A284" s="133" t="s">
        <v>4</v>
      </c>
      <c r="B284" s="133" t="s">
        <v>3727</v>
      </c>
      <c r="C284" s="133" t="s">
        <v>1813</v>
      </c>
      <c r="D284" s="133" t="s">
        <v>477</v>
      </c>
      <c r="E284" s="158">
        <v>20</v>
      </c>
      <c r="F284" s="158">
        <v>0</v>
      </c>
      <c r="G284" s="158">
        <v>0</v>
      </c>
      <c r="H284" s="133" t="s">
        <v>5330</v>
      </c>
      <c r="I284" s="133" t="s">
        <v>596</v>
      </c>
      <c r="J284" s="158">
        <v>0</v>
      </c>
    </row>
    <row r="285" spans="1:10" ht="15.75" customHeight="1">
      <c r="A285" s="133" t="s">
        <v>4</v>
      </c>
      <c r="B285" s="133" t="s">
        <v>3729</v>
      </c>
      <c r="C285" s="133" t="s">
        <v>3731</v>
      </c>
      <c r="D285" s="133" t="s">
        <v>477</v>
      </c>
      <c r="E285" s="158">
        <v>10</v>
      </c>
      <c r="F285" s="158">
        <v>0</v>
      </c>
      <c r="G285" s="158">
        <v>0</v>
      </c>
      <c r="H285" s="133" t="s">
        <v>5191</v>
      </c>
      <c r="I285" s="133" t="s">
        <v>479</v>
      </c>
      <c r="J285" s="158">
        <v>0</v>
      </c>
    </row>
    <row r="286" spans="1:10" ht="15.75" customHeight="1">
      <c r="A286" s="133" t="s">
        <v>4</v>
      </c>
      <c r="B286" s="133" t="s">
        <v>3729</v>
      </c>
      <c r="C286" s="133" t="s">
        <v>5331</v>
      </c>
      <c r="D286" s="133" t="s">
        <v>477</v>
      </c>
      <c r="E286" s="158">
        <v>50</v>
      </c>
      <c r="F286" s="158">
        <v>0</v>
      </c>
      <c r="G286" s="158">
        <v>0</v>
      </c>
      <c r="H286" s="133" t="s">
        <v>5332</v>
      </c>
      <c r="I286" s="133" t="s">
        <v>548</v>
      </c>
      <c r="J286" s="158">
        <v>0</v>
      </c>
    </row>
    <row r="287" spans="1:10" ht="15.75" customHeight="1">
      <c r="A287" s="133" t="s">
        <v>4</v>
      </c>
      <c r="B287" s="133" t="s">
        <v>3729</v>
      </c>
      <c r="C287" s="133" t="s">
        <v>5333</v>
      </c>
      <c r="D287" s="133" t="s">
        <v>477</v>
      </c>
      <c r="E287" s="158">
        <v>3</v>
      </c>
      <c r="F287" s="158">
        <v>0</v>
      </c>
      <c r="G287" s="158">
        <v>0</v>
      </c>
      <c r="H287" s="133" t="s">
        <v>5334</v>
      </c>
      <c r="I287" s="133" t="s">
        <v>596</v>
      </c>
      <c r="J287" s="158">
        <v>0</v>
      </c>
    </row>
    <row r="288" spans="1:10" ht="15.75" customHeight="1">
      <c r="A288" s="133" t="s">
        <v>4</v>
      </c>
      <c r="B288" s="133" t="s">
        <v>3729</v>
      </c>
      <c r="C288" s="133" t="s">
        <v>811</v>
      </c>
      <c r="D288" s="133" t="s">
        <v>477</v>
      </c>
      <c r="E288" s="158">
        <v>8</v>
      </c>
      <c r="F288" s="158">
        <v>0</v>
      </c>
      <c r="G288" s="158">
        <v>0</v>
      </c>
      <c r="H288" s="133" t="s">
        <v>5157</v>
      </c>
      <c r="I288" s="133" t="s">
        <v>813</v>
      </c>
      <c r="J288" s="158">
        <v>0</v>
      </c>
    </row>
    <row r="289" spans="1:10" ht="15.75" customHeight="1">
      <c r="A289" s="133" t="s">
        <v>4</v>
      </c>
      <c r="B289" s="133" t="s">
        <v>3729</v>
      </c>
      <c r="C289" s="133" t="s">
        <v>523</v>
      </c>
      <c r="D289" s="133" t="s">
        <v>477</v>
      </c>
      <c r="E289" s="158">
        <v>36</v>
      </c>
      <c r="F289" s="158">
        <v>0</v>
      </c>
      <c r="G289" s="158">
        <v>0</v>
      </c>
      <c r="H289" s="133" t="s">
        <v>5198</v>
      </c>
      <c r="I289" s="133" t="s">
        <v>548</v>
      </c>
      <c r="J289" s="158">
        <v>0</v>
      </c>
    </row>
    <row r="290" spans="1:10" ht="15.75" customHeight="1">
      <c r="A290" s="133" t="s">
        <v>4</v>
      </c>
      <c r="B290" s="133" t="s">
        <v>3729</v>
      </c>
      <c r="C290" s="133" t="s">
        <v>669</v>
      </c>
      <c r="D290" s="133" t="s">
        <v>496</v>
      </c>
      <c r="E290" s="158">
        <v>4</v>
      </c>
      <c r="F290" s="158">
        <v>16</v>
      </c>
      <c r="G290" s="158">
        <v>0</v>
      </c>
      <c r="H290" s="133" t="s">
        <v>835</v>
      </c>
      <c r="I290" s="133" t="s">
        <v>548</v>
      </c>
      <c r="J290" s="158">
        <v>0</v>
      </c>
    </row>
    <row r="291" spans="1:10" ht="15.75" customHeight="1">
      <c r="A291" s="133" t="s">
        <v>4</v>
      </c>
      <c r="B291" s="133" t="s">
        <v>3729</v>
      </c>
      <c r="C291" s="133" t="s">
        <v>670</v>
      </c>
      <c r="D291" s="133" t="s">
        <v>477</v>
      </c>
      <c r="E291" s="158">
        <v>36</v>
      </c>
      <c r="F291" s="158">
        <v>0</v>
      </c>
      <c r="G291" s="158">
        <v>0</v>
      </c>
      <c r="H291" s="133" t="s">
        <v>5199</v>
      </c>
      <c r="I291" s="133" t="s">
        <v>548</v>
      </c>
      <c r="J291" s="158">
        <v>0</v>
      </c>
    </row>
    <row r="292" spans="1:10" ht="15.75" customHeight="1">
      <c r="A292" s="133" t="s">
        <v>4</v>
      </c>
      <c r="B292" s="133" t="s">
        <v>3729</v>
      </c>
      <c r="C292" s="133" t="s">
        <v>215</v>
      </c>
      <c r="D292" s="133" t="s">
        <v>496</v>
      </c>
      <c r="E292" s="158">
        <v>4</v>
      </c>
      <c r="F292" s="158">
        <v>16</v>
      </c>
      <c r="G292" s="158">
        <v>0</v>
      </c>
      <c r="H292" s="133" t="s">
        <v>1982</v>
      </c>
      <c r="I292" s="133" t="s">
        <v>548</v>
      </c>
      <c r="J292" s="158">
        <v>0</v>
      </c>
    </row>
    <row r="293" spans="1:10" ht="15.75" customHeight="1">
      <c r="A293" s="133" t="s">
        <v>4</v>
      </c>
      <c r="B293" s="133" t="s">
        <v>3732</v>
      </c>
      <c r="C293" s="133" t="s">
        <v>3733</v>
      </c>
      <c r="D293" s="133" t="s">
        <v>477</v>
      </c>
      <c r="E293" s="158">
        <v>10</v>
      </c>
      <c r="F293" s="158">
        <v>0</v>
      </c>
      <c r="G293" s="158">
        <v>0</v>
      </c>
      <c r="H293" s="133" t="s">
        <v>5335</v>
      </c>
      <c r="I293" s="133" t="s">
        <v>479</v>
      </c>
      <c r="J293" s="158">
        <v>0</v>
      </c>
    </row>
    <row r="294" spans="1:10" ht="15.75" customHeight="1">
      <c r="A294" s="133" t="s">
        <v>4</v>
      </c>
      <c r="B294" s="133" t="s">
        <v>3732</v>
      </c>
      <c r="C294" s="133" t="s">
        <v>5336</v>
      </c>
      <c r="D294" s="133" t="s">
        <v>477</v>
      </c>
      <c r="E294" s="158">
        <v>100</v>
      </c>
      <c r="F294" s="158">
        <v>0</v>
      </c>
      <c r="G294" s="158">
        <v>0</v>
      </c>
      <c r="H294" s="133" t="s">
        <v>5337</v>
      </c>
      <c r="I294" s="133" t="s">
        <v>548</v>
      </c>
      <c r="J294" s="158">
        <v>0</v>
      </c>
    </row>
    <row r="295" spans="1:10" ht="15.75" customHeight="1">
      <c r="A295" s="133" t="s">
        <v>4</v>
      </c>
      <c r="B295" s="133" t="s">
        <v>3732</v>
      </c>
      <c r="C295" s="133" t="s">
        <v>5338</v>
      </c>
      <c r="D295" s="133" t="s">
        <v>477</v>
      </c>
      <c r="E295" s="158">
        <v>50</v>
      </c>
      <c r="F295" s="158">
        <v>0</v>
      </c>
      <c r="G295" s="158">
        <v>0</v>
      </c>
      <c r="H295" s="133" t="s">
        <v>5339</v>
      </c>
      <c r="I295" s="133" t="s">
        <v>548</v>
      </c>
      <c r="J295" s="158">
        <v>0</v>
      </c>
    </row>
    <row r="296" spans="1:10" ht="15.75" customHeight="1">
      <c r="A296" s="133" t="s">
        <v>4</v>
      </c>
      <c r="B296" s="133" t="s">
        <v>3732</v>
      </c>
      <c r="C296" s="133" t="s">
        <v>4580</v>
      </c>
      <c r="D296" s="133" t="s">
        <v>477</v>
      </c>
      <c r="E296" s="158">
        <v>100</v>
      </c>
      <c r="F296" s="158">
        <v>0</v>
      </c>
      <c r="G296" s="158">
        <v>0</v>
      </c>
      <c r="H296" s="133" t="s">
        <v>2310</v>
      </c>
      <c r="I296" s="133" t="s">
        <v>548</v>
      </c>
      <c r="J296" s="158">
        <v>0</v>
      </c>
    </row>
    <row r="297" spans="1:10" ht="15.75" customHeight="1">
      <c r="A297" s="133" t="s">
        <v>4</v>
      </c>
      <c r="B297" s="133" t="s">
        <v>3732</v>
      </c>
      <c r="C297" s="133" t="s">
        <v>4581</v>
      </c>
      <c r="D297" s="133" t="s">
        <v>477</v>
      </c>
      <c r="E297" s="158">
        <v>20</v>
      </c>
      <c r="F297" s="158">
        <v>0</v>
      </c>
      <c r="G297" s="158">
        <v>0</v>
      </c>
      <c r="H297" s="133" t="s">
        <v>5171</v>
      </c>
      <c r="I297" s="133" t="s">
        <v>548</v>
      </c>
      <c r="J297" s="158">
        <v>0</v>
      </c>
    </row>
    <row r="298" spans="1:10" ht="15.75" customHeight="1">
      <c r="A298" s="133" t="s">
        <v>4</v>
      </c>
      <c r="B298" s="133" t="s">
        <v>3732</v>
      </c>
      <c r="C298" s="133" t="s">
        <v>5205</v>
      </c>
      <c r="D298" s="133" t="s">
        <v>477</v>
      </c>
      <c r="E298" s="158">
        <v>400</v>
      </c>
      <c r="F298" s="158">
        <v>0</v>
      </c>
      <c r="G298" s="158">
        <v>0</v>
      </c>
      <c r="H298" s="133" t="s">
        <v>5340</v>
      </c>
      <c r="I298" s="133" t="s">
        <v>548</v>
      </c>
      <c r="J298" s="158">
        <v>0</v>
      </c>
    </row>
    <row r="299" spans="1:10" ht="15.75" customHeight="1">
      <c r="A299" s="133" t="s">
        <v>4</v>
      </c>
      <c r="B299" s="133" t="s">
        <v>3732</v>
      </c>
      <c r="C299" s="133" t="s">
        <v>1815</v>
      </c>
      <c r="D299" s="133" t="s">
        <v>477</v>
      </c>
      <c r="E299" s="158">
        <v>50</v>
      </c>
      <c r="F299" s="158">
        <v>0</v>
      </c>
      <c r="G299" s="158">
        <v>0</v>
      </c>
      <c r="H299" s="133" t="s">
        <v>1687</v>
      </c>
      <c r="I299" s="133" t="s">
        <v>548</v>
      </c>
      <c r="J299" s="158">
        <v>0</v>
      </c>
    </row>
    <row r="300" spans="1:10" ht="15.75" customHeight="1">
      <c r="A300" s="133" t="s">
        <v>4</v>
      </c>
      <c r="B300" s="133" t="s">
        <v>3732</v>
      </c>
      <c r="C300" s="133" t="s">
        <v>1816</v>
      </c>
      <c r="D300" s="133" t="s">
        <v>477</v>
      </c>
      <c r="E300" s="158">
        <v>50</v>
      </c>
      <c r="F300" s="158">
        <v>0</v>
      </c>
      <c r="G300" s="158">
        <v>0</v>
      </c>
      <c r="H300" s="133" t="s">
        <v>1689</v>
      </c>
      <c r="I300" s="133" t="s">
        <v>548</v>
      </c>
      <c r="J300" s="158">
        <v>0</v>
      </c>
    </row>
    <row r="301" spans="1:10" ht="15.75" customHeight="1">
      <c r="A301" s="133" t="s">
        <v>4</v>
      </c>
      <c r="B301" s="133" t="s">
        <v>3732</v>
      </c>
      <c r="C301" s="133" t="s">
        <v>5162</v>
      </c>
      <c r="D301" s="133" t="s">
        <v>477</v>
      </c>
      <c r="E301" s="158">
        <v>50</v>
      </c>
      <c r="F301" s="158">
        <v>0</v>
      </c>
      <c r="G301" s="158">
        <v>0</v>
      </c>
      <c r="H301" s="133" t="s">
        <v>2303</v>
      </c>
      <c r="I301" s="133" t="s">
        <v>548</v>
      </c>
      <c r="J301" s="158">
        <v>0</v>
      </c>
    </row>
    <row r="302" spans="1:10" ht="15.75" customHeight="1">
      <c r="A302" s="133" t="s">
        <v>4</v>
      </c>
      <c r="B302" s="133" t="s">
        <v>3732</v>
      </c>
      <c r="C302" s="133" t="s">
        <v>1585</v>
      </c>
      <c r="D302" s="133" t="s">
        <v>477</v>
      </c>
      <c r="E302" s="158">
        <v>50</v>
      </c>
      <c r="F302" s="158">
        <v>0</v>
      </c>
      <c r="G302" s="158">
        <v>0</v>
      </c>
      <c r="H302" s="133" t="s">
        <v>2305</v>
      </c>
      <c r="I302" s="133" t="s">
        <v>548</v>
      </c>
      <c r="J302" s="158">
        <v>0</v>
      </c>
    </row>
    <row r="303" spans="1:10" ht="15.75" customHeight="1">
      <c r="A303" s="133" t="s">
        <v>4</v>
      </c>
      <c r="B303" s="133" t="s">
        <v>3732</v>
      </c>
      <c r="C303" s="133" t="s">
        <v>1804</v>
      </c>
      <c r="D303" s="133" t="s">
        <v>477</v>
      </c>
      <c r="E303" s="158">
        <v>50</v>
      </c>
      <c r="F303" s="158">
        <v>0</v>
      </c>
      <c r="G303" s="158">
        <v>0</v>
      </c>
      <c r="H303" s="133" t="s">
        <v>2307</v>
      </c>
      <c r="I303" s="133" t="s">
        <v>548</v>
      </c>
      <c r="J303" s="158">
        <v>0</v>
      </c>
    </row>
    <row r="304" spans="1:10" ht="15.75" customHeight="1">
      <c r="A304" s="133" t="s">
        <v>4</v>
      </c>
      <c r="B304" s="133" t="s">
        <v>3732</v>
      </c>
      <c r="C304" s="133" t="s">
        <v>1588</v>
      </c>
      <c r="D304" s="133" t="s">
        <v>477</v>
      </c>
      <c r="E304" s="158">
        <v>50</v>
      </c>
      <c r="F304" s="158">
        <v>0</v>
      </c>
      <c r="G304" s="158">
        <v>0</v>
      </c>
      <c r="H304" s="133" t="s">
        <v>934</v>
      </c>
      <c r="I304" s="133" t="s">
        <v>548</v>
      </c>
      <c r="J304" s="158">
        <v>0</v>
      </c>
    </row>
    <row r="305" spans="1:10" ht="15.75" customHeight="1">
      <c r="A305" s="133" t="s">
        <v>4</v>
      </c>
      <c r="B305" s="133" t="s">
        <v>3732</v>
      </c>
      <c r="C305" s="133" t="s">
        <v>1611</v>
      </c>
      <c r="D305" s="133" t="s">
        <v>477</v>
      </c>
      <c r="E305" s="158">
        <v>20</v>
      </c>
      <c r="F305" s="158">
        <v>0</v>
      </c>
      <c r="G305" s="158">
        <v>0</v>
      </c>
      <c r="H305" s="133" t="s">
        <v>5341</v>
      </c>
      <c r="I305" s="133" t="s">
        <v>548</v>
      </c>
      <c r="J305" s="158">
        <v>0</v>
      </c>
    </row>
    <row r="306" spans="1:10" ht="15.75" customHeight="1">
      <c r="A306" s="133" t="s">
        <v>4</v>
      </c>
      <c r="B306" s="133" t="s">
        <v>3732</v>
      </c>
      <c r="C306" s="133" t="s">
        <v>5342</v>
      </c>
      <c r="D306" s="133" t="s">
        <v>477</v>
      </c>
      <c r="E306" s="158">
        <v>200</v>
      </c>
      <c r="F306" s="158">
        <v>0</v>
      </c>
      <c r="G306" s="158">
        <v>0</v>
      </c>
      <c r="H306" s="133" t="s">
        <v>5343</v>
      </c>
      <c r="I306" s="133" t="s">
        <v>548</v>
      </c>
      <c r="J306" s="158">
        <v>0</v>
      </c>
    </row>
    <row r="307" spans="1:10" ht="15.75" customHeight="1">
      <c r="A307" s="133" t="s">
        <v>4</v>
      </c>
      <c r="B307" s="133" t="s">
        <v>3732</v>
      </c>
      <c r="C307" s="133" t="s">
        <v>811</v>
      </c>
      <c r="D307" s="133" t="s">
        <v>477</v>
      </c>
      <c r="E307" s="158">
        <v>8</v>
      </c>
      <c r="F307" s="158">
        <v>0</v>
      </c>
      <c r="G307" s="158">
        <v>0</v>
      </c>
      <c r="H307" s="133" t="s">
        <v>5157</v>
      </c>
      <c r="I307" s="133" t="s">
        <v>813</v>
      </c>
      <c r="J307" s="158">
        <v>0</v>
      </c>
    </row>
    <row r="308" spans="1:10" ht="15.75" customHeight="1">
      <c r="A308" s="133" t="s">
        <v>4</v>
      </c>
      <c r="B308" s="133" t="s">
        <v>3732</v>
      </c>
      <c r="C308" s="133" t="s">
        <v>523</v>
      </c>
      <c r="D308" s="133" t="s">
        <v>477</v>
      </c>
      <c r="E308" s="158">
        <v>8</v>
      </c>
      <c r="F308" s="158">
        <v>0</v>
      </c>
      <c r="G308" s="158">
        <v>0</v>
      </c>
      <c r="H308" s="133" t="s">
        <v>834</v>
      </c>
      <c r="I308" s="133" t="s">
        <v>548</v>
      </c>
      <c r="J308" s="158">
        <v>0</v>
      </c>
    </row>
    <row r="309" spans="1:10" ht="15.75" customHeight="1">
      <c r="A309" s="133" t="s">
        <v>4</v>
      </c>
      <c r="B309" s="133" t="s">
        <v>3732</v>
      </c>
      <c r="C309" s="133" t="s">
        <v>669</v>
      </c>
      <c r="D309" s="133" t="s">
        <v>496</v>
      </c>
      <c r="E309" s="158">
        <v>4</v>
      </c>
      <c r="F309" s="158">
        <v>16</v>
      </c>
      <c r="G309" s="158">
        <v>0</v>
      </c>
      <c r="H309" s="133" t="s">
        <v>835</v>
      </c>
      <c r="I309" s="133" t="s">
        <v>548</v>
      </c>
      <c r="J309" s="158">
        <v>0</v>
      </c>
    </row>
    <row r="310" spans="1:10" ht="15.75" customHeight="1">
      <c r="A310" s="133" t="s">
        <v>4</v>
      </c>
      <c r="B310" s="133" t="s">
        <v>3732</v>
      </c>
      <c r="C310" s="133" t="s">
        <v>670</v>
      </c>
      <c r="D310" s="133" t="s">
        <v>477</v>
      </c>
      <c r="E310" s="158">
        <v>8</v>
      </c>
      <c r="F310" s="158">
        <v>0</v>
      </c>
      <c r="G310" s="158">
        <v>0</v>
      </c>
      <c r="H310" s="133" t="s">
        <v>5153</v>
      </c>
      <c r="I310" s="133" t="s">
        <v>548</v>
      </c>
      <c r="J310" s="158">
        <v>0</v>
      </c>
    </row>
    <row r="311" spans="1:10" ht="15.75" customHeight="1">
      <c r="A311" s="133" t="s">
        <v>4</v>
      </c>
      <c r="B311" s="133" t="s">
        <v>3732</v>
      </c>
      <c r="C311" s="133" t="s">
        <v>215</v>
      </c>
      <c r="D311" s="133" t="s">
        <v>496</v>
      </c>
      <c r="E311" s="158">
        <v>4</v>
      </c>
      <c r="F311" s="158">
        <v>16</v>
      </c>
      <c r="G311" s="158">
        <v>0</v>
      </c>
      <c r="H311" s="133" t="s">
        <v>1982</v>
      </c>
      <c r="I311" s="133" t="s">
        <v>548</v>
      </c>
      <c r="J311" s="158">
        <v>0</v>
      </c>
    </row>
    <row r="312" spans="1:10" ht="15.75" customHeight="1">
      <c r="A312" s="133" t="s">
        <v>4</v>
      </c>
      <c r="B312" s="133" t="s">
        <v>3732</v>
      </c>
      <c r="C312" s="133" t="s">
        <v>5344</v>
      </c>
      <c r="D312" s="133" t="s">
        <v>477</v>
      </c>
      <c r="E312" s="158">
        <v>-1</v>
      </c>
      <c r="F312" s="158">
        <v>0</v>
      </c>
      <c r="G312" s="158">
        <v>0</v>
      </c>
      <c r="H312" s="133" t="s">
        <v>5345</v>
      </c>
      <c r="I312" s="133" t="s">
        <v>548</v>
      </c>
      <c r="J312" s="158">
        <v>0</v>
      </c>
    </row>
    <row r="313" spans="1:10" ht="15.75" customHeight="1">
      <c r="A313" s="133" t="s">
        <v>4</v>
      </c>
      <c r="B313" s="133" t="s">
        <v>3732</v>
      </c>
      <c r="C313" s="133" t="s">
        <v>5346</v>
      </c>
      <c r="D313" s="133" t="s">
        <v>477</v>
      </c>
      <c r="E313" s="158">
        <v>3</v>
      </c>
      <c r="F313" s="158">
        <v>0</v>
      </c>
      <c r="G313" s="158">
        <v>0</v>
      </c>
      <c r="H313" s="133" t="s">
        <v>5347</v>
      </c>
      <c r="I313" s="133" t="s">
        <v>479</v>
      </c>
      <c r="J313" s="158">
        <v>1</v>
      </c>
    </row>
    <row r="314" spans="1:10" ht="15.75" customHeight="1">
      <c r="A314" s="133" t="s">
        <v>4</v>
      </c>
      <c r="B314" s="133" t="s">
        <v>3734</v>
      </c>
      <c r="C314" s="133" t="s">
        <v>3736</v>
      </c>
      <c r="D314" s="133" t="s">
        <v>484</v>
      </c>
      <c r="E314" s="158">
        <v>4</v>
      </c>
      <c r="F314" s="158">
        <v>10</v>
      </c>
      <c r="G314" s="158">
        <v>0</v>
      </c>
      <c r="H314" s="133" t="s">
        <v>5348</v>
      </c>
      <c r="I314" s="133" t="s">
        <v>479</v>
      </c>
      <c r="J314" s="158">
        <v>0</v>
      </c>
    </row>
    <row r="315" spans="1:10" ht="15.75" customHeight="1">
      <c r="A315" s="133" t="s">
        <v>4</v>
      </c>
      <c r="B315" s="133" t="s">
        <v>3734</v>
      </c>
      <c r="C315" s="133" t="s">
        <v>5349</v>
      </c>
      <c r="D315" s="133" t="s">
        <v>477</v>
      </c>
      <c r="E315" s="158">
        <v>50</v>
      </c>
      <c r="F315" s="158">
        <v>0</v>
      </c>
      <c r="G315" s="158">
        <v>0</v>
      </c>
      <c r="H315" s="133" t="s">
        <v>5350</v>
      </c>
      <c r="I315" s="133" t="s">
        <v>479</v>
      </c>
      <c r="J315" s="158">
        <v>0</v>
      </c>
    </row>
    <row r="316" spans="1:10" ht="15.75" customHeight="1">
      <c r="A316" s="133" t="s">
        <v>4</v>
      </c>
      <c r="B316" s="133" t="s">
        <v>3734</v>
      </c>
      <c r="C316" s="133" t="s">
        <v>5351</v>
      </c>
      <c r="D316" s="133" t="s">
        <v>477</v>
      </c>
      <c r="E316" s="158">
        <v>100</v>
      </c>
      <c r="F316" s="158">
        <v>0</v>
      </c>
      <c r="G316" s="158">
        <v>0</v>
      </c>
      <c r="H316" s="133" t="s">
        <v>5352</v>
      </c>
      <c r="I316" s="133" t="s">
        <v>548</v>
      </c>
      <c r="J316" s="158">
        <v>0</v>
      </c>
    </row>
    <row r="317" spans="1:10" ht="15.75" customHeight="1">
      <c r="A317" s="133" t="s">
        <v>4</v>
      </c>
      <c r="B317" s="133" t="s">
        <v>3734</v>
      </c>
      <c r="C317" s="133" t="s">
        <v>164</v>
      </c>
      <c r="D317" s="133" t="s">
        <v>477</v>
      </c>
      <c r="E317" s="158">
        <v>50</v>
      </c>
      <c r="F317" s="158">
        <v>0</v>
      </c>
      <c r="G317" s="158">
        <v>0</v>
      </c>
      <c r="H317" s="133" t="s">
        <v>900</v>
      </c>
      <c r="I317" s="133" t="s">
        <v>548</v>
      </c>
      <c r="J317" s="158">
        <v>0</v>
      </c>
    </row>
    <row r="318" spans="1:10" ht="15.75" customHeight="1">
      <c r="A318" s="133" t="s">
        <v>4</v>
      </c>
      <c r="B318" s="133" t="s">
        <v>3734</v>
      </c>
      <c r="C318" s="133" t="s">
        <v>5353</v>
      </c>
      <c r="D318" s="133" t="s">
        <v>477</v>
      </c>
      <c r="E318" s="158">
        <v>3</v>
      </c>
      <c r="F318" s="158">
        <v>0</v>
      </c>
      <c r="G318" s="158">
        <v>0</v>
      </c>
      <c r="H318" s="133" t="s">
        <v>5354</v>
      </c>
      <c r="I318" s="133" t="s">
        <v>596</v>
      </c>
      <c r="J318" s="158">
        <v>0</v>
      </c>
    </row>
    <row r="319" spans="1:10" ht="15.75" customHeight="1">
      <c r="A319" s="133" t="s">
        <v>4</v>
      </c>
      <c r="B319" s="133" t="s">
        <v>3734</v>
      </c>
      <c r="C319" s="133" t="s">
        <v>523</v>
      </c>
      <c r="D319" s="133" t="s">
        <v>477</v>
      </c>
      <c r="E319" s="158">
        <v>8</v>
      </c>
      <c r="F319" s="158">
        <v>0</v>
      </c>
      <c r="G319" s="158">
        <v>0</v>
      </c>
      <c r="H319" s="133" t="s">
        <v>834</v>
      </c>
      <c r="I319" s="133" t="s">
        <v>548</v>
      </c>
      <c r="J319" s="158">
        <v>0</v>
      </c>
    </row>
    <row r="320" spans="1:10" ht="15.75" customHeight="1">
      <c r="A320" s="133" t="s">
        <v>4</v>
      </c>
      <c r="B320" s="133" t="s">
        <v>3734</v>
      </c>
      <c r="C320" s="133" t="s">
        <v>669</v>
      </c>
      <c r="D320" s="133" t="s">
        <v>496</v>
      </c>
      <c r="E320" s="158">
        <v>4</v>
      </c>
      <c r="F320" s="158">
        <v>16</v>
      </c>
      <c r="G320" s="158">
        <v>0</v>
      </c>
      <c r="H320" s="133" t="s">
        <v>835</v>
      </c>
      <c r="I320" s="133" t="s">
        <v>548</v>
      </c>
      <c r="J320" s="158">
        <v>0</v>
      </c>
    </row>
    <row r="321" spans="1:10" ht="15.75" customHeight="1">
      <c r="A321" s="133" t="s">
        <v>4</v>
      </c>
      <c r="B321" s="133" t="s">
        <v>3734</v>
      </c>
      <c r="C321" s="133" t="s">
        <v>670</v>
      </c>
      <c r="D321" s="133" t="s">
        <v>477</v>
      </c>
      <c r="E321" s="158">
        <v>8</v>
      </c>
      <c r="F321" s="158">
        <v>0</v>
      </c>
      <c r="G321" s="158">
        <v>0</v>
      </c>
      <c r="H321" s="133" t="s">
        <v>5153</v>
      </c>
      <c r="I321" s="133" t="s">
        <v>548</v>
      </c>
      <c r="J321" s="158">
        <v>0</v>
      </c>
    </row>
    <row r="322" spans="1:10" ht="15.75" customHeight="1">
      <c r="A322" s="133" t="s">
        <v>4</v>
      </c>
      <c r="B322" s="133" t="s">
        <v>3734</v>
      </c>
      <c r="C322" s="133" t="s">
        <v>215</v>
      </c>
      <c r="D322" s="133" t="s">
        <v>496</v>
      </c>
      <c r="E322" s="158">
        <v>4</v>
      </c>
      <c r="F322" s="158">
        <v>16</v>
      </c>
      <c r="G322" s="158">
        <v>0</v>
      </c>
      <c r="H322" s="133" t="s">
        <v>1982</v>
      </c>
      <c r="I322" s="133" t="s">
        <v>548</v>
      </c>
      <c r="J322" s="158">
        <v>0</v>
      </c>
    </row>
    <row r="323" spans="1:10" ht="15.75" customHeight="1">
      <c r="A323" s="133" t="s">
        <v>4</v>
      </c>
      <c r="B323" s="133" t="s">
        <v>3734</v>
      </c>
      <c r="C323" s="133" t="s">
        <v>5355</v>
      </c>
      <c r="D323" s="133" t="s">
        <v>477</v>
      </c>
      <c r="E323" s="158">
        <v>50</v>
      </c>
      <c r="F323" s="158">
        <v>0</v>
      </c>
      <c r="G323" s="158">
        <v>0</v>
      </c>
      <c r="H323" s="133" t="s">
        <v>5356</v>
      </c>
      <c r="I323" s="133" t="s">
        <v>548</v>
      </c>
      <c r="J323" s="158">
        <v>0</v>
      </c>
    </row>
    <row r="324" spans="1:10" ht="15.75" customHeight="1">
      <c r="A324" s="133" t="s">
        <v>4</v>
      </c>
      <c r="B324" s="133" t="s">
        <v>3734</v>
      </c>
      <c r="C324" s="133" t="s">
        <v>5357</v>
      </c>
      <c r="D324" s="133" t="s">
        <v>477</v>
      </c>
      <c r="E324" s="158">
        <v>100</v>
      </c>
      <c r="F324" s="158">
        <v>0</v>
      </c>
      <c r="G324" s="158">
        <v>0</v>
      </c>
      <c r="H324" s="133" t="s">
        <v>5358</v>
      </c>
      <c r="I324" s="133" t="s">
        <v>548</v>
      </c>
      <c r="J324" s="158">
        <v>0</v>
      </c>
    </row>
    <row r="325" spans="1:10" ht="15.75" customHeight="1">
      <c r="A325" s="133" t="s">
        <v>4</v>
      </c>
      <c r="B325" s="133" t="s">
        <v>3737</v>
      </c>
      <c r="C325" s="133" t="s">
        <v>3739</v>
      </c>
      <c r="D325" s="133" t="s">
        <v>477</v>
      </c>
      <c r="E325" s="158">
        <v>20</v>
      </c>
      <c r="F325" s="158">
        <v>0</v>
      </c>
      <c r="G325" s="158">
        <v>0</v>
      </c>
      <c r="H325" s="133" t="s">
        <v>5359</v>
      </c>
      <c r="I325" s="133" t="s">
        <v>548</v>
      </c>
      <c r="J325" s="158">
        <v>0</v>
      </c>
    </row>
    <row r="326" spans="1:10" ht="15.75" customHeight="1">
      <c r="A326" s="133" t="s">
        <v>4</v>
      </c>
      <c r="B326" s="133" t="s">
        <v>3737</v>
      </c>
      <c r="C326" s="133" t="s">
        <v>1814</v>
      </c>
      <c r="D326" s="133" t="s">
        <v>477</v>
      </c>
      <c r="E326" s="158">
        <v>10</v>
      </c>
      <c r="F326" s="158">
        <v>0</v>
      </c>
      <c r="G326" s="158">
        <v>0</v>
      </c>
      <c r="H326" s="133" t="s">
        <v>5116</v>
      </c>
      <c r="I326" s="133" t="s">
        <v>548</v>
      </c>
      <c r="J326" s="158">
        <v>0</v>
      </c>
    </row>
    <row r="327" spans="1:10" ht="15.75" customHeight="1">
      <c r="A327" s="133" t="s">
        <v>4</v>
      </c>
      <c r="B327" s="133" t="s">
        <v>3737</v>
      </c>
      <c r="C327" s="133" t="s">
        <v>5360</v>
      </c>
      <c r="D327" s="133" t="s">
        <v>477</v>
      </c>
      <c r="E327" s="158">
        <v>100</v>
      </c>
      <c r="F327" s="158">
        <v>0</v>
      </c>
      <c r="G327" s="158">
        <v>0</v>
      </c>
      <c r="H327" s="133" t="s">
        <v>5361</v>
      </c>
      <c r="I327" s="133" t="s">
        <v>548</v>
      </c>
      <c r="J327" s="158">
        <v>0</v>
      </c>
    </row>
    <row r="328" spans="1:10" ht="15.75" customHeight="1">
      <c r="A328" s="133" t="s">
        <v>4</v>
      </c>
      <c r="B328" s="133" t="s">
        <v>3737</v>
      </c>
      <c r="C328" s="133" t="s">
        <v>811</v>
      </c>
      <c r="D328" s="133" t="s">
        <v>477</v>
      </c>
      <c r="E328" s="158">
        <v>8</v>
      </c>
      <c r="F328" s="158">
        <v>0</v>
      </c>
      <c r="G328" s="158">
        <v>0</v>
      </c>
      <c r="H328" s="133" t="s">
        <v>5149</v>
      </c>
      <c r="I328" s="133" t="s">
        <v>813</v>
      </c>
      <c r="J328" s="158">
        <v>0</v>
      </c>
    </row>
    <row r="329" spans="1:10" ht="15.75" customHeight="1">
      <c r="A329" s="133" t="s">
        <v>4</v>
      </c>
      <c r="B329" s="133" t="s">
        <v>3737</v>
      </c>
      <c r="C329" s="133" t="s">
        <v>523</v>
      </c>
      <c r="D329" s="133" t="s">
        <v>477</v>
      </c>
      <c r="E329" s="158">
        <v>8</v>
      </c>
      <c r="F329" s="158">
        <v>0</v>
      </c>
      <c r="G329" s="158">
        <v>0</v>
      </c>
      <c r="H329" s="133" t="s">
        <v>834</v>
      </c>
      <c r="I329" s="133" t="s">
        <v>548</v>
      </c>
      <c r="J329" s="158">
        <v>0</v>
      </c>
    </row>
    <row r="330" spans="1:10" ht="15.75" customHeight="1">
      <c r="A330" s="133" t="s">
        <v>4</v>
      </c>
      <c r="B330" s="133" t="s">
        <v>3737</v>
      </c>
      <c r="C330" s="133" t="s">
        <v>669</v>
      </c>
      <c r="D330" s="133" t="s">
        <v>496</v>
      </c>
      <c r="E330" s="158">
        <v>4</v>
      </c>
      <c r="F330" s="158">
        <v>16</v>
      </c>
      <c r="G330" s="158">
        <v>0</v>
      </c>
      <c r="H330" s="133" t="s">
        <v>835</v>
      </c>
      <c r="I330" s="133" t="s">
        <v>548</v>
      </c>
      <c r="J330" s="158">
        <v>0</v>
      </c>
    </row>
    <row r="331" spans="1:10" ht="15.75" customHeight="1">
      <c r="A331" s="133" t="s">
        <v>4</v>
      </c>
      <c r="B331" s="133" t="s">
        <v>3737</v>
      </c>
      <c r="C331" s="133" t="s">
        <v>670</v>
      </c>
      <c r="D331" s="133" t="s">
        <v>477</v>
      </c>
      <c r="E331" s="158">
        <v>8</v>
      </c>
      <c r="F331" s="158">
        <v>0</v>
      </c>
      <c r="G331" s="158">
        <v>0</v>
      </c>
      <c r="H331" s="133" t="s">
        <v>5153</v>
      </c>
      <c r="I331" s="133" t="s">
        <v>548</v>
      </c>
      <c r="J331" s="158">
        <v>0</v>
      </c>
    </row>
    <row r="332" spans="1:10" ht="15.75" customHeight="1">
      <c r="A332" s="133" t="s">
        <v>4</v>
      </c>
      <c r="B332" s="133" t="s">
        <v>3737</v>
      </c>
      <c r="C332" s="133" t="s">
        <v>215</v>
      </c>
      <c r="D332" s="133" t="s">
        <v>496</v>
      </c>
      <c r="E332" s="158">
        <v>4</v>
      </c>
      <c r="F332" s="158">
        <v>16</v>
      </c>
      <c r="G332" s="158">
        <v>0</v>
      </c>
      <c r="H332" s="133" t="s">
        <v>1982</v>
      </c>
      <c r="I332" s="133" t="s">
        <v>548</v>
      </c>
      <c r="J332" s="158">
        <v>0</v>
      </c>
    </row>
    <row r="333" spans="1:10" ht="15.75" customHeight="1">
      <c r="A333" s="133" t="s">
        <v>4</v>
      </c>
      <c r="B333" s="133" t="s">
        <v>3740</v>
      </c>
      <c r="C333" s="133" t="s">
        <v>3742</v>
      </c>
      <c r="D333" s="133" t="s">
        <v>477</v>
      </c>
      <c r="E333" s="158">
        <v>20</v>
      </c>
      <c r="F333" s="158">
        <v>0</v>
      </c>
      <c r="G333" s="158">
        <v>0</v>
      </c>
      <c r="H333" s="133" t="s">
        <v>5362</v>
      </c>
      <c r="I333" s="133" t="s">
        <v>479</v>
      </c>
      <c r="J333" s="158">
        <v>0</v>
      </c>
    </row>
    <row r="334" spans="1:10" ht="15.75" customHeight="1">
      <c r="A334" s="133" t="s">
        <v>4</v>
      </c>
      <c r="B334" s="133" t="s">
        <v>3740</v>
      </c>
      <c r="C334" s="133" t="s">
        <v>5363</v>
      </c>
      <c r="D334" s="133" t="s">
        <v>477</v>
      </c>
      <c r="E334" s="158">
        <v>50</v>
      </c>
      <c r="F334" s="158">
        <v>0</v>
      </c>
      <c r="G334" s="158">
        <v>0</v>
      </c>
      <c r="H334" s="133" t="s">
        <v>5364</v>
      </c>
      <c r="I334" s="133" t="s">
        <v>548</v>
      </c>
      <c r="J334" s="158">
        <v>0</v>
      </c>
    </row>
    <row r="335" spans="1:10" ht="15.75" customHeight="1">
      <c r="A335" s="133" t="s">
        <v>4</v>
      </c>
      <c r="B335" s="133" t="s">
        <v>3740</v>
      </c>
      <c r="C335" s="133" t="s">
        <v>5365</v>
      </c>
      <c r="D335" s="133" t="s">
        <v>477</v>
      </c>
      <c r="E335" s="158">
        <v>50</v>
      </c>
      <c r="F335" s="158">
        <v>0</v>
      </c>
      <c r="G335" s="158">
        <v>0</v>
      </c>
      <c r="H335" s="133" t="s">
        <v>5366</v>
      </c>
      <c r="I335" s="133" t="s">
        <v>548</v>
      </c>
      <c r="J335" s="158">
        <v>0</v>
      </c>
    </row>
    <row r="336" spans="1:10" ht="15.75" customHeight="1">
      <c r="A336" s="133" t="s">
        <v>4</v>
      </c>
      <c r="B336" s="133" t="s">
        <v>3740</v>
      </c>
      <c r="C336" s="133" t="s">
        <v>3747</v>
      </c>
      <c r="D336" s="133" t="s">
        <v>477</v>
      </c>
      <c r="E336" s="158">
        <v>10</v>
      </c>
      <c r="F336" s="158">
        <v>0</v>
      </c>
      <c r="G336" s="158">
        <v>0</v>
      </c>
      <c r="H336" s="133" t="s">
        <v>5367</v>
      </c>
      <c r="I336" s="133" t="s">
        <v>548</v>
      </c>
      <c r="J336" s="158">
        <v>0</v>
      </c>
    </row>
    <row r="337" spans="1:10" ht="15.75" customHeight="1">
      <c r="A337" s="133" t="s">
        <v>4</v>
      </c>
      <c r="B337" s="133" t="s">
        <v>3740</v>
      </c>
      <c r="C337" s="133" t="s">
        <v>5248</v>
      </c>
      <c r="D337" s="133" t="s">
        <v>477</v>
      </c>
      <c r="E337" s="158">
        <v>8</v>
      </c>
      <c r="F337" s="158">
        <v>0</v>
      </c>
      <c r="G337" s="158">
        <v>0</v>
      </c>
      <c r="H337" s="133" t="s">
        <v>5368</v>
      </c>
      <c r="I337" s="133" t="s">
        <v>548</v>
      </c>
      <c r="J337" s="158">
        <v>0</v>
      </c>
    </row>
    <row r="338" spans="1:10" ht="15.75" customHeight="1">
      <c r="A338" s="133" t="s">
        <v>4</v>
      </c>
      <c r="B338" s="133" t="s">
        <v>3740</v>
      </c>
      <c r="C338" s="133" t="s">
        <v>5285</v>
      </c>
      <c r="D338" s="133" t="s">
        <v>1974</v>
      </c>
      <c r="E338" s="158">
        <v>3</v>
      </c>
      <c r="F338" s="158">
        <v>10</v>
      </c>
      <c r="G338" s="158">
        <v>0</v>
      </c>
      <c r="H338" s="133" t="s">
        <v>5369</v>
      </c>
      <c r="I338" s="133" t="s">
        <v>548</v>
      </c>
      <c r="J338" s="158">
        <v>0</v>
      </c>
    </row>
    <row r="339" spans="1:10" ht="15.75" customHeight="1">
      <c r="A339" s="133" t="s">
        <v>4</v>
      </c>
      <c r="B339" s="133" t="s">
        <v>3740</v>
      </c>
      <c r="C339" s="133" t="s">
        <v>5370</v>
      </c>
      <c r="D339" s="133" t="s">
        <v>477</v>
      </c>
      <c r="E339" s="158">
        <v>20</v>
      </c>
      <c r="F339" s="158">
        <v>0</v>
      </c>
      <c r="G339" s="158">
        <v>0</v>
      </c>
      <c r="H339" s="133" t="s">
        <v>5371</v>
      </c>
      <c r="I339" s="133" t="s">
        <v>548</v>
      </c>
      <c r="J339" s="158">
        <v>0</v>
      </c>
    </row>
    <row r="340" spans="1:10" ht="15.75" customHeight="1">
      <c r="A340" s="133" t="s">
        <v>4</v>
      </c>
      <c r="B340" s="133" t="s">
        <v>3740</v>
      </c>
      <c r="C340" s="133" t="s">
        <v>1814</v>
      </c>
      <c r="D340" s="133" t="s">
        <v>477</v>
      </c>
      <c r="E340" s="158">
        <v>10</v>
      </c>
      <c r="F340" s="158">
        <v>0</v>
      </c>
      <c r="G340" s="158">
        <v>0</v>
      </c>
      <c r="H340" s="133" t="s">
        <v>5116</v>
      </c>
      <c r="I340" s="133" t="s">
        <v>548</v>
      </c>
      <c r="J340" s="158">
        <v>0</v>
      </c>
    </row>
    <row r="341" spans="1:10" ht="15.75" customHeight="1">
      <c r="A341" s="133" t="s">
        <v>4</v>
      </c>
      <c r="B341" s="133" t="s">
        <v>3740</v>
      </c>
      <c r="C341" s="133" t="s">
        <v>3739</v>
      </c>
      <c r="D341" s="133" t="s">
        <v>477</v>
      </c>
      <c r="E341" s="158">
        <v>20</v>
      </c>
      <c r="F341" s="158">
        <v>0</v>
      </c>
      <c r="G341" s="158">
        <v>0</v>
      </c>
      <c r="H341" s="133" t="s">
        <v>5372</v>
      </c>
      <c r="I341" s="133" t="s">
        <v>548</v>
      </c>
      <c r="J341" s="158">
        <v>0</v>
      </c>
    </row>
    <row r="342" spans="1:10" ht="15.75" customHeight="1">
      <c r="A342" s="133" t="s">
        <v>4</v>
      </c>
      <c r="B342" s="133" t="s">
        <v>3740</v>
      </c>
      <c r="C342" s="133" t="s">
        <v>811</v>
      </c>
      <c r="D342" s="133" t="s">
        <v>477</v>
      </c>
      <c r="E342" s="158">
        <v>8</v>
      </c>
      <c r="F342" s="158">
        <v>0</v>
      </c>
      <c r="G342" s="158">
        <v>0</v>
      </c>
      <c r="H342" s="133" t="s">
        <v>5373</v>
      </c>
      <c r="I342" s="133" t="s">
        <v>813</v>
      </c>
      <c r="J342" s="158">
        <v>0</v>
      </c>
    </row>
    <row r="343" spans="1:10" ht="15.75" customHeight="1">
      <c r="A343" s="133" t="s">
        <v>4</v>
      </c>
      <c r="B343" s="133" t="s">
        <v>3740</v>
      </c>
      <c r="C343" s="133" t="s">
        <v>523</v>
      </c>
      <c r="D343" s="133" t="s">
        <v>477</v>
      </c>
      <c r="E343" s="158">
        <v>8</v>
      </c>
      <c r="F343" s="158">
        <v>0</v>
      </c>
      <c r="G343" s="158">
        <v>0</v>
      </c>
      <c r="H343" s="133" t="s">
        <v>5198</v>
      </c>
      <c r="I343" s="133" t="s">
        <v>548</v>
      </c>
      <c r="J343" s="158">
        <v>0</v>
      </c>
    </row>
    <row r="344" spans="1:10" ht="15.75" customHeight="1">
      <c r="A344" s="133" t="s">
        <v>4</v>
      </c>
      <c r="B344" s="133" t="s">
        <v>3740</v>
      </c>
      <c r="C344" s="133" t="s">
        <v>669</v>
      </c>
      <c r="D344" s="133" t="s">
        <v>496</v>
      </c>
      <c r="E344" s="158">
        <v>4</v>
      </c>
      <c r="F344" s="158">
        <v>16</v>
      </c>
      <c r="G344" s="158">
        <v>0</v>
      </c>
      <c r="H344" s="133" t="s">
        <v>835</v>
      </c>
      <c r="I344" s="133" t="s">
        <v>548</v>
      </c>
      <c r="J344" s="158">
        <v>0</v>
      </c>
    </row>
    <row r="345" spans="1:10" ht="15.75" customHeight="1">
      <c r="A345" s="133" t="s">
        <v>4</v>
      </c>
      <c r="B345" s="133" t="s">
        <v>3740</v>
      </c>
      <c r="C345" s="133" t="s">
        <v>670</v>
      </c>
      <c r="D345" s="133" t="s">
        <v>477</v>
      </c>
      <c r="E345" s="158">
        <v>8</v>
      </c>
      <c r="F345" s="158">
        <v>0</v>
      </c>
      <c r="G345" s="158">
        <v>0</v>
      </c>
      <c r="H345" s="133" t="s">
        <v>5199</v>
      </c>
      <c r="I345" s="133" t="s">
        <v>548</v>
      </c>
      <c r="J345" s="158">
        <v>0</v>
      </c>
    </row>
    <row r="346" spans="1:10" ht="15.75" customHeight="1">
      <c r="A346" s="133" t="s">
        <v>4</v>
      </c>
      <c r="B346" s="133" t="s">
        <v>3740</v>
      </c>
      <c r="C346" s="133" t="s">
        <v>215</v>
      </c>
      <c r="D346" s="133" t="s">
        <v>496</v>
      </c>
      <c r="E346" s="158">
        <v>4</v>
      </c>
      <c r="F346" s="158">
        <v>16</v>
      </c>
      <c r="G346" s="158">
        <v>0</v>
      </c>
      <c r="H346" s="133" t="s">
        <v>1982</v>
      </c>
      <c r="I346" s="133" t="s">
        <v>548</v>
      </c>
      <c r="J346" s="158">
        <v>0</v>
      </c>
    </row>
    <row r="347" spans="1:10" ht="15.75" customHeight="1">
      <c r="A347" s="133" t="s">
        <v>4</v>
      </c>
      <c r="B347" s="133" t="s">
        <v>3740</v>
      </c>
      <c r="C347" s="133" t="s">
        <v>3733</v>
      </c>
      <c r="D347" s="133" t="s">
        <v>477</v>
      </c>
      <c r="E347" s="158">
        <v>10</v>
      </c>
      <c r="F347" s="158">
        <v>0</v>
      </c>
      <c r="G347" s="158">
        <v>0</v>
      </c>
      <c r="H347" s="133" t="s">
        <v>479</v>
      </c>
      <c r="I347" s="133" t="s">
        <v>548</v>
      </c>
      <c r="J347" s="158">
        <v>0</v>
      </c>
    </row>
    <row r="348" spans="1:10" ht="15.75" customHeight="1">
      <c r="A348" s="133" t="s">
        <v>4</v>
      </c>
      <c r="B348" s="133" t="s">
        <v>3740</v>
      </c>
      <c r="C348" s="133" t="s">
        <v>5110</v>
      </c>
      <c r="D348" s="133" t="s">
        <v>477</v>
      </c>
      <c r="E348" s="158">
        <v>20</v>
      </c>
      <c r="F348" s="158">
        <v>0</v>
      </c>
      <c r="G348" s="158">
        <v>0</v>
      </c>
      <c r="H348" s="133" t="s">
        <v>479</v>
      </c>
      <c r="I348" s="133" t="s">
        <v>548</v>
      </c>
      <c r="J348" s="158">
        <v>0</v>
      </c>
    </row>
    <row r="349" spans="1:10" ht="15.75" customHeight="1">
      <c r="A349" s="133" t="s">
        <v>4</v>
      </c>
      <c r="B349" s="133" t="s">
        <v>3740</v>
      </c>
      <c r="C349" s="133" t="s">
        <v>3271</v>
      </c>
      <c r="D349" s="133" t="s">
        <v>484</v>
      </c>
      <c r="E349" s="158">
        <v>4</v>
      </c>
      <c r="F349" s="158">
        <v>10</v>
      </c>
      <c r="G349" s="158">
        <v>0</v>
      </c>
      <c r="H349" s="133" t="s">
        <v>5374</v>
      </c>
      <c r="I349" s="133" t="s">
        <v>615</v>
      </c>
      <c r="J349" s="158">
        <v>0</v>
      </c>
    </row>
    <row r="350" spans="1:10" ht="15.75" customHeight="1">
      <c r="A350" s="133" t="s">
        <v>4</v>
      </c>
      <c r="B350" s="133" t="s">
        <v>3740</v>
      </c>
      <c r="C350" s="133" t="s">
        <v>4337</v>
      </c>
      <c r="D350" s="133" t="s">
        <v>484</v>
      </c>
      <c r="E350" s="158">
        <v>4</v>
      </c>
      <c r="F350" s="158">
        <v>10</v>
      </c>
      <c r="G350" s="158">
        <v>0</v>
      </c>
      <c r="H350" s="133" t="s">
        <v>5375</v>
      </c>
      <c r="I350" s="133" t="s">
        <v>615</v>
      </c>
      <c r="J350" s="158">
        <v>0</v>
      </c>
    </row>
    <row r="351" spans="1:10" ht="15.75" customHeight="1">
      <c r="A351" s="133" t="s">
        <v>4</v>
      </c>
      <c r="B351" s="133" t="s">
        <v>3740</v>
      </c>
      <c r="C351" s="133" t="s">
        <v>3275</v>
      </c>
      <c r="D351" s="133" t="s">
        <v>484</v>
      </c>
      <c r="E351" s="158">
        <v>4</v>
      </c>
      <c r="F351" s="158">
        <v>10</v>
      </c>
      <c r="G351" s="158">
        <v>0</v>
      </c>
      <c r="H351" s="133" t="s">
        <v>5376</v>
      </c>
      <c r="I351" s="133" t="s">
        <v>615</v>
      </c>
      <c r="J351" s="158">
        <v>0</v>
      </c>
    </row>
    <row r="352" spans="1:10" ht="15.75" customHeight="1">
      <c r="A352" s="133" t="s">
        <v>4</v>
      </c>
      <c r="B352" s="133" t="s">
        <v>3740</v>
      </c>
      <c r="C352" s="133" t="s">
        <v>5377</v>
      </c>
      <c r="D352" s="133" t="s">
        <v>481</v>
      </c>
      <c r="E352" s="158">
        <v>5</v>
      </c>
      <c r="F352" s="158">
        <v>9</v>
      </c>
      <c r="G352" s="158">
        <v>4</v>
      </c>
      <c r="H352" s="133" t="s">
        <v>5378</v>
      </c>
      <c r="I352" s="133" t="s">
        <v>1223</v>
      </c>
      <c r="J352" s="158">
        <v>0</v>
      </c>
    </row>
    <row r="353" spans="1:10" ht="15.75" customHeight="1">
      <c r="A353" s="133" t="s">
        <v>4</v>
      </c>
      <c r="B353" s="133" t="s">
        <v>3740</v>
      </c>
      <c r="C353" s="133" t="s">
        <v>3717</v>
      </c>
      <c r="D353" s="133" t="s">
        <v>484</v>
      </c>
      <c r="E353" s="158">
        <v>4</v>
      </c>
      <c r="F353" s="158">
        <v>10</v>
      </c>
      <c r="G353" s="158">
        <v>0</v>
      </c>
      <c r="H353" s="133" t="s">
        <v>5379</v>
      </c>
      <c r="I353" s="133" t="s">
        <v>615</v>
      </c>
      <c r="J353" s="158">
        <v>0</v>
      </c>
    </row>
    <row r="354" spans="1:10" ht="15.75" customHeight="1">
      <c r="A354" s="133" t="s">
        <v>4</v>
      </c>
      <c r="B354" s="133" t="s">
        <v>3740</v>
      </c>
      <c r="C354" s="133" t="s">
        <v>5228</v>
      </c>
      <c r="D354" s="133" t="s">
        <v>477</v>
      </c>
      <c r="E354" s="158">
        <v>100</v>
      </c>
      <c r="F354" s="158">
        <v>0</v>
      </c>
      <c r="G354" s="158">
        <v>0</v>
      </c>
      <c r="H354" s="133" t="s">
        <v>5380</v>
      </c>
      <c r="I354" s="133" t="s">
        <v>548</v>
      </c>
      <c r="J354" s="158">
        <v>0</v>
      </c>
    </row>
    <row r="355" spans="1:10" ht="15.75" customHeight="1">
      <c r="A355" s="133" t="s">
        <v>4</v>
      </c>
      <c r="B355" s="133" t="s">
        <v>3740</v>
      </c>
      <c r="C355" s="133" t="s">
        <v>5223</v>
      </c>
      <c r="D355" s="133" t="s">
        <v>484</v>
      </c>
      <c r="E355" s="158">
        <v>4</v>
      </c>
      <c r="F355" s="158">
        <v>10</v>
      </c>
      <c r="G355" s="158">
        <v>0</v>
      </c>
      <c r="H355" s="133" t="s">
        <v>5224</v>
      </c>
      <c r="I355" s="133" t="s">
        <v>615</v>
      </c>
      <c r="J355" s="158">
        <v>0</v>
      </c>
    </row>
    <row r="356" spans="1:10" ht="15.75" customHeight="1">
      <c r="A356" s="133" t="s">
        <v>4</v>
      </c>
      <c r="B356" s="133" t="s">
        <v>3743</v>
      </c>
      <c r="C356" s="133" t="s">
        <v>5110</v>
      </c>
      <c r="D356" s="133" t="s">
        <v>477</v>
      </c>
      <c r="E356" s="158">
        <v>5</v>
      </c>
      <c r="F356" s="158">
        <v>0</v>
      </c>
      <c r="G356" s="158">
        <v>0</v>
      </c>
      <c r="H356" s="133" t="s">
        <v>479</v>
      </c>
      <c r="I356" s="133" t="s">
        <v>479</v>
      </c>
      <c r="J356" s="158">
        <v>0</v>
      </c>
    </row>
    <row r="357" spans="1:10" ht="15.75" customHeight="1">
      <c r="A357" s="133" t="s">
        <v>4</v>
      </c>
      <c r="B357" s="133" t="s">
        <v>3743</v>
      </c>
      <c r="C357" s="133" t="s">
        <v>5381</v>
      </c>
      <c r="D357" s="133" t="s">
        <v>477</v>
      </c>
      <c r="E357" s="158">
        <v>50</v>
      </c>
      <c r="F357" s="158">
        <v>0</v>
      </c>
      <c r="G357" s="158">
        <v>0</v>
      </c>
      <c r="H357" s="133" t="s">
        <v>479</v>
      </c>
      <c r="I357" s="133" t="s">
        <v>548</v>
      </c>
      <c r="J357" s="158">
        <v>0</v>
      </c>
    </row>
    <row r="358" spans="1:10" ht="15.75" customHeight="1">
      <c r="A358" s="133" t="s">
        <v>4</v>
      </c>
      <c r="B358" s="133" t="s">
        <v>3743</v>
      </c>
      <c r="C358" s="133" t="s">
        <v>1814</v>
      </c>
      <c r="D358" s="133" t="s">
        <v>477</v>
      </c>
      <c r="E358" s="158">
        <v>10</v>
      </c>
      <c r="F358" s="158">
        <v>0</v>
      </c>
      <c r="G358" s="158">
        <v>0</v>
      </c>
      <c r="H358" s="133" t="s">
        <v>479</v>
      </c>
      <c r="I358" s="133" t="s">
        <v>548</v>
      </c>
      <c r="J358" s="158">
        <v>0</v>
      </c>
    </row>
    <row r="359" spans="1:10" ht="15.75" customHeight="1">
      <c r="A359" s="133" t="s">
        <v>4</v>
      </c>
      <c r="B359" s="133" t="s">
        <v>3743</v>
      </c>
      <c r="C359" s="133" t="s">
        <v>3739</v>
      </c>
      <c r="D359" s="133" t="s">
        <v>477</v>
      </c>
      <c r="E359" s="158">
        <v>20</v>
      </c>
      <c r="F359" s="158">
        <v>0</v>
      </c>
      <c r="G359" s="158">
        <v>0</v>
      </c>
      <c r="H359" s="133" t="s">
        <v>479</v>
      </c>
      <c r="I359" s="133" t="s">
        <v>548</v>
      </c>
      <c r="J359" s="158">
        <v>0</v>
      </c>
    </row>
    <row r="360" spans="1:10" ht="15.75" customHeight="1">
      <c r="A360" s="133" t="s">
        <v>4</v>
      </c>
      <c r="B360" s="133" t="s">
        <v>3743</v>
      </c>
      <c r="C360" s="133" t="s">
        <v>3689</v>
      </c>
      <c r="D360" s="133" t="s">
        <v>477</v>
      </c>
      <c r="E360" s="158">
        <v>10</v>
      </c>
      <c r="F360" s="158">
        <v>0</v>
      </c>
      <c r="G360" s="158">
        <v>0</v>
      </c>
      <c r="H360" s="133" t="s">
        <v>479</v>
      </c>
      <c r="I360" s="133" t="s">
        <v>548</v>
      </c>
      <c r="J360" s="158">
        <v>0</v>
      </c>
    </row>
    <row r="361" spans="1:10" ht="15.75" customHeight="1">
      <c r="A361" s="133" t="s">
        <v>4</v>
      </c>
      <c r="B361" s="133" t="s">
        <v>3743</v>
      </c>
      <c r="C361" s="133" t="s">
        <v>5382</v>
      </c>
      <c r="D361" s="133" t="s">
        <v>477</v>
      </c>
      <c r="E361" s="158">
        <v>10</v>
      </c>
      <c r="F361" s="158">
        <v>0</v>
      </c>
      <c r="G361" s="158">
        <v>0</v>
      </c>
      <c r="H361" s="133" t="s">
        <v>479</v>
      </c>
      <c r="I361" s="133" t="s">
        <v>548</v>
      </c>
      <c r="J361" s="158">
        <v>0</v>
      </c>
    </row>
    <row r="362" spans="1:10" ht="15.75" customHeight="1">
      <c r="A362" s="133" t="s">
        <v>4</v>
      </c>
      <c r="B362" s="133" t="s">
        <v>3743</v>
      </c>
      <c r="C362" s="133" t="s">
        <v>5383</v>
      </c>
      <c r="D362" s="133" t="s">
        <v>484</v>
      </c>
      <c r="E362" s="158">
        <v>4</v>
      </c>
      <c r="F362" s="158">
        <v>10</v>
      </c>
      <c r="G362" s="158">
        <v>0</v>
      </c>
      <c r="H362" s="133" t="s">
        <v>479</v>
      </c>
      <c r="I362" s="133" t="s">
        <v>615</v>
      </c>
      <c r="J362" s="158">
        <v>0</v>
      </c>
    </row>
    <row r="363" spans="1:10" ht="15.75" customHeight="1">
      <c r="A363" s="133" t="s">
        <v>4</v>
      </c>
      <c r="B363" s="133" t="s">
        <v>3743</v>
      </c>
      <c r="C363" s="133" t="s">
        <v>523</v>
      </c>
      <c r="D363" s="133" t="s">
        <v>477</v>
      </c>
      <c r="E363" s="158">
        <v>8</v>
      </c>
      <c r="F363" s="158">
        <v>0</v>
      </c>
      <c r="G363" s="158">
        <v>0</v>
      </c>
      <c r="H363" s="133" t="s">
        <v>479</v>
      </c>
      <c r="I363" s="133" t="s">
        <v>548</v>
      </c>
      <c r="J363" s="158">
        <v>0</v>
      </c>
    </row>
    <row r="364" spans="1:10" ht="15.75" customHeight="1">
      <c r="A364" s="133" t="s">
        <v>4</v>
      </c>
      <c r="B364" s="133" t="s">
        <v>3743</v>
      </c>
      <c r="C364" s="133" t="s">
        <v>669</v>
      </c>
      <c r="D364" s="133" t="s">
        <v>496</v>
      </c>
      <c r="E364" s="158">
        <v>4</v>
      </c>
      <c r="F364" s="158">
        <v>16</v>
      </c>
      <c r="G364" s="158">
        <v>0</v>
      </c>
      <c r="H364" s="133" t="s">
        <v>479</v>
      </c>
      <c r="I364" s="133" t="s">
        <v>548</v>
      </c>
      <c r="J364" s="158">
        <v>0</v>
      </c>
    </row>
    <row r="365" spans="1:10" ht="15.75" customHeight="1">
      <c r="A365" s="133" t="s">
        <v>4</v>
      </c>
      <c r="B365" s="133" t="s">
        <v>3743</v>
      </c>
      <c r="C365" s="133" t="s">
        <v>670</v>
      </c>
      <c r="D365" s="133" t="s">
        <v>477</v>
      </c>
      <c r="E365" s="158">
        <v>8</v>
      </c>
      <c r="F365" s="158">
        <v>0</v>
      </c>
      <c r="G365" s="158">
        <v>0</v>
      </c>
      <c r="H365" s="133" t="s">
        <v>479</v>
      </c>
      <c r="I365" s="133" t="s">
        <v>548</v>
      </c>
      <c r="J365" s="158">
        <v>0</v>
      </c>
    </row>
    <row r="366" spans="1:10" ht="15.75" customHeight="1">
      <c r="A366" s="133" t="s">
        <v>4</v>
      </c>
      <c r="B366" s="133" t="s">
        <v>3743</v>
      </c>
      <c r="C366" s="133" t="s">
        <v>215</v>
      </c>
      <c r="D366" s="133" t="s">
        <v>496</v>
      </c>
      <c r="E366" s="158">
        <v>4</v>
      </c>
      <c r="F366" s="158">
        <v>16</v>
      </c>
      <c r="G366" s="158">
        <v>0</v>
      </c>
      <c r="H366" s="133" t="s">
        <v>479</v>
      </c>
      <c r="I366" s="133" t="s">
        <v>548</v>
      </c>
      <c r="J366" s="158">
        <v>0</v>
      </c>
    </row>
    <row r="367" spans="1:10" ht="15.75" customHeight="1">
      <c r="A367" s="133" t="s">
        <v>4</v>
      </c>
      <c r="B367" s="133" t="s">
        <v>3745</v>
      </c>
      <c r="C367" s="133" t="s">
        <v>3747</v>
      </c>
      <c r="D367" s="133" t="s">
        <v>477</v>
      </c>
      <c r="E367" s="158">
        <v>10</v>
      </c>
      <c r="F367" s="158">
        <v>0</v>
      </c>
      <c r="G367" s="158">
        <v>0</v>
      </c>
      <c r="H367" s="133" t="s">
        <v>5367</v>
      </c>
      <c r="I367" s="133" t="s">
        <v>479</v>
      </c>
      <c r="J367" s="158">
        <v>0</v>
      </c>
    </row>
    <row r="368" spans="1:10" ht="15.75" customHeight="1">
      <c r="A368" s="133" t="s">
        <v>4</v>
      </c>
      <c r="B368" s="133" t="s">
        <v>3745</v>
      </c>
      <c r="C368" s="133" t="s">
        <v>5384</v>
      </c>
      <c r="D368" s="133" t="s">
        <v>477</v>
      </c>
      <c r="E368" s="158">
        <v>50</v>
      </c>
      <c r="F368" s="158">
        <v>0</v>
      </c>
      <c r="G368" s="158">
        <v>0</v>
      </c>
      <c r="H368" s="133" t="s">
        <v>5385</v>
      </c>
      <c r="I368" s="133" t="s">
        <v>548</v>
      </c>
      <c r="J368" s="158">
        <v>0</v>
      </c>
    </row>
    <row r="369" spans="1:10" ht="15.75" customHeight="1">
      <c r="A369" s="133" t="s">
        <v>4</v>
      </c>
      <c r="B369" s="133" t="s">
        <v>3745</v>
      </c>
      <c r="C369" s="133" t="s">
        <v>3271</v>
      </c>
      <c r="D369" s="133" t="s">
        <v>484</v>
      </c>
      <c r="E369" s="158">
        <v>4</v>
      </c>
      <c r="F369" s="158">
        <v>10</v>
      </c>
      <c r="G369" s="158">
        <v>0</v>
      </c>
      <c r="H369" s="133" t="s">
        <v>5386</v>
      </c>
      <c r="I369" s="133" t="s">
        <v>615</v>
      </c>
      <c r="J369" s="158">
        <v>0</v>
      </c>
    </row>
    <row r="370" spans="1:10" ht="15.75" customHeight="1">
      <c r="A370" s="133" t="s">
        <v>4</v>
      </c>
      <c r="B370" s="133" t="s">
        <v>3745</v>
      </c>
      <c r="C370" s="133" t="s">
        <v>4337</v>
      </c>
      <c r="D370" s="133" t="s">
        <v>484</v>
      </c>
      <c r="E370" s="158">
        <v>4</v>
      </c>
      <c r="F370" s="158">
        <v>10</v>
      </c>
      <c r="G370" s="158">
        <v>0</v>
      </c>
      <c r="H370" s="133" t="s">
        <v>5387</v>
      </c>
      <c r="I370" s="133" t="s">
        <v>615</v>
      </c>
      <c r="J370" s="158">
        <v>0</v>
      </c>
    </row>
    <row r="371" spans="1:10" ht="15.75" customHeight="1">
      <c r="A371" s="133" t="s">
        <v>4</v>
      </c>
      <c r="B371" s="133" t="s">
        <v>3745</v>
      </c>
      <c r="C371" s="133" t="s">
        <v>3275</v>
      </c>
      <c r="D371" s="133" t="s">
        <v>484</v>
      </c>
      <c r="E371" s="158">
        <v>4</v>
      </c>
      <c r="F371" s="158">
        <v>10</v>
      </c>
      <c r="G371" s="158">
        <v>0</v>
      </c>
      <c r="H371" s="133" t="s">
        <v>5388</v>
      </c>
      <c r="I371" s="133" t="s">
        <v>615</v>
      </c>
      <c r="J371" s="158">
        <v>0</v>
      </c>
    </row>
    <row r="372" spans="1:10" ht="15.75" customHeight="1">
      <c r="A372" s="133" t="s">
        <v>4</v>
      </c>
      <c r="B372" s="133" t="s">
        <v>3745</v>
      </c>
      <c r="C372" s="133" t="s">
        <v>5377</v>
      </c>
      <c r="D372" s="133" t="s">
        <v>481</v>
      </c>
      <c r="E372" s="158">
        <v>5</v>
      </c>
      <c r="F372" s="158">
        <v>9</v>
      </c>
      <c r="G372" s="158">
        <v>4</v>
      </c>
      <c r="H372" s="133" t="s">
        <v>5389</v>
      </c>
      <c r="I372" s="133" t="s">
        <v>1223</v>
      </c>
      <c r="J372" s="158">
        <v>0</v>
      </c>
    </row>
    <row r="373" spans="1:10" ht="15.75" customHeight="1">
      <c r="A373" s="133" t="s">
        <v>4</v>
      </c>
      <c r="B373" s="133" t="s">
        <v>3745</v>
      </c>
      <c r="C373" s="133" t="s">
        <v>811</v>
      </c>
      <c r="D373" s="133" t="s">
        <v>477</v>
      </c>
      <c r="E373" s="158">
        <v>8</v>
      </c>
      <c r="F373" s="158">
        <v>0</v>
      </c>
      <c r="G373" s="158">
        <v>0</v>
      </c>
      <c r="H373" s="133" t="s">
        <v>5157</v>
      </c>
      <c r="I373" s="133" t="s">
        <v>813</v>
      </c>
      <c r="J373" s="158">
        <v>0</v>
      </c>
    </row>
    <row r="374" spans="1:10" ht="15.75" customHeight="1">
      <c r="A374" s="133" t="s">
        <v>4</v>
      </c>
      <c r="B374" s="133" t="s">
        <v>3745</v>
      </c>
      <c r="C374" s="133" t="s">
        <v>523</v>
      </c>
      <c r="D374" s="133" t="s">
        <v>477</v>
      </c>
      <c r="E374" s="158">
        <v>8</v>
      </c>
      <c r="F374" s="158">
        <v>0</v>
      </c>
      <c r="G374" s="158">
        <v>0</v>
      </c>
      <c r="H374" s="133" t="s">
        <v>834</v>
      </c>
      <c r="I374" s="133" t="s">
        <v>548</v>
      </c>
      <c r="J374" s="158">
        <v>0</v>
      </c>
    </row>
    <row r="375" spans="1:10" ht="15.75" customHeight="1">
      <c r="A375" s="133" t="s">
        <v>4</v>
      </c>
      <c r="B375" s="133" t="s">
        <v>3745</v>
      </c>
      <c r="C375" s="133" t="s">
        <v>669</v>
      </c>
      <c r="D375" s="133" t="s">
        <v>496</v>
      </c>
      <c r="E375" s="158">
        <v>4</v>
      </c>
      <c r="F375" s="158">
        <v>16</v>
      </c>
      <c r="G375" s="158">
        <v>0</v>
      </c>
      <c r="H375" s="133" t="s">
        <v>835</v>
      </c>
      <c r="I375" s="133" t="s">
        <v>548</v>
      </c>
      <c r="J375" s="158">
        <v>0</v>
      </c>
    </row>
    <row r="376" spans="1:10" ht="15.75" customHeight="1">
      <c r="A376" s="133" t="s">
        <v>4</v>
      </c>
      <c r="B376" s="133" t="s">
        <v>3745</v>
      </c>
      <c r="C376" s="133" t="s">
        <v>670</v>
      </c>
      <c r="D376" s="133" t="s">
        <v>477</v>
      </c>
      <c r="E376" s="158">
        <v>8</v>
      </c>
      <c r="F376" s="158">
        <v>0</v>
      </c>
      <c r="G376" s="158">
        <v>0</v>
      </c>
      <c r="H376" s="133" t="s">
        <v>5153</v>
      </c>
      <c r="I376" s="133" t="s">
        <v>548</v>
      </c>
      <c r="J376" s="158">
        <v>0</v>
      </c>
    </row>
    <row r="377" spans="1:10" ht="15.75" customHeight="1">
      <c r="A377" s="133" t="s">
        <v>4</v>
      </c>
      <c r="B377" s="133" t="s">
        <v>3745</v>
      </c>
      <c r="C377" s="133" t="s">
        <v>215</v>
      </c>
      <c r="D377" s="133" t="s">
        <v>496</v>
      </c>
      <c r="E377" s="158">
        <v>4</v>
      </c>
      <c r="F377" s="158">
        <v>16</v>
      </c>
      <c r="G377" s="158">
        <v>0</v>
      </c>
      <c r="H377" s="133" t="s">
        <v>1982</v>
      </c>
      <c r="I377" s="133" t="s">
        <v>548</v>
      </c>
      <c r="J377" s="158">
        <v>0</v>
      </c>
    </row>
    <row r="378" spans="1:10" ht="15.75" customHeight="1">
      <c r="A378" s="133" t="s">
        <v>4</v>
      </c>
      <c r="B378" s="133" t="s">
        <v>3748</v>
      </c>
      <c r="C378" s="133" t="s">
        <v>3751</v>
      </c>
      <c r="D378" s="133" t="s">
        <v>477</v>
      </c>
      <c r="E378" s="158">
        <v>7</v>
      </c>
      <c r="F378" s="158">
        <v>0</v>
      </c>
      <c r="G378" s="158">
        <v>0</v>
      </c>
      <c r="H378" s="133" t="s">
        <v>5164</v>
      </c>
      <c r="I378" s="133" t="s">
        <v>548</v>
      </c>
      <c r="J378" s="158">
        <v>0</v>
      </c>
    </row>
    <row r="379" spans="1:10" ht="15.75" customHeight="1">
      <c r="A379" s="133" t="s">
        <v>4</v>
      </c>
      <c r="B379" s="133" t="s">
        <v>3748</v>
      </c>
      <c r="C379" s="133" t="s">
        <v>3742</v>
      </c>
      <c r="D379" s="133" t="s">
        <v>477</v>
      </c>
      <c r="E379" s="158">
        <v>20</v>
      </c>
      <c r="F379" s="158">
        <v>0</v>
      </c>
      <c r="G379" s="158">
        <v>0</v>
      </c>
      <c r="H379" s="133" t="s">
        <v>5362</v>
      </c>
      <c r="I379" s="133" t="s">
        <v>548</v>
      </c>
      <c r="J379" s="158">
        <v>0</v>
      </c>
    </row>
    <row r="380" spans="1:10" ht="15.75" customHeight="1">
      <c r="A380" s="133" t="s">
        <v>4</v>
      </c>
      <c r="B380" s="133" t="s">
        <v>3748</v>
      </c>
      <c r="C380" s="133" t="s">
        <v>5390</v>
      </c>
      <c r="D380" s="133" t="s">
        <v>477</v>
      </c>
      <c r="E380" s="158">
        <v>4</v>
      </c>
      <c r="F380" s="158">
        <v>0</v>
      </c>
      <c r="G380" s="158">
        <v>0</v>
      </c>
      <c r="H380" s="133" t="s">
        <v>5391</v>
      </c>
      <c r="I380" s="133" t="s">
        <v>548</v>
      </c>
      <c r="J380" s="158">
        <v>0</v>
      </c>
    </row>
    <row r="381" spans="1:10" ht="15.75" customHeight="1">
      <c r="A381" s="133" t="s">
        <v>4</v>
      </c>
      <c r="B381" s="133" t="s">
        <v>3748</v>
      </c>
      <c r="C381" s="133" t="s">
        <v>1611</v>
      </c>
      <c r="D381" s="133" t="s">
        <v>477</v>
      </c>
      <c r="E381" s="158">
        <v>3</v>
      </c>
      <c r="F381" s="158">
        <v>0</v>
      </c>
      <c r="G381" s="158">
        <v>0</v>
      </c>
      <c r="H381" s="133" t="s">
        <v>1569</v>
      </c>
      <c r="I381" s="133" t="s">
        <v>548</v>
      </c>
      <c r="J381" s="158">
        <v>0</v>
      </c>
    </row>
    <row r="382" spans="1:10" ht="15.75" customHeight="1">
      <c r="A382" s="133" t="s">
        <v>4</v>
      </c>
      <c r="B382" s="133" t="s">
        <v>3748</v>
      </c>
      <c r="C382" s="133" t="s">
        <v>3733</v>
      </c>
      <c r="D382" s="133" t="s">
        <v>477</v>
      </c>
      <c r="E382" s="158">
        <v>10</v>
      </c>
      <c r="F382" s="158">
        <v>0</v>
      </c>
      <c r="G382" s="158">
        <v>0</v>
      </c>
      <c r="H382" s="133" t="s">
        <v>5335</v>
      </c>
      <c r="I382" s="133" t="s">
        <v>548</v>
      </c>
      <c r="J382" s="158">
        <v>0</v>
      </c>
    </row>
    <row r="383" spans="1:10" ht="15.75" customHeight="1">
      <c r="A383" s="133" t="s">
        <v>4</v>
      </c>
      <c r="B383" s="133" t="s">
        <v>3748</v>
      </c>
      <c r="C383" s="133" t="s">
        <v>1813</v>
      </c>
      <c r="D383" s="133" t="s">
        <v>477</v>
      </c>
      <c r="E383" s="158">
        <v>3</v>
      </c>
      <c r="F383" s="158">
        <v>0</v>
      </c>
      <c r="G383" s="158">
        <v>0</v>
      </c>
      <c r="H383" s="133" t="s">
        <v>5392</v>
      </c>
      <c r="I383" s="133" t="s">
        <v>596</v>
      </c>
      <c r="J383" s="158">
        <v>0</v>
      </c>
    </row>
    <row r="384" spans="1:10" ht="15.75" customHeight="1">
      <c r="A384" s="133" t="s">
        <v>4</v>
      </c>
      <c r="B384" s="133" t="s">
        <v>3748</v>
      </c>
      <c r="C384" s="133" t="s">
        <v>523</v>
      </c>
      <c r="D384" s="133" t="s">
        <v>477</v>
      </c>
      <c r="E384" s="158">
        <v>8</v>
      </c>
      <c r="F384" s="158">
        <v>0</v>
      </c>
      <c r="G384" s="158">
        <v>0</v>
      </c>
      <c r="H384" s="133" t="s">
        <v>5198</v>
      </c>
      <c r="I384" s="133" t="s">
        <v>548</v>
      </c>
      <c r="J384" s="158">
        <v>0</v>
      </c>
    </row>
    <row r="385" spans="1:10" ht="15.75" customHeight="1">
      <c r="A385" s="133" t="s">
        <v>4</v>
      </c>
      <c r="B385" s="133" t="s">
        <v>3748</v>
      </c>
      <c r="C385" s="133" t="s">
        <v>669</v>
      </c>
      <c r="D385" s="133" t="s">
        <v>496</v>
      </c>
      <c r="E385" s="158">
        <v>4</v>
      </c>
      <c r="F385" s="158">
        <v>16</v>
      </c>
      <c r="G385" s="158">
        <v>0</v>
      </c>
      <c r="H385" s="133" t="s">
        <v>835</v>
      </c>
      <c r="I385" s="133" t="s">
        <v>548</v>
      </c>
      <c r="J385" s="158">
        <v>0</v>
      </c>
    </row>
    <row r="386" spans="1:10" ht="15.75" customHeight="1">
      <c r="A386" s="133" t="s">
        <v>4</v>
      </c>
      <c r="B386" s="133" t="s">
        <v>3748</v>
      </c>
      <c r="C386" s="133" t="s">
        <v>670</v>
      </c>
      <c r="D386" s="133" t="s">
        <v>477</v>
      </c>
      <c r="E386" s="158">
        <v>8</v>
      </c>
      <c r="F386" s="158">
        <v>0</v>
      </c>
      <c r="G386" s="158">
        <v>0</v>
      </c>
      <c r="H386" s="133" t="s">
        <v>5199</v>
      </c>
      <c r="I386" s="133" t="s">
        <v>548</v>
      </c>
      <c r="J386" s="158">
        <v>0</v>
      </c>
    </row>
    <row r="387" spans="1:10" ht="15.75" customHeight="1">
      <c r="A387" s="133" t="s">
        <v>4</v>
      </c>
      <c r="B387" s="133" t="s">
        <v>3748</v>
      </c>
      <c r="C387" s="133" t="s">
        <v>215</v>
      </c>
      <c r="D387" s="133" t="s">
        <v>496</v>
      </c>
      <c r="E387" s="158">
        <v>4</v>
      </c>
      <c r="F387" s="158">
        <v>16</v>
      </c>
      <c r="G387" s="158">
        <v>0</v>
      </c>
      <c r="H387" s="133" t="s">
        <v>1982</v>
      </c>
      <c r="I387" s="133" t="s">
        <v>548</v>
      </c>
      <c r="J387" s="158">
        <v>0</v>
      </c>
    </row>
    <row r="388" spans="1:10" ht="15.75" customHeight="1">
      <c r="A388" s="133" t="s">
        <v>4</v>
      </c>
      <c r="B388" s="133" t="s">
        <v>3750</v>
      </c>
      <c r="C388" s="133" t="s">
        <v>3751</v>
      </c>
      <c r="D388" s="133" t="s">
        <v>477</v>
      </c>
      <c r="E388" s="158">
        <v>7</v>
      </c>
      <c r="F388" s="158">
        <v>0</v>
      </c>
      <c r="G388" s="158">
        <v>0</v>
      </c>
      <c r="H388" s="133" t="s">
        <v>5164</v>
      </c>
      <c r="I388" s="133" t="s">
        <v>479</v>
      </c>
      <c r="J388" s="158">
        <v>0</v>
      </c>
    </row>
    <row r="389" spans="1:10" ht="15.75" customHeight="1">
      <c r="A389" s="133" t="s">
        <v>4</v>
      </c>
      <c r="B389" s="133" t="s">
        <v>3750</v>
      </c>
      <c r="C389" s="133" t="s">
        <v>5162</v>
      </c>
      <c r="D389" s="133" t="s">
        <v>477</v>
      </c>
      <c r="E389" s="158">
        <v>50</v>
      </c>
      <c r="F389" s="158">
        <v>0</v>
      </c>
      <c r="G389" s="158">
        <v>0</v>
      </c>
      <c r="H389" s="133" t="s">
        <v>5393</v>
      </c>
      <c r="I389" s="133" t="s">
        <v>548</v>
      </c>
      <c r="J389" s="158">
        <v>0</v>
      </c>
    </row>
    <row r="390" spans="1:10" ht="15.75" customHeight="1">
      <c r="A390" s="133" t="s">
        <v>4</v>
      </c>
      <c r="B390" s="133" t="s">
        <v>3750</v>
      </c>
      <c r="C390" s="133" t="s">
        <v>1585</v>
      </c>
      <c r="D390" s="133" t="s">
        <v>477</v>
      </c>
      <c r="E390" s="158">
        <v>50</v>
      </c>
      <c r="F390" s="158">
        <v>0</v>
      </c>
      <c r="G390" s="158">
        <v>0</v>
      </c>
      <c r="H390" s="133" t="s">
        <v>5394</v>
      </c>
      <c r="I390" s="133" t="s">
        <v>548</v>
      </c>
      <c r="J390" s="158">
        <v>0</v>
      </c>
    </row>
    <row r="391" spans="1:10" ht="15.75" customHeight="1">
      <c r="A391" s="133" t="s">
        <v>4</v>
      </c>
      <c r="B391" s="133" t="s">
        <v>3750</v>
      </c>
      <c r="C391" s="133" t="s">
        <v>1804</v>
      </c>
      <c r="D391" s="133" t="s">
        <v>477</v>
      </c>
      <c r="E391" s="158">
        <v>50</v>
      </c>
      <c r="F391" s="158">
        <v>0</v>
      </c>
      <c r="G391" s="158">
        <v>0</v>
      </c>
      <c r="H391" s="133" t="s">
        <v>5395</v>
      </c>
      <c r="I391" s="133" t="s">
        <v>548</v>
      </c>
      <c r="J391" s="158">
        <v>0</v>
      </c>
    </row>
    <row r="392" spans="1:10" ht="15.75" customHeight="1">
      <c r="A392" s="133" t="s">
        <v>4</v>
      </c>
      <c r="B392" s="133" t="s">
        <v>3750</v>
      </c>
      <c r="C392" s="133" t="s">
        <v>5396</v>
      </c>
      <c r="D392" s="133" t="s">
        <v>477</v>
      </c>
      <c r="E392" s="158">
        <v>20</v>
      </c>
      <c r="F392" s="158">
        <v>0</v>
      </c>
      <c r="G392" s="158">
        <v>0</v>
      </c>
      <c r="H392" s="133" t="s">
        <v>5397</v>
      </c>
      <c r="I392" s="133" t="s">
        <v>5398</v>
      </c>
      <c r="J392" s="158">
        <v>0</v>
      </c>
    </row>
    <row r="393" spans="1:10" ht="15.75" customHeight="1">
      <c r="A393" s="133" t="s">
        <v>4</v>
      </c>
      <c r="B393" s="133" t="s">
        <v>3750</v>
      </c>
      <c r="C393" s="133" t="s">
        <v>1815</v>
      </c>
      <c r="D393" s="133" t="s">
        <v>477</v>
      </c>
      <c r="E393" s="158">
        <v>50</v>
      </c>
      <c r="F393" s="158">
        <v>0</v>
      </c>
      <c r="G393" s="158">
        <v>0</v>
      </c>
      <c r="H393" s="133" t="s">
        <v>1687</v>
      </c>
      <c r="I393" s="133" t="s">
        <v>548</v>
      </c>
      <c r="J393" s="158">
        <v>0</v>
      </c>
    </row>
    <row r="394" spans="1:10" ht="15.75" customHeight="1">
      <c r="A394" s="133" t="s">
        <v>4</v>
      </c>
      <c r="B394" s="133" t="s">
        <v>3750</v>
      </c>
      <c r="C394" s="133" t="s">
        <v>1816</v>
      </c>
      <c r="D394" s="133" t="s">
        <v>477</v>
      </c>
      <c r="E394" s="158">
        <v>50</v>
      </c>
      <c r="F394" s="158">
        <v>0</v>
      </c>
      <c r="G394" s="158">
        <v>0</v>
      </c>
      <c r="H394" s="133" t="s">
        <v>1689</v>
      </c>
      <c r="I394" s="133" t="s">
        <v>548</v>
      </c>
      <c r="J394" s="158">
        <v>0</v>
      </c>
    </row>
    <row r="395" spans="1:10" ht="15.75" customHeight="1">
      <c r="A395" s="133" t="s">
        <v>4</v>
      </c>
      <c r="B395" s="133" t="s">
        <v>3750</v>
      </c>
      <c r="C395" s="133" t="s">
        <v>5399</v>
      </c>
      <c r="D395" s="133" t="s">
        <v>484</v>
      </c>
      <c r="E395" s="158">
        <v>4</v>
      </c>
      <c r="F395" s="158">
        <v>10</v>
      </c>
      <c r="G395" s="158">
        <v>0</v>
      </c>
      <c r="H395" s="133" t="s">
        <v>5400</v>
      </c>
      <c r="I395" s="133" t="s">
        <v>615</v>
      </c>
      <c r="J395" s="158">
        <v>0</v>
      </c>
    </row>
    <row r="396" spans="1:10" ht="15.75" customHeight="1">
      <c r="A396" s="133" t="s">
        <v>4</v>
      </c>
      <c r="B396" s="133" t="s">
        <v>3750</v>
      </c>
      <c r="C396" s="133" t="s">
        <v>1819</v>
      </c>
      <c r="D396" s="133" t="s">
        <v>477</v>
      </c>
      <c r="E396" s="158">
        <v>3</v>
      </c>
      <c r="F396" s="158">
        <v>0</v>
      </c>
      <c r="G396" s="158">
        <v>0</v>
      </c>
      <c r="H396" s="133" t="s">
        <v>5401</v>
      </c>
      <c r="I396" s="133" t="s">
        <v>596</v>
      </c>
      <c r="J396" s="158">
        <v>0</v>
      </c>
    </row>
    <row r="397" spans="1:10" ht="15.75" customHeight="1">
      <c r="A397" s="133" t="s">
        <v>4</v>
      </c>
      <c r="B397" s="133" t="s">
        <v>3750</v>
      </c>
      <c r="C397" s="133" t="s">
        <v>523</v>
      </c>
      <c r="D397" s="133" t="s">
        <v>477</v>
      </c>
      <c r="E397" s="158">
        <v>8</v>
      </c>
      <c r="F397" s="158">
        <v>0</v>
      </c>
      <c r="G397" s="158">
        <v>0</v>
      </c>
      <c r="H397" s="133" t="s">
        <v>834</v>
      </c>
      <c r="I397" s="133" t="s">
        <v>479</v>
      </c>
      <c r="J397" s="158">
        <v>0</v>
      </c>
    </row>
    <row r="398" spans="1:10" ht="15.75" customHeight="1">
      <c r="A398" s="133" t="s">
        <v>4</v>
      </c>
      <c r="B398" s="133" t="s">
        <v>3750</v>
      </c>
      <c r="C398" s="133" t="s">
        <v>669</v>
      </c>
      <c r="D398" s="133" t="s">
        <v>496</v>
      </c>
      <c r="E398" s="158">
        <v>4</v>
      </c>
      <c r="F398" s="158">
        <v>16</v>
      </c>
      <c r="G398" s="158">
        <v>0</v>
      </c>
      <c r="H398" s="133" t="s">
        <v>835</v>
      </c>
      <c r="I398" s="133" t="s">
        <v>479</v>
      </c>
      <c r="J398" s="158">
        <v>0</v>
      </c>
    </row>
    <row r="399" spans="1:10" ht="15.75" customHeight="1">
      <c r="A399" s="133" t="s">
        <v>4</v>
      </c>
      <c r="B399" s="133" t="s">
        <v>3750</v>
      </c>
      <c r="C399" s="133" t="s">
        <v>670</v>
      </c>
      <c r="D399" s="133" t="s">
        <v>477</v>
      </c>
      <c r="E399" s="158">
        <v>8</v>
      </c>
      <c r="F399" s="158">
        <v>0</v>
      </c>
      <c r="G399" s="158">
        <v>0</v>
      </c>
      <c r="H399" s="133" t="s">
        <v>5153</v>
      </c>
      <c r="I399" s="133" t="s">
        <v>548</v>
      </c>
      <c r="J399" s="158">
        <v>0</v>
      </c>
    </row>
    <row r="400" spans="1:10" ht="15.75" customHeight="1">
      <c r="A400" s="133" t="s">
        <v>4</v>
      </c>
      <c r="B400" s="133" t="s">
        <v>3750</v>
      </c>
      <c r="C400" s="133" t="s">
        <v>215</v>
      </c>
      <c r="D400" s="133" t="s">
        <v>496</v>
      </c>
      <c r="E400" s="158">
        <v>4</v>
      </c>
      <c r="F400" s="158">
        <v>16</v>
      </c>
      <c r="G400" s="158">
        <v>0</v>
      </c>
      <c r="H400" s="133" t="s">
        <v>1982</v>
      </c>
      <c r="I400" s="133" t="s">
        <v>479</v>
      </c>
      <c r="J400" s="158">
        <v>0</v>
      </c>
    </row>
    <row r="401" spans="1:25" ht="15.75" customHeight="1">
      <c r="A401" s="133" t="s">
        <v>4</v>
      </c>
      <c r="B401" s="133" t="s">
        <v>3750</v>
      </c>
      <c r="C401" s="133" t="s">
        <v>1813</v>
      </c>
      <c r="D401" s="133" t="s">
        <v>477</v>
      </c>
      <c r="E401" s="158">
        <v>3</v>
      </c>
      <c r="F401" s="158">
        <v>0</v>
      </c>
      <c r="G401" s="158">
        <v>0</v>
      </c>
      <c r="H401" s="133" t="s">
        <v>479</v>
      </c>
      <c r="I401" s="133" t="s">
        <v>548</v>
      </c>
      <c r="J401" s="158">
        <v>0</v>
      </c>
    </row>
    <row r="402" spans="1:25" ht="15.75" customHeight="1">
      <c r="A402" s="161" t="s">
        <v>4</v>
      </c>
      <c r="B402" s="161" t="s">
        <v>3755</v>
      </c>
      <c r="C402" s="161" t="s">
        <v>2317</v>
      </c>
      <c r="D402" s="161" t="s">
        <v>477</v>
      </c>
      <c r="E402" s="162">
        <v>5</v>
      </c>
      <c r="F402" s="162">
        <v>0</v>
      </c>
      <c r="G402" s="162">
        <v>0</v>
      </c>
      <c r="H402" s="161"/>
      <c r="I402" s="161"/>
      <c r="J402" s="162">
        <v>0</v>
      </c>
      <c r="K402" s="164" t="s">
        <v>2318</v>
      </c>
      <c r="L402" s="165"/>
      <c r="M402" s="165"/>
      <c r="N402" s="165"/>
      <c r="O402" s="165"/>
      <c r="P402" s="165"/>
      <c r="Q402" s="165"/>
      <c r="R402" s="165"/>
      <c r="S402" s="165"/>
      <c r="T402" s="165"/>
      <c r="U402" s="165"/>
      <c r="V402" s="165"/>
      <c r="W402" s="165"/>
      <c r="X402" s="165"/>
      <c r="Y402" s="165"/>
    </row>
    <row r="403" spans="1:25" ht="15.75" customHeight="1">
      <c r="A403" s="133" t="s">
        <v>4</v>
      </c>
      <c r="B403" s="133" t="s">
        <v>3755</v>
      </c>
      <c r="C403" s="133" t="s">
        <v>325</v>
      </c>
      <c r="D403" s="133" t="s">
        <v>484</v>
      </c>
      <c r="E403" s="158">
        <v>4</v>
      </c>
      <c r="F403" s="158">
        <v>10</v>
      </c>
      <c r="G403" s="158">
        <v>0</v>
      </c>
      <c r="H403" s="133" t="s">
        <v>479</v>
      </c>
      <c r="I403" s="133" t="s">
        <v>479</v>
      </c>
      <c r="J403" s="158">
        <v>0</v>
      </c>
    </row>
    <row r="404" spans="1:25" ht="15.75" customHeight="1">
      <c r="A404" s="133" t="s">
        <v>4</v>
      </c>
      <c r="B404" s="133" t="s">
        <v>3755</v>
      </c>
      <c r="C404" s="133" t="s">
        <v>4205</v>
      </c>
      <c r="D404" s="133" t="s">
        <v>477</v>
      </c>
      <c r="E404" s="158">
        <v>10</v>
      </c>
      <c r="F404" s="158">
        <v>0</v>
      </c>
      <c r="G404" s="158">
        <v>0</v>
      </c>
      <c r="H404" s="133" t="s">
        <v>5402</v>
      </c>
      <c r="I404" s="133" t="s">
        <v>548</v>
      </c>
      <c r="J404" s="158">
        <v>0</v>
      </c>
    </row>
    <row r="405" spans="1:25" ht="15.75" customHeight="1">
      <c r="A405" s="133" t="s">
        <v>4</v>
      </c>
      <c r="B405" s="133" t="s">
        <v>3755</v>
      </c>
      <c r="C405" s="133" t="s">
        <v>4348</v>
      </c>
      <c r="D405" s="133" t="s">
        <v>477</v>
      </c>
      <c r="E405" s="158">
        <v>12</v>
      </c>
      <c r="F405" s="158">
        <v>0</v>
      </c>
      <c r="G405" s="158">
        <v>0</v>
      </c>
      <c r="H405" s="133" t="s">
        <v>5403</v>
      </c>
      <c r="I405" s="133" t="s">
        <v>548</v>
      </c>
      <c r="J405" s="158">
        <v>0</v>
      </c>
    </row>
    <row r="406" spans="1:25" ht="15.75" customHeight="1">
      <c r="A406" s="133" t="s">
        <v>4</v>
      </c>
      <c r="B406" s="133" t="s">
        <v>3755</v>
      </c>
      <c r="C406" s="133" t="s">
        <v>4663</v>
      </c>
      <c r="D406" s="133" t="s">
        <v>477</v>
      </c>
      <c r="E406" s="158">
        <v>20</v>
      </c>
      <c r="F406" s="158">
        <v>0</v>
      </c>
      <c r="G406" s="158">
        <v>0</v>
      </c>
      <c r="H406" s="133" t="s">
        <v>1556</v>
      </c>
      <c r="I406" s="133" t="s">
        <v>548</v>
      </c>
      <c r="J406" s="158">
        <v>0</v>
      </c>
    </row>
    <row r="407" spans="1:25" ht="15.75" customHeight="1">
      <c r="A407" s="133" t="s">
        <v>4</v>
      </c>
      <c r="B407" s="133" t="s">
        <v>3755</v>
      </c>
      <c r="C407" s="133" t="s">
        <v>5109</v>
      </c>
      <c r="D407" s="133" t="s">
        <v>477</v>
      </c>
      <c r="E407" s="158">
        <v>20</v>
      </c>
      <c r="F407" s="158">
        <v>0</v>
      </c>
      <c r="G407" s="158">
        <v>0</v>
      </c>
      <c r="H407" s="133" t="s">
        <v>5404</v>
      </c>
      <c r="I407" s="133" t="s">
        <v>548</v>
      </c>
      <c r="J407" s="158">
        <v>0</v>
      </c>
    </row>
    <row r="408" spans="1:25" ht="15.75" customHeight="1">
      <c r="A408" s="133" t="s">
        <v>4</v>
      </c>
      <c r="B408" s="133" t="s">
        <v>3755</v>
      </c>
      <c r="C408" s="133" t="s">
        <v>4664</v>
      </c>
      <c r="D408" s="133" t="s">
        <v>1974</v>
      </c>
      <c r="E408" s="158">
        <v>3</v>
      </c>
      <c r="F408" s="158">
        <v>10</v>
      </c>
      <c r="G408" s="158">
        <v>0</v>
      </c>
      <c r="H408" s="133" t="s">
        <v>5405</v>
      </c>
      <c r="I408" s="133" t="s">
        <v>548</v>
      </c>
      <c r="J408" s="158">
        <v>0</v>
      </c>
    </row>
    <row r="409" spans="1:25" ht="15.75" customHeight="1">
      <c r="A409" s="133" t="s">
        <v>4</v>
      </c>
      <c r="B409" s="133" t="s">
        <v>3755</v>
      </c>
      <c r="C409" s="133" t="s">
        <v>5406</v>
      </c>
      <c r="D409" s="133" t="s">
        <v>477</v>
      </c>
      <c r="E409" s="158">
        <v>10</v>
      </c>
      <c r="F409" s="158">
        <v>0</v>
      </c>
      <c r="G409" s="158">
        <v>0</v>
      </c>
      <c r="H409" s="133" t="s">
        <v>2868</v>
      </c>
      <c r="I409" s="133" t="s">
        <v>548</v>
      </c>
      <c r="J409" s="158">
        <v>0</v>
      </c>
    </row>
    <row r="410" spans="1:25" ht="15.75" customHeight="1">
      <c r="A410" s="133" t="s">
        <v>4</v>
      </c>
      <c r="B410" s="133" t="s">
        <v>3755</v>
      </c>
      <c r="C410" s="133" t="s">
        <v>4691</v>
      </c>
      <c r="D410" s="133" t="s">
        <v>481</v>
      </c>
      <c r="E410" s="158">
        <v>9</v>
      </c>
      <c r="F410" s="158">
        <v>11</v>
      </c>
      <c r="G410" s="158">
        <v>2</v>
      </c>
      <c r="H410" s="133" t="s">
        <v>5407</v>
      </c>
      <c r="I410" s="133" t="s">
        <v>615</v>
      </c>
      <c r="J410" s="158">
        <v>0</v>
      </c>
    </row>
    <row r="411" spans="1:25" ht="15.75" customHeight="1">
      <c r="A411" s="133" t="s">
        <v>4</v>
      </c>
      <c r="B411" s="133" t="s">
        <v>3755</v>
      </c>
      <c r="C411" s="133" t="s">
        <v>4688</v>
      </c>
      <c r="D411" s="133" t="s">
        <v>477</v>
      </c>
      <c r="E411" s="158">
        <v>10</v>
      </c>
      <c r="F411" s="158">
        <v>0</v>
      </c>
      <c r="G411" s="158">
        <v>0</v>
      </c>
      <c r="H411" s="133" t="s">
        <v>5408</v>
      </c>
      <c r="I411" s="133" t="s">
        <v>548</v>
      </c>
      <c r="J411" s="158">
        <v>0</v>
      </c>
    </row>
    <row r="412" spans="1:25" ht="15.75" customHeight="1">
      <c r="A412" s="133" t="s">
        <v>4</v>
      </c>
      <c r="B412" s="133" t="s">
        <v>3755</v>
      </c>
      <c r="C412" s="133" t="s">
        <v>4690</v>
      </c>
      <c r="D412" s="133" t="s">
        <v>481</v>
      </c>
      <c r="E412" s="158">
        <v>9</v>
      </c>
      <c r="F412" s="158">
        <v>11</v>
      </c>
      <c r="G412" s="158">
        <v>2</v>
      </c>
      <c r="H412" s="133" t="s">
        <v>5409</v>
      </c>
      <c r="I412" s="133" t="s">
        <v>615</v>
      </c>
      <c r="J412" s="158">
        <v>0</v>
      </c>
    </row>
    <row r="413" spans="1:25" ht="15.75" customHeight="1">
      <c r="A413" s="133" t="s">
        <v>4</v>
      </c>
      <c r="B413" s="133" t="s">
        <v>3755</v>
      </c>
      <c r="C413" s="133" t="s">
        <v>5410</v>
      </c>
      <c r="D413" s="133" t="s">
        <v>481</v>
      </c>
      <c r="E413" s="158">
        <v>9</v>
      </c>
      <c r="F413" s="158">
        <v>11</v>
      </c>
      <c r="G413" s="158">
        <v>2</v>
      </c>
      <c r="H413" s="133" t="s">
        <v>5411</v>
      </c>
      <c r="I413" s="133" t="s">
        <v>615</v>
      </c>
      <c r="J413" s="158">
        <v>0</v>
      </c>
    </row>
    <row r="414" spans="1:25" ht="15.75" customHeight="1">
      <c r="A414" s="133" t="s">
        <v>4</v>
      </c>
      <c r="B414" s="133" t="s">
        <v>3755</v>
      </c>
      <c r="C414" s="133" t="s">
        <v>5110</v>
      </c>
      <c r="D414" s="133" t="s">
        <v>477</v>
      </c>
      <c r="E414" s="158">
        <v>20</v>
      </c>
      <c r="F414" s="158">
        <v>0</v>
      </c>
      <c r="G414" s="158">
        <v>0</v>
      </c>
      <c r="H414" s="133" t="s">
        <v>5111</v>
      </c>
      <c r="I414" s="133" t="s">
        <v>548</v>
      </c>
      <c r="J414" s="158">
        <v>0</v>
      </c>
    </row>
    <row r="415" spans="1:25" ht="15.75" customHeight="1">
      <c r="A415" s="133" t="s">
        <v>4</v>
      </c>
      <c r="B415" s="133" t="s">
        <v>3755</v>
      </c>
      <c r="C415" s="133" t="s">
        <v>3742</v>
      </c>
      <c r="D415" s="133" t="s">
        <v>477</v>
      </c>
      <c r="E415" s="158">
        <v>20</v>
      </c>
      <c r="F415" s="158">
        <v>0</v>
      </c>
      <c r="G415" s="158">
        <v>0</v>
      </c>
      <c r="H415" s="133" t="s">
        <v>5412</v>
      </c>
      <c r="I415" s="133" t="s">
        <v>548</v>
      </c>
      <c r="J415" s="158">
        <v>0</v>
      </c>
    </row>
    <row r="416" spans="1:25" ht="15.75" customHeight="1">
      <c r="A416" s="133" t="s">
        <v>4</v>
      </c>
      <c r="B416" s="133" t="s">
        <v>3755</v>
      </c>
      <c r="C416" s="133" t="s">
        <v>292</v>
      </c>
      <c r="D416" s="133" t="s">
        <v>484</v>
      </c>
      <c r="E416" s="158">
        <v>4</v>
      </c>
      <c r="F416" s="158">
        <v>10</v>
      </c>
      <c r="G416" s="158">
        <v>0</v>
      </c>
      <c r="H416" s="133" t="s">
        <v>5413</v>
      </c>
      <c r="I416" s="133" t="s">
        <v>615</v>
      </c>
      <c r="J416" s="158">
        <v>0</v>
      </c>
    </row>
    <row r="417" spans="1:10" ht="15.75" customHeight="1">
      <c r="A417" s="133" t="s">
        <v>4</v>
      </c>
      <c r="B417" s="133" t="s">
        <v>3755</v>
      </c>
      <c r="C417" s="133" t="s">
        <v>811</v>
      </c>
      <c r="D417" s="133" t="s">
        <v>477</v>
      </c>
      <c r="E417" s="158">
        <v>20</v>
      </c>
      <c r="F417" s="158">
        <v>0</v>
      </c>
      <c r="G417" s="158">
        <v>0</v>
      </c>
      <c r="H417" s="133" t="s">
        <v>5414</v>
      </c>
      <c r="I417" s="133" t="s">
        <v>548</v>
      </c>
      <c r="J417" s="158">
        <v>0</v>
      </c>
    </row>
    <row r="418" spans="1:10" ht="15.75" customHeight="1">
      <c r="A418" s="133" t="s">
        <v>4</v>
      </c>
      <c r="B418" s="133" t="s">
        <v>3755</v>
      </c>
      <c r="C418" s="133" t="s">
        <v>3720</v>
      </c>
      <c r="D418" s="133" t="s">
        <v>477</v>
      </c>
      <c r="E418" s="158">
        <v>10</v>
      </c>
      <c r="F418" s="158">
        <v>0</v>
      </c>
      <c r="G418" s="158">
        <v>0</v>
      </c>
      <c r="H418" s="133" t="s">
        <v>5415</v>
      </c>
      <c r="I418" s="133" t="s">
        <v>548</v>
      </c>
      <c r="J418" s="158">
        <v>0</v>
      </c>
    </row>
    <row r="419" spans="1:10" ht="15.75" customHeight="1">
      <c r="A419" s="133" t="s">
        <v>4</v>
      </c>
      <c r="B419" s="133" t="s">
        <v>3755</v>
      </c>
      <c r="C419" s="133" t="s">
        <v>5416</v>
      </c>
      <c r="D419" s="133" t="s">
        <v>477</v>
      </c>
      <c r="E419" s="158">
        <v>3</v>
      </c>
      <c r="F419" s="158">
        <v>0</v>
      </c>
      <c r="G419" s="158">
        <v>0</v>
      </c>
      <c r="H419" s="133" t="s">
        <v>5417</v>
      </c>
      <c r="I419" s="133" t="s">
        <v>596</v>
      </c>
      <c r="J419" s="158">
        <v>0</v>
      </c>
    </row>
    <row r="420" spans="1:10" ht="15.75" customHeight="1">
      <c r="A420" s="133" t="s">
        <v>4</v>
      </c>
      <c r="B420" s="133" t="s">
        <v>3755</v>
      </c>
      <c r="C420" s="133" t="s">
        <v>164</v>
      </c>
      <c r="D420" s="133" t="s">
        <v>477</v>
      </c>
      <c r="E420" s="158">
        <v>300</v>
      </c>
      <c r="F420" s="158">
        <v>0</v>
      </c>
      <c r="G420" s="158">
        <v>0</v>
      </c>
      <c r="H420" s="133" t="s">
        <v>900</v>
      </c>
      <c r="I420" s="133" t="s">
        <v>548</v>
      </c>
      <c r="J420" s="158">
        <v>0</v>
      </c>
    </row>
    <row r="421" spans="1:10" ht="15.75" customHeight="1">
      <c r="A421" s="133" t="s">
        <v>4</v>
      </c>
      <c r="B421" s="133" t="s">
        <v>3755</v>
      </c>
      <c r="C421" s="133" t="s">
        <v>4643</v>
      </c>
      <c r="D421" s="133" t="s">
        <v>481</v>
      </c>
      <c r="E421" s="158">
        <v>9</v>
      </c>
      <c r="F421" s="158">
        <v>11</v>
      </c>
      <c r="G421" s="158">
        <v>8</v>
      </c>
      <c r="H421" s="133" t="s">
        <v>479</v>
      </c>
      <c r="I421" s="133" t="s">
        <v>615</v>
      </c>
      <c r="J421" s="158">
        <v>0</v>
      </c>
    </row>
    <row r="422" spans="1:10" ht="15.75" customHeight="1">
      <c r="A422" s="133" t="s">
        <v>4</v>
      </c>
      <c r="B422" s="133" t="s">
        <v>3755</v>
      </c>
      <c r="C422" s="133" t="s">
        <v>5166</v>
      </c>
      <c r="D422" s="133" t="s">
        <v>481</v>
      </c>
      <c r="E422" s="158">
        <v>9</v>
      </c>
      <c r="F422" s="158">
        <v>11</v>
      </c>
      <c r="G422" s="158">
        <v>8</v>
      </c>
      <c r="H422" s="133" t="s">
        <v>479</v>
      </c>
      <c r="I422" s="133" t="s">
        <v>615</v>
      </c>
      <c r="J422" s="158">
        <v>0</v>
      </c>
    </row>
    <row r="423" spans="1:10" ht="15.75" customHeight="1">
      <c r="A423" s="133" t="s">
        <v>4</v>
      </c>
      <c r="B423" s="133" t="s">
        <v>3755</v>
      </c>
      <c r="C423" s="133" t="s">
        <v>5418</v>
      </c>
      <c r="D423" s="133" t="s">
        <v>477</v>
      </c>
      <c r="E423" s="158">
        <v>200</v>
      </c>
      <c r="F423" s="158">
        <v>0</v>
      </c>
      <c r="G423" s="158">
        <v>0</v>
      </c>
      <c r="H423" s="133" t="s">
        <v>479</v>
      </c>
      <c r="I423" s="133" t="s">
        <v>548</v>
      </c>
      <c r="J423" s="158">
        <v>0</v>
      </c>
    </row>
    <row r="424" spans="1:10" ht="15.75" customHeight="1">
      <c r="A424" s="133" t="s">
        <v>4</v>
      </c>
      <c r="B424" s="133" t="s">
        <v>3755</v>
      </c>
      <c r="C424" s="133" t="s">
        <v>523</v>
      </c>
      <c r="D424" s="133" t="s">
        <v>477</v>
      </c>
      <c r="E424" s="158">
        <v>8</v>
      </c>
      <c r="F424" s="158">
        <v>0</v>
      </c>
      <c r="G424" s="158">
        <v>0</v>
      </c>
      <c r="H424" s="133" t="s">
        <v>834</v>
      </c>
      <c r="I424" s="133" t="s">
        <v>548</v>
      </c>
      <c r="J424" s="158">
        <v>0</v>
      </c>
    </row>
    <row r="425" spans="1:10" ht="15.75" customHeight="1">
      <c r="A425" s="133" t="s">
        <v>4</v>
      </c>
      <c r="B425" s="133" t="s">
        <v>3755</v>
      </c>
      <c r="C425" s="133" t="s">
        <v>669</v>
      </c>
      <c r="D425" s="133" t="s">
        <v>496</v>
      </c>
      <c r="E425" s="158">
        <v>4</v>
      </c>
      <c r="F425" s="158">
        <v>16</v>
      </c>
      <c r="G425" s="158">
        <v>0</v>
      </c>
      <c r="H425" s="133" t="s">
        <v>835</v>
      </c>
      <c r="I425" s="133" t="s">
        <v>548</v>
      </c>
      <c r="J425" s="158">
        <v>0</v>
      </c>
    </row>
    <row r="426" spans="1:10" ht="15.75" customHeight="1">
      <c r="A426" s="133" t="s">
        <v>4</v>
      </c>
      <c r="B426" s="133" t="s">
        <v>3755</v>
      </c>
      <c r="C426" s="133" t="s">
        <v>670</v>
      </c>
      <c r="D426" s="133" t="s">
        <v>477</v>
      </c>
      <c r="E426" s="158">
        <v>8</v>
      </c>
      <c r="F426" s="158">
        <v>0</v>
      </c>
      <c r="G426" s="158">
        <v>0</v>
      </c>
      <c r="H426" s="133" t="s">
        <v>5153</v>
      </c>
      <c r="I426" s="133" t="s">
        <v>548</v>
      </c>
      <c r="J426" s="158">
        <v>0</v>
      </c>
    </row>
    <row r="427" spans="1:10" ht="15.75" customHeight="1">
      <c r="A427" s="133" t="s">
        <v>4</v>
      </c>
      <c r="B427" s="133" t="s">
        <v>3755</v>
      </c>
      <c r="C427" s="133" t="s">
        <v>215</v>
      </c>
      <c r="D427" s="133" t="s">
        <v>496</v>
      </c>
      <c r="E427" s="158">
        <v>4</v>
      </c>
      <c r="F427" s="158">
        <v>16</v>
      </c>
      <c r="G427" s="158">
        <v>0</v>
      </c>
      <c r="H427" s="133" t="s">
        <v>1982</v>
      </c>
      <c r="I427" s="133" t="s">
        <v>548</v>
      </c>
      <c r="J427" s="158">
        <v>0</v>
      </c>
    </row>
    <row r="428" spans="1:10" ht="15.75" customHeight="1">
      <c r="A428" s="133" t="s">
        <v>4</v>
      </c>
      <c r="B428" s="133" t="s">
        <v>3755</v>
      </c>
      <c r="C428" s="133" t="s">
        <v>3714</v>
      </c>
      <c r="D428" s="133" t="s">
        <v>484</v>
      </c>
      <c r="E428" s="158">
        <v>4</v>
      </c>
      <c r="F428" s="158">
        <v>10</v>
      </c>
      <c r="G428" s="158">
        <v>0</v>
      </c>
      <c r="H428" s="133" t="s">
        <v>479</v>
      </c>
      <c r="I428" s="133" t="s">
        <v>615</v>
      </c>
      <c r="J428" s="158">
        <v>0</v>
      </c>
    </row>
    <row r="429" spans="1:10" ht="15.75" customHeight="1">
      <c r="A429" s="133" t="s">
        <v>4</v>
      </c>
      <c r="B429" s="133" t="s">
        <v>3755</v>
      </c>
      <c r="C429" s="133" t="s">
        <v>4321</v>
      </c>
      <c r="D429" s="133" t="s">
        <v>477</v>
      </c>
      <c r="E429" s="158">
        <v>50</v>
      </c>
      <c r="F429" s="158">
        <v>0</v>
      </c>
      <c r="G429" s="158">
        <v>0</v>
      </c>
      <c r="H429" s="133" t="s">
        <v>5419</v>
      </c>
      <c r="I429" s="133" t="s">
        <v>548</v>
      </c>
      <c r="J429" s="158">
        <v>0</v>
      </c>
    </row>
    <row r="430" spans="1:10" ht="15.75" customHeight="1">
      <c r="A430" s="133" t="s">
        <v>4</v>
      </c>
      <c r="B430" s="133" t="s">
        <v>3755</v>
      </c>
      <c r="C430" s="133" t="s">
        <v>5420</v>
      </c>
      <c r="D430" s="133" t="s">
        <v>477</v>
      </c>
      <c r="E430" s="158">
        <v>20</v>
      </c>
      <c r="F430" s="158">
        <v>0</v>
      </c>
      <c r="G430" s="158">
        <v>0</v>
      </c>
      <c r="H430" s="133" t="s">
        <v>479</v>
      </c>
      <c r="I430" s="133" t="s">
        <v>548</v>
      </c>
      <c r="J430" s="158">
        <v>0</v>
      </c>
    </row>
    <row r="431" spans="1:10" ht="15.75" customHeight="1">
      <c r="A431" s="133" t="s">
        <v>4</v>
      </c>
      <c r="B431" s="133" t="s">
        <v>3755</v>
      </c>
      <c r="C431" s="133" t="s">
        <v>5421</v>
      </c>
      <c r="D431" s="133" t="s">
        <v>477</v>
      </c>
      <c r="E431" s="158">
        <v>20</v>
      </c>
      <c r="F431" s="158">
        <v>0</v>
      </c>
      <c r="G431" s="158">
        <v>0</v>
      </c>
      <c r="H431" s="133" t="s">
        <v>479</v>
      </c>
      <c r="I431" s="133" t="s">
        <v>548</v>
      </c>
      <c r="J431" s="158">
        <v>0</v>
      </c>
    </row>
    <row r="432" spans="1:10" ht="15.75" customHeight="1">
      <c r="A432" s="133" t="s">
        <v>4</v>
      </c>
      <c r="B432" s="133" t="s">
        <v>3755</v>
      </c>
      <c r="C432" s="133" t="s">
        <v>369</v>
      </c>
      <c r="D432" s="133" t="s">
        <v>477</v>
      </c>
      <c r="E432" s="158">
        <v>20</v>
      </c>
      <c r="F432" s="158">
        <v>0</v>
      </c>
      <c r="G432" s="158">
        <v>0</v>
      </c>
      <c r="H432" s="133" t="s">
        <v>479</v>
      </c>
      <c r="I432" s="133" t="s">
        <v>548</v>
      </c>
      <c r="J432" s="158">
        <v>0</v>
      </c>
    </row>
    <row r="433" spans="1:25" ht="15.75" customHeight="1">
      <c r="A433" s="133" t="s">
        <v>4</v>
      </c>
      <c r="B433" s="133" t="s">
        <v>3755</v>
      </c>
      <c r="C433" s="133" t="s">
        <v>4708</v>
      </c>
      <c r="D433" s="133" t="s">
        <v>477</v>
      </c>
      <c r="E433" s="158">
        <v>3</v>
      </c>
      <c r="F433" s="158">
        <v>0</v>
      </c>
      <c r="G433" s="158">
        <v>0</v>
      </c>
      <c r="H433" s="133" t="s">
        <v>5422</v>
      </c>
      <c r="I433" s="133" t="s">
        <v>596</v>
      </c>
      <c r="J433" s="158">
        <v>0</v>
      </c>
    </row>
    <row r="434" spans="1:25" ht="15.75" customHeight="1">
      <c r="A434" s="133" t="s">
        <v>4</v>
      </c>
      <c r="B434" s="133" t="s">
        <v>3755</v>
      </c>
      <c r="C434" s="133" t="s">
        <v>5423</v>
      </c>
      <c r="D434" s="133" t="s">
        <v>477</v>
      </c>
      <c r="E434" s="158">
        <v>8</v>
      </c>
      <c r="F434" s="158">
        <v>0</v>
      </c>
      <c r="G434" s="158">
        <v>0</v>
      </c>
      <c r="H434" s="133" t="s">
        <v>479</v>
      </c>
      <c r="I434" s="133" t="s">
        <v>548</v>
      </c>
      <c r="J434" s="158">
        <v>0</v>
      </c>
    </row>
    <row r="435" spans="1:25" ht="15.75" customHeight="1">
      <c r="A435" s="133" t="s">
        <v>4</v>
      </c>
      <c r="B435" s="133" t="s">
        <v>3755</v>
      </c>
      <c r="C435" s="133" t="s">
        <v>5424</v>
      </c>
      <c r="D435" s="133" t="s">
        <v>477</v>
      </c>
      <c r="E435" s="158">
        <v>100</v>
      </c>
      <c r="F435" s="158">
        <v>0</v>
      </c>
      <c r="G435" s="158">
        <v>0</v>
      </c>
      <c r="H435" s="133" t="s">
        <v>479</v>
      </c>
      <c r="I435" s="133" t="s">
        <v>548</v>
      </c>
      <c r="J435" s="158">
        <v>0</v>
      </c>
    </row>
    <row r="436" spans="1:25" ht="15.75" customHeight="1">
      <c r="A436" s="133" t="s">
        <v>4</v>
      </c>
      <c r="B436" s="133" t="s">
        <v>3755</v>
      </c>
      <c r="C436" s="133" t="s">
        <v>5425</v>
      </c>
      <c r="D436" s="133" t="s">
        <v>496</v>
      </c>
      <c r="E436" s="158">
        <v>4</v>
      </c>
      <c r="F436" s="158">
        <v>16</v>
      </c>
      <c r="G436" s="158">
        <v>0</v>
      </c>
      <c r="H436" s="133" t="s">
        <v>479</v>
      </c>
      <c r="I436" s="133" t="s">
        <v>548</v>
      </c>
      <c r="J436" s="158">
        <v>0</v>
      </c>
    </row>
    <row r="437" spans="1:25" ht="15.75" customHeight="1">
      <c r="A437" s="133" t="s">
        <v>4</v>
      </c>
      <c r="B437" s="133" t="s">
        <v>3755</v>
      </c>
      <c r="C437" s="133" t="s">
        <v>5426</v>
      </c>
      <c r="D437" s="133" t="s">
        <v>477</v>
      </c>
      <c r="E437" s="158">
        <v>20</v>
      </c>
      <c r="F437" s="158">
        <v>0</v>
      </c>
      <c r="G437" s="158">
        <v>0</v>
      </c>
      <c r="H437" s="133" t="s">
        <v>5427</v>
      </c>
      <c r="I437" s="133" t="s">
        <v>548</v>
      </c>
      <c r="J437" s="158">
        <v>0</v>
      </c>
    </row>
    <row r="438" spans="1:25" ht="15.75" customHeight="1">
      <c r="A438" s="161" t="s">
        <v>4</v>
      </c>
      <c r="B438" s="161" t="s">
        <v>3757</v>
      </c>
      <c r="C438" s="173" t="s">
        <v>2317</v>
      </c>
      <c r="D438" s="161" t="s">
        <v>477</v>
      </c>
      <c r="E438" s="162">
        <v>3</v>
      </c>
      <c r="F438" s="162">
        <v>0</v>
      </c>
      <c r="G438" s="162">
        <v>0</v>
      </c>
      <c r="H438" s="161" t="s">
        <v>479</v>
      </c>
      <c r="I438" s="161" t="s">
        <v>479</v>
      </c>
      <c r="J438" s="162">
        <v>0</v>
      </c>
      <c r="K438" s="165"/>
      <c r="L438" s="165"/>
      <c r="M438" s="165"/>
      <c r="N438" s="165"/>
      <c r="O438" s="165"/>
      <c r="P438" s="165"/>
      <c r="Q438" s="165"/>
      <c r="R438" s="165"/>
      <c r="S438" s="165"/>
      <c r="T438" s="165"/>
      <c r="U438" s="165"/>
      <c r="V438" s="165"/>
      <c r="W438" s="165"/>
      <c r="X438" s="165"/>
      <c r="Y438" s="165"/>
    </row>
    <row r="439" spans="1:25" ht="15.75" customHeight="1">
      <c r="A439" s="133" t="s">
        <v>4</v>
      </c>
      <c r="B439" s="133" t="s">
        <v>3757</v>
      </c>
      <c r="C439" s="133" t="s">
        <v>325</v>
      </c>
      <c r="D439" s="133" t="s">
        <v>484</v>
      </c>
      <c r="E439" s="158">
        <v>4</v>
      </c>
      <c r="F439" s="158">
        <v>10</v>
      </c>
      <c r="G439" s="158">
        <v>0</v>
      </c>
      <c r="H439" s="133" t="s">
        <v>479</v>
      </c>
      <c r="I439" s="133" t="s">
        <v>479</v>
      </c>
      <c r="J439" s="158">
        <v>0</v>
      </c>
    </row>
    <row r="440" spans="1:25" ht="15.75" customHeight="1">
      <c r="A440" s="133" t="s">
        <v>4</v>
      </c>
      <c r="B440" s="133" t="s">
        <v>3757</v>
      </c>
      <c r="C440" s="133" t="s">
        <v>4664</v>
      </c>
      <c r="D440" s="133" t="s">
        <v>496</v>
      </c>
      <c r="E440" s="158">
        <v>4</v>
      </c>
      <c r="F440" s="158">
        <v>16</v>
      </c>
      <c r="G440" s="158">
        <v>0</v>
      </c>
      <c r="H440" s="133" t="s">
        <v>479</v>
      </c>
      <c r="I440" s="133" t="s">
        <v>479</v>
      </c>
      <c r="J440" s="158">
        <v>0</v>
      </c>
    </row>
    <row r="441" spans="1:25" ht="15.75" customHeight="1">
      <c r="A441" s="133" t="s">
        <v>4</v>
      </c>
      <c r="B441" s="133" t="s">
        <v>3757</v>
      </c>
      <c r="C441" s="133" t="s">
        <v>3742</v>
      </c>
      <c r="D441" s="133" t="s">
        <v>477</v>
      </c>
      <c r="E441" s="158">
        <v>20</v>
      </c>
      <c r="F441" s="158">
        <v>0</v>
      </c>
      <c r="G441" s="158">
        <v>0</v>
      </c>
      <c r="H441" s="133" t="s">
        <v>479</v>
      </c>
      <c r="I441" s="133" t="s">
        <v>548</v>
      </c>
      <c r="J441" s="158">
        <v>0</v>
      </c>
    </row>
    <row r="442" spans="1:25" ht="15.75" customHeight="1">
      <c r="A442" s="133" t="s">
        <v>4</v>
      </c>
      <c r="B442" s="133" t="s">
        <v>3757</v>
      </c>
      <c r="C442" s="133" t="s">
        <v>5110</v>
      </c>
      <c r="D442" s="133" t="s">
        <v>477</v>
      </c>
      <c r="E442" s="158">
        <v>20</v>
      </c>
      <c r="F442" s="158">
        <v>0</v>
      </c>
      <c r="G442" s="158">
        <v>0</v>
      </c>
      <c r="H442" s="133" t="s">
        <v>479</v>
      </c>
      <c r="I442" s="133" t="s">
        <v>548</v>
      </c>
      <c r="J442" s="158">
        <v>0</v>
      </c>
    </row>
    <row r="443" spans="1:25" ht="15.75" customHeight="1">
      <c r="A443" s="133" t="s">
        <v>4</v>
      </c>
      <c r="B443" s="133" t="s">
        <v>3757</v>
      </c>
      <c r="C443" s="133" t="s">
        <v>3689</v>
      </c>
      <c r="D443" s="133" t="s">
        <v>477</v>
      </c>
      <c r="E443" s="158">
        <v>10</v>
      </c>
      <c r="F443" s="158">
        <v>0</v>
      </c>
      <c r="G443" s="158">
        <v>0</v>
      </c>
      <c r="H443" s="133" t="s">
        <v>479</v>
      </c>
      <c r="I443" s="133" t="s">
        <v>548</v>
      </c>
      <c r="J443" s="158">
        <v>0</v>
      </c>
    </row>
    <row r="444" spans="1:25" ht="15.75" customHeight="1">
      <c r="A444" s="133" t="s">
        <v>4</v>
      </c>
      <c r="B444" s="133" t="s">
        <v>3757</v>
      </c>
      <c r="C444" s="133" t="s">
        <v>5428</v>
      </c>
      <c r="D444" s="133" t="s">
        <v>477</v>
      </c>
      <c r="E444" s="158">
        <v>10</v>
      </c>
      <c r="F444" s="158">
        <v>0</v>
      </c>
      <c r="G444" s="158">
        <v>0</v>
      </c>
      <c r="H444" s="133" t="s">
        <v>5429</v>
      </c>
      <c r="I444" s="133" t="s">
        <v>548</v>
      </c>
      <c r="J444" s="158">
        <v>0</v>
      </c>
    </row>
    <row r="445" spans="1:25" ht="15.75" customHeight="1">
      <c r="A445" s="133" t="s">
        <v>4</v>
      </c>
      <c r="B445" s="133" t="s">
        <v>3757</v>
      </c>
      <c r="C445" s="133" t="s">
        <v>5430</v>
      </c>
      <c r="D445" s="133" t="s">
        <v>484</v>
      </c>
      <c r="E445" s="158">
        <v>4</v>
      </c>
      <c r="F445" s="158">
        <v>10</v>
      </c>
      <c r="G445" s="158">
        <v>0</v>
      </c>
      <c r="H445" s="133" t="s">
        <v>5431</v>
      </c>
      <c r="I445" s="133" t="s">
        <v>615</v>
      </c>
      <c r="J445" s="158">
        <v>0</v>
      </c>
    </row>
    <row r="446" spans="1:25" ht="15.75" customHeight="1">
      <c r="A446" s="133" t="s">
        <v>4</v>
      </c>
      <c r="B446" s="133" t="s">
        <v>3757</v>
      </c>
      <c r="C446" s="133" t="s">
        <v>5147</v>
      </c>
      <c r="D446" s="133" t="s">
        <v>4440</v>
      </c>
      <c r="E446" s="158">
        <v>3</v>
      </c>
      <c r="F446" s="158">
        <v>8</v>
      </c>
      <c r="G446" s="158">
        <v>0</v>
      </c>
      <c r="H446" s="133" t="s">
        <v>479</v>
      </c>
      <c r="I446" s="133" t="s">
        <v>548</v>
      </c>
      <c r="J446" s="158">
        <v>0</v>
      </c>
    </row>
    <row r="447" spans="1:25" ht="15.75" customHeight="1">
      <c r="A447" s="133" t="s">
        <v>4</v>
      </c>
      <c r="B447" s="133" t="s">
        <v>3757</v>
      </c>
      <c r="C447" s="133" t="s">
        <v>3692</v>
      </c>
      <c r="D447" s="133" t="s">
        <v>477</v>
      </c>
      <c r="E447" s="158">
        <v>8</v>
      </c>
      <c r="F447" s="158">
        <v>0</v>
      </c>
      <c r="G447" s="158">
        <v>0</v>
      </c>
      <c r="H447" s="133" t="s">
        <v>479</v>
      </c>
      <c r="I447" s="133" t="s">
        <v>548</v>
      </c>
      <c r="J447" s="158">
        <v>0</v>
      </c>
    </row>
    <row r="448" spans="1:25" ht="15.75" customHeight="1">
      <c r="A448" s="133" t="s">
        <v>4</v>
      </c>
      <c r="B448" s="133" t="s">
        <v>3757</v>
      </c>
      <c r="C448" s="133" t="s">
        <v>5432</v>
      </c>
      <c r="D448" s="133" t="s">
        <v>477</v>
      </c>
      <c r="E448" s="158">
        <v>255</v>
      </c>
      <c r="F448" s="158">
        <v>0</v>
      </c>
      <c r="G448" s="158">
        <v>0</v>
      </c>
      <c r="H448" s="133" t="s">
        <v>479</v>
      </c>
      <c r="I448" s="133" t="s">
        <v>548</v>
      </c>
      <c r="J448" s="158">
        <v>0</v>
      </c>
    </row>
    <row r="449" spans="1:10" ht="15.75" customHeight="1">
      <c r="A449" s="133" t="s">
        <v>4</v>
      </c>
      <c r="B449" s="133" t="s">
        <v>3757</v>
      </c>
      <c r="C449" s="133" t="s">
        <v>3731</v>
      </c>
      <c r="D449" s="133" t="s">
        <v>477</v>
      </c>
      <c r="E449" s="158">
        <v>10</v>
      </c>
      <c r="F449" s="158">
        <v>0</v>
      </c>
      <c r="G449" s="158">
        <v>0</v>
      </c>
      <c r="H449" s="133" t="s">
        <v>479</v>
      </c>
      <c r="I449" s="133" t="s">
        <v>548</v>
      </c>
      <c r="J449" s="158">
        <v>0</v>
      </c>
    </row>
    <row r="450" spans="1:10" ht="15.75" customHeight="1">
      <c r="A450" s="133" t="s">
        <v>4</v>
      </c>
      <c r="B450" s="133" t="s">
        <v>3757</v>
      </c>
      <c r="C450" s="133" t="s">
        <v>5433</v>
      </c>
      <c r="D450" s="133" t="s">
        <v>477</v>
      </c>
      <c r="E450" s="158">
        <v>8</v>
      </c>
      <c r="F450" s="158">
        <v>0</v>
      </c>
      <c r="G450" s="158">
        <v>0</v>
      </c>
      <c r="H450" s="133" t="s">
        <v>479</v>
      </c>
      <c r="I450" s="133" t="s">
        <v>548</v>
      </c>
      <c r="J450" s="158">
        <v>0</v>
      </c>
    </row>
    <row r="451" spans="1:10" ht="15.75" customHeight="1">
      <c r="A451" s="133" t="s">
        <v>4</v>
      </c>
      <c r="B451" s="133" t="s">
        <v>3757</v>
      </c>
      <c r="C451" s="133" t="s">
        <v>5434</v>
      </c>
      <c r="D451" s="133" t="s">
        <v>477</v>
      </c>
      <c r="E451" s="158">
        <v>255</v>
      </c>
      <c r="F451" s="158">
        <v>0</v>
      </c>
      <c r="G451" s="158">
        <v>0</v>
      </c>
      <c r="H451" s="133" t="s">
        <v>479</v>
      </c>
      <c r="I451" s="133" t="s">
        <v>548</v>
      </c>
      <c r="J451" s="158">
        <v>0</v>
      </c>
    </row>
    <row r="452" spans="1:10" ht="15.75" customHeight="1">
      <c r="A452" s="133" t="s">
        <v>4</v>
      </c>
      <c r="B452" s="133" t="s">
        <v>3757</v>
      </c>
      <c r="C452" s="133" t="s">
        <v>5435</v>
      </c>
      <c r="D452" s="133" t="s">
        <v>477</v>
      </c>
      <c r="E452" s="158">
        <v>12</v>
      </c>
      <c r="F452" s="158">
        <v>0</v>
      </c>
      <c r="G452" s="158">
        <v>0</v>
      </c>
      <c r="H452" s="133" t="s">
        <v>5436</v>
      </c>
      <c r="I452" s="133" t="s">
        <v>548</v>
      </c>
      <c r="J452" s="158">
        <v>0</v>
      </c>
    </row>
    <row r="453" spans="1:10" ht="15.75" customHeight="1">
      <c r="A453" s="133" t="s">
        <v>4</v>
      </c>
      <c r="B453" s="133" t="s">
        <v>3757</v>
      </c>
      <c r="C453" s="133" t="s">
        <v>5437</v>
      </c>
      <c r="D453" s="133" t="s">
        <v>477</v>
      </c>
      <c r="E453" s="158">
        <v>20</v>
      </c>
      <c r="F453" s="158">
        <v>0</v>
      </c>
      <c r="G453" s="158">
        <v>0</v>
      </c>
      <c r="H453" s="133" t="s">
        <v>5438</v>
      </c>
      <c r="I453" s="133" t="s">
        <v>596</v>
      </c>
      <c r="J453" s="158">
        <v>0</v>
      </c>
    </row>
    <row r="454" spans="1:10" ht="15.75" customHeight="1">
      <c r="A454" s="133" t="s">
        <v>4</v>
      </c>
      <c r="B454" s="133" t="s">
        <v>3757</v>
      </c>
      <c r="C454" s="133" t="s">
        <v>523</v>
      </c>
      <c r="D454" s="133" t="s">
        <v>477</v>
      </c>
      <c r="E454" s="158">
        <v>8</v>
      </c>
      <c r="F454" s="158">
        <v>0</v>
      </c>
      <c r="G454" s="158">
        <v>0</v>
      </c>
      <c r="H454" s="133" t="s">
        <v>5198</v>
      </c>
      <c r="I454" s="133" t="s">
        <v>548</v>
      </c>
      <c r="J454" s="158">
        <v>0</v>
      </c>
    </row>
    <row r="455" spans="1:10" ht="15.75" customHeight="1">
      <c r="A455" s="133" t="s">
        <v>4</v>
      </c>
      <c r="B455" s="133" t="s">
        <v>3757</v>
      </c>
      <c r="C455" s="133" t="s">
        <v>669</v>
      </c>
      <c r="D455" s="133" t="s">
        <v>496</v>
      </c>
      <c r="E455" s="158">
        <v>4</v>
      </c>
      <c r="F455" s="158">
        <v>16</v>
      </c>
      <c r="G455" s="158">
        <v>0</v>
      </c>
      <c r="H455" s="133" t="s">
        <v>835</v>
      </c>
      <c r="I455" s="133" t="s">
        <v>548</v>
      </c>
      <c r="J455" s="158">
        <v>0</v>
      </c>
    </row>
    <row r="456" spans="1:10" ht="15.75" customHeight="1">
      <c r="A456" s="133" t="s">
        <v>4</v>
      </c>
      <c r="B456" s="133" t="s">
        <v>3757</v>
      </c>
      <c r="C456" s="133" t="s">
        <v>670</v>
      </c>
      <c r="D456" s="133" t="s">
        <v>477</v>
      </c>
      <c r="E456" s="158">
        <v>8</v>
      </c>
      <c r="F456" s="158">
        <v>0</v>
      </c>
      <c r="G456" s="158">
        <v>0</v>
      </c>
      <c r="H456" s="133" t="s">
        <v>5199</v>
      </c>
      <c r="I456" s="133" t="s">
        <v>548</v>
      </c>
      <c r="J456" s="158">
        <v>0</v>
      </c>
    </row>
    <row r="457" spans="1:10" ht="15.75" customHeight="1">
      <c r="A457" s="133" t="s">
        <v>4</v>
      </c>
      <c r="B457" s="133" t="s">
        <v>3757</v>
      </c>
      <c r="C457" s="133" t="s">
        <v>215</v>
      </c>
      <c r="D457" s="133" t="s">
        <v>496</v>
      </c>
      <c r="E457" s="158">
        <v>4</v>
      </c>
      <c r="F457" s="158">
        <v>16</v>
      </c>
      <c r="G457" s="158">
        <v>0</v>
      </c>
      <c r="H457" s="133" t="s">
        <v>1982</v>
      </c>
      <c r="I457" s="133" t="s">
        <v>548</v>
      </c>
      <c r="J457" s="158">
        <v>0</v>
      </c>
    </row>
    <row r="458" spans="1:10" ht="15.75" customHeight="1">
      <c r="A458" s="133" t="s">
        <v>4</v>
      </c>
      <c r="B458" s="133" t="s">
        <v>3757</v>
      </c>
      <c r="C458" s="133" t="s">
        <v>5439</v>
      </c>
      <c r="D458" s="133" t="s">
        <v>477</v>
      </c>
      <c r="E458" s="158">
        <v>3</v>
      </c>
      <c r="F458" s="158">
        <v>0</v>
      </c>
      <c r="G458" s="158">
        <v>0</v>
      </c>
      <c r="H458" s="133" t="s">
        <v>479</v>
      </c>
      <c r="I458" s="133" t="s">
        <v>596</v>
      </c>
      <c r="J458" s="158">
        <v>0</v>
      </c>
    </row>
    <row r="459" spans="1:10" ht="15.75" customHeight="1">
      <c r="A459" s="133" t="s">
        <v>4</v>
      </c>
      <c r="B459" s="133" t="s">
        <v>3757</v>
      </c>
      <c r="C459" s="133" t="s">
        <v>5440</v>
      </c>
      <c r="D459" s="133" t="s">
        <v>477</v>
      </c>
      <c r="E459" s="158">
        <v>3</v>
      </c>
      <c r="F459" s="158">
        <v>0</v>
      </c>
      <c r="G459" s="158">
        <v>0</v>
      </c>
      <c r="H459" s="133" t="s">
        <v>479</v>
      </c>
      <c r="I459" s="133" t="s">
        <v>596</v>
      </c>
      <c r="J459" s="158">
        <v>0</v>
      </c>
    </row>
    <row r="460" spans="1:10" ht="15.75" customHeight="1">
      <c r="A460" s="133" t="s">
        <v>4</v>
      </c>
      <c r="B460" s="133" t="s">
        <v>3757</v>
      </c>
      <c r="C460" s="133" t="s">
        <v>5441</v>
      </c>
      <c r="D460" s="133" t="s">
        <v>477</v>
      </c>
      <c r="E460" s="158">
        <v>3</v>
      </c>
      <c r="F460" s="158">
        <v>0</v>
      </c>
      <c r="G460" s="158">
        <v>0</v>
      </c>
      <c r="H460" s="133" t="s">
        <v>479</v>
      </c>
      <c r="I460" s="133" t="s">
        <v>596</v>
      </c>
      <c r="J460" s="158">
        <v>0</v>
      </c>
    </row>
    <row r="461" spans="1:10" ht="15.75" customHeight="1">
      <c r="A461" s="133" t="s">
        <v>4</v>
      </c>
      <c r="B461" s="133" t="s">
        <v>3757</v>
      </c>
      <c r="C461" s="133" t="s">
        <v>5442</v>
      </c>
      <c r="D461" s="133" t="s">
        <v>477</v>
      </c>
      <c r="E461" s="158">
        <v>3</v>
      </c>
      <c r="F461" s="158">
        <v>0</v>
      </c>
      <c r="G461" s="158">
        <v>0</v>
      </c>
      <c r="H461" s="133" t="s">
        <v>479</v>
      </c>
      <c r="I461" s="133" t="s">
        <v>596</v>
      </c>
      <c r="J461" s="158">
        <v>0</v>
      </c>
    </row>
    <row r="462" spans="1:10" ht="15.75" customHeight="1">
      <c r="A462" s="133" t="s">
        <v>4</v>
      </c>
      <c r="B462" s="133" t="s">
        <v>3757</v>
      </c>
      <c r="C462" s="133" t="s">
        <v>5443</v>
      </c>
      <c r="D462" s="133" t="s">
        <v>477</v>
      </c>
      <c r="E462" s="158">
        <v>20</v>
      </c>
      <c r="F462" s="158">
        <v>0</v>
      </c>
      <c r="G462" s="158">
        <v>0</v>
      </c>
      <c r="H462" s="133" t="s">
        <v>479</v>
      </c>
      <c r="I462" s="133" t="s">
        <v>548</v>
      </c>
      <c r="J462" s="158">
        <v>0</v>
      </c>
    </row>
    <row r="463" spans="1:10" ht="15.75" customHeight="1">
      <c r="A463" s="133" t="s">
        <v>4</v>
      </c>
      <c r="B463" s="133" t="s">
        <v>3757</v>
      </c>
      <c r="C463" s="133" t="s">
        <v>5444</v>
      </c>
      <c r="D463" s="133" t="s">
        <v>477</v>
      </c>
      <c r="E463" s="158">
        <v>3</v>
      </c>
      <c r="F463" s="158">
        <v>0</v>
      </c>
      <c r="G463" s="158">
        <v>0</v>
      </c>
      <c r="H463" s="133" t="s">
        <v>479</v>
      </c>
      <c r="I463" s="133" t="s">
        <v>596</v>
      </c>
      <c r="J463" s="158">
        <v>0</v>
      </c>
    </row>
    <row r="464" spans="1:10" ht="15.75" customHeight="1">
      <c r="A464" s="133" t="s">
        <v>4</v>
      </c>
      <c r="B464" s="133" t="s">
        <v>3757</v>
      </c>
      <c r="C464" s="133" t="s">
        <v>5445</v>
      </c>
      <c r="D464" s="133" t="s">
        <v>477</v>
      </c>
      <c r="E464" s="158">
        <v>3</v>
      </c>
      <c r="F464" s="158">
        <v>0</v>
      </c>
      <c r="G464" s="158">
        <v>0</v>
      </c>
      <c r="H464" s="133" t="s">
        <v>5446</v>
      </c>
      <c r="I464" s="133" t="s">
        <v>2011</v>
      </c>
      <c r="J464" s="158">
        <v>0</v>
      </c>
    </row>
    <row r="465" spans="1:10" ht="15.75" customHeight="1">
      <c r="A465" s="133" t="s">
        <v>4</v>
      </c>
      <c r="B465" s="133" t="s">
        <v>3757</v>
      </c>
      <c r="C465" s="133" t="s">
        <v>5447</v>
      </c>
      <c r="D465" s="133" t="s">
        <v>496</v>
      </c>
      <c r="E465" s="158">
        <v>4</v>
      </c>
      <c r="F465" s="158">
        <v>16</v>
      </c>
      <c r="G465" s="158">
        <v>0</v>
      </c>
      <c r="H465" s="133" t="s">
        <v>5448</v>
      </c>
      <c r="I465" s="133" t="s">
        <v>548</v>
      </c>
      <c r="J465" s="158">
        <v>0</v>
      </c>
    </row>
    <row r="466" spans="1:10" ht="15.75" customHeight="1">
      <c r="A466" s="133" t="s">
        <v>4</v>
      </c>
      <c r="B466" s="133" t="s">
        <v>3757</v>
      </c>
      <c r="C466" s="133" t="s">
        <v>5449</v>
      </c>
      <c r="D466" s="133" t="s">
        <v>496</v>
      </c>
      <c r="E466" s="158">
        <v>4</v>
      </c>
      <c r="F466" s="158">
        <v>16</v>
      </c>
      <c r="G466" s="158">
        <v>0</v>
      </c>
      <c r="H466" s="133" t="s">
        <v>5450</v>
      </c>
      <c r="I466" s="133" t="s">
        <v>548</v>
      </c>
      <c r="J466" s="158">
        <v>0</v>
      </c>
    </row>
    <row r="467" spans="1:10" ht="15.75" customHeight="1">
      <c r="A467" s="133" t="s">
        <v>4</v>
      </c>
      <c r="B467" s="133" t="s">
        <v>3757</v>
      </c>
      <c r="C467" s="133" t="s">
        <v>5451</v>
      </c>
      <c r="D467" s="133" t="s">
        <v>496</v>
      </c>
      <c r="E467" s="158">
        <v>4</v>
      </c>
      <c r="F467" s="158">
        <v>16</v>
      </c>
      <c r="G467" s="158">
        <v>0</v>
      </c>
      <c r="H467" s="133" t="s">
        <v>5452</v>
      </c>
      <c r="I467" s="133" t="s">
        <v>548</v>
      </c>
      <c r="J467" s="158">
        <v>0</v>
      </c>
    </row>
    <row r="468" spans="1:10" ht="15.75" customHeight="1">
      <c r="A468" s="133" t="s">
        <v>4</v>
      </c>
      <c r="B468" s="133" t="s">
        <v>3757</v>
      </c>
      <c r="C468" s="133" t="s">
        <v>5453</v>
      </c>
      <c r="D468" s="133" t="s">
        <v>496</v>
      </c>
      <c r="E468" s="158">
        <v>4</v>
      </c>
      <c r="F468" s="158">
        <v>16</v>
      </c>
      <c r="G468" s="158">
        <v>0</v>
      </c>
      <c r="H468" s="133" t="s">
        <v>5454</v>
      </c>
      <c r="I468" s="133" t="s">
        <v>548</v>
      </c>
      <c r="J468" s="158">
        <v>0</v>
      </c>
    </row>
    <row r="469" spans="1:10" ht="15.75" customHeight="1">
      <c r="A469" s="133" t="s">
        <v>4</v>
      </c>
      <c r="B469" s="133" t="s">
        <v>3757</v>
      </c>
      <c r="C469" s="133" t="s">
        <v>5370</v>
      </c>
      <c r="D469" s="133" t="s">
        <v>477</v>
      </c>
      <c r="E469" s="158">
        <v>20</v>
      </c>
      <c r="F469" s="158">
        <v>0</v>
      </c>
      <c r="G469" s="158">
        <v>0</v>
      </c>
      <c r="H469" s="133" t="s">
        <v>479</v>
      </c>
      <c r="I469" s="133" t="s">
        <v>548</v>
      </c>
      <c r="J469" s="158">
        <v>0</v>
      </c>
    </row>
    <row r="470" spans="1:10" ht="15.75" customHeight="1">
      <c r="A470" s="133" t="s">
        <v>4</v>
      </c>
      <c r="B470" s="133" t="s">
        <v>3757</v>
      </c>
      <c r="C470" s="133" t="s">
        <v>5248</v>
      </c>
      <c r="D470" s="133" t="s">
        <v>477</v>
      </c>
      <c r="E470" s="158">
        <v>20</v>
      </c>
      <c r="F470" s="158">
        <v>0</v>
      </c>
      <c r="G470" s="158">
        <v>0</v>
      </c>
      <c r="H470" s="133" t="s">
        <v>5455</v>
      </c>
      <c r="I470" s="133" t="s">
        <v>548</v>
      </c>
      <c r="J470" s="158">
        <v>0</v>
      </c>
    </row>
    <row r="471" spans="1:10" ht="15.75" customHeight="1">
      <c r="A471" s="133" t="s">
        <v>4</v>
      </c>
      <c r="B471" s="133" t="s">
        <v>3757</v>
      </c>
      <c r="C471" s="133" t="s">
        <v>5256</v>
      </c>
      <c r="D471" s="133" t="s">
        <v>484</v>
      </c>
      <c r="E471" s="158">
        <v>4</v>
      </c>
      <c r="F471" s="158">
        <v>10</v>
      </c>
      <c r="G471" s="158">
        <v>0</v>
      </c>
      <c r="H471" s="133" t="s">
        <v>5456</v>
      </c>
      <c r="I471" s="133" t="s">
        <v>615</v>
      </c>
      <c r="J471" s="158">
        <v>0</v>
      </c>
    </row>
    <row r="472" spans="1:10" ht="15.75" customHeight="1">
      <c r="A472" s="133" t="s">
        <v>4</v>
      </c>
      <c r="B472" s="133" t="s">
        <v>3757</v>
      </c>
      <c r="C472" s="133" t="s">
        <v>5257</v>
      </c>
      <c r="D472" s="133" t="s">
        <v>484</v>
      </c>
      <c r="E472" s="158">
        <v>4</v>
      </c>
      <c r="F472" s="158">
        <v>10</v>
      </c>
      <c r="G472" s="158">
        <v>0</v>
      </c>
      <c r="H472" s="133" t="s">
        <v>5457</v>
      </c>
      <c r="I472" s="133" t="s">
        <v>615</v>
      </c>
      <c r="J472" s="158">
        <v>0</v>
      </c>
    </row>
    <row r="473" spans="1:10" ht="15.75" customHeight="1">
      <c r="A473" s="133" t="s">
        <v>4</v>
      </c>
      <c r="B473" s="133" t="s">
        <v>3757</v>
      </c>
      <c r="C473" s="133" t="s">
        <v>5458</v>
      </c>
      <c r="D473" s="133" t="s">
        <v>477</v>
      </c>
      <c r="E473" s="158">
        <v>50</v>
      </c>
      <c r="F473" s="158">
        <v>0</v>
      </c>
      <c r="G473" s="158">
        <v>0</v>
      </c>
      <c r="H473" s="133" t="s">
        <v>5459</v>
      </c>
      <c r="I473" s="133" t="s">
        <v>548</v>
      </c>
      <c r="J473" s="158">
        <v>0</v>
      </c>
    </row>
    <row r="474" spans="1:10" ht="15.75" customHeight="1">
      <c r="A474" s="133" t="s">
        <v>4</v>
      </c>
      <c r="B474" s="133" t="s">
        <v>3757</v>
      </c>
      <c r="C474" s="133" t="s">
        <v>5416</v>
      </c>
      <c r="D474" s="133" t="s">
        <v>477</v>
      </c>
      <c r="E474" s="158">
        <v>20</v>
      </c>
      <c r="F474" s="158">
        <v>0</v>
      </c>
      <c r="G474" s="158">
        <v>0</v>
      </c>
      <c r="H474" s="133" t="s">
        <v>5460</v>
      </c>
      <c r="I474" s="133" t="s">
        <v>596</v>
      </c>
      <c r="J474" s="158">
        <v>0</v>
      </c>
    </row>
    <row r="475" spans="1:10" ht="15.75" customHeight="1">
      <c r="A475" s="133" t="s">
        <v>4</v>
      </c>
      <c r="B475" s="133" t="s">
        <v>3757</v>
      </c>
      <c r="C475" s="133" t="s">
        <v>5461</v>
      </c>
      <c r="D475" s="133" t="s">
        <v>477</v>
      </c>
      <c r="E475" s="158">
        <v>20</v>
      </c>
      <c r="F475" s="158">
        <v>0</v>
      </c>
      <c r="G475" s="158">
        <v>0</v>
      </c>
      <c r="H475" s="133" t="s">
        <v>5462</v>
      </c>
      <c r="I475" s="133" t="s">
        <v>596</v>
      </c>
      <c r="J475" s="158">
        <v>0</v>
      </c>
    </row>
    <row r="476" spans="1:10" ht="15.75" customHeight="1">
      <c r="A476" s="133" t="s">
        <v>4</v>
      </c>
      <c r="B476" s="133" t="s">
        <v>3757</v>
      </c>
      <c r="C476" s="133" t="s">
        <v>5223</v>
      </c>
      <c r="D476" s="133" t="s">
        <v>484</v>
      </c>
      <c r="E476" s="158">
        <v>4</v>
      </c>
      <c r="F476" s="158">
        <v>10</v>
      </c>
      <c r="G476" s="158">
        <v>0</v>
      </c>
      <c r="H476" s="133" t="s">
        <v>5463</v>
      </c>
      <c r="I476" s="133" t="s">
        <v>615</v>
      </c>
      <c r="J476" s="158">
        <v>0</v>
      </c>
    </row>
    <row r="477" spans="1:10" ht="15.75" customHeight="1">
      <c r="A477" s="133" t="s">
        <v>4</v>
      </c>
      <c r="B477" s="133" t="s">
        <v>3757</v>
      </c>
      <c r="C477" s="133" t="s">
        <v>5225</v>
      </c>
      <c r="D477" s="133" t="s">
        <v>477</v>
      </c>
      <c r="E477" s="158">
        <v>50</v>
      </c>
      <c r="F477" s="158">
        <v>0</v>
      </c>
      <c r="G477" s="158">
        <v>0</v>
      </c>
      <c r="H477" s="133" t="s">
        <v>5464</v>
      </c>
      <c r="I477" s="133" t="s">
        <v>548</v>
      </c>
      <c r="J477" s="158">
        <v>0</v>
      </c>
    </row>
    <row r="478" spans="1:10" ht="15.75" customHeight="1">
      <c r="A478" s="133" t="s">
        <v>4</v>
      </c>
      <c r="B478" s="133" t="s">
        <v>3757</v>
      </c>
      <c r="C478" s="133" t="s">
        <v>3717</v>
      </c>
      <c r="D478" s="133" t="s">
        <v>484</v>
      </c>
      <c r="E478" s="158">
        <v>4</v>
      </c>
      <c r="F478" s="158">
        <v>10</v>
      </c>
      <c r="G478" s="158">
        <v>0</v>
      </c>
      <c r="H478" s="133" t="s">
        <v>5227</v>
      </c>
      <c r="I478" s="133" t="s">
        <v>615</v>
      </c>
      <c r="J478" s="158">
        <v>0</v>
      </c>
    </row>
    <row r="479" spans="1:10" ht="15.75" customHeight="1">
      <c r="A479" s="133" t="s">
        <v>4</v>
      </c>
      <c r="B479" s="133" t="s">
        <v>3757</v>
      </c>
      <c r="C479" s="133" t="s">
        <v>5228</v>
      </c>
      <c r="D479" s="133" t="s">
        <v>477</v>
      </c>
      <c r="E479" s="158">
        <v>100</v>
      </c>
      <c r="F479" s="158">
        <v>0</v>
      </c>
      <c r="G479" s="158">
        <v>0</v>
      </c>
      <c r="H479" s="133" t="s">
        <v>5229</v>
      </c>
      <c r="I479" s="133" t="s">
        <v>548</v>
      </c>
      <c r="J479" s="158">
        <v>0</v>
      </c>
    </row>
    <row r="480" spans="1:10" ht="15.75" customHeight="1">
      <c r="A480" s="133" t="s">
        <v>4</v>
      </c>
      <c r="B480" s="133" t="s">
        <v>3757</v>
      </c>
      <c r="C480" s="133" t="s">
        <v>3695</v>
      </c>
      <c r="D480" s="133" t="s">
        <v>484</v>
      </c>
      <c r="E480" s="158">
        <v>4</v>
      </c>
      <c r="F480" s="158">
        <v>10</v>
      </c>
      <c r="G480" s="158">
        <v>0</v>
      </c>
      <c r="H480" s="133" t="s">
        <v>5465</v>
      </c>
      <c r="I480" s="133" t="s">
        <v>615</v>
      </c>
      <c r="J480" s="158">
        <v>0</v>
      </c>
    </row>
    <row r="481" spans="1:25" ht="15.75" customHeight="1">
      <c r="A481" s="133" t="s">
        <v>4</v>
      </c>
      <c r="B481" s="133" t="s">
        <v>3757</v>
      </c>
      <c r="C481" s="133" t="s">
        <v>5201</v>
      </c>
      <c r="D481" s="133" t="s">
        <v>477</v>
      </c>
      <c r="E481" s="158">
        <v>100</v>
      </c>
      <c r="F481" s="158">
        <v>0</v>
      </c>
      <c r="G481" s="158">
        <v>0</v>
      </c>
      <c r="H481" s="133" t="s">
        <v>5466</v>
      </c>
      <c r="I481" s="133" t="s">
        <v>548</v>
      </c>
      <c r="J481" s="158">
        <v>0</v>
      </c>
    </row>
    <row r="482" spans="1:25" ht="15.75" customHeight="1">
      <c r="A482" s="161" t="s">
        <v>4</v>
      </c>
      <c r="B482" s="161" t="s">
        <v>3752</v>
      </c>
      <c r="C482" s="161" t="s">
        <v>2317</v>
      </c>
      <c r="D482" s="161" t="s">
        <v>477</v>
      </c>
      <c r="E482" s="162">
        <v>5</v>
      </c>
      <c r="F482" s="162">
        <v>0</v>
      </c>
      <c r="G482" s="162">
        <v>0</v>
      </c>
      <c r="H482" s="161"/>
      <c r="I482" s="161"/>
      <c r="J482" s="162">
        <v>0</v>
      </c>
      <c r="K482" s="164" t="s">
        <v>2318</v>
      </c>
      <c r="L482" s="165"/>
      <c r="M482" s="165"/>
      <c r="N482" s="165"/>
      <c r="O482" s="165"/>
      <c r="P482" s="165"/>
      <c r="Q482" s="165"/>
      <c r="R482" s="165"/>
      <c r="S482" s="165"/>
      <c r="T482" s="165"/>
      <c r="U482" s="165"/>
      <c r="V482" s="165"/>
      <c r="W482" s="165"/>
      <c r="X482" s="165"/>
      <c r="Y482" s="165"/>
    </row>
    <row r="483" spans="1:25" ht="15.75" customHeight="1">
      <c r="A483" s="133" t="s">
        <v>4</v>
      </c>
      <c r="B483" s="133" t="s">
        <v>3752</v>
      </c>
      <c r="C483" s="133" t="s">
        <v>4348</v>
      </c>
      <c r="D483" s="133" t="s">
        <v>477</v>
      </c>
      <c r="E483" s="158">
        <v>12</v>
      </c>
      <c r="F483" s="158">
        <v>0</v>
      </c>
      <c r="G483" s="158">
        <v>0</v>
      </c>
      <c r="H483" s="133" t="s">
        <v>5403</v>
      </c>
      <c r="I483" s="133" t="s">
        <v>479</v>
      </c>
      <c r="J483" s="158">
        <v>0</v>
      </c>
    </row>
    <row r="484" spans="1:25" ht="15.75" customHeight="1">
      <c r="A484" s="133" t="s">
        <v>4</v>
      </c>
      <c r="B484" s="133" t="s">
        <v>3752</v>
      </c>
      <c r="C484" s="133" t="s">
        <v>4664</v>
      </c>
      <c r="D484" s="133" t="s">
        <v>496</v>
      </c>
      <c r="E484" s="158">
        <v>4</v>
      </c>
      <c r="F484" s="158">
        <v>16</v>
      </c>
      <c r="G484" s="158">
        <v>0</v>
      </c>
      <c r="H484" s="133" t="s">
        <v>5405</v>
      </c>
      <c r="I484" s="133" t="s">
        <v>548</v>
      </c>
      <c r="J484" s="158">
        <v>0</v>
      </c>
    </row>
    <row r="485" spans="1:25" ht="15.75" customHeight="1">
      <c r="A485" s="133" t="s">
        <v>4</v>
      </c>
      <c r="B485" s="133" t="s">
        <v>3752</v>
      </c>
      <c r="C485" s="133" t="s">
        <v>4663</v>
      </c>
      <c r="D485" s="133" t="s">
        <v>477</v>
      </c>
      <c r="E485" s="158">
        <v>20</v>
      </c>
      <c r="F485" s="158">
        <v>0</v>
      </c>
      <c r="G485" s="158">
        <v>0</v>
      </c>
      <c r="H485" s="133" t="s">
        <v>1556</v>
      </c>
      <c r="I485" s="133" t="s">
        <v>548</v>
      </c>
      <c r="J485" s="158">
        <v>0</v>
      </c>
    </row>
    <row r="486" spans="1:25" ht="15.75" customHeight="1">
      <c r="A486" s="133" t="s">
        <v>4</v>
      </c>
      <c r="B486" s="133" t="s">
        <v>3752</v>
      </c>
      <c r="C486" s="133" t="s">
        <v>5109</v>
      </c>
      <c r="D486" s="133" t="s">
        <v>477</v>
      </c>
      <c r="E486" s="158">
        <v>20</v>
      </c>
      <c r="F486" s="158">
        <v>0</v>
      </c>
      <c r="G486" s="158">
        <v>0</v>
      </c>
      <c r="H486" s="133" t="s">
        <v>5467</v>
      </c>
      <c r="I486" s="133" t="s">
        <v>548</v>
      </c>
      <c r="J486" s="158">
        <v>0</v>
      </c>
    </row>
    <row r="487" spans="1:25" ht="15.75" customHeight="1">
      <c r="A487" s="133" t="s">
        <v>4</v>
      </c>
      <c r="B487" s="133" t="s">
        <v>3752</v>
      </c>
      <c r="C487" s="133" t="s">
        <v>3726</v>
      </c>
      <c r="D487" s="133" t="s">
        <v>477</v>
      </c>
      <c r="E487" s="158">
        <v>20</v>
      </c>
      <c r="F487" s="158">
        <v>0</v>
      </c>
      <c r="G487" s="158">
        <v>0</v>
      </c>
      <c r="H487" s="133" t="s">
        <v>5468</v>
      </c>
      <c r="I487" s="133" t="s">
        <v>548</v>
      </c>
      <c r="J487" s="158">
        <v>0</v>
      </c>
    </row>
    <row r="488" spans="1:25" ht="15.75" customHeight="1">
      <c r="A488" s="133" t="s">
        <v>4</v>
      </c>
      <c r="B488" s="133" t="s">
        <v>3752</v>
      </c>
      <c r="C488" s="133" t="s">
        <v>5469</v>
      </c>
      <c r="D488" s="133" t="s">
        <v>477</v>
      </c>
      <c r="E488" s="158">
        <v>100</v>
      </c>
      <c r="F488" s="158">
        <v>0</v>
      </c>
      <c r="G488" s="158">
        <v>0</v>
      </c>
      <c r="H488" s="133" t="s">
        <v>5470</v>
      </c>
      <c r="I488" s="133" t="s">
        <v>548</v>
      </c>
      <c r="J488" s="158">
        <v>0</v>
      </c>
    </row>
    <row r="489" spans="1:25" ht="15.75" customHeight="1">
      <c r="A489" s="133" t="s">
        <v>4</v>
      </c>
      <c r="B489" s="133" t="s">
        <v>3752</v>
      </c>
      <c r="C489" s="133" t="s">
        <v>5471</v>
      </c>
      <c r="D489" s="133" t="s">
        <v>477</v>
      </c>
      <c r="E489" s="158">
        <v>20</v>
      </c>
      <c r="F489" s="158">
        <v>0</v>
      </c>
      <c r="G489" s="158">
        <v>0</v>
      </c>
      <c r="H489" s="133" t="s">
        <v>5472</v>
      </c>
      <c r="I489" s="133" t="s">
        <v>548</v>
      </c>
      <c r="J489" s="158">
        <v>0</v>
      </c>
    </row>
    <row r="490" spans="1:25" ht="15.75" customHeight="1">
      <c r="A490" s="133" t="s">
        <v>4</v>
      </c>
      <c r="B490" s="133" t="s">
        <v>3752</v>
      </c>
      <c r="C490" s="133" t="s">
        <v>5158</v>
      </c>
      <c r="D490" s="133" t="s">
        <v>477</v>
      </c>
      <c r="E490" s="158">
        <v>20</v>
      </c>
      <c r="F490" s="158">
        <v>0</v>
      </c>
      <c r="G490" s="158">
        <v>0</v>
      </c>
      <c r="H490" s="133" t="s">
        <v>1292</v>
      </c>
      <c r="I490" s="133" t="s">
        <v>548</v>
      </c>
      <c r="J490" s="158">
        <v>0</v>
      </c>
    </row>
    <row r="491" spans="1:25" ht="15.75" customHeight="1">
      <c r="A491" s="133" t="s">
        <v>4</v>
      </c>
      <c r="B491" s="133" t="s">
        <v>3752</v>
      </c>
      <c r="C491" s="133" t="s">
        <v>4362</v>
      </c>
      <c r="D491" s="133" t="s">
        <v>477</v>
      </c>
      <c r="E491" s="158">
        <v>100</v>
      </c>
      <c r="F491" s="158">
        <v>0</v>
      </c>
      <c r="G491" s="158">
        <v>0</v>
      </c>
      <c r="H491" s="133" t="s">
        <v>1563</v>
      </c>
      <c r="I491" s="133" t="s">
        <v>548</v>
      </c>
      <c r="J491" s="158">
        <v>0</v>
      </c>
    </row>
    <row r="492" spans="1:25" ht="15.75" customHeight="1">
      <c r="A492" s="133" t="s">
        <v>4</v>
      </c>
      <c r="B492" s="133" t="s">
        <v>3752</v>
      </c>
      <c r="C492" s="133" t="s">
        <v>4409</v>
      </c>
      <c r="D492" s="133" t="s">
        <v>484</v>
      </c>
      <c r="E492" s="158">
        <v>4</v>
      </c>
      <c r="F492" s="158">
        <v>10</v>
      </c>
      <c r="G492" s="158">
        <v>0</v>
      </c>
      <c r="H492" s="133" t="s">
        <v>5159</v>
      </c>
      <c r="I492" s="133" t="s">
        <v>548</v>
      </c>
      <c r="J492" s="158">
        <v>0</v>
      </c>
    </row>
    <row r="493" spans="1:25" ht="15.75" customHeight="1">
      <c r="A493" s="133" t="s">
        <v>4</v>
      </c>
      <c r="B493" s="133" t="s">
        <v>3752</v>
      </c>
      <c r="C493" s="133" t="s">
        <v>4675</v>
      </c>
      <c r="D493" s="133" t="s">
        <v>477</v>
      </c>
      <c r="E493" s="158">
        <v>100</v>
      </c>
      <c r="F493" s="158">
        <v>0</v>
      </c>
      <c r="G493" s="158">
        <v>0</v>
      </c>
      <c r="H493" s="133" t="s">
        <v>2550</v>
      </c>
      <c r="I493" s="133" t="s">
        <v>548</v>
      </c>
      <c r="J493" s="158">
        <v>0</v>
      </c>
    </row>
    <row r="494" spans="1:25" ht="15.75" customHeight="1">
      <c r="A494" s="133" t="s">
        <v>4</v>
      </c>
      <c r="B494" s="133" t="s">
        <v>3752</v>
      </c>
      <c r="C494" s="133" t="s">
        <v>5160</v>
      </c>
      <c r="D494" s="133" t="s">
        <v>477</v>
      </c>
      <c r="E494" s="158">
        <v>300</v>
      </c>
      <c r="F494" s="158">
        <v>0</v>
      </c>
      <c r="G494" s="158">
        <v>0</v>
      </c>
      <c r="H494" s="133" t="s">
        <v>5161</v>
      </c>
      <c r="I494" s="133" t="s">
        <v>548</v>
      </c>
      <c r="J494" s="158">
        <v>0</v>
      </c>
    </row>
    <row r="495" spans="1:25" ht="15.75" customHeight="1">
      <c r="A495" s="133" t="s">
        <v>4</v>
      </c>
      <c r="B495" s="133" t="s">
        <v>3752</v>
      </c>
      <c r="C495" s="133" t="s">
        <v>4676</v>
      </c>
      <c r="D495" s="133" t="s">
        <v>477</v>
      </c>
      <c r="E495" s="158">
        <v>30</v>
      </c>
      <c r="F495" s="158">
        <v>0</v>
      </c>
      <c r="G495" s="158">
        <v>0</v>
      </c>
      <c r="H495" s="133" t="s">
        <v>5473</v>
      </c>
      <c r="I495" s="133" t="s">
        <v>548</v>
      </c>
      <c r="J495" s="158">
        <v>0</v>
      </c>
    </row>
    <row r="496" spans="1:25" ht="15.75" customHeight="1">
      <c r="A496" s="133" t="s">
        <v>4</v>
      </c>
      <c r="B496" s="133" t="s">
        <v>3752</v>
      </c>
      <c r="C496" s="133" t="s">
        <v>4580</v>
      </c>
      <c r="D496" s="133" t="s">
        <v>477</v>
      </c>
      <c r="E496" s="158">
        <v>100</v>
      </c>
      <c r="F496" s="158">
        <v>0</v>
      </c>
      <c r="G496" s="158">
        <v>0</v>
      </c>
      <c r="H496" s="133" t="s">
        <v>2310</v>
      </c>
      <c r="I496" s="133" t="s">
        <v>548</v>
      </c>
      <c r="J496" s="158">
        <v>0</v>
      </c>
    </row>
    <row r="497" spans="1:10" ht="15.75" customHeight="1">
      <c r="A497" s="133" t="s">
        <v>4</v>
      </c>
      <c r="B497" s="133" t="s">
        <v>3752</v>
      </c>
      <c r="C497" s="133" t="s">
        <v>4581</v>
      </c>
      <c r="D497" s="133" t="s">
        <v>477</v>
      </c>
      <c r="E497" s="158">
        <v>30</v>
      </c>
      <c r="F497" s="158">
        <v>0</v>
      </c>
      <c r="G497" s="158">
        <v>0</v>
      </c>
      <c r="H497" s="133" t="s">
        <v>5171</v>
      </c>
      <c r="I497" s="133" t="s">
        <v>548</v>
      </c>
      <c r="J497" s="158">
        <v>0</v>
      </c>
    </row>
    <row r="498" spans="1:10" ht="15.75" customHeight="1">
      <c r="A498" s="133" t="s">
        <v>4</v>
      </c>
      <c r="B498" s="133" t="s">
        <v>3752</v>
      </c>
      <c r="C498" s="133" t="s">
        <v>4772</v>
      </c>
      <c r="D498" s="133" t="s">
        <v>477</v>
      </c>
      <c r="E498" s="158">
        <v>5</v>
      </c>
      <c r="F498" s="158">
        <v>0</v>
      </c>
      <c r="G498" s="158">
        <v>0</v>
      </c>
      <c r="H498" s="133" t="s">
        <v>5474</v>
      </c>
      <c r="I498" s="133" t="s">
        <v>548</v>
      </c>
      <c r="J498" s="158">
        <v>0</v>
      </c>
    </row>
    <row r="499" spans="1:10" ht="15.75" customHeight="1">
      <c r="A499" s="133" t="s">
        <v>4</v>
      </c>
      <c r="B499" s="133" t="s">
        <v>3752</v>
      </c>
      <c r="C499" s="133" t="s">
        <v>5475</v>
      </c>
      <c r="D499" s="133" t="s">
        <v>484</v>
      </c>
      <c r="E499" s="158">
        <v>4</v>
      </c>
      <c r="F499" s="158">
        <v>10</v>
      </c>
      <c r="G499" s="158">
        <v>0</v>
      </c>
      <c r="H499" s="133" t="s">
        <v>5476</v>
      </c>
      <c r="I499" s="133" t="s">
        <v>548</v>
      </c>
      <c r="J499" s="158">
        <v>0</v>
      </c>
    </row>
    <row r="500" spans="1:10" ht="15.75" customHeight="1">
      <c r="A500" s="133" t="s">
        <v>4</v>
      </c>
      <c r="B500" s="133" t="s">
        <v>3752</v>
      </c>
      <c r="C500" s="133" t="s">
        <v>5477</v>
      </c>
      <c r="D500" s="133" t="s">
        <v>477</v>
      </c>
      <c r="E500" s="158">
        <v>100</v>
      </c>
      <c r="F500" s="158">
        <v>0</v>
      </c>
      <c r="G500" s="158">
        <v>0</v>
      </c>
      <c r="H500" s="133" t="s">
        <v>5478</v>
      </c>
      <c r="I500" s="133" t="s">
        <v>548</v>
      </c>
      <c r="J500" s="158">
        <v>0</v>
      </c>
    </row>
    <row r="501" spans="1:10" ht="15.75" customHeight="1">
      <c r="A501" s="133" t="s">
        <v>4</v>
      </c>
      <c r="B501" s="133" t="s">
        <v>3752</v>
      </c>
      <c r="C501" s="133" t="s">
        <v>1815</v>
      </c>
      <c r="D501" s="133" t="s">
        <v>477</v>
      </c>
      <c r="E501" s="158">
        <v>100</v>
      </c>
      <c r="F501" s="158">
        <v>0</v>
      </c>
      <c r="G501" s="158">
        <v>0</v>
      </c>
      <c r="H501" s="133" t="s">
        <v>1687</v>
      </c>
      <c r="I501" s="133" t="s">
        <v>548</v>
      </c>
      <c r="J501" s="158">
        <v>0</v>
      </c>
    </row>
    <row r="502" spans="1:10" ht="15.75" customHeight="1">
      <c r="A502" s="133" t="s">
        <v>4</v>
      </c>
      <c r="B502" s="133" t="s">
        <v>3752</v>
      </c>
      <c r="C502" s="133" t="s">
        <v>4323</v>
      </c>
      <c r="D502" s="133" t="s">
        <v>477</v>
      </c>
      <c r="E502" s="158">
        <v>100</v>
      </c>
      <c r="F502" s="158">
        <v>0</v>
      </c>
      <c r="G502" s="158">
        <v>0</v>
      </c>
      <c r="H502" s="133" t="s">
        <v>1689</v>
      </c>
      <c r="I502" s="133" t="s">
        <v>548</v>
      </c>
      <c r="J502" s="158">
        <v>0</v>
      </c>
    </row>
    <row r="503" spans="1:10" ht="15.75" customHeight="1">
      <c r="A503" s="133" t="s">
        <v>4</v>
      </c>
      <c r="B503" s="133" t="s">
        <v>3752</v>
      </c>
      <c r="C503" s="133" t="s">
        <v>5162</v>
      </c>
      <c r="D503" s="133" t="s">
        <v>477</v>
      </c>
      <c r="E503" s="158">
        <v>100</v>
      </c>
      <c r="F503" s="158">
        <v>0</v>
      </c>
      <c r="G503" s="158">
        <v>0</v>
      </c>
      <c r="H503" s="133" t="s">
        <v>2303</v>
      </c>
      <c r="I503" s="133" t="s">
        <v>548</v>
      </c>
      <c r="J503" s="158">
        <v>0</v>
      </c>
    </row>
    <row r="504" spans="1:10" ht="15.75" customHeight="1">
      <c r="A504" s="133" t="s">
        <v>4</v>
      </c>
      <c r="B504" s="133" t="s">
        <v>3752</v>
      </c>
      <c r="C504" s="133" t="s">
        <v>1585</v>
      </c>
      <c r="D504" s="133" t="s">
        <v>477</v>
      </c>
      <c r="E504" s="158">
        <v>100</v>
      </c>
      <c r="F504" s="158">
        <v>0</v>
      </c>
      <c r="G504" s="158">
        <v>0</v>
      </c>
      <c r="H504" s="133" t="s">
        <v>2305</v>
      </c>
      <c r="I504" s="133" t="s">
        <v>548</v>
      </c>
      <c r="J504" s="158">
        <v>0</v>
      </c>
    </row>
    <row r="505" spans="1:10" ht="15.75" customHeight="1">
      <c r="A505" s="133" t="s">
        <v>4</v>
      </c>
      <c r="B505" s="133" t="s">
        <v>3752</v>
      </c>
      <c r="C505" s="133" t="s">
        <v>1804</v>
      </c>
      <c r="D505" s="133" t="s">
        <v>477</v>
      </c>
      <c r="E505" s="158">
        <v>100</v>
      </c>
      <c r="F505" s="158">
        <v>0</v>
      </c>
      <c r="G505" s="158">
        <v>0</v>
      </c>
      <c r="H505" s="133" t="s">
        <v>2307</v>
      </c>
      <c r="I505" s="133" t="s">
        <v>548</v>
      </c>
      <c r="J505" s="158">
        <v>0</v>
      </c>
    </row>
    <row r="506" spans="1:10" ht="15.75" customHeight="1">
      <c r="A506" s="133" t="s">
        <v>4</v>
      </c>
      <c r="B506" s="133" t="s">
        <v>3752</v>
      </c>
      <c r="C506" s="133" t="s">
        <v>5163</v>
      </c>
      <c r="D506" s="133" t="s">
        <v>477</v>
      </c>
      <c r="E506" s="158">
        <v>5</v>
      </c>
      <c r="F506" s="158">
        <v>0</v>
      </c>
      <c r="G506" s="158">
        <v>0</v>
      </c>
      <c r="H506" s="133" t="s">
        <v>934</v>
      </c>
      <c r="I506" s="133" t="s">
        <v>548</v>
      </c>
      <c r="J506" s="158">
        <v>0</v>
      </c>
    </row>
    <row r="507" spans="1:10" ht="15.75" customHeight="1">
      <c r="A507" s="133" t="s">
        <v>4</v>
      </c>
      <c r="B507" s="133" t="s">
        <v>3752</v>
      </c>
      <c r="C507" s="133" t="s">
        <v>4643</v>
      </c>
      <c r="D507" s="133" t="s">
        <v>481</v>
      </c>
      <c r="E507" s="158">
        <v>9</v>
      </c>
      <c r="F507" s="158">
        <v>11</v>
      </c>
      <c r="G507" s="158">
        <v>8</v>
      </c>
      <c r="H507" s="133" t="s">
        <v>5165</v>
      </c>
      <c r="I507" s="133" t="s">
        <v>615</v>
      </c>
      <c r="J507" s="158">
        <v>0</v>
      </c>
    </row>
    <row r="508" spans="1:10" ht="15.75" customHeight="1">
      <c r="A508" s="133" t="s">
        <v>4</v>
      </c>
      <c r="B508" s="133" t="s">
        <v>3752</v>
      </c>
      <c r="C508" s="133" t="s">
        <v>5166</v>
      </c>
      <c r="D508" s="133" t="s">
        <v>481</v>
      </c>
      <c r="E508" s="158">
        <v>9</v>
      </c>
      <c r="F508" s="158">
        <v>11</v>
      </c>
      <c r="G508" s="158">
        <v>8</v>
      </c>
      <c r="H508" s="133" t="s">
        <v>5479</v>
      </c>
      <c r="I508" s="133" t="s">
        <v>615</v>
      </c>
      <c r="J508" s="158">
        <v>0</v>
      </c>
    </row>
    <row r="509" spans="1:10" ht="15.75" customHeight="1">
      <c r="A509" s="133" t="s">
        <v>4</v>
      </c>
      <c r="B509" s="133" t="s">
        <v>3752</v>
      </c>
      <c r="C509" s="133" t="s">
        <v>5480</v>
      </c>
      <c r="D509" s="133" t="s">
        <v>477</v>
      </c>
      <c r="E509" s="158">
        <v>300</v>
      </c>
      <c r="F509" s="158">
        <v>0</v>
      </c>
      <c r="G509" s="158">
        <v>0</v>
      </c>
      <c r="H509" s="133" t="s">
        <v>4799</v>
      </c>
      <c r="I509" s="133" t="s">
        <v>548</v>
      </c>
      <c r="J509" s="158">
        <v>0</v>
      </c>
    </row>
    <row r="510" spans="1:10" ht="15.75" customHeight="1">
      <c r="A510" s="133" t="s">
        <v>4</v>
      </c>
      <c r="B510" s="133" t="s">
        <v>3752</v>
      </c>
      <c r="C510" s="133" t="s">
        <v>2581</v>
      </c>
      <c r="D510" s="133" t="s">
        <v>477</v>
      </c>
      <c r="E510" s="158">
        <v>300</v>
      </c>
      <c r="F510" s="158">
        <v>0</v>
      </c>
      <c r="G510" s="158">
        <v>0</v>
      </c>
      <c r="H510" s="133" t="s">
        <v>5481</v>
      </c>
      <c r="I510" s="133" t="s">
        <v>548</v>
      </c>
      <c r="J510" s="158">
        <v>0</v>
      </c>
    </row>
    <row r="511" spans="1:10" ht="15.75" customHeight="1">
      <c r="A511" s="133" t="s">
        <v>4</v>
      </c>
      <c r="B511" s="133" t="s">
        <v>3752</v>
      </c>
      <c r="C511" s="133" t="s">
        <v>5482</v>
      </c>
      <c r="D511" s="133" t="s">
        <v>477</v>
      </c>
      <c r="E511" s="158">
        <v>300</v>
      </c>
      <c r="F511" s="158">
        <v>0</v>
      </c>
      <c r="G511" s="158">
        <v>0</v>
      </c>
      <c r="H511" s="133" t="s">
        <v>5483</v>
      </c>
      <c r="I511" s="133" t="s">
        <v>548</v>
      </c>
      <c r="J511" s="158">
        <v>0</v>
      </c>
    </row>
    <row r="512" spans="1:10" ht="15.75" customHeight="1">
      <c r="A512" s="133" t="s">
        <v>4</v>
      </c>
      <c r="B512" s="133" t="s">
        <v>3752</v>
      </c>
      <c r="C512" s="133" t="s">
        <v>4325</v>
      </c>
      <c r="D512" s="133" t="s">
        <v>477</v>
      </c>
      <c r="E512" s="158">
        <v>2</v>
      </c>
      <c r="F512" s="158">
        <v>0</v>
      </c>
      <c r="G512" s="158">
        <v>0</v>
      </c>
      <c r="H512" s="133" t="s">
        <v>5484</v>
      </c>
      <c r="I512" s="133" t="s">
        <v>548</v>
      </c>
      <c r="J512" s="158">
        <v>0</v>
      </c>
    </row>
    <row r="513" spans="1:10" ht="15.75" customHeight="1">
      <c r="A513" s="133" t="s">
        <v>4</v>
      </c>
      <c r="B513" s="133" t="s">
        <v>3752</v>
      </c>
      <c r="C513" s="133" t="s">
        <v>3733</v>
      </c>
      <c r="D513" s="133" t="s">
        <v>477</v>
      </c>
      <c r="E513" s="158">
        <v>10</v>
      </c>
      <c r="F513" s="158">
        <v>0</v>
      </c>
      <c r="G513" s="158">
        <v>0</v>
      </c>
      <c r="H513" s="133" t="s">
        <v>479</v>
      </c>
      <c r="I513" s="133" t="s">
        <v>548</v>
      </c>
      <c r="J513" s="158">
        <v>0</v>
      </c>
    </row>
    <row r="514" spans="1:10" ht="15.75" customHeight="1">
      <c r="A514" s="133" t="s">
        <v>4</v>
      </c>
      <c r="B514" s="133" t="s">
        <v>3752</v>
      </c>
      <c r="C514" s="133" t="s">
        <v>1741</v>
      </c>
      <c r="D514" s="133" t="s">
        <v>477</v>
      </c>
      <c r="E514" s="158">
        <v>50</v>
      </c>
      <c r="F514" s="158">
        <v>0</v>
      </c>
      <c r="G514" s="158">
        <v>0</v>
      </c>
      <c r="H514" s="133" t="s">
        <v>1438</v>
      </c>
      <c r="I514" s="133" t="s">
        <v>548</v>
      </c>
      <c r="J514" s="158">
        <v>0</v>
      </c>
    </row>
    <row r="515" spans="1:10" ht="15.75" customHeight="1">
      <c r="A515" s="133" t="s">
        <v>4</v>
      </c>
      <c r="B515" s="133" t="s">
        <v>3752</v>
      </c>
      <c r="C515" s="133" t="s">
        <v>4688</v>
      </c>
      <c r="D515" s="133" t="s">
        <v>477</v>
      </c>
      <c r="E515" s="158">
        <v>10</v>
      </c>
      <c r="F515" s="158">
        <v>0</v>
      </c>
      <c r="G515" s="158">
        <v>0</v>
      </c>
      <c r="H515" s="133" t="s">
        <v>5408</v>
      </c>
      <c r="I515" s="133" t="s">
        <v>548</v>
      </c>
      <c r="J515" s="158">
        <v>0</v>
      </c>
    </row>
    <row r="516" spans="1:10" ht="15.75" customHeight="1">
      <c r="A516" s="133" t="s">
        <v>4</v>
      </c>
      <c r="B516" s="133" t="s">
        <v>3752</v>
      </c>
      <c r="C516" s="133" t="s">
        <v>4690</v>
      </c>
      <c r="D516" s="133" t="s">
        <v>481</v>
      </c>
      <c r="E516" s="158">
        <v>9</v>
      </c>
      <c r="F516" s="158">
        <v>11</v>
      </c>
      <c r="G516" s="158">
        <v>2</v>
      </c>
      <c r="H516" s="133" t="s">
        <v>5409</v>
      </c>
      <c r="I516" s="133" t="s">
        <v>615</v>
      </c>
      <c r="J516" s="158">
        <v>0</v>
      </c>
    </row>
    <row r="517" spans="1:10" ht="15.75" customHeight="1">
      <c r="A517" s="133" t="s">
        <v>4</v>
      </c>
      <c r="B517" s="133" t="s">
        <v>3752</v>
      </c>
      <c r="C517" s="133" t="s">
        <v>4691</v>
      </c>
      <c r="D517" s="133" t="s">
        <v>481</v>
      </c>
      <c r="E517" s="158">
        <v>9</v>
      </c>
      <c r="F517" s="158">
        <v>11</v>
      </c>
      <c r="G517" s="158">
        <v>2</v>
      </c>
      <c r="H517" s="133" t="s">
        <v>5485</v>
      </c>
      <c r="I517" s="133" t="s">
        <v>615</v>
      </c>
      <c r="J517" s="158">
        <v>0</v>
      </c>
    </row>
    <row r="518" spans="1:10" ht="15.75" customHeight="1">
      <c r="A518" s="133" t="s">
        <v>4</v>
      </c>
      <c r="B518" s="133" t="s">
        <v>3752</v>
      </c>
      <c r="C518" s="133" t="s">
        <v>4483</v>
      </c>
      <c r="D518" s="133" t="s">
        <v>481</v>
      </c>
      <c r="E518" s="158">
        <v>9</v>
      </c>
      <c r="F518" s="158">
        <v>10</v>
      </c>
      <c r="G518" s="158">
        <v>4</v>
      </c>
      <c r="H518" s="133" t="s">
        <v>5486</v>
      </c>
      <c r="I518" s="133" t="s">
        <v>615</v>
      </c>
      <c r="J518" s="158">
        <v>0</v>
      </c>
    </row>
    <row r="519" spans="1:10" ht="15.75" customHeight="1">
      <c r="A519" s="133" t="s">
        <v>4</v>
      </c>
      <c r="B519" s="133" t="s">
        <v>3752</v>
      </c>
      <c r="C519" s="133" t="s">
        <v>5263</v>
      </c>
      <c r="D519" s="133" t="s">
        <v>484</v>
      </c>
      <c r="E519" s="158">
        <v>4</v>
      </c>
      <c r="F519" s="158">
        <v>10</v>
      </c>
      <c r="G519" s="158">
        <v>0</v>
      </c>
      <c r="H519" s="133" t="s">
        <v>5487</v>
      </c>
      <c r="I519" s="133" t="s">
        <v>615</v>
      </c>
      <c r="J519" s="158">
        <v>0</v>
      </c>
    </row>
    <row r="520" spans="1:10" ht="15.75" customHeight="1">
      <c r="A520" s="133" t="s">
        <v>4</v>
      </c>
      <c r="B520" s="133" t="s">
        <v>3752</v>
      </c>
      <c r="C520" s="133" t="s">
        <v>811</v>
      </c>
      <c r="D520" s="133" t="s">
        <v>477</v>
      </c>
      <c r="E520" s="158">
        <v>20</v>
      </c>
      <c r="F520" s="158">
        <v>0</v>
      </c>
      <c r="G520" s="158">
        <v>0</v>
      </c>
      <c r="H520" s="133" t="s">
        <v>5488</v>
      </c>
      <c r="I520" s="133" t="s">
        <v>548</v>
      </c>
      <c r="J520" s="158">
        <v>0</v>
      </c>
    </row>
    <row r="521" spans="1:10" ht="15.75" customHeight="1">
      <c r="A521" s="133" t="s">
        <v>4</v>
      </c>
      <c r="B521" s="133" t="s">
        <v>3752</v>
      </c>
      <c r="C521" s="133" t="s">
        <v>5489</v>
      </c>
      <c r="D521" s="133" t="s">
        <v>477</v>
      </c>
      <c r="E521" s="158">
        <v>3</v>
      </c>
      <c r="F521" s="158">
        <v>0</v>
      </c>
      <c r="G521" s="158">
        <v>0</v>
      </c>
      <c r="H521" s="133" t="s">
        <v>5490</v>
      </c>
      <c r="I521" s="133" t="s">
        <v>596</v>
      </c>
      <c r="J521" s="158">
        <v>0</v>
      </c>
    </row>
    <row r="522" spans="1:10" ht="15.75" customHeight="1">
      <c r="A522" s="133" t="s">
        <v>4</v>
      </c>
      <c r="B522" s="133" t="s">
        <v>3752</v>
      </c>
      <c r="C522" s="133" t="s">
        <v>5491</v>
      </c>
      <c r="D522" s="133" t="s">
        <v>477</v>
      </c>
      <c r="E522" s="158">
        <v>3</v>
      </c>
      <c r="F522" s="158">
        <v>0</v>
      </c>
      <c r="G522" s="158">
        <v>0</v>
      </c>
      <c r="H522" s="133" t="s">
        <v>479</v>
      </c>
      <c r="I522" s="133" t="s">
        <v>596</v>
      </c>
      <c r="J522" s="158">
        <v>0</v>
      </c>
    </row>
    <row r="523" spans="1:10" ht="15.75" customHeight="1">
      <c r="A523" s="133" t="s">
        <v>4</v>
      </c>
      <c r="B523" s="133" t="s">
        <v>3752</v>
      </c>
      <c r="C523" s="133" t="s">
        <v>1814</v>
      </c>
      <c r="D523" s="133" t="s">
        <v>477</v>
      </c>
      <c r="E523" s="158">
        <v>2</v>
      </c>
      <c r="F523" s="158">
        <v>0</v>
      </c>
      <c r="G523" s="158">
        <v>0</v>
      </c>
      <c r="H523" s="133" t="s">
        <v>5116</v>
      </c>
      <c r="I523" s="133" t="s">
        <v>548</v>
      </c>
      <c r="J523" s="158">
        <v>0</v>
      </c>
    </row>
    <row r="524" spans="1:10" ht="15.75" customHeight="1">
      <c r="A524" s="133" t="s">
        <v>4</v>
      </c>
      <c r="B524" s="133" t="s">
        <v>3752</v>
      </c>
      <c r="C524" s="133" t="s">
        <v>3739</v>
      </c>
      <c r="D524" s="133" t="s">
        <v>477</v>
      </c>
      <c r="E524" s="158">
        <v>20</v>
      </c>
      <c r="F524" s="158">
        <v>0</v>
      </c>
      <c r="G524" s="158">
        <v>0</v>
      </c>
      <c r="H524" s="133" t="s">
        <v>5372</v>
      </c>
      <c r="I524" s="133" t="s">
        <v>548</v>
      </c>
      <c r="J524" s="158">
        <v>0</v>
      </c>
    </row>
    <row r="525" spans="1:10" ht="15.75" customHeight="1">
      <c r="A525" s="133" t="s">
        <v>4</v>
      </c>
      <c r="B525" s="133" t="s">
        <v>3752</v>
      </c>
      <c r="C525" s="133" t="s">
        <v>3689</v>
      </c>
      <c r="D525" s="133" t="s">
        <v>477</v>
      </c>
      <c r="E525" s="158">
        <v>20</v>
      </c>
      <c r="F525" s="158">
        <v>0</v>
      </c>
      <c r="G525" s="158">
        <v>0</v>
      </c>
      <c r="H525" s="133" t="s">
        <v>5112</v>
      </c>
      <c r="I525" s="133" t="s">
        <v>548</v>
      </c>
      <c r="J525" s="158">
        <v>0</v>
      </c>
    </row>
    <row r="526" spans="1:10" ht="15.75" customHeight="1">
      <c r="A526" s="133" t="s">
        <v>4</v>
      </c>
      <c r="B526" s="133" t="s">
        <v>3752</v>
      </c>
      <c r="C526" s="133" t="s">
        <v>5110</v>
      </c>
      <c r="D526" s="133" t="s">
        <v>477</v>
      </c>
      <c r="E526" s="158">
        <v>20</v>
      </c>
      <c r="F526" s="158">
        <v>0</v>
      </c>
      <c r="G526" s="158">
        <v>0</v>
      </c>
      <c r="H526" s="133" t="s">
        <v>5111</v>
      </c>
      <c r="I526" s="133" t="s">
        <v>548</v>
      </c>
      <c r="J526" s="158">
        <v>0</v>
      </c>
    </row>
    <row r="527" spans="1:10" ht="15.75" customHeight="1">
      <c r="A527" s="133" t="s">
        <v>4</v>
      </c>
      <c r="B527" s="133" t="s">
        <v>3752</v>
      </c>
      <c r="C527" s="133" t="s">
        <v>3742</v>
      </c>
      <c r="D527" s="133" t="s">
        <v>477</v>
      </c>
      <c r="E527" s="158">
        <v>20</v>
      </c>
      <c r="F527" s="158">
        <v>0</v>
      </c>
      <c r="G527" s="158">
        <v>0</v>
      </c>
      <c r="H527" s="133" t="s">
        <v>5412</v>
      </c>
      <c r="I527" s="133" t="s">
        <v>548</v>
      </c>
      <c r="J527" s="158">
        <v>0</v>
      </c>
    </row>
    <row r="528" spans="1:10" ht="15.75" customHeight="1">
      <c r="A528" s="133" t="s">
        <v>4</v>
      </c>
      <c r="B528" s="133" t="s">
        <v>3752</v>
      </c>
      <c r="C528" s="133" t="s">
        <v>292</v>
      </c>
      <c r="D528" s="133" t="s">
        <v>484</v>
      </c>
      <c r="E528" s="158">
        <v>4</v>
      </c>
      <c r="F528" s="158">
        <v>10</v>
      </c>
      <c r="G528" s="158">
        <v>0</v>
      </c>
      <c r="H528" s="133" t="s">
        <v>5492</v>
      </c>
      <c r="I528" s="133" t="s">
        <v>615</v>
      </c>
      <c r="J528" s="158">
        <v>0</v>
      </c>
    </row>
    <row r="529" spans="1:10" ht="15.75" customHeight="1">
      <c r="A529" s="133" t="s">
        <v>4</v>
      </c>
      <c r="B529" s="133" t="s">
        <v>3752</v>
      </c>
      <c r="C529" s="133" t="s">
        <v>4694</v>
      </c>
      <c r="D529" s="133" t="s">
        <v>484</v>
      </c>
      <c r="E529" s="158">
        <v>4</v>
      </c>
      <c r="F529" s="158">
        <v>10</v>
      </c>
      <c r="G529" s="158">
        <v>0</v>
      </c>
      <c r="H529" s="133" t="s">
        <v>5113</v>
      </c>
      <c r="I529" s="133" t="s">
        <v>615</v>
      </c>
      <c r="J529" s="158">
        <v>0</v>
      </c>
    </row>
    <row r="530" spans="1:10" ht="15.75" customHeight="1">
      <c r="A530" s="133" t="s">
        <v>4</v>
      </c>
      <c r="B530" s="133" t="s">
        <v>3752</v>
      </c>
      <c r="C530" s="133" t="s">
        <v>5493</v>
      </c>
      <c r="D530" s="133" t="s">
        <v>4440</v>
      </c>
      <c r="E530" s="158">
        <v>3</v>
      </c>
      <c r="F530" s="158">
        <v>8</v>
      </c>
      <c r="G530" s="158">
        <v>0</v>
      </c>
      <c r="H530" s="133" t="s">
        <v>5494</v>
      </c>
      <c r="I530" s="133" t="s">
        <v>548</v>
      </c>
      <c r="J530" s="158">
        <v>0</v>
      </c>
    </row>
    <row r="531" spans="1:10" ht="15.75" customHeight="1">
      <c r="A531" s="133" t="s">
        <v>4</v>
      </c>
      <c r="B531" s="133" t="s">
        <v>3752</v>
      </c>
      <c r="C531" s="133" t="s">
        <v>5495</v>
      </c>
      <c r="D531" s="133" t="s">
        <v>4440</v>
      </c>
      <c r="E531" s="158">
        <v>3</v>
      </c>
      <c r="F531" s="158">
        <v>8</v>
      </c>
      <c r="G531" s="158">
        <v>0</v>
      </c>
      <c r="H531" s="133" t="s">
        <v>5496</v>
      </c>
      <c r="I531" s="133" t="s">
        <v>548</v>
      </c>
      <c r="J531" s="158">
        <v>0</v>
      </c>
    </row>
    <row r="532" spans="1:10" ht="15.75" customHeight="1">
      <c r="A532" s="133" t="s">
        <v>4</v>
      </c>
      <c r="B532" s="133" t="s">
        <v>3752</v>
      </c>
      <c r="C532" s="133" t="s">
        <v>5497</v>
      </c>
      <c r="D532" s="133" t="s">
        <v>4440</v>
      </c>
      <c r="E532" s="158">
        <v>3</v>
      </c>
      <c r="F532" s="158">
        <v>8</v>
      </c>
      <c r="G532" s="158">
        <v>0</v>
      </c>
      <c r="H532" s="133" t="s">
        <v>5498</v>
      </c>
      <c r="I532" s="133" t="s">
        <v>548</v>
      </c>
      <c r="J532" s="158">
        <v>0</v>
      </c>
    </row>
    <row r="533" spans="1:10" ht="15.75" customHeight="1">
      <c r="A533" s="133" t="s">
        <v>4</v>
      </c>
      <c r="B533" s="133" t="s">
        <v>3752</v>
      </c>
      <c r="C533" s="133" t="s">
        <v>5499</v>
      </c>
      <c r="D533" s="133" t="s">
        <v>4440</v>
      </c>
      <c r="E533" s="158">
        <v>3</v>
      </c>
      <c r="F533" s="158">
        <v>8</v>
      </c>
      <c r="G533" s="158">
        <v>0</v>
      </c>
      <c r="H533" s="133" t="s">
        <v>5500</v>
      </c>
      <c r="I533" s="133" t="s">
        <v>548</v>
      </c>
      <c r="J533" s="158">
        <v>0</v>
      </c>
    </row>
    <row r="534" spans="1:10" ht="15.75" customHeight="1">
      <c r="A534" s="133" t="s">
        <v>4</v>
      </c>
      <c r="B534" s="133" t="s">
        <v>3752</v>
      </c>
      <c r="C534" s="133" t="s">
        <v>523</v>
      </c>
      <c r="D534" s="133" t="s">
        <v>477</v>
      </c>
      <c r="E534" s="158">
        <v>8</v>
      </c>
      <c r="F534" s="158">
        <v>0</v>
      </c>
      <c r="G534" s="158">
        <v>0</v>
      </c>
      <c r="H534" s="133" t="s">
        <v>834</v>
      </c>
      <c r="I534" s="133" t="s">
        <v>548</v>
      </c>
      <c r="J534" s="158">
        <v>0</v>
      </c>
    </row>
    <row r="535" spans="1:10" ht="15.75" customHeight="1">
      <c r="A535" s="133" t="s">
        <v>4</v>
      </c>
      <c r="B535" s="133" t="s">
        <v>3752</v>
      </c>
      <c r="C535" s="133" t="s">
        <v>669</v>
      </c>
      <c r="D535" s="133" t="s">
        <v>496</v>
      </c>
      <c r="E535" s="158">
        <v>4</v>
      </c>
      <c r="F535" s="158">
        <v>16</v>
      </c>
      <c r="G535" s="158">
        <v>0</v>
      </c>
      <c r="H535" s="133" t="s">
        <v>835</v>
      </c>
      <c r="I535" s="133" t="s">
        <v>548</v>
      </c>
      <c r="J535" s="158">
        <v>0</v>
      </c>
    </row>
    <row r="536" spans="1:10" ht="15.75" customHeight="1">
      <c r="A536" s="133" t="s">
        <v>4</v>
      </c>
      <c r="B536" s="133" t="s">
        <v>3752</v>
      </c>
      <c r="C536" s="133" t="s">
        <v>670</v>
      </c>
      <c r="D536" s="133" t="s">
        <v>477</v>
      </c>
      <c r="E536" s="158">
        <v>8</v>
      </c>
      <c r="F536" s="158">
        <v>0</v>
      </c>
      <c r="G536" s="158">
        <v>0</v>
      </c>
      <c r="H536" s="133" t="s">
        <v>5153</v>
      </c>
      <c r="I536" s="133" t="s">
        <v>548</v>
      </c>
      <c r="J536" s="158">
        <v>0</v>
      </c>
    </row>
    <row r="537" spans="1:10" ht="15.75" customHeight="1">
      <c r="A537" s="133" t="s">
        <v>4</v>
      </c>
      <c r="B537" s="133" t="s">
        <v>3752</v>
      </c>
      <c r="C537" s="133" t="s">
        <v>215</v>
      </c>
      <c r="D537" s="133" t="s">
        <v>496</v>
      </c>
      <c r="E537" s="158">
        <v>4</v>
      </c>
      <c r="F537" s="158">
        <v>16</v>
      </c>
      <c r="G537" s="158">
        <v>0</v>
      </c>
      <c r="H537" s="133" t="s">
        <v>1982</v>
      </c>
      <c r="I537" s="133" t="s">
        <v>548</v>
      </c>
      <c r="J537" s="158">
        <v>0</v>
      </c>
    </row>
    <row r="538" spans="1:10" ht="15.75" customHeight="1">
      <c r="A538" s="133" t="s">
        <v>4</v>
      </c>
      <c r="B538" s="133" t="s">
        <v>3752</v>
      </c>
      <c r="C538" s="133" t="s">
        <v>3751</v>
      </c>
      <c r="D538" s="133" t="s">
        <v>477</v>
      </c>
      <c r="E538" s="158">
        <v>7</v>
      </c>
      <c r="F538" s="158">
        <v>0</v>
      </c>
      <c r="G538" s="158">
        <v>0</v>
      </c>
      <c r="H538" s="133" t="s">
        <v>479</v>
      </c>
      <c r="I538" s="133" t="s">
        <v>548</v>
      </c>
      <c r="J538" s="158">
        <v>0</v>
      </c>
    </row>
    <row r="539" spans="1:10" ht="15.75" customHeight="1">
      <c r="A539" s="133" t="s">
        <v>4</v>
      </c>
      <c r="B539" s="133" t="s">
        <v>3752</v>
      </c>
      <c r="C539" s="133" t="s">
        <v>4665</v>
      </c>
      <c r="D539" s="133" t="s">
        <v>477</v>
      </c>
      <c r="E539" s="158">
        <v>3</v>
      </c>
      <c r="F539" s="158">
        <v>0</v>
      </c>
      <c r="G539" s="158">
        <v>0</v>
      </c>
      <c r="H539" s="133" t="s">
        <v>479</v>
      </c>
      <c r="I539" s="133" t="s">
        <v>596</v>
      </c>
      <c r="J539" s="158">
        <v>0</v>
      </c>
    </row>
    <row r="540" spans="1:10" ht="15.75" customHeight="1">
      <c r="A540" s="133" t="s">
        <v>4</v>
      </c>
      <c r="B540" s="133" t="s">
        <v>3752</v>
      </c>
      <c r="C540" s="133" t="s">
        <v>5501</v>
      </c>
      <c r="D540" s="133" t="s">
        <v>477</v>
      </c>
      <c r="E540" s="158">
        <v>8</v>
      </c>
      <c r="F540" s="158">
        <v>0</v>
      </c>
      <c r="G540" s="158">
        <v>0</v>
      </c>
      <c r="H540" s="133" t="s">
        <v>479</v>
      </c>
      <c r="I540" s="133" t="s">
        <v>548</v>
      </c>
      <c r="J540" s="158">
        <v>0</v>
      </c>
    </row>
    <row r="541" spans="1:10" ht="15.75" customHeight="1">
      <c r="A541" s="133" t="s">
        <v>4</v>
      </c>
      <c r="B541" s="133" t="s">
        <v>3752</v>
      </c>
      <c r="C541" s="133" t="s">
        <v>5502</v>
      </c>
      <c r="D541" s="133" t="s">
        <v>496</v>
      </c>
      <c r="E541" s="158">
        <v>4</v>
      </c>
      <c r="F541" s="158">
        <v>16</v>
      </c>
      <c r="G541" s="158">
        <v>0</v>
      </c>
      <c r="H541" s="133" t="s">
        <v>479</v>
      </c>
      <c r="I541" s="133" t="s">
        <v>548</v>
      </c>
      <c r="J541" s="158">
        <v>0</v>
      </c>
    </row>
    <row r="542" spans="1:10" ht="15.75" customHeight="1">
      <c r="A542" s="133" t="s">
        <v>4</v>
      </c>
      <c r="B542" s="133" t="s">
        <v>3752</v>
      </c>
      <c r="C542" s="133" t="s">
        <v>5503</v>
      </c>
      <c r="D542" s="133" t="s">
        <v>477</v>
      </c>
      <c r="E542" s="158">
        <v>10</v>
      </c>
      <c r="F542" s="158">
        <v>0</v>
      </c>
      <c r="G542" s="158">
        <v>0</v>
      </c>
      <c r="H542" s="133" t="s">
        <v>479</v>
      </c>
      <c r="I542" s="133" t="s">
        <v>1644</v>
      </c>
      <c r="J542" s="158">
        <v>0</v>
      </c>
    </row>
    <row r="543" spans="1:10" ht="15.75" customHeight="1">
      <c r="A543" s="133" t="s">
        <v>4</v>
      </c>
      <c r="B543" s="133" t="s">
        <v>3752</v>
      </c>
      <c r="C543" s="133" t="s">
        <v>5504</v>
      </c>
      <c r="D543" s="133" t="s">
        <v>477</v>
      </c>
      <c r="E543" s="158">
        <v>100</v>
      </c>
      <c r="F543" s="158">
        <v>0</v>
      </c>
      <c r="G543" s="158">
        <v>0</v>
      </c>
      <c r="H543" s="133" t="s">
        <v>479</v>
      </c>
      <c r="I543" s="133" t="s">
        <v>548</v>
      </c>
      <c r="J543" s="158">
        <v>0</v>
      </c>
    </row>
    <row r="544" spans="1:10" ht="15.75" customHeight="1">
      <c r="A544" s="133" t="s">
        <v>4</v>
      </c>
      <c r="B544" s="133" t="s">
        <v>3752</v>
      </c>
      <c r="C544" s="133" t="s">
        <v>5505</v>
      </c>
      <c r="D544" s="133" t="s">
        <v>496</v>
      </c>
      <c r="E544" s="158">
        <v>4</v>
      </c>
      <c r="F544" s="158">
        <v>16</v>
      </c>
      <c r="G544" s="158">
        <v>0</v>
      </c>
      <c r="H544" s="133" t="s">
        <v>479</v>
      </c>
      <c r="I544" s="133" t="s">
        <v>548</v>
      </c>
      <c r="J544" s="158">
        <v>0</v>
      </c>
    </row>
    <row r="545" spans="1:10" ht="15.75" customHeight="1">
      <c r="A545" s="133" t="s">
        <v>4</v>
      </c>
      <c r="B545" s="133" t="s">
        <v>3752</v>
      </c>
      <c r="C545" s="133" t="s">
        <v>4608</v>
      </c>
      <c r="D545" s="133" t="s">
        <v>477</v>
      </c>
      <c r="E545" s="158">
        <v>3</v>
      </c>
      <c r="F545" s="158">
        <v>0</v>
      </c>
      <c r="G545" s="158">
        <v>0</v>
      </c>
      <c r="H545" s="133" t="s">
        <v>5506</v>
      </c>
      <c r="I545" s="133" t="s">
        <v>596</v>
      </c>
      <c r="J545" s="158">
        <v>0</v>
      </c>
    </row>
    <row r="546" spans="1:10" ht="15.75" customHeight="1">
      <c r="A546" s="133" t="s">
        <v>4</v>
      </c>
      <c r="B546" s="133" t="s">
        <v>3752</v>
      </c>
      <c r="C546" s="133" t="s">
        <v>5390</v>
      </c>
      <c r="D546" s="133" t="s">
        <v>477</v>
      </c>
      <c r="E546" s="158">
        <v>4</v>
      </c>
      <c r="F546" s="158">
        <v>0</v>
      </c>
      <c r="G546" s="158">
        <v>0</v>
      </c>
      <c r="H546" s="133" t="s">
        <v>5507</v>
      </c>
      <c r="I546" s="133" t="s">
        <v>548</v>
      </c>
      <c r="J546" s="158">
        <v>0</v>
      </c>
    </row>
    <row r="547" spans="1:10" ht="15.75" customHeight="1">
      <c r="A547" s="133" t="s">
        <v>4</v>
      </c>
      <c r="B547" s="133" t="s">
        <v>3752</v>
      </c>
      <c r="C547" s="133" t="s">
        <v>4705</v>
      </c>
      <c r="D547" s="133" t="s">
        <v>484</v>
      </c>
      <c r="E547" s="158">
        <v>4</v>
      </c>
      <c r="F547" s="158">
        <v>10</v>
      </c>
      <c r="G547" s="158">
        <v>0</v>
      </c>
      <c r="H547" s="133" t="s">
        <v>5508</v>
      </c>
      <c r="I547" s="133" t="s">
        <v>615</v>
      </c>
      <c r="J547" s="158">
        <v>0</v>
      </c>
    </row>
    <row r="548" spans="1:10" ht="15.75" customHeight="1">
      <c r="A548" s="133" t="s">
        <v>4</v>
      </c>
      <c r="B548" s="133" t="s">
        <v>3752</v>
      </c>
      <c r="C548" s="133" t="s">
        <v>4702</v>
      </c>
      <c r="D548" s="133" t="s">
        <v>496</v>
      </c>
      <c r="E548" s="158">
        <v>4</v>
      </c>
      <c r="F548" s="158">
        <v>16</v>
      </c>
      <c r="G548" s="158">
        <v>0</v>
      </c>
      <c r="H548" s="133" t="s">
        <v>5509</v>
      </c>
      <c r="I548" s="133" t="s">
        <v>548</v>
      </c>
      <c r="J548" s="158">
        <v>0</v>
      </c>
    </row>
    <row r="549" spans="1:10" ht="15.75" customHeight="1">
      <c r="A549" s="133" t="s">
        <v>4</v>
      </c>
      <c r="B549" s="133" t="s">
        <v>3752</v>
      </c>
      <c r="C549" s="133" t="s">
        <v>1206</v>
      </c>
      <c r="D549" s="133" t="s">
        <v>477</v>
      </c>
      <c r="E549" s="158">
        <v>3</v>
      </c>
      <c r="F549" s="158">
        <v>0</v>
      </c>
      <c r="G549" s="158">
        <v>0</v>
      </c>
      <c r="H549" s="133" t="s">
        <v>479</v>
      </c>
      <c r="I549" s="133" t="s">
        <v>2011</v>
      </c>
      <c r="J549" s="158">
        <v>0</v>
      </c>
    </row>
    <row r="550" spans="1:10" ht="15.75" customHeight="1">
      <c r="A550" s="133" t="s">
        <v>4</v>
      </c>
      <c r="B550" s="133" t="s">
        <v>3752</v>
      </c>
      <c r="C550" s="133" t="s">
        <v>4698</v>
      </c>
      <c r="D550" s="133" t="s">
        <v>477</v>
      </c>
      <c r="E550" s="158">
        <v>20</v>
      </c>
      <c r="F550" s="158">
        <v>0</v>
      </c>
      <c r="G550" s="158">
        <v>0</v>
      </c>
      <c r="H550" s="133" t="s">
        <v>479</v>
      </c>
      <c r="I550" s="133" t="s">
        <v>548</v>
      </c>
      <c r="J550" s="158">
        <v>0</v>
      </c>
    </row>
    <row r="551" spans="1:10" ht="15.75" customHeight="1">
      <c r="A551" s="133" t="s">
        <v>4</v>
      </c>
      <c r="B551" s="133" t="s">
        <v>3752</v>
      </c>
      <c r="C551" s="133" t="s">
        <v>4700</v>
      </c>
      <c r="D551" s="133" t="s">
        <v>477</v>
      </c>
      <c r="E551" s="158">
        <v>3</v>
      </c>
      <c r="F551" s="158">
        <v>0</v>
      </c>
      <c r="G551" s="158">
        <v>0</v>
      </c>
      <c r="H551" s="133" t="s">
        <v>5510</v>
      </c>
      <c r="I551" s="133" t="s">
        <v>596</v>
      </c>
      <c r="J551" s="158">
        <v>0</v>
      </c>
    </row>
    <row r="552" spans="1:10" ht="15.75" customHeight="1">
      <c r="A552" s="133" t="s">
        <v>4</v>
      </c>
      <c r="B552" s="133" t="s">
        <v>3752</v>
      </c>
      <c r="C552" s="133" t="s">
        <v>5511</v>
      </c>
      <c r="D552" s="133" t="s">
        <v>477</v>
      </c>
      <c r="E552" s="158">
        <v>4</v>
      </c>
      <c r="F552" s="158">
        <v>0</v>
      </c>
      <c r="G552" s="158">
        <v>0</v>
      </c>
      <c r="H552" s="133" t="s">
        <v>479</v>
      </c>
      <c r="I552" s="133" t="s">
        <v>548</v>
      </c>
      <c r="J552" s="158">
        <v>0</v>
      </c>
    </row>
    <row r="553" spans="1:10" ht="15.75" customHeight="1">
      <c r="A553" s="133" t="s">
        <v>4</v>
      </c>
      <c r="B553" s="133" t="s">
        <v>3752</v>
      </c>
      <c r="C553" s="133" t="s">
        <v>5512</v>
      </c>
      <c r="D553" s="133" t="s">
        <v>477</v>
      </c>
      <c r="E553" s="158">
        <v>7</v>
      </c>
      <c r="F553" s="158">
        <v>0</v>
      </c>
      <c r="G553" s="158">
        <v>0</v>
      </c>
      <c r="H553" s="133" t="s">
        <v>479</v>
      </c>
      <c r="I553" s="133" t="s">
        <v>548</v>
      </c>
      <c r="J553" s="158">
        <v>0</v>
      </c>
    </row>
    <row r="554" spans="1:10" ht="15.75" customHeight="1">
      <c r="A554" s="133" t="s">
        <v>4</v>
      </c>
      <c r="B554" s="133" t="s">
        <v>3752</v>
      </c>
      <c r="C554" s="133" t="s">
        <v>5513</v>
      </c>
      <c r="D554" s="133" t="s">
        <v>477</v>
      </c>
      <c r="E554" s="158">
        <v>3</v>
      </c>
      <c r="F554" s="158">
        <v>0</v>
      </c>
      <c r="G554" s="158">
        <v>0</v>
      </c>
      <c r="H554" s="133" t="s">
        <v>5514</v>
      </c>
      <c r="I554" s="133" t="s">
        <v>596</v>
      </c>
      <c r="J554" s="158">
        <v>0</v>
      </c>
    </row>
    <row r="555" spans="1:10" ht="15.75" customHeight="1">
      <c r="A555" s="133" t="s">
        <v>4</v>
      </c>
      <c r="B555" s="133" t="s">
        <v>3752</v>
      </c>
      <c r="C555" s="133" t="s">
        <v>2602</v>
      </c>
      <c r="D555" s="133" t="s">
        <v>484</v>
      </c>
      <c r="E555" s="158">
        <v>4</v>
      </c>
      <c r="F555" s="158">
        <v>10</v>
      </c>
      <c r="G555" s="158">
        <v>0</v>
      </c>
      <c r="H555" s="133" t="s">
        <v>479</v>
      </c>
      <c r="I555" s="133" t="s">
        <v>615</v>
      </c>
      <c r="J555" s="158">
        <v>0</v>
      </c>
    </row>
    <row r="556" spans="1:10" ht="15.75" customHeight="1">
      <c r="A556" s="133" t="s">
        <v>4</v>
      </c>
      <c r="B556" s="133" t="s">
        <v>3752</v>
      </c>
      <c r="C556" s="133" t="s">
        <v>4710</v>
      </c>
      <c r="D556" s="133" t="s">
        <v>477</v>
      </c>
      <c r="E556" s="158">
        <v>3</v>
      </c>
      <c r="F556" s="158">
        <v>0</v>
      </c>
      <c r="G556" s="158">
        <v>0</v>
      </c>
      <c r="H556" s="133" t="s">
        <v>4711</v>
      </c>
      <c r="I556" s="133" t="s">
        <v>596</v>
      </c>
      <c r="J556" s="158">
        <v>0</v>
      </c>
    </row>
    <row r="557" spans="1:10" ht="15.75" customHeight="1">
      <c r="A557" s="133" t="s">
        <v>4</v>
      </c>
      <c r="B557" s="133" t="s">
        <v>3752</v>
      </c>
      <c r="C557" s="133" t="s">
        <v>5515</v>
      </c>
      <c r="D557" s="133" t="s">
        <v>477</v>
      </c>
      <c r="E557" s="158">
        <v>20</v>
      </c>
      <c r="F557" s="158">
        <v>0</v>
      </c>
      <c r="G557" s="158">
        <v>0</v>
      </c>
      <c r="H557" s="133" t="s">
        <v>479</v>
      </c>
      <c r="I557" s="133" t="s">
        <v>548</v>
      </c>
      <c r="J557" s="158">
        <v>0</v>
      </c>
    </row>
    <row r="558" spans="1:10" ht="15.75" customHeight="1">
      <c r="A558" s="133" t="s">
        <v>4</v>
      </c>
      <c r="B558" s="133" t="s">
        <v>3752</v>
      </c>
      <c r="C558" s="133" t="s">
        <v>5516</v>
      </c>
      <c r="D558" s="133" t="s">
        <v>477</v>
      </c>
      <c r="E558" s="158">
        <v>100</v>
      </c>
      <c r="F558" s="158">
        <v>0</v>
      </c>
      <c r="G558" s="158">
        <v>0</v>
      </c>
      <c r="H558" s="133" t="s">
        <v>479</v>
      </c>
      <c r="I558" s="133" t="s">
        <v>548</v>
      </c>
      <c r="J558" s="158">
        <v>0</v>
      </c>
    </row>
    <row r="559" spans="1:10" ht="15.75" customHeight="1">
      <c r="A559" s="133" t="s">
        <v>4</v>
      </c>
      <c r="B559" s="133" t="s">
        <v>3752</v>
      </c>
      <c r="C559" s="133" t="s">
        <v>5420</v>
      </c>
      <c r="D559" s="133" t="s">
        <v>477</v>
      </c>
      <c r="E559" s="158">
        <v>20</v>
      </c>
      <c r="F559" s="158">
        <v>0</v>
      </c>
      <c r="G559" s="158">
        <v>0</v>
      </c>
      <c r="H559" s="133" t="s">
        <v>479</v>
      </c>
      <c r="I559" s="133" t="s">
        <v>548</v>
      </c>
      <c r="J559" s="158">
        <v>0</v>
      </c>
    </row>
    <row r="560" spans="1:10" ht="15.75" customHeight="1">
      <c r="A560" s="133" t="s">
        <v>4</v>
      </c>
      <c r="B560" s="133" t="s">
        <v>3752</v>
      </c>
      <c r="C560" s="133" t="s">
        <v>5421</v>
      </c>
      <c r="D560" s="133" t="s">
        <v>477</v>
      </c>
      <c r="E560" s="158">
        <v>20</v>
      </c>
      <c r="F560" s="158">
        <v>0</v>
      </c>
      <c r="G560" s="158">
        <v>0</v>
      </c>
      <c r="H560" s="133" t="s">
        <v>479</v>
      </c>
      <c r="I560" s="133" t="s">
        <v>548</v>
      </c>
      <c r="J560" s="158">
        <v>0</v>
      </c>
    </row>
    <row r="561" spans="1:10" ht="15.75" customHeight="1">
      <c r="A561" s="133" t="s">
        <v>4</v>
      </c>
      <c r="B561" s="133" t="s">
        <v>3752</v>
      </c>
      <c r="C561" s="133" t="s">
        <v>5517</v>
      </c>
      <c r="D561" s="133" t="s">
        <v>477</v>
      </c>
      <c r="E561" s="158">
        <v>20</v>
      </c>
      <c r="F561" s="158">
        <v>0</v>
      </c>
      <c r="G561" s="158">
        <v>0</v>
      </c>
      <c r="H561" s="133" t="s">
        <v>479</v>
      </c>
      <c r="I561" s="133" t="s">
        <v>596</v>
      </c>
      <c r="J561" s="158">
        <v>0</v>
      </c>
    </row>
    <row r="562" spans="1:10" ht="15.75" customHeight="1">
      <c r="A562" s="133" t="s">
        <v>4</v>
      </c>
      <c r="B562" s="133" t="s">
        <v>3752</v>
      </c>
      <c r="C562" s="133" t="s">
        <v>4708</v>
      </c>
      <c r="D562" s="133" t="s">
        <v>477</v>
      </c>
      <c r="E562" s="158">
        <v>3</v>
      </c>
      <c r="F562" s="158">
        <v>0</v>
      </c>
      <c r="G562" s="158">
        <v>0</v>
      </c>
      <c r="H562" s="133" t="s">
        <v>5518</v>
      </c>
      <c r="I562" s="133" t="s">
        <v>596</v>
      </c>
      <c r="J562" s="158">
        <v>0</v>
      </c>
    </row>
    <row r="563" spans="1:10" ht="15.75" customHeight="1">
      <c r="A563" s="133" t="s">
        <v>4</v>
      </c>
      <c r="B563" s="133" t="s">
        <v>3752</v>
      </c>
      <c r="C563" s="133" t="s">
        <v>5519</v>
      </c>
      <c r="D563" s="133" t="s">
        <v>477</v>
      </c>
      <c r="E563" s="158">
        <v>3</v>
      </c>
      <c r="F563" s="158">
        <v>0</v>
      </c>
      <c r="G563" s="158">
        <v>0</v>
      </c>
      <c r="H563" s="133" t="s">
        <v>5520</v>
      </c>
      <c r="I563" s="133" t="s">
        <v>596</v>
      </c>
      <c r="J563" s="158">
        <v>0</v>
      </c>
    </row>
    <row r="564" spans="1:10" ht="15.75" customHeight="1">
      <c r="A564" s="133" t="s">
        <v>4</v>
      </c>
      <c r="B564" s="133" t="s">
        <v>3752</v>
      </c>
      <c r="C564" s="133" t="s">
        <v>5426</v>
      </c>
      <c r="D564" s="133" t="s">
        <v>477</v>
      </c>
      <c r="E564" s="158">
        <v>20</v>
      </c>
      <c r="F564" s="158">
        <v>0</v>
      </c>
      <c r="G564" s="158">
        <v>0</v>
      </c>
      <c r="H564" s="133" t="s">
        <v>5427</v>
      </c>
      <c r="I564" s="133" t="s">
        <v>548</v>
      </c>
      <c r="J564" s="158">
        <v>0</v>
      </c>
    </row>
    <row r="565" spans="1:10" ht="15.75" customHeight="1">
      <c r="A565" s="133" t="s">
        <v>4</v>
      </c>
      <c r="B565" s="133" t="s">
        <v>3752</v>
      </c>
      <c r="C565" s="133" t="s">
        <v>4715</v>
      </c>
      <c r="D565" s="133" t="s">
        <v>477</v>
      </c>
      <c r="E565" s="158">
        <v>20</v>
      </c>
      <c r="F565" s="158">
        <v>0</v>
      </c>
      <c r="G565" s="158">
        <v>0</v>
      </c>
      <c r="H565" s="133" t="s">
        <v>4716</v>
      </c>
      <c r="I565" s="133" t="s">
        <v>596</v>
      </c>
      <c r="J565" s="158">
        <v>0</v>
      </c>
    </row>
    <row r="566" spans="1:10" ht="15.75" customHeight="1">
      <c r="A566" s="133" t="s">
        <v>4</v>
      </c>
      <c r="B566" s="133" t="s">
        <v>3752</v>
      </c>
      <c r="C566" s="133" t="s">
        <v>4717</v>
      </c>
      <c r="D566" s="133" t="s">
        <v>477</v>
      </c>
      <c r="E566" s="158">
        <v>20</v>
      </c>
      <c r="F566" s="158">
        <v>0</v>
      </c>
      <c r="G566" s="158">
        <v>0</v>
      </c>
      <c r="H566" s="133" t="s">
        <v>4718</v>
      </c>
      <c r="I566" s="133" t="s">
        <v>596</v>
      </c>
      <c r="J566" s="158">
        <v>0</v>
      </c>
    </row>
    <row r="567" spans="1:10" ht="15.75" customHeight="1">
      <c r="A567" s="133" t="s">
        <v>4</v>
      </c>
      <c r="B567" s="133" t="s">
        <v>3752</v>
      </c>
      <c r="C567" s="133" t="s">
        <v>2624</v>
      </c>
      <c r="D567" s="133" t="s">
        <v>477</v>
      </c>
      <c r="E567" s="158">
        <v>20</v>
      </c>
      <c r="F567" s="158">
        <v>0</v>
      </c>
      <c r="G567" s="158">
        <v>0</v>
      </c>
      <c r="H567" s="133" t="s">
        <v>5521</v>
      </c>
      <c r="I567" s="133" t="s">
        <v>548</v>
      </c>
      <c r="J567" s="158">
        <v>0</v>
      </c>
    </row>
    <row r="568" spans="1:10" ht="15.75" customHeight="1">
      <c r="A568" s="133" t="s">
        <v>4</v>
      </c>
      <c r="B568" s="133" t="s">
        <v>3752</v>
      </c>
      <c r="C568" s="133" t="s">
        <v>3705</v>
      </c>
      <c r="D568" s="133" t="s">
        <v>477</v>
      </c>
      <c r="E568" s="158">
        <v>20</v>
      </c>
      <c r="F568" s="158">
        <v>0</v>
      </c>
      <c r="G568" s="158">
        <v>0</v>
      </c>
      <c r="H568" s="133" t="s">
        <v>5522</v>
      </c>
      <c r="I568" s="133" t="s">
        <v>548</v>
      </c>
      <c r="J568" s="158">
        <v>0</v>
      </c>
    </row>
    <row r="569" spans="1:10" ht="15.75" customHeight="1">
      <c r="A569" s="133" t="s">
        <v>4</v>
      </c>
      <c r="B569" s="133" t="s">
        <v>3752</v>
      </c>
      <c r="C569" s="133" t="s">
        <v>4719</v>
      </c>
      <c r="D569" s="133" t="s">
        <v>477</v>
      </c>
      <c r="E569" s="158">
        <v>20</v>
      </c>
      <c r="F569" s="158">
        <v>0</v>
      </c>
      <c r="G569" s="158">
        <v>0</v>
      </c>
      <c r="H569" s="133" t="s">
        <v>4720</v>
      </c>
      <c r="I569" s="133" t="s">
        <v>548</v>
      </c>
      <c r="J569" s="158">
        <v>0</v>
      </c>
    </row>
    <row r="570" spans="1:10" ht="15.75" customHeight="1">
      <c r="A570" s="133" t="s">
        <v>4</v>
      </c>
      <c r="B570" s="133" t="s">
        <v>3752</v>
      </c>
      <c r="C570" s="133" t="s">
        <v>2627</v>
      </c>
      <c r="D570" s="133" t="s">
        <v>477</v>
      </c>
      <c r="E570" s="158">
        <v>20</v>
      </c>
      <c r="F570" s="158">
        <v>0</v>
      </c>
      <c r="G570" s="158">
        <v>0</v>
      </c>
      <c r="H570" s="133" t="s">
        <v>2628</v>
      </c>
      <c r="I570" s="133" t="s">
        <v>596</v>
      </c>
      <c r="J570" s="158">
        <v>0</v>
      </c>
    </row>
    <row r="571" spans="1:10" ht="15.75" customHeight="1">
      <c r="A571" s="133" t="s">
        <v>4</v>
      </c>
      <c r="B571" s="133" t="s">
        <v>3752</v>
      </c>
      <c r="C571" s="133" t="s">
        <v>4602</v>
      </c>
      <c r="D571" s="133" t="s">
        <v>477</v>
      </c>
      <c r="E571" s="158">
        <v>100</v>
      </c>
      <c r="F571" s="158">
        <v>0</v>
      </c>
      <c r="G571" s="158">
        <v>0</v>
      </c>
      <c r="H571" s="133" t="s">
        <v>4721</v>
      </c>
      <c r="I571" s="133" t="s">
        <v>548</v>
      </c>
      <c r="J571" s="158">
        <v>0</v>
      </c>
    </row>
    <row r="572" spans="1:10" ht="15.75" customHeight="1">
      <c r="A572" s="133" t="s">
        <v>4</v>
      </c>
      <c r="B572" s="133" t="s">
        <v>3752</v>
      </c>
      <c r="C572" s="133" t="s">
        <v>1991</v>
      </c>
      <c r="D572" s="133" t="s">
        <v>484</v>
      </c>
      <c r="E572" s="158">
        <v>4</v>
      </c>
      <c r="F572" s="158">
        <v>10</v>
      </c>
      <c r="G572" s="158">
        <v>0</v>
      </c>
      <c r="H572" s="133" t="s">
        <v>4722</v>
      </c>
      <c r="I572" s="133" t="s">
        <v>615</v>
      </c>
      <c r="J572" s="158">
        <v>0</v>
      </c>
    </row>
    <row r="573" spans="1:10" ht="15.75" customHeight="1">
      <c r="A573" s="133" t="s">
        <v>4</v>
      </c>
      <c r="B573" s="133" t="s">
        <v>3752</v>
      </c>
      <c r="C573" s="133" t="s">
        <v>4628</v>
      </c>
      <c r="D573" s="133" t="s">
        <v>477</v>
      </c>
      <c r="E573" s="158">
        <v>100</v>
      </c>
      <c r="F573" s="158">
        <v>0</v>
      </c>
      <c r="G573" s="158">
        <v>0</v>
      </c>
      <c r="H573" s="133" t="s">
        <v>4723</v>
      </c>
      <c r="I573" s="133" t="s">
        <v>548</v>
      </c>
      <c r="J573" s="158">
        <v>0</v>
      </c>
    </row>
    <row r="574" spans="1:10" ht="15.75" customHeight="1">
      <c r="A574" s="133" t="s">
        <v>4</v>
      </c>
      <c r="B574" s="133" t="s">
        <v>3752</v>
      </c>
      <c r="C574" s="133" t="s">
        <v>2595</v>
      </c>
      <c r="D574" s="133" t="s">
        <v>477</v>
      </c>
      <c r="E574" s="158">
        <v>20</v>
      </c>
      <c r="F574" s="158">
        <v>0</v>
      </c>
      <c r="G574" s="158">
        <v>0</v>
      </c>
      <c r="H574" s="133" t="s">
        <v>4724</v>
      </c>
      <c r="I574" s="133" t="s">
        <v>548</v>
      </c>
      <c r="J574" s="158">
        <v>0</v>
      </c>
    </row>
    <row r="575" spans="1:10" ht="15.75" customHeight="1">
      <c r="A575" s="133" t="s">
        <v>4</v>
      </c>
      <c r="B575" s="133" t="s">
        <v>3752</v>
      </c>
      <c r="C575" s="133" t="s">
        <v>5523</v>
      </c>
      <c r="D575" s="133" t="s">
        <v>477</v>
      </c>
      <c r="E575" s="158">
        <v>20</v>
      </c>
      <c r="F575" s="158">
        <v>0</v>
      </c>
      <c r="G575" s="158">
        <v>0</v>
      </c>
      <c r="H575" s="133" t="s">
        <v>5524</v>
      </c>
      <c r="I575" s="133" t="s">
        <v>596</v>
      </c>
      <c r="J575" s="158">
        <v>0</v>
      </c>
    </row>
    <row r="576" spans="1:10" ht="15.75" customHeight="1">
      <c r="A576" s="133" t="s">
        <v>4</v>
      </c>
      <c r="B576" s="133" t="s">
        <v>3752</v>
      </c>
      <c r="C576" s="133" t="s">
        <v>4725</v>
      </c>
      <c r="D576" s="133" t="s">
        <v>477</v>
      </c>
      <c r="E576" s="158">
        <v>20</v>
      </c>
      <c r="F576" s="158">
        <v>0</v>
      </c>
      <c r="G576" s="158">
        <v>0</v>
      </c>
      <c r="H576" s="133" t="s">
        <v>4726</v>
      </c>
      <c r="I576" s="133" t="s">
        <v>596</v>
      </c>
      <c r="J576" s="158">
        <v>0</v>
      </c>
    </row>
    <row r="577" spans="1:10" ht="15.75" customHeight="1">
      <c r="A577" s="133" t="s">
        <v>4</v>
      </c>
      <c r="B577" s="133" t="s">
        <v>3752</v>
      </c>
      <c r="C577" s="133" t="s">
        <v>4727</v>
      </c>
      <c r="D577" s="133" t="s">
        <v>477</v>
      </c>
      <c r="E577" s="158">
        <v>20</v>
      </c>
      <c r="F577" s="158">
        <v>0</v>
      </c>
      <c r="G577" s="158">
        <v>0</v>
      </c>
      <c r="H577" s="133" t="s">
        <v>4728</v>
      </c>
      <c r="I577" s="133" t="s">
        <v>596</v>
      </c>
      <c r="J577" s="158">
        <v>0</v>
      </c>
    </row>
    <row r="578" spans="1:10" ht="15.75" customHeight="1">
      <c r="A578" s="133" t="s">
        <v>4</v>
      </c>
      <c r="B578" s="133" t="s">
        <v>3752</v>
      </c>
      <c r="C578" s="133" t="s">
        <v>712</v>
      </c>
      <c r="D578" s="133" t="s">
        <v>477</v>
      </c>
      <c r="E578" s="158">
        <v>30</v>
      </c>
      <c r="F578" s="158">
        <v>0</v>
      </c>
      <c r="G578" s="158">
        <v>0</v>
      </c>
      <c r="H578" s="133" t="s">
        <v>1438</v>
      </c>
      <c r="I578" s="133" t="s">
        <v>548</v>
      </c>
      <c r="J578" s="158">
        <v>0</v>
      </c>
    </row>
    <row r="579" spans="1:10" ht="15.75" customHeight="1">
      <c r="A579" s="159"/>
      <c r="B579" s="159"/>
      <c r="C579" s="159"/>
      <c r="D579" s="159"/>
      <c r="E579" s="159"/>
      <c r="F579" s="159"/>
      <c r="G579" s="159"/>
      <c r="H579" s="159"/>
      <c r="I579" s="159"/>
      <c r="J579" s="159"/>
    </row>
    <row r="580" spans="1:10" ht="15.75" customHeight="1">
      <c r="A580" s="159"/>
      <c r="B580" s="159"/>
      <c r="C580" s="159"/>
      <c r="D580" s="159"/>
      <c r="E580" s="159"/>
      <c r="F580" s="159"/>
      <c r="G580" s="159"/>
      <c r="H580" s="159"/>
      <c r="I580" s="159"/>
      <c r="J580" s="159"/>
    </row>
    <row r="581" spans="1:10" ht="15.75" customHeight="1">
      <c r="A581" s="159"/>
      <c r="B581" s="159"/>
      <c r="C581" s="159"/>
      <c r="D581" s="159"/>
      <c r="E581" s="159"/>
      <c r="F581" s="159"/>
      <c r="G581" s="159"/>
      <c r="H581" s="159"/>
      <c r="I581" s="159"/>
      <c r="J581" s="159"/>
    </row>
    <row r="582" spans="1:10" ht="15.75" customHeight="1">
      <c r="A582" s="159"/>
      <c r="B582" s="159"/>
      <c r="C582" s="159"/>
      <c r="D582" s="159"/>
      <c r="E582" s="159"/>
      <c r="F582" s="159"/>
      <c r="G582" s="159"/>
      <c r="H582" s="159"/>
      <c r="I582" s="159"/>
      <c r="J582" s="159"/>
    </row>
    <row r="583" spans="1:10" ht="15.75" customHeight="1">
      <c r="A583" s="159"/>
      <c r="B583" s="159"/>
      <c r="C583" s="159"/>
      <c r="D583" s="159"/>
      <c r="E583" s="159"/>
      <c r="F583" s="159"/>
      <c r="G583" s="159"/>
      <c r="H583" s="159"/>
      <c r="I583" s="159"/>
      <c r="J583" s="159"/>
    </row>
    <row r="584" spans="1:10" ht="15.75" customHeight="1">
      <c r="A584" s="159"/>
      <c r="B584" s="159"/>
      <c r="C584" s="159"/>
      <c r="D584" s="159"/>
      <c r="E584" s="159"/>
      <c r="F584" s="159"/>
      <c r="G584" s="159"/>
      <c r="H584" s="159"/>
      <c r="I584" s="159"/>
      <c r="J584" s="159"/>
    </row>
    <row r="585" spans="1:10" ht="15.75" customHeight="1">
      <c r="A585" s="159"/>
      <c r="B585" s="159"/>
      <c r="C585" s="159"/>
      <c r="D585" s="159"/>
      <c r="E585" s="159"/>
      <c r="F585" s="159"/>
      <c r="G585" s="159"/>
      <c r="H585" s="159"/>
      <c r="I585" s="159"/>
      <c r="J585" s="159"/>
    </row>
    <row r="586" spans="1:10" ht="15.75" customHeight="1">
      <c r="A586" s="159"/>
      <c r="B586" s="159"/>
      <c r="C586" s="159"/>
      <c r="D586" s="159"/>
      <c r="E586" s="159"/>
      <c r="F586" s="159"/>
      <c r="G586" s="159"/>
      <c r="H586" s="159"/>
      <c r="I586" s="159"/>
      <c r="J586" s="159"/>
    </row>
    <row r="587" spans="1:10" ht="15.75" customHeight="1">
      <c r="A587" s="159"/>
      <c r="B587" s="159"/>
      <c r="C587" s="159"/>
      <c r="D587" s="159"/>
      <c r="E587" s="159"/>
      <c r="F587" s="159"/>
      <c r="G587" s="159"/>
      <c r="H587" s="159"/>
      <c r="I587" s="159"/>
      <c r="J587" s="159"/>
    </row>
    <row r="588" spans="1:10" ht="15.75" customHeight="1">
      <c r="A588" s="159"/>
      <c r="B588" s="159"/>
      <c r="C588" s="159"/>
      <c r="D588" s="159"/>
      <c r="E588" s="159"/>
      <c r="F588" s="159"/>
      <c r="G588" s="159"/>
      <c r="H588" s="159"/>
      <c r="I588" s="159"/>
      <c r="J588" s="159"/>
    </row>
    <row r="589" spans="1:10" ht="15.75" customHeight="1">
      <c r="A589" s="159"/>
      <c r="B589" s="159"/>
      <c r="C589" s="159"/>
      <c r="D589" s="159"/>
      <c r="E589" s="159"/>
      <c r="F589" s="159"/>
      <c r="G589" s="159"/>
      <c r="H589" s="159"/>
      <c r="I589" s="159"/>
      <c r="J589" s="159"/>
    </row>
    <row r="590" spans="1:10" ht="15.75" customHeight="1">
      <c r="A590" s="159"/>
      <c r="B590" s="159"/>
      <c r="C590" s="159"/>
      <c r="D590" s="159"/>
      <c r="E590" s="159"/>
      <c r="F590" s="159"/>
      <c r="G590" s="159"/>
      <c r="H590" s="159"/>
      <c r="I590" s="159"/>
      <c r="J590" s="159"/>
    </row>
    <row r="591" spans="1:10" ht="15.75" customHeight="1">
      <c r="A591" s="159"/>
      <c r="B591" s="159"/>
      <c r="C591" s="159"/>
      <c r="D591" s="159"/>
      <c r="E591" s="159"/>
      <c r="F591" s="159"/>
      <c r="G591" s="159"/>
      <c r="H591" s="159"/>
      <c r="I591" s="159"/>
      <c r="J591" s="159"/>
    </row>
    <row r="592" spans="1:10" ht="15.75" customHeight="1">
      <c r="A592" s="159"/>
      <c r="B592" s="159"/>
      <c r="C592" s="159"/>
      <c r="D592" s="159"/>
      <c r="E592" s="159"/>
      <c r="F592" s="159"/>
      <c r="G592" s="159"/>
      <c r="H592" s="159"/>
      <c r="I592" s="159"/>
      <c r="J592" s="159"/>
    </row>
    <row r="593" spans="1:10" ht="15.75" customHeight="1">
      <c r="A593" s="159"/>
      <c r="B593" s="159"/>
      <c r="C593" s="159"/>
      <c r="D593" s="159"/>
      <c r="E593" s="159"/>
      <c r="F593" s="159"/>
      <c r="G593" s="159"/>
      <c r="H593" s="159"/>
      <c r="I593" s="159"/>
      <c r="J593" s="159"/>
    </row>
    <row r="594" spans="1:10" ht="15.75" customHeight="1">
      <c r="A594" s="159"/>
      <c r="B594" s="159"/>
      <c r="C594" s="159"/>
      <c r="D594" s="159"/>
      <c r="E594" s="159"/>
      <c r="F594" s="159"/>
      <c r="G594" s="159"/>
      <c r="H594" s="159"/>
      <c r="I594" s="159"/>
      <c r="J594" s="159"/>
    </row>
    <row r="595" spans="1:10" ht="15.75" customHeight="1">
      <c r="A595" s="159"/>
      <c r="B595" s="159"/>
      <c r="C595" s="159"/>
      <c r="D595" s="159"/>
      <c r="E595" s="159"/>
      <c r="F595" s="159"/>
      <c r="G595" s="159"/>
      <c r="H595" s="159"/>
      <c r="I595" s="159"/>
      <c r="J595" s="159"/>
    </row>
    <row r="596" spans="1:10" ht="15.75" customHeight="1">
      <c r="A596" s="159"/>
      <c r="B596" s="159"/>
      <c r="C596" s="159"/>
      <c r="D596" s="159"/>
      <c r="E596" s="159"/>
      <c r="F596" s="159"/>
      <c r="G596" s="159"/>
      <c r="H596" s="159"/>
      <c r="I596" s="159"/>
      <c r="J596" s="159"/>
    </row>
    <row r="597" spans="1:10" ht="15.75" customHeight="1">
      <c r="A597" s="159"/>
      <c r="B597" s="159"/>
      <c r="C597" s="159"/>
      <c r="D597" s="159"/>
      <c r="E597" s="159"/>
      <c r="F597" s="159"/>
      <c r="G597" s="159"/>
      <c r="H597" s="159"/>
      <c r="I597" s="159"/>
      <c r="J597" s="159"/>
    </row>
    <row r="598" spans="1:10" ht="15.75" customHeight="1">
      <c r="A598" s="159"/>
      <c r="B598" s="159"/>
      <c r="C598" s="159"/>
      <c r="D598" s="159"/>
      <c r="E598" s="159"/>
      <c r="F598" s="159"/>
      <c r="G598" s="159"/>
      <c r="H598" s="159"/>
      <c r="I598" s="159"/>
      <c r="J598" s="159"/>
    </row>
    <row r="599" spans="1:10" ht="15.75" customHeight="1">
      <c r="A599" s="159"/>
      <c r="B599" s="159"/>
      <c r="C599" s="159"/>
      <c r="D599" s="159"/>
      <c r="E599" s="159"/>
      <c r="F599" s="159"/>
      <c r="G599" s="159"/>
      <c r="H599" s="159"/>
      <c r="I599" s="159"/>
      <c r="J599" s="159"/>
    </row>
    <row r="600" spans="1:10" ht="15.75" customHeight="1">
      <c r="A600" s="159"/>
      <c r="B600" s="159"/>
      <c r="C600" s="159"/>
      <c r="D600" s="159"/>
      <c r="E600" s="159"/>
      <c r="F600" s="159"/>
      <c r="G600" s="159"/>
      <c r="H600" s="159"/>
      <c r="I600" s="159"/>
      <c r="J600" s="159"/>
    </row>
    <row r="601" spans="1:10" ht="15.75" customHeight="1">
      <c r="A601" s="159"/>
      <c r="B601" s="159"/>
      <c r="C601" s="159"/>
      <c r="D601" s="159"/>
      <c r="E601" s="159"/>
      <c r="F601" s="159"/>
      <c r="G601" s="159"/>
      <c r="H601" s="159"/>
      <c r="I601" s="159"/>
      <c r="J601" s="159"/>
    </row>
    <row r="602" spans="1:10" ht="15.75" customHeight="1">
      <c r="A602" s="159"/>
      <c r="B602" s="159"/>
      <c r="C602" s="159"/>
      <c r="D602" s="159"/>
      <c r="E602" s="159"/>
      <c r="F602" s="159"/>
      <c r="G602" s="159"/>
      <c r="H602" s="159"/>
      <c r="I602" s="159"/>
      <c r="J602" s="159"/>
    </row>
    <row r="603" spans="1:10" ht="15.75" customHeight="1">
      <c r="A603" s="159"/>
      <c r="B603" s="159"/>
      <c r="C603" s="159"/>
      <c r="D603" s="159"/>
      <c r="E603" s="159"/>
      <c r="F603" s="159"/>
      <c r="G603" s="159"/>
      <c r="H603" s="159"/>
      <c r="I603" s="159"/>
      <c r="J603" s="159"/>
    </row>
    <row r="604" spans="1:10" ht="15.75" customHeight="1">
      <c r="A604" s="159"/>
      <c r="B604" s="159"/>
      <c r="C604" s="159"/>
      <c r="D604" s="159"/>
      <c r="E604" s="159"/>
      <c r="F604" s="159"/>
      <c r="G604" s="159"/>
      <c r="H604" s="159"/>
      <c r="I604" s="159"/>
      <c r="J604" s="159"/>
    </row>
    <row r="605" spans="1:10" ht="15.75" customHeight="1">
      <c r="A605" s="159"/>
      <c r="B605" s="159"/>
      <c r="C605" s="159"/>
      <c r="D605" s="159"/>
      <c r="E605" s="159"/>
      <c r="F605" s="159"/>
      <c r="G605" s="159"/>
      <c r="H605" s="159"/>
      <c r="I605" s="159"/>
      <c r="J605" s="159"/>
    </row>
    <row r="606" spans="1:10" ht="15.75" customHeight="1">
      <c r="A606" s="159"/>
      <c r="B606" s="159"/>
      <c r="C606" s="159"/>
      <c r="D606" s="159"/>
      <c r="E606" s="159"/>
      <c r="F606" s="159"/>
      <c r="G606" s="159"/>
      <c r="H606" s="159"/>
      <c r="I606" s="159"/>
      <c r="J606" s="159"/>
    </row>
    <row r="607" spans="1:10" ht="15.75" customHeight="1">
      <c r="A607" s="159"/>
      <c r="B607" s="159"/>
      <c r="C607" s="159"/>
      <c r="D607" s="159"/>
      <c r="E607" s="159"/>
      <c r="F607" s="159"/>
      <c r="G607" s="159"/>
      <c r="H607" s="159"/>
      <c r="I607" s="159"/>
      <c r="J607" s="159"/>
    </row>
    <row r="608" spans="1:10" ht="15.75" customHeight="1">
      <c r="A608" s="159"/>
      <c r="B608" s="159"/>
      <c r="C608" s="159"/>
      <c r="D608" s="159"/>
      <c r="E608" s="159"/>
      <c r="F608" s="159"/>
      <c r="G608" s="159"/>
      <c r="H608" s="159"/>
      <c r="I608" s="159"/>
      <c r="J608" s="159"/>
    </row>
    <row r="609" spans="1:10" ht="15.75" customHeight="1">
      <c r="A609" s="159"/>
      <c r="B609" s="159"/>
      <c r="C609" s="159"/>
      <c r="D609" s="159"/>
      <c r="E609" s="159"/>
      <c r="F609" s="159"/>
      <c r="G609" s="159"/>
      <c r="H609" s="159"/>
      <c r="I609" s="159"/>
      <c r="J609" s="159"/>
    </row>
    <row r="610" spans="1:10" ht="15.75" customHeight="1">
      <c r="A610" s="159"/>
      <c r="B610" s="159"/>
      <c r="C610" s="159"/>
      <c r="D610" s="159"/>
      <c r="E610" s="159"/>
      <c r="F610" s="159"/>
      <c r="G610" s="159"/>
      <c r="H610" s="159"/>
      <c r="I610" s="159"/>
      <c r="J610" s="159"/>
    </row>
    <row r="611" spans="1:10" ht="15.75" customHeight="1">
      <c r="A611" s="159"/>
      <c r="B611" s="159"/>
      <c r="C611" s="159"/>
      <c r="D611" s="159"/>
      <c r="E611" s="159"/>
      <c r="F611" s="159"/>
      <c r="G611" s="159"/>
      <c r="H611" s="159"/>
      <c r="I611" s="159"/>
      <c r="J611" s="159"/>
    </row>
    <row r="612" spans="1:10" ht="15.75" customHeight="1"/>
    <row r="613" spans="1:10" ht="15.75" customHeight="1"/>
    <row r="614" spans="1:10" ht="15.75" customHeight="1"/>
    <row r="615" spans="1:10" ht="15.75" customHeight="1"/>
    <row r="616" spans="1:10" ht="15.75" customHeight="1"/>
    <row r="617" spans="1:10" ht="15.75" customHeight="1"/>
    <row r="618" spans="1:10" ht="15.75" customHeight="1"/>
    <row r="619" spans="1:10" ht="15.75" customHeight="1"/>
    <row r="620" spans="1:10" ht="15.75" customHeight="1"/>
    <row r="621" spans="1:10" ht="15.75" customHeight="1"/>
    <row r="622" spans="1:10" ht="15.75" customHeight="1"/>
    <row r="623" spans="1:10" ht="15.75" customHeight="1"/>
    <row r="624" spans="1:10"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autoFilter ref="A1:J578" xr:uid="{00000000-0009-0000-0000-00000A000000}"/>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tabColor rgb="FFDEEAF6"/>
  </sheetPr>
  <dimension ref="A1:K1000"/>
  <sheetViews>
    <sheetView workbookViewId="0">
      <pane ySplit="1" topLeftCell="A268" activePane="bottomLeft" state="frozen"/>
      <selection pane="bottomLeft" activeCell="B3" sqref="B3"/>
    </sheetView>
  </sheetViews>
  <sheetFormatPr baseColWidth="10" defaultColWidth="12.6640625" defaultRowHeight="15" customHeight="1"/>
  <cols>
    <col min="1" max="3" width="18" customWidth="1"/>
    <col min="4" max="4" width="24.83203125" customWidth="1"/>
    <col min="5" max="5" width="22.33203125" customWidth="1"/>
    <col min="6" max="6" width="24" customWidth="1"/>
    <col min="7" max="7" width="6.83203125" customWidth="1"/>
    <col min="8" max="8" width="7.6640625" customWidth="1"/>
    <col min="9" max="9" width="21.1640625" customWidth="1"/>
    <col min="10" max="10" width="33.1640625" customWidth="1"/>
    <col min="11" max="26" width="7.6640625" customWidth="1"/>
  </cols>
  <sheetData>
    <row r="1" spans="1:11">
      <c r="A1" s="155" t="s">
        <v>154</v>
      </c>
      <c r="B1" s="155" t="s">
        <v>155</v>
      </c>
      <c r="C1" s="155" t="s">
        <v>466</v>
      </c>
      <c r="D1" s="155" t="s">
        <v>467</v>
      </c>
      <c r="E1" s="155" t="s">
        <v>468</v>
      </c>
      <c r="F1" s="155" t="s">
        <v>469</v>
      </c>
      <c r="G1" s="155" t="s">
        <v>470</v>
      </c>
      <c r="H1" s="155" t="s">
        <v>471</v>
      </c>
      <c r="I1" s="155" t="s">
        <v>472</v>
      </c>
      <c r="J1" s="155" t="s">
        <v>473</v>
      </c>
      <c r="K1" s="155" t="s">
        <v>474</v>
      </c>
    </row>
    <row r="2" spans="1:11" hidden="1">
      <c r="A2" s="159" t="s">
        <v>3</v>
      </c>
      <c r="B2" s="159" t="s">
        <v>415</v>
      </c>
      <c r="C2" s="159" t="s">
        <v>5067</v>
      </c>
      <c r="D2" s="159" t="s">
        <v>5525</v>
      </c>
      <c r="E2" s="159" t="s">
        <v>477</v>
      </c>
      <c r="F2" s="159">
        <v>20</v>
      </c>
      <c r="G2" s="159">
        <v>0</v>
      </c>
      <c r="H2" s="159">
        <v>0</v>
      </c>
      <c r="I2" s="159" t="s">
        <v>479</v>
      </c>
      <c r="J2" s="159" t="s">
        <v>479</v>
      </c>
      <c r="K2" s="159">
        <v>0</v>
      </c>
    </row>
    <row r="3" spans="1:11" hidden="1">
      <c r="A3" s="159" t="s">
        <v>3</v>
      </c>
      <c r="B3" s="159" t="s">
        <v>415</v>
      </c>
      <c r="C3" s="159" t="s">
        <v>5067</v>
      </c>
      <c r="D3" s="159" t="s">
        <v>5526</v>
      </c>
      <c r="E3" s="159" t="s">
        <v>538</v>
      </c>
      <c r="F3" s="159">
        <v>8</v>
      </c>
      <c r="G3" s="159">
        <v>23</v>
      </c>
      <c r="H3" s="159">
        <v>3</v>
      </c>
      <c r="I3" s="159" t="s">
        <v>479</v>
      </c>
      <c r="J3" s="159" t="s">
        <v>479</v>
      </c>
      <c r="K3" s="159">
        <v>1</v>
      </c>
    </row>
    <row r="4" spans="1:11" hidden="1">
      <c r="A4" s="159" t="s">
        <v>3</v>
      </c>
      <c r="B4" s="159" t="s">
        <v>415</v>
      </c>
      <c r="C4" s="159" t="s">
        <v>5067</v>
      </c>
      <c r="D4" s="159" t="s">
        <v>5527</v>
      </c>
      <c r="E4" s="159" t="s">
        <v>477</v>
      </c>
      <c r="F4" s="159">
        <v>10</v>
      </c>
      <c r="G4" s="159">
        <v>0</v>
      </c>
      <c r="H4" s="159">
        <v>0</v>
      </c>
      <c r="I4" s="159" t="s">
        <v>479</v>
      </c>
      <c r="J4" s="159" t="s">
        <v>479</v>
      </c>
      <c r="K4" s="159">
        <v>0</v>
      </c>
    </row>
    <row r="5" spans="1:11" hidden="1">
      <c r="A5" s="159" t="s">
        <v>3</v>
      </c>
      <c r="B5" s="159" t="s">
        <v>415</v>
      </c>
      <c r="C5" s="159" t="s">
        <v>5067</v>
      </c>
      <c r="D5" s="159" t="s">
        <v>5091</v>
      </c>
      <c r="E5" s="159" t="s">
        <v>477</v>
      </c>
      <c r="F5" s="159">
        <v>20</v>
      </c>
      <c r="G5" s="159">
        <v>0</v>
      </c>
      <c r="H5" s="159">
        <v>0</v>
      </c>
      <c r="I5" s="159" t="s">
        <v>479</v>
      </c>
      <c r="J5" s="159" t="s">
        <v>479</v>
      </c>
      <c r="K5" s="159">
        <v>0</v>
      </c>
    </row>
    <row r="6" spans="1:11" hidden="1">
      <c r="A6" s="159" t="s">
        <v>3</v>
      </c>
      <c r="B6" s="159" t="s">
        <v>415</v>
      </c>
      <c r="C6" s="159" t="s">
        <v>5067</v>
      </c>
      <c r="D6" s="159" t="s">
        <v>5528</v>
      </c>
      <c r="E6" s="159" t="s">
        <v>477</v>
      </c>
      <c r="F6" s="159">
        <v>20</v>
      </c>
      <c r="G6" s="159">
        <v>0</v>
      </c>
      <c r="H6" s="159">
        <v>0</v>
      </c>
      <c r="I6" s="159" t="s">
        <v>479</v>
      </c>
      <c r="J6" s="159" t="s">
        <v>479</v>
      </c>
      <c r="K6" s="159">
        <v>1</v>
      </c>
    </row>
    <row r="7" spans="1:11" hidden="1">
      <c r="A7" s="159" t="s">
        <v>3</v>
      </c>
      <c r="B7" s="159" t="s">
        <v>415</v>
      </c>
      <c r="C7" s="159" t="s">
        <v>5067</v>
      </c>
      <c r="D7" s="159" t="s">
        <v>5529</v>
      </c>
      <c r="E7" s="159" t="s">
        <v>477</v>
      </c>
      <c r="F7" s="159">
        <v>20</v>
      </c>
      <c r="G7" s="159">
        <v>0</v>
      </c>
      <c r="H7" s="159">
        <v>0</v>
      </c>
      <c r="I7" s="159" t="s">
        <v>479</v>
      </c>
      <c r="J7" s="159" t="s">
        <v>479</v>
      </c>
      <c r="K7" s="159">
        <v>1</v>
      </c>
    </row>
    <row r="8" spans="1:11" hidden="1">
      <c r="A8" s="159" t="s">
        <v>3</v>
      </c>
      <c r="B8" s="159" t="s">
        <v>415</v>
      </c>
      <c r="C8" s="159" t="s">
        <v>5067</v>
      </c>
      <c r="D8" s="159" t="s">
        <v>5530</v>
      </c>
      <c r="E8" s="159" t="s">
        <v>477</v>
      </c>
      <c r="F8" s="159">
        <v>10</v>
      </c>
      <c r="G8" s="159">
        <v>0</v>
      </c>
      <c r="H8" s="159">
        <v>0</v>
      </c>
      <c r="I8" s="159" t="s">
        <v>479</v>
      </c>
      <c r="J8" s="159" t="s">
        <v>479</v>
      </c>
      <c r="K8" s="159">
        <v>1</v>
      </c>
    </row>
    <row r="9" spans="1:11" hidden="1">
      <c r="A9" s="159" t="s">
        <v>3</v>
      </c>
      <c r="B9" s="159" t="s">
        <v>415</v>
      </c>
      <c r="C9" s="159" t="s">
        <v>5067</v>
      </c>
      <c r="D9" s="159" t="s">
        <v>5531</v>
      </c>
      <c r="E9" s="159" t="s">
        <v>477</v>
      </c>
      <c r="F9" s="159">
        <v>10</v>
      </c>
      <c r="G9" s="159">
        <v>0</v>
      </c>
      <c r="H9" s="159">
        <v>0</v>
      </c>
      <c r="I9" s="159" t="s">
        <v>479</v>
      </c>
      <c r="J9" s="159" t="s">
        <v>479</v>
      </c>
      <c r="K9" s="159">
        <v>0</v>
      </c>
    </row>
    <row r="10" spans="1:11" hidden="1">
      <c r="A10" s="159" t="s">
        <v>3</v>
      </c>
      <c r="B10" s="159" t="s">
        <v>415</v>
      </c>
      <c r="C10" s="159" t="s">
        <v>5067</v>
      </c>
      <c r="D10" s="159" t="s">
        <v>5532</v>
      </c>
      <c r="E10" s="159" t="s">
        <v>538</v>
      </c>
      <c r="F10" s="159">
        <v>8</v>
      </c>
      <c r="G10" s="159">
        <v>23</v>
      </c>
      <c r="H10" s="159">
        <v>3</v>
      </c>
      <c r="I10" s="159" t="s">
        <v>479</v>
      </c>
      <c r="J10" s="159" t="s">
        <v>479</v>
      </c>
      <c r="K10" s="159">
        <v>0</v>
      </c>
    </row>
    <row r="11" spans="1:11" hidden="1">
      <c r="A11" s="159" t="s">
        <v>3</v>
      </c>
      <c r="B11" s="159" t="s">
        <v>415</v>
      </c>
      <c r="C11" s="159" t="s">
        <v>5067</v>
      </c>
      <c r="D11" s="159" t="s">
        <v>5533</v>
      </c>
      <c r="E11" s="159" t="s">
        <v>717</v>
      </c>
      <c r="F11" s="159">
        <v>9</v>
      </c>
      <c r="G11" s="159">
        <v>18</v>
      </c>
      <c r="H11" s="159">
        <v>2</v>
      </c>
      <c r="I11" s="159" t="s">
        <v>479</v>
      </c>
      <c r="J11" s="159" t="s">
        <v>479</v>
      </c>
      <c r="K11" s="159">
        <v>1</v>
      </c>
    </row>
    <row r="12" spans="1:11" hidden="1">
      <c r="A12" s="159" t="s">
        <v>3</v>
      </c>
      <c r="B12" s="159" t="s">
        <v>415</v>
      </c>
      <c r="C12" s="159" t="s">
        <v>5067</v>
      </c>
      <c r="D12" s="159" t="s">
        <v>5534</v>
      </c>
      <c r="E12" s="159" t="s">
        <v>717</v>
      </c>
      <c r="F12" s="159">
        <v>9</v>
      </c>
      <c r="G12" s="159">
        <v>18</v>
      </c>
      <c r="H12" s="159">
        <v>2</v>
      </c>
      <c r="I12" s="159" t="s">
        <v>479</v>
      </c>
      <c r="J12" s="159" t="s">
        <v>479</v>
      </c>
      <c r="K12" s="159">
        <v>1</v>
      </c>
    </row>
    <row r="13" spans="1:11" hidden="1">
      <c r="A13" s="159" t="s">
        <v>3</v>
      </c>
      <c r="B13" s="159" t="s">
        <v>415</v>
      </c>
      <c r="C13" s="159" t="s">
        <v>5067</v>
      </c>
      <c r="D13" s="159" t="s">
        <v>5535</v>
      </c>
      <c r="E13" s="159" t="s">
        <v>717</v>
      </c>
      <c r="F13" s="159">
        <v>9</v>
      </c>
      <c r="G13" s="159">
        <v>18</v>
      </c>
      <c r="H13" s="159">
        <v>2</v>
      </c>
      <c r="I13" s="159" t="s">
        <v>479</v>
      </c>
      <c r="J13" s="159" t="s">
        <v>479</v>
      </c>
      <c r="K13" s="159">
        <v>1</v>
      </c>
    </row>
    <row r="14" spans="1:11" hidden="1">
      <c r="A14" s="159" t="s">
        <v>3</v>
      </c>
      <c r="B14" s="159" t="s">
        <v>415</v>
      </c>
      <c r="C14" s="159" t="s">
        <v>5067</v>
      </c>
      <c r="D14" s="159" t="s">
        <v>5536</v>
      </c>
      <c r="E14" s="159" t="s">
        <v>477</v>
      </c>
      <c r="F14" s="159">
        <v>100</v>
      </c>
      <c r="G14" s="159">
        <v>0</v>
      </c>
      <c r="H14" s="159">
        <v>0</v>
      </c>
      <c r="I14" s="159" t="s">
        <v>479</v>
      </c>
      <c r="J14" s="159" t="s">
        <v>479</v>
      </c>
      <c r="K14" s="159">
        <v>0</v>
      </c>
    </row>
    <row r="15" spans="1:11" hidden="1">
      <c r="A15" s="159" t="s">
        <v>3</v>
      </c>
      <c r="B15" s="159" t="s">
        <v>415</v>
      </c>
      <c r="C15" s="159" t="s">
        <v>5067</v>
      </c>
      <c r="D15" s="159" t="s">
        <v>5537</v>
      </c>
      <c r="E15" s="159" t="s">
        <v>477</v>
      </c>
      <c r="F15" s="159">
        <v>20</v>
      </c>
      <c r="G15" s="159">
        <v>0</v>
      </c>
      <c r="H15" s="159">
        <v>0</v>
      </c>
      <c r="I15" s="159" t="s">
        <v>479</v>
      </c>
      <c r="J15" s="159" t="s">
        <v>479</v>
      </c>
      <c r="K15" s="159">
        <v>1</v>
      </c>
    </row>
    <row r="16" spans="1:11" hidden="1">
      <c r="A16" s="159" t="s">
        <v>3</v>
      </c>
      <c r="B16" s="159" t="s">
        <v>415</v>
      </c>
      <c r="C16" s="159" t="s">
        <v>5067</v>
      </c>
      <c r="D16" s="159" t="s">
        <v>5538</v>
      </c>
      <c r="E16" s="159" t="s">
        <v>477</v>
      </c>
      <c r="F16" s="159">
        <v>55</v>
      </c>
      <c r="G16" s="159">
        <v>0</v>
      </c>
      <c r="H16" s="159">
        <v>0</v>
      </c>
      <c r="I16" s="159" t="s">
        <v>479</v>
      </c>
      <c r="J16" s="159" t="s">
        <v>479</v>
      </c>
      <c r="K16" s="159">
        <v>0</v>
      </c>
    </row>
    <row r="17" spans="1:11" hidden="1">
      <c r="A17" s="159" t="s">
        <v>3</v>
      </c>
      <c r="B17" s="159" t="s">
        <v>415</v>
      </c>
      <c r="C17" s="159" t="s">
        <v>5067</v>
      </c>
      <c r="D17" s="159" t="s">
        <v>5539</v>
      </c>
      <c r="E17" s="159" t="s">
        <v>477</v>
      </c>
      <c r="F17" s="159">
        <v>110</v>
      </c>
      <c r="G17" s="159">
        <v>0</v>
      </c>
      <c r="H17" s="159">
        <v>0</v>
      </c>
      <c r="I17" s="159" t="s">
        <v>479</v>
      </c>
      <c r="J17" s="159" t="s">
        <v>479</v>
      </c>
      <c r="K17" s="159">
        <v>1</v>
      </c>
    </row>
    <row r="18" spans="1:11" hidden="1">
      <c r="A18" s="159" t="s">
        <v>3</v>
      </c>
      <c r="B18" s="159" t="s">
        <v>415</v>
      </c>
      <c r="C18" s="159" t="s">
        <v>5067</v>
      </c>
      <c r="D18" s="159" t="s">
        <v>5540</v>
      </c>
      <c r="E18" s="159" t="s">
        <v>477</v>
      </c>
      <c r="F18" s="159">
        <v>55</v>
      </c>
      <c r="G18" s="159">
        <v>0</v>
      </c>
      <c r="H18" s="159">
        <v>0</v>
      </c>
      <c r="I18" s="159" t="s">
        <v>479</v>
      </c>
      <c r="J18" s="159" t="s">
        <v>479</v>
      </c>
      <c r="K18" s="159">
        <v>0</v>
      </c>
    </row>
    <row r="19" spans="1:11" hidden="1">
      <c r="A19" s="159" t="s">
        <v>3</v>
      </c>
      <c r="B19" s="159" t="s">
        <v>415</v>
      </c>
      <c r="C19" s="159" t="s">
        <v>5067</v>
      </c>
      <c r="D19" s="159" t="s">
        <v>5541</v>
      </c>
      <c r="E19" s="159" t="s">
        <v>477</v>
      </c>
      <c r="F19" s="159">
        <v>55</v>
      </c>
      <c r="G19" s="159">
        <v>0</v>
      </c>
      <c r="H19" s="159">
        <v>0</v>
      </c>
      <c r="I19" s="159" t="s">
        <v>479</v>
      </c>
      <c r="J19" s="159" t="s">
        <v>479</v>
      </c>
      <c r="K19" s="159">
        <v>0</v>
      </c>
    </row>
    <row r="20" spans="1:11" hidden="1">
      <c r="A20" s="159" t="s">
        <v>3</v>
      </c>
      <c r="B20" s="159" t="s">
        <v>415</v>
      </c>
      <c r="C20" s="159" t="s">
        <v>5067</v>
      </c>
      <c r="D20" s="159" t="s">
        <v>5542</v>
      </c>
      <c r="E20" s="159" t="s">
        <v>477</v>
      </c>
      <c r="F20" s="159">
        <v>100</v>
      </c>
      <c r="G20" s="159">
        <v>0</v>
      </c>
      <c r="H20" s="159">
        <v>0</v>
      </c>
      <c r="I20" s="159" t="s">
        <v>479</v>
      </c>
      <c r="J20" s="159" t="s">
        <v>479</v>
      </c>
      <c r="K20" s="159">
        <v>0</v>
      </c>
    </row>
    <row r="21" spans="1:11" ht="15.75" hidden="1" customHeight="1">
      <c r="A21" s="159" t="s">
        <v>3</v>
      </c>
      <c r="B21" s="159" t="s">
        <v>415</v>
      </c>
      <c r="C21" s="159" t="s">
        <v>5067</v>
      </c>
      <c r="D21" s="159" t="s">
        <v>5543</v>
      </c>
      <c r="E21" s="159" t="s">
        <v>477</v>
      </c>
      <c r="F21" s="159">
        <v>100</v>
      </c>
      <c r="G21" s="159">
        <v>0</v>
      </c>
      <c r="H21" s="159">
        <v>0</v>
      </c>
      <c r="I21" s="159" t="s">
        <v>479</v>
      </c>
      <c r="J21" s="159" t="s">
        <v>479</v>
      </c>
      <c r="K21" s="159">
        <v>0</v>
      </c>
    </row>
    <row r="22" spans="1:11" ht="15.75" hidden="1" customHeight="1">
      <c r="A22" s="159" t="s">
        <v>3</v>
      </c>
      <c r="B22" s="159" t="s">
        <v>415</v>
      </c>
      <c r="C22" s="159" t="s">
        <v>5067</v>
      </c>
      <c r="D22" s="159" t="s">
        <v>5544</v>
      </c>
      <c r="E22" s="159" t="s">
        <v>477</v>
      </c>
      <c r="F22" s="159">
        <v>20</v>
      </c>
      <c r="G22" s="159">
        <v>0</v>
      </c>
      <c r="H22" s="159">
        <v>0</v>
      </c>
      <c r="I22" s="159" t="s">
        <v>479</v>
      </c>
      <c r="J22" s="159" t="s">
        <v>479</v>
      </c>
      <c r="K22" s="159">
        <v>0</v>
      </c>
    </row>
    <row r="23" spans="1:11" ht="15.75" hidden="1" customHeight="1">
      <c r="A23" s="159" t="s">
        <v>3</v>
      </c>
      <c r="B23" s="159" t="s">
        <v>415</v>
      </c>
      <c r="C23" s="159" t="s">
        <v>5067</v>
      </c>
      <c r="D23" s="159" t="s">
        <v>5545</v>
      </c>
      <c r="E23" s="159" t="s">
        <v>477</v>
      </c>
      <c r="F23" s="159">
        <v>10</v>
      </c>
      <c r="G23" s="159">
        <v>0</v>
      </c>
      <c r="H23" s="159">
        <v>0</v>
      </c>
      <c r="I23" s="159" t="s">
        <v>479</v>
      </c>
      <c r="J23" s="159" t="s">
        <v>479</v>
      </c>
      <c r="K23" s="159">
        <v>1</v>
      </c>
    </row>
    <row r="24" spans="1:11" ht="15.75" hidden="1" customHeight="1">
      <c r="A24" s="159" t="s">
        <v>3</v>
      </c>
      <c r="B24" s="159" t="s">
        <v>415</v>
      </c>
      <c r="C24" s="159" t="s">
        <v>5067</v>
      </c>
      <c r="D24" s="159" t="s">
        <v>5546</v>
      </c>
      <c r="E24" s="159" t="s">
        <v>477</v>
      </c>
      <c r="F24" s="159">
        <v>100</v>
      </c>
      <c r="G24" s="159">
        <v>0</v>
      </c>
      <c r="H24" s="159">
        <v>0</v>
      </c>
      <c r="I24" s="159" t="s">
        <v>479</v>
      </c>
      <c r="J24" s="159" t="s">
        <v>479</v>
      </c>
      <c r="K24" s="159">
        <v>1</v>
      </c>
    </row>
    <row r="25" spans="1:11" ht="15.75" hidden="1" customHeight="1">
      <c r="A25" s="159" t="s">
        <v>3</v>
      </c>
      <c r="B25" s="159" t="s">
        <v>415</v>
      </c>
      <c r="C25" s="159" t="s">
        <v>5067</v>
      </c>
      <c r="D25" s="159" t="s">
        <v>5547</v>
      </c>
      <c r="E25" s="159" t="s">
        <v>477</v>
      </c>
      <c r="F25" s="159">
        <v>100</v>
      </c>
      <c r="G25" s="159">
        <v>0</v>
      </c>
      <c r="H25" s="159">
        <v>0</v>
      </c>
      <c r="I25" s="159" t="s">
        <v>479</v>
      </c>
      <c r="J25" s="159" t="s">
        <v>479</v>
      </c>
      <c r="K25" s="159">
        <v>0</v>
      </c>
    </row>
    <row r="26" spans="1:11" ht="15.75" hidden="1" customHeight="1">
      <c r="A26" s="159" t="s">
        <v>3</v>
      </c>
      <c r="B26" s="159" t="s">
        <v>415</v>
      </c>
      <c r="C26" s="159" t="s">
        <v>5067</v>
      </c>
      <c r="D26" s="159" t="s">
        <v>5548</v>
      </c>
      <c r="E26" s="159" t="s">
        <v>477</v>
      </c>
      <c r="F26" s="159">
        <v>100</v>
      </c>
      <c r="G26" s="159">
        <v>0</v>
      </c>
      <c r="H26" s="159">
        <v>0</v>
      </c>
      <c r="I26" s="159" t="s">
        <v>479</v>
      </c>
      <c r="J26" s="159" t="s">
        <v>479</v>
      </c>
      <c r="K26" s="159">
        <v>1</v>
      </c>
    </row>
    <row r="27" spans="1:11" ht="15.75" hidden="1" customHeight="1">
      <c r="A27" s="159" t="s">
        <v>3</v>
      </c>
      <c r="B27" s="159" t="s">
        <v>415</v>
      </c>
      <c r="C27" s="159" t="s">
        <v>5067</v>
      </c>
      <c r="D27" s="159" t="s">
        <v>5549</v>
      </c>
      <c r="E27" s="159" t="s">
        <v>477</v>
      </c>
      <c r="F27" s="159">
        <v>50</v>
      </c>
      <c r="G27" s="159">
        <v>0</v>
      </c>
      <c r="H27" s="159">
        <v>0</v>
      </c>
      <c r="I27" s="159" t="s">
        <v>479</v>
      </c>
      <c r="J27" s="159" t="s">
        <v>479</v>
      </c>
      <c r="K27" s="159">
        <v>1</v>
      </c>
    </row>
    <row r="28" spans="1:11" ht="15.75" hidden="1" customHeight="1">
      <c r="A28" s="159" t="s">
        <v>3</v>
      </c>
      <c r="B28" s="159" t="s">
        <v>415</v>
      </c>
      <c r="C28" s="159" t="s">
        <v>5067</v>
      </c>
      <c r="D28" s="159" t="s">
        <v>5550</v>
      </c>
      <c r="E28" s="159" t="s">
        <v>477</v>
      </c>
      <c r="F28" s="159">
        <v>50</v>
      </c>
      <c r="G28" s="159">
        <v>0</v>
      </c>
      <c r="H28" s="159">
        <v>0</v>
      </c>
      <c r="I28" s="159" t="s">
        <v>479</v>
      </c>
      <c r="J28" s="159" t="s">
        <v>479</v>
      </c>
      <c r="K28" s="159">
        <v>1</v>
      </c>
    </row>
    <row r="29" spans="1:11" ht="15.75" hidden="1" customHeight="1">
      <c r="A29" s="159" t="s">
        <v>3</v>
      </c>
      <c r="B29" s="159" t="s">
        <v>415</v>
      </c>
      <c r="C29" s="159" t="s">
        <v>5067</v>
      </c>
      <c r="D29" s="159" t="s">
        <v>5551</v>
      </c>
      <c r="E29" s="159" t="s">
        <v>477</v>
      </c>
      <c r="F29" s="159">
        <v>20</v>
      </c>
      <c r="G29" s="159">
        <v>0</v>
      </c>
      <c r="H29" s="159">
        <v>0</v>
      </c>
      <c r="I29" s="159" t="s">
        <v>479</v>
      </c>
      <c r="J29" s="159" t="s">
        <v>479</v>
      </c>
      <c r="K29" s="159">
        <v>1</v>
      </c>
    </row>
    <row r="30" spans="1:11" ht="15.75" hidden="1" customHeight="1">
      <c r="A30" s="159" t="s">
        <v>3</v>
      </c>
      <c r="B30" s="159" t="s">
        <v>415</v>
      </c>
      <c r="C30" s="159" t="s">
        <v>5067</v>
      </c>
      <c r="D30" s="159" t="s">
        <v>5552</v>
      </c>
      <c r="E30" s="159" t="s">
        <v>717</v>
      </c>
      <c r="F30" s="159">
        <v>9</v>
      </c>
      <c r="G30" s="159">
        <v>18</v>
      </c>
      <c r="H30" s="159">
        <v>2</v>
      </c>
      <c r="I30" s="159" t="s">
        <v>479</v>
      </c>
      <c r="J30" s="159" t="s">
        <v>479</v>
      </c>
      <c r="K30" s="159">
        <v>1</v>
      </c>
    </row>
    <row r="31" spans="1:11" ht="15.75" hidden="1" customHeight="1">
      <c r="A31" s="159" t="s">
        <v>3</v>
      </c>
      <c r="B31" s="159" t="s">
        <v>415</v>
      </c>
      <c r="C31" s="159" t="s">
        <v>5067</v>
      </c>
      <c r="D31" s="159" t="s">
        <v>5553</v>
      </c>
      <c r="E31" s="159" t="s">
        <v>717</v>
      </c>
      <c r="F31" s="159">
        <v>9</v>
      </c>
      <c r="G31" s="159">
        <v>18</v>
      </c>
      <c r="H31" s="159">
        <v>2</v>
      </c>
      <c r="I31" s="159" t="s">
        <v>479</v>
      </c>
      <c r="J31" s="159" t="s">
        <v>479</v>
      </c>
      <c r="K31" s="159">
        <v>1</v>
      </c>
    </row>
    <row r="32" spans="1:11" ht="15.75" hidden="1" customHeight="1">
      <c r="A32" s="159" t="s">
        <v>3</v>
      </c>
      <c r="B32" s="159" t="s">
        <v>415</v>
      </c>
      <c r="C32" s="159" t="s">
        <v>5067</v>
      </c>
      <c r="D32" s="159" t="s">
        <v>5554</v>
      </c>
      <c r="E32" s="159" t="s">
        <v>717</v>
      </c>
      <c r="F32" s="159">
        <v>9</v>
      </c>
      <c r="G32" s="159">
        <v>18</v>
      </c>
      <c r="H32" s="159">
        <v>2</v>
      </c>
      <c r="I32" s="159" t="s">
        <v>479</v>
      </c>
      <c r="J32" s="159" t="s">
        <v>479</v>
      </c>
      <c r="K32" s="159">
        <v>1</v>
      </c>
    </row>
    <row r="33" spans="1:11" ht="15.75" hidden="1" customHeight="1">
      <c r="A33" s="159" t="s">
        <v>3</v>
      </c>
      <c r="B33" s="159" t="s">
        <v>415</v>
      </c>
      <c r="C33" s="159" t="s">
        <v>5067</v>
      </c>
      <c r="D33" s="159" t="s">
        <v>1267</v>
      </c>
      <c r="E33" s="159" t="s">
        <v>717</v>
      </c>
      <c r="F33" s="159">
        <v>9</v>
      </c>
      <c r="G33" s="159">
        <v>18</v>
      </c>
      <c r="H33" s="159">
        <v>2</v>
      </c>
      <c r="I33" s="159" t="s">
        <v>479</v>
      </c>
      <c r="J33" s="159" t="s">
        <v>479</v>
      </c>
      <c r="K33" s="159">
        <v>1</v>
      </c>
    </row>
    <row r="34" spans="1:11" ht="15.75" hidden="1" customHeight="1">
      <c r="A34" s="159" t="s">
        <v>3</v>
      </c>
      <c r="B34" s="159" t="s">
        <v>415</v>
      </c>
      <c r="C34" s="159" t="s">
        <v>5067</v>
      </c>
      <c r="D34" s="159" t="s">
        <v>5555</v>
      </c>
      <c r="E34" s="159" t="s">
        <v>717</v>
      </c>
      <c r="F34" s="159">
        <v>9</v>
      </c>
      <c r="G34" s="159">
        <v>18</v>
      </c>
      <c r="H34" s="159">
        <v>2</v>
      </c>
      <c r="I34" s="159" t="s">
        <v>479</v>
      </c>
      <c r="J34" s="159" t="s">
        <v>479</v>
      </c>
      <c r="K34" s="159">
        <v>1</v>
      </c>
    </row>
    <row r="35" spans="1:11" ht="15.75" hidden="1" customHeight="1">
      <c r="A35" s="159" t="s">
        <v>3</v>
      </c>
      <c r="B35" s="159" t="s">
        <v>415</v>
      </c>
      <c r="C35" s="159" t="s">
        <v>5067</v>
      </c>
      <c r="D35" s="159" t="s">
        <v>5556</v>
      </c>
      <c r="E35" s="159" t="s">
        <v>717</v>
      </c>
      <c r="F35" s="159">
        <v>9</v>
      </c>
      <c r="G35" s="159">
        <v>18</v>
      </c>
      <c r="H35" s="159">
        <v>2</v>
      </c>
      <c r="I35" s="159" t="s">
        <v>479</v>
      </c>
      <c r="J35" s="159" t="s">
        <v>479</v>
      </c>
      <c r="K35" s="159">
        <v>1</v>
      </c>
    </row>
    <row r="36" spans="1:11" ht="15.75" hidden="1" customHeight="1">
      <c r="A36" s="159" t="s">
        <v>3</v>
      </c>
      <c r="B36" s="159" t="s">
        <v>415</v>
      </c>
      <c r="C36" s="159" t="s">
        <v>5067</v>
      </c>
      <c r="D36" s="159" t="s">
        <v>5557</v>
      </c>
      <c r="E36" s="159" t="s">
        <v>717</v>
      </c>
      <c r="F36" s="159">
        <v>9</v>
      </c>
      <c r="G36" s="159">
        <v>18</v>
      </c>
      <c r="H36" s="159">
        <v>2</v>
      </c>
      <c r="I36" s="159" t="s">
        <v>479</v>
      </c>
      <c r="J36" s="159" t="s">
        <v>479</v>
      </c>
      <c r="K36" s="159">
        <v>1</v>
      </c>
    </row>
    <row r="37" spans="1:11" ht="15.75" hidden="1" customHeight="1">
      <c r="A37" s="159" t="s">
        <v>3</v>
      </c>
      <c r="B37" s="159" t="s">
        <v>415</v>
      </c>
      <c r="C37" s="159" t="s">
        <v>5067</v>
      </c>
      <c r="D37" s="159" t="s">
        <v>5558</v>
      </c>
      <c r="E37" s="159" t="s">
        <v>717</v>
      </c>
      <c r="F37" s="159">
        <v>9</v>
      </c>
      <c r="G37" s="159">
        <v>18</v>
      </c>
      <c r="H37" s="159">
        <v>2</v>
      </c>
      <c r="I37" s="159" t="s">
        <v>479</v>
      </c>
      <c r="J37" s="159" t="s">
        <v>479</v>
      </c>
      <c r="K37" s="159">
        <v>1</v>
      </c>
    </row>
    <row r="38" spans="1:11" ht="15.75" hidden="1" customHeight="1">
      <c r="A38" s="159" t="s">
        <v>3</v>
      </c>
      <c r="B38" s="159" t="s">
        <v>415</v>
      </c>
      <c r="C38" s="159" t="s">
        <v>5067</v>
      </c>
      <c r="D38" s="159" t="s">
        <v>523</v>
      </c>
      <c r="E38" s="159" t="s">
        <v>477</v>
      </c>
      <c r="F38" s="159">
        <v>20</v>
      </c>
      <c r="G38" s="159">
        <v>0</v>
      </c>
      <c r="H38" s="159">
        <v>0</v>
      </c>
      <c r="I38" s="159" t="s">
        <v>479</v>
      </c>
      <c r="J38" s="159" t="s">
        <v>479</v>
      </c>
      <c r="K38" s="159">
        <v>1</v>
      </c>
    </row>
    <row r="39" spans="1:11" ht="15.75" hidden="1" customHeight="1">
      <c r="A39" s="159" t="s">
        <v>3</v>
      </c>
      <c r="B39" s="159" t="s">
        <v>415</v>
      </c>
      <c r="C39" s="159" t="s">
        <v>5067</v>
      </c>
      <c r="D39" s="159" t="s">
        <v>3515</v>
      </c>
      <c r="E39" s="159" t="s">
        <v>477</v>
      </c>
      <c r="F39" s="159">
        <v>100</v>
      </c>
      <c r="G39" s="159">
        <v>0</v>
      </c>
      <c r="H39" s="159">
        <v>0</v>
      </c>
      <c r="I39" s="159" t="s">
        <v>479</v>
      </c>
      <c r="J39" s="159" t="s">
        <v>479</v>
      </c>
      <c r="K39" s="159">
        <v>1</v>
      </c>
    </row>
    <row r="40" spans="1:11" ht="15.75" hidden="1" customHeight="1">
      <c r="A40" s="159" t="s">
        <v>3</v>
      </c>
      <c r="B40" s="159" t="s">
        <v>415</v>
      </c>
      <c r="C40" s="159" t="s">
        <v>5067</v>
      </c>
      <c r="D40" s="159" t="s">
        <v>669</v>
      </c>
      <c r="E40" s="159" t="s">
        <v>538</v>
      </c>
      <c r="F40" s="159">
        <v>8</v>
      </c>
      <c r="G40" s="159">
        <v>23</v>
      </c>
      <c r="H40" s="159">
        <v>3</v>
      </c>
      <c r="I40" s="159" t="s">
        <v>479</v>
      </c>
      <c r="J40" s="159" t="s">
        <v>479</v>
      </c>
      <c r="K40" s="159">
        <v>0</v>
      </c>
    </row>
    <row r="41" spans="1:11" ht="15.75" hidden="1" customHeight="1">
      <c r="A41" s="159" t="s">
        <v>3</v>
      </c>
      <c r="B41" s="159" t="s">
        <v>415</v>
      </c>
      <c r="C41" s="159" t="s">
        <v>5067</v>
      </c>
      <c r="D41" s="159" t="s">
        <v>670</v>
      </c>
      <c r="E41" s="159" t="s">
        <v>477</v>
      </c>
      <c r="F41" s="159">
        <v>20</v>
      </c>
      <c r="G41" s="159">
        <v>0</v>
      </c>
      <c r="H41" s="159">
        <v>0</v>
      </c>
      <c r="I41" s="159" t="s">
        <v>479</v>
      </c>
      <c r="J41" s="159" t="s">
        <v>479</v>
      </c>
      <c r="K41" s="159">
        <v>1</v>
      </c>
    </row>
    <row r="42" spans="1:11" ht="15.75" hidden="1" customHeight="1">
      <c r="A42" s="159" t="s">
        <v>3</v>
      </c>
      <c r="B42" s="159" t="s">
        <v>415</v>
      </c>
      <c r="C42" s="159" t="s">
        <v>5067</v>
      </c>
      <c r="D42" s="159" t="s">
        <v>3516</v>
      </c>
      <c r="E42" s="159" t="s">
        <v>477</v>
      </c>
      <c r="F42" s="159">
        <v>100</v>
      </c>
      <c r="G42" s="159">
        <v>0</v>
      </c>
      <c r="H42" s="159">
        <v>0</v>
      </c>
      <c r="I42" s="159" t="s">
        <v>479</v>
      </c>
      <c r="J42" s="159" t="s">
        <v>479</v>
      </c>
      <c r="K42" s="159">
        <v>1</v>
      </c>
    </row>
    <row r="43" spans="1:11" ht="15.75" hidden="1" customHeight="1">
      <c r="A43" s="159" t="s">
        <v>3</v>
      </c>
      <c r="B43" s="159" t="s">
        <v>415</v>
      </c>
      <c r="C43" s="159" t="s">
        <v>5067</v>
      </c>
      <c r="D43" s="159" t="s">
        <v>215</v>
      </c>
      <c r="E43" s="159" t="s">
        <v>538</v>
      </c>
      <c r="F43" s="159">
        <v>8</v>
      </c>
      <c r="G43" s="159">
        <v>23</v>
      </c>
      <c r="H43" s="159">
        <v>3</v>
      </c>
      <c r="I43" s="159" t="s">
        <v>479</v>
      </c>
      <c r="J43" s="159" t="s">
        <v>479</v>
      </c>
      <c r="K43" s="159">
        <v>0</v>
      </c>
    </row>
    <row r="44" spans="1:11" ht="15.75" hidden="1" customHeight="1">
      <c r="A44" s="159" t="s">
        <v>3</v>
      </c>
      <c r="B44" s="159" t="s">
        <v>415</v>
      </c>
      <c r="C44" s="159" t="s">
        <v>5067</v>
      </c>
      <c r="D44" s="159" t="s">
        <v>5559</v>
      </c>
      <c r="E44" s="159" t="s">
        <v>477</v>
      </c>
      <c r="F44" s="159">
        <v>20</v>
      </c>
      <c r="G44" s="159">
        <v>0</v>
      </c>
      <c r="H44" s="159">
        <v>0</v>
      </c>
      <c r="I44" s="159" t="s">
        <v>479</v>
      </c>
      <c r="J44" s="159" t="s">
        <v>479</v>
      </c>
      <c r="K44" s="159">
        <v>1</v>
      </c>
    </row>
    <row r="45" spans="1:11" ht="15.75" hidden="1" customHeight="1">
      <c r="A45" s="159" t="s">
        <v>3</v>
      </c>
      <c r="B45" s="159" t="s">
        <v>415</v>
      </c>
      <c r="C45" s="159" t="s">
        <v>5067</v>
      </c>
      <c r="D45" s="159" t="s">
        <v>5560</v>
      </c>
      <c r="E45" s="159" t="s">
        <v>477</v>
      </c>
      <c r="F45" s="159">
        <v>20</v>
      </c>
      <c r="G45" s="159">
        <v>0</v>
      </c>
      <c r="H45" s="159">
        <v>0</v>
      </c>
      <c r="I45" s="159" t="s">
        <v>479</v>
      </c>
      <c r="J45" s="159" t="s">
        <v>5561</v>
      </c>
      <c r="K45" s="159">
        <v>1</v>
      </c>
    </row>
    <row r="46" spans="1:11" ht="15.75" hidden="1" customHeight="1">
      <c r="A46" s="159" t="s">
        <v>3</v>
      </c>
      <c r="B46" s="159" t="s">
        <v>415</v>
      </c>
      <c r="C46" s="159" t="s">
        <v>5067</v>
      </c>
      <c r="D46" s="159" t="s">
        <v>5086</v>
      </c>
      <c r="E46" s="159" t="s">
        <v>1631</v>
      </c>
      <c r="F46" s="159">
        <v>8</v>
      </c>
      <c r="G46" s="159">
        <v>19</v>
      </c>
      <c r="H46" s="159">
        <v>0</v>
      </c>
      <c r="I46" s="159" t="s">
        <v>5562</v>
      </c>
      <c r="J46" s="159" t="s">
        <v>615</v>
      </c>
      <c r="K46" s="159">
        <v>0</v>
      </c>
    </row>
    <row r="47" spans="1:11" ht="15.75" hidden="1" customHeight="1">
      <c r="A47" s="159" t="s">
        <v>3</v>
      </c>
      <c r="B47" s="159" t="s">
        <v>415</v>
      </c>
      <c r="C47" s="159" t="s">
        <v>5067</v>
      </c>
      <c r="D47" s="159" t="s">
        <v>5563</v>
      </c>
      <c r="E47" s="159" t="s">
        <v>484</v>
      </c>
      <c r="F47" s="159">
        <v>4</v>
      </c>
      <c r="G47" s="159">
        <v>10</v>
      </c>
      <c r="H47" s="159">
        <v>0</v>
      </c>
      <c r="I47" s="159" t="s">
        <v>5564</v>
      </c>
      <c r="J47" s="159" t="s">
        <v>615</v>
      </c>
      <c r="K47" s="159">
        <v>0</v>
      </c>
    </row>
    <row r="48" spans="1:11" ht="15.75" hidden="1" customHeight="1">
      <c r="A48" s="159" t="s">
        <v>3</v>
      </c>
      <c r="B48" s="159" t="s">
        <v>415</v>
      </c>
      <c r="C48" s="159" t="s">
        <v>5067</v>
      </c>
      <c r="D48" s="159" t="s">
        <v>5565</v>
      </c>
      <c r="E48" s="159" t="s">
        <v>484</v>
      </c>
      <c r="F48" s="159">
        <v>4</v>
      </c>
      <c r="G48" s="159">
        <v>10</v>
      </c>
      <c r="H48" s="159">
        <v>0</v>
      </c>
      <c r="I48" s="159" t="s">
        <v>5566</v>
      </c>
      <c r="J48" s="159" t="s">
        <v>615</v>
      </c>
      <c r="K48" s="159">
        <v>0</v>
      </c>
    </row>
    <row r="49" spans="1:11" ht="15.75" hidden="1" customHeight="1">
      <c r="A49" s="159" t="s">
        <v>3</v>
      </c>
      <c r="B49" s="159" t="s">
        <v>415</v>
      </c>
      <c r="C49" s="159" t="s">
        <v>5067</v>
      </c>
      <c r="D49" s="159" t="s">
        <v>5567</v>
      </c>
      <c r="E49" s="159" t="s">
        <v>477</v>
      </c>
      <c r="F49" s="159">
        <v>20</v>
      </c>
      <c r="G49" s="159">
        <v>0</v>
      </c>
      <c r="H49" s="159">
        <v>0</v>
      </c>
      <c r="I49" s="159" t="s">
        <v>5568</v>
      </c>
      <c r="J49" s="159" t="s">
        <v>548</v>
      </c>
      <c r="K49" s="159">
        <v>0</v>
      </c>
    </row>
    <row r="50" spans="1:11" ht="15.75" hidden="1" customHeight="1">
      <c r="A50" s="159" t="s">
        <v>3</v>
      </c>
      <c r="B50" s="159" t="s">
        <v>415</v>
      </c>
      <c r="C50" s="159" t="s">
        <v>5067</v>
      </c>
      <c r="D50" s="159" t="s">
        <v>5569</v>
      </c>
      <c r="E50" s="159" t="s">
        <v>477</v>
      </c>
      <c r="F50" s="159">
        <v>3</v>
      </c>
      <c r="G50" s="159">
        <v>0</v>
      </c>
      <c r="H50" s="159">
        <v>0</v>
      </c>
      <c r="I50" s="159" t="s">
        <v>5570</v>
      </c>
      <c r="J50" s="159" t="s">
        <v>596</v>
      </c>
      <c r="K50" s="159">
        <v>0</v>
      </c>
    </row>
    <row r="51" spans="1:11" ht="15.75" hidden="1" customHeight="1">
      <c r="A51" s="159" t="s">
        <v>3</v>
      </c>
      <c r="B51" s="159" t="s">
        <v>415</v>
      </c>
      <c r="C51" s="159" t="s">
        <v>5067</v>
      </c>
      <c r="D51" s="159" t="s">
        <v>5571</v>
      </c>
      <c r="E51" s="159" t="s">
        <v>477</v>
      </c>
      <c r="F51" s="159">
        <v>3</v>
      </c>
      <c r="G51" s="159">
        <v>0</v>
      </c>
      <c r="H51" s="159">
        <v>0</v>
      </c>
      <c r="I51" s="159" t="s">
        <v>5572</v>
      </c>
      <c r="J51" s="159" t="s">
        <v>596</v>
      </c>
      <c r="K51" s="159">
        <v>0</v>
      </c>
    </row>
    <row r="52" spans="1:11" ht="15.75" hidden="1" customHeight="1">
      <c r="A52" s="159" t="s">
        <v>3</v>
      </c>
      <c r="B52" s="159" t="s">
        <v>415</v>
      </c>
      <c r="C52" s="159" t="s">
        <v>5067</v>
      </c>
      <c r="D52" s="159" t="s">
        <v>5573</v>
      </c>
      <c r="E52" s="159" t="s">
        <v>538</v>
      </c>
      <c r="F52" s="159">
        <v>8</v>
      </c>
      <c r="G52" s="159">
        <v>23</v>
      </c>
      <c r="H52" s="159">
        <v>3</v>
      </c>
      <c r="I52" s="159" t="s">
        <v>5574</v>
      </c>
      <c r="J52" s="159" t="s">
        <v>1363</v>
      </c>
      <c r="K52" s="159">
        <v>0</v>
      </c>
    </row>
    <row r="53" spans="1:11" ht="15.75" hidden="1" customHeight="1">
      <c r="A53" s="159" t="s">
        <v>3</v>
      </c>
      <c r="B53" s="159" t="s">
        <v>415</v>
      </c>
      <c r="C53" s="159" t="s">
        <v>5067</v>
      </c>
      <c r="D53" s="159" t="s">
        <v>5575</v>
      </c>
      <c r="E53" s="159" t="s">
        <v>477</v>
      </c>
      <c r="F53" s="159">
        <v>3</v>
      </c>
      <c r="G53" s="159">
        <v>0</v>
      </c>
      <c r="H53" s="159">
        <v>0</v>
      </c>
      <c r="I53" s="159" t="s">
        <v>5576</v>
      </c>
      <c r="J53" s="159" t="s">
        <v>596</v>
      </c>
      <c r="K53" s="159">
        <v>0</v>
      </c>
    </row>
    <row r="54" spans="1:11" ht="15.75" hidden="1" customHeight="1">
      <c r="A54" s="159" t="s">
        <v>3</v>
      </c>
      <c r="B54" s="159" t="s">
        <v>415</v>
      </c>
      <c r="C54" s="159" t="s">
        <v>5067</v>
      </c>
      <c r="D54" s="159" t="s">
        <v>5577</v>
      </c>
      <c r="E54" s="159" t="s">
        <v>538</v>
      </c>
      <c r="F54" s="159">
        <v>8</v>
      </c>
      <c r="G54" s="159">
        <v>23</v>
      </c>
      <c r="H54" s="159">
        <v>3</v>
      </c>
      <c r="I54" s="159" t="s">
        <v>5578</v>
      </c>
      <c r="J54" s="159" t="s">
        <v>548</v>
      </c>
      <c r="K54" s="159">
        <v>0</v>
      </c>
    </row>
    <row r="55" spans="1:11" ht="15.75" hidden="1" customHeight="1">
      <c r="A55" s="159" t="s">
        <v>3</v>
      </c>
      <c r="B55" s="159" t="s">
        <v>266</v>
      </c>
      <c r="C55" s="159" t="s">
        <v>5071</v>
      </c>
      <c r="D55" s="159" t="s">
        <v>5531</v>
      </c>
      <c r="E55" s="159" t="s">
        <v>477</v>
      </c>
      <c r="F55" s="159">
        <v>10</v>
      </c>
      <c r="G55" s="159">
        <v>0</v>
      </c>
      <c r="H55" s="159">
        <v>0</v>
      </c>
      <c r="I55" s="159" t="s">
        <v>479</v>
      </c>
      <c r="J55" s="159" t="s">
        <v>5579</v>
      </c>
      <c r="K55" s="159">
        <v>0</v>
      </c>
    </row>
    <row r="56" spans="1:11" ht="15.75" hidden="1" customHeight="1">
      <c r="A56" s="159" t="s">
        <v>3</v>
      </c>
      <c r="B56" s="159" t="s">
        <v>266</v>
      </c>
      <c r="C56" s="159" t="s">
        <v>5071</v>
      </c>
      <c r="D56" s="159" t="s">
        <v>371</v>
      </c>
      <c r="E56" s="159" t="s">
        <v>477</v>
      </c>
      <c r="F56" s="159">
        <v>7</v>
      </c>
      <c r="G56" s="159">
        <v>0</v>
      </c>
      <c r="H56" s="159">
        <v>0</v>
      </c>
      <c r="I56" s="159" t="s">
        <v>479</v>
      </c>
      <c r="J56" s="159" t="s">
        <v>5579</v>
      </c>
      <c r="K56" s="159">
        <v>0</v>
      </c>
    </row>
    <row r="57" spans="1:11" ht="15.75" hidden="1" customHeight="1">
      <c r="A57" s="159" t="s">
        <v>3</v>
      </c>
      <c r="B57" s="159" t="s">
        <v>266</v>
      </c>
      <c r="C57" s="159" t="s">
        <v>5071</v>
      </c>
      <c r="D57" s="159" t="s">
        <v>5580</v>
      </c>
      <c r="E57" s="159" t="s">
        <v>717</v>
      </c>
      <c r="F57" s="159">
        <v>5</v>
      </c>
      <c r="G57" s="159">
        <v>9</v>
      </c>
      <c r="H57" s="159">
        <v>2</v>
      </c>
      <c r="I57" s="159" t="s">
        <v>479</v>
      </c>
      <c r="J57" s="159" t="s">
        <v>1223</v>
      </c>
      <c r="K57" s="159">
        <v>1</v>
      </c>
    </row>
    <row r="58" spans="1:11" ht="15.75" hidden="1" customHeight="1">
      <c r="A58" s="159" t="s">
        <v>3</v>
      </c>
      <c r="B58" s="159" t="s">
        <v>266</v>
      </c>
      <c r="C58" s="159" t="s">
        <v>5071</v>
      </c>
      <c r="D58" s="159" t="s">
        <v>5581</v>
      </c>
      <c r="E58" s="159" t="s">
        <v>717</v>
      </c>
      <c r="F58" s="159">
        <v>5</v>
      </c>
      <c r="G58" s="159">
        <v>9</v>
      </c>
      <c r="H58" s="159">
        <v>2</v>
      </c>
      <c r="I58" s="159" t="s">
        <v>479</v>
      </c>
      <c r="J58" s="159" t="s">
        <v>1223</v>
      </c>
      <c r="K58" s="159">
        <v>1</v>
      </c>
    </row>
    <row r="59" spans="1:11" ht="15.75" hidden="1" customHeight="1">
      <c r="A59" s="159" t="s">
        <v>3</v>
      </c>
      <c r="B59" s="159" t="s">
        <v>266</v>
      </c>
      <c r="C59" s="159" t="s">
        <v>5071</v>
      </c>
      <c r="D59" s="159" t="s">
        <v>5582</v>
      </c>
      <c r="E59" s="159" t="s">
        <v>484</v>
      </c>
      <c r="F59" s="159">
        <v>4</v>
      </c>
      <c r="G59" s="159">
        <v>10</v>
      </c>
      <c r="H59" s="159">
        <v>0</v>
      </c>
      <c r="I59" s="159" t="s">
        <v>479</v>
      </c>
      <c r="J59" s="159" t="s">
        <v>615</v>
      </c>
      <c r="K59" s="159">
        <v>1</v>
      </c>
    </row>
    <row r="60" spans="1:11" ht="15.75" hidden="1" customHeight="1">
      <c r="A60" s="159" t="s">
        <v>3</v>
      </c>
      <c r="B60" s="159" t="s">
        <v>266</v>
      </c>
      <c r="C60" s="159" t="s">
        <v>5071</v>
      </c>
      <c r="D60" s="159" t="s">
        <v>5583</v>
      </c>
      <c r="E60" s="159" t="s">
        <v>484</v>
      </c>
      <c r="F60" s="159">
        <v>4</v>
      </c>
      <c r="G60" s="159">
        <v>10</v>
      </c>
      <c r="H60" s="159">
        <v>0</v>
      </c>
      <c r="I60" s="159" t="s">
        <v>479</v>
      </c>
      <c r="J60" s="159" t="s">
        <v>615</v>
      </c>
      <c r="K60" s="159">
        <v>1</v>
      </c>
    </row>
    <row r="61" spans="1:11" ht="15.75" hidden="1" customHeight="1">
      <c r="A61" s="159" t="s">
        <v>3</v>
      </c>
      <c r="B61" s="159" t="s">
        <v>266</v>
      </c>
      <c r="C61" s="159" t="s">
        <v>5071</v>
      </c>
      <c r="D61" s="159" t="s">
        <v>5584</v>
      </c>
      <c r="E61" s="159" t="s">
        <v>484</v>
      </c>
      <c r="F61" s="159">
        <v>4</v>
      </c>
      <c r="G61" s="159">
        <v>10</v>
      </c>
      <c r="H61" s="159">
        <v>0</v>
      </c>
      <c r="I61" s="159" t="s">
        <v>479</v>
      </c>
      <c r="J61" s="159" t="s">
        <v>1878</v>
      </c>
      <c r="K61" s="159">
        <v>1</v>
      </c>
    </row>
    <row r="62" spans="1:11" ht="15.75" hidden="1" customHeight="1">
      <c r="A62" s="159" t="s">
        <v>3</v>
      </c>
      <c r="B62" s="159" t="s">
        <v>266</v>
      </c>
      <c r="C62" s="159" t="s">
        <v>5071</v>
      </c>
      <c r="D62" s="159" t="s">
        <v>3500</v>
      </c>
      <c r="E62" s="159" t="s">
        <v>477</v>
      </c>
      <c r="F62" s="159">
        <v>20</v>
      </c>
      <c r="G62" s="159">
        <v>0</v>
      </c>
      <c r="H62" s="159">
        <v>0</v>
      </c>
      <c r="I62" s="159" t="s">
        <v>479</v>
      </c>
      <c r="J62" s="159" t="s">
        <v>5579</v>
      </c>
      <c r="K62" s="159">
        <v>1</v>
      </c>
    </row>
    <row r="63" spans="1:11" ht="15.75" hidden="1" customHeight="1">
      <c r="A63" s="159" t="s">
        <v>3</v>
      </c>
      <c r="B63" s="159" t="s">
        <v>266</v>
      </c>
      <c r="C63" s="159" t="s">
        <v>5071</v>
      </c>
      <c r="D63" s="159" t="s">
        <v>1333</v>
      </c>
      <c r="E63" s="159" t="s">
        <v>477</v>
      </c>
      <c r="F63" s="159">
        <v>100</v>
      </c>
      <c r="G63" s="159">
        <v>0</v>
      </c>
      <c r="H63" s="159">
        <v>0</v>
      </c>
      <c r="I63" s="159" t="s">
        <v>479</v>
      </c>
      <c r="J63" s="159" t="s">
        <v>479</v>
      </c>
      <c r="K63" s="159">
        <v>1</v>
      </c>
    </row>
    <row r="64" spans="1:11" ht="15.75" hidden="1" customHeight="1">
      <c r="A64" s="159" t="s">
        <v>3</v>
      </c>
      <c r="B64" s="159" t="s">
        <v>266</v>
      </c>
      <c r="C64" s="159" t="s">
        <v>5071</v>
      </c>
      <c r="D64" s="159" t="s">
        <v>3501</v>
      </c>
      <c r="E64" s="159" t="s">
        <v>538</v>
      </c>
      <c r="F64" s="159">
        <v>8</v>
      </c>
      <c r="G64" s="159">
        <v>23</v>
      </c>
      <c r="H64" s="159">
        <v>3</v>
      </c>
      <c r="I64" s="159" t="s">
        <v>479</v>
      </c>
      <c r="J64" s="159" t="s">
        <v>5585</v>
      </c>
      <c r="K64" s="159">
        <v>1</v>
      </c>
    </row>
    <row r="65" spans="1:11" ht="15.75" hidden="1" customHeight="1">
      <c r="A65" s="159" t="s">
        <v>3</v>
      </c>
      <c r="B65" s="159" t="s">
        <v>266</v>
      </c>
      <c r="C65" s="159" t="s">
        <v>5071</v>
      </c>
      <c r="D65" s="159" t="s">
        <v>3502</v>
      </c>
      <c r="E65" s="159" t="s">
        <v>477</v>
      </c>
      <c r="F65" s="159">
        <v>20</v>
      </c>
      <c r="G65" s="159">
        <v>0</v>
      </c>
      <c r="H65" s="159">
        <v>0</v>
      </c>
      <c r="I65" s="159" t="s">
        <v>479</v>
      </c>
      <c r="J65" s="159" t="s">
        <v>5579</v>
      </c>
      <c r="K65" s="159">
        <v>1</v>
      </c>
    </row>
    <row r="66" spans="1:11" ht="15.75" hidden="1" customHeight="1">
      <c r="A66" s="159" t="s">
        <v>3</v>
      </c>
      <c r="B66" s="159" t="s">
        <v>266</v>
      </c>
      <c r="C66" s="159" t="s">
        <v>5071</v>
      </c>
      <c r="D66" s="159" t="s">
        <v>1335</v>
      </c>
      <c r="E66" s="159" t="s">
        <v>477</v>
      </c>
      <c r="F66" s="159">
        <v>100</v>
      </c>
      <c r="G66" s="159">
        <v>0</v>
      </c>
      <c r="H66" s="159">
        <v>0</v>
      </c>
      <c r="I66" s="159" t="s">
        <v>479</v>
      </c>
      <c r="J66" s="159" t="s">
        <v>479</v>
      </c>
      <c r="K66" s="159">
        <v>1</v>
      </c>
    </row>
    <row r="67" spans="1:11" ht="15.75" hidden="1" customHeight="1">
      <c r="A67" s="159" t="s">
        <v>3</v>
      </c>
      <c r="B67" s="159" t="s">
        <v>266</v>
      </c>
      <c r="C67" s="159" t="s">
        <v>5071</v>
      </c>
      <c r="D67" s="159" t="s">
        <v>465</v>
      </c>
      <c r="E67" s="159" t="s">
        <v>538</v>
      </c>
      <c r="F67" s="159">
        <v>8</v>
      </c>
      <c r="G67" s="159">
        <v>23</v>
      </c>
      <c r="H67" s="159">
        <v>3</v>
      </c>
      <c r="I67" s="159" t="s">
        <v>479</v>
      </c>
      <c r="J67" s="159" t="s">
        <v>5585</v>
      </c>
      <c r="K67" s="159">
        <v>1</v>
      </c>
    </row>
    <row r="68" spans="1:11" ht="15.75" hidden="1" customHeight="1">
      <c r="A68" s="159" t="s">
        <v>3</v>
      </c>
      <c r="B68" s="159" t="s">
        <v>266</v>
      </c>
      <c r="C68" s="159" t="s">
        <v>5071</v>
      </c>
      <c r="D68" s="159" t="s">
        <v>5586</v>
      </c>
      <c r="E68" s="159" t="s">
        <v>538</v>
      </c>
      <c r="F68" s="159">
        <v>8</v>
      </c>
      <c r="G68" s="159">
        <v>23</v>
      </c>
      <c r="H68" s="159">
        <v>3</v>
      </c>
      <c r="I68" s="159" t="s">
        <v>479</v>
      </c>
      <c r="J68" s="159" t="s">
        <v>5585</v>
      </c>
      <c r="K68" s="159">
        <v>1</v>
      </c>
    </row>
    <row r="69" spans="1:11" ht="15.75" hidden="1" customHeight="1">
      <c r="A69" s="159" t="s">
        <v>3</v>
      </c>
      <c r="B69" s="159" t="s">
        <v>266</v>
      </c>
      <c r="C69" s="159" t="s">
        <v>5071</v>
      </c>
      <c r="D69" s="159" t="s">
        <v>5587</v>
      </c>
      <c r="E69" s="159" t="s">
        <v>717</v>
      </c>
      <c r="F69" s="159">
        <v>5</v>
      </c>
      <c r="G69" s="159">
        <v>9</v>
      </c>
      <c r="H69" s="159">
        <v>2</v>
      </c>
      <c r="I69" s="159" t="s">
        <v>479</v>
      </c>
      <c r="J69" s="159" t="s">
        <v>479</v>
      </c>
      <c r="K69" s="159">
        <v>1</v>
      </c>
    </row>
    <row r="70" spans="1:11" ht="15.75" hidden="1" customHeight="1">
      <c r="A70" s="159" t="s">
        <v>3</v>
      </c>
      <c r="B70" s="159" t="s">
        <v>266</v>
      </c>
      <c r="C70" s="159" t="s">
        <v>81</v>
      </c>
      <c r="D70" s="159" t="s">
        <v>5588</v>
      </c>
      <c r="E70" s="159" t="s">
        <v>477</v>
      </c>
      <c r="F70" s="159">
        <v>3</v>
      </c>
      <c r="G70" s="159">
        <v>0</v>
      </c>
      <c r="H70" s="159">
        <v>0</v>
      </c>
      <c r="I70" s="159" t="s">
        <v>479</v>
      </c>
      <c r="J70" s="159" t="s">
        <v>5579</v>
      </c>
      <c r="K70" s="159">
        <v>0</v>
      </c>
    </row>
    <row r="71" spans="1:11" ht="15.75" hidden="1" customHeight="1">
      <c r="A71" s="159" t="s">
        <v>3</v>
      </c>
      <c r="B71" s="159" t="s">
        <v>266</v>
      </c>
      <c r="C71" s="159" t="s">
        <v>81</v>
      </c>
      <c r="D71" s="159" t="s">
        <v>5589</v>
      </c>
      <c r="E71" s="159" t="s">
        <v>477</v>
      </c>
      <c r="F71" s="159">
        <v>200</v>
      </c>
      <c r="G71" s="159">
        <v>0</v>
      </c>
      <c r="H71" s="159">
        <v>0</v>
      </c>
      <c r="I71" s="159" t="s">
        <v>479</v>
      </c>
      <c r="J71" s="159" t="s">
        <v>5579</v>
      </c>
      <c r="K71" s="159">
        <v>1</v>
      </c>
    </row>
    <row r="72" spans="1:11" ht="15.75" hidden="1" customHeight="1">
      <c r="A72" s="159" t="s">
        <v>3</v>
      </c>
      <c r="B72" s="159" t="s">
        <v>266</v>
      </c>
      <c r="C72" s="159" t="s">
        <v>81</v>
      </c>
      <c r="D72" s="159" t="s">
        <v>5590</v>
      </c>
      <c r="E72" s="159" t="s">
        <v>477</v>
      </c>
      <c r="F72" s="159">
        <v>3</v>
      </c>
      <c r="G72" s="159">
        <v>0</v>
      </c>
      <c r="H72" s="159">
        <v>0</v>
      </c>
      <c r="I72" s="159" t="s">
        <v>479</v>
      </c>
      <c r="J72" s="159" t="s">
        <v>5579</v>
      </c>
      <c r="K72" s="159">
        <v>0</v>
      </c>
    </row>
    <row r="73" spans="1:11" ht="15.75" hidden="1" customHeight="1">
      <c r="A73" s="159" t="s">
        <v>3</v>
      </c>
      <c r="B73" s="159" t="s">
        <v>266</v>
      </c>
      <c r="C73" s="159" t="s">
        <v>81</v>
      </c>
      <c r="D73" s="159" t="s">
        <v>5591</v>
      </c>
      <c r="E73" s="159" t="s">
        <v>477</v>
      </c>
      <c r="F73" s="159">
        <v>200</v>
      </c>
      <c r="G73" s="159">
        <v>0</v>
      </c>
      <c r="H73" s="159">
        <v>0</v>
      </c>
      <c r="I73" s="159" t="s">
        <v>479</v>
      </c>
      <c r="J73" s="159" t="s">
        <v>5579</v>
      </c>
      <c r="K73" s="159">
        <v>1</v>
      </c>
    </row>
    <row r="74" spans="1:11" ht="15.75" hidden="1" customHeight="1">
      <c r="A74" s="159" t="s">
        <v>3</v>
      </c>
      <c r="B74" s="159" t="s">
        <v>266</v>
      </c>
      <c r="C74" s="159" t="s">
        <v>81</v>
      </c>
      <c r="D74" s="159" t="s">
        <v>5592</v>
      </c>
      <c r="E74" s="159" t="s">
        <v>477</v>
      </c>
      <c r="F74" s="159">
        <v>3</v>
      </c>
      <c r="G74" s="159">
        <v>0</v>
      </c>
      <c r="H74" s="159">
        <v>0</v>
      </c>
      <c r="I74" s="159" t="s">
        <v>479</v>
      </c>
      <c r="J74" s="159" t="s">
        <v>5579</v>
      </c>
      <c r="K74" s="159">
        <v>0</v>
      </c>
    </row>
    <row r="75" spans="1:11" ht="15.75" hidden="1" customHeight="1">
      <c r="A75" s="159" t="s">
        <v>3</v>
      </c>
      <c r="B75" s="159" t="s">
        <v>266</v>
      </c>
      <c r="C75" s="159" t="s">
        <v>81</v>
      </c>
      <c r="D75" s="159" t="s">
        <v>2858</v>
      </c>
      <c r="E75" s="159" t="s">
        <v>477</v>
      </c>
      <c r="F75" s="159">
        <v>3</v>
      </c>
      <c r="G75" s="159">
        <v>0</v>
      </c>
      <c r="H75" s="159">
        <v>0</v>
      </c>
      <c r="I75" s="159" t="s">
        <v>479</v>
      </c>
      <c r="J75" s="159" t="s">
        <v>5579</v>
      </c>
      <c r="K75" s="159">
        <v>0</v>
      </c>
    </row>
    <row r="76" spans="1:11" ht="15.75" hidden="1" customHeight="1">
      <c r="A76" s="159" t="s">
        <v>3</v>
      </c>
      <c r="B76" s="159" t="s">
        <v>266</v>
      </c>
      <c r="C76" s="159" t="s">
        <v>81</v>
      </c>
      <c r="D76" s="159" t="s">
        <v>3501</v>
      </c>
      <c r="E76" s="159" t="s">
        <v>800</v>
      </c>
      <c r="F76" s="159">
        <v>8</v>
      </c>
      <c r="G76" s="159">
        <v>27</v>
      </c>
      <c r="H76" s="159">
        <v>7</v>
      </c>
      <c r="I76" s="159" t="s">
        <v>479</v>
      </c>
      <c r="J76" s="159" t="s">
        <v>5585</v>
      </c>
      <c r="K76" s="159">
        <v>1</v>
      </c>
    </row>
    <row r="77" spans="1:11" ht="15.75" hidden="1" customHeight="1">
      <c r="A77" s="159" t="s">
        <v>3</v>
      </c>
      <c r="B77" s="159" t="s">
        <v>266</v>
      </c>
      <c r="C77" s="159" t="s">
        <v>81</v>
      </c>
      <c r="D77" s="159" t="s">
        <v>3500</v>
      </c>
      <c r="E77" s="159" t="s">
        <v>477</v>
      </c>
      <c r="F77" s="159">
        <v>20</v>
      </c>
      <c r="G77" s="159">
        <v>0</v>
      </c>
      <c r="H77" s="159">
        <v>0</v>
      </c>
      <c r="I77" s="159" t="s">
        <v>479</v>
      </c>
      <c r="J77" s="159" t="s">
        <v>5579</v>
      </c>
      <c r="K77" s="159">
        <v>1</v>
      </c>
    </row>
    <row r="78" spans="1:11" ht="15.75" hidden="1" customHeight="1">
      <c r="A78" s="159" t="s">
        <v>3</v>
      </c>
      <c r="B78" s="159" t="s">
        <v>266</v>
      </c>
      <c r="C78" s="159" t="s">
        <v>81</v>
      </c>
      <c r="D78" s="159" t="s">
        <v>465</v>
      </c>
      <c r="E78" s="159" t="s">
        <v>800</v>
      </c>
      <c r="F78" s="159">
        <v>8</v>
      </c>
      <c r="G78" s="159">
        <v>27</v>
      </c>
      <c r="H78" s="159">
        <v>7</v>
      </c>
      <c r="I78" s="159" t="s">
        <v>479</v>
      </c>
      <c r="J78" s="159" t="s">
        <v>5585</v>
      </c>
      <c r="K78" s="159">
        <v>1</v>
      </c>
    </row>
    <row r="79" spans="1:11" ht="15.75" hidden="1" customHeight="1">
      <c r="A79" s="159" t="s">
        <v>3</v>
      </c>
      <c r="B79" s="159" t="s">
        <v>266</v>
      </c>
      <c r="C79" s="159" t="s">
        <v>81</v>
      </c>
      <c r="D79" s="159" t="s">
        <v>3502</v>
      </c>
      <c r="E79" s="159" t="s">
        <v>477</v>
      </c>
      <c r="F79" s="159">
        <v>20</v>
      </c>
      <c r="G79" s="159">
        <v>0</v>
      </c>
      <c r="H79" s="159">
        <v>0</v>
      </c>
      <c r="I79" s="159" t="s">
        <v>479</v>
      </c>
      <c r="J79" s="159" t="s">
        <v>5579</v>
      </c>
      <c r="K79" s="159">
        <v>1</v>
      </c>
    </row>
    <row r="80" spans="1:11" ht="15.75" hidden="1" customHeight="1">
      <c r="A80" s="159" t="s">
        <v>3</v>
      </c>
      <c r="B80" s="159" t="s">
        <v>266</v>
      </c>
      <c r="C80" s="159" t="s">
        <v>81</v>
      </c>
      <c r="D80" s="159" t="s">
        <v>5586</v>
      </c>
      <c r="E80" s="159" t="s">
        <v>800</v>
      </c>
      <c r="F80" s="159">
        <v>8</v>
      </c>
      <c r="G80" s="159">
        <v>27</v>
      </c>
      <c r="H80" s="159">
        <v>7</v>
      </c>
      <c r="I80" s="159" t="s">
        <v>479</v>
      </c>
      <c r="J80" s="159" t="s">
        <v>5585</v>
      </c>
      <c r="K80" s="159">
        <v>1</v>
      </c>
    </row>
    <row r="81" spans="1:11" ht="15.75" hidden="1" customHeight="1">
      <c r="A81" s="159" t="s">
        <v>3</v>
      </c>
      <c r="B81" s="159" t="s">
        <v>266</v>
      </c>
      <c r="C81" s="159" t="s">
        <v>5075</v>
      </c>
      <c r="D81" s="159" t="s">
        <v>1167</v>
      </c>
      <c r="E81" s="159" t="s">
        <v>477</v>
      </c>
      <c r="F81" s="159">
        <v>8</v>
      </c>
      <c r="G81" s="159">
        <v>0</v>
      </c>
      <c r="H81" s="159">
        <v>0</v>
      </c>
      <c r="I81" s="159" t="s">
        <v>479</v>
      </c>
      <c r="J81" s="159" t="s">
        <v>479</v>
      </c>
      <c r="K81" s="159">
        <v>0</v>
      </c>
    </row>
    <row r="82" spans="1:11" ht="15.75" hidden="1" customHeight="1">
      <c r="A82" s="159" t="s">
        <v>3</v>
      </c>
      <c r="B82" s="159" t="s">
        <v>266</v>
      </c>
      <c r="C82" s="159" t="s">
        <v>5075</v>
      </c>
      <c r="D82" s="159" t="s">
        <v>5593</v>
      </c>
      <c r="E82" s="159" t="s">
        <v>477</v>
      </c>
      <c r="F82" s="159">
        <v>100</v>
      </c>
      <c r="G82" s="159">
        <v>0</v>
      </c>
      <c r="H82" s="159">
        <v>0</v>
      </c>
      <c r="I82" s="159" t="s">
        <v>479</v>
      </c>
      <c r="J82" s="159" t="s">
        <v>479</v>
      </c>
      <c r="K82" s="159">
        <v>1</v>
      </c>
    </row>
    <row r="83" spans="1:11" ht="15.75" hidden="1" customHeight="1">
      <c r="A83" s="159" t="s">
        <v>3</v>
      </c>
      <c r="B83" s="159" t="s">
        <v>266</v>
      </c>
      <c r="C83" s="159" t="s">
        <v>5075</v>
      </c>
      <c r="D83" s="159" t="s">
        <v>5594</v>
      </c>
      <c r="E83" s="159" t="s">
        <v>477</v>
      </c>
      <c r="F83" s="159">
        <v>15</v>
      </c>
      <c r="G83" s="159">
        <v>0</v>
      </c>
      <c r="H83" s="159">
        <v>0</v>
      </c>
      <c r="I83" s="159" t="s">
        <v>479</v>
      </c>
      <c r="J83" s="159" t="s">
        <v>479</v>
      </c>
      <c r="K83" s="159">
        <v>1</v>
      </c>
    </row>
    <row r="84" spans="1:11" ht="15.75" hidden="1" customHeight="1">
      <c r="A84" s="159" t="s">
        <v>3</v>
      </c>
      <c r="B84" s="159" t="s">
        <v>266</v>
      </c>
      <c r="C84" s="159" t="s">
        <v>5075</v>
      </c>
      <c r="D84" s="159" t="s">
        <v>5595</v>
      </c>
      <c r="E84" s="159" t="s">
        <v>477</v>
      </c>
      <c r="F84" s="159">
        <v>6</v>
      </c>
      <c r="G84" s="159">
        <v>0</v>
      </c>
      <c r="H84" s="159">
        <v>0</v>
      </c>
      <c r="I84" s="159" t="s">
        <v>479</v>
      </c>
      <c r="J84" s="159" t="s">
        <v>479</v>
      </c>
      <c r="K84" s="159">
        <v>1</v>
      </c>
    </row>
    <row r="85" spans="1:11" ht="15.75" hidden="1" customHeight="1">
      <c r="A85" s="159" t="s">
        <v>3</v>
      </c>
      <c r="B85" s="159" t="s">
        <v>266</v>
      </c>
      <c r="C85" s="159" t="s">
        <v>5075</v>
      </c>
      <c r="D85" s="159" t="s">
        <v>5596</v>
      </c>
      <c r="E85" s="159" t="s">
        <v>477</v>
      </c>
      <c r="F85" s="159">
        <v>55</v>
      </c>
      <c r="G85" s="159">
        <v>0</v>
      </c>
      <c r="H85" s="159">
        <v>0</v>
      </c>
      <c r="I85" s="159" t="s">
        <v>479</v>
      </c>
      <c r="J85" s="159" t="s">
        <v>479</v>
      </c>
      <c r="K85" s="159">
        <v>1</v>
      </c>
    </row>
    <row r="86" spans="1:11" ht="15.75" hidden="1" customHeight="1">
      <c r="A86" s="159" t="s">
        <v>3</v>
      </c>
      <c r="B86" s="159" t="s">
        <v>266</v>
      </c>
      <c r="C86" s="159" t="s">
        <v>5075</v>
      </c>
      <c r="D86" s="159" t="s">
        <v>5597</v>
      </c>
      <c r="E86" s="159" t="s">
        <v>477</v>
      </c>
      <c r="F86" s="159">
        <v>55</v>
      </c>
      <c r="G86" s="159">
        <v>0</v>
      </c>
      <c r="H86" s="159">
        <v>0</v>
      </c>
      <c r="I86" s="159" t="s">
        <v>479</v>
      </c>
      <c r="J86" s="159" t="s">
        <v>479</v>
      </c>
      <c r="K86" s="159">
        <v>1</v>
      </c>
    </row>
    <row r="87" spans="1:11" ht="15.75" hidden="1" customHeight="1">
      <c r="A87" s="159" t="s">
        <v>3</v>
      </c>
      <c r="B87" s="159" t="s">
        <v>266</v>
      </c>
      <c r="C87" s="159" t="s">
        <v>5075</v>
      </c>
      <c r="D87" s="159" t="s">
        <v>5598</v>
      </c>
      <c r="E87" s="159" t="s">
        <v>477</v>
      </c>
      <c r="F87" s="159">
        <v>55</v>
      </c>
      <c r="G87" s="159">
        <v>0</v>
      </c>
      <c r="H87" s="159">
        <v>0</v>
      </c>
      <c r="I87" s="159" t="s">
        <v>479</v>
      </c>
      <c r="J87" s="159" t="s">
        <v>479</v>
      </c>
      <c r="K87" s="159">
        <v>1</v>
      </c>
    </row>
    <row r="88" spans="1:11" ht="15.75" hidden="1" customHeight="1">
      <c r="A88" s="159" t="s">
        <v>3</v>
      </c>
      <c r="B88" s="159" t="s">
        <v>266</v>
      </c>
      <c r="C88" s="159" t="s">
        <v>5075</v>
      </c>
      <c r="D88" s="159" t="s">
        <v>5599</v>
      </c>
      <c r="E88" s="159" t="s">
        <v>477</v>
      </c>
      <c r="F88" s="159">
        <v>55</v>
      </c>
      <c r="G88" s="159">
        <v>0</v>
      </c>
      <c r="H88" s="159">
        <v>0</v>
      </c>
      <c r="I88" s="159" t="s">
        <v>479</v>
      </c>
      <c r="J88" s="159" t="s">
        <v>479</v>
      </c>
      <c r="K88" s="159">
        <v>1</v>
      </c>
    </row>
    <row r="89" spans="1:11" ht="15.75" hidden="1" customHeight="1">
      <c r="A89" s="159" t="s">
        <v>3</v>
      </c>
      <c r="B89" s="159" t="s">
        <v>266</v>
      </c>
      <c r="C89" s="159" t="s">
        <v>5075</v>
      </c>
      <c r="D89" s="159" t="s">
        <v>5600</v>
      </c>
      <c r="E89" s="159" t="s">
        <v>477</v>
      </c>
      <c r="F89" s="159">
        <v>50</v>
      </c>
      <c r="G89" s="159">
        <v>0</v>
      </c>
      <c r="H89" s="159">
        <v>0</v>
      </c>
      <c r="I89" s="159" t="s">
        <v>479</v>
      </c>
      <c r="J89" s="159" t="s">
        <v>479</v>
      </c>
      <c r="K89" s="159">
        <v>1</v>
      </c>
    </row>
    <row r="90" spans="1:11" ht="15.75" hidden="1" customHeight="1">
      <c r="A90" s="159" t="s">
        <v>3</v>
      </c>
      <c r="B90" s="159" t="s">
        <v>266</v>
      </c>
      <c r="C90" s="159" t="s">
        <v>5075</v>
      </c>
      <c r="D90" s="159" t="s">
        <v>5601</v>
      </c>
      <c r="E90" s="159" t="s">
        <v>477</v>
      </c>
      <c r="F90" s="159">
        <v>50</v>
      </c>
      <c r="G90" s="159">
        <v>0</v>
      </c>
      <c r="H90" s="159">
        <v>0</v>
      </c>
      <c r="I90" s="159" t="s">
        <v>479</v>
      </c>
      <c r="J90" s="159" t="s">
        <v>479</v>
      </c>
      <c r="K90" s="159">
        <v>1</v>
      </c>
    </row>
    <row r="91" spans="1:11" ht="15.75" hidden="1" customHeight="1">
      <c r="A91" s="159" t="s">
        <v>3</v>
      </c>
      <c r="B91" s="159" t="s">
        <v>266</v>
      </c>
      <c r="C91" s="159" t="s">
        <v>5075</v>
      </c>
      <c r="D91" s="159" t="s">
        <v>5099</v>
      </c>
      <c r="E91" s="159" t="s">
        <v>477</v>
      </c>
      <c r="F91" s="159">
        <v>20</v>
      </c>
      <c r="G91" s="159">
        <v>0</v>
      </c>
      <c r="H91" s="159">
        <v>0</v>
      </c>
      <c r="I91" s="159" t="s">
        <v>479</v>
      </c>
      <c r="J91" s="159" t="s">
        <v>479</v>
      </c>
      <c r="K91" s="159">
        <v>1</v>
      </c>
    </row>
    <row r="92" spans="1:11" ht="15.75" hidden="1" customHeight="1">
      <c r="A92" s="159" t="s">
        <v>3</v>
      </c>
      <c r="B92" s="159" t="s">
        <v>266</v>
      </c>
      <c r="C92" s="159" t="s">
        <v>5075</v>
      </c>
      <c r="D92" s="159" t="s">
        <v>3947</v>
      </c>
      <c r="E92" s="159" t="s">
        <v>477</v>
      </c>
      <c r="F92" s="159">
        <v>5</v>
      </c>
      <c r="G92" s="159">
        <v>0</v>
      </c>
      <c r="H92" s="159">
        <v>0</v>
      </c>
      <c r="I92" s="159" t="s">
        <v>479</v>
      </c>
      <c r="J92" s="159" t="s">
        <v>479</v>
      </c>
      <c r="K92" s="159">
        <v>1</v>
      </c>
    </row>
    <row r="93" spans="1:11" ht="15.75" hidden="1" customHeight="1">
      <c r="A93" s="159" t="s">
        <v>3</v>
      </c>
      <c r="B93" s="159" t="s">
        <v>266</v>
      </c>
      <c r="C93" s="159" t="s">
        <v>5075</v>
      </c>
      <c r="D93" s="159" t="s">
        <v>1334</v>
      </c>
      <c r="E93" s="159" t="s">
        <v>477</v>
      </c>
      <c r="F93" s="159">
        <v>20</v>
      </c>
      <c r="G93" s="159">
        <v>0</v>
      </c>
      <c r="H93" s="159">
        <v>0</v>
      </c>
      <c r="I93" s="159" t="s">
        <v>479</v>
      </c>
      <c r="J93" s="159" t="s">
        <v>479</v>
      </c>
      <c r="K93" s="159">
        <v>1</v>
      </c>
    </row>
    <row r="94" spans="1:11" ht="15.75" hidden="1" customHeight="1">
      <c r="A94" s="159" t="s">
        <v>3</v>
      </c>
      <c r="B94" s="159" t="s">
        <v>266</v>
      </c>
      <c r="C94" s="159" t="s">
        <v>5075</v>
      </c>
      <c r="D94" s="159" t="s">
        <v>1333</v>
      </c>
      <c r="E94" s="159" t="s">
        <v>477</v>
      </c>
      <c r="F94" s="159">
        <v>100</v>
      </c>
      <c r="G94" s="159">
        <v>0</v>
      </c>
      <c r="H94" s="159">
        <v>0</v>
      </c>
      <c r="I94" s="159" t="s">
        <v>479</v>
      </c>
      <c r="J94" s="159" t="s">
        <v>479</v>
      </c>
      <c r="K94" s="159">
        <v>1</v>
      </c>
    </row>
    <row r="95" spans="1:11" ht="15.75" hidden="1" customHeight="1">
      <c r="A95" s="159" t="s">
        <v>3</v>
      </c>
      <c r="B95" s="159" t="s">
        <v>266</v>
      </c>
      <c r="C95" s="159" t="s">
        <v>5075</v>
      </c>
      <c r="D95" s="159" t="s">
        <v>184</v>
      </c>
      <c r="E95" s="159" t="s">
        <v>800</v>
      </c>
      <c r="F95" s="159">
        <v>8</v>
      </c>
      <c r="G95" s="159">
        <v>27</v>
      </c>
      <c r="H95" s="159">
        <v>7</v>
      </c>
      <c r="I95" s="159" t="s">
        <v>479</v>
      </c>
      <c r="J95" s="159" t="s">
        <v>479</v>
      </c>
      <c r="K95" s="159">
        <v>1</v>
      </c>
    </row>
    <row r="96" spans="1:11" ht="15.75" hidden="1" customHeight="1">
      <c r="A96" s="159" t="s">
        <v>3</v>
      </c>
      <c r="B96" s="159" t="s">
        <v>266</v>
      </c>
      <c r="C96" s="159" t="s">
        <v>5075</v>
      </c>
      <c r="D96" s="159" t="s">
        <v>1336</v>
      </c>
      <c r="E96" s="159" t="s">
        <v>477</v>
      </c>
      <c r="F96" s="159">
        <v>20</v>
      </c>
      <c r="G96" s="159">
        <v>0</v>
      </c>
      <c r="H96" s="159">
        <v>0</v>
      </c>
      <c r="I96" s="159" t="s">
        <v>479</v>
      </c>
      <c r="J96" s="159" t="s">
        <v>479</v>
      </c>
      <c r="K96" s="159">
        <v>1</v>
      </c>
    </row>
    <row r="97" spans="1:11" ht="15.75" hidden="1" customHeight="1">
      <c r="A97" s="159" t="s">
        <v>3</v>
      </c>
      <c r="B97" s="159" t="s">
        <v>266</v>
      </c>
      <c r="C97" s="159" t="s">
        <v>5075</v>
      </c>
      <c r="D97" s="159" t="s">
        <v>1335</v>
      </c>
      <c r="E97" s="159" t="s">
        <v>477</v>
      </c>
      <c r="F97" s="159">
        <v>100</v>
      </c>
      <c r="G97" s="159">
        <v>0</v>
      </c>
      <c r="H97" s="159">
        <v>0</v>
      </c>
      <c r="I97" s="159" t="s">
        <v>479</v>
      </c>
      <c r="J97" s="159" t="s">
        <v>479</v>
      </c>
      <c r="K97" s="159">
        <v>1</v>
      </c>
    </row>
    <row r="98" spans="1:11" ht="15.75" hidden="1" customHeight="1">
      <c r="A98" s="159" t="s">
        <v>3</v>
      </c>
      <c r="B98" s="159" t="s">
        <v>266</v>
      </c>
      <c r="C98" s="159" t="s">
        <v>5075</v>
      </c>
      <c r="D98" s="159" t="s">
        <v>175</v>
      </c>
      <c r="E98" s="159" t="s">
        <v>800</v>
      </c>
      <c r="F98" s="159">
        <v>8</v>
      </c>
      <c r="G98" s="159">
        <v>27</v>
      </c>
      <c r="H98" s="159">
        <v>7</v>
      </c>
      <c r="I98" s="159" t="s">
        <v>479</v>
      </c>
      <c r="J98" s="159" t="s">
        <v>479</v>
      </c>
      <c r="K98" s="159">
        <v>1</v>
      </c>
    </row>
    <row r="99" spans="1:11" ht="15.75" hidden="1" customHeight="1">
      <c r="A99" s="159" t="s">
        <v>3</v>
      </c>
      <c r="B99" s="159" t="s">
        <v>266</v>
      </c>
      <c r="C99" s="159" t="s">
        <v>5075</v>
      </c>
      <c r="D99" s="159" t="s">
        <v>5602</v>
      </c>
      <c r="E99" s="159" t="s">
        <v>477</v>
      </c>
      <c r="F99" s="159">
        <v>3</v>
      </c>
      <c r="G99" s="159">
        <v>0</v>
      </c>
      <c r="H99" s="159">
        <v>0</v>
      </c>
      <c r="I99" s="159" t="s">
        <v>479</v>
      </c>
      <c r="J99" s="159" t="s">
        <v>596</v>
      </c>
      <c r="K99" s="159">
        <v>1</v>
      </c>
    </row>
    <row r="100" spans="1:11" ht="15.75" hidden="1" customHeight="1">
      <c r="A100" s="159" t="s">
        <v>3</v>
      </c>
      <c r="B100" s="159" t="s">
        <v>266</v>
      </c>
      <c r="C100" s="159" t="s">
        <v>5077</v>
      </c>
      <c r="D100" s="159" t="s">
        <v>2141</v>
      </c>
      <c r="E100" s="159" t="s">
        <v>477</v>
      </c>
      <c r="F100" s="159">
        <v>3</v>
      </c>
      <c r="G100" s="159">
        <v>0</v>
      </c>
      <c r="H100" s="159">
        <v>0</v>
      </c>
      <c r="I100" s="159" t="s">
        <v>479</v>
      </c>
      <c r="J100" s="159" t="s">
        <v>5579</v>
      </c>
      <c r="K100" s="159">
        <v>0</v>
      </c>
    </row>
    <row r="101" spans="1:11" ht="15.75" hidden="1" customHeight="1">
      <c r="A101" s="159" t="s">
        <v>3</v>
      </c>
      <c r="B101" s="159" t="s">
        <v>266</v>
      </c>
      <c r="C101" s="159" t="s">
        <v>5077</v>
      </c>
      <c r="D101" s="159" t="s">
        <v>5603</v>
      </c>
      <c r="E101" s="159" t="s">
        <v>477</v>
      </c>
      <c r="F101" s="159">
        <v>50</v>
      </c>
      <c r="G101" s="159">
        <v>0</v>
      </c>
      <c r="H101" s="159">
        <v>0</v>
      </c>
      <c r="I101" s="159" t="s">
        <v>479</v>
      </c>
      <c r="J101" s="159" t="s">
        <v>5579</v>
      </c>
      <c r="K101" s="159">
        <v>1</v>
      </c>
    </row>
    <row r="102" spans="1:11" ht="15.75" hidden="1" customHeight="1">
      <c r="A102" s="159" t="s">
        <v>3</v>
      </c>
      <c r="B102" s="159" t="s">
        <v>266</v>
      </c>
      <c r="C102" s="159" t="s">
        <v>5077</v>
      </c>
      <c r="D102" s="159" t="s">
        <v>5604</v>
      </c>
      <c r="E102" s="159" t="s">
        <v>477</v>
      </c>
      <c r="F102" s="159">
        <v>2</v>
      </c>
      <c r="G102" s="159">
        <v>0</v>
      </c>
      <c r="H102" s="159">
        <v>0</v>
      </c>
      <c r="I102" s="159" t="s">
        <v>479</v>
      </c>
      <c r="J102" s="159" t="s">
        <v>5579</v>
      </c>
      <c r="K102" s="159">
        <v>0</v>
      </c>
    </row>
    <row r="103" spans="1:11" ht="15.75" hidden="1" customHeight="1">
      <c r="A103" s="159" t="s">
        <v>3</v>
      </c>
      <c r="B103" s="159" t="s">
        <v>266</v>
      </c>
      <c r="C103" s="159" t="s">
        <v>5077</v>
      </c>
      <c r="D103" s="159" t="s">
        <v>5605</v>
      </c>
      <c r="E103" s="159" t="s">
        <v>477</v>
      </c>
      <c r="F103" s="159">
        <v>50</v>
      </c>
      <c r="G103" s="159">
        <v>0</v>
      </c>
      <c r="H103" s="159">
        <v>0</v>
      </c>
      <c r="I103" s="159" t="s">
        <v>479</v>
      </c>
      <c r="J103" s="159" t="s">
        <v>5579</v>
      </c>
      <c r="K103" s="159">
        <v>1</v>
      </c>
    </row>
    <row r="104" spans="1:11" ht="15.75" hidden="1" customHeight="1">
      <c r="A104" s="159" t="s">
        <v>3</v>
      </c>
      <c r="B104" s="159" t="s">
        <v>266</v>
      </c>
      <c r="C104" s="159" t="s">
        <v>5077</v>
      </c>
      <c r="D104" s="159" t="s">
        <v>3501</v>
      </c>
      <c r="E104" s="159" t="s">
        <v>800</v>
      </c>
      <c r="F104" s="159">
        <v>8</v>
      </c>
      <c r="G104" s="159">
        <v>27</v>
      </c>
      <c r="H104" s="159">
        <v>7</v>
      </c>
      <c r="I104" s="159" t="s">
        <v>479</v>
      </c>
      <c r="J104" s="159" t="s">
        <v>5585</v>
      </c>
      <c r="K104" s="159">
        <v>1</v>
      </c>
    </row>
    <row r="105" spans="1:11" ht="15.75" hidden="1" customHeight="1">
      <c r="A105" s="159" t="s">
        <v>3</v>
      </c>
      <c r="B105" s="159" t="s">
        <v>266</v>
      </c>
      <c r="C105" s="159" t="s">
        <v>5077</v>
      </c>
      <c r="D105" s="159" t="s">
        <v>3500</v>
      </c>
      <c r="E105" s="159" t="s">
        <v>477</v>
      </c>
      <c r="F105" s="159">
        <v>20</v>
      </c>
      <c r="G105" s="159">
        <v>0</v>
      </c>
      <c r="H105" s="159">
        <v>0</v>
      </c>
      <c r="I105" s="159" t="s">
        <v>479</v>
      </c>
      <c r="J105" s="159" t="s">
        <v>5579</v>
      </c>
      <c r="K105" s="159">
        <v>1</v>
      </c>
    </row>
    <row r="106" spans="1:11" ht="15.75" hidden="1" customHeight="1">
      <c r="A106" s="159" t="s">
        <v>3</v>
      </c>
      <c r="B106" s="159" t="s">
        <v>266</v>
      </c>
      <c r="C106" s="159" t="s">
        <v>5077</v>
      </c>
      <c r="D106" s="159" t="s">
        <v>465</v>
      </c>
      <c r="E106" s="159" t="s">
        <v>800</v>
      </c>
      <c r="F106" s="159">
        <v>8</v>
      </c>
      <c r="G106" s="159">
        <v>27</v>
      </c>
      <c r="H106" s="159">
        <v>7</v>
      </c>
      <c r="I106" s="159" t="s">
        <v>479</v>
      </c>
      <c r="J106" s="159" t="s">
        <v>5585</v>
      </c>
      <c r="K106" s="159">
        <v>1</v>
      </c>
    </row>
    <row r="107" spans="1:11" ht="15.75" hidden="1" customHeight="1">
      <c r="A107" s="159" t="s">
        <v>3</v>
      </c>
      <c r="B107" s="159" t="s">
        <v>266</v>
      </c>
      <c r="C107" s="159" t="s">
        <v>5077</v>
      </c>
      <c r="D107" s="159" t="s">
        <v>3502</v>
      </c>
      <c r="E107" s="159" t="s">
        <v>477</v>
      </c>
      <c r="F107" s="159">
        <v>20</v>
      </c>
      <c r="G107" s="159">
        <v>0</v>
      </c>
      <c r="H107" s="159">
        <v>0</v>
      </c>
      <c r="I107" s="159" t="s">
        <v>479</v>
      </c>
      <c r="J107" s="159" t="s">
        <v>5579</v>
      </c>
      <c r="K107" s="159">
        <v>1</v>
      </c>
    </row>
    <row r="108" spans="1:11" ht="15.75" hidden="1" customHeight="1">
      <c r="A108" s="159" t="s">
        <v>3</v>
      </c>
      <c r="B108" s="159" t="s">
        <v>266</v>
      </c>
      <c r="C108" s="159" t="s">
        <v>5077</v>
      </c>
      <c r="D108" s="159" t="s">
        <v>5586</v>
      </c>
      <c r="E108" s="159" t="s">
        <v>800</v>
      </c>
      <c r="F108" s="159">
        <v>8</v>
      </c>
      <c r="G108" s="159">
        <v>27</v>
      </c>
      <c r="H108" s="159">
        <v>7</v>
      </c>
      <c r="I108" s="159" t="s">
        <v>479</v>
      </c>
      <c r="J108" s="159" t="s">
        <v>5585</v>
      </c>
      <c r="K108" s="159">
        <v>1</v>
      </c>
    </row>
    <row r="109" spans="1:11" ht="15.75" hidden="1" customHeight="1">
      <c r="A109" s="159" t="s">
        <v>3</v>
      </c>
      <c r="B109" s="159" t="s">
        <v>5080</v>
      </c>
      <c r="C109" s="159" t="s">
        <v>5081</v>
      </c>
      <c r="D109" s="159" t="s">
        <v>257</v>
      </c>
      <c r="E109" s="159" t="s">
        <v>477</v>
      </c>
      <c r="F109" s="159">
        <v>7</v>
      </c>
      <c r="G109" s="159">
        <v>0</v>
      </c>
      <c r="H109" s="159">
        <v>0</v>
      </c>
      <c r="I109" s="159" t="s">
        <v>479</v>
      </c>
      <c r="J109" s="159" t="s">
        <v>479</v>
      </c>
      <c r="K109" s="159">
        <v>0</v>
      </c>
    </row>
    <row r="110" spans="1:11" ht="15.75" hidden="1" customHeight="1">
      <c r="A110" s="159" t="s">
        <v>3</v>
      </c>
      <c r="B110" s="159" t="s">
        <v>5080</v>
      </c>
      <c r="C110" s="159" t="s">
        <v>5081</v>
      </c>
      <c r="D110" s="159" t="s">
        <v>5606</v>
      </c>
      <c r="E110" s="159" t="s">
        <v>481</v>
      </c>
      <c r="F110" s="159">
        <v>5</v>
      </c>
      <c r="G110" s="159">
        <v>9</v>
      </c>
      <c r="H110" s="159">
        <v>2</v>
      </c>
      <c r="I110" s="159" t="s">
        <v>479</v>
      </c>
      <c r="J110" s="159" t="s">
        <v>479</v>
      </c>
      <c r="K110" s="159">
        <v>0</v>
      </c>
    </row>
    <row r="111" spans="1:11" ht="15.75" hidden="1" customHeight="1">
      <c r="A111" s="159" t="s">
        <v>3</v>
      </c>
      <c r="B111" s="159" t="s">
        <v>5080</v>
      </c>
      <c r="C111" s="159" t="s">
        <v>5081</v>
      </c>
      <c r="D111" s="159" t="s">
        <v>523</v>
      </c>
      <c r="E111" s="159" t="s">
        <v>477</v>
      </c>
      <c r="F111" s="159">
        <v>10</v>
      </c>
      <c r="G111" s="159">
        <v>0</v>
      </c>
      <c r="H111" s="159">
        <v>0</v>
      </c>
      <c r="I111" s="159" t="s">
        <v>479</v>
      </c>
      <c r="J111" s="159" t="s">
        <v>479</v>
      </c>
      <c r="K111" s="159">
        <v>0</v>
      </c>
    </row>
    <row r="112" spans="1:11" ht="15.75" hidden="1" customHeight="1">
      <c r="A112" s="159" t="s">
        <v>3</v>
      </c>
      <c r="B112" s="159" t="s">
        <v>5080</v>
      </c>
      <c r="C112" s="159" t="s">
        <v>5081</v>
      </c>
      <c r="D112" s="159" t="s">
        <v>3515</v>
      </c>
      <c r="E112" s="159" t="s">
        <v>477</v>
      </c>
      <c r="F112" s="159">
        <v>100</v>
      </c>
      <c r="G112" s="159">
        <v>0</v>
      </c>
      <c r="H112" s="159">
        <v>0</v>
      </c>
      <c r="I112" s="159" t="s">
        <v>479</v>
      </c>
      <c r="J112" s="159" t="s">
        <v>479</v>
      </c>
      <c r="K112" s="159">
        <v>0</v>
      </c>
    </row>
    <row r="113" spans="1:11" ht="15.75" hidden="1" customHeight="1">
      <c r="A113" s="159" t="s">
        <v>3</v>
      </c>
      <c r="B113" s="159" t="s">
        <v>5080</v>
      </c>
      <c r="C113" s="159" t="s">
        <v>5081</v>
      </c>
      <c r="D113" s="159" t="s">
        <v>669</v>
      </c>
      <c r="E113" s="159" t="s">
        <v>496</v>
      </c>
      <c r="F113" s="159">
        <v>4</v>
      </c>
      <c r="G113" s="159">
        <v>16</v>
      </c>
      <c r="H113" s="159">
        <v>0</v>
      </c>
      <c r="I113" s="159" t="s">
        <v>479</v>
      </c>
      <c r="J113" s="159" t="s">
        <v>479</v>
      </c>
      <c r="K113" s="159">
        <v>0</v>
      </c>
    </row>
    <row r="114" spans="1:11" ht="15.75" hidden="1" customHeight="1">
      <c r="A114" s="159" t="s">
        <v>3</v>
      </c>
      <c r="B114" s="159" t="s">
        <v>5080</v>
      </c>
      <c r="C114" s="159" t="s">
        <v>5081</v>
      </c>
      <c r="D114" s="159" t="s">
        <v>670</v>
      </c>
      <c r="E114" s="159" t="s">
        <v>477</v>
      </c>
      <c r="F114" s="159">
        <v>10</v>
      </c>
      <c r="G114" s="159">
        <v>0</v>
      </c>
      <c r="H114" s="159">
        <v>0</v>
      </c>
      <c r="I114" s="159" t="s">
        <v>479</v>
      </c>
      <c r="J114" s="159" t="s">
        <v>479</v>
      </c>
      <c r="K114" s="159">
        <v>0</v>
      </c>
    </row>
    <row r="115" spans="1:11" ht="15.75" hidden="1" customHeight="1">
      <c r="A115" s="159" t="s">
        <v>3</v>
      </c>
      <c r="B115" s="159" t="s">
        <v>5080</v>
      </c>
      <c r="C115" s="159" t="s">
        <v>5081</v>
      </c>
      <c r="D115" s="159" t="s">
        <v>3516</v>
      </c>
      <c r="E115" s="159" t="s">
        <v>477</v>
      </c>
      <c r="F115" s="159">
        <v>100</v>
      </c>
      <c r="G115" s="159">
        <v>0</v>
      </c>
      <c r="H115" s="159">
        <v>0</v>
      </c>
      <c r="I115" s="159" t="s">
        <v>479</v>
      </c>
      <c r="J115" s="159" t="s">
        <v>479</v>
      </c>
      <c r="K115" s="159">
        <v>0</v>
      </c>
    </row>
    <row r="116" spans="1:11" ht="15.75" hidden="1" customHeight="1">
      <c r="A116" s="159" t="s">
        <v>3</v>
      </c>
      <c r="B116" s="159" t="s">
        <v>5080</v>
      </c>
      <c r="C116" s="159" t="s">
        <v>5081</v>
      </c>
      <c r="D116" s="159" t="s">
        <v>215</v>
      </c>
      <c r="E116" s="159" t="s">
        <v>496</v>
      </c>
      <c r="F116" s="159">
        <v>4</v>
      </c>
      <c r="G116" s="159">
        <v>16</v>
      </c>
      <c r="H116" s="159">
        <v>0</v>
      </c>
      <c r="I116" s="159" t="s">
        <v>479</v>
      </c>
      <c r="J116" s="159" t="s">
        <v>479</v>
      </c>
      <c r="K116" s="159">
        <v>0</v>
      </c>
    </row>
    <row r="117" spans="1:11" ht="15.75" hidden="1" customHeight="1">
      <c r="A117" s="159" t="s">
        <v>3</v>
      </c>
      <c r="B117" s="159" t="s">
        <v>266</v>
      </c>
      <c r="C117" s="159" t="s">
        <v>5083</v>
      </c>
      <c r="D117" s="159" t="s">
        <v>156</v>
      </c>
      <c r="E117" s="159" t="s">
        <v>477</v>
      </c>
      <c r="F117" s="159">
        <v>55</v>
      </c>
      <c r="G117" s="159">
        <v>0</v>
      </c>
      <c r="H117" s="159">
        <v>0</v>
      </c>
      <c r="I117" s="159" t="s">
        <v>479</v>
      </c>
      <c r="J117" s="159" t="s">
        <v>5579</v>
      </c>
      <c r="K117" s="159">
        <v>1</v>
      </c>
    </row>
    <row r="118" spans="1:11" ht="15.75" hidden="1" customHeight="1">
      <c r="A118" s="159" t="s">
        <v>3</v>
      </c>
      <c r="B118" s="159" t="s">
        <v>266</v>
      </c>
      <c r="C118" s="159" t="s">
        <v>5083</v>
      </c>
      <c r="D118" s="159" t="s">
        <v>5607</v>
      </c>
      <c r="E118" s="159" t="s">
        <v>477</v>
      </c>
      <c r="F118" s="159">
        <v>20</v>
      </c>
      <c r="G118" s="159">
        <v>0</v>
      </c>
      <c r="H118" s="159">
        <v>0</v>
      </c>
      <c r="I118" s="159" t="s">
        <v>479</v>
      </c>
      <c r="J118" s="159" t="s">
        <v>5608</v>
      </c>
      <c r="K118" s="159">
        <v>1</v>
      </c>
    </row>
    <row r="119" spans="1:11" ht="15.75" hidden="1" customHeight="1">
      <c r="A119" s="159" t="s">
        <v>3</v>
      </c>
      <c r="B119" s="159" t="s">
        <v>266</v>
      </c>
      <c r="C119" s="159" t="s">
        <v>5083</v>
      </c>
      <c r="D119" s="159" t="s">
        <v>5609</v>
      </c>
      <c r="E119" s="159" t="s">
        <v>477</v>
      </c>
      <c r="F119" s="159">
        <v>20</v>
      </c>
      <c r="G119" s="159">
        <v>0</v>
      </c>
      <c r="H119" s="159">
        <v>0</v>
      </c>
      <c r="I119" s="159" t="s">
        <v>479</v>
      </c>
      <c r="J119" s="159" t="s">
        <v>5610</v>
      </c>
      <c r="K119" s="159">
        <v>1</v>
      </c>
    </row>
    <row r="120" spans="1:11" ht="15.75" hidden="1" customHeight="1">
      <c r="A120" s="159" t="s">
        <v>3</v>
      </c>
      <c r="B120" s="159" t="s">
        <v>266</v>
      </c>
      <c r="C120" s="159" t="s">
        <v>5083</v>
      </c>
      <c r="D120" s="159" t="s">
        <v>5611</v>
      </c>
      <c r="E120" s="159" t="s">
        <v>477</v>
      </c>
      <c r="F120" s="159">
        <v>5</v>
      </c>
      <c r="G120" s="159">
        <v>0</v>
      </c>
      <c r="H120" s="159">
        <v>0</v>
      </c>
      <c r="I120" s="159" t="s">
        <v>479</v>
      </c>
      <c r="J120" s="159" t="s">
        <v>5608</v>
      </c>
      <c r="K120" s="159">
        <v>1</v>
      </c>
    </row>
    <row r="121" spans="1:11" ht="15.75" hidden="1" customHeight="1">
      <c r="A121" s="159" t="s">
        <v>3</v>
      </c>
      <c r="B121" s="159" t="s">
        <v>266</v>
      </c>
      <c r="C121" s="159" t="s">
        <v>5083</v>
      </c>
      <c r="D121" s="159" t="s">
        <v>5612</v>
      </c>
      <c r="E121" s="159" t="s">
        <v>477</v>
      </c>
      <c r="F121" s="159">
        <v>5</v>
      </c>
      <c r="G121" s="159">
        <v>0</v>
      </c>
      <c r="H121" s="159">
        <v>0</v>
      </c>
      <c r="I121" s="159" t="s">
        <v>479</v>
      </c>
      <c r="J121" s="159" t="s">
        <v>5613</v>
      </c>
      <c r="K121" s="159">
        <v>1</v>
      </c>
    </row>
    <row r="122" spans="1:11" ht="15.75" hidden="1" customHeight="1">
      <c r="A122" s="159" t="s">
        <v>3</v>
      </c>
      <c r="B122" s="159" t="s">
        <v>266</v>
      </c>
      <c r="C122" s="159" t="s">
        <v>5083</v>
      </c>
      <c r="D122" s="159" t="s">
        <v>5614</v>
      </c>
      <c r="E122" s="159" t="s">
        <v>477</v>
      </c>
      <c r="F122" s="159">
        <v>20</v>
      </c>
      <c r="G122" s="159">
        <v>0</v>
      </c>
      <c r="H122" s="159">
        <v>0</v>
      </c>
      <c r="I122" s="159" t="s">
        <v>479</v>
      </c>
      <c r="J122" s="159" t="s">
        <v>5615</v>
      </c>
      <c r="K122" s="159">
        <v>1</v>
      </c>
    </row>
    <row r="123" spans="1:11" ht="15.75" hidden="1" customHeight="1">
      <c r="A123" s="159" t="s">
        <v>3</v>
      </c>
      <c r="B123" s="159" t="s">
        <v>266</v>
      </c>
      <c r="C123" s="159" t="s">
        <v>5083</v>
      </c>
      <c r="D123" s="159" t="s">
        <v>5084</v>
      </c>
      <c r="E123" s="159" t="s">
        <v>477</v>
      </c>
      <c r="F123" s="159">
        <v>7</v>
      </c>
      <c r="G123" s="159">
        <v>0</v>
      </c>
      <c r="H123" s="159">
        <v>0</v>
      </c>
      <c r="I123" s="159" t="s">
        <v>479</v>
      </c>
      <c r="J123" s="159" t="s">
        <v>5579</v>
      </c>
      <c r="K123" s="159">
        <v>0</v>
      </c>
    </row>
    <row r="124" spans="1:11" ht="15.75" hidden="1" customHeight="1">
      <c r="A124" s="159" t="s">
        <v>3</v>
      </c>
      <c r="B124" s="159" t="s">
        <v>266</v>
      </c>
      <c r="C124" s="159" t="s">
        <v>5083</v>
      </c>
      <c r="D124" s="159" t="s">
        <v>5616</v>
      </c>
      <c r="E124" s="159" t="s">
        <v>477</v>
      </c>
      <c r="F124" s="159">
        <v>20</v>
      </c>
      <c r="G124" s="159">
        <v>0</v>
      </c>
      <c r="H124" s="159">
        <v>0</v>
      </c>
      <c r="I124" s="159" t="s">
        <v>479</v>
      </c>
      <c r="J124" s="159" t="s">
        <v>5579</v>
      </c>
      <c r="K124" s="159">
        <v>1</v>
      </c>
    </row>
    <row r="125" spans="1:11" ht="15.75" hidden="1" customHeight="1">
      <c r="A125" s="159" t="s">
        <v>3</v>
      </c>
      <c r="B125" s="159" t="s">
        <v>266</v>
      </c>
      <c r="C125" s="159" t="s">
        <v>5083</v>
      </c>
      <c r="D125" s="159" t="s">
        <v>5617</v>
      </c>
      <c r="E125" s="159" t="s">
        <v>477</v>
      </c>
      <c r="F125" s="159">
        <v>7</v>
      </c>
      <c r="G125" s="159">
        <v>0</v>
      </c>
      <c r="H125" s="159">
        <v>0</v>
      </c>
      <c r="I125" s="159" t="s">
        <v>479</v>
      </c>
      <c r="J125" s="159" t="s">
        <v>5579</v>
      </c>
      <c r="K125" s="159">
        <v>1</v>
      </c>
    </row>
    <row r="126" spans="1:11" ht="15.75" hidden="1" customHeight="1">
      <c r="A126" s="159" t="s">
        <v>3</v>
      </c>
      <c r="B126" s="159" t="s">
        <v>266</v>
      </c>
      <c r="C126" s="159" t="s">
        <v>5083</v>
      </c>
      <c r="D126" s="159" t="s">
        <v>5618</v>
      </c>
      <c r="E126" s="159" t="s">
        <v>477</v>
      </c>
      <c r="F126" s="159">
        <v>7</v>
      </c>
      <c r="G126" s="159">
        <v>0</v>
      </c>
      <c r="H126" s="159">
        <v>0</v>
      </c>
      <c r="I126" s="159" t="s">
        <v>479</v>
      </c>
      <c r="J126" s="159" t="s">
        <v>5579</v>
      </c>
      <c r="K126" s="159">
        <v>1</v>
      </c>
    </row>
    <row r="127" spans="1:11" ht="15.75" hidden="1" customHeight="1">
      <c r="A127" s="159" t="s">
        <v>3</v>
      </c>
      <c r="B127" s="159" t="s">
        <v>266</v>
      </c>
      <c r="C127" s="159" t="s">
        <v>5083</v>
      </c>
      <c r="D127" s="159" t="s">
        <v>5619</v>
      </c>
      <c r="E127" s="159" t="s">
        <v>477</v>
      </c>
      <c r="F127" s="159">
        <v>5</v>
      </c>
      <c r="G127" s="159">
        <v>0</v>
      </c>
      <c r="H127" s="159">
        <v>0</v>
      </c>
      <c r="I127" s="159" t="s">
        <v>479</v>
      </c>
      <c r="J127" s="159" t="s">
        <v>5613</v>
      </c>
      <c r="K127" s="159">
        <v>1</v>
      </c>
    </row>
    <row r="128" spans="1:11" ht="15.75" hidden="1" customHeight="1">
      <c r="A128" s="159" t="s">
        <v>3</v>
      </c>
      <c r="B128" s="159" t="s">
        <v>266</v>
      </c>
      <c r="C128" s="159" t="s">
        <v>5083</v>
      </c>
      <c r="D128" s="159" t="s">
        <v>5620</v>
      </c>
      <c r="E128" s="159" t="s">
        <v>477</v>
      </c>
      <c r="F128" s="159">
        <v>9</v>
      </c>
      <c r="G128" s="159">
        <v>0</v>
      </c>
      <c r="H128" s="159">
        <v>0</v>
      </c>
      <c r="I128" s="159" t="s">
        <v>479</v>
      </c>
      <c r="J128" s="159" t="s">
        <v>5621</v>
      </c>
      <c r="K128" s="159">
        <v>1</v>
      </c>
    </row>
    <row r="129" spans="1:11" ht="15.75" hidden="1" customHeight="1">
      <c r="A129" s="159" t="s">
        <v>3</v>
      </c>
      <c r="B129" s="159" t="s">
        <v>266</v>
      </c>
      <c r="C129" s="159" t="s">
        <v>5083</v>
      </c>
      <c r="D129" s="159" t="s">
        <v>5622</v>
      </c>
      <c r="E129" s="159" t="s">
        <v>477</v>
      </c>
      <c r="F129" s="159">
        <v>9</v>
      </c>
      <c r="G129" s="159">
        <v>0</v>
      </c>
      <c r="H129" s="159">
        <v>0</v>
      </c>
      <c r="I129" s="159" t="s">
        <v>479</v>
      </c>
      <c r="J129" s="159" t="s">
        <v>5623</v>
      </c>
      <c r="K129" s="159">
        <v>1</v>
      </c>
    </row>
    <row r="130" spans="1:11" ht="15.75" hidden="1" customHeight="1">
      <c r="A130" s="159" t="s">
        <v>3</v>
      </c>
      <c r="B130" s="159" t="s">
        <v>266</v>
      </c>
      <c r="C130" s="159" t="s">
        <v>5083</v>
      </c>
      <c r="D130" s="159" t="s">
        <v>5624</v>
      </c>
      <c r="E130" s="159" t="s">
        <v>477</v>
      </c>
      <c r="F130" s="159">
        <v>6</v>
      </c>
      <c r="G130" s="159">
        <v>0</v>
      </c>
      <c r="H130" s="159">
        <v>0</v>
      </c>
      <c r="I130" s="159" t="s">
        <v>479</v>
      </c>
      <c r="J130" s="159" t="s">
        <v>5579</v>
      </c>
      <c r="K130" s="159">
        <v>1</v>
      </c>
    </row>
    <row r="131" spans="1:11" ht="15.75" hidden="1" customHeight="1">
      <c r="A131" s="159" t="s">
        <v>3</v>
      </c>
      <c r="B131" s="159" t="s">
        <v>266</v>
      </c>
      <c r="C131" s="159" t="s">
        <v>5083</v>
      </c>
      <c r="D131" s="159" t="s">
        <v>5625</v>
      </c>
      <c r="E131" s="159" t="s">
        <v>477</v>
      </c>
      <c r="F131" s="159">
        <v>155</v>
      </c>
      <c r="G131" s="159">
        <v>0</v>
      </c>
      <c r="H131" s="159">
        <v>0</v>
      </c>
      <c r="I131" s="159" t="s">
        <v>479</v>
      </c>
      <c r="J131" s="159" t="s">
        <v>5579</v>
      </c>
      <c r="K131" s="159">
        <v>1</v>
      </c>
    </row>
    <row r="132" spans="1:11" ht="15.75" hidden="1" customHeight="1">
      <c r="A132" s="159" t="s">
        <v>3</v>
      </c>
      <c r="B132" s="159" t="s">
        <v>266</v>
      </c>
      <c r="C132" s="159" t="s">
        <v>5083</v>
      </c>
      <c r="D132" s="159" t="s">
        <v>2141</v>
      </c>
      <c r="E132" s="159" t="s">
        <v>477</v>
      </c>
      <c r="F132" s="159">
        <v>3</v>
      </c>
      <c r="G132" s="159">
        <v>0</v>
      </c>
      <c r="H132" s="159">
        <v>0</v>
      </c>
      <c r="I132" s="159" t="s">
        <v>479</v>
      </c>
      <c r="J132" s="159" t="s">
        <v>5579</v>
      </c>
      <c r="K132" s="159">
        <v>1</v>
      </c>
    </row>
    <row r="133" spans="1:11" ht="15.75" hidden="1" customHeight="1">
      <c r="A133" s="159" t="s">
        <v>3</v>
      </c>
      <c r="B133" s="159" t="s">
        <v>266</v>
      </c>
      <c r="C133" s="159" t="s">
        <v>5083</v>
      </c>
      <c r="D133" s="159" t="s">
        <v>5603</v>
      </c>
      <c r="E133" s="159" t="s">
        <v>477</v>
      </c>
      <c r="F133" s="159">
        <v>50</v>
      </c>
      <c r="G133" s="159">
        <v>0</v>
      </c>
      <c r="H133" s="159">
        <v>0</v>
      </c>
      <c r="I133" s="159" t="s">
        <v>479</v>
      </c>
      <c r="J133" s="159" t="s">
        <v>5579</v>
      </c>
      <c r="K133" s="159">
        <v>1</v>
      </c>
    </row>
    <row r="134" spans="1:11" ht="15.75" hidden="1" customHeight="1">
      <c r="A134" s="159" t="s">
        <v>3</v>
      </c>
      <c r="B134" s="159" t="s">
        <v>266</v>
      </c>
      <c r="C134" s="159" t="s">
        <v>5083</v>
      </c>
      <c r="D134" s="159" t="s">
        <v>5604</v>
      </c>
      <c r="E134" s="159" t="s">
        <v>477</v>
      </c>
      <c r="F134" s="159">
        <v>2</v>
      </c>
      <c r="G134" s="159">
        <v>0</v>
      </c>
      <c r="H134" s="159">
        <v>0</v>
      </c>
      <c r="I134" s="159" t="s">
        <v>479</v>
      </c>
      <c r="J134" s="159" t="s">
        <v>5579</v>
      </c>
      <c r="K134" s="159">
        <v>1</v>
      </c>
    </row>
    <row r="135" spans="1:11" ht="15.75" hidden="1" customHeight="1">
      <c r="A135" s="159" t="s">
        <v>3</v>
      </c>
      <c r="B135" s="159" t="s">
        <v>266</v>
      </c>
      <c r="C135" s="159" t="s">
        <v>5083</v>
      </c>
      <c r="D135" s="159" t="s">
        <v>5605</v>
      </c>
      <c r="E135" s="159" t="s">
        <v>477</v>
      </c>
      <c r="F135" s="159">
        <v>50</v>
      </c>
      <c r="G135" s="159">
        <v>0</v>
      </c>
      <c r="H135" s="159">
        <v>0</v>
      </c>
      <c r="I135" s="159" t="s">
        <v>479</v>
      </c>
      <c r="J135" s="159" t="s">
        <v>5579</v>
      </c>
      <c r="K135" s="159">
        <v>1</v>
      </c>
    </row>
    <row r="136" spans="1:11" ht="15.75" hidden="1" customHeight="1">
      <c r="A136" s="159" t="s">
        <v>3</v>
      </c>
      <c r="B136" s="159" t="s">
        <v>266</v>
      </c>
      <c r="C136" s="159" t="s">
        <v>5083</v>
      </c>
      <c r="D136" s="159" t="s">
        <v>5588</v>
      </c>
      <c r="E136" s="159" t="s">
        <v>477</v>
      </c>
      <c r="F136" s="159">
        <v>3</v>
      </c>
      <c r="G136" s="159">
        <v>0</v>
      </c>
      <c r="H136" s="159">
        <v>0</v>
      </c>
      <c r="I136" s="159" t="s">
        <v>479</v>
      </c>
      <c r="J136" s="159" t="s">
        <v>5579</v>
      </c>
      <c r="K136" s="159">
        <v>1</v>
      </c>
    </row>
    <row r="137" spans="1:11" ht="15.75" hidden="1" customHeight="1">
      <c r="A137" s="159" t="s">
        <v>3</v>
      </c>
      <c r="B137" s="159" t="s">
        <v>266</v>
      </c>
      <c r="C137" s="159" t="s">
        <v>5083</v>
      </c>
      <c r="D137" s="159" t="s">
        <v>5589</v>
      </c>
      <c r="E137" s="159" t="s">
        <v>477</v>
      </c>
      <c r="F137" s="159">
        <v>200</v>
      </c>
      <c r="G137" s="159">
        <v>0</v>
      </c>
      <c r="H137" s="159">
        <v>0</v>
      </c>
      <c r="I137" s="159" t="s">
        <v>479</v>
      </c>
      <c r="J137" s="159" t="s">
        <v>5579</v>
      </c>
      <c r="K137" s="159">
        <v>1</v>
      </c>
    </row>
    <row r="138" spans="1:11" ht="15.75" hidden="1" customHeight="1">
      <c r="A138" s="159" t="s">
        <v>3</v>
      </c>
      <c r="B138" s="159" t="s">
        <v>266</v>
      </c>
      <c r="C138" s="159" t="s">
        <v>5083</v>
      </c>
      <c r="D138" s="159" t="s">
        <v>5590</v>
      </c>
      <c r="E138" s="159" t="s">
        <v>477</v>
      </c>
      <c r="F138" s="159">
        <v>3</v>
      </c>
      <c r="G138" s="159">
        <v>0</v>
      </c>
      <c r="H138" s="159">
        <v>0</v>
      </c>
      <c r="I138" s="159" t="s">
        <v>479</v>
      </c>
      <c r="J138" s="159" t="s">
        <v>5579</v>
      </c>
      <c r="K138" s="159">
        <v>1</v>
      </c>
    </row>
    <row r="139" spans="1:11" ht="15.75" hidden="1" customHeight="1">
      <c r="A139" s="159" t="s">
        <v>3</v>
      </c>
      <c r="B139" s="159" t="s">
        <v>266</v>
      </c>
      <c r="C139" s="159" t="s">
        <v>5083</v>
      </c>
      <c r="D139" s="159" t="s">
        <v>5591</v>
      </c>
      <c r="E139" s="159" t="s">
        <v>477</v>
      </c>
      <c r="F139" s="159">
        <v>200</v>
      </c>
      <c r="G139" s="159">
        <v>0</v>
      </c>
      <c r="H139" s="159">
        <v>0</v>
      </c>
      <c r="I139" s="159" t="s">
        <v>479</v>
      </c>
      <c r="J139" s="159" t="s">
        <v>5579</v>
      </c>
      <c r="K139" s="159">
        <v>1</v>
      </c>
    </row>
    <row r="140" spans="1:11" ht="15.75" hidden="1" customHeight="1">
      <c r="A140" s="159" t="s">
        <v>3</v>
      </c>
      <c r="B140" s="159" t="s">
        <v>266</v>
      </c>
      <c r="C140" s="159" t="s">
        <v>5083</v>
      </c>
      <c r="D140" s="159" t="s">
        <v>5592</v>
      </c>
      <c r="E140" s="159" t="s">
        <v>477</v>
      </c>
      <c r="F140" s="159">
        <v>3</v>
      </c>
      <c r="G140" s="159">
        <v>0</v>
      </c>
      <c r="H140" s="159">
        <v>0</v>
      </c>
      <c r="I140" s="159" t="s">
        <v>479</v>
      </c>
      <c r="J140" s="159" t="s">
        <v>5579</v>
      </c>
      <c r="K140" s="159">
        <v>1</v>
      </c>
    </row>
    <row r="141" spans="1:11" ht="15.75" hidden="1" customHeight="1">
      <c r="A141" s="159" t="s">
        <v>3</v>
      </c>
      <c r="B141" s="159" t="s">
        <v>266</v>
      </c>
      <c r="C141" s="159" t="s">
        <v>5083</v>
      </c>
      <c r="D141" s="159" t="s">
        <v>2858</v>
      </c>
      <c r="E141" s="159" t="s">
        <v>477</v>
      </c>
      <c r="F141" s="159">
        <v>3</v>
      </c>
      <c r="G141" s="159">
        <v>0</v>
      </c>
      <c r="H141" s="159">
        <v>0</v>
      </c>
      <c r="I141" s="159" t="s">
        <v>479</v>
      </c>
      <c r="J141" s="159" t="s">
        <v>5579</v>
      </c>
      <c r="K141" s="159">
        <v>1</v>
      </c>
    </row>
    <row r="142" spans="1:11" ht="15.75" hidden="1" customHeight="1">
      <c r="A142" s="159" t="s">
        <v>3</v>
      </c>
      <c r="B142" s="159" t="s">
        <v>266</v>
      </c>
      <c r="C142" s="159" t="s">
        <v>5083</v>
      </c>
      <c r="D142" s="159" t="s">
        <v>5626</v>
      </c>
      <c r="E142" s="159" t="s">
        <v>477</v>
      </c>
      <c r="F142" s="159">
        <v>30</v>
      </c>
      <c r="G142" s="159">
        <v>0</v>
      </c>
      <c r="H142" s="159">
        <v>0</v>
      </c>
      <c r="I142" s="159" t="s">
        <v>479</v>
      </c>
      <c r="J142" s="159" t="s">
        <v>548</v>
      </c>
      <c r="K142" s="159">
        <v>1</v>
      </c>
    </row>
    <row r="143" spans="1:11" ht="15.75" hidden="1" customHeight="1">
      <c r="A143" s="159" t="s">
        <v>3</v>
      </c>
      <c r="B143" s="159" t="s">
        <v>266</v>
      </c>
      <c r="C143" s="159" t="s">
        <v>5083</v>
      </c>
      <c r="D143" s="159" t="s">
        <v>5627</v>
      </c>
      <c r="E143" s="159" t="s">
        <v>477</v>
      </c>
      <c r="F143" s="159">
        <v>30</v>
      </c>
      <c r="G143" s="159">
        <v>0</v>
      </c>
      <c r="H143" s="159">
        <v>0</v>
      </c>
      <c r="I143" s="159" t="s">
        <v>479</v>
      </c>
      <c r="J143" s="159" t="s">
        <v>5579</v>
      </c>
      <c r="K143" s="159">
        <v>1</v>
      </c>
    </row>
    <row r="144" spans="1:11" ht="15.75" hidden="1" customHeight="1">
      <c r="A144" s="159" t="s">
        <v>3</v>
      </c>
      <c r="B144" s="159" t="s">
        <v>266</v>
      </c>
      <c r="C144" s="159" t="s">
        <v>5083</v>
      </c>
      <c r="D144" s="159" t="s">
        <v>5628</v>
      </c>
      <c r="E144" s="159" t="s">
        <v>477</v>
      </c>
      <c r="F144" s="159">
        <v>30</v>
      </c>
      <c r="G144" s="159">
        <v>0</v>
      </c>
      <c r="H144" s="159">
        <v>0</v>
      </c>
      <c r="I144" s="159" t="s">
        <v>479</v>
      </c>
      <c r="J144" s="159" t="s">
        <v>5579</v>
      </c>
      <c r="K144" s="159">
        <v>1</v>
      </c>
    </row>
    <row r="145" spans="1:11" ht="15.75" hidden="1" customHeight="1">
      <c r="A145" s="159" t="s">
        <v>3</v>
      </c>
      <c r="B145" s="159" t="s">
        <v>266</v>
      </c>
      <c r="C145" s="159" t="s">
        <v>5083</v>
      </c>
      <c r="D145" s="159" t="s">
        <v>5629</v>
      </c>
      <c r="E145" s="159" t="s">
        <v>477</v>
      </c>
      <c r="F145" s="159">
        <v>5</v>
      </c>
      <c r="G145" s="159">
        <v>0</v>
      </c>
      <c r="H145" s="159">
        <v>0</v>
      </c>
      <c r="I145" s="159" t="s">
        <v>479</v>
      </c>
      <c r="J145" s="159" t="s">
        <v>5579</v>
      </c>
      <c r="K145" s="159">
        <v>1</v>
      </c>
    </row>
    <row r="146" spans="1:11" ht="15.75" hidden="1" customHeight="1">
      <c r="A146" s="159" t="s">
        <v>3</v>
      </c>
      <c r="B146" s="159" t="s">
        <v>266</v>
      </c>
      <c r="C146" s="159" t="s">
        <v>5083</v>
      </c>
      <c r="D146" s="159" t="s">
        <v>5630</v>
      </c>
      <c r="E146" s="159" t="s">
        <v>477</v>
      </c>
      <c r="F146" s="159">
        <v>3</v>
      </c>
      <c r="G146" s="159">
        <v>0</v>
      </c>
      <c r="H146" s="159">
        <v>0</v>
      </c>
      <c r="I146" s="159" t="s">
        <v>479</v>
      </c>
      <c r="J146" s="159" t="s">
        <v>5579</v>
      </c>
      <c r="K146" s="159">
        <v>1</v>
      </c>
    </row>
    <row r="147" spans="1:11" ht="15.75" hidden="1" customHeight="1">
      <c r="A147" s="159" t="s">
        <v>3</v>
      </c>
      <c r="B147" s="159" t="s">
        <v>266</v>
      </c>
      <c r="C147" s="159" t="s">
        <v>5083</v>
      </c>
      <c r="D147" s="159" t="s">
        <v>5631</v>
      </c>
      <c r="E147" s="159" t="s">
        <v>477</v>
      </c>
      <c r="F147" s="159">
        <v>500</v>
      </c>
      <c r="G147" s="159">
        <v>0</v>
      </c>
      <c r="H147" s="159">
        <v>0</v>
      </c>
      <c r="I147" s="159" t="s">
        <v>479</v>
      </c>
      <c r="J147" s="159" t="s">
        <v>5579</v>
      </c>
      <c r="K147" s="159">
        <v>1</v>
      </c>
    </row>
    <row r="148" spans="1:11" ht="15.75" hidden="1" customHeight="1">
      <c r="A148" s="159" t="s">
        <v>3</v>
      </c>
      <c r="B148" s="159" t="s">
        <v>266</v>
      </c>
      <c r="C148" s="159" t="s">
        <v>5083</v>
      </c>
      <c r="D148" s="159" t="s">
        <v>1945</v>
      </c>
      <c r="E148" s="159" t="s">
        <v>477</v>
      </c>
      <c r="F148" s="159">
        <v>10</v>
      </c>
      <c r="G148" s="159">
        <v>0</v>
      </c>
      <c r="H148" s="159">
        <v>0</v>
      </c>
      <c r="I148" s="159" t="s">
        <v>479</v>
      </c>
      <c r="J148" s="159" t="s">
        <v>5579</v>
      </c>
      <c r="K148" s="159">
        <v>1</v>
      </c>
    </row>
    <row r="149" spans="1:11" ht="15.75" hidden="1" customHeight="1">
      <c r="A149" s="159" t="s">
        <v>3</v>
      </c>
      <c r="B149" s="159" t="s">
        <v>266</v>
      </c>
      <c r="C149" s="159" t="s">
        <v>5083</v>
      </c>
      <c r="D149" s="159" t="s">
        <v>5632</v>
      </c>
      <c r="E149" s="159" t="s">
        <v>477</v>
      </c>
      <c r="F149" s="159">
        <v>3</v>
      </c>
      <c r="G149" s="159">
        <v>0</v>
      </c>
      <c r="H149" s="159">
        <v>0</v>
      </c>
      <c r="I149" s="159" t="s">
        <v>479</v>
      </c>
      <c r="J149" s="159" t="s">
        <v>5579</v>
      </c>
      <c r="K149" s="159">
        <v>1</v>
      </c>
    </row>
    <row r="150" spans="1:11" ht="15.75" hidden="1" customHeight="1">
      <c r="A150" s="159" t="s">
        <v>3</v>
      </c>
      <c r="B150" s="159" t="s">
        <v>266</v>
      </c>
      <c r="C150" s="159" t="s">
        <v>5083</v>
      </c>
      <c r="D150" s="159" t="s">
        <v>5633</v>
      </c>
      <c r="E150" s="159" t="s">
        <v>477</v>
      </c>
      <c r="F150" s="159">
        <v>3</v>
      </c>
      <c r="G150" s="159">
        <v>0</v>
      </c>
      <c r="H150" s="159">
        <v>0</v>
      </c>
      <c r="I150" s="159" t="s">
        <v>479</v>
      </c>
      <c r="J150" s="159" t="s">
        <v>5579</v>
      </c>
      <c r="K150" s="159">
        <v>1</v>
      </c>
    </row>
    <row r="151" spans="1:11" ht="15.75" hidden="1" customHeight="1">
      <c r="A151" s="159" t="s">
        <v>3</v>
      </c>
      <c r="B151" s="159" t="s">
        <v>266</v>
      </c>
      <c r="C151" s="159" t="s">
        <v>5083</v>
      </c>
      <c r="D151" s="159" t="s">
        <v>5634</v>
      </c>
      <c r="E151" s="159" t="s">
        <v>717</v>
      </c>
      <c r="F151" s="159">
        <v>5</v>
      </c>
      <c r="G151" s="159">
        <v>9</v>
      </c>
      <c r="H151" s="159">
        <v>2</v>
      </c>
      <c r="I151" s="159" t="s">
        <v>479</v>
      </c>
      <c r="J151" s="159" t="s">
        <v>1223</v>
      </c>
      <c r="K151" s="159">
        <v>1</v>
      </c>
    </row>
    <row r="152" spans="1:11" ht="15.75" hidden="1" customHeight="1">
      <c r="A152" s="159" t="s">
        <v>3</v>
      </c>
      <c r="B152" s="159" t="s">
        <v>266</v>
      </c>
      <c r="C152" s="159" t="s">
        <v>5083</v>
      </c>
      <c r="D152" s="159" t="s">
        <v>5635</v>
      </c>
      <c r="E152" s="159" t="s">
        <v>477</v>
      </c>
      <c r="F152" s="159">
        <v>3</v>
      </c>
      <c r="G152" s="159">
        <v>0</v>
      </c>
      <c r="H152" s="159">
        <v>0</v>
      </c>
      <c r="I152" s="159" t="s">
        <v>479</v>
      </c>
      <c r="J152" s="159" t="s">
        <v>5579</v>
      </c>
      <c r="K152" s="159">
        <v>1</v>
      </c>
    </row>
    <row r="153" spans="1:11" ht="15.75" hidden="1" customHeight="1">
      <c r="A153" s="159" t="s">
        <v>3</v>
      </c>
      <c r="B153" s="159" t="s">
        <v>266</v>
      </c>
      <c r="C153" s="159" t="s">
        <v>5083</v>
      </c>
      <c r="D153" s="159" t="s">
        <v>5636</v>
      </c>
      <c r="E153" s="159" t="s">
        <v>717</v>
      </c>
      <c r="F153" s="159">
        <v>5</v>
      </c>
      <c r="G153" s="159">
        <v>9</v>
      </c>
      <c r="H153" s="159">
        <v>2</v>
      </c>
      <c r="I153" s="159" t="s">
        <v>479</v>
      </c>
      <c r="J153" s="159" t="s">
        <v>1223</v>
      </c>
      <c r="K153" s="159">
        <v>1</v>
      </c>
    </row>
    <row r="154" spans="1:11" ht="15.75" hidden="1" customHeight="1">
      <c r="A154" s="159" t="s">
        <v>3</v>
      </c>
      <c r="B154" s="159" t="s">
        <v>266</v>
      </c>
      <c r="C154" s="159" t="s">
        <v>5083</v>
      </c>
      <c r="D154" s="159" t="s">
        <v>5637</v>
      </c>
      <c r="E154" s="159" t="s">
        <v>717</v>
      </c>
      <c r="F154" s="159">
        <v>5</v>
      </c>
      <c r="G154" s="159">
        <v>9</v>
      </c>
      <c r="H154" s="159">
        <v>2</v>
      </c>
      <c r="I154" s="159" t="s">
        <v>479</v>
      </c>
      <c r="J154" s="159" t="s">
        <v>1223</v>
      </c>
      <c r="K154" s="159">
        <v>1</v>
      </c>
    </row>
    <row r="155" spans="1:11" ht="15.75" hidden="1" customHeight="1">
      <c r="A155" s="159" t="s">
        <v>3</v>
      </c>
      <c r="B155" s="159" t="s">
        <v>266</v>
      </c>
      <c r="C155" s="159" t="s">
        <v>5083</v>
      </c>
      <c r="D155" s="159" t="s">
        <v>5638</v>
      </c>
      <c r="E155" s="159" t="s">
        <v>477</v>
      </c>
      <c r="F155" s="159">
        <v>3</v>
      </c>
      <c r="G155" s="159">
        <v>0</v>
      </c>
      <c r="H155" s="159">
        <v>0</v>
      </c>
      <c r="I155" s="159" t="s">
        <v>479</v>
      </c>
      <c r="J155" s="159" t="s">
        <v>5579</v>
      </c>
      <c r="K155" s="159">
        <v>1</v>
      </c>
    </row>
    <row r="156" spans="1:11" ht="15.75" hidden="1" customHeight="1">
      <c r="A156" s="159" t="s">
        <v>3</v>
      </c>
      <c r="B156" s="159" t="s">
        <v>266</v>
      </c>
      <c r="C156" s="159" t="s">
        <v>5083</v>
      </c>
      <c r="D156" s="159" t="s">
        <v>5639</v>
      </c>
      <c r="E156" s="159" t="s">
        <v>717</v>
      </c>
      <c r="F156" s="159">
        <v>5</v>
      </c>
      <c r="G156" s="159">
        <v>9</v>
      </c>
      <c r="H156" s="159">
        <v>2</v>
      </c>
      <c r="I156" s="159" t="s">
        <v>479</v>
      </c>
      <c r="J156" s="159" t="s">
        <v>1223</v>
      </c>
      <c r="K156" s="159">
        <v>1</v>
      </c>
    </row>
    <row r="157" spans="1:11" ht="15.75" hidden="1" customHeight="1">
      <c r="A157" s="159" t="s">
        <v>3</v>
      </c>
      <c r="B157" s="159" t="s">
        <v>266</v>
      </c>
      <c r="C157" s="159" t="s">
        <v>5083</v>
      </c>
      <c r="D157" s="159" t="s">
        <v>5640</v>
      </c>
      <c r="E157" s="159" t="s">
        <v>717</v>
      </c>
      <c r="F157" s="159">
        <v>5</v>
      </c>
      <c r="G157" s="159">
        <v>9</v>
      </c>
      <c r="H157" s="159">
        <v>2</v>
      </c>
      <c r="I157" s="159" t="s">
        <v>479</v>
      </c>
      <c r="J157" s="159" t="s">
        <v>1223</v>
      </c>
      <c r="K157" s="159">
        <v>1</v>
      </c>
    </row>
    <row r="158" spans="1:11" ht="15.75" hidden="1" customHeight="1">
      <c r="A158" s="159" t="s">
        <v>3</v>
      </c>
      <c r="B158" s="159" t="s">
        <v>266</v>
      </c>
      <c r="C158" s="159" t="s">
        <v>5083</v>
      </c>
      <c r="D158" s="159" t="s">
        <v>5641</v>
      </c>
      <c r="E158" s="159" t="s">
        <v>800</v>
      </c>
      <c r="F158" s="159">
        <v>8</v>
      </c>
      <c r="G158" s="159">
        <v>27</v>
      </c>
      <c r="H158" s="159">
        <v>7</v>
      </c>
      <c r="I158" s="159" t="s">
        <v>479</v>
      </c>
      <c r="J158" s="159" t="s">
        <v>5585</v>
      </c>
      <c r="K158" s="159">
        <v>1</v>
      </c>
    </row>
    <row r="159" spans="1:11" ht="15.75" hidden="1" customHeight="1">
      <c r="A159" s="159" t="s">
        <v>3</v>
      </c>
      <c r="B159" s="159" t="s">
        <v>266</v>
      </c>
      <c r="C159" s="159" t="s">
        <v>5083</v>
      </c>
      <c r="D159" s="159" t="s">
        <v>5642</v>
      </c>
      <c r="E159" s="159" t="s">
        <v>800</v>
      </c>
      <c r="F159" s="159">
        <v>8</v>
      </c>
      <c r="G159" s="159">
        <v>27</v>
      </c>
      <c r="H159" s="159">
        <v>7</v>
      </c>
      <c r="I159" s="159" t="s">
        <v>479</v>
      </c>
      <c r="J159" s="159" t="s">
        <v>5585</v>
      </c>
      <c r="K159" s="159">
        <v>1</v>
      </c>
    </row>
    <row r="160" spans="1:11" ht="15.75" hidden="1" customHeight="1">
      <c r="A160" s="159" t="s">
        <v>3</v>
      </c>
      <c r="B160" s="159" t="s">
        <v>266</v>
      </c>
      <c r="C160" s="159" t="s">
        <v>5083</v>
      </c>
      <c r="D160" s="159" t="s">
        <v>3500</v>
      </c>
      <c r="E160" s="159" t="s">
        <v>477</v>
      </c>
      <c r="F160" s="159">
        <v>20</v>
      </c>
      <c r="G160" s="159">
        <v>0</v>
      </c>
      <c r="H160" s="159">
        <v>0</v>
      </c>
      <c r="I160" s="159" t="s">
        <v>479</v>
      </c>
      <c r="J160" s="159" t="s">
        <v>5579</v>
      </c>
      <c r="K160" s="159">
        <v>1</v>
      </c>
    </row>
    <row r="161" spans="1:11" ht="15.75" hidden="1" customHeight="1">
      <c r="A161" s="159" t="s">
        <v>3</v>
      </c>
      <c r="B161" s="159" t="s">
        <v>266</v>
      </c>
      <c r="C161" s="159" t="s">
        <v>5083</v>
      </c>
      <c r="D161" s="159" t="s">
        <v>3501</v>
      </c>
      <c r="E161" s="159" t="s">
        <v>800</v>
      </c>
      <c r="F161" s="159">
        <v>8</v>
      </c>
      <c r="G161" s="159">
        <v>27</v>
      </c>
      <c r="H161" s="159">
        <v>7</v>
      </c>
      <c r="I161" s="159" t="s">
        <v>479</v>
      </c>
      <c r="J161" s="159" t="s">
        <v>5585</v>
      </c>
      <c r="K161" s="159">
        <v>1</v>
      </c>
    </row>
    <row r="162" spans="1:11" ht="15.75" hidden="1" customHeight="1">
      <c r="A162" s="159" t="s">
        <v>3</v>
      </c>
      <c r="B162" s="159" t="s">
        <v>266</v>
      </c>
      <c r="C162" s="159" t="s">
        <v>5083</v>
      </c>
      <c r="D162" s="159" t="s">
        <v>3502</v>
      </c>
      <c r="E162" s="159" t="s">
        <v>477</v>
      </c>
      <c r="F162" s="159">
        <v>20</v>
      </c>
      <c r="G162" s="159">
        <v>0</v>
      </c>
      <c r="H162" s="159">
        <v>0</v>
      </c>
      <c r="I162" s="159" t="s">
        <v>479</v>
      </c>
      <c r="J162" s="159" t="s">
        <v>5579</v>
      </c>
      <c r="K162" s="159">
        <v>1</v>
      </c>
    </row>
    <row r="163" spans="1:11" ht="15.75" hidden="1" customHeight="1">
      <c r="A163" s="159" t="s">
        <v>3</v>
      </c>
      <c r="B163" s="159" t="s">
        <v>266</v>
      </c>
      <c r="C163" s="159" t="s">
        <v>5083</v>
      </c>
      <c r="D163" s="159" t="s">
        <v>465</v>
      </c>
      <c r="E163" s="159" t="s">
        <v>800</v>
      </c>
      <c r="F163" s="159">
        <v>8</v>
      </c>
      <c r="G163" s="159">
        <v>27</v>
      </c>
      <c r="H163" s="159">
        <v>7</v>
      </c>
      <c r="I163" s="159" t="s">
        <v>479</v>
      </c>
      <c r="J163" s="159" t="s">
        <v>5585</v>
      </c>
      <c r="K163" s="159">
        <v>1</v>
      </c>
    </row>
    <row r="164" spans="1:11" ht="15.75" hidden="1" customHeight="1">
      <c r="A164" s="159" t="s">
        <v>3</v>
      </c>
      <c r="B164" s="159" t="s">
        <v>266</v>
      </c>
      <c r="C164" s="159" t="s">
        <v>5083</v>
      </c>
      <c r="D164" s="159" t="s">
        <v>5586</v>
      </c>
      <c r="E164" s="159" t="s">
        <v>800</v>
      </c>
      <c r="F164" s="159">
        <v>8</v>
      </c>
      <c r="G164" s="159">
        <v>27</v>
      </c>
      <c r="H164" s="159">
        <v>7</v>
      </c>
      <c r="I164" s="159" t="s">
        <v>479</v>
      </c>
      <c r="J164" s="159" t="s">
        <v>5585</v>
      </c>
      <c r="K164" s="159">
        <v>1</v>
      </c>
    </row>
    <row r="165" spans="1:11" ht="15.75" hidden="1" customHeight="1">
      <c r="A165" s="159" t="s">
        <v>3</v>
      </c>
      <c r="B165" s="159" t="s">
        <v>266</v>
      </c>
      <c r="C165" s="159" t="s">
        <v>5083</v>
      </c>
      <c r="D165" s="159" t="s">
        <v>3950</v>
      </c>
      <c r="E165" s="159" t="s">
        <v>1631</v>
      </c>
      <c r="F165" s="159">
        <v>8</v>
      </c>
      <c r="G165" s="159">
        <v>19</v>
      </c>
      <c r="H165" s="159">
        <v>0</v>
      </c>
      <c r="I165" s="159" t="s">
        <v>479</v>
      </c>
      <c r="J165" s="159" t="s">
        <v>615</v>
      </c>
      <c r="K165" s="159">
        <v>1</v>
      </c>
    </row>
    <row r="166" spans="1:11" ht="15.75" hidden="1" customHeight="1">
      <c r="A166" s="159" t="s">
        <v>3</v>
      </c>
      <c r="B166" s="159" t="s">
        <v>266</v>
      </c>
      <c r="C166" s="159" t="s">
        <v>5083</v>
      </c>
      <c r="D166" s="159" t="s">
        <v>5643</v>
      </c>
      <c r="E166" s="159" t="s">
        <v>477</v>
      </c>
      <c r="F166" s="159">
        <v>450</v>
      </c>
      <c r="G166" s="159">
        <v>0</v>
      </c>
      <c r="H166" s="159">
        <v>0</v>
      </c>
      <c r="I166" s="159" t="s">
        <v>479</v>
      </c>
      <c r="J166" s="159" t="s">
        <v>479</v>
      </c>
      <c r="K166" s="159">
        <v>1</v>
      </c>
    </row>
    <row r="167" spans="1:11" ht="15.75" hidden="1" customHeight="1">
      <c r="A167" s="159" t="s">
        <v>3</v>
      </c>
      <c r="B167" s="159" t="s">
        <v>266</v>
      </c>
      <c r="C167" s="159" t="s">
        <v>5083</v>
      </c>
      <c r="D167" s="159" t="s">
        <v>5644</v>
      </c>
      <c r="E167" s="159" t="s">
        <v>477</v>
      </c>
      <c r="F167" s="159">
        <v>6</v>
      </c>
      <c r="G167" s="159">
        <v>0</v>
      </c>
      <c r="H167" s="159">
        <v>0</v>
      </c>
      <c r="I167" s="159" t="s">
        <v>479</v>
      </c>
      <c r="J167" s="159" t="s">
        <v>548</v>
      </c>
      <c r="K167" s="159">
        <v>1</v>
      </c>
    </row>
    <row r="168" spans="1:11" ht="15.75" hidden="1" customHeight="1">
      <c r="A168" s="159" t="s">
        <v>3</v>
      </c>
      <c r="B168" s="159" t="s">
        <v>266</v>
      </c>
      <c r="C168" s="159" t="s">
        <v>5083</v>
      </c>
      <c r="D168" s="159" t="s">
        <v>5645</v>
      </c>
      <c r="E168" s="159" t="s">
        <v>477</v>
      </c>
      <c r="F168" s="159">
        <v>15</v>
      </c>
      <c r="G168" s="159">
        <v>0</v>
      </c>
      <c r="H168" s="159">
        <v>0</v>
      </c>
      <c r="I168" s="159" t="s">
        <v>479</v>
      </c>
      <c r="J168" s="159" t="s">
        <v>548</v>
      </c>
      <c r="K168" s="159">
        <v>1</v>
      </c>
    </row>
    <row r="169" spans="1:11" ht="15.75" hidden="1" customHeight="1">
      <c r="A169" s="159" t="s">
        <v>3</v>
      </c>
      <c r="B169" s="159" t="s">
        <v>266</v>
      </c>
      <c r="C169" s="159" t="s">
        <v>5085</v>
      </c>
      <c r="D169" s="159" t="s">
        <v>5086</v>
      </c>
      <c r="E169" s="159" t="s">
        <v>484</v>
      </c>
      <c r="F169" s="159">
        <v>4</v>
      </c>
      <c r="G169" s="159">
        <v>10</v>
      </c>
      <c r="H169" s="159">
        <v>0</v>
      </c>
      <c r="I169" s="159" t="s">
        <v>479</v>
      </c>
      <c r="J169" s="159" t="s">
        <v>479</v>
      </c>
      <c r="K169" s="159">
        <v>0</v>
      </c>
    </row>
    <row r="170" spans="1:11" ht="15.75" hidden="1" customHeight="1">
      <c r="A170" s="159" t="s">
        <v>3</v>
      </c>
      <c r="B170" s="159" t="s">
        <v>266</v>
      </c>
      <c r="C170" s="159" t="s">
        <v>5085</v>
      </c>
      <c r="D170" s="159" t="s">
        <v>5563</v>
      </c>
      <c r="E170" s="159" t="s">
        <v>484</v>
      </c>
      <c r="F170" s="159">
        <v>4</v>
      </c>
      <c r="G170" s="159">
        <v>10</v>
      </c>
      <c r="H170" s="159">
        <v>0</v>
      </c>
      <c r="I170" s="159" t="s">
        <v>479</v>
      </c>
      <c r="J170" s="159" t="s">
        <v>615</v>
      </c>
      <c r="K170" s="159">
        <v>0</v>
      </c>
    </row>
    <row r="171" spans="1:11" ht="15.75" hidden="1" customHeight="1">
      <c r="A171" s="159" t="s">
        <v>3</v>
      </c>
      <c r="B171" s="159" t="s">
        <v>266</v>
      </c>
      <c r="C171" s="159" t="s">
        <v>5085</v>
      </c>
      <c r="D171" s="159" t="s">
        <v>5565</v>
      </c>
      <c r="E171" s="159" t="s">
        <v>484</v>
      </c>
      <c r="F171" s="159">
        <v>4</v>
      </c>
      <c r="G171" s="159">
        <v>10</v>
      </c>
      <c r="H171" s="159">
        <v>0</v>
      </c>
      <c r="I171" s="159" t="s">
        <v>479</v>
      </c>
      <c r="J171" s="159" t="s">
        <v>615</v>
      </c>
      <c r="K171" s="159">
        <v>0</v>
      </c>
    </row>
    <row r="172" spans="1:11" ht="15.75" hidden="1" customHeight="1">
      <c r="A172" s="159" t="s">
        <v>3</v>
      </c>
      <c r="B172" s="159" t="s">
        <v>266</v>
      </c>
      <c r="C172" s="159" t="s">
        <v>5085</v>
      </c>
      <c r="D172" s="159" t="s">
        <v>5646</v>
      </c>
      <c r="E172" s="159" t="s">
        <v>477</v>
      </c>
      <c r="F172" s="159">
        <v>10</v>
      </c>
      <c r="G172" s="159">
        <v>0</v>
      </c>
      <c r="H172" s="159">
        <v>0</v>
      </c>
      <c r="I172" s="159" t="s">
        <v>479</v>
      </c>
      <c r="J172" s="159" t="s">
        <v>548</v>
      </c>
      <c r="K172" s="159">
        <v>0</v>
      </c>
    </row>
    <row r="173" spans="1:11" ht="15.75" hidden="1" customHeight="1">
      <c r="A173" s="159" t="s">
        <v>3</v>
      </c>
      <c r="B173" s="159" t="s">
        <v>266</v>
      </c>
      <c r="C173" s="159" t="s">
        <v>5085</v>
      </c>
      <c r="D173" s="159" t="s">
        <v>5647</v>
      </c>
      <c r="E173" s="159" t="s">
        <v>477</v>
      </c>
      <c r="F173" s="159">
        <v>255</v>
      </c>
      <c r="G173" s="159">
        <v>0</v>
      </c>
      <c r="H173" s="159">
        <v>0</v>
      </c>
      <c r="I173" s="159" t="s">
        <v>479</v>
      </c>
      <c r="J173" s="159" t="s">
        <v>548</v>
      </c>
      <c r="K173" s="159">
        <v>0</v>
      </c>
    </row>
    <row r="174" spans="1:11" ht="15.75" hidden="1" customHeight="1">
      <c r="A174" s="159" t="s">
        <v>3</v>
      </c>
      <c r="B174" s="159" t="s">
        <v>266</v>
      </c>
      <c r="C174" s="159" t="s">
        <v>5085</v>
      </c>
      <c r="D174" s="159" t="s">
        <v>5648</v>
      </c>
      <c r="E174" s="159" t="s">
        <v>477</v>
      </c>
      <c r="F174" s="159">
        <v>255</v>
      </c>
      <c r="G174" s="159">
        <v>0</v>
      </c>
      <c r="H174" s="159">
        <v>0</v>
      </c>
      <c r="I174" s="159" t="s">
        <v>479</v>
      </c>
      <c r="J174" s="159" t="s">
        <v>548</v>
      </c>
      <c r="K174" s="159">
        <v>0</v>
      </c>
    </row>
    <row r="175" spans="1:11" ht="15.75" hidden="1" customHeight="1">
      <c r="A175" s="159" t="s">
        <v>3</v>
      </c>
      <c r="B175" s="159" t="s">
        <v>266</v>
      </c>
      <c r="C175" s="159" t="s">
        <v>5085</v>
      </c>
      <c r="D175" s="159" t="s">
        <v>5649</v>
      </c>
      <c r="E175" s="159" t="s">
        <v>477</v>
      </c>
      <c r="F175" s="159">
        <v>255</v>
      </c>
      <c r="G175" s="159">
        <v>0</v>
      </c>
      <c r="H175" s="159">
        <v>0</v>
      </c>
      <c r="I175" s="159" t="s">
        <v>479</v>
      </c>
      <c r="J175" s="159" t="s">
        <v>548</v>
      </c>
      <c r="K175" s="159">
        <v>0</v>
      </c>
    </row>
    <row r="176" spans="1:11" ht="15.75" hidden="1" customHeight="1">
      <c r="A176" s="159" t="s">
        <v>3</v>
      </c>
      <c r="B176" s="159" t="s">
        <v>266</v>
      </c>
      <c r="C176" s="159" t="s">
        <v>5085</v>
      </c>
      <c r="D176" s="159" t="s">
        <v>5650</v>
      </c>
      <c r="E176" s="159" t="s">
        <v>477</v>
      </c>
      <c r="F176" s="159">
        <v>255</v>
      </c>
      <c r="G176" s="159">
        <v>0</v>
      </c>
      <c r="H176" s="159">
        <v>0</v>
      </c>
      <c r="I176" s="159" t="s">
        <v>479</v>
      </c>
      <c r="J176" s="159" t="s">
        <v>548</v>
      </c>
      <c r="K176" s="159">
        <v>0</v>
      </c>
    </row>
    <row r="177" spans="1:11" ht="15.75" hidden="1" customHeight="1">
      <c r="A177" s="159" t="s">
        <v>3</v>
      </c>
      <c r="B177" s="159" t="s">
        <v>266</v>
      </c>
      <c r="C177" s="159" t="s">
        <v>5085</v>
      </c>
      <c r="D177" s="159" t="s">
        <v>4633</v>
      </c>
      <c r="E177" s="159" t="s">
        <v>477</v>
      </c>
      <c r="F177" s="159">
        <v>100</v>
      </c>
      <c r="G177" s="159">
        <v>0</v>
      </c>
      <c r="H177" s="159">
        <v>0</v>
      </c>
      <c r="I177" s="159" t="s">
        <v>479</v>
      </c>
      <c r="J177" s="159" t="s">
        <v>548</v>
      </c>
      <c r="K177" s="159">
        <v>0</v>
      </c>
    </row>
    <row r="178" spans="1:11" ht="15.75" hidden="1" customHeight="1">
      <c r="A178" s="159" t="s">
        <v>3</v>
      </c>
      <c r="B178" s="159" t="s">
        <v>266</v>
      </c>
      <c r="C178" s="159" t="s">
        <v>5085</v>
      </c>
      <c r="D178" s="159" t="s">
        <v>4634</v>
      </c>
      <c r="E178" s="159" t="s">
        <v>477</v>
      </c>
      <c r="F178" s="159">
        <v>100</v>
      </c>
      <c r="G178" s="159">
        <v>0</v>
      </c>
      <c r="H178" s="159">
        <v>0</v>
      </c>
      <c r="I178" s="159" t="s">
        <v>479</v>
      </c>
      <c r="J178" s="159" t="s">
        <v>548</v>
      </c>
      <c r="K178" s="159">
        <v>0</v>
      </c>
    </row>
    <row r="179" spans="1:11" ht="15.75" hidden="1" customHeight="1">
      <c r="A179" s="159" t="s">
        <v>3</v>
      </c>
      <c r="B179" s="159" t="s">
        <v>266</v>
      </c>
      <c r="C179" s="159" t="s">
        <v>5085</v>
      </c>
      <c r="D179" s="159" t="s">
        <v>5651</v>
      </c>
      <c r="E179" s="159" t="s">
        <v>477</v>
      </c>
      <c r="F179" s="159">
        <v>100</v>
      </c>
      <c r="G179" s="159">
        <v>0</v>
      </c>
      <c r="H179" s="159">
        <v>0</v>
      </c>
      <c r="I179" s="159" t="s">
        <v>479</v>
      </c>
      <c r="J179" s="159" t="s">
        <v>548</v>
      </c>
      <c r="K179" s="159">
        <v>0</v>
      </c>
    </row>
    <row r="180" spans="1:11" ht="15.75" hidden="1" customHeight="1">
      <c r="A180" s="159" t="s">
        <v>3</v>
      </c>
      <c r="B180" s="159" t="s">
        <v>266</v>
      </c>
      <c r="C180" s="159" t="s">
        <v>5085</v>
      </c>
      <c r="D180" s="159" t="s">
        <v>5652</v>
      </c>
      <c r="E180" s="159" t="s">
        <v>477</v>
      </c>
      <c r="F180" s="159">
        <v>100</v>
      </c>
      <c r="G180" s="159">
        <v>0</v>
      </c>
      <c r="H180" s="159">
        <v>0</v>
      </c>
      <c r="I180" s="159" t="s">
        <v>479</v>
      </c>
      <c r="J180" s="159" t="s">
        <v>548</v>
      </c>
      <c r="K180" s="159">
        <v>0</v>
      </c>
    </row>
    <row r="181" spans="1:11" ht="15.75" hidden="1" customHeight="1">
      <c r="A181" s="159" t="s">
        <v>3</v>
      </c>
      <c r="B181" s="159" t="s">
        <v>266</v>
      </c>
      <c r="C181" s="159" t="s">
        <v>5085</v>
      </c>
      <c r="D181" s="159" t="s">
        <v>5653</v>
      </c>
      <c r="E181" s="159" t="s">
        <v>477</v>
      </c>
      <c r="F181" s="159">
        <v>100</v>
      </c>
      <c r="G181" s="159">
        <v>0</v>
      </c>
      <c r="H181" s="159">
        <v>0</v>
      </c>
      <c r="I181" s="159" t="s">
        <v>479</v>
      </c>
      <c r="J181" s="159" t="s">
        <v>548</v>
      </c>
      <c r="K181" s="159">
        <v>0</v>
      </c>
    </row>
    <row r="182" spans="1:11" ht="15.75" hidden="1" customHeight="1">
      <c r="A182" s="159" t="s">
        <v>3</v>
      </c>
      <c r="B182" s="159" t="s">
        <v>266</v>
      </c>
      <c r="C182" s="159" t="s">
        <v>5085</v>
      </c>
      <c r="D182" s="159" t="s">
        <v>5654</v>
      </c>
      <c r="E182" s="159" t="s">
        <v>477</v>
      </c>
      <c r="F182" s="159">
        <v>100</v>
      </c>
      <c r="G182" s="159">
        <v>0</v>
      </c>
      <c r="H182" s="159">
        <v>0</v>
      </c>
      <c r="I182" s="159" t="s">
        <v>479</v>
      </c>
      <c r="J182" s="159" t="s">
        <v>548</v>
      </c>
      <c r="K182" s="159">
        <v>0</v>
      </c>
    </row>
    <row r="183" spans="1:11" ht="15.75" hidden="1" customHeight="1">
      <c r="A183" s="159" t="s">
        <v>3</v>
      </c>
      <c r="B183" s="159" t="s">
        <v>266</v>
      </c>
      <c r="C183" s="159" t="s">
        <v>5085</v>
      </c>
      <c r="D183" s="159" t="s">
        <v>5655</v>
      </c>
      <c r="E183" s="159" t="s">
        <v>477</v>
      </c>
      <c r="F183" s="159">
        <v>100</v>
      </c>
      <c r="G183" s="159">
        <v>0</v>
      </c>
      <c r="H183" s="159">
        <v>0</v>
      </c>
      <c r="I183" s="159" t="s">
        <v>479</v>
      </c>
      <c r="J183" s="159" t="s">
        <v>548</v>
      </c>
      <c r="K183" s="159">
        <v>0</v>
      </c>
    </row>
    <row r="184" spans="1:11" ht="15.75" hidden="1" customHeight="1">
      <c r="A184" s="159" t="s">
        <v>3</v>
      </c>
      <c r="B184" s="159" t="s">
        <v>266</v>
      </c>
      <c r="C184" s="159" t="s">
        <v>5085</v>
      </c>
      <c r="D184" s="159" t="s">
        <v>2549</v>
      </c>
      <c r="E184" s="159" t="s">
        <v>477</v>
      </c>
      <c r="F184" s="159">
        <v>50</v>
      </c>
      <c r="G184" s="159">
        <v>0</v>
      </c>
      <c r="H184" s="159">
        <v>0</v>
      </c>
      <c r="I184" s="159" t="s">
        <v>479</v>
      </c>
      <c r="J184" s="159" t="s">
        <v>479</v>
      </c>
      <c r="K184" s="159">
        <v>0</v>
      </c>
    </row>
    <row r="185" spans="1:11" ht="15.75" hidden="1" customHeight="1">
      <c r="A185" s="159" t="s">
        <v>3</v>
      </c>
      <c r="B185" s="159" t="s">
        <v>266</v>
      </c>
      <c r="C185" s="159" t="s">
        <v>5085</v>
      </c>
      <c r="D185" s="159" t="s">
        <v>2551</v>
      </c>
      <c r="E185" s="159" t="s">
        <v>477</v>
      </c>
      <c r="F185" s="159">
        <v>20</v>
      </c>
      <c r="G185" s="159">
        <v>0</v>
      </c>
      <c r="H185" s="159">
        <v>0</v>
      </c>
      <c r="I185" s="159" t="s">
        <v>479</v>
      </c>
      <c r="J185" s="159" t="s">
        <v>548</v>
      </c>
      <c r="K185" s="159">
        <v>0</v>
      </c>
    </row>
    <row r="186" spans="1:11" ht="15.75" hidden="1" customHeight="1">
      <c r="A186" s="159" t="s">
        <v>3</v>
      </c>
      <c r="B186" s="159" t="s">
        <v>266</v>
      </c>
      <c r="C186" s="159" t="s">
        <v>5085</v>
      </c>
      <c r="D186" s="159" t="s">
        <v>5656</v>
      </c>
      <c r="E186" s="159" t="s">
        <v>477</v>
      </c>
      <c r="F186" s="159">
        <v>20</v>
      </c>
      <c r="G186" s="159">
        <v>0</v>
      </c>
      <c r="H186" s="159">
        <v>0</v>
      </c>
      <c r="I186" s="159" t="s">
        <v>479</v>
      </c>
      <c r="J186" s="159" t="s">
        <v>548</v>
      </c>
      <c r="K186" s="159">
        <v>0</v>
      </c>
    </row>
    <row r="187" spans="1:11" ht="15.75" hidden="1" customHeight="1">
      <c r="A187" s="159" t="s">
        <v>3</v>
      </c>
      <c r="B187" s="159" t="s">
        <v>266</v>
      </c>
      <c r="C187" s="159" t="s">
        <v>5085</v>
      </c>
      <c r="D187" s="159" t="s">
        <v>523</v>
      </c>
      <c r="E187" s="159" t="s">
        <v>477</v>
      </c>
      <c r="F187" s="159">
        <v>10</v>
      </c>
      <c r="G187" s="159">
        <v>0</v>
      </c>
      <c r="H187" s="159">
        <v>0</v>
      </c>
      <c r="I187" s="159" t="s">
        <v>479</v>
      </c>
      <c r="J187" s="159" t="s">
        <v>548</v>
      </c>
      <c r="K187" s="159">
        <v>0</v>
      </c>
    </row>
    <row r="188" spans="1:11" ht="15.75" hidden="1" customHeight="1">
      <c r="A188" s="159" t="s">
        <v>3</v>
      </c>
      <c r="B188" s="159" t="s">
        <v>266</v>
      </c>
      <c r="C188" s="159" t="s">
        <v>5085</v>
      </c>
      <c r="D188" s="159" t="s">
        <v>3515</v>
      </c>
      <c r="E188" s="159" t="s">
        <v>477</v>
      </c>
      <c r="F188" s="159">
        <v>100</v>
      </c>
      <c r="G188" s="159">
        <v>0</v>
      </c>
      <c r="H188" s="159">
        <v>0</v>
      </c>
      <c r="I188" s="159" t="s">
        <v>479</v>
      </c>
      <c r="J188" s="159" t="s">
        <v>548</v>
      </c>
      <c r="K188" s="159">
        <v>0</v>
      </c>
    </row>
    <row r="189" spans="1:11" ht="15.75" hidden="1" customHeight="1">
      <c r="A189" s="159" t="s">
        <v>3</v>
      </c>
      <c r="B189" s="159" t="s">
        <v>266</v>
      </c>
      <c r="C189" s="159" t="s">
        <v>5085</v>
      </c>
      <c r="D189" s="159" t="s">
        <v>669</v>
      </c>
      <c r="E189" s="159" t="s">
        <v>496</v>
      </c>
      <c r="F189" s="159">
        <v>4</v>
      </c>
      <c r="G189" s="159">
        <v>16</v>
      </c>
      <c r="H189" s="159">
        <v>0</v>
      </c>
      <c r="I189" s="159" t="s">
        <v>479</v>
      </c>
      <c r="J189" s="159" t="s">
        <v>1284</v>
      </c>
      <c r="K189" s="159">
        <v>0</v>
      </c>
    </row>
    <row r="190" spans="1:11" ht="15.75" hidden="1" customHeight="1">
      <c r="A190" s="159" t="s">
        <v>3</v>
      </c>
      <c r="B190" s="159" t="s">
        <v>266</v>
      </c>
      <c r="C190" s="159" t="s">
        <v>5085</v>
      </c>
      <c r="D190" s="159" t="s">
        <v>670</v>
      </c>
      <c r="E190" s="159" t="s">
        <v>477</v>
      </c>
      <c r="F190" s="159">
        <v>10</v>
      </c>
      <c r="G190" s="159">
        <v>0</v>
      </c>
      <c r="H190" s="159">
        <v>0</v>
      </c>
      <c r="I190" s="159" t="s">
        <v>479</v>
      </c>
      <c r="J190" s="159" t="s">
        <v>548</v>
      </c>
      <c r="K190" s="159">
        <v>0</v>
      </c>
    </row>
    <row r="191" spans="1:11" ht="15.75" hidden="1" customHeight="1">
      <c r="A191" s="159" t="s">
        <v>3</v>
      </c>
      <c r="B191" s="159" t="s">
        <v>266</v>
      </c>
      <c r="C191" s="159" t="s">
        <v>5085</v>
      </c>
      <c r="D191" s="159" t="s">
        <v>3516</v>
      </c>
      <c r="E191" s="159" t="s">
        <v>477</v>
      </c>
      <c r="F191" s="159">
        <v>100</v>
      </c>
      <c r="G191" s="159">
        <v>0</v>
      </c>
      <c r="H191" s="159">
        <v>0</v>
      </c>
      <c r="I191" s="159" t="s">
        <v>479</v>
      </c>
      <c r="J191" s="159" t="s">
        <v>548</v>
      </c>
      <c r="K191" s="159">
        <v>0</v>
      </c>
    </row>
    <row r="192" spans="1:11" ht="15.75" hidden="1" customHeight="1">
      <c r="A192" s="159" t="s">
        <v>3</v>
      </c>
      <c r="B192" s="159" t="s">
        <v>266</v>
      </c>
      <c r="C192" s="159" t="s">
        <v>5085</v>
      </c>
      <c r="D192" s="159" t="s">
        <v>215</v>
      </c>
      <c r="E192" s="159" t="s">
        <v>496</v>
      </c>
      <c r="F192" s="159">
        <v>4</v>
      </c>
      <c r="G192" s="159">
        <v>16</v>
      </c>
      <c r="H192" s="159">
        <v>0</v>
      </c>
      <c r="I192" s="159" t="s">
        <v>479</v>
      </c>
      <c r="J192" s="159" t="s">
        <v>1284</v>
      </c>
      <c r="K192" s="159">
        <v>0</v>
      </c>
    </row>
    <row r="193" spans="1:11" ht="15.75" hidden="1" customHeight="1">
      <c r="A193" s="159" t="s">
        <v>3</v>
      </c>
      <c r="B193" s="159" t="s">
        <v>266</v>
      </c>
      <c r="C193" s="159" t="s">
        <v>5085</v>
      </c>
      <c r="D193" s="159" t="s">
        <v>5657</v>
      </c>
      <c r="E193" s="159" t="s">
        <v>477</v>
      </c>
      <c r="F193" s="159">
        <v>3</v>
      </c>
      <c r="G193" s="159">
        <v>0</v>
      </c>
      <c r="H193" s="159">
        <v>0</v>
      </c>
      <c r="I193" s="159" t="s">
        <v>479</v>
      </c>
      <c r="J193" s="159" t="s">
        <v>596</v>
      </c>
      <c r="K193" s="159">
        <v>0</v>
      </c>
    </row>
    <row r="194" spans="1:11" ht="15.75" hidden="1" customHeight="1">
      <c r="A194" s="159" t="s">
        <v>3</v>
      </c>
      <c r="B194" s="159" t="s">
        <v>415</v>
      </c>
      <c r="C194" s="159" t="s">
        <v>5087</v>
      </c>
      <c r="D194" s="159" t="s">
        <v>5091</v>
      </c>
      <c r="E194" s="159" t="s">
        <v>477</v>
      </c>
      <c r="F194" s="159">
        <v>20</v>
      </c>
      <c r="G194" s="159">
        <v>0</v>
      </c>
      <c r="H194" s="159">
        <v>0</v>
      </c>
      <c r="I194" s="159" t="s">
        <v>479</v>
      </c>
      <c r="J194" s="159" t="s">
        <v>479</v>
      </c>
      <c r="K194" s="159">
        <v>0</v>
      </c>
    </row>
    <row r="195" spans="1:11" ht="15.75" hidden="1" customHeight="1">
      <c r="A195" s="159" t="s">
        <v>3</v>
      </c>
      <c r="B195" s="159" t="s">
        <v>415</v>
      </c>
      <c r="C195" s="159" t="s">
        <v>5087</v>
      </c>
      <c r="D195" s="159" t="s">
        <v>371</v>
      </c>
      <c r="E195" s="159" t="s">
        <v>477</v>
      </c>
      <c r="F195" s="159">
        <v>7</v>
      </c>
      <c r="G195" s="159">
        <v>0</v>
      </c>
      <c r="H195" s="159">
        <v>0</v>
      </c>
      <c r="I195" s="159" t="s">
        <v>479</v>
      </c>
      <c r="J195" s="159" t="s">
        <v>479</v>
      </c>
      <c r="K195" s="159">
        <v>0</v>
      </c>
    </row>
    <row r="196" spans="1:11" ht="15.75" hidden="1" customHeight="1">
      <c r="A196" s="159" t="s">
        <v>3</v>
      </c>
      <c r="B196" s="159" t="s">
        <v>415</v>
      </c>
      <c r="C196" s="159" t="s">
        <v>5087</v>
      </c>
      <c r="D196" s="159" t="s">
        <v>1826</v>
      </c>
      <c r="E196" s="159" t="s">
        <v>717</v>
      </c>
      <c r="F196" s="159">
        <v>9</v>
      </c>
      <c r="G196" s="159">
        <v>18</v>
      </c>
      <c r="H196" s="159">
        <v>2</v>
      </c>
      <c r="I196" s="159" t="s">
        <v>479</v>
      </c>
      <c r="J196" s="159" t="s">
        <v>479</v>
      </c>
      <c r="K196" s="159">
        <v>0</v>
      </c>
    </row>
    <row r="197" spans="1:11" ht="15.75" hidden="1" customHeight="1">
      <c r="A197" s="159" t="s">
        <v>3</v>
      </c>
      <c r="B197" s="159" t="s">
        <v>415</v>
      </c>
      <c r="C197" s="159" t="s">
        <v>5087</v>
      </c>
      <c r="D197" s="159" t="s">
        <v>5658</v>
      </c>
      <c r="E197" s="159" t="s">
        <v>717</v>
      </c>
      <c r="F197" s="159">
        <v>9</v>
      </c>
      <c r="G197" s="159">
        <v>18</v>
      </c>
      <c r="H197" s="159">
        <v>2</v>
      </c>
      <c r="I197" s="159" t="s">
        <v>479</v>
      </c>
      <c r="J197" s="159" t="s">
        <v>479</v>
      </c>
      <c r="K197" s="159">
        <v>0</v>
      </c>
    </row>
    <row r="198" spans="1:11" ht="15.75" hidden="1" customHeight="1">
      <c r="A198" s="159" t="s">
        <v>3</v>
      </c>
      <c r="B198" s="159" t="s">
        <v>415</v>
      </c>
      <c r="C198" s="159" t="s">
        <v>5087</v>
      </c>
      <c r="D198" s="159" t="s">
        <v>5634</v>
      </c>
      <c r="E198" s="159" t="s">
        <v>717</v>
      </c>
      <c r="F198" s="159">
        <v>9</v>
      </c>
      <c r="G198" s="159">
        <v>18</v>
      </c>
      <c r="H198" s="159">
        <v>2</v>
      </c>
      <c r="I198" s="159" t="s">
        <v>479</v>
      </c>
      <c r="J198" s="159" t="s">
        <v>479</v>
      </c>
      <c r="K198" s="159">
        <v>0</v>
      </c>
    </row>
    <row r="199" spans="1:11" ht="15.75" hidden="1" customHeight="1">
      <c r="A199" s="159" t="s">
        <v>3</v>
      </c>
      <c r="B199" s="159" t="s">
        <v>415</v>
      </c>
      <c r="C199" s="159" t="s">
        <v>5087</v>
      </c>
      <c r="D199" s="159" t="s">
        <v>5552</v>
      </c>
      <c r="E199" s="159" t="s">
        <v>717</v>
      </c>
      <c r="F199" s="159">
        <v>9</v>
      </c>
      <c r="G199" s="159">
        <v>18</v>
      </c>
      <c r="H199" s="159">
        <v>2</v>
      </c>
      <c r="I199" s="159" t="s">
        <v>479</v>
      </c>
      <c r="J199" s="159" t="s">
        <v>479</v>
      </c>
      <c r="K199" s="159">
        <v>0</v>
      </c>
    </row>
    <row r="200" spans="1:11" ht="15.75" hidden="1" customHeight="1">
      <c r="A200" s="159" t="s">
        <v>3</v>
      </c>
      <c r="B200" s="159" t="s">
        <v>415</v>
      </c>
      <c r="C200" s="159" t="s">
        <v>5087</v>
      </c>
      <c r="D200" s="159" t="s">
        <v>5635</v>
      </c>
      <c r="E200" s="159" t="s">
        <v>4835</v>
      </c>
      <c r="F200" s="159">
        <v>1</v>
      </c>
      <c r="G200" s="159">
        <v>1</v>
      </c>
      <c r="H200" s="159">
        <v>0</v>
      </c>
      <c r="I200" s="159" t="s">
        <v>479</v>
      </c>
      <c r="J200" s="159" t="s">
        <v>479</v>
      </c>
      <c r="K200" s="159">
        <v>1</v>
      </c>
    </row>
    <row r="201" spans="1:11" ht="15.75" hidden="1" customHeight="1">
      <c r="A201" s="159" t="s">
        <v>3</v>
      </c>
      <c r="B201" s="159" t="s">
        <v>415</v>
      </c>
      <c r="C201" s="159" t="s">
        <v>5087</v>
      </c>
      <c r="D201" s="159" t="s">
        <v>523</v>
      </c>
      <c r="E201" s="159" t="s">
        <v>477</v>
      </c>
      <c r="F201" s="159">
        <v>20</v>
      </c>
      <c r="G201" s="159">
        <v>0</v>
      </c>
      <c r="H201" s="159">
        <v>0</v>
      </c>
      <c r="I201" s="159" t="s">
        <v>479</v>
      </c>
      <c r="J201" s="159" t="s">
        <v>479</v>
      </c>
      <c r="K201" s="159">
        <v>1</v>
      </c>
    </row>
    <row r="202" spans="1:11" ht="15.75" hidden="1" customHeight="1">
      <c r="A202" s="159" t="s">
        <v>3</v>
      </c>
      <c r="B202" s="159" t="s">
        <v>415</v>
      </c>
      <c r="C202" s="159" t="s">
        <v>5087</v>
      </c>
      <c r="D202" s="159" t="s">
        <v>3515</v>
      </c>
      <c r="E202" s="159" t="s">
        <v>477</v>
      </c>
      <c r="F202" s="159">
        <v>100</v>
      </c>
      <c r="G202" s="159">
        <v>0</v>
      </c>
      <c r="H202" s="159">
        <v>0</v>
      </c>
      <c r="I202" s="159" t="s">
        <v>479</v>
      </c>
      <c r="J202" s="159" t="s">
        <v>479</v>
      </c>
      <c r="K202" s="159">
        <v>1</v>
      </c>
    </row>
    <row r="203" spans="1:11" ht="15.75" hidden="1" customHeight="1">
      <c r="A203" s="159" t="s">
        <v>3</v>
      </c>
      <c r="B203" s="159" t="s">
        <v>415</v>
      </c>
      <c r="C203" s="159" t="s">
        <v>5087</v>
      </c>
      <c r="D203" s="159" t="s">
        <v>669</v>
      </c>
      <c r="E203" s="159" t="s">
        <v>538</v>
      </c>
      <c r="F203" s="159">
        <v>8</v>
      </c>
      <c r="G203" s="159">
        <v>23</v>
      </c>
      <c r="H203" s="159">
        <v>3</v>
      </c>
      <c r="I203" s="159" t="s">
        <v>479</v>
      </c>
      <c r="J203" s="159" t="s">
        <v>479</v>
      </c>
      <c r="K203" s="159">
        <v>1</v>
      </c>
    </row>
    <row r="204" spans="1:11" ht="15.75" hidden="1" customHeight="1">
      <c r="A204" s="159" t="s">
        <v>3</v>
      </c>
      <c r="B204" s="159" t="s">
        <v>415</v>
      </c>
      <c r="C204" s="159" t="s">
        <v>5087</v>
      </c>
      <c r="D204" s="159" t="s">
        <v>670</v>
      </c>
      <c r="E204" s="159" t="s">
        <v>477</v>
      </c>
      <c r="F204" s="159">
        <v>20</v>
      </c>
      <c r="G204" s="159">
        <v>0</v>
      </c>
      <c r="H204" s="159">
        <v>0</v>
      </c>
      <c r="I204" s="159" t="s">
        <v>479</v>
      </c>
      <c r="J204" s="159" t="s">
        <v>479</v>
      </c>
      <c r="K204" s="159">
        <v>1</v>
      </c>
    </row>
    <row r="205" spans="1:11" ht="15.75" hidden="1" customHeight="1">
      <c r="A205" s="159" t="s">
        <v>3</v>
      </c>
      <c r="B205" s="159" t="s">
        <v>415</v>
      </c>
      <c r="C205" s="159" t="s">
        <v>5087</v>
      </c>
      <c r="D205" s="159" t="s">
        <v>3516</v>
      </c>
      <c r="E205" s="159" t="s">
        <v>477</v>
      </c>
      <c r="F205" s="159">
        <v>100</v>
      </c>
      <c r="G205" s="159">
        <v>0</v>
      </c>
      <c r="H205" s="159">
        <v>0</v>
      </c>
      <c r="I205" s="159" t="s">
        <v>479</v>
      </c>
      <c r="J205" s="159" t="s">
        <v>479</v>
      </c>
      <c r="K205" s="159">
        <v>1</v>
      </c>
    </row>
    <row r="206" spans="1:11" ht="15.75" hidden="1" customHeight="1">
      <c r="A206" s="159" t="s">
        <v>3</v>
      </c>
      <c r="B206" s="159" t="s">
        <v>415</v>
      </c>
      <c r="C206" s="159" t="s">
        <v>5087</v>
      </c>
      <c r="D206" s="159" t="s">
        <v>215</v>
      </c>
      <c r="E206" s="159" t="s">
        <v>538</v>
      </c>
      <c r="F206" s="159">
        <v>8</v>
      </c>
      <c r="G206" s="159">
        <v>23</v>
      </c>
      <c r="H206" s="159">
        <v>3</v>
      </c>
      <c r="I206" s="159" t="s">
        <v>479</v>
      </c>
      <c r="J206" s="159" t="s">
        <v>479</v>
      </c>
      <c r="K206" s="159">
        <v>1</v>
      </c>
    </row>
    <row r="207" spans="1:11" ht="15.75" hidden="1" customHeight="1">
      <c r="A207" s="159" t="s">
        <v>3</v>
      </c>
      <c r="B207" s="159" t="s">
        <v>415</v>
      </c>
      <c r="C207" s="159" t="s">
        <v>5087</v>
      </c>
      <c r="D207" s="159" t="s">
        <v>2336</v>
      </c>
      <c r="E207" s="159" t="s">
        <v>477</v>
      </c>
      <c r="F207" s="159">
        <v>10</v>
      </c>
      <c r="G207" s="159">
        <v>0</v>
      </c>
      <c r="H207" s="159">
        <v>0</v>
      </c>
      <c r="I207" s="159" t="s">
        <v>5659</v>
      </c>
      <c r="J207" s="159" t="s">
        <v>596</v>
      </c>
      <c r="K207" s="159">
        <v>0</v>
      </c>
    </row>
    <row r="208" spans="1:11" ht="15.75" hidden="1" customHeight="1">
      <c r="A208" s="159" t="s">
        <v>3</v>
      </c>
      <c r="B208" s="159" t="s">
        <v>415</v>
      </c>
      <c r="C208" s="159" t="s">
        <v>5090</v>
      </c>
      <c r="D208" s="159" t="s">
        <v>5091</v>
      </c>
      <c r="E208" s="159" t="s">
        <v>477</v>
      </c>
      <c r="F208" s="159">
        <v>20</v>
      </c>
      <c r="G208" s="159">
        <v>0</v>
      </c>
      <c r="H208" s="159">
        <v>0</v>
      </c>
      <c r="I208" s="159" t="s">
        <v>479</v>
      </c>
      <c r="J208" s="159" t="s">
        <v>479</v>
      </c>
      <c r="K208" s="159">
        <v>0</v>
      </c>
    </row>
    <row r="209" spans="1:11" ht="15.75" hidden="1" customHeight="1">
      <c r="A209" s="159" t="s">
        <v>3</v>
      </c>
      <c r="B209" s="159" t="s">
        <v>415</v>
      </c>
      <c r="C209" s="159" t="s">
        <v>5090</v>
      </c>
      <c r="D209" s="159" t="s">
        <v>5528</v>
      </c>
      <c r="E209" s="159" t="s">
        <v>477</v>
      </c>
      <c r="F209" s="159">
        <v>20</v>
      </c>
      <c r="G209" s="159">
        <v>0</v>
      </c>
      <c r="H209" s="159">
        <v>0</v>
      </c>
      <c r="I209" s="159" t="s">
        <v>479</v>
      </c>
      <c r="J209" s="159" t="s">
        <v>479</v>
      </c>
      <c r="K209" s="159">
        <v>0</v>
      </c>
    </row>
    <row r="210" spans="1:11" ht="15.75" hidden="1" customHeight="1">
      <c r="A210" s="159" t="s">
        <v>3</v>
      </c>
      <c r="B210" s="159" t="s">
        <v>415</v>
      </c>
      <c r="C210" s="159" t="s">
        <v>5090</v>
      </c>
      <c r="D210" s="159" t="s">
        <v>5531</v>
      </c>
      <c r="E210" s="159" t="s">
        <v>477</v>
      </c>
      <c r="F210" s="159">
        <v>10</v>
      </c>
      <c r="G210" s="159">
        <v>0</v>
      </c>
      <c r="H210" s="159">
        <v>0</v>
      </c>
      <c r="I210" s="159" t="s">
        <v>479</v>
      </c>
      <c r="J210" s="159" t="s">
        <v>479</v>
      </c>
      <c r="K210" s="159">
        <v>0</v>
      </c>
    </row>
    <row r="211" spans="1:11" ht="15.75" hidden="1" customHeight="1">
      <c r="A211" s="159" t="s">
        <v>3</v>
      </c>
      <c r="B211" s="159" t="s">
        <v>415</v>
      </c>
      <c r="C211" s="159" t="s">
        <v>5090</v>
      </c>
      <c r="D211" s="159" t="s">
        <v>5532</v>
      </c>
      <c r="E211" s="159" t="s">
        <v>538</v>
      </c>
      <c r="F211" s="159">
        <v>8</v>
      </c>
      <c r="G211" s="159">
        <v>23</v>
      </c>
      <c r="H211" s="159">
        <v>3</v>
      </c>
      <c r="I211" s="159" t="s">
        <v>479</v>
      </c>
      <c r="J211" s="159" t="s">
        <v>479</v>
      </c>
      <c r="K211" s="159">
        <v>0</v>
      </c>
    </row>
    <row r="212" spans="1:11" ht="15.75" hidden="1" customHeight="1">
      <c r="A212" s="159" t="s">
        <v>3</v>
      </c>
      <c r="B212" s="159" t="s">
        <v>415</v>
      </c>
      <c r="C212" s="159" t="s">
        <v>5090</v>
      </c>
      <c r="D212" s="159" t="s">
        <v>5536</v>
      </c>
      <c r="E212" s="159" t="s">
        <v>477</v>
      </c>
      <c r="F212" s="159">
        <v>50</v>
      </c>
      <c r="G212" s="159">
        <v>0</v>
      </c>
      <c r="H212" s="159">
        <v>0</v>
      </c>
      <c r="I212" s="159" t="s">
        <v>479</v>
      </c>
      <c r="J212" s="159" t="s">
        <v>479</v>
      </c>
      <c r="K212" s="159">
        <v>0</v>
      </c>
    </row>
    <row r="213" spans="1:11" ht="15.75" hidden="1" customHeight="1">
      <c r="A213" s="159" t="s">
        <v>3</v>
      </c>
      <c r="B213" s="159" t="s">
        <v>415</v>
      </c>
      <c r="C213" s="159" t="s">
        <v>5090</v>
      </c>
      <c r="D213" s="159" t="s">
        <v>5537</v>
      </c>
      <c r="E213" s="159" t="s">
        <v>477</v>
      </c>
      <c r="F213" s="159">
        <v>20</v>
      </c>
      <c r="G213" s="159">
        <v>0</v>
      </c>
      <c r="H213" s="159">
        <v>0</v>
      </c>
      <c r="I213" s="159" t="s">
        <v>479</v>
      </c>
      <c r="J213" s="159" t="s">
        <v>479</v>
      </c>
      <c r="K213" s="159">
        <v>0</v>
      </c>
    </row>
    <row r="214" spans="1:11" ht="15.75" hidden="1" customHeight="1">
      <c r="A214" s="159" t="s">
        <v>3</v>
      </c>
      <c r="B214" s="159" t="s">
        <v>415</v>
      </c>
      <c r="C214" s="159" t="s">
        <v>5090</v>
      </c>
      <c r="D214" s="159" t="s">
        <v>5538</v>
      </c>
      <c r="E214" s="159" t="s">
        <v>477</v>
      </c>
      <c r="F214" s="159">
        <v>55</v>
      </c>
      <c r="G214" s="159">
        <v>0</v>
      </c>
      <c r="H214" s="159">
        <v>0</v>
      </c>
      <c r="I214" s="159" t="s">
        <v>479</v>
      </c>
      <c r="J214" s="159" t="s">
        <v>479</v>
      </c>
      <c r="K214" s="159">
        <v>0</v>
      </c>
    </row>
    <row r="215" spans="1:11" ht="15.75" hidden="1" customHeight="1">
      <c r="A215" s="159" t="s">
        <v>3</v>
      </c>
      <c r="B215" s="159" t="s">
        <v>415</v>
      </c>
      <c r="C215" s="159" t="s">
        <v>5090</v>
      </c>
      <c r="D215" s="159" t="s">
        <v>5539</v>
      </c>
      <c r="E215" s="159" t="s">
        <v>477</v>
      </c>
      <c r="F215" s="159">
        <v>110</v>
      </c>
      <c r="G215" s="159">
        <v>0</v>
      </c>
      <c r="H215" s="159">
        <v>0</v>
      </c>
      <c r="I215" s="159" t="s">
        <v>479</v>
      </c>
      <c r="J215" s="159" t="s">
        <v>479</v>
      </c>
      <c r="K215" s="159">
        <v>1</v>
      </c>
    </row>
    <row r="216" spans="1:11" ht="15.75" hidden="1" customHeight="1">
      <c r="A216" s="159" t="s">
        <v>3</v>
      </c>
      <c r="B216" s="159" t="s">
        <v>415</v>
      </c>
      <c r="C216" s="159" t="s">
        <v>5090</v>
      </c>
      <c r="D216" s="159" t="s">
        <v>5540</v>
      </c>
      <c r="E216" s="159" t="s">
        <v>477</v>
      </c>
      <c r="F216" s="159">
        <v>55</v>
      </c>
      <c r="G216" s="159">
        <v>0</v>
      </c>
      <c r="H216" s="159">
        <v>0</v>
      </c>
      <c r="I216" s="159" t="s">
        <v>479</v>
      </c>
      <c r="J216" s="159" t="s">
        <v>479</v>
      </c>
      <c r="K216" s="159">
        <v>0</v>
      </c>
    </row>
    <row r="217" spans="1:11" ht="15.75" hidden="1" customHeight="1">
      <c r="A217" s="159" t="s">
        <v>3</v>
      </c>
      <c r="B217" s="159" t="s">
        <v>415</v>
      </c>
      <c r="C217" s="159" t="s">
        <v>5090</v>
      </c>
      <c r="D217" s="159" t="s">
        <v>5541</v>
      </c>
      <c r="E217" s="159" t="s">
        <v>477</v>
      </c>
      <c r="F217" s="159">
        <v>55</v>
      </c>
      <c r="G217" s="159">
        <v>0</v>
      </c>
      <c r="H217" s="159">
        <v>0</v>
      </c>
      <c r="I217" s="159" t="s">
        <v>479</v>
      </c>
      <c r="J217" s="159" t="s">
        <v>479</v>
      </c>
      <c r="K217" s="159">
        <v>0</v>
      </c>
    </row>
    <row r="218" spans="1:11" ht="15.75" hidden="1" customHeight="1">
      <c r="A218" s="159" t="s">
        <v>3</v>
      </c>
      <c r="B218" s="159" t="s">
        <v>415</v>
      </c>
      <c r="C218" s="159" t="s">
        <v>5090</v>
      </c>
      <c r="D218" s="159" t="s">
        <v>5542</v>
      </c>
      <c r="E218" s="159" t="s">
        <v>477</v>
      </c>
      <c r="F218" s="159">
        <v>100</v>
      </c>
      <c r="G218" s="159">
        <v>0</v>
      </c>
      <c r="H218" s="159">
        <v>0</v>
      </c>
      <c r="I218" s="159" t="s">
        <v>479</v>
      </c>
      <c r="J218" s="159" t="s">
        <v>479</v>
      </c>
      <c r="K218" s="159">
        <v>0</v>
      </c>
    </row>
    <row r="219" spans="1:11" ht="15.75" hidden="1" customHeight="1">
      <c r="A219" s="159" t="s">
        <v>3</v>
      </c>
      <c r="B219" s="159" t="s">
        <v>415</v>
      </c>
      <c r="C219" s="159" t="s">
        <v>5090</v>
      </c>
      <c r="D219" s="159" t="s">
        <v>5543</v>
      </c>
      <c r="E219" s="159" t="s">
        <v>477</v>
      </c>
      <c r="F219" s="159">
        <v>100</v>
      </c>
      <c r="G219" s="159">
        <v>0</v>
      </c>
      <c r="H219" s="159">
        <v>0</v>
      </c>
      <c r="I219" s="159" t="s">
        <v>479</v>
      </c>
      <c r="J219" s="159" t="s">
        <v>479</v>
      </c>
      <c r="K219" s="159">
        <v>0</v>
      </c>
    </row>
    <row r="220" spans="1:11" ht="15.75" hidden="1" customHeight="1">
      <c r="A220" s="159" t="s">
        <v>3</v>
      </c>
      <c r="B220" s="159" t="s">
        <v>415</v>
      </c>
      <c r="C220" s="159" t="s">
        <v>5090</v>
      </c>
      <c r="D220" s="159" t="s">
        <v>5544</v>
      </c>
      <c r="E220" s="159" t="s">
        <v>477</v>
      </c>
      <c r="F220" s="159">
        <v>20</v>
      </c>
      <c r="G220" s="159">
        <v>0</v>
      </c>
      <c r="H220" s="159">
        <v>0</v>
      </c>
      <c r="I220" s="159" t="s">
        <v>479</v>
      </c>
      <c r="J220" s="159" t="s">
        <v>479</v>
      </c>
      <c r="K220" s="159">
        <v>0</v>
      </c>
    </row>
    <row r="221" spans="1:11" ht="15.75" hidden="1" customHeight="1">
      <c r="A221" s="159" t="s">
        <v>3</v>
      </c>
      <c r="B221" s="159" t="s">
        <v>415</v>
      </c>
      <c r="C221" s="159" t="s">
        <v>5090</v>
      </c>
      <c r="D221" s="159" t="s">
        <v>5545</v>
      </c>
      <c r="E221" s="159" t="s">
        <v>477</v>
      </c>
      <c r="F221" s="159">
        <v>10</v>
      </c>
      <c r="G221" s="159">
        <v>0</v>
      </c>
      <c r="H221" s="159">
        <v>0</v>
      </c>
      <c r="I221" s="159" t="s">
        <v>479</v>
      </c>
      <c r="J221" s="159" t="s">
        <v>479</v>
      </c>
      <c r="K221" s="159">
        <v>0</v>
      </c>
    </row>
    <row r="222" spans="1:11" ht="15.75" hidden="1" customHeight="1">
      <c r="A222" s="159" t="s">
        <v>3</v>
      </c>
      <c r="B222" s="159" t="s">
        <v>415</v>
      </c>
      <c r="C222" s="159" t="s">
        <v>5090</v>
      </c>
      <c r="D222" s="159" t="s">
        <v>5546</v>
      </c>
      <c r="E222" s="159" t="s">
        <v>477</v>
      </c>
      <c r="F222" s="159">
        <v>100</v>
      </c>
      <c r="G222" s="159">
        <v>0</v>
      </c>
      <c r="H222" s="159">
        <v>0</v>
      </c>
      <c r="I222" s="159" t="s">
        <v>479</v>
      </c>
      <c r="J222" s="159" t="s">
        <v>479</v>
      </c>
      <c r="K222" s="159">
        <v>1</v>
      </c>
    </row>
    <row r="223" spans="1:11" ht="15.75" hidden="1" customHeight="1">
      <c r="A223" s="159" t="s">
        <v>3</v>
      </c>
      <c r="B223" s="159" t="s">
        <v>415</v>
      </c>
      <c r="C223" s="159" t="s">
        <v>5090</v>
      </c>
      <c r="D223" s="159" t="s">
        <v>5547</v>
      </c>
      <c r="E223" s="159" t="s">
        <v>477</v>
      </c>
      <c r="F223" s="159">
        <v>50</v>
      </c>
      <c r="G223" s="159">
        <v>0</v>
      </c>
      <c r="H223" s="159">
        <v>0</v>
      </c>
      <c r="I223" s="159" t="s">
        <v>479</v>
      </c>
      <c r="J223" s="159" t="s">
        <v>479</v>
      </c>
      <c r="K223" s="159">
        <v>0</v>
      </c>
    </row>
    <row r="224" spans="1:11" ht="15.75" hidden="1" customHeight="1">
      <c r="A224" s="159" t="s">
        <v>3</v>
      </c>
      <c r="B224" s="159" t="s">
        <v>415</v>
      </c>
      <c r="C224" s="159" t="s">
        <v>5090</v>
      </c>
      <c r="D224" s="159" t="s">
        <v>5548</v>
      </c>
      <c r="E224" s="159" t="s">
        <v>477</v>
      </c>
      <c r="F224" s="159">
        <v>20</v>
      </c>
      <c r="G224" s="159">
        <v>0</v>
      </c>
      <c r="H224" s="159">
        <v>0</v>
      </c>
      <c r="I224" s="159" t="s">
        <v>479</v>
      </c>
      <c r="J224" s="159" t="s">
        <v>479</v>
      </c>
      <c r="K224" s="159">
        <v>1</v>
      </c>
    </row>
    <row r="225" spans="1:11" ht="15.75" hidden="1" customHeight="1">
      <c r="A225" s="159" t="s">
        <v>3</v>
      </c>
      <c r="B225" s="159" t="s">
        <v>415</v>
      </c>
      <c r="C225" s="159" t="s">
        <v>5090</v>
      </c>
      <c r="D225" s="159" t="s">
        <v>5549</v>
      </c>
      <c r="E225" s="159" t="s">
        <v>477</v>
      </c>
      <c r="F225" s="159">
        <v>20</v>
      </c>
      <c r="G225" s="159">
        <v>0</v>
      </c>
      <c r="H225" s="159">
        <v>0</v>
      </c>
      <c r="I225" s="159" t="s">
        <v>479</v>
      </c>
      <c r="J225" s="159" t="s">
        <v>479</v>
      </c>
      <c r="K225" s="159">
        <v>1</v>
      </c>
    </row>
    <row r="226" spans="1:11" ht="15.75" hidden="1" customHeight="1">
      <c r="A226" s="159" t="s">
        <v>3</v>
      </c>
      <c r="B226" s="159" t="s">
        <v>415</v>
      </c>
      <c r="C226" s="159" t="s">
        <v>5090</v>
      </c>
      <c r="D226" s="159" t="s">
        <v>5550</v>
      </c>
      <c r="E226" s="159" t="s">
        <v>477</v>
      </c>
      <c r="F226" s="159">
        <v>100</v>
      </c>
      <c r="G226" s="159">
        <v>0</v>
      </c>
      <c r="H226" s="159">
        <v>0</v>
      </c>
      <c r="I226" s="159" t="s">
        <v>479</v>
      </c>
      <c r="J226" s="159" t="s">
        <v>479</v>
      </c>
      <c r="K226" s="159">
        <v>0</v>
      </c>
    </row>
    <row r="227" spans="1:11" ht="15.75" hidden="1" customHeight="1">
      <c r="A227" s="159" t="s">
        <v>3</v>
      </c>
      <c r="B227" s="159" t="s">
        <v>415</v>
      </c>
      <c r="C227" s="159" t="s">
        <v>5090</v>
      </c>
      <c r="D227" s="159" t="s">
        <v>5551</v>
      </c>
      <c r="E227" s="159" t="s">
        <v>477</v>
      </c>
      <c r="F227" s="159">
        <v>20</v>
      </c>
      <c r="G227" s="159">
        <v>0</v>
      </c>
      <c r="H227" s="159">
        <v>0</v>
      </c>
      <c r="I227" s="159" t="s">
        <v>479</v>
      </c>
      <c r="J227" s="159" t="s">
        <v>479</v>
      </c>
      <c r="K227" s="159">
        <v>0</v>
      </c>
    </row>
    <row r="228" spans="1:11" ht="15.75" hidden="1" customHeight="1">
      <c r="A228" s="159" t="s">
        <v>3</v>
      </c>
      <c r="B228" s="159" t="s">
        <v>415</v>
      </c>
      <c r="C228" s="159" t="s">
        <v>5090</v>
      </c>
      <c r="D228" s="159" t="s">
        <v>5552</v>
      </c>
      <c r="E228" s="159" t="s">
        <v>717</v>
      </c>
      <c r="F228" s="159">
        <v>9</v>
      </c>
      <c r="G228" s="159">
        <v>18</v>
      </c>
      <c r="H228" s="159">
        <v>2</v>
      </c>
      <c r="I228" s="159" t="s">
        <v>479</v>
      </c>
      <c r="J228" s="159" t="s">
        <v>479</v>
      </c>
      <c r="K228" s="159">
        <v>1</v>
      </c>
    </row>
    <row r="229" spans="1:11" ht="15.75" hidden="1" customHeight="1">
      <c r="A229" s="159" t="s">
        <v>3</v>
      </c>
      <c r="B229" s="159" t="s">
        <v>415</v>
      </c>
      <c r="C229" s="159" t="s">
        <v>5090</v>
      </c>
      <c r="D229" s="159" t="s">
        <v>5553</v>
      </c>
      <c r="E229" s="159" t="s">
        <v>717</v>
      </c>
      <c r="F229" s="159">
        <v>9</v>
      </c>
      <c r="G229" s="159">
        <v>18</v>
      </c>
      <c r="H229" s="159">
        <v>2</v>
      </c>
      <c r="I229" s="159" t="s">
        <v>479</v>
      </c>
      <c r="J229" s="159" t="s">
        <v>479</v>
      </c>
      <c r="K229" s="159">
        <v>1</v>
      </c>
    </row>
    <row r="230" spans="1:11" ht="15.75" hidden="1" customHeight="1">
      <c r="A230" s="159" t="s">
        <v>3</v>
      </c>
      <c r="B230" s="159" t="s">
        <v>415</v>
      </c>
      <c r="C230" s="159" t="s">
        <v>5090</v>
      </c>
      <c r="D230" s="159" t="s">
        <v>5554</v>
      </c>
      <c r="E230" s="159" t="s">
        <v>717</v>
      </c>
      <c r="F230" s="159">
        <v>9</v>
      </c>
      <c r="G230" s="159">
        <v>18</v>
      </c>
      <c r="H230" s="159">
        <v>2</v>
      </c>
      <c r="I230" s="159" t="s">
        <v>479</v>
      </c>
      <c r="J230" s="159" t="s">
        <v>479</v>
      </c>
      <c r="K230" s="159">
        <v>1</v>
      </c>
    </row>
    <row r="231" spans="1:11" ht="15.75" hidden="1" customHeight="1">
      <c r="A231" s="159" t="s">
        <v>3</v>
      </c>
      <c r="B231" s="159" t="s">
        <v>415</v>
      </c>
      <c r="C231" s="159" t="s">
        <v>5090</v>
      </c>
      <c r="D231" s="159" t="s">
        <v>1267</v>
      </c>
      <c r="E231" s="159" t="s">
        <v>717</v>
      </c>
      <c r="F231" s="159">
        <v>9</v>
      </c>
      <c r="G231" s="159">
        <v>18</v>
      </c>
      <c r="H231" s="159">
        <v>2</v>
      </c>
      <c r="I231" s="159" t="s">
        <v>479</v>
      </c>
      <c r="J231" s="159" t="s">
        <v>479</v>
      </c>
      <c r="K231" s="159">
        <v>1</v>
      </c>
    </row>
    <row r="232" spans="1:11" ht="15.75" hidden="1" customHeight="1">
      <c r="A232" s="159" t="s">
        <v>3</v>
      </c>
      <c r="B232" s="159" t="s">
        <v>415</v>
      </c>
      <c r="C232" s="159" t="s">
        <v>5090</v>
      </c>
      <c r="D232" s="159" t="s">
        <v>5555</v>
      </c>
      <c r="E232" s="159" t="s">
        <v>717</v>
      </c>
      <c r="F232" s="159">
        <v>9</v>
      </c>
      <c r="G232" s="159">
        <v>18</v>
      </c>
      <c r="H232" s="159">
        <v>2</v>
      </c>
      <c r="I232" s="159" t="s">
        <v>479</v>
      </c>
      <c r="J232" s="159" t="s">
        <v>479</v>
      </c>
      <c r="K232" s="159">
        <v>1</v>
      </c>
    </row>
    <row r="233" spans="1:11" ht="15.75" hidden="1" customHeight="1">
      <c r="A233" s="159" t="s">
        <v>3</v>
      </c>
      <c r="B233" s="159" t="s">
        <v>415</v>
      </c>
      <c r="C233" s="159" t="s">
        <v>5090</v>
      </c>
      <c r="D233" s="159" t="s">
        <v>5556</v>
      </c>
      <c r="E233" s="159" t="s">
        <v>717</v>
      </c>
      <c r="F233" s="159">
        <v>9</v>
      </c>
      <c r="G233" s="159">
        <v>18</v>
      </c>
      <c r="H233" s="159">
        <v>2</v>
      </c>
      <c r="I233" s="159" t="s">
        <v>479</v>
      </c>
      <c r="J233" s="159" t="s">
        <v>479</v>
      </c>
      <c r="K233" s="159">
        <v>1</v>
      </c>
    </row>
    <row r="234" spans="1:11" ht="15.75" hidden="1" customHeight="1">
      <c r="A234" s="159" t="s">
        <v>3</v>
      </c>
      <c r="B234" s="159" t="s">
        <v>415</v>
      </c>
      <c r="C234" s="159" t="s">
        <v>5090</v>
      </c>
      <c r="D234" s="159" t="s">
        <v>5557</v>
      </c>
      <c r="E234" s="159" t="s">
        <v>717</v>
      </c>
      <c r="F234" s="159">
        <v>9</v>
      </c>
      <c r="G234" s="159">
        <v>18</v>
      </c>
      <c r="H234" s="159">
        <v>2</v>
      </c>
      <c r="I234" s="159" t="s">
        <v>479</v>
      </c>
      <c r="J234" s="159" t="s">
        <v>479</v>
      </c>
      <c r="K234" s="159">
        <v>1</v>
      </c>
    </row>
    <row r="235" spans="1:11" ht="15.75" hidden="1" customHeight="1">
      <c r="A235" s="159" t="s">
        <v>3</v>
      </c>
      <c r="B235" s="159" t="s">
        <v>415</v>
      </c>
      <c r="C235" s="159" t="s">
        <v>5090</v>
      </c>
      <c r="D235" s="159" t="s">
        <v>5558</v>
      </c>
      <c r="E235" s="159" t="s">
        <v>717</v>
      </c>
      <c r="F235" s="159">
        <v>9</v>
      </c>
      <c r="G235" s="159">
        <v>18</v>
      </c>
      <c r="H235" s="159">
        <v>2</v>
      </c>
      <c r="I235" s="159" t="s">
        <v>479</v>
      </c>
      <c r="J235" s="159" t="s">
        <v>479</v>
      </c>
      <c r="K235" s="159">
        <v>1</v>
      </c>
    </row>
    <row r="236" spans="1:11" ht="15.75" hidden="1" customHeight="1">
      <c r="A236" s="159" t="s">
        <v>3</v>
      </c>
      <c r="B236" s="159" t="s">
        <v>415</v>
      </c>
      <c r="C236" s="159" t="s">
        <v>5090</v>
      </c>
      <c r="D236" s="159" t="s">
        <v>523</v>
      </c>
      <c r="E236" s="159" t="s">
        <v>477</v>
      </c>
      <c r="F236" s="159">
        <v>20</v>
      </c>
      <c r="G236" s="159">
        <v>0</v>
      </c>
      <c r="H236" s="159">
        <v>0</v>
      </c>
      <c r="I236" s="159" t="s">
        <v>479</v>
      </c>
      <c r="J236" s="159" t="s">
        <v>479</v>
      </c>
      <c r="K236" s="159">
        <v>1</v>
      </c>
    </row>
    <row r="237" spans="1:11" ht="15.75" hidden="1" customHeight="1">
      <c r="A237" s="159" t="s">
        <v>3</v>
      </c>
      <c r="B237" s="159" t="s">
        <v>415</v>
      </c>
      <c r="C237" s="159" t="s">
        <v>5090</v>
      </c>
      <c r="D237" s="159" t="s">
        <v>3515</v>
      </c>
      <c r="E237" s="159" t="s">
        <v>477</v>
      </c>
      <c r="F237" s="159">
        <v>100</v>
      </c>
      <c r="G237" s="159">
        <v>0</v>
      </c>
      <c r="H237" s="159">
        <v>0</v>
      </c>
      <c r="I237" s="159" t="s">
        <v>479</v>
      </c>
      <c r="J237" s="159" t="s">
        <v>479</v>
      </c>
      <c r="K237" s="159">
        <v>1</v>
      </c>
    </row>
    <row r="238" spans="1:11" ht="15.75" hidden="1" customHeight="1">
      <c r="A238" s="159" t="s">
        <v>3</v>
      </c>
      <c r="B238" s="159" t="s">
        <v>415</v>
      </c>
      <c r="C238" s="159" t="s">
        <v>5090</v>
      </c>
      <c r="D238" s="159" t="s">
        <v>669</v>
      </c>
      <c r="E238" s="159" t="s">
        <v>538</v>
      </c>
      <c r="F238" s="159">
        <v>8</v>
      </c>
      <c r="G238" s="159">
        <v>23</v>
      </c>
      <c r="H238" s="159">
        <v>3</v>
      </c>
      <c r="I238" s="159" t="s">
        <v>479</v>
      </c>
      <c r="J238" s="159" t="s">
        <v>479</v>
      </c>
      <c r="K238" s="159">
        <v>1</v>
      </c>
    </row>
    <row r="239" spans="1:11" ht="15.75" hidden="1" customHeight="1">
      <c r="A239" s="159" t="s">
        <v>3</v>
      </c>
      <c r="B239" s="159" t="s">
        <v>415</v>
      </c>
      <c r="C239" s="159" t="s">
        <v>5090</v>
      </c>
      <c r="D239" s="159" t="s">
        <v>670</v>
      </c>
      <c r="E239" s="159" t="s">
        <v>477</v>
      </c>
      <c r="F239" s="159">
        <v>20</v>
      </c>
      <c r="G239" s="159">
        <v>0</v>
      </c>
      <c r="H239" s="159">
        <v>0</v>
      </c>
      <c r="I239" s="159" t="s">
        <v>479</v>
      </c>
      <c r="J239" s="159" t="s">
        <v>479</v>
      </c>
      <c r="K239" s="159">
        <v>1</v>
      </c>
    </row>
    <row r="240" spans="1:11" ht="15.75" hidden="1" customHeight="1">
      <c r="A240" s="159" t="s">
        <v>3</v>
      </c>
      <c r="B240" s="159" t="s">
        <v>415</v>
      </c>
      <c r="C240" s="159" t="s">
        <v>5090</v>
      </c>
      <c r="D240" s="159" t="s">
        <v>3516</v>
      </c>
      <c r="E240" s="159" t="s">
        <v>477</v>
      </c>
      <c r="F240" s="159">
        <v>100</v>
      </c>
      <c r="G240" s="159">
        <v>0</v>
      </c>
      <c r="H240" s="159">
        <v>0</v>
      </c>
      <c r="I240" s="159" t="s">
        <v>479</v>
      </c>
      <c r="J240" s="159" t="s">
        <v>479</v>
      </c>
      <c r="K240" s="159">
        <v>1</v>
      </c>
    </row>
    <row r="241" spans="1:11" ht="15.75" hidden="1" customHeight="1">
      <c r="A241" s="159" t="s">
        <v>3</v>
      </c>
      <c r="B241" s="159" t="s">
        <v>415</v>
      </c>
      <c r="C241" s="159" t="s">
        <v>5090</v>
      </c>
      <c r="D241" s="159" t="s">
        <v>215</v>
      </c>
      <c r="E241" s="159" t="s">
        <v>538</v>
      </c>
      <c r="F241" s="159">
        <v>8</v>
      </c>
      <c r="G241" s="159">
        <v>23</v>
      </c>
      <c r="H241" s="159">
        <v>3</v>
      </c>
      <c r="I241" s="159" t="s">
        <v>479</v>
      </c>
      <c r="J241" s="159" t="s">
        <v>479</v>
      </c>
      <c r="K241" s="159">
        <v>1</v>
      </c>
    </row>
    <row r="242" spans="1:11" ht="15.75" hidden="1" customHeight="1">
      <c r="A242" s="159" t="s">
        <v>3</v>
      </c>
      <c r="B242" s="159" t="s">
        <v>415</v>
      </c>
      <c r="C242" s="159" t="s">
        <v>5090</v>
      </c>
      <c r="D242" s="159" t="s">
        <v>5563</v>
      </c>
      <c r="E242" s="159" t="s">
        <v>484</v>
      </c>
      <c r="F242" s="159">
        <v>4</v>
      </c>
      <c r="G242" s="159">
        <v>10</v>
      </c>
      <c r="H242" s="159">
        <v>0</v>
      </c>
      <c r="I242" s="159" t="s">
        <v>5564</v>
      </c>
      <c r="J242" s="159" t="s">
        <v>615</v>
      </c>
      <c r="K242" s="159">
        <v>0</v>
      </c>
    </row>
    <row r="243" spans="1:11" ht="15.75" hidden="1" customHeight="1">
      <c r="A243" s="159" t="s">
        <v>3</v>
      </c>
      <c r="B243" s="159" t="s">
        <v>415</v>
      </c>
      <c r="C243" s="159" t="s">
        <v>5090</v>
      </c>
      <c r="D243" s="159" t="s">
        <v>5565</v>
      </c>
      <c r="E243" s="159" t="s">
        <v>484</v>
      </c>
      <c r="F243" s="159">
        <v>4</v>
      </c>
      <c r="G243" s="159">
        <v>10</v>
      </c>
      <c r="H243" s="159">
        <v>0</v>
      </c>
      <c r="I243" s="159" t="s">
        <v>5566</v>
      </c>
      <c r="J243" s="159" t="s">
        <v>615</v>
      </c>
      <c r="K243" s="159">
        <v>0</v>
      </c>
    </row>
    <row r="244" spans="1:11" ht="15.75" hidden="1" customHeight="1">
      <c r="A244" s="159" t="s">
        <v>3</v>
      </c>
      <c r="B244" s="159" t="s">
        <v>415</v>
      </c>
      <c r="C244" s="159" t="s">
        <v>5090</v>
      </c>
      <c r="D244" s="159" t="s">
        <v>5567</v>
      </c>
      <c r="E244" s="159" t="s">
        <v>477</v>
      </c>
      <c r="F244" s="159">
        <v>20</v>
      </c>
      <c r="G244" s="159">
        <v>0</v>
      </c>
      <c r="H244" s="159">
        <v>0</v>
      </c>
      <c r="I244" s="159" t="s">
        <v>5568</v>
      </c>
      <c r="J244" s="159" t="s">
        <v>548</v>
      </c>
      <c r="K244" s="159">
        <v>0</v>
      </c>
    </row>
    <row r="245" spans="1:11" ht="15.75" hidden="1" customHeight="1">
      <c r="A245" s="159" t="s">
        <v>3</v>
      </c>
      <c r="B245" s="159" t="s">
        <v>415</v>
      </c>
      <c r="C245" s="159" t="s">
        <v>5092</v>
      </c>
      <c r="D245" s="159" t="s">
        <v>4124</v>
      </c>
      <c r="E245" s="159" t="s">
        <v>477</v>
      </c>
      <c r="F245" s="159">
        <v>18</v>
      </c>
      <c r="G245" s="159">
        <v>0</v>
      </c>
      <c r="H245" s="159">
        <v>0</v>
      </c>
      <c r="I245" s="159" t="s">
        <v>479</v>
      </c>
      <c r="J245" s="159" t="s">
        <v>479</v>
      </c>
      <c r="K245" s="159">
        <v>0</v>
      </c>
    </row>
    <row r="246" spans="1:11" ht="15.75" hidden="1" customHeight="1">
      <c r="A246" s="159" t="s">
        <v>3</v>
      </c>
      <c r="B246" s="159" t="s">
        <v>415</v>
      </c>
      <c r="C246" s="159" t="s">
        <v>5092</v>
      </c>
      <c r="D246" s="159" t="s">
        <v>335</v>
      </c>
      <c r="E246" s="159" t="s">
        <v>477</v>
      </c>
      <c r="F246" s="159">
        <v>7</v>
      </c>
      <c r="G246" s="159">
        <v>0</v>
      </c>
      <c r="H246" s="159">
        <v>0</v>
      </c>
      <c r="I246" s="159" t="s">
        <v>479</v>
      </c>
      <c r="J246" s="159" t="s">
        <v>479</v>
      </c>
      <c r="K246" s="159">
        <v>0</v>
      </c>
    </row>
    <row r="247" spans="1:11" ht="15.75" hidden="1" customHeight="1">
      <c r="A247" s="159" t="s">
        <v>3</v>
      </c>
      <c r="B247" s="159" t="s">
        <v>415</v>
      </c>
      <c r="C247" s="159" t="s">
        <v>5092</v>
      </c>
      <c r="D247" s="159" t="s">
        <v>2415</v>
      </c>
      <c r="E247" s="159" t="s">
        <v>717</v>
      </c>
      <c r="F247" s="159">
        <v>9</v>
      </c>
      <c r="G247" s="159">
        <v>18</v>
      </c>
      <c r="H247" s="159">
        <v>2</v>
      </c>
      <c r="I247" s="159" t="s">
        <v>479</v>
      </c>
      <c r="J247" s="159" t="s">
        <v>479</v>
      </c>
      <c r="K247" s="159">
        <v>0</v>
      </c>
    </row>
    <row r="248" spans="1:11" ht="15.75" hidden="1" customHeight="1">
      <c r="A248" s="159" t="s">
        <v>3</v>
      </c>
      <c r="B248" s="159" t="s">
        <v>415</v>
      </c>
      <c r="C248" s="159" t="s">
        <v>5092</v>
      </c>
      <c r="D248" s="159" t="s">
        <v>5660</v>
      </c>
      <c r="E248" s="159" t="s">
        <v>717</v>
      </c>
      <c r="F248" s="159">
        <v>9</v>
      </c>
      <c r="G248" s="159">
        <v>18</v>
      </c>
      <c r="H248" s="159">
        <v>2</v>
      </c>
      <c r="I248" s="159" t="s">
        <v>479</v>
      </c>
      <c r="J248" s="159" t="s">
        <v>479</v>
      </c>
      <c r="K248" s="159">
        <v>0</v>
      </c>
    </row>
    <row r="249" spans="1:11" ht="15.75" hidden="1" customHeight="1">
      <c r="A249" s="159" t="s">
        <v>3</v>
      </c>
      <c r="B249" s="159" t="s">
        <v>415</v>
      </c>
      <c r="C249" s="159" t="s">
        <v>5092</v>
      </c>
      <c r="D249" s="159" t="s">
        <v>523</v>
      </c>
      <c r="E249" s="159" t="s">
        <v>477</v>
      </c>
      <c r="F249" s="159">
        <v>20</v>
      </c>
      <c r="G249" s="159">
        <v>0</v>
      </c>
      <c r="H249" s="159">
        <v>0</v>
      </c>
      <c r="I249" s="159" t="s">
        <v>479</v>
      </c>
      <c r="J249" s="159" t="s">
        <v>479</v>
      </c>
      <c r="K249" s="159">
        <v>1</v>
      </c>
    </row>
    <row r="250" spans="1:11" ht="15.75" hidden="1" customHeight="1">
      <c r="A250" s="159" t="s">
        <v>3</v>
      </c>
      <c r="B250" s="159" t="s">
        <v>415</v>
      </c>
      <c r="C250" s="159" t="s">
        <v>5092</v>
      </c>
      <c r="D250" s="159" t="s">
        <v>3515</v>
      </c>
      <c r="E250" s="159" t="s">
        <v>477</v>
      </c>
      <c r="F250" s="159">
        <v>100</v>
      </c>
      <c r="G250" s="159">
        <v>0</v>
      </c>
      <c r="H250" s="159">
        <v>0</v>
      </c>
      <c r="I250" s="159" t="s">
        <v>479</v>
      </c>
      <c r="J250" s="159" t="s">
        <v>479</v>
      </c>
      <c r="K250" s="159">
        <v>1</v>
      </c>
    </row>
    <row r="251" spans="1:11" ht="15.75" hidden="1" customHeight="1">
      <c r="A251" s="159" t="s">
        <v>3</v>
      </c>
      <c r="B251" s="159" t="s">
        <v>415</v>
      </c>
      <c r="C251" s="159" t="s">
        <v>5092</v>
      </c>
      <c r="D251" s="159" t="s">
        <v>669</v>
      </c>
      <c r="E251" s="159" t="s">
        <v>538</v>
      </c>
      <c r="F251" s="159">
        <v>8</v>
      </c>
      <c r="G251" s="159">
        <v>23</v>
      </c>
      <c r="H251" s="159">
        <v>3</v>
      </c>
      <c r="I251" s="159" t="s">
        <v>479</v>
      </c>
      <c r="J251" s="159" t="s">
        <v>479</v>
      </c>
      <c r="K251" s="159">
        <v>1</v>
      </c>
    </row>
    <row r="252" spans="1:11" ht="15.75" hidden="1" customHeight="1">
      <c r="A252" s="159" t="s">
        <v>3</v>
      </c>
      <c r="B252" s="159" t="s">
        <v>415</v>
      </c>
      <c r="C252" s="159" t="s">
        <v>5092</v>
      </c>
      <c r="D252" s="159" t="s">
        <v>670</v>
      </c>
      <c r="E252" s="159" t="s">
        <v>477</v>
      </c>
      <c r="F252" s="159">
        <v>20</v>
      </c>
      <c r="G252" s="159">
        <v>0</v>
      </c>
      <c r="H252" s="159">
        <v>0</v>
      </c>
      <c r="I252" s="159" t="s">
        <v>479</v>
      </c>
      <c r="J252" s="159" t="s">
        <v>479</v>
      </c>
      <c r="K252" s="159">
        <v>1</v>
      </c>
    </row>
    <row r="253" spans="1:11" ht="15.75" hidden="1" customHeight="1">
      <c r="A253" s="159" t="s">
        <v>3</v>
      </c>
      <c r="B253" s="159" t="s">
        <v>415</v>
      </c>
      <c r="C253" s="159" t="s">
        <v>5092</v>
      </c>
      <c r="D253" s="159" t="s">
        <v>3516</v>
      </c>
      <c r="E253" s="159" t="s">
        <v>477</v>
      </c>
      <c r="F253" s="159">
        <v>100</v>
      </c>
      <c r="G253" s="159">
        <v>0</v>
      </c>
      <c r="H253" s="159">
        <v>0</v>
      </c>
      <c r="I253" s="159" t="s">
        <v>479</v>
      </c>
      <c r="J253" s="159" t="s">
        <v>479</v>
      </c>
      <c r="K253" s="159">
        <v>1</v>
      </c>
    </row>
    <row r="254" spans="1:11" ht="15.75" hidden="1" customHeight="1">
      <c r="A254" s="159" t="s">
        <v>3</v>
      </c>
      <c r="B254" s="159" t="s">
        <v>415</v>
      </c>
      <c r="C254" s="159" t="s">
        <v>5092</v>
      </c>
      <c r="D254" s="159" t="s">
        <v>215</v>
      </c>
      <c r="E254" s="159" t="s">
        <v>538</v>
      </c>
      <c r="F254" s="159">
        <v>8</v>
      </c>
      <c r="G254" s="159">
        <v>23</v>
      </c>
      <c r="H254" s="159">
        <v>3</v>
      </c>
      <c r="I254" s="159" t="s">
        <v>479</v>
      </c>
      <c r="J254" s="159" t="s">
        <v>479</v>
      </c>
      <c r="K254" s="159">
        <v>1</v>
      </c>
    </row>
    <row r="255" spans="1:11" ht="15.75" hidden="1" customHeight="1">
      <c r="A255" s="159" t="s">
        <v>3</v>
      </c>
      <c r="B255" s="159" t="s">
        <v>415</v>
      </c>
      <c r="C255" s="159" t="s">
        <v>5095</v>
      </c>
      <c r="D255" s="159" t="s">
        <v>4124</v>
      </c>
      <c r="E255" s="159" t="s">
        <v>477</v>
      </c>
      <c r="F255" s="159">
        <v>18</v>
      </c>
      <c r="G255" s="159">
        <v>0</v>
      </c>
      <c r="H255" s="159">
        <v>0</v>
      </c>
      <c r="I255" s="159" t="s">
        <v>479</v>
      </c>
      <c r="J255" s="159" t="s">
        <v>479</v>
      </c>
      <c r="K255" s="159">
        <v>0</v>
      </c>
    </row>
    <row r="256" spans="1:11" ht="15.75" hidden="1" customHeight="1">
      <c r="A256" s="159" t="s">
        <v>3</v>
      </c>
      <c r="B256" s="159" t="s">
        <v>415</v>
      </c>
      <c r="C256" s="159" t="s">
        <v>5095</v>
      </c>
      <c r="D256" s="159" t="s">
        <v>5646</v>
      </c>
      <c r="E256" s="159" t="s">
        <v>477</v>
      </c>
      <c r="F256" s="159">
        <v>10</v>
      </c>
      <c r="G256" s="159">
        <v>0</v>
      </c>
      <c r="H256" s="159">
        <v>0</v>
      </c>
      <c r="I256" s="159" t="s">
        <v>479</v>
      </c>
      <c r="J256" s="159" t="s">
        <v>479</v>
      </c>
      <c r="K256" s="159">
        <v>0</v>
      </c>
    </row>
    <row r="257" spans="1:11" ht="15.75" hidden="1" customHeight="1">
      <c r="A257" s="159" t="s">
        <v>3</v>
      </c>
      <c r="B257" s="159" t="s">
        <v>415</v>
      </c>
      <c r="C257" s="159" t="s">
        <v>5095</v>
      </c>
      <c r="D257" s="159" t="s">
        <v>2410</v>
      </c>
      <c r="E257" s="159" t="s">
        <v>477</v>
      </c>
      <c r="F257" s="159">
        <v>15</v>
      </c>
      <c r="G257" s="159">
        <v>0</v>
      </c>
      <c r="H257" s="159">
        <v>0</v>
      </c>
      <c r="I257" s="159" t="s">
        <v>479</v>
      </c>
      <c r="J257" s="159" t="s">
        <v>479</v>
      </c>
      <c r="K257" s="159">
        <v>0</v>
      </c>
    </row>
    <row r="258" spans="1:11" ht="15.75" hidden="1" customHeight="1">
      <c r="A258" s="159" t="s">
        <v>3</v>
      </c>
      <c r="B258" s="159" t="s">
        <v>415</v>
      </c>
      <c r="C258" s="159" t="s">
        <v>5095</v>
      </c>
      <c r="D258" s="159" t="s">
        <v>4946</v>
      </c>
      <c r="E258" s="159" t="s">
        <v>538</v>
      </c>
      <c r="F258" s="159">
        <v>8</v>
      </c>
      <c r="G258" s="159">
        <v>23</v>
      </c>
      <c r="H258" s="159">
        <v>3</v>
      </c>
      <c r="I258" s="159" t="s">
        <v>479</v>
      </c>
      <c r="J258" s="159" t="s">
        <v>479</v>
      </c>
      <c r="K258" s="159">
        <v>1</v>
      </c>
    </row>
    <row r="259" spans="1:11" ht="15.75" hidden="1" customHeight="1">
      <c r="A259" s="159" t="s">
        <v>3</v>
      </c>
      <c r="B259" s="159" t="s">
        <v>415</v>
      </c>
      <c r="C259" s="159" t="s">
        <v>5095</v>
      </c>
      <c r="D259" s="159" t="s">
        <v>4138</v>
      </c>
      <c r="E259" s="159" t="s">
        <v>477</v>
      </c>
      <c r="F259" s="159">
        <v>18</v>
      </c>
      <c r="G259" s="159">
        <v>0</v>
      </c>
      <c r="H259" s="159">
        <v>0</v>
      </c>
      <c r="I259" s="159" t="s">
        <v>479</v>
      </c>
      <c r="J259" s="159" t="s">
        <v>479</v>
      </c>
      <c r="K259" s="159">
        <v>1</v>
      </c>
    </row>
    <row r="260" spans="1:11" ht="15.75" hidden="1" customHeight="1">
      <c r="A260" s="159" t="s">
        <v>3</v>
      </c>
      <c r="B260" s="159" t="s">
        <v>415</v>
      </c>
      <c r="C260" s="159" t="s">
        <v>5095</v>
      </c>
      <c r="D260" s="159" t="s">
        <v>5661</v>
      </c>
      <c r="E260" s="159" t="s">
        <v>477</v>
      </c>
      <c r="F260" s="159">
        <v>20</v>
      </c>
      <c r="G260" s="159">
        <v>0</v>
      </c>
      <c r="H260" s="159">
        <v>0</v>
      </c>
      <c r="I260" s="159" t="s">
        <v>479</v>
      </c>
      <c r="J260" s="159" t="s">
        <v>479</v>
      </c>
      <c r="K260" s="159">
        <v>1</v>
      </c>
    </row>
    <row r="261" spans="1:11" ht="15.75" hidden="1" customHeight="1">
      <c r="A261" s="159" t="s">
        <v>3</v>
      </c>
      <c r="B261" s="159" t="s">
        <v>415</v>
      </c>
      <c r="C261" s="159" t="s">
        <v>5095</v>
      </c>
      <c r="D261" s="159" t="s">
        <v>523</v>
      </c>
      <c r="E261" s="159" t="s">
        <v>477</v>
      </c>
      <c r="F261" s="159">
        <v>20</v>
      </c>
      <c r="G261" s="159">
        <v>0</v>
      </c>
      <c r="H261" s="159">
        <v>0</v>
      </c>
      <c r="I261" s="159" t="s">
        <v>479</v>
      </c>
      <c r="J261" s="159" t="s">
        <v>479</v>
      </c>
      <c r="K261" s="159">
        <v>1</v>
      </c>
    </row>
    <row r="262" spans="1:11" ht="15.75" hidden="1" customHeight="1">
      <c r="A262" s="159" t="s">
        <v>3</v>
      </c>
      <c r="B262" s="159" t="s">
        <v>415</v>
      </c>
      <c r="C262" s="159" t="s">
        <v>5095</v>
      </c>
      <c r="D262" s="159" t="s">
        <v>3515</v>
      </c>
      <c r="E262" s="159" t="s">
        <v>477</v>
      </c>
      <c r="F262" s="159">
        <v>100</v>
      </c>
      <c r="G262" s="159">
        <v>0</v>
      </c>
      <c r="H262" s="159">
        <v>0</v>
      </c>
      <c r="I262" s="159" t="s">
        <v>479</v>
      </c>
      <c r="J262" s="159" t="s">
        <v>479</v>
      </c>
      <c r="K262" s="159">
        <v>1</v>
      </c>
    </row>
    <row r="263" spans="1:11" ht="15.75" hidden="1" customHeight="1">
      <c r="A263" s="159" t="s">
        <v>3</v>
      </c>
      <c r="B263" s="159" t="s">
        <v>415</v>
      </c>
      <c r="C263" s="159" t="s">
        <v>5095</v>
      </c>
      <c r="D263" s="159" t="s">
        <v>669</v>
      </c>
      <c r="E263" s="159" t="s">
        <v>538</v>
      </c>
      <c r="F263" s="159">
        <v>8</v>
      </c>
      <c r="G263" s="159">
        <v>23</v>
      </c>
      <c r="H263" s="159">
        <v>3</v>
      </c>
      <c r="I263" s="159" t="s">
        <v>479</v>
      </c>
      <c r="J263" s="159" t="s">
        <v>479</v>
      </c>
      <c r="K263" s="159">
        <v>1</v>
      </c>
    </row>
    <row r="264" spans="1:11" ht="15.75" hidden="1" customHeight="1">
      <c r="A264" s="159" t="s">
        <v>3</v>
      </c>
      <c r="B264" s="159" t="s">
        <v>415</v>
      </c>
      <c r="C264" s="159" t="s">
        <v>5095</v>
      </c>
      <c r="D264" s="159" t="s">
        <v>670</v>
      </c>
      <c r="E264" s="159" t="s">
        <v>477</v>
      </c>
      <c r="F264" s="159">
        <v>20</v>
      </c>
      <c r="G264" s="159">
        <v>0</v>
      </c>
      <c r="H264" s="159">
        <v>0</v>
      </c>
      <c r="I264" s="159" t="s">
        <v>479</v>
      </c>
      <c r="J264" s="159" t="s">
        <v>479</v>
      </c>
      <c r="K264" s="159">
        <v>1</v>
      </c>
    </row>
    <row r="265" spans="1:11" ht="15.75" hidden="1" customHeight="1">
      <c r="A265" s="159" t="s">
        <v>3</v>
      </c>
      <c r="B265" s="159" t="s">
        <v>415</v>
      </c>
      <c r="C265" s="159" t="s">
        <v>5095</v>
      </c>
      <c r="D265" s="159" t="s">
        <v>3516</v>
      </c>
      <c r="E265" s="159" t="s">
        <v>477</v>
      </c>
      <c r="F265" s="159">
        <v>100</v>
      </c>
      <c r="G265" s="159">
        <v>0</v>
      </c>
      <c r="H265" s="159">
        <v>0</v>
      </c>
      <c r="I265" s="159" t="s">
        <v>479</v>
      </c>
      <c r="J265" s="159" t="s">
        <v>479</v>
      </c>
      <c r="K265" s="159">
        <v>1</v>
      </c>
    </row>
    <row r="266" spans="1:11" ht="15.75" hidden="1" customHeight="1">
      <c r="A266" s="159" t="s">
        <v>3</v>
      </c>
      <c r="B266" s="159" t="s">
        <v>415</v>
      </c>
      <c r="C266" s="159" t="s">
        <v>5095</v>
      </c>
      <c r="D266" s="159" t="s">
        <v>215</v>
      </c>
      <c r="E266" s="159" t="s">
        <v>538</v>
      </c>
      <c r="F266" s="159">
        <v>8</v>
      </c>
      <c r="G266" s="159">
        <v>23</v>
      </c>
      <c r="H266" s="159">
        <v>3</v>
      </c>
      <c r="I266" s="159" t="s">
        <v>479</v>
      </c>
      <c r="J266" s="159" t="s">
        <v>479</v>
      </c>
      <c r="K266" s="159">
        <v>1</v>
      </c>
    </row>
    <row r="267" spans="1:11" ht="15.75" hidden="1" customHeight="1">
      <c r="A267" s="159" t="s">
        <v>3</v>
      </c>
      <c r="B267" s="159" t="s">
        <v>415</v>
      </c>
      <c r="C267" s="159" t="s">
        <v>5095</v>
      </c>
      <c r="D267" s="159" t="s">
        <v>5662</v>
      </c>
      <c r="E267" s="159" t="s">
        <v>477</v>
      </c>
      <c r="F267" s="159">
        <v>20</v>
      </c>
      <c r="G267" s="159">
        <v>0</v>
      </c>
      <c r="H267" s="159">
        <v>0</v>
      </c>
      <c r="I267" s="159" t="s">
        <v>5663</v>
      </c>
      <c r="J267" s="159" t="s">
        <v>548</v>
      </c>
      <c r="K267" s="159">
        <v>0</v>
      </c>
    </row>
    <row r="268" spans="1:11" ht="15.75" customHeight="1">
      <c r="A268" s="159" t="s">
        <v>5096</v>
      </c>
      <c r="B268" s="159" t="s">
        <v>266</v>
      </c>
      <c r="C268" s="2" t="s">
        <v>5097</v>
      </c>
      <c r="D268" s="2" t="s">
        <v>3897</v>
      </c>
      <c r="E268" s="2" t="s">
        <v>5664</v>
      </c>
      <c r="G268" s="2">
        <v>32</v>
      </c>
      <c r="H268" s="2">
        <v>0</v>
      </c>
      <c r="I268" s="159"/>
      <c r="J268" s="159"/>
      <c r="K268" s="211" t="s">
        <v>5665</v>
      </c>
    </row>
    <row r="269" spans="1:11" ht="15.75" customHeight="1">
      <c r="A269" s="159" t="s">
        <v>5096</v>
      </c>
      <c r="B269" s="159" t="s">
        <v>266</v>
      </c>
      <c r="C269" s="2" t="s">
        <v>5097</v>
      </c>
      <c r="D269" s="2" t="s">
        <v>156</v>
      </c>
      <c r="E269" s="2" t="s">
        <v>5666</v>
      </c>
      <c r="I269" s="159"/>
      <c r="J269" s="159"/>
      <c r="K269" s="211" t="s">
        <v>5667</v>
      </c>
    </row>
    <row r="270" spans="1:11" ht="15.75" customHeight="1">
      <c r="A270" s="159" t="s">
        <v>5096</v>
      </c>
      <c r="B270" s="159" t="s">
        <v>266</v>
      </c>
      <c r="C270" s="2" t="s">
        <v>5097</v>
      </c>
      <c r="D270" s="2" t="s">
        <v>1822</v>
      </c>
      <c r="E270" s="2" t="s">
        <v>5664</v>
      </c>
      <c r="G270" s="2">
        <v>32</v>
      </c>
      <c r="H270" s="2">
        <v>0</v>
      </c>
      <c r="I270" s="159"/>
      <c r="J270" s="159"/>
      <c r="K270" s="211" t="s">
        <v>5667</v>
      </c>
    </row>
    <row r="271" spans="1:11" ht="15.75" customHeight="1">
      <c r="A271" s="159" t="s">
        <v>5096</v>
      </c>
      <c r="B271" s="159" t="s">
        <v>266</v>
      </c>
      <c r="C271" s="2" t="s">
        <v>5097</v>
      </c>
      <c r="D271" s="2" t="s">
        <v>5668</v>
      </c>
      <c r="E271" s="2" t="s">
        <v>3893</v>
      </c>
      <c r="I271" s="159"/>
      <c r="J271" s="159"/>
      <c r="K271" s="211" t="s">
        <v>5667</v>
      </c>
    </row>
    <row r="272" spans="1:11" ht="15.75" customHeight="1">
      <c r="A272" s="159" t="s">
        <v>5096</v>
      </c>
      <c r="B272" s="159" t="s">
        <v>266</v>
      </c>
      <c r="C272" s="2" t="s">
        <v>5097</v>
      </c>
      <c r="D272" s="2" t="s">
        <v>5669</v>
      </c>
      <c r="E272" s="2" t="s">
        <v>5666</v>
      </c>
      <c r="I272" s="159"/>
      <c r="J272" s="159"/>
      <c r="K272" s="211" t="s">
        <v>5667</v>
      </c>
    </row>
    <row r="273" spans="1:11" ht="15.75" customHeight="1">
      <c r="A273" s="159" t="s">
        <v>5096</v>
      </c>
      <c r="B273" s="159" t="s">
        <v>266</v>
      </c>
      <c r="C273" s="2" t="s">
        <v>5097</v>
      </c>
      <c r="D273" s="2" t="s">
        <v>184</v>
      </c>
      <c r="E273" s="2" t="s">
        <v>5670</v>
      </c>
      <c r="I273" s="159"/>
      <c r="J273" s="159"/>
      <c r="K273" s="211" t="s">
        <v>5667</v>
      </c>
    </row>
    <row r="274" spans="1:11" ht="15.75" customHeight="1">
      <c r="A274" s="159" t="s">
        <v>5096</v>
      </c>
      <c r="B274" s="159" t="s">
        <v>266</v>
      </c>
      <c r="C274" s="2" t="s">
        <v>5097</v>
      </c>
      <c r="D274" s="2" t="s">
        <v>5671</v>
      </c>
      <c r="E274" s="2" t="s">
        <v>5664</v>
      </c>
      <c r="G274" s="2">
        <v>32</v>
      </c>
      <c r="H274" s="2">
        <v>0</v>
      </c>
      <c r="I274" s="159"/>
      <c r="J274" s="159"/>
      <c r="K274" s="211" t="s">
        <v>5667</v>
      </c>
    </row>
    <row r="275" spans="1:11" ht="15.75" customHeight="1">
      <c r="A275" s="159" t="s">
        <v>5096</v>
      </c>
      <c r="B275" s="159" t="s">
        <v>266</v>
      </c>
      <c r="C275" s="2" t="s">
        <v>5097</v>
      </c>
      <c r="D275" s="2" t="s">
        <v>5607</v>
      </c>
      <c r="E275" s="2" t="s">
        <v>5672</v>
      </c>
      <c r="I275" s="159"/>
      <c r="J275" s="159"/>
      <c r="K275" s="211" t="s">
        <v>5667</v>
      </c>
    </row>
    <row r="276" spans="1:11" ht="15.75" customHeight="1">
      <c r="A276" s="159" t="s">
        <v>5096</v>
      </c>
      <c r="B276" s="159" t="s">
        <v>266</v>
      </c>
      <c r="C276" s="2" t="s">
        <v>5097</v>
      </c>
      <c r="D276" s="2" t="s">
        <v>3943</v>
      </c>
      <c r="E276" s="2" t="s">
        <v>5666</v>
      </c>
      <c r="I276" s="159"/>
      <c r="J276" s="159"/>
      <c r="K276" s="211" t="s">
        <v>5667</v>
      </c>
    </row>
    <row r="277" spans="1:11" ht="15.75" customHeight="1">
      <c r="A277" s="159" t="s">
        <v>5096</v>
      </c>
      <c r="B277" s="159" t="s">
        <v>266</v>
      </c>
      <c r="C277" s="2" t="s">
        <v>5097</v>
      </c>
      <c r="D277" s="2" t="s">
        <v>5673</v>
      </c>
      <c r="E277" s="2" t="s">
        <v>5672</v>
      </c>
      <c r="I277" s="159"/>
      <c r="J277" s="159"/>
      <c r="K277" s="211" t="s">
        <v>5667</v>
      </c>
    </row>
    <row r="278" spans="1:11" ht="15.75" customHeight="1">
      <c r="A278" s="159" t="s">
        <v>5096</v>
      </c>
      <c r="B278" s="159" t="s">
        <v>266</v>
      </c>
      <c r="C278" s="2" t="s">
        <v>5097</v>
      </c>
      <c r="D278" s="2" t="s">
        <v>3944</v>
      </c>
      <c r="E278" s="2" t="s">
        <v>5666</v>
      </c>
      <c r="I278" s="159"/>
      <c r="J278" s="159"/>
      <c r="K278" s="211" t="s">
        <v>5667</v>
      </c>
    </row>
    <row r="279" spans="1:11" ht="15.75" customHeight="1">
      <c r="A279" s="159" t="s">
        <v>5096</v>
      </c>
      <c r="B279" s="159" t="s">
        <v>266</v>
      </c>
      <c r="C279" s="2" t="s">
        <v>5097</v>
      </c>
      <c r="D279" s="2" t="s">
        <v>5674</v>
      </c>
      <c r="E279" s="2" t="s">
        <v>5666</v>
      </c>
      <c r="I279" s="159"/>
      <c r="J279" s="159"/>
      <c r="K279" s="211" t="s">
        <v>5667</v>
      </c>
    </row>
    <row r="280" spans="1:11" ht="15.75" customHeight="1">
      <c r="A280" s="159" t="s">
        <v>5096</v>
      </c>
      <c r="B280" s="159" t="s">
        <v>266</v>
      </c>
      <c r="C280" s="2" t="s">
        <v>5097</v>
      </c>
      <c r="D280" s="2" t="s">
        <v>5675</v>
      </c>
      <c r="E280" s="2" t="s">
        <v>5666</v>
      </c>
      <c r="I280" s="159"/>
      <c r="J280" s="159"/>
      <c r="K280" s="211" t="s">
        <v>5667</v>
      </c>
    </row>
    <row r="281" spans="1:11" ht="15.75" customHeight="1">
      <c r="A281" s="159" t="s">
        <v>5096</v>
      </c>
      <c r="B281" s="159" t="s">
        <v>266</v>
      </c>
      <c r="C281" s="2" t="s">
        <v>5097</v>
      </c>
      <c r="D281" s="2" t="s">
        <v>5676</v>
      </c>
      <c r="E281" s="2" t="s">
        <v>5664</v>
      </c>
      <c r="G281" s="2">
        <v>32</v>
      </c>
      <c r="H281" s="2">
        <v>0</v>
      </c>
      <c r="I281" s="159"/>
      <c r="J281" s="159"/>
      <c r="K281" s="211" t="s">
        <v>5667</v>
      </c>
    </row>
    <row r="282" spans="1:11" ht="15.75" customHeight="1">
      <c r="A282" s="159" t="s">
        <v>5096</v>
      </c>
      <c r="B282" s="159" t="s">
        <v>266</v>
      </c>
      <c r="C282" s="2" t="s">
        <v>5097</v>
      </c>
      <c r="D282" s="2" t="s">
        <v>3945</v>
      </c>
      <c r="E282" s="2" t="s">
        <v>5664</v>
      </c>
      <c r="G282" s="2">
        <v>32</v>
      </c>
      <c r="H282" s="2">
        <v>0</v>
      </c>
      <c r="I282" s="159"/>
      <c r="J282" s="159"/>
      <c r="K282" s="211" t="s">
        <v>5667</v>
      </c>
    </row>
    <row r="283" spans="1:11" ht="15.75" customHeight="1">
      <c r="A283" s="159" t="s">
        <v>5096</v>
      </c>
      <c r="B283" s="159" t="s">
        <v>266</v>
      </c>
      <c r="C283" s="2" t="s">
        <v>5097</v>
      </c>
      <c r="D283" s="2" t="s">
        <v>5677</v>
      </c>
      <c r="E283" s="2" t="s">
        <v>5666</v>
      </c>
      <c r="I283" s="159"/>
      <c r="J283" s="159"/>
      <c r="K283" s="211" t="s">
        <v>5667</v>
      </c>
    </row>
    <row r="284" spans="1:11" ht="15.75" customHeight="1">
      <c r="A284" s="159" t="s">
        <v>5096</v>
      </c>
      <c r="B284" s="159" t="s">
        <v>266</v>
      </c>
      <c r="C284" s="2" t="s">
        <v>5097</v>
      </c>
      <c r="D284" s="2" t="s">
        <v>5678</v>
      </c>
      <c r="E284" s="2" t="s">
        <v>5664</v>
      </c>
      <c r="G284" s="2">
        <v>32</v>
      </c>
      <c r="H284" s="2">
        <v>0</v>
      </c>
      <c r="I284" s="159"/>
      <c r="J284" s="159"/>
      <c r="K284" s="211" t="s">
        <v>5667</v>
      </c>
    </row>
    <row r="285" spans="1:11" ht="15.75" customHeight="1">
      <c r="A285" s="159" t="s">
        <v>5096</v>
      </c>
      <c r="B285" s="159" t="s">
        <v>266</v>
      </c>
      <c r="C285" s="2" t="s">
        <v>5097</v>
      </c>
      <c r="D285" s="2" t="s">
        <v>5679</v>
      </c>
      <c r="E285" s="2" t="s">
        <v>5666</v>
      </c>
      <c r="I285" s="159"/>
      <c r="J285" s="159"/>
      <c r="K285" s="211" t="s">
        <v>5667</v>
      </c>
    </row>
    <row r="286" spans="1:11" ht="15.75" customHeight="1">
      <c r="A286" s="159" t="s">
        <v>5096</v>
      </c>
      <c r="B286" s="159" t="s">
        <v>266</v>
      </c>
      <c r="C286" s="2" t="s">
        <v>5097</v>
      </c>
      <c r="D286" s="2" t="s">
        <v>5680</v>
      </c>
      <c r="E286" s="2" t="s">
        <v>5672</v>
      </c>
      <c r="I286" s="159"/>
      <c r="J286" s="159"/>
      <c r="K286" s="211" t="s">
        <v>5667</v>
      </c>
    </row>
    <row r="287" spans="1:11" ht="15.75" customHeight="1">
      <c r="A287" s="159" t="s">
        <v>5096</v>
      </c>
      <c r="B287" s="159" t="s">
        <v>266</v>
      </c>
      <c r="C287" s="2" t="s">
        <v>5097</v>
      </c>
      <c r="D287" s="2" t="s">
        <v>5681</v>
      </c>
      <c r="E287" s="2" t="s">
        <v>5666</v>
      </c>
      <c r="I287" s="159"/>
      <c r="J287" s="159"/>
      <c r="K287" s="211" t="s">
        <v>5667</v>
      </c>
    </row>
    <row r="288" spans="1:11" ht="15.75" customHeight="1">
      <c r="A288" s="159" t="s">
        <v>5096</v>
      </c>
      <c r="B288" s="159" t="s">
        <v>266</v>
      </c>
      <c r="C288" s="2" t="s">
        <v>5097</v>
      </c>
      <c r="D288" s="2" t="s">
        <v>3545</v>
      </c>
      <c r="E288" s="2" t="s">
        <v>5666</v>
      </c>
      <c r="I288" s="159"/>
      <c r="J288" s="159"/>
      <c r="K288" s="211" t="s">
        <v>5667</v>
      </c>
    </row>
    <row r="289" spans="1:11" ht="15.75" customHeight="1">
      <c r="A289" s="159" t="s">
        <v>5096</v>
      </c>
      <c r="B289" s="159" t="s">
        <v>266</v>
      </c>
      <c r="C289" s="2" t="s">
        <v>5097</v>
      </c>
      <c r="D289" s="2" t="s">
        <v>5682</v>
      </c>
      <c r="E289" s="2" t="s">
        <v>5672</v>
      </c>
      <c r="I289" s="159"/>
      <c r="J289" s="159"/>
      <c r="K289" s="211" t="s">
        <v>5667</v>
      </c>
    </row>
    <row r="290" spans="1:11" ht="15.75" customHeight="1">
      <c r="A290" s="159" t="s">
        <v>5096</v>
      </c>
      <c r="B290" s="159" t="s">
        <v>266</v>
      </c>
      <c r="C290" s="2" t="s">
        <v>5097</v>
      </c>
      <c r="D290" s="2" t="s">
        <v>5683</v>
      </c>
      <c r="E290" s="2" t="s">
        <v>5666</v>
      </c>
      <c r="I290" s="159"/>
      <c r="J290" s="159"/>
      <c r="K290" s="211" t="s">
        <v>5667</v>
      </c>
    </row>
    <row r="291" spans="1:11" ht="15.75" customHeight="1">
      <c r="A291" s="159" t="s">
        <v>5096</v>
      </c>
      <c r="B291" s="159" t="s">
        <v>266</v>
      </c>
      <c r="C291" s="2" t="s">
        <v>5097</v>
      </c>
      <c r="D291" s="2" t="s">
        <v>5684</v>
      </c>
      <c r="E291" s="2" t="s">
        <v>5666</v>
      </c>
      <c r="I291" s="159"/>
      <c r="J291" s="159"/>
      <c r="K291" s="211" t="s">
        <v>5667</v>
      </c>
    </row>
    <row r="292" spans="1:11" ht="15.75" customHeight="1">
      <c r="A292" s="159" t="s">
        <v>5096</v>
      </c>
      <c r="B292" s="159" t="s">
        <v>266</v>
      </c>
      <c r="C292" s="2" t="s">
        <v>5097</v>
      </c>
      <c r="D292" s="2" t="s">
        <v>3963</v>
      </c>
      <c r="E292" s="2" t="s">
        <v>5666</v>
      </c>
      <c r="I292" s="159"/>
      <c r="J292" s="159"/>
      <c r="K292" s="211" t="s">
        <v>5667</v>
      </c>
    </row>
    <row r="293" spans="1:11" ht="15.75" customHeight="1">
      <c r="A293" s="159" t="s">
        <v>5096</v>
      </c>
      <c r="B293" s="159" t="s">
        <v>266</v>
      </c>
      <c r="C293" s="2" t="s">
        <v>5097</v>
      </c>
      <c r="D293" s="2" t="s">
        <v>5685</v>
      </c>
      <c r="E293" s="2" t="s">
        <v>5666</v>
      </c>
      <c r="I293" s="159"/>
      <c r="J293" s="159"/>
      <c r="K293" s="211" t="s">
        <v>5667</v>
      </c>
    </row>
    <row r="294" spans="1:11" ht="15.75" customHeight="1">
      <c r="A294" s="159" t="s">
        <v>5096</v>
      </c>
      <c r="B294" s="159" t="s">
        <v>266</v>
      </c>
      <c r="C294" s="2" t="s">
        <v>5097</v>
      </c>
      <c r="D294" s="2" t="s">
        <v>5616</v>
      </c>
      <c r="E294" s="2" t="s">
        <v>5666</v>
      </c>
      <c r="I294" s="159"/>
      <c r="J294" s="159"/>
      <c r="K294" s="211" t="s">
        <v>5667</v>
      </c>
    </row>
    <row r="295" spans="1:11" ht="15.75" customHeight="1">
      <c r="A295" s="159" t="s">
        <v>5096</v>
      </c>
      <c r="B295" s="159" t="s">
        <v>266</v>
      </c>
      <c r="C295" s="2" t="s">
        <v>5097</v>
      </c>
      <c r="D295" s="2" t="s">
        <v>5686</v>
      </c>
      <c r="E295" s="2" t="s">
        <v>5666</v>
      </c>
      <c r="I295" s="159"/>
      <c r="J295" s="159"/>
      <c r="K295" s="211" t="s">
        <v>5667</v>
      </c>
    </row>
    <row r="296" spans="1:11" ht="15.75" customHeight="1">
      <c r="A296" s="159" t="s">
        <v>5096</v>
      </c>
      <c r="B296" s="159" t="s">
        <v>266</v>
      </c>
      <c r="C296" s="2" t="s">
        <v>5097</v>
      </c>
      <c r="D296" s="2" t="s">
        <v>5687</v>
      </c>
      <c r="E296" s="2" t="s">
        <v>5670</v>
      </c>
      <c r="I296" s="159"/>
      <c r="J296" s="159"/>
      <c r="K296" s="211" t="s">
        <v>5667</v>
      </c>
    </row>
    <row r="297" spans="1:11" ht="15.75" customHeight="1">
      <c r="A297" s="159" t="s">
        <v>5096</v>
      </c>
      <c r="B297" s="159" t="s">
        <v>266</v>
      </c>
      <c r="C297" s="2" t="s">
        <v>5097</v>
      </c>
      <c r="D297" s="2" t="s">
        <v>1974</v>
      </c>
      <c r="E297" s="2" t="s">
        <v>1974</v>
      </c>
      <c r="I297" s="159"/>
      <c r="J297" s="159"/>
      <c r="K297" s="211" t="s">
        <v>5667</v>
      </c>
    </row>
    <row r="298" spans="1:11" ht="15.75" customHeight="1">
      <c r="A298" s="159" t="s">
        <v>5096</v>
      </c>
      <c r="B298" s="159" t="s">
        <v>266</v>
      </c>
      <c r="C298" s="2" t="s">
        <v>5097</v>
      </c>
      <c r="D298" s="2" t="s">
        <v>5688</v>
      </c>
      <c r="E298" s="2" t="s">
        <v>5666</v>
      </c>
      <c r="I298" s="159"/>
      <c r="J298" s="159"/>
      <c r="K298" s="211" t="s">
        <v>5667</v>
      </c>
    </row>
    <row r="299" spans="1:11" ht="15.75" customHeight="1">
      <c r="A299" s="159" t="s">
        <v>5096</v>
      </c>
      <c r="B299" s="159" t="s">
        <v>266</v>
      </c>
      <c r="C299" s="2" t="s">
        <v>5097</v>
      </c>
      <c r="D299" s="2" t="s">
        <v>5689</v>
      </c>
      <c r="E299" s="2" t="s">
        <v>5664</v>
      </c>
      <c r="G299" s="2">
        <v>32</v>
      </c>
      <c r="H299" s="2">
        <v>0</v>
      </c>
      <c r="I299" s="159"/>
      <c r="J299" s="159"/>
      <c r="K299" s="211" t="s">
        <v>5667</v>
      </c>
    </row>
    <row r="300" spans="1:11" ht="15.75" customHeight="1">
      <c r="A300" s="159" t="s">
        <v>5096</v>
      </c>
      <c r="B300" s="159" t="s">
        <v>266</v>
      </c>
      <c r="C300" s="2" t="s">
        <v>5097</v>
      </c>
      <c r="D300" s="2" t="s">
        <v>5690</v>
      </c>
      <c r="E300" s="2" t="s">
        <v>5672</v>
      </c>
      <c r="I300" s="159"/>
      <c r="J300" s="159"/>
      <c r="K300" s="211" t="s">
        <v>5667</v>
      </c>
    </row>
    <row r="301" spans="1:11" ht="15.75" customHeight="1">
      <c r="A301" s="159" t="s">
        <v>5096</v>
      </c>
      <c r="B301" s="159" t="s">
        <v>266</v>
      </c>
      <c r="C301" s="2" t="s">
        <v>5097</v>
      </c>
      <c r="D301" s="2" t="s">
        <v>5691</v>
      </c>
      <c r="E301" s="2" t="s">
        <v>5664</v>
      </c>
      <c r="G301" s="2">
        <v>32</v>
      </c>
      <c r="H301" s="2">
        <v>0</v>
      </c>
      <c r="I301" s="159"/>
      <c r="J301" s="159"/>
      <c r="K301" s="211" t="s">
        <v>5667</v>
      </c>
    </row>
    <row r="302" spans="1:11" ht="15.75" customHeight="1">
      <c r="A302" s="159" t="s">
        <v>5096</v>
      </c>
      <c r="B302" s="159" t="s">
        <v>266</v>
      </c>
      <c r="C302" s="2" t="s">
        <v>5097</v>
      </c>
      <c r="D302" s="2" t="s">
        <v>1351</v>
      </c>
      <c r="E302" s="2" t="s">
        <v>5692</v>
      </c>
      <c r="G302" s="2">
        <v>53</v>
      </c>
      <c r="I302" s="159"/>
      <c r="J302" s="159"/>
      <c r="K302" s="211" t="s">
        <v>5667</v>
      </c>
    </row>
    <row r="303" spans="1:11" ht="15.75" customHeight="1">
      <c r="A303" s="159" t="s">
        <v>5096</v>
      </c>
      <c r="B303" s="159" t="s">
        <v>266</v>
      </c>
      <c r="C303" s="2" t="s">
        <v>5097</v>
      </c>
      <c r="D303" s="2" t="s">
        <v>5693</v>
      </c>
      <c r="E303" s="2" t="s">
        <v>5664</v>
      </c>
      <c r="G303" s="2">
        <v>32</v>
      </c>
      <c r="H303" s="2">
        <v>0</v>
      </c>
      <c r="I303" s="159"/>
      <c r="J303" s="159"/>
      <c r="K303" s="211" t="s">
        <v>5667</v>
      </c>
    </row>
    <row r="304" spans="1:11" ht="15.75" customHeight="1">
      <c r="A304" s="159" t="s">
        <v>5096</v>
      </c>
      <c r="B304" s="159" t="s">
        <v>266</v>
      </c>
      <c r="C304" s="2" t="s">
        <v>5097</v>
      </c>
      <c r="D304" s="2" t="s">
        <v>3962</v>
      </c>
      <c r="E304" s="2" t="s">
        <v>5666</v>
      </c>
      <c r="I304" s="159"/>
      <c r="J304" s="159"/>
      <c r="K304" s="211" t="s">
        <v>5667</v>
      </c>
    </row>
    <row r="305" spans="1:11" ht="15.75" customHeight="1">
      <c r="A305" s="159" t="s">
        <v>5096</v>
      </c>
      <c r="B305" s="159" t="s">
        <v>266</v>
      </c>
      <c r="C305" s="2" t="s">
        <v>5097</v>
      </c>
      <c r="D305" s="2" t="s">
        <v>5609</v>
      </c>
      <c r="E305" s="2" t="s">
        <v>5666</v>
      </c>
      <c r="I305" s="159"/>
      <c r="J305" s="159"/>
      <c r="K305" s="211" t="s">
        <v>5667</v>
      </c>
    </row>
    <row r="306" spans="1:11" ht="15.75" customHeight="1">
      <c r="A306" s="159" t="s">
        <v>5096</v>
      </c>
      <c r="B306" s="159" t="s">
        <v>266</v>
      </c>
      <c r="C306" s="2" t="s">
        <v>5097</v>
      </c>
      <c r="D306" s="2" t="s">
        <v>5694</v>
      </c>
      <c r="E306" s="2" t="s">
        <v>5672</v>
      </c>
      <c r="I306" s="159"/>
      <c r="J306" s="159"/>
      <c r="K306" s="211" t="s">
        <v>5667</v>
      </c>
    </row>
    <row r="307" spans="1:11" ht="15.75" customHeight="1">
      <c r="A307" s="159" t="s">
        <v>5096</v>
      </c>
      <c r="B307" s="159" t="s">
        <v>266</v>
      </c>
      <c r="C307" s="2" t="s">
        <v>5097</v>
      </c>
      <c r="D307" s="2" t="s">
        <v>1442</v>
      </c>
      <c r="E307" s="2" t="s">
        <v>5666</v>
      </c>
      <c r="I307" s="159"/>
      <c r="J307" s="159"/>
      <c r="K307" s="211" t="s">
        <v>5667</v>
      </c>
    </row>
    <row r="308" spans="1:11" ht="15.75" customHeight="1">
      <c r="A308" s="159" t="s">
        <v>5096</v>
      </c>
      <c r="B308" s="159" t="s">
        <v>266</v>
      </c>
      <c r="C308" s="2" t="s">
        <v>5097</v>
      </c>
      <c r="D308" s="2" t="s">
        <v>5695</v>
      </c>
      <c r="E308" s="2" t="s">
        <v>5664</v>
      </c>
      <c r="G308" s="2">
        <v>32</v>
      </c>
      <c r="H308" s="2">
        <v>0</v>
      </c>
      <c r="I308" s="159"/>
      <c r="J308" s="159"/>
      <c r="K308" s="211" t="s">
        <v>5667</v>
      </c>
    </row>
    <row r="309" spans="1:11" ht="15.75" customHeight="1">
      <c r="A309" s="159" t="s">
        <v>5096</v>
      </c>
      <c r="B309" s="159" t="s">
        <v>266</v>
      </c>
      <c r="C309" s="2" t="s">
        <v>5097</v>
      </c>
      <c r="D309" s="2" t="s">
        <v>5696</v>
      </c>
      <c r="E309" s="2" t="s">
        <v>5664</v>
      </c>
      <c r="G309" s="2">
        <v>32</v>
      </c>
      <c r="H309" s="2">
        <v>0</v>
      </c>
      <c r="I309" s="159"/>
      <c r="J309" s="159"/>
      <c r="K309" s="211" t="s">
        <v>5667</v>
      </c>
    </row>
    <row r="310" spans="1:11" ht="15.75" customHeight="1">
      <c r="A310" s="159" t="s">
        <v>5096</v>
      </c>
      <c r="B310" s="159" t="s">
        <v>266</v>
      </c>
      <c r="C310" s="2" t="s">
        <v>5097</v>
      </c>
      <c r="D310" s="2" t="s">
        <v>5697</v>
      </c>
      <c r="E310" s="2" t="s">
        <v>5666</v>
      </c>
      <c r="I310" s="159"/>
      <c r="J310" s="159"/>
      <c r="K310" s="211" t="s">
        <v>5665</v>
      </c>
    </row>
    <row r="311" spans="1:11" ht="15.75" customHeight="1">
      <c r="A311" s="159" t="s">
        <v>5096</v>
      </c>
      <c r="B311" s="159" t="s">
        <v>266</v>
      </c>
      <c r="C311" s="2" t="s">
        <v>5097</v>
      </c>
      <c r="D311" s="2" t="s">
        <v>5698</v>
      </c>
      <c r="E311" s="2" t="s">
        <v>5670</v>
      </c>
      <c r="I311" s="159"/>
      <c r="J311" s="159"/>
      <c r="K311" s="211" t="s">
        <v>5667</v>
      </c>
    </row>
    <row r="312" spans="1:11" ht="15.75" customHeight="1">
      <c r="A312" s="159" t="s">
        <v>5096</v>
      </c>
      <c r="B312" s="159" t="s">
        <v>266</v>
      </c>
      <c r="C312" s="2" t="s">
        <v>5097</v>
      </c>
      <c r="D312" s="2" t="s">
        <v>5699</v>
      </c>
      <c r="E312" s="2" t="s">
        <v>5672</v>
      </c>
      <c r="I312" s="159"/>
      <c r="J312" s="159"/>
      <c r="K312" s="211" t="s">
        <v>5667</v>
      </c>
    </row>
    <row r="313" spans="1:11" ht="15.75" customHeight="1">
      <c r="A313" s="159" t="s">
        <v>5096</v>
      </c>
      <c r="B313" s="159" t="s">
        <v>266</v>
      </c>
      <c r="C313" s="2" t="s">
        <v>5097</v>
      </c>
      <c r="D313" s="2" t="s">
        <v>5700</v>
      </c>
      <c r="E313" s="2" t="s">
        <v>5664</v>
      </c>
      <c r="G313" s="2">
        <v>32</v>
      </c>
      <c r="H313" s="2">
        <v>0</v>
      </c>
      <c r="I313" s="159"/>
      <c r="J313" s="159"/>
      <c r="K313" s="211" t="s">
        <v>5667</v>
      </c>
    </row>
    <row r="314" spans="1:11" ht="15.75" customHeight="1">
      <c r="A314" s="159" t="s">
        <v>5096</v>
      </c>
      <c r="B314" s="159" t="s">
        <v>266</v>
      </c>
      <c r="C314" s="2" t="s">
        <v>5097</v>
      </c>
      <c r="D314" s="2" t="s">
        <v>5701</v>
      </c>
      <c r="E314" s="2" t="s">
        <v>5666</v>
      </c>
      <c r="I314" s="159"/>
      <c r="J314" s="159"/>
      <c r="K314" s="211" t="s">
        <v>5667</v>
      </c>
    </row>
    <row r="315" spans="1:11" ht="15.75" customHeight="1">
      <c r="A315" s="159" t="s">
        <v>5096</v>
      </c>
      <c r="B315" s="159" t="s">
        <v>266</v>
      </c>
      <c r="C315" s="2" t="s">
        <v>5097</v>
      </c>
      <c r="D315" s="2" t="s">
        <v>5702</v>
      </c>
      <c r="E315" s="2" t="s">
        <v>5670</v>
      </c>
      <c r="I315" s="159"/>
      <c r="J315" s="159"/>
      <c r="K315" s="211" t="s">
        <v>5667</v>
      </c>
    </row>
    <row r="316" spans="1:11" ht="15.75" customHeight="1">
      <c r="A316" s="159" t="s">
        <v>5096</v>
      </c>
      <c r="B316" s="159" t="s">
        <v>266</v>
      </c>
      <c r="C316" s="2" t="s">
        <v>5097</v>
      </c>
      <c r="D316" s="2" t="s">
        <v>5703</v>
      </c>
      <c r="E316" s="2" t="s">
        <v>5666</v>
      </c>
      <c r="I316" s="159"/>
      <c r="J316" s="159"/>
      <c r="K316" s="211" t="s">
        <v>5667</v>
      </c>
    </row>
    <row r="317" spans="1:11" ht="15.75" customHeight="1">
      <c r="A317" s="159" t="s">
        <v>5096</v>
      </c>
      <c r="B317" s="159" t="s">
        <v>266</v>
      </c>
      <c r="C317" s="2" t="s">
        <v>5097</v>
      </c>
      <c r="D317" s="2" t="s">
        <v>377</v>
      </c>
      <c r="E317" s="2" t="s">
        <v>5664</v>
      </c>
      <c r="G317" s="2">
        <v>32</v>
      </c>
      <c r="H317" s="2">
        <v>0</v>
      </c>
      <c r="I317" s="159"/>
      <c r="J317" s="159"/>
      <c r="K317" s="211" t="s">
        <v>5667</v>
      </c>
    </row>
    <row r="318" spans="1:11" ht="15.75" customHeight="1">
      <c r="A318" s="159" t="s">
        <v>5096</v>
      </c>
      <c r="B318" s="159" t="s">
        <v>266</v>
      </c>
      <c r="C318" s="2" t="s">
        <v>5097</v>
      </c>
      <c r="D318" s="2" t="s">
        <v>5704</v>
      </c>
      <c r="E318" s="2" t="s">
        <v>717</v>
      </c>
      <c r="I318" s="159"/>
      <c r="J318" s="159"/>
      <c r="K318" s="211" t="s">
        <v>5667</v>
      </c>
    </row>
    <row r="319" spans="1:11" ht="15.75" customHeight="1">
      <c r="A319" s="159" t="s">
        <v>5096</v>
      </c>
      <c r="B319" s="159" t="s">
        <v>266</v>
      </c>
      <c r="C319" s="2" t="s">
        <v>5097</v>
      </c>
      <c r="D319" s="2" t="s">
        <v>5705</v>
      </c>
      <c r="E319" s="2" t="s">
        <v>5670</v>
      </c>
      <c r="I319" s="159"/>
      <c r="J319" s="159"/>
      <c r="K319" s="211" t="s">
        <v>5667</v>
      </c>
    </row>
    <row r="320" spans="1:11" ht="15.75" customHeight="1">
      <c r="A320" s="159" t="s">
        <v>5096</v>
      </c>
      <c r="B320" s="159" t="s">
        <v>266</v>
      </c>
      <c r="C320" s="2" t="s">
        <v>5097</v>
      </c>
      <c r="D320" s="2" t="s">
        <v>5706</v>
      </c>
      <c r="E320" s="2" t="s">
        <v>3893</v>
      </c>
      <c r="I320" s="159"/>
      <c r="J320" s="159"/>
      <c r="K320" s="211" t="s">
        <v>5667</v>
      </c>
    </row>
    <row r="321" spans="1:11" ht="15.75" customHeight="1">
      <c r="A321" s="159" t="s">
        <v>5096</v>
      </c>
      <c r="B321" s="159" t="s">
        <v>266</v>
      </c>
      <c r="C321" s="2" t="s">
        <v>5097</v>
      </c>
      <c r="D321" s="2" t="s">
        <v>5707</v>
      </c>
      <c r="E321" s="2" t="s">
        <v>5666</v>
      </c>
      <c r="I321" s="159"/>
      <c r="J321" s="159"/>
      <c r="K321" s="211" t="s">
        <v>5665</v>
      </c>
    </row>
    <row r="322" spans="1:11" ht="15.75" customHeight="1">
      <c r="A322" s="159" t="s">
        <v>5096</v>
      </c>
      <c r="B322" s="159" t="s">
        <v>266</v>
      </c>
      <c r="C322" s="2" t="s">
        <v>5097</v>
      </c>
      <c r="D322" s="2" t="s">
        <v>5708</v>
      </c>
      <c r="E322" s="2" t="s">
        <v>5666</v>
      </c>
      <c r="K322" s="211" t="s">
        <v>5667</v>
      </c>
    </row>
    <row r="323" spans="1:11" ht="15.75" customHeight="1">
      <c r="A323" s="159" t="s">
        <v>5096</v>
      </c>
      <c r="B323" s="159" t="s">
        <v>266</v>
      </c>
      <c r="C323" s="2" t="s">
        <v>5097</v>
      </c>
      <c r="D323" s="2" t="s">
        <v>5709</v>
      </c>
      <c r="E323" s="2" t="s">
        <v>1974</v>
      </c>
      <c r="K323" s="211" t="s">
        <v>5667</v>
      </c>
    </row>
    <row r="324" spans="1:11" ht="15.75" customHeight="1">
      <c r="A324" s="159" t="s">
        <v>5096</v>
      </c>
      <c r="B324" s="159" t="s">
        <v>266</v>
      </c>
      <c r="C324" s="2" t="s">
        <v>5097</v>
      </c>
      <c r="D324" s="2" t="s">
        <v>5710</v>
      </c>
      <c r="E324" s="2" t="s">
        <v>5666</v>
      </c>
      <c r="K324" s="211" t="s">
        <v>5667</v>
      </c>
    </row>
    <row r="325" spans="1:11" ht="15.75" customHeight="1">
      <c r="A325" s="159" t="s">
        <v>5096</v>
      </c>
      <c r="B325" s="159" t="s">
        <v>266</v>
      </c>
      <c r="C325" s="2" t="s">
        <v>5097</v>
      </c>
      <c r="D325" s="2" t="s">
        <v>5711</v>
      </c>
      <c r="E325" s="2" t="s">
        <v>5666</v>
      </c>
      <c r="K325" s="211" t="s">
        <v>5667</v>
      </c>
    </row>
    <row r="326" spans="1:11" ht="15.75" customHeight="1">
      <c r="A326" s="159" t="s">
        <v>5096</v>
      </c>
      <c r="B326" s="159" t="s">
        <v>266</v>
      </c>
      <c r="C326" s="2" t="s">
        <v>5097</v>
      </c>
      <c r="D326" s="2" t="s">
        <v>5712</v>
      </c>
      <c r="E326" s="2" t="s">
        <v>5666</v>
      </c>
      <c r="K326" s="211" t="s">
        <v>5667</v>
      </c>
    </row>
    <row r="327" spans="1:11" ht="15.75" customHeight="1">
      <c r="A327" s="159" t="s">
        <v>5096</v>
      </c>
      <c r="B327" s="159" t="s">
        <v>266</v>
      </c>
      <c r="C327" s="2" t="s">
        <v>5097</v>
      </c>
      <c r="D327" s="2" t="s">
        <v>5713</v>
      </c>
      <c r="E327" s="2" t="s">
        <v>5664</v>
      </c>
      <c r="G327" s="2">
        <v>32</v>
      </c>
      <c r="H327" s="2">
        <v>0</v>
      </c>
      <c r="K327" s="211" t="s">
        <v>5667</v>
      </c>
    </row>
    <row r="328" spans="1:11" ht="15.75" customHeight="1">
      <c r="A328" s="159" t="s">
        <v>5096</v>
      </c>
      <c r="B328" s="159" t="s">
        <v>266</v>
      </c>
      <c r="C328" s="2" t="s">
        <v>5097</v>
      </c>
      <c r="D328" s="2" t="s">
        <v>5714</v>
      </c>
      <c r="E328" s="2" t="s">
        <v>5664</v>
      </c>
      <c r="G328" s="2">
        <v>32</v>
      </c>
      <c r="H328" s="2">
        <v>0</v>
      </c>
      <c r="K328" s="211" t="s">
        <v>5667</v>
      </c>
    </row>
    <row r="329" spans="1:11" ht="15.75" customHeight="1">
      <c r="A329" s="159" t="s">
        <v>5096</v>
      </c>
      <c r="B329" s="159" t="s">
        <v>266</v>
      </c>
      <c r="C329" s="2" t="s">
        <v>5097</v>
      </c>
      <c r="D329" s="2" t="s">
        <v>5715</v>
      </c>
      <c r="E329" s="2" t="s">
        <v>5666</v>
      </c>
      <c r="K329" s="211" t="s">
        <v>5667</v>
      </c>
    </row>
    <row r="330" spans="1:11" ht="15.75" customHeight="1">
      <c r="A330" s="159" t="s">
        <v>5096</v>
      </c>
      <c r="B330" s="159" t="s">
        <v>266</v>
      </c>
      <c r="C330" s="2" t="s">
        <v>5097</v>
      </c>
      <c r="D330" s="2" t="s">
        <v>5716</v>
      </c>
      <c r="E330" s="2" t="s">
        <v>5666</v>
      </c>
      <c r="F330" s="2">
        <v>256</v>
      </c>
      <c r="K330" s="211" t="s">
        <v>5667</v>
      </c>
    </row>
    <row r="331" spans="1:11" ht="15.75" customHeight="1">
      <c r="A331" s="159" t="s">
        <v>5096</v>
      </c>
      <c r="B331" s="159" t="s">
        <v>266</v>
      </c>
      <c r="C331" s="2" t="s">
        <v>5097</v>
      </c>
      <c r="D331" s="2" t="s">
        <v>5717</v>
      </c>
      <c r="E331" s="2" t="s">
        <v>5666</v>
      </c>
      <c r="K331" s="211" t="s">
        <v>5667</v>
      </c>
    </row>
    <row r="332" spans="1:11" ht="15.75" customHeight="1">
      <c r="A332" s="159" t="s">
        <v>5096</v>
      </c>
      <c r="B332" s="159" t="s">
        <v>266</v>
      </c>
      <c r="C332" s="2" t="s">
        <v>5097</v>
      </c>
      <c r="D332" s="2" t="s">
        <v>5718</v>
      </c>
      <c r="E332" s="2" t="s">
        <v>1974</v>
      </c>
      <c r="K332" s="211" t="s">
        <v>5667</v>
      </c>
    </row>
    <row r="333" spans="1:11" ht="15.75" customHeight="1">
      <c r="A333" s="159" t="s">
        <v>5096</v>
      </c>
      <c r="B333" s="159" t="s">
        <v>266</v>
      </c>
      <c r="C333" s="2" t="s">
        <v>5097</v>
      </c>
      <c r="D333" s="2" t="s">
        <v>5719</v>
      </c>
      <c r="E333" s="2" t="s">
        <v>5664</v>
      </c>
      <c r="G333" s="2">
        <v>32</v>
      </c>
      <c r="H333" s="2">
        <v>0</v>
      </c>
      <c r="K333" s="211" t="s">
        <v>5667</v>
      </c>
    </row>
    <row r="334" spans="1:11" ht="15.75" customHeight="1">
      <c r="A334" s="159" t="s">
        <v>5096</v>
      </c>
      <c r="B334" s="159" t="s">
        <v>266</v>
      </c>
      <c r="C334" s="2" t="s">
        <v>5097</v>
      </c>
      <c r="D334" s="2" t="s">
        <v>5720</v>
      </c>
      <c r="E334" s="2" t="s">
        <v>5664</v>
      </c>
      <c r="G334" s="2">
        <v>32</v>
      </c>
      <c r="H334" s="2">
        <v>0</v>
      </c>
      <c r="K334" s="211" t="s">
        <v>5667</v>
      </c>
    </row>
    <row r="335" spans="1:11" ht="15.75" customHeight="1">
      <c r="A335" s="159" t="s">
        <v>5096</v>
      </c>
      <c r="B335" s="159" t="s">
        <v>266</v>
      </c>
      <c r="C335" s="2" t="s">
        <v>5097</v>
      </c>
      <c r="D335" s="2" t="s">
        <v>5721</v>
      </c>
      <c r="E335" s="2" t="s">
        <v>5664</v>
      </c>
      <c r="G335" s="2">
        <v>32</v>
      </c>
      <c r="H335" s="2">
        <v>0</v>
      </c>
      <c r="K335" s="211" t="s">
        <v>5667</v>
      </c>
    </row>
    <row r="336" spans="1:11" ht="15.75" customHeight="1">
      <c r="A336" s="159" t="s">
        <v>5096</v>
      </c>
      <c r="B336" s="159" t="s">
        <v>266</v>
      </c>
      <c r="C336" s="2" t="s">
        <v>5097</v>
      </c>
      <c r="D336" s="2" t="s">
        <v>5722</v>
      </c>
      <c r="E336" s="2" t="s">
        <v>5666</v>
      </c>
      <c r="K336" s="211" t="s">
        <v>5667</v>
      </c>
    </row>
    <row r="337" spans="1:11" ht="15.75" customHeight="1">
      <c r="A337" s="159" t="s">
        <v>5096</v>
      </c>
      <c r="B337" s="159" t="s">
        <v>266</v>
      </c>
      <c r="C337" s="2" t="s">
        <v>5097</v>
      </c>
      <c r="D337" s="2" t="s">
        <v>5723</v>
      </c>
      <c r="E337" s="2" t="s">
        <v>5666</v>
      </c>
      <c r="K337" s="211" t="s">
        <v>5667</v>
      </c>
    </row>
    <row r="338" spans="1:11" ht="15.75" customHeight="1">
      <c r="A338" s="159" t="s">
        <v>5096</v>
      </c>
      <c r="B338" s="159" t="s">
        <v>266</v>
      </c>
      <c r="C338" s="2" t="s">
        <v>5097</v>
      </c>
      <c r="D338" s="2" t="s">
        <v>5724</v>
      </c>
      <c r="E338" s="2" t="s">
        <v>5666</v>
      </c>
      <c r="K338" s="211" t="s">
        <v>5667</v>
      </c>
    </row>
    <row r="339" spans="1:11" ht="15.75" customHeight="1">
      <c r="A339" s="159" t="s">
        <v>5096</v>
      </c>
      <c r="B339" s="159" t="s">
        <v>266</v>
      </c>
      <c r="C339" s="2" t="s">
        <v>5097</v>
      </c>
      <c r="D339" s="2" t="s">
        <v>5725</v>
      </c>
      <c r="E339" s="2" t="s">
        <v>5666</v>
      </c>
      <c r="K339" s="211" t="s">
        <v>5667</v>
      </c>
    </row>
    <row r="340" spans="1:11" ht="15.75" customHeight="1">
      <c r="A340" s="159" t="s">
        <v>5096</v>
      </c>
      <c r="B340" s="159" t="s">
        <v>266</v>
      </c>
      <c r="C340" s="2" t="s">
        <v>5097</v>
      </c>
      <c r="D340" s="2" t="s">
        <v>5726</v>
      </c>
      <c r="E340" s="2" t="s">
        <v>5666</v>
      </c>
      <c r="K340" s="211" t="s">
        <v>5667</v>
      </c>
    </row>
    <row r="341" spans="1:11" ht="15.75" customHeight="1">
      <c r="A341" s="159" t="s">
        <v>5096</v>
      </c>
      <c r="B341" s="159" t="s">
        <v>266</v>
      </c>
      <c r="C341" s="2" t="s">
        <v>5097</v>
      </c>
      <c r="D341" s="2" t="s">
        <v>5727</v>
      </c>
      <c r="E341" s="2" t="s">
        <v>5666</v>
      </c>
      <c r="K341" s="211" t="s">
        <v>5667</v>
      </c>
    </row>
    <row r="342" spans="1:11" ht="15.75" customHeight="1">
      <c r="A342" s="159" t="s">
        <v>5096</v>
      </c>
      <c r="B342" s="159" t="s">
        <v>266</v>
      </c>
      <c r="C342" s="2" t="s">
        <v>5097</v>
      </c>
      <c r="D342" s="2" t="s">
        <v>5728</v>
      </c>
      <c r="E342" s="2" t="s">
        <v>5664</v>
      </c>
      <c r="G342" s="2">
        <v>32</v>
      </c>
      <c r="H342" s="2">
        <v>0</v>
      </c>
      <c r="K342" s="211" t="s">
        <v>5667</v>
      </c>
    </row>
    <row r="343" spans="1:11" ht="15.75" customHeight="1">
      <c r="A343" s="159" t="s">
        <v>5096</v>
      </c>
      <c r="B343" s="159" t="s">
        <v>266</v>
      </c>
      <c r="C343" s="2" t="s">
        <v>5097</v>
      </c>
      <c r="D343" s="2" t="s">
        <v>5729</v>
      </c>
      <c r="E343" s="2" t="s">
        <v>5666</v>
      </c>
      <c r="K343" s="211" t="s">
        <v>5667</v>
      </c>
    </row>
    <row r="344" spans="1:11" ht="15.75" customHeight="1">
      <c r="A344" s="159" t="s">
        <v>5096</v>
      </c>
      <c r="B344" s="159" t="s">
        <v>266</v>
      </c>
      <c r="C344" s="2" t="s">
        <v>5097</v>
      </c>
      <c r="D344" s="2" t="s">
        <v>5730</v>
      </c>
      <c r="E344" s="2" t="s">
        <v>3893</v>
      </c>
      <c r="K344" s="211" t="s">
        <v>5667</v>
      </c>
    </row>
    <row r="345" spans="1:11" ht="15.75" customHeight="1">
      <c r="A345" s="159" t="s">
        <v>5096</v>
      </c>
      <c r="B345" s="159" t="s">
        <v>266</v>
      </c>
      <c r="C345" s="2" t="s">
        <v>5097</v>
      </c>
      <c r="D345" s="2" t="s">
        <v>5731</v>
      </c>
      <c r="E345" s="2" t="s">
        <v>5666</v>
      </c>
      <c r="K345" s="211" t="s">
        <v>5665</v>
      </c>
    </row>
    <row r="346" spans="1:11" ht="15.75" customHeight="1">
      <c r="A346" s="159" t="s">
        <v>5096</v>
      </c>
      <c r="B346" s="159" t="s">
        <v>266</v>
      </c>
      <c r="C346" s="2" t="s">
        <v>5097</v>
      </c>
      <c r="D346" s="2" t="s">
        <v>5732</v>
      </c>
      <c r="E346" s="2" t="s">
        <v>5666</v>
      </c>
      <c r="K346" s="211" t="s">
        <v>5665</v>
      </c>
    </row>
    <row r="347" spans="1:11" ht="15.75" customHeight="1">
      <c r="A347" s="159" t="s">
        <v>5096</v>
      </c>
      <c r="B347" s="159" t="s">
        <v>266</v>
      </c>
      <c r="C347" s="2" t="s">
        <v>5097</v>
      </c>
      <c r="D347" s="2" t="s">
        <v>5733</v>
      </c>
      <c r="E347" s="2" t="s">
        <v>3893</v>
      </c>
      <c r="K347" s="211" t="s">
        <v>5667</v>
      </c>
    </row>
    <row r="348" spans="1:11" ht="15.75" customHeight="1">
      <c r="A348" s="159" t="s">
        <v>5096</v>
      </c>
      <c r="B348" s="159" t="s">
        <v>266</v>
      </c>
      <c r="C348" s="2" t="s">
        <v>5097</v>
      </c>
      <c r="D348" s="2" t="s">
        <v>5734</v>
      </c>
      <c r="E348" s="2" t="s">
        <v>5666</v>
      </c>
      <c r="F348" s="2">
        <v>4</v>
      </c>
      <c r="K348" s="211" t="s">
        <v>5667</v>
      </c>
    </row>
    <row r="349" spans="1:11" ht="15.75" customHeight="1">
      <c r="A349" s="159" t="s">
        <v>5096</v>
      </c>
      <c r="B349" s="159" t="s">
        <v>266</v>
      </c>
      <c r="C349" s="2" t="s">
        <v>5097</v>
      </c>
      <c r="D349" s="2" t="s">
        <v>5735</v>
      </c>
      <c r="E349" s="2" t="s">
        <v>5666</v>
      </c>
      <c r="K349" s="211" t="s">
        <v>5665</v>
      </c>
    </row>
    <row r="350" spans="1:11" ht="15.75" customHeight="1">
      <c r="A350" s="159" t="s">
        <v>5096</v>
      </c>
      <c r="B350" s="159" t="s">
        <v>266</v>
      </c>
      <c r="C350" s="2" t="s">
        <v>5097</v>
      </c>
      <c r="D350" s="2" t="s">
        <v>5736</v>
      </c>
      <c r="E350" s="2" t="s">
        <v>3893</v>
      </c>
      <c r="K350" s="211" t="s">
        <v>5667</v>
      </c>
    </row>
    <row r="351" spans="1:11" ht="15.75" customHeight="1">
      <c r="A351" s="159" t="s">
        <v>5096</v>
      </c>
      <c r="B351" s="159" t="s">
        <v>266</v>
      </c>
      <c r="C351" s="2" t="s">
        <v>5097</v>
      </c>
      <c r="D351" s="2" t="s">
        <v>5737</v>
      </c>
      <c r="E351" s="2" t="s">
        <v>5672</v>
      </c>
      <c r="K351" s="211" t="s">
        <v>5667</v>
      </c>
    </row>
    <row r="352" spans="1:11" ht="15.75" customHeight="1">
      <c r="A352" s="159" t="s">
        <v>5096</v>
      </c>
      <c r="B352" s="159" t="s">
        <v>266</v>
      </c>
      <c r="C352" s="2" t="s">
        <v>5097</v>
      </c>
      <c r="D352" s="2" t="s">
        <v>5738</v>
      </c>
      <c r="E352" s="2" t="s">
        <v>5692</v>
      </c>
      <c r="G352" s="2">
        <v>53</v>
      </c>
      <c r="K352" s="211" t="s">
        <v>5667</v>
      </c>
    </row>
    <row r="353" spans="1:11" ht="15.75" customHeight="1">
      <c r="A353" s="159" t="s">
        <v>5096</v>
      </c>
      <c r="B353" s="159" t="s">
        <v>266</v>
      </c>
      <c r="C353" s="2" t="s">
        <v>5097</v>
      </c>
      <c r="D353" s="2" t="s">
        <v>5739</v>
      </c>
      <c r="E353" s="2" t="s">
        <v>5666</v>
      </c>
      <c r="K353" s="211" t="s">
        <v>5667</v>
      </c>
    </row>
    <row r="354" spans="1:11" ht="15.75" customHeight="1">
      <c r="A354" s="159" t="s">
        <v>5096</v>
      </c>
      <c r="B354" s="159" t="s">
        <v>266</v>
      </c>
      <c r="C354" s="2" t="s">
        <v>5097</v>
      </c>
      <c r="D354" s="2" t="s">
        <v>5740</v>
      </c>
      <c r="E354" s="2" t="s">
        <v>5672</v>
      </c>
      <c r="K354" s="211" t="s">
        <v>5667</v>
      </c>
    </row>
    <row r="355" spans="1:11" ht="15.75" customHeight="1">
      <c r="A355" s="159" t="s">
        <v>5096</v>
      </c>
      <c r="B355" s="159" t="s">
        <v>266</v>
      </c>
      <c r="C355" s="2" t="s">
        <v>5097</v>
      </c>
      <c r="D355" s="2" t="s">
        <v>5741</v>
      </c>
      <c r="E355" s="2" t="s">
        <v>5664</v>
      </c>
      <c r="G355" s="2">
        <v>32</v>
      </c>
      <c r="H355" s="2">
        <v>0</v>
      </c>
      <c r="K355" s="211" t="s">
        <v>5667</v>
      </c>
    </row>
    <row r="356" spans="1:11" ht="15.75" customHeight="1">
      <c r="A356" s="159" t="s">
        <v>5096</v>
      </c>
      <c r="B356" s="159" t="s">
        <v>266</v>
      </c>
      <c r="C356" s="2" t="s">
        <v>5097</v>
      </c>
      <c r="D356" s="2" t="s">
        <v>5742</v>
      </c>
      <c r="E356" s="2" t="s">
        <v>5666</v>
      </c>
      <c r="K356" s="211" t="s">
        <v>5667</v>
      </c>
    </row>
    <row r="357" spans="1:11" ht="15.75" customHeight="1">
      <c r="A357" s="159" t="s">
        <v>5096</v>
      </c>
      <c r="B357" s="159" t="s">
        <v>266</v>
      </c>
      <c r="C357" s="2" t="s">
        <v>5097</v>
      </c>
      <c r="D357" s="2" t="s">
        <v>5743</v>
      </c>
      <c r="E357" s="2" t="s">
        <v>5672</v>
      </c>
      <c r="K357" s="211" t="s">
        <v>5667</v>
      </c>
    </row>
    <row r="358" spans="1:11" ht="15.75" customHeight="1">
      <c r="A358" s="159" t="s">
        <v>5096</v>
      </c>
      <c r="B358" s="159" t="s">
        <v>266</v>
      </c>
      <c r="C358" s="2" t="s">
        <v>5097</v>
      </c>
      <c r="D358" s="2" t="s">
        <v>5744</v>
      </c>
      <c r="E358" s="2" t="s">
        <v>5666</v>
      </c>
      <c r="K358" s="211" t="s">
        <v>5667</v>
      </c>
    </row>
    <row r="359" spans="1:11" ht="15.75" customHeight="1">
      <c r="A359" s="159" t="s">
        <v>5096</v>
      </c>
      <c r="B359" s="159" t="s">
        <v>266</v>
      </c>
      <c r="C359" s="2" t="s">
        <v>5097</v>
      </c>
      <c r="D359" s="2" t="s">
        <v>5745</v>
      </c>
      <c r="E359" s="2" t="s">
        <v>5672</v>
      </c>
      <c r="K359" s="211" t="s">
        <v>5667</v>
      </c>
    </row>
    <row r="360" spans="1:11" ht="15.75" customHeight="1">
      <c r="A360" s="159" t="s">
        <v>5096</v>
      </c>
      <c r="B360" s="159" t="s">
        <v>266</v>
      </c>
      <c r="C360" s="2" t="s">
        <v>5097</v>
      </c>
      <c r="D360" s="2" t="s">
        <v>5746</v>
      </c>
      <c r="E360" s="2" t="s">
        <v>5664</v>
      </c>
      <c r="G360" s="2">
        <v>32</v>
      </c>
      <c r="H360" s="2">
        <v>0</v>
      </c>
      <c r="K360" s="211" t="s">
        <v>5667</v>
      </c>
    </row>
    <row r="361" spans="1:11" ht="15.75" customHeight="1">
      <c r="A361" s="159" t="s">
        <v>5096</v>
      </c>
      <c r="B361" s="159" t="s">
        <v>266</v>
      </c>
      <c r="C361" s="2" t="s">
        <v>5097</v>
      </c>
      <c r="D361" s="2" t="s">
        <v>5747</v>
      </c>
      <c r="E361" s="2" t="s">
        <v>5692</v>
      </c>
      <c r="G361" s="2">
        <v>53</v>
      </c>
      <c r="K361" s="211" t="s">
        <v>5667</v>
      </c>
    </row>
    <row r="362" spans="1:11" ht="15.75" customHeight="1">
      <c r="A362" s="159" t="s">
        <v>5096</v>
      </c>
      <c r="B362" s="159" t="s">
        <v>266</v>
      </c>
      <c r="C362" s="2" t="s">
        <v>5097</v>
      </c>
      <c r="D362" s="2" t="s">
        <v>5748</v>
      </c>
      <c r="E362" s="2" t="s">
        <v>5666</v>
      </c>
      <c r="K362" s="211" t="s">
        <v>5667</v>
      </c>
    </row>
    <row r="363" spans="1:11" ht="15.75" customHeight="1">
      <c r="A363" s="159" t="s">
        <v>5096</v>
      </c>
      <c r="B363" s="159" t="s">
        <v>266</v>
      </c>
      <c r="C363" s="2" t="s">
        <v>5097</v>
      </c>
      <c r="D363" s="2" t="s">
        <v>5749</v>
      </c>
      <c r="E363" s="2" t="s">
        <v>5666</v>
      </c>
      <c r="K363" s="211" t="s">
        <v>5667</v>
      </c>
    </row>
    <row r="364" spans="1:11" ht="15.75" customHeight="1">
      <c r="A364" s="159" t="s">
        <v>5096</v>
      </c>
      <c r="B364" s="159" t="s">
        <v>266</v>
      </c>
      <c r="C364" s="2" t="s">
        <v>5097</v>
      </c>
      <c r="D364" s="2" t="s">
        <v>5750</v>
      </c>
      <c r="E364" s="2" t="s">
        <v>5666</v>
      </c>
      <c r="K364" s="211" t="s">
        <v>5667</v>
      </c>
    </row>
    <row r="365" spans="1:11" ht="15.75" customHeight="1">
      <c r="A365" s="159" t="s">
        <v>5096</v>
      </c>
      <c r="B365" s="159" t="s">
        <v>266</v>
      </c>
      <c r="C365" s="2" t="s">
        <v>5097</v>
      </c>
      <c r="D365" s="2" t="s">
        <v>5751</v>
      </c>
      <c r="E365" s="2" t="s">
        <v>3893</v>
      </c>
      <c r="K365" s="211" t="s">
        <v>5667</v>
      </c>
    </row>
    <row r="366" spans="1:11" ht="15.75" customHeight="1">
      <c r="A366" s="159" t="s">
        <v>5096</v>
      </c>
      <c r="B366" s="159" t="s">
        <v>266</v>
      </c>
      <c r="C366" s="2" t="s">
        <v>5097</v>
      </c>
      <c r="D366" s="2" t="s">
        <v>5752</v>
      </c>
      <c r="E366" s="2" t="s">
        <v>5672</v>
      </c>
      <c r="K366" s="211" t="s">
        <v>5667</v>
      </c>
    </row>
    <row r="367" spans="1:11" ht="15.75" customHeight="1">
      <c r="A367" s="159" t="s">
        <v>5096</v>
      </c>
      <c r="B367" s="159" t="s">
        <v>266</v>
      </c>
      <c r="C367" s="2" t="s">
        <v>5097</v>
      </c>
      <c r="D367" s="2" t="s">
        <v>5753</v>
      </c>
      <c r="E367" s="2" t="s">
        <v>5664</v>
      </c>
      <c r="G367" s="2">
        <v>32</v>
      </c>
      <c r="H367" s="2">
        <v>0</v>
      </c>
      <c r="K367" s="211" t="s">
        <v>5667</v>
      </c>
    </row>
    <row r="368" spans="1:11" ht="15.75" customHeight="1">
      <c r="A368" s="159" t="s">
        <v>5096</v>
      </c>
      <c r="B368" s="159" t="s">
        <v>266</v>
      </c>
      <c r="C368" s="2" t="s">
        <v>5097</v>
      </c>
      <c r="D368" s="2" t="s">
        <v>5754</v>
      </c>
      <c r="E368" s="2" t="s">
        <v>5664</v>
      </c>
      <c r="G368" s="2">
        <v>32</v>
      </c>
      <c r="H368" s="2">
        <v>0</v>
      </c>
      <c r="K368" s="211" t="s">
        <v>5667</v>
      </c>
    </row>
    <row r="369" spans="1:11" ht="15.75" customHeight="1">
      <c r="A369" s="159" t="s">
        <v>5096</v>
      </c>
      <c r="B369" s="159" t="s">
        <v>266</v>
      </c>
      <c r="C369" s="2" t="s">
        <v>5097</v>
      </c>
      <c r="D369" s="2" t="s">
        <v>5755</v>
      </c>
      <c r="E369" s="2" t="s">
        <v>5666</v>
      </c>
      <c r="F369" s="2">
        <v>50</v>
      </c>
      <c r="K369" s="211" t="s">
        <v>5667</v>
      </c>
    </row>
    <row r="370" spans="1:11" ht="15.75" customHeight="1">
      <c r="A370" s="159" t="s">
        <v>5096</v>
      </c>
      <c r="B370" s="159" t="s">
        <v>266</v>
      </c>
      <c r="C370" s="2" t="s">
        <v>5097</v>
      </c>
      <c r="D370" s="2" t="s">
        <v>5756</v>
      </c>
      <c r="E370" s="2" t="s">
        <v>5666</v>
      </c>
      <c r="F370" s="2">
        <v>6</v>
      </c>
      <c r="K370" s="211" t="s">
        <v>5667</v>
      </c>
    </row>
    <row r="371" spans="1:11" ht="15.75" customHeight="1">
      <c r="A371" s="159" t="s">
        <v>5096</v>
      </c>
      <c r="B371" s="159" t="s">
        <v>266</v>
      </c>
      <c r="C371" s="2" t="s">
        <v>5097</v>
      </c>
      <c r="D371" s="2" t="s">
        <v>5757</v>
      </c>
      <c r="E371" s="2" t="s">
        <v>5672</v>
      </c>
      <c r="K371" s="211" t="s">
        <v>5667</v>
      </c>
    </row>
    <row r="372" spans="1:11" ht="15.75" customHeight="1">
      <c r="A372" s="159" t="s">
        <v>5096</v>
      </c>
      <c r="B372" s="159" t="s">
        <v>266</v>
      </c>
      <c r="C372" s="2" t="s">
        <v>5097</v>
      </c>
      <c r="D372" s="2" t="s">
        <v>5758</v>
      </c>
      <c r="E372" s="2" t="s">
        <v>1974</v>
      </c>
      <c r="K372" s="211" t="s">
        <v>5667</v>
      </c>
    </row>
    <row r="373" spans="1:11" ht="15.75" customHeight="1">
      <c r="A373" s="159" t="s">
        <v>5096</v>
      </c>
      <c r="B373" s="159" t="s">
        <v>266</v>
      </c>
      <c r="C373" s="2" t="s">
        <v>5097</v>
      </c>
      <c r="D373" s="2" t="s">
        <v>5759</v>
      </c>
      <c r="E373" s="2" t="s">
        <v>5666</v>
      </c>
      <c r="K373" s="211" t="s">
        <v>5667</v>
      </c>
    </row>
    <row r="374" spans="1:11" ht="15.75" customHeight="1">
      <c r="A374" s="159" t="s">
        <v>5096</v>
      </c>
      <c r="B374" s="159" t="s">
        <v>266</v>
      </c>
      <c r="C374" s="2" t="s">
        <v>5097</v>
      </c>
      <c r="D374" s="2" t="s">
        <v>5760</v>
      </c>
      <c r="E374" s="2" t="s">
        <v>5672</v>
      </c>
      <c r="K374" s="211" t="s">
        <v>5667</v>
      </c>
    </row>
    <row r="375" spans="1:11" ht="15.75" customHeight="1">
      <c r="A375" s="159" t="s">
        <v>5096</v>
      </c>
      <c r="B375" s="159" t="s">
        <v>266</v>
      </c>
      <c r="C375" s="2" t="s">
        <v>5097</v>
      </c>
      <c r="D375" s="2" t="s">
        <v>5761</v>
      </c>
      <c r="E375" s="2" t="s">
        <v>3893</v>
      </c>
      <c r="K375" s="211" t="s">
        <v>5667</v>
      </c>
    </row>
    <row r="376" spans="1:11" ht="15.75" customHeight="1">
      <c r="A376" s="159" t="s">
        <v>5096</v>
      </c>
      <c r="B376" s="159" t="s">
        <v>266</v>
      </c>
      <c r="C376" s="2" t="s">
        <v>5097</v>
      </c>
      <c r="D376" s="2" t="s">
        <v>5762</v>
      </c>
      <c r="E376" s="2" t="s">
        <v>5666</v>
      </c>
      <c r="K376" s="211" t="s">
        <v>5667</v>
      </c>
    </row>
    <row r="377" spans="1:11" ht="15.75" customHeight="1">
      <c r="A377" s="159" t="s">
        <v>5096</v>
      </c>
      <c r="B377" s="159" t="s">
        <v>266</v>
      </c>
      <c r="C377" s="2" t="s">
        <v>5097</v>
      </c>
      <c r="D377" s="2" t="s">
        <v>5763</v>
      </c>
      <c r="E377" s="2" t="s">
        <v>3893</v>
      </c>
      <c r="K377" s="211" t="s">
        <v>5667</v>
      </c>
    </row>
    <row r="378" spans="1:11" ht="15.75" customHeight="1">
      <c r="A378" s="159" t="s">
        <v>5096</v>
      </c>
      <c r="B378" s="159" t="s">
        <v>266</v>
      </c>
      <c r="C378" s="2" t="s">
        <v>5099</v>
      </c>
      <c r="D378" s="2" t="s">
        <v>3897</v>
      </c>
      <c r="E378" s="2" t="s">
        <v>5664</v>
      </c>
      <c r="G378" s="2">
        <v>32</v>
      </c>
      <c r="H378" s="2">
        <v>0</v>
      </c>
      <c r="K378" s="211" t="s">
        <v>5665</v>
      </c>
    </row>
    <row r="379" spans="1:11" ht="15.75" customHeight="1">
      <c r="A379" s="159" t="s">
        <v>5096</v>
      </c>
      <c r="B379" s="159" t="s">
        <v>266</v>
      </c>
      <c r="C379" s="2" t="s">
        <v>5099</v>
      </c>
      <c r="D379" s="2" t="s">
        <v>5691</v>
      </c>
      <c r="E379" s="2" t="s">
        <v>5664</v>
      </c>
      <c r="G379" s="2">
        <v>32</v>
      </c>
      <c r="H379" s="2">
        <v>0</v>
      </c>
      <c r="K379" s="211" t="s">
        <v>5667</v>
      </c>
    </row>
    <row r="380" spans="1:11" ht="15.75" customHeight="1">
      <c r="A380" s="159" t="s">
        <v>5096</v>
      </c>
      <c r="B380" s="159" t="s">
        <v>266</v>
      </c>
      <c r="C380" s="2" t="s">
        <v>5099</v>
      </c>
      <c r="D380" s="2" t="s">
        <v>5764</v>
      </c>
      <c r="E380" s="2" t="s">
        <v>5666</v>
      </c>
      <c r="K380" s="211" t="s">
        <v>5667</v>
      </c>
    </row>
    <row r="381" spans="1:11" ht="15.75" customHeight="1">
      <c r="A381" s="159" t="s">
        <v>5096</v>
      </c>
      <c r="B381" s="159" t="s">
        <v>266</v>
      </c>
      <c r="C381" s="2" t="s">
        <v>5099</v>
      </c>
      <c r="D381" s="2" t="s">
        <v>156</v>
      </c>
      <c r="E381" s="2" t="s">
        <v>5666</v>
      </c>
      <c r="K381" s="211" t="s">
        <v>5667</v>
      </c>
    </row>
    <row r="382" spans="1:11" ht="15.75" customHeight="1">
      <c r="A382" s="159" t="s">
        <v>5096</v>
      </c>
      <c r="B382" s="159" t="s">
        <v>266</v>
      </c>
      <c r="C382" s="2" t="s">
        <v>5099</v>
      </c>
      <c r="D382" s="2" t="s">
        <v>5689</v>
      </c>
      <c r="E382" s="2" t="s">
        <v>5664</v>
      </c>
      <c r="G382" s="2">
        <v>32</v>
      </c>
      <c r="H382" s="2">
        <v>0</v>
      </c>
      <c r="K382" s="211" t="s">
        <v>5667</v>
      </c>
    </row>
    <row r="383" spans="1:11" ht="15.75" customHeight="1">
      <c r="A383" s="159" t="s">
        <v>5096</v>
      </c>
      <c r="B383" s="159" t="s">
        <v>266</v>
      </c>
      <c r="C383" s="2" t="s">
        <v>5099</v>
      </c>
      <c r="D383" s="2" t="s">
        <v>5687</v>
      </c>
      <c r="E383" s="2" t="s">
        <v>5670</v>
      </c>
      <c r="K383" s="211" t="s">
        <v>5667</v>
      </c>
    </row>
    <row r="384" spans="1:11" ht="15.75" customHeight="1">
      <c r="A384" s="159" t="s">
        <v>5096</v>
      </c>
      <c r="B384" s="159" t="s">
        <v>266</v>
      </c>
      <c r="C384" s="2" t="s">
        <v>5099</v>
      </c>
      <c r="D384" s="2" t="s">
        <v>5727</v>
      </c>
      <c r="E384" s="2" t="s">
        <v>5666</v>
      </c>
      <c r="K384" s="211" t="s">
        <v>5667</v>
      </c>
    </row>
    <row r="385" spans="1:11" ht="15.75" customHeight="1">
      <c r="A385" s="159" t="s">
        <v>5096</v>
      </c>
      <c r="B385" s="159" t="s">
        <v>266</v>
      </c>
      <c r="C385" s="2" t="s">
        <v>5099</v>
      </c>
      <c r="D385" s="2" t="s">
        <v>184</v>
      </c>
      <c r="E385" s="2" t="s">
        <v>5670</v>
      </c>
      <c r="K385" s="211" t="s">
        <v>5667</v>
      </c>
    </row>
    <row r="386" spans="1:11" ht="15.75" customHeight="1">
      <c r="A386" s="159" t="s">
        <v>5096</v>
      </c>
      <c r="B386" s="159" t="s">
        <v>266</v>
      </c>
      <c r="C386" s="2" t="s">
        <v>5100</v>
      </c>
      <c r="D386" s="2" t="s">
        <v>3897</v>
      </c>
      <c r="E386" s="2" t="s">
        <v>5664</v>
      </c>
      <c r="G386" s="2">
        <v>32</v>
      </c>
      <c r="H386" s="2">
        <v>0</v>
      </c>
      <c r="K386" s="211" t="s">
        <v>5665</v>
      </c>
    </row>
    <row r="387" spans="1:11" ht="15.75" customHeight="1">
      <c r="A387" s="159" t="s">
        <v>5096</v>
      </c>
      <c r="B387" s="159" t="s">
        <v>266</v>
      </c>
      <c r="C387" s="2" t="s">
        <v>5100</v>
      </c>
      <c r="D387" s="2" t="s">
        <v>184</v>
      </c>
      <c r="E387" s="2" t="s">
        <v>5670</v>
      </c>
      <c r="K387" s="211" t="s">
        <v>5667</v>
      </c>
    </row>
    <row r="388" spans="1:11" ht="15.75" customHeight="1">
      <c r="A388" s="159" t="s">
        <v>5096</v>
      </c>
      <c r="B388" s="159" t="s">
        <v>266</v>
      </c>
      <c r="C388" s="2" t="s">
        <v>5100</v>
      </c>
      <c r="D388" s="2" t="s">
        <v>5765</v>
      </c>
      <c r="E388" s="2" t="s">
        <v>5664</v>
      </c>
      <c r="G388" s="2">
        <v>32</v>
      </c>
      <c r="H388" s="2">
        <v>0</v>
      </c>
      <c r="K388" s="211" t="s">
        <v>5667</v>
      </c>
    </row>
    <row r="389" spans="1:11" ht="15.75" customHeight="1">
      <c r="A389" s="159" t="s">
        <v>5096</v>
      </c>
      <c r="B389" s="159" t="s">
        <v>266</v>
      </c>
      <c r="C389" s="2" t="s">
        <v>5100</v>
      </c>
      <c r="D389" s="2" t="s">
        <v>5766</v>
      </c>
      <c r="E389" s="2" t="s">
        <v>5664</v>
      </c>
      <c r="G389" s="2">
        <v>32</v>
      </c>
      <c r="H389" s="2">
        <v>0</v>
      </c>
      <c r="K389" s="211" t="s">
        <v>5665</v>
      </c>
    </row>
    <row r="390" spans="1:11" ht="15.75" customHeight="1">
      <c r="A390" s="159" t="s">
        <v>5096</v>
      </c>
      <c r="B390" s="159" t="s">
        <v>266</v>
      </c>
      <c r="C390" s="2" t="s">
        <v>5100</v>
      </c>
      <c r="D390" s="2" t="s">
        <v>5689</v>
      </c>
      <c r="E390" s="2" t="s">
        <v>5664</v>
      </c>
      <c r="G390" s="2">
        <v>32</v>
      </c>
      <c r="H390" s="2">
        <v>0</v>
      </c>
      <c r="K390" s="211" t="s">
        <v>5667</v>
      </c>
    </row>
    <row r="391" spans="1:11" ht="15.75" customHeight="1">
      <c r="A391" s="159" t="s">
        <v>5096</v>
      </c>
      <c r="B391" s="159" t="s">
        <v>266</v>
      </c>
      <c r="C391" s="2" t="s">
        <v>5100</v>
      </c>
      <c r="D391" s="2" t="s">
        <v>3943</v>
      </c>
      <c r="E391" s="2" t="s">
        <v>5666</v>
      </c>
      <c r="K391" s="211" t="s">
        <v>5665</v>
      </c>
    </row>
    <row r="392" spans="1:11" ht="15.75" customHeight="1">
      <c r="A392" s="159" t="s">
        <v>5096</v>
      </c>
      <c r="B392" s="159" t="s">
        <v>266</v>
      </c>
      <c r="C392" s="2" t="s">
        <v>5100</v>
      </c>
      <c r="D392" s="2" t="s">
        <v>5741</v>
      </c>
      <c r="E392" s="2" t="s">
        <v>5666</v>
      </c>
      <c r="K392" s="211" t="s">
        <v>5665</v>
      </c>
    </row>
    <row r="393" spans="1:11" ht="15.75" customHeight="1">
      <c r="A393" s="159" t="s">
        <v>5096</v>
      </c>
      <c r="B393" s="159" t="s">
        <v>266</v>
      </c>
      <c r="C393" s="2" t="s">
        <v>5100</v>
      </c>
      <c r="D393" s="2" t="s">
        <v>5675</v>
      </c>
      <c r="E393" s="2" t="s">
        <v>5666</v>
      </c>
      <c r="F393" s="2">
        <v>24</v>
      </c>
      <c r="K393" s="211" t="s">
        <v>5667</v>
      </c>
    </row>
    <row r="394" spans="1:11" ht="15.75" customHeight="1">
      <c r="A394" s="159" t="s">
        <v>5096</v>
      </c>
      <c r="B394" s="159" t="s">
        <v>266</v>
      </c>
      <c r="C394" s="2" t="s">
        <v>5100</v>
      </c>
      <c r="D394" s="2" t="s">
        <v>3945</v>
      </c>
      <c r="E394" s="2" t="s">
        <v>5664</v>
      </c>
      <c r="G394" s="2">
        <v>32</v>
      </c>
      <c r="H394" s="2">
        <v>0</v>
      </c>
      <c r="K394" s="211" t="s">
        <v>5667</v>
      </c>
    </row>
    <row r="395" spans="1:11" ht="15.75" customHeight="1">
      <c r="A395" s="159" t="s">
        <v>5096</v>
      </c>
      <c r="B395" s="159" t="s">
        <v>266</v>
      </c>
      <c r="C395" s="2" t="s">
        <v>5100</v>
      </c>
      <c r="D395" s="2" t="s">
        <v>5767</v>
      </c>
      <c r="E395" s="2" t="s">
        <v>5664</v>
      </c>
      <c r="G395" s="2">
        <v>32</v>
      </c>
      <c r="H395" s="2">
        <v>0</v>
      </c>
      <c r="K395" s="211" t="s">
        <v>5667</v>
      </c>
    </row>
    <row r="396" spans="1:11" ht="15.75" customHeight="1">
      <c r="A396" s="159" t="s">
        <v>5096</v>
      </c>
      <c r="B396" s="159" t="s">
        <v>266</v>
      </c>
      <c r="C396" s="2" t="s">
        <v>5100</v>
      </c>
      <c r="D396" s="2" t="s">
        <v>3545</v>
      </c>
      <c r="E396" s="2" t="s">
        <v>5666</v>
      </c>
      <c r="K396" s="211" t="s">
        <v>5667</v>
      </c>
    </row>
    <row r="397" spans="1:11" ht="15.75" customHeight="1">
      <c r="A397" s="159" t="s">
        <v>5096</v>
      </c>
      <c r="B397" s="159" t="s">
        <v>266</v>
      </c>
      <c r="C397" s="2" t="s">
        <v>5100</v>
      </c>
      <c r="D397" s="2" t="s">
        <v>5768</v>
      </c>
      <c r="E397" s="2" t="s">
        <v>5692</v>
      </c>
      <c r="G397" s="2">
        <v>53</v>
      </c>
      <c r="K397" s="211" t="s">
        <v>5667</v>
      </c>
    </row>
    <row r="398" spans="1:11" ht="15.75" customHeight="1">
      <c r="A398" s="159" t="s">
        <v>5096</v>
      </c>
      <c r="B398" s="159" t="s">
        <v>266</v>
      </c>
      <c r="C398" s="2" t="s">
        <v>5100</v>
      </c>
      <c r="D398" s="2" t="s">
        <v>5691</v>
      </c>
      <c r="E398" s="2" t="s">
        <v>5664</v>
      </c>
      <c r="G398" s="2">
        <v>32</v>
      </c>
      <c r="H398" s="2">
        <v>0</v>
      </c>
      <c r="K398" s="211" t="s">
        <v>5667</v>
      </c>
    </row>
    <row r="399" spans="1:11" ht="15.75" customHeight="1">
      <c r="A399" s="159" t="s">
        <v>5096</v>
      </c>
      <c r="B399" s="159" t="s">
        <v>266</v>
      </c>
      <c r="C399" s="2" t="s">
        <v>5100</v>
      </c>
      <c r="D399" s="2" t="s">
        <v>3944</v>
      </c>
      <c r="E399" s="2" t="s">
        <v>5666</v>
      </c>
      <c r="K399" s="211" t="s">
        <v>5667</v>
      </c>
    </row>
    <row r="400" spans="1:11" ht="15.75" customHeight="1">
      <c r="A400" s="159" t="s">
        <v>5096</v>
      </c>
      <c r="B400" s="159" t="s">
        <v>266</v>
      </c>
      <c r="C400" s="2" t="s">
        <v>5100</v>
      </c>
      <c r="D400" s="2" t="s">
        <v>5685</v>
      </c>
      <c r="E400" s="2" t="s">
        <v>5666</v>
      </c>
      <c r="K400" s="211" t="s">
        <v>5667</v>
      </c>
    </row>
    <row r="401" spans="1:11" ht="15.75" customHeight="1">
      <c r="A401" s="159" t="s">
        <v>5096</v>
      </c>
      <c r="B401" s="159" t="s">
        <v>266</v>
      </c>
      <c r="C401" s="2" t="s">
        <v>5100</v>
      </c>
      <c r="D401" s="2" t="s">
        <v>5769</v>
      </c>
      <c r="E401" s="2" t="s">
        <v>5664</v>
      </c>
      <c r="G401" s="2">
        <v>32</v>
      </c>
      <c r="H401" s="2">
        <v>0</v>
      </c>
      <c r="K401" s="211" t="s">
        <v>5667</v>
      </c>
    </row>
    <row r="402" spans="1:11" ht="15.75" customHeight="1">
      <c r="A402" s="159" t="s">
        <v>5096</v>
      </c>
      <c r="B402" s="159" t="s">
        <v>266</v>
      </c>
      <c r="C402" s="2" t="s">
        <v>5100</v>
      </c>
      <c r="D402" s="2" t="s">
        <v>5770</v>
      </c>
      <c r="E402" s="2" t="s">
        <v>5664</v>
      </c>
      <c r="G402" s="2">
        <v>32</v>
      </c>
      <c r="H402" s="2">
        <v>0</v>
      </c>
      <c r="K402" s="211" t="s">
        <v>5667</v>
      </c>
    </row>
    <row r="403" spans="1:11" ht="15.75" customHeight="1">
      <c r="A403" s="159" t="s">
        <v>5096</v>
      </c>
      <c r="B403" s="159" t="s">
        <v>266</v>
      </c>
      <c r="C403" s="2" t="s">
        <v>5100</v>
      </c>
      <c r="D403" s="2" t="s">
        <v>5686</v>
      </c>
      <c r="E403" s="2" t="s">
        <v>5666</v>
      </c>
      <c r="K403" s="211" t="s">
        <v>5667</v>
      </c>
    </row>
    <row r="404" spans="1:11" ht="15.75" customHeight="1">
      <c r="A404" s="159" t="s">
        <v>5096</v>
      </c>
      <c r="B404" s="159" t="s">
        <v>266</v>
      </c>
      <c r="C404" s="2" t="s">
        <v>5100</v>
      </c>
      <c r="D404" s="2" t="s">
        <v>5771</v>
      </c>
      <c r="E404" s="2" t="s">
        <v>5664</v>
      </c>
      <c r="G404" s="2">
        <v>32</v>
      </c>
      <c r="H404" s="2">
        <v>0</v>
      </c>
      <c r="K404" s="211" t="s">
        <v>5667</v>
      </c>
    </row>
    <row r="405" spans="1:11" ht="15.75" customHeight="1">
      <c r="A405" s="159" t="s">
        <v>5096</v>
      </c>
      <c r="B405" s="159" t="s">
        <v>266</v>
      </c>
      <c r="C405" s="2" t="s">
        <v>5100</v>
      </c>
      <c r="D405" s="2" t="s">
        <v>5687</v>
      </c>
      <c r="E405" s="2" t="s">
        <v>5670</v>
      </c>
      <c r="K405" s="211" t="s">
        <v>5667</v>
      </c>
    </row>
    <row r="406" spans="1:11" ht="15.75" customHeight="1">
      <c r="A406" s="159" t="s">
        <v>5096</v>
      </c>
      <c r="B406" s="159" t="s">
        <v>266</v>
      </c>
      <c r="C406" s="2" t="s">
        <v>5100</v>
      </c>
      <c r="D406" s="2" t="s">
        <v>156</v>
      </c>
      <c r="E406" s="2" t="s">
        <v>5666</v>
      </c>
      <c r="K406" s="211" t="s">
        <v>5667</v>
      </c>
    </row>
    <row r="407" spans="1:11" ht="15.75" customHeight="1">
      <c r="A407" s="159" t="s">
        <v>5096</v>
      </c>
      <c r="B407" s="159" t="s">
        <v>266</v>
      </c>
      <c r="C407" s="2" t="s">
        <v>5100</v>
      </c>
      <c r="D407" s="2" t="s">
        <v>5772</v>
      </c>
      <c r="E407" s="2" t="s">
        <v>5666</v>
      </c>
      <c r="K407" s="211" t="s">
        <v>5665</v>
      </c>
    </row>
    <row r="408" spans="1:11" ht="15.75" customHeight="1">
      <c r="A408" s="159" t="s">
        <v>5096</v>
      </c>
      <c r="B408" s="159" t="s">
        <v>266</v>
      </c>
      <c r="C408" s="2" t="s">
        <v>5100</v>
      </c>
      <c r="D408" s="2" t="s">
        <v>5695</v>
      </c>
      <c r="E408" s="2" t="s">
        <v>5664</v>
      </c>
      <c r="G408" s="2">
        <v>32</v>
      </c>
      <c r="H408" s="2">
        <v>0</v>
      </c>
      <c r="K408" s="211" t="s">
        <v>5667</v>
      </c>
    </row>
    <row r="409" spans="1:11" ht="15.75" customHeight="1">
      <c r="A409" s="159" t="s">
        <v>5096</v>
      </c>
      <c r="B409" s="159" t="s">
        <v>266</v>
      </c>
      <c r="C409" s="2" t="s">
        <v>5100</v>
      </c>
      <c r="D409" s="2" t="s">
        <v>3780</v>
      </c>
      <c r="E409" s="2" t="s">
        <v>5666</v>
      </c>
      <c r="F409" s="2">
        <v>6</v>
      </c>
      <c r="K409" s="211" t="s">
        <v>5665</v>
      </c>
    </row>
    <row r="410" spans="1:11" ht="15.75" customHeight="1">
      <c r="A410" s="159" t="s">
        <v>5096</v>
      </c>
      <c r="B410" s="159" t="s">
        <v>266</v>
      </c>
      <c r="C410" s="2" t="s">
        <v>5100</v>
      </c>
      <c r="D410" s="2" t="s">
        <v>5773</v>
      </c>
      <c r="E410" s="2" t="s">
        <v>5664</v>
      </c>
      <c r="G410" s="2">
        <v>32</v>
      </c>
      <c r="H410" s="2">
        <v>0</v>
      </c>
      <c r="K410" s="211" t="s">
        <v>5667</v>
      </c>
    </row>
    <row r="411" spans="1:11" ht="15.75" customHeight="1">
      <c r="A411" s="159" t="s">
        <v>5096</v>
      </c>
      <c r="B411" s="159" t="s">
        <v>266</v>
      </c>
      <c r="C411" s="2" t="s">
        <v>5100</v>
      </c>
      <c r="D411" s="2" t="s">
        <v>5746</v>
      </c>
      <c r="E411" s="2" t="s">
        <v>5664</v>
      </c>
      <c r="G411" s="2">
        <v>32</v>
      </c>
      <c r="H411" s="2">
        <v>0</v>
      </c>
      <c r="K411" s="211" t="s">
        <v>5665</v>
      </c>
    </row>
    <row r="412" spans="1:11" ht="15.75" customHeight="1">
      <c r="A412" s="159" t="s">
        <v>5096</v>
      </c>
      <c r="B412" s="159" t="s">
        <v>266</v>
      </c>
      <c r="C412" s="2" t="s">
        <v>5100</v>
      </c>
      <c r="D412" s="2" t="s">
        <v>5722</v>
      </c>
      <c r="E412" s="2" t="s">
        <v>5666</v>
      </c>
      <c r="K412" s="211" t="s">
        <v>5667</v>
      </c>
    </row>
    <row r="413" spans="1:11" ht="15.75" customHeight="1">
      <c r="A413" s="159" t="s">
        <v>5096</v>
      </c>
      <c r="B413" s="159" t="s">
        <v>266</v>
      </c>
      <c r="C413" s="2" t="s">
        <v>5100</v>
      </c>
      <c r="D413" s="2" t="s">
        <v>5719</v>
      </c>
      <c r="E413" s="2" t="s">
        <v>5664</v>
      </c>
      <c r="G413" s="2">
        <v>32</v>
      </c>
      <c r="H413" s="2">
        <v>0</v>
      </c>
      <c r="K413" s="211" t="s">
        <v>5665</v>
      </c>
    </row>
    <row r="414" spans="1:11" ht="15.75" customHeight="1">
      <c r="A414" s="159" t="s">
        <v>5096</v>
      </c>
      <c r="B414" s="159" t="s">
        <v>266</v>
      </c>
      <c r="C414" s="2" t="s">
        <v>5100</v>
      </c>
      <c r="D414" s="2" t="s">
        <v>5710</v>
      </c>
      <c r="E414" s="2" t="s">
        <v>5666</v>
      </c>
      <c r="K414" s="211" t="s">
        <v>5667</v>
      </c>
    </row>
    <row r="415" spans="1:11" ht="15.75" customHeight="1">
      <c r="A415" s="159" t="s">
        <v>5096</v>
      </c>
      <c r="B415" s="159" t="s">
        <v>266</v>
      </c>
      <c r="C415" s="2" t="s">
        <v>5100</v>
      </c>
      <c r="D415" s="2" t="s">
        <v>5720</v>
      </c>
      <c r="E415" s="2" t="s">
        <v>5664</v>
      </c>
      <c r="G415" s="2">
        <v>32</v>
      </c>
      <c r="H415" s="2">
        <v>0</v>
      </c>
      <c r="K415" s="211" t="s">
        <v>5665</v>
      </c>
    </row>
    <row r="416" spans="1:11" ht="15.75" customHeight="1">
      <c r="A416" s="159" t="s">
        <v>5096</v>
      </c>
      <c r="B416" s="159" t="s">
        <v>266</v>
      </c>
      <c r="C416" s="2" t="s">
        <v>5100</v>
      </c>
      <c r="D416" s="2" t="s">
        <v>5713</v>
      </c>
      <c r="E416" s="2" t="s">
        <v>5664</v>
      </c>
      <c r="G416" s="2">
        <v>32</v>
      </c>
      <c r="H416" s="2">
        <v>0</v>
      </c>
      <c r="K416" s="211" t="s">
        <v>5665</v>
      </c>
    </row>
    <row r="417" spans="1:11" ht="15.75" customHeight="1">
      <c r="A417" s="159" t="s">
        <v>5096</v>
      </c>
      <c r="B417" s="159" t="s">
        <v>266</v>
      </c>
      <c r="C417" s="2" t="s">
        <v>5100</v>
      </c>
      <c r="D417" s="2" t="s">
        <v>5714</v>
      </c>
      <c r="E417" s="2" t="s">
        <v>5664</v>
      </c>
      <c r="G417" s="2">
        <v>32</v>
      </c>
      <c r="H417" s="2">
        <v>0</v>
      </c>
      <c r="K417" s="211" t="s">
        <v>5665</v>
      </c>
    </row>
    <row r="418" spans="1:11" ht="15.75" customHeight="1">
      <c r="A418" s="159" t="s">
        <v>5096</v>
      </c>
      <c r="B418" s="159" t="s">
        <v>266</v>
      </c>
      <c r="C418" s="2" t="s">
        <v>5100</v>
      </c>
      <c r="D418" s="2" t="s">
        <v>5774</v>
      </c>
      <c r="E418" s="2" t="s">
        <v>5664</v>
      </c>
      <c r="G418" s="2">
        <v>32</v>
      </c>
      <c r="H418" s="2">
        <v>0</v>
      </c>
      <c r="K418" s="211" t="s">
        <v>5667</v>
      </c>
    </row>
    <row r="419" spans="1:11" ht="15.75" customHeight="1">
      <c r="A419" s="159" t="s">
        <v>5096</v>
      </c>
      <c r="B419" s="159" t="s">
        <v>266</v>
      </c>
      <c r="C419" s="2" t="s">
        <v>5100</v>
      </c>
      <c r="D419" s="2" t="s">
        <v>5775</v>
      </c>
      <c r="E419" s="2" t="s">
        <v>5666</v>
      </c>
      <c r="F419" s="2">
        <v>2</v>
      </c>
      <c r="K419" s="211" t="s">
        <v>5667</v>
      </c>
    </row>
    <row r="420" spans="1:11" ht="15.75" customHeight="1">
      <c r="A420" s="159" t="s">
        <v>5096</v>
      </c>
      <c r="B420" s="159" t="s">
        <v>266</v>
      </c>
      <c r="C420" s="2" t="s">
        <v>5100</v>
      </c>
      <c r="D420" s="2" t="s">
        <v>5776</v>
      </c>
      <c r="E420" s="2" t="s">
        <v>5666</v>
      </c>
      <c r="K420" s="211" t="s">
        <v>5665</v>
      </c>
    </row>
    <row r="421" spans="1:11" ht="15.75" customHeight="1">
      <c r="A421" s="159" t="s">
        <v>5096</v>
      </c>
      <c r="B421" s="159" t="s">
        <v>266</v>
      </c>
      <c r="C421" s="2" t="s">
        <v>5100</v>
      </c>
      <c r="D421" s="2" t="s">
        <v>5777</v>
      </c>
      <c r="E421" s="2" t="s">
        <v>5664</v>
      </c>
      <c r="G421" s="2">
        <v>32</v>
      </c>
      <c r="H421" s="2">
        <v>0</v>
      </c>
      <c r="K421" s="211" t="s">
        <v>5667</v>
      </c>
    </row>
    <row r="422" spans="1:11" ht="15.75" customHeight="1">
      <c r="A422" s="159" t="s">
        <v>5096</v>
      </c>
      <c r="B422" s="159" t="s">
        <v>266</v>
      </c>
      <c r="C422" s="2" t="s">
        <v>5100</v>
      </c>
      <c r="D422" s="2" t="s">
        <v>5778</v>
      </c>
      <c r="E422" s="2" t="s">
        <v>5672</v>
      </c>
      <c r="K422" s="211" t="s">
        <v>5667</v>
      </c>
    </row>
    <row r="423" spans="1:11" ht="15.75" customHeight="1">
      <c r="A423" s="159" t="s">
        <v>5096</v>
      </c>
      <c r="B423" s="159" t="s">
        <v>266</v>
      </c>
      <c r="C423" s="2" t="s">
        <v>5100</v>
      </c>
      <c r="D423" s="2" t="s">
        <v>1852</v>
      </c>
      <c r="E423" s="2" t="s">
        <v>1974</v>
      </c>
      <c r="K423" s="211" t="s">
        <v>5667</v>
      </c>
    </row>
    <row r="424" spans="1:11" ht="15.75" customHeight="1">
      <c r="A424" s="159" t="s">
        <v>5096</v>
      </c>
      <c r="B424" s="159" t="s">
        <v>266</v>
      </c>
      <c r="C424" s="2" t="s">
        <v>5100</v>
      </c>
      <c r="D424" s="2" t="s">
        <v>1391</v>
      </c>
      <c r="E424" s="2" t="s">
        <v>3893</v>
      </c>
      <c r="K424" s="211" t="s">
        <v>5667</v>
      </c>
    </row>
    <row r="425" spans="1:11" ht="15.75" customHeight="1">
      <c r="A425" s="159" t="s">
        <v>5096</v>
      </c>
      <c r="B425" s="159" t="s">
        <v>266</v>
      </c>
      <c r="C425" s="2" t="s">
        <v>5100</v>
      </c>
      <c r="D425" s="2" t="s">
        <v>1851</v>
      </c>
      <c r="E425" s="2" t="s">
        <v>1974</v>
      </c>
      <c r="K425" s="211" t="s">
        <v>5667</v>
      </c>
    </row>
    <row r="426" spans="1:11" ht="15.75" customHeight="1">
      <c r="A426" s="159" t="s">
        <v>5096</v>
      </c>
      <c r="B426" s="159" t="s">
        <v>266</v>
      </c>
      <c r="C426" s="2" t="s">
        <v>5100</v>
      </c>
      <c r="D426" s="2" t="s">
        <v>5779</v>
      </c>
      <c r="E426" s="2" t="s">
        <v>5666</v>
      </c>
      <c r="K426" s="211" t="s">
        <v>5667</v>
      </c>
    </row>
    <row r="427" spans="1:11" ht="15.75" customHeight="1">
      <c r="A427" s="159" t="s">
        <v>5096</v>
      </c>
      <c r="B427" s="159" t="s">
        <v>266</v>
      </c>
      <c r="C427" s="2" t="s">
        <v>5100</v>
      </c>
      <c r="D427" s="2" t="s">
        <v>5780</v>
      </c>
      <c r="E427" s="2" t="s">
        <v>5666</v>
      </c>
      <c r="K427" s="211" t="s">
        <v>5667</v>
      </c>
    </row>
    <row r="428" spans="1:11" ht="15.75" customHeight="1">
      <c r="A428" s="159" t="s">
        <v>5096</v>
      </c>
      <c r="B428" s="159" t="s">
        <v>266</v>
      </c>
      <c r="C428" s="2" t="s">
        <v>5100</v>
      </c>
      <c r="D428" s="2" t="s">
        <v>5781</v>
      </c>
      <c r="E428" s="2" t="s">
        <v>5664</v>
      </c>
      <c r="G428" s="2">
        <v>32</v>
      </c>
      <c r="H428" s="2">
        <v>0</v>
      </c>
      <c r="K428" s="211" t="s">
        <v>5667</v>
      </c>
    </row>
    <row r="429" spans="1:11" ht="15.75" customHeight="1">
      <c r="A429" s="159" t="s">
        <v>5096</v>
      </c>
      <c r="B429" s="159" t="s">
        <v>266</v>
      </c>
      <c r="C429" s="2" t="s">
        <v>5100</v>
      </c>
      <c r="D429" s="2" t="s">
        <v>5782</v>
      </c>
      <c r="E429" s="2" t="s">
        <v>5664</v>
      </c>
      <c r="G429" s="2">
        <v>32</v>
      </c>
      <c r="H429" s="2">
        <v>0</v>
      </c>
      <c r="K429" s="211" t="s">
        <v>5667</v>
      </c>
    </row>
    <row r="430" spans="1:11" ht="15.75" customHeight="1">
      <c r="A430" s="159" t="s">
        <v>5096</v>
      </c>
      <c r="B430" s="159" t="s">
        <v>266</v>
      </c>
      <c r="C430" s="2" t="s">
        <v>5100</v>
      </c>
      <c r="D430" s="2" t="s">
        <v>5783</v>
      </c>
      <c r="E430" s="2" t="s">
        <v>5672</v>
      </c>
      <c r="K430" s="211" t="s">
        <v>5667</v>
      </c>
    </row>
    <row r="431" spans="1:11" ht="15.75" customHeight="1">
      <c r="A431" s="159" t="s">
        <v>5096</v>
      </c>
      <c r="B431" s="159" t="s">
        <v>266</v>
      </c>
      <c r="C431" s="2" t="s">
        <v>5100</v>
      </c>
      <c r="D431" s="2" t="s">
        <v>5784</v>
      </c>
      <c r="E431" s="2" t="s">
        <v>5672</v>
      </c>
      <c r="K431" s="211" t="s">
        <v>5667</v>
      </c>
    </row>
    <row r="432" spans="1:11" ht="15.75" customHeight="1">
      <c r="A432" s="159" t="s">
        <v>5096</v>
      </c>
      <c r="B432" s="159" t="s">
        <v>266</v>
      </c>
      <c r="C432" s="2" t="s">
        <v>5100</v>
      </c>
      <c r="D432" s="2" t="s">
        <v>5785</v>
      </c>
      <c r="E432" s="2" t="s">
        <v>5672</v>
      </c>
      <c r="K432" s="211" t="s">
        <v>5667</v>
      </c>
    </row>
    <row r="433" spans="1:11" ht="15.75" customHeight="1">
      <c r="A433" s="159" t="s">
        <v>5096</v>
      </c>
      <c r="B433" s="159" t="s">
        <v>266</v>
      </c>
      <c r="C433" s="2" t="s">
        <v>5100</v>
      </c>
      <c r="D433" s="2" t="s">
        <v>5786</v>
      </c>
      <c r="E433" s="2" t="s">
        <v>3893</v>
      </c>
      <c r="K433" s="211" t="s">
        <v>5667</v>
      </c>
    </row>
    <row r="434" spans="1:11" ht="15.75" customHeight="1">
      <c r="A434" s="159" t="s">
        <v>5096</v>
      </c>
      <c r="B434" s="212" t="s">
        <v>415</v>
      </c>
      <c r="C434" s="2" t="s">
        <v>5101</v>
      </c>
      <c r="D434" s="2" t="s">
        <v>3897</v>
      </c>
      <c r="E434" s="2" t="s">
        <v>5664</v>
      </c>
      <c r="G434" s="2">
        <v>32</v>
      </c>
      <c r="H434" s="2">
        <v>0</v>
      </c>
      <c r="K434" s="211" t="s">
        <v>5665</v>
      </c>
    </row>
    <row r="435" spans="1:11" ht="15.75" customHeight="1">
      <c r="A435" s="159" t="s">
        <v>5096</v>
      </c>
      <c r="B435" s="212" t="s">
        <v>415</v>
      </c>
      <c r="C435" s="2" t="s">
        <v>5101</v>
      </c>
      <c r="D435" s="2" t="s">
        <v>184</v>
      </c>
      <c r="E435" s="2" t="s">
        <v>5670</v>
      </c>
      <c r="K435" s="211" t="s">
        <v>5667</v>
      </c>
    </row>
    <row r="436" spans="1:11" ht="15.75" customHeight="1">
      <c r="A436" s="159" t="s">
        <v>5096</v>
      </c>
      <c r="B436" s="212" t="s">
        <v>415</v>
      </c>
      <c r="C436" s="2" t="s">
        <v>5101</v>
      </c>
      <c r="D436" s="2" t="s">
        <v>5787</v>
      </c>
      <c r="E436" s="2" t="s">
        <v>5664</v>
      </c>
      <c r="G436" s="2">
        <v>32</v>
      </c>
      <c r="H436" s="2">
        <v>0</v>
      </c>
      <c r="K436" s="211" t="s">
        <v>5667</v>
      </c>
    </row>
    <row r="437" spans="1:11" ht="15.75" customHeight="1">
      <c r="A437" s="159" t="s">
        <v>5096</v>
      </c>
      <c r="B437" s="212" t="s">
        <v>415</v>
      </c>
      <c r="C437" s="2" t="s">
        <v>5101</v>
      </c>
      <c r="D437" s="2" t="s">
        <v>5788</v>
      </c>
      <c r="E437" s="2" t="s">
        <v>5666</v>
      </c>
      <c r="K437" s="211" t="s">
        <v>5667</v>
      </c>
    </row>
    <row r="438" spans="1:11" ht="15.75" customHeight="1">
      <c r="A438" s="159" t="s">
        <v>5096</v>
      </c>
      <c r="B438" s="212" t="s">
        <v>415</v>
      </c>
      <c r="C438" s="2" t="s">
        <v>5101</v>
      </c>
      <c r="D438" s="2" t="s">
        <v>5689</v>
      </c>
      <c r="E438" s="2" t="s">
        <v>5664</v>
      </c>
      <c r="G438" s="2">
        <v>32</v>
      </c>
      <c r="H438" s="2">
        <v>0</v>
      </c>
      <c r="K438" s="211" t="s">
        <v>5667</v>
      </c>
    </row>
    <row r="439" spans="1:11" ht="15.75" customHeight="1">
      <c r="A439" s="159" t="s">
        <v>5096</v>
      </c>
      <c r="B439" s="212" t="s">
        <v>415</v>
      </c>
      <c r="C439" s="2" t="s">
        <v>5101</v>
      </c>
      <c r="D439" s="2" t="s">
        <v>5789</v>
      </c>
      <c r="E439" s="2" t="s">
        <v>5664</v>
      </c>
      <c r="G439" s="2">
        <v>32</v>
      </c>
      <c r="H439" s="2">
        <v>0</v>
      </c>
      <c r="K439" s="211" t="s">
        <v>5667</v>
      </c>
    </row>
    <row r="440" spans="1:11" ht="15.75" customHeight="1">
      <c r="A440" s="159" t="s">
        <v>5096</v>
      </c>
      <c r="B440" s="212" t="s">
        <v>415</v>
      </c>
      <c r="C440" s="2" t="s">
        <v>5101</v>
      </c>
      <c r="D440" s="2" t="s">
        <v>5790</v>
      </c>
      <c r="E440" s="2" t="s">
        <v>5670</v>
      </c>
      <c r="K440" s="211" t="s">
        <v>5667</v>
      </c>
    </row>
    <row r="441" spans="1:11" ht="15.75" customHeight="1">
      <c r="A441" s="159" t="s">
        <v>5096</v>
      </c>
      <c r="B441" s="212" t="s">
        <v>415</v>
      </c>
      <c r="C441" s="2" t="s">
        <v>5101</v>
      </c>
      <c r="D441" s="2" t="s">
        <v>5774</v>
      </c>
      <c r="E441" s="2" t="s">
        <v>5664</v>
      </c>
      <c r="G441" s="2">
        <v>32</v>
      </c>
      <c r="H441" s="2">
        <v>0</v>
      </c>
      <c r="K441" s="211" t="s">
        <v>5667</v>
      </c>
    </row>
    <row r="442" spans="1:11" ht="15.75" customHeight="1">
      <c r="A442" s="159" t="s">
        <v>5096</v>
      </c>
      <c r="B442" s="212" t="s">
        <v>415</v>
      </c>
      <c r="C442" s="2" t="s">
        <v>5101</v>
      </c>
      <c r="D442" s="2" t="s">
        <v>5791</v>
      </c>
      <c r="E442" s="2" t="s">
        <v>5664</v>
      </c>
      <c r="G442" s="2">
        <v>32</v>
      </c>
      <c r="H442" s="2">
        <v>0</v>
      </c>
      <c r="K442" s="211" t="s">
        <v>5667</v>
      </c>
    </row>
    <row r="443" spans="1:11" ht="15.75" customHeight="1">
      <c r="A443" s="159" t="s">
        <v>5096</v>
      </c>
      <c r="B443" s="212" t="s">
        <v>415</v>
      </c>
      <c r="C443" s="2" t="s">
        <v>5101</v>
      </c>
      <c r="D443" s="2" t="s">
        <v>5693</v>
      </c>
      <c r="E443" s="2" t="s">
        <v>5664</v>
      </c>
      <c r="G443" s="2">
        <v>32</v>
      </c>
      <c r="H443" s="2">
        <v>0</v>
      </c>
      <c r="K443" s="211" t="s">
        <v>5667</v>
      </c>
    </row>
    <row r="444" spans="1:11" ht="15.75" customHeight="1">
      <c r="A444" s="159" t="s">
        <v>5096</v>
      </c>
      <c r="B444" s="212" t="s">
        <v>415</v>
      </c>
      <c r="C444" s="2" t="s">
        <v>5101</v>
      </c>
      <c r="D444" s="2" t="s">
        <v>5792</v>
      </c>
      <c r="E444" s="2" t="s">
        <v>5664</v>
      </c>
      <c r="G444" s="2">
        <v>32</v>
      </c>
      <c r="H444" s="2">
        <v>0</v>
      </c>
      <c r="K444" s="211" t="s">
        <v>5667</v>
      </c>
    </row>
    <row r="445" spans="1:11" ht="15.75" customHeight="1">
      <c r="A445" s="159" t="s">
        <v>5096</v>
      </c>
      <c r="B445" s="212" t="s">
        <v>415</v>
      </c>
      <c r="C445" s="2" t="s">
        <v>5101</v>
      </c>
      <c r="D445" s="2" t="s">
        <v>1822</v>
      </c>
      <c r="E445" s="2" t="s">
        <v>5664</v>
      </c>
      <c r="G445" s="2">
        <v>32</v>
      </c>
      <c r="H445" s="2">
        <v>0</v>
      </c>
      <c r="K445" s="211" t="s">
        <v>5665</v>
      </c>
    </row>
    <row r="446" spans="1:11" ht="15.75" customHeight="1">
      <c r="A446" s="159" t="s">
        <v>5096</v>
      </c>
      <c r="B446" s="212" t="s">
        <v>415</v>
      </c>
      <c r="C446" s="2" t="s">
        <v>5101</v>
      </c>
      <c r="D446" s="2" t="s">
        <v>5793</v>
      </c>
      <c r="E446" s="2" t="s">
        <v>3893</v>
      </c>
      <c r="K446" s="211" t="s">
        <v>5667</v>
      </c>
    </row>
    <row r="447" spans="1:11" ht="15.75" customHeight="1">
      <c r="A447" s="159" t="s">
        <v>5096</v>
      </c>
      <c r="B447" s="212" t="s">
        <v>415</v>
      </c>
      <c r="C447" s="2" t="s">
        <v>5101</v>
      </c>
      <c r="D447" s="2" t="s">
        <v>5776</v>
      </c>
      <c r="E447" s="2" t="s">
        <v>5666</v>
      </c>
      <c r="K447" s="211" t="s">
        <v>5667</v>
      </c>
    </row>
    <row r="448" spans="1:11" ht="15.75" customHeight="1">
      <c r="A448" s="159" t="s">
        <v>5096</v>
      </c>
      <c r="B448" s="212" t="s">
        <v>415</v>
      </c>
      <c r="C448" s="2" t="s">
        <v>5101</v>
      </c>
      <c r="D448" s="2" t="s">
        <v>5794</v>
      </c>
      <c r="E448" s="2" t="s">
        <v>5664</v>
      </c>
      <c r="G448" s="2">
        <v>32</v>
      </c>
      <c r="H448" s="2">
        <v>0</v>
      </c>
      <c r="K448" s="211" t="s">
        <v>5665</v>
      </c>
    </row>
    <row r="449" spans="1:11" ht="15.75" customHeight="1">
      <c r="A449" s="159" t="s">
        <v>5096</v>
      </c>
      <c r="B449" s="212" t="s">
        <v>415</v>
      </c>
      <c r="C449" s="2" t="s">
        <v>5101</v>
      </c>
      <c r="D449" s="2" t="s">
        <v>5691</v>
      </c>
      <c r="E449" s="2" t="s">
        <v>5664</v>
      </c>
      <c r="G449" s="2">
        <v>32</v>
      </c>
      <c r="H449" s="2">
        <v>0</v>
      </c>
      <c r="K449" s="211" t="s">
        <v>5667</v>
      </c>
    </row>
    <row r="450" spans="1:11" ht="15.75" customHeight="1">
      <c r="A450" s="159" t="s">
        <v>5096</v>
      </c>
      <c r="B450" s="212" t="s">
        <v>415</v>
      </c>
      <c r="C450" s="2" t="s">
        <v>5101</v>
      </c>
      <c r="D450" s="2" t="s">
        <v>5687</v>
      </c>
      <c r="E450" s="2" t="s">
        <v>5670</v>
      </c>
      <c r="K450" s="211" t="s">
        <v>5667</v>
      </c>
    </row>
    <row r="451" spans="1:11" ht="15.75" customHeight="1">
      <c r="A451" s="159" t="s">
        <v>5096</v>
      </c>
      <c r="B451" s="212" t="s">
        <v>415</v>
      </c>
      <c r="C451" s="2" t="s">
        <v>5101</v>
      </c>
      <c r="D451" s="2" t="s">
        <v>5795</v>
      </c>
      <c r="E451" s="2" t="s">
        <v>5664</v>
      </c>
      <c r="G451" s="2">
        <v>32</v>
      </c>
      <c r="H451" s="2">
        <v>0</v>
      </c>
      <c r="K451" s="211" t="s">
        <v>5667</v>
      </c>
    </row>
    <row r="452" spans="1:11" ht="15.75" customHeight="1">
      <c r="A452" s="159" t="s">
        <v>5096</v>
      </c>
      <c r="B452" s="212" t="s">
        <v>415</v>
      </c>
      <c r="C452" s="2" t="s">
        <v>5101</v>
      </c>
      <c r="D452" s="2" t="s">
        <v>156</v>
      </c>
      <c r="E452" s="2" t="s">
        <v>5666</v>
      </c>
      <c r="K452" s="211" t="s">
        <v>5665</v>
      </c>
    </row>
    <row r="453" spans="1:11" ht="15.75" customHeight="1">
      <c r="A453" s="159" t="s">
        <v>5096</v>
      </c>
      <c r="B453" s="212" t="s">
        <v>415</v>
      </c>
      <c r="C453" s="2" t="s">
        <v>5101</v>
      </c>
      <c r="D453" s="2" t="s">
        <v>5796</v>
      </c>
      <c r="E453" s="2" t="s">
        <v>5664</v>
      </c>
      <c r="G453" s="2">
        <v>32</v>
      </c>
      <c r="H453" s="2">
        <v>0</v>
      </c>
      <c r="K453" s="211" t="s">
        <v>5667</v>
      </c>
    </row>
    <row r="454" spans="1:11" ht="15.75" customHeight="1">
      <c r="A454" s="159" t="s">
        <v>5096</v>
      </c>
      <c r="B454" s="212" t="s">
        <v>415</v>
      </c>
      <c r="C454" s="2" t="s">
        <v>5101</v>
      </c>
      <c r="D454" s="2" t="s">
        <v>5797</v>
      </c>
      <c r="E454" s="2" t="s">
        <v>5664</v>
      </c>
      <c r="G454" s="2">
        <v>32</v>
      </c>
      <c r="H454" s="2">
        <v>0</v>
      </c>
      <c r="K454" s="211" t="s">
        <v>5665</v>
      </c>
    </row>
    <row r="455" spans="1:11" ht="15.75" customHeight="1">
      <c r="A455" s="159" t="s">
        <v>5096</v>
      </c>
      <c r="B455" s="212" t="s">
        <v>415</v>
      </c>
      <c r="C455" s="2" t="s">
        <v>5101</v>
      </c>
      <c r="D455" s="2" t="s">
        <v>5798</v>
      </c>
      <c r="E455" s="2" t="s">
        <v>5664</v>
      </c>
      <c r="G455" s="2">
        <v>32</v>
      </c>
      <c r="H455" s="2">
        <v>0</v>
      </c>
      <c r="K455" s="211" t="s">
        <v>5667</v>
      </c>
    </row>
    <row r="456" spans="1:11" ht="15.75" customHeight="1">
      <c r="A456" s="159" t="s">
        <v>5096</v>
      </c>
      <c r="B456" s="212" t="s">
        <v>415</v>
      </c>
      <c r="C456" s="2" t="s">
        <v>5101</v>
      </c>
      <c r="D456" s="2" t="s">
        <v>5799</v>
      </c>
      <c r="E456" s="2" t="s">
        <v>5664</v>
      </c>
      <c r="G456" s="2">
        <v>32</v>
      </c>
      <c r="H456" s="2">
        <v>0</v>
      </c>
      <c r="K456" s="211" t="s">
        <v>5667</v>
      </c>
    </row>
    <row r="457" spans="1:11" ht="15.75" customHeight="1">
      <c r="A457" s="159" t="s">
        <v>5096</v>
      </c>
      <c r="B457" s="212" t="s">
        <v>415</v>
      </c>
      <c r="C457" s="2" t="s">
        <v>5101</v>
      </c>
      <c r="D457" s="2" t="s">
        <v>5738</v>
      </c>
      <c r="E457" s="2" t="s">
        <v>5692</v>
      </c>
      <c r="G457" s="2">
        <v>53</v>
      </c>
      <c r="K457" s="211" t="s">
        <v>5667</v>
      </c>
    </row>
    <row r="458" spans="1:11" ht="15.75" customHeight="1">
      <c r="A458" s="159" t="s">
        <v>5096</v>
      </c>
      <c r="B458" s="212" t="s">
        <v>415</v>
      </c>
      <c r="C458" s="2" t="s">
        <v>5101</v>
      </c>
      <c r="D458" s="2" t="s">
        <v>5698</v>
      </c>
      <c r="E458" s="2" t="s">
        <v>5670</v>
      </c>
      <c r="K458" s="211" t="s">
        <v>5667</v>
      </c>
    </row>
    <row r="459" spans="1:11" ht="15.75" customHeight="1">
      <c r="A459" s="159" t="s">
        <v>5096</v>
      </c>
      <c r="B459" s="212" t="s">
        <v>415</v>
      </c>
      <c r="C459" s="2" t="s">
        <v>5101</v>
      </c>
      <c r="D459" s="2" t="s">
        <v>5800</v>
      </c>
      <c r="E459" s="2" t="s">
        <v>5672</v>
      </c>
      <c r="K459" s="211" t="s">
        <v>5667</v>
      </c>
    </row>
    <row r="460" spans="1:11" ht="15.75" customHeight="1">
      <c r="A460" s="159" t="s">
        <v>5096</v>
      </c>
      <c r="B460" s="212" t="s">
        <v>415</v>
      </c>
      <c r="C460" s="2" t="s">
        <v>5101</v>
      </c>
      <c r="D460" s="2" t="s">
        <v>5801</v>
      </c>
      <c r="E460" s="2" t="s">
        <v>5672</v>
      </c>
      <c r="K460" s="211" t="s">
        <v>5667</v>
      </c>
    </row>
    <row r="461" spans="1:11" ht="15.75" customHeight="1">
      <c r="A461" s="159" t="s">
        <v>5096</v>
      </c>
      <c r="B461" s="212" t="s">
        <v>415</v>
      </c>
      <c r="C461" s="2" t="s">
        <v>5101</v>
      </c>
      <c r="D461" s="2" t="s">
        <v>5802</v>
      </c>
      <c r="E461" s="2" t="s">
        <v>717</v>
      </c>
      <c r="K461" s="211" t="s">
        <v>5667</v>
      </c>
    </row>
    <row r="462" spans="1:11" ht="15.75" customHeight="1">
      <c r="A462" s="159" t="s">
        <v>5096</v>
      </c>
      <c r="B462" s="212" t="s">
        <v>415</v>
      </c>
      <c r="C462" s="2" t="s">
        <v>5101</v>
      </c>
      <c r="D462" s="2" t="s">
        <v>5803</v>
      </c>
      <c r="E462" s="2" t="s">
        <v>5672</v>
      </c>
      <c r="K462" s="211" t="s">
        <v>5667</v>
      </c>
    </row>
    <row r="463" spans="1:11" ht="15.75" customHeight="1">
      <c r="A463" s="159" t="s">
        <v>5096</v>
      </c>
      <c r="B463" s="212" t="s">
        <v>415</v>
      </c>
      <c r="C463" s="2" t="s">
        <v>5101</v>
      </c>
      <c r="D463" s="2" t="s">
        <v>5804</v>
      </c>
      <c r="E463" s="2" t="s">
        <v>5672</v>
      </c>
      <c r="K463" s="211" t="s">
        <v>5667</v>
      </c>
    </row>
    <row r="464" spans="1:11" ht="15.75" customHeight="1">
      <c r="A464" s="159" t="s">
        <v>5096</v>
      </c>
      <c r="B464" s="212" t="s">
        <v>415</v>
      </c>
      <c r="C464" s="2" t="s">
        <v>5101</v>
      </c>
      <c r="D464" s="2" t="s">
        <v>5805</v>
      </c>
      <c r="E464" s="2" t="s">
        <v>717</v>
      </c>
      <c r="K464" s="211" t="s">
        <v>5667</v>
      </c>
    </row>
    <row r="465" spans="1:11" ht="15.75" customHeight="1">
      <c r="A465" s="159" t="s">
        <v>5096</v>
      </c>
      <c r="B465" s="212" t="s">
        <v>415</v>
      </c>
      <c r="C465" s="2" t="s">
        <v>5101</v>
      </c>
      <c r="D465" s="2" t="s">
        <v>5806</v>
      </c>
      <c r="E465" s="2" t="s">
        <v>717</v>
      </c>
      <c r="K465" s="211" t="s">
        <v>5667</v>
      </c>
    </row>
    <row r="466" spans="1:11" ht="15.75" customHeight="1">
      <c r="A466" s="159" t="s">
        <v>5096</v>
      </c>
      <c r="B466" s="212" t="s">
        <v>415</v>
      </c>
      <c r="C466" s="2" t="s">
        <v>5101</v>
      </c>
      <c r="D466" s="2" t="s">
        <v>5807</v>
      </c>
      <c r="E466" s="2" t="s">
        <v>5672</v>
      </c>
      <c r="K466" s="211" t="s">
        <v>5667</v>
      </c>
    </row>
    <row r="467" spans="1:11" ht="15.75" customHeight="1">
      <c r="A467" s="159" t="s">
        <v>5096</v>
      </c>
      <c r="B467" s="212" t="s">
        <v>415</v>
      </c>
      <c r="C467" s="2" t="s">
        <v>5101</v>
      </c>
      <c r="D467" s="2" t="s">
        <v>5808</v>
      </c>
      <c r="E467" s="2" t="s">
        <v>5666</v>
      </c>
      <c r="K467" s="211" t="s">
        <v>5667</v>
      </c>
    </row>
    <row r="468" spans="1:11" ht="15.75" customHeight="1">
      <c r="A468" s="159" t="s">
        <v>5096</v>
      </c>
      <c r="B468" s="212" t="s">
        <v>415</v>
      </c>
      <c r="C468" s="2" t="s">
        <v>5101</v>
      </c>
      <c r="D468" s="2" t="s">
        <v>5809</v>
      </c>
      <c r="E468" s="2" t="s">
        <v>5672</v>
      </c>
      <c r="K468" s="211" t="s">
        <v>5667</v>
      </c>
    </row>
    <row r="469" spans="1:11" ht="15.75" customHeight="1">
      <c r="A469" s="159" t="s">
        <v>5096</v>
      </c>
      <c r="B469" s="212" t="s">
        <v>415</v>
      </c>
      <c r="C469" s="2" t="s">
        <v>5101</v>
      </c>
      <c r="D469" s="2" t="s">
        <v>5810</v>
      </c>
      <c r="E469" s="2" t="s">
        <v>717</v>
      </c>
      <c r="K469" s="211" t="s">
        <v>5667</v>
      </c>
    </row>
    <row r="470" spans="1:11" ht="15.75" customHeight="1">
      <c r="A470" s="159" t="s">
        <v>5096</v>
      </c>
      <c r="B470" s="212" t="s">
        <v>415</v>
      </c>
      <c r="C470" s="2" t="s">
        <v>5101</v>
      </c>
      <c r="D470" s="2" t="s">
        <v>5811</v>
      </c>
      <c r="E470" s="2" t="s">
        <v>5664</v>
      </c>
      <c r="G470" s="2">
        <v>32</v>
      </c>
      <c r="H470" s="2">
        <v>0</v>
      </c>
      <c r="K470" s="211" t="s">
        <v>5667</v>
      </c>
    </row>
    <row r="471" spans="1:11" ht="15.75" customHeight="1">
      <c r="A471" s="159" t="s">
        <v>5096</v>
      </c>
      <c r="B471" s="212" t="s">
        <v>415</v>
      </c>
      <c r="C471" s="2" t="s">
        <v>5101</v>
      </c>
      <c r="D471" s="2" t="s">
        <v>5812</v>
      </c>
      <c r="E471" s="2" t="s">
        <v>5666</v>
      </c>
      <c r="K471" s="211" t="s">
        <v>5667</v>
      </c>
    </row>
    <row r="472" spans="1:11" ht="15.75" customHeight="1">
      <c r="A472" s="159" t="s">
        <v>5096</v>
      </c>
      <c r="B472" s="212" t="s">
        <v>415</v>
      </c>
      <c r="C472" s="2" t="s">
        <v>5101</v>
      </c>
      <c r="D472" s="2" t="s">
        <v>5813</v>
      </c>
      <c r="E472" s="2" t="s">
        <v>3893</v>
      </c>
      <c r="K472" s="211" t="s">
        <v>5667</v>
      </c>
    </row>
    <row r="473" spans="1:11" ht="15.75" customHeight="1">
      <c r="A473" s="159" t="s">
        <v>5096</v>
      </c>
      <c r="B473" s="212" t="s">
        <v>415</v>
      </c>
      <c r="C473" s="2" t="s">
        <v>5101</v>
      </c>
      <c r="D473" s="2" t="s">
        <v>5814</v>
      </c>
      <c r="E473" s="2" t="s">
        <v>5672</v>
      </c>
      <c r="K473" s="211" t="s">
        <v>5667</v>
      </c>
    </row>
    <row r="474" spans="1:11" ht="15.75" customHeight="1">
      <c r="A474" s="159" t="s">
        <v>5096</v>
      </c>
      <c r="B474" s="212" t="s">
        <v>415</v>
      </c>
      <c r="C474" s="2" t="s">
        <v>5101</v>
      </c>
      <c r="D474" s="2" t="s">
        <v>5741</v>
      </c>
      <c r="E474" s="2" t="s">
        <v>5664</v>
      </c>
      <c r="G474" s="2">
        <v>32</v>
      </c>
      <c r="H474" s="2">
        <v>0</v>
      </c>
      <c r="K474" s="211" t="s">
        <v>5667</v>
      </c>
    </row>
    <row r="475" spans="1:11" ht="15.75" customHeight="1">
      <c r="A475" s="159" t="s">
        <v>5096</v>
      </c>
      <c r="B475" s="212" t="s">
        <v>415</v>
      </c>
      <c r="C475" s="2" t="s">
        <v>5101</v>
      </c>
      <c r="D475" s="2" t="s">
        <v>5815</v>
      </c>
      <c r="E475" s="2" t="s">
        <v>5672</v>
      </c>
      <c r="K475" s="211" t="s">
        <v>5667</v>
      </c>
    </row>
    <row r="476" spans="1:11" ht="15.75" customHeight="1">
      <c r="A476" s="159" t="s">
        <v>5096</v>
      </c>
      <c r="B476" s="212" t="s">
        <v>415</v>
      </c>
      <c r="C476" s="2" t="s">
        <v>5101</v>
      </c>
      <c r="D476" s="2" t="s">
        <v>5816</v>
      </c>
      <c r="E476" s="2" t="s">
        <v>717</v>
      </c>
      <c r="K476" s="211" t="s">
        <v>5667</v>
      </c>
    </row>
    <row r="477" spans="1:11" ht="15.75" customHeight="1">
      <c r="A477" s="159" t="s">
        <v>5096</v>
      </c>
      <c r="B477" s="212" t="s">
        <v>415</v>
      </c>
      <c r="C477" s="2" t="s">
        <v>5101</v>
      </c>
      <c r="D477" s="2" t="s">
        <v>5817</v>
      </c>
      <c r="E477" s="2" t="s">
        <v>717</v>
      </c>
      <c r="K477" s="211" t="s">
        <v>5667</v>
      </c>
    </row>
    <row r="478" spans="1:11" ht="15.75" customHeight="1">
      <c r="A478" s="159" t="s">
        <v>5096</v>
      </c>
      <c r="B478" s="212" t="s">
        <v>415</v>
      </c>
      <c r="C478" s="2" t="s">
        <v>5101</v>
      </c>
      <c r="D478" s="2" t="s">
        <v>5818</v>
      </c>
      <c r="E478" s="2" t="s">
        <v>5666</v>
      </c>
      <c r="K478" s="211" t="s">
        <v>5667</v>
      </c>
    </row>
    <row r="479" spans="1:11" ht="15.75" customHeight="1">
      <c r="A479" s="159" t="s">
        <v>5096</v>
      </c>
      <c r="B479" s="212" t="s">
        <v>415</v>
      </c>
      <c r="C479" s="2" t="s">
        <v>5101</v>
      </c>
      <c r="D479" s="2" t="s">
        <v>5819</v>
      </c>
      <c r="E479" s="2" t="s">
        <v>5672</v>
      </c>
      <c r="K479" s="211" t="s">
        <v>5667</v>
      </c>
    </row>
    <row r="480" spans="1:11" ht="15.75" customHeight="1">
      <c r="A480" s="159" t="s">
        <v>5096</v>
      </c>
      <c r="B480" s="212" t="s">
        <v>415</v>
      </c>
      <c r="C480" s="2" t="s">
        <v>5101</v>
      </c>
      <c r="D480" s="2" t="s">
        <v>5820</v>
      </c>
      <c r="E480" s="2" t="s">
        <v>5664</v>
      </c>
      <c r="G480" s="2">
        <v>32</v>
      </c>
      <c r="H480" s="2">
        <v>0</v>
      </c>
      <c r="K480" s="211" t="s">
        <v>5667</v>
      </c>
    </row>
    <row r="481" spans="1:11" ht="15.75" customHeight="1">
      <c r="A481" s="159" t="s">
        <v>5096</v>
      </c>
      <c r="B481" s="212" t="s">
        <v>415</v>
      </c>
      <c r="C481" s="2" t="s">
        <v>5101</v>
      </c>
      <c r="D481" s="2" t="s">
        <v>5821</v>
      </c>
      <c r="E481" s="2" t="s">
        <v>5666</v>
      </c>
      <c r="K481" s="211" t="s">
        <v>5667</v>
      </c>
    </row>
    <row r="482" spans="1:11" ht="15.75" customHeight="1">
      <c r="A482" s="159" t="s">
        <v>5096</v>
      </c>
      <c r="B482" s="212" t="s">
        <v>415</v>
      </c>
      <c r="C482" s="2" t="s">
        <v>5101</v>
      </c>
      <c r="D482" s="2" t="s">
        <v>5822</v>
      </c>
      <c r="E482" s="2" t="s">
        <v>5672</v>
      </c>
      <c r="K482" s="211" t="s">
        <v>5667</v>
      </c>
    </row>
    <row r="483" spans="1:11" ht="15.75" customHeight="1">
      <c r="A483" s="159" t="s">
        <v>5096</v>
      </c>
      <c r="B483" s="212" t="s">
        <v>415</v>
      </c>
      <c r="C483" s="2" t="s">
        <v>5101</v>
      </c>
      <c r="D483" s="2" t="s">
        <v>5823</v>
      </c>
      <c r="E483" s="2" t="s">
        <v>5664</v>
      </c>
      <c r="G483" s="2">
        <v>32</v>
      </c>
      <c r="H483" s="2">
        <v>0</v>
      </c>
      <c r="K483" s="211" t="s">
        <v>5667</v>
      </c>
    </row>
    <row r="484" spans="1:11" ht="15.75" customHeight="1">
      <c r="A484" s="159" t="s">
        <v>5096</v>
      </c>
      <c r="B484" s="212" t="s">
        <v>415</v>
      </c>
      <c r="C484" s="2" t="s">
        <v>5101</v>
      </c>
      <c r="D484" s="2" t="s">
        <v>5824</v>
      </c>
      <c r="E484" s="2" t="s">
        <v>5692</v>
      </c>
      <c r="G484" s="2">
        <v>53</v>
      </c>
      <c r="K484" s="211" t="s">
        <v>5667</v>
      </c>
    </row>
    <row r="485" spans="1:11" ht="15.75" customHeight="1">
      <c r="A485" s="159" t="s">
        <v>5096</v>
      </c>
      <c r="B485" s="212" t="s">
        <v>415</v>
      </c>
      <c r="C485" s="2" t="s">
        <v>5101</v>
      </c>
      <c r="D485" s="2" t="s">
        <v>5825</v>
      </c>
      <c r="E485" s="2" t="s">
        <v>5692</v>
      </c>
      <c r="G485" s="2">
        <v>53</v>
      </c>
      <c r="K485" s="211" t="s">
        <v>5667</v>
      </c>
    </row>
    <row r="486" spans="1:11" ht="15.75" customHeight="1">
      <c r="A486" s="159" t="s">
        <v>5096</v>
      </c>
      <c r="B486" s="212" t="s">
        <v>415</v>
      </c>
      <c r="C486" s="2" t="s">
        <v>5101</v>
      </c>
      <c r="D486" s="2" t="s">
        <v>5826</v>
      </c>
      <c r="E486" s="2" t="s">
        <v>5664</v>
      </c>
      <c r="G486" s="2">
        <v>32</v>
      </c>
      <c r="H486" s="2">
        <v>0</v>
      </c>
      <c r="K486" s="211" t="s">
        <v>5667</v>
      </c>
    </row>
    <row r="487" spans="1:11" ht="15.75" customHeight="1">
      <c r="A487" s="159" t="s">
        <v>5096</v>
      </c>
      <c r="B487" s="212" t="s">
        <v>415</v>
      </c>
      <c r="C487" s="2" t="s">
        <v>5101</v>
      </c>
      <c r="D487" s="2" t="s">
        <v>5827</v>
      </c>
      <c r="E487" s="2" t="s">
        <v>5670</v>
      </c>
      <c r="K487" s="211" t="s">
        <v>5667</v>
      </c>
    </row>
    <row r="488" spans="1:11" ht="15.75" customHeight="1">
      <c r="A488" s="159" t="s">
        <v>5096</v>
      </c>
      <c r="B488" s="212" t="s">
        <v>415</v>
      </c>
      <c r="C488" s="2" t="s">
        <v>5101</v>
      </c>
      <c r="D488" s="2" t="s">
        <v>5828</v>
      </c>
      <c r="E488" s="2" t="s">
        <v>5692</v>
      </c>
      <c r="G488" s="2">
        <v>53</v>
      </c>
      <c r="K488" s="211" t="s">
        <v>5667</v>
      </c>
    </row>
    <row r="489" spans="1:11" ht="15.75" customHeight="1">
      <c r="A489" s="159" t="s">
        <v>5096</v>
      </c>
      <c r="B489" s="212" t="s">
        <v>415</v>
      </c>
      <c r="C489" s="2" t="s">
        <v>5101</v>
      </c>
      <c r="D489" s="2" t="s">
        <v>5829</v>
      </c>
      <c r="E489" s="2" t="s">
        <v>5692</v>
      </c>
      <c r="G489" s="2">
        <v>53</v>
      </c>
      <c r="K489" s="211" t="s">
        <v>5667</v>
      </c>
    </row>
    <row r="490" spans="1:11" ht="15.75" customHeight="1">
      <c r="A490" s="159" t="s">
        <v>5096</v>
      </c>
      <c r="B490" s="212" t="s">
        <v>415</v>
      </c>
      <c r="C490" s="2" t="s">
        <v>5101</v>
      </c>
      <c r="D490" s="2" t="s">
        <v>5830</v>
      </c>
      <c r="E490" s="2" t="s">
        <v>5692</v>
      </c>
      <c r="G490" s="2">
        <v>53</v>
      </c>
      <c r="K490" s="211" t="s">
        <v>5667</v>
      </c>
    </row>
    <row r="491" spans="1:11" ht="15.75" customHeight="1">
      <c r="A491" s="159" t="s">
        <v>5096</v>
      </c>
      <c r="B491" s="212" t="s">
        <v>415</v>
      </c>
      <c r="C491" s="2" t="s">
        <v>5101</v>
      </c>
      <c r="D491" s="2" t="s">
        <v>5831</v>
      </c>
      <c r="E491" s="2" t="s">
        <v>5692</v>
      </c>
      <c r="G491" s="2">
        <v>53</v>
      </c>
      <c r="K491" s="211" t="s">
        <v>5667</v>
      </c>
    </row>
    <row r="492" spans="1:11" ht="15.75" customHeight="1">
      <c r="A492" s="159" t="s">
        <v>5096</v>
      </c>
      <c r="B492" s="212" t="s">
        <v>415</v>
      </c>
      <c r="C492" s="2" t="s">
        <v>5101</v>
      </c>
      <c r="D492" s="2" t="s">
        <v>5832</v>
      </c>
      <c r="E492" s="2" t="s">
        <v>5664</v>
      </c>
      <c r="G492" s="2">
        <v>32</v>
      </c>
      <c r="H492" s="2">
        <v>0</v>
      </c>
      <c r="K492" s="211" t="s">
        <v>5667</v>
      </c>
    </row>
    <row r="493" spans="1:11" ht="15.75" customHeight="1">
      <c r="A493" s="159" t="s">
        <v>5096</v>
      </c>
      <c r="B493" s="212" t="s">
        <v>415</v>
      </c>
      <c r="C493" s="2" t="s">
        <v>5101</v>
      </c>
      <c r="D493" s="2" t="s">
        <v>5833</v>
      </c>
      <c r="E493" s="2" t="s">
        <v>3893</v>
      </c>
      <c r="K493" s="211" t="s">
        <v>5667</v>
      </c>
    </row>
    <row r="494" spans="1:11" ht="15.75" customHeight="1">
      <c r="A494" s="159" t="s">
        <v>5096</v>
      </c>
      <c r="B494" s="212" t="s">
        <v>415</v>
      </c>
      <c r="C494" s="2" t="s">
        <v>5101</v>
      </c>
      <c r="D494" s="2" t="s">
        <v>5834</v>
      </c>
      <c r="E494" s="2" t="s">
        <v>5672</v>
      </c>
      <c r="K494" s="211" t="s">
        <v>5667</v>
      </c>
    </row>
    <row r="495" spans="1:11" ht="15.75" customHeight="1">
      <c r="A495" s="159" t="s">
        <v>5096</v>
      </c>
      <c r="B495" s="212" t="s">
        <v>415</v>
      </c>
      <c r="C495" s="2" t="s">
        <v>5101</v>
      </c>
      <c r="D495" s="2" t="s">
        <v>5835</v>
      </c>
      <c r="E495" s="2" t="s">
        <v>5664</v>
      </c>
      <c r="G495" s="2">
        <v>32</v>
      </c>
      <c r="H495" s="2">
        <v>0</v>
      </c>
      <c r="K495" s="211" t="s">
        <v>5667</v>
      </c>
    </row>
    <row r="496" spans="1:11" ht="15.75" customHeight="1">
      <c r="A496" s="159" t="s">
        <v>5096</v>
      </c>
      <c r="B496" s="212" t="s">
        <v>415</v>
      </c>
      <c r="C496" s="2" t="s">
        <v>5101</v>
      </c>
      <c r="D496" s="2" t="s">
        <v>5836</v>
      </c>
      <c r="E496" s="2" t="s">
        <v>5666</v>
      </c>
      <c r="K496" s="211" t="s">
        <v>5667</v>
      </c>
    </row>
    <row r="497" spans="1:11" ht="15.75" customHeight="1">
      <c r="A497" s="159" t="s">
        <v>5096</v>
      </c>
      <c r="B497" s="212" t="s">
        <v>415</v>
      </c>
      <c r="C497" s="2" t="s">
        <v>5101</v>
      </c>
      <c r="D497" s="2" t="s">
        <v>5837</v>
      </c>
      <c r="E497" s="2" t="s">
        <v>5666</v>
      </c>
      <c r="K497" s="211" t="s">
        <v>5667</v>
      </c>
    </row>
    <row r="498" spans="1:11" ht="15.75" customHeight="1">
      <c r="A498" s="159" t="s">
        <v>5096</v>
      </c>
      <c r="B498" s="212" t="s">
        <v>415</v>
      </c>
      <c r="C498" s="2" t="s">
        <v>5101</v>
      </c>
      <c r="D498" s="2" t="s">
        <v>5838</v>
      </c>
      <c r="E498" s="2" t="s">
        <v>5672</v>
      </c>
      <c r="K498" s="211" t="s">
        <v>5667</v>
      </c>
    </row>
    <row r="499" spans="1:11" ht="15.75" customHeight="1">
      <c r="A499" s="159" t="s">
        <v>5096</v>
      </c>
      <c r="B499" s="212" t="s">
        <v>415</v>
      </c>
      <c r="C499" s="2" t="s">
        <v>5101</v>
      </c>
      <c r="D499" s="2" t="s">
        <v>5839</v>
      </c>
      <c r="E499" s="2" t="s">
        <v>5672</v>
      </c>
      <c r="K499" s="211" t="s">
        <v>5667</v>
      </c>
    </row>
    <row r="500" spans="1:11" ht="15.75" customHeight="1">
      <c r="A500" s="159" t="s">
        <v>5096</v>
      </c>
      <c r="B500" s="212" t="s">
        <v>415</v>
      </c>
      <c r="C500" s="2" t="s">
        <v>5101</v>
      </c>
      <c r="D500" s="2" t="s">
        <v>5840</v>
      </c>
      <c r="E500" s="2" t="s">
        <v>5664</v>
      </c>
      <c r="G500" s="2">
        <v>32</v>
      </c>
      <c r="H500" s="2">
        <v>0</v>
      </c>
      <c r="K500" s="211" t="s">
        <v>5667</v>
      </c>
    </row>
    <row r="501" spans="1:11" ht="15.75" customHeight="1">
      <c r="A501" s="159" t="s">
        <v>5096</v>
      </c>
      <c r="B501" s="159" t="s">
        <v>415</v>
      </c>
      <c r="C501" s="2" t="s">
        <v>5102</v>
      </c>
      <c r="D501" s="2" t="s">
        <v>3897</v>
      </c>
      <c r="E501" s="2" t="s">
        <v>5664</v>
      </c>
      <c r="G501" s="2">
        <v>32</v>
      </c>
      <c r="H501" s="2">
        <v>0</v>
      </c>
      <c r="K501" s="211" t="s">
        <v>5665</v>
      </c>
    </row>
    <row r="502" spans="1:11" ht="15.75" customHeight="1">
      <c r="A502" s="159" t="s">
        <v>5096</v>
      </c>
      <c r="B502" s="159" t="s">
        <v>415</v>
      </c>
      <c r="C502" s="2" t="s">
        <v>5102</v>
      </c>
      <c r="D502" s="2" t="s">
        <v>5691</v>
      </c>
      <c r="E502" s="2" t="s">
        <v>5664</v>
      </c>
      <c r="G502" s="2">
        <v>32</v>
      </c>
      <c r="H502" s="2">
        <v>0</v>
      </c>
      <c r="K502" s="211" t="s">
        <v>5667</v>
      </c>
    </row>
    <row r="503" spans="1:11" ht="15.75" customHeight="1">
      <c r="A503" s="159" t="s">
        <v>5096</v>
      </c>
      <c r="B503" s="159" t="s">
        <v>415</v>
      </c>
      <c r="C503" s="2" t="s">
        <v>5102</v>
      </c>
      <c r="D503" s="2" t="s">
        <v>5841</v>
      </c>
      <c r="E503" s="2" t="s">
        <v>5666</v>
      </c>
      <c r="K503" s="211" t="s">
        <v>5667</v>
      </c>
    </row>
    <row r="504" spans="1:11" ht="15.75" customHeight="1">
      <c r="A504" s="159" t="s">
        <v>5096</v>
      </c>
      <c r="B504" s="159" t="s">
        <v>415</v>
      </c>
      <c r="C504" s="2" t="s">
        <v>5102</v>
      </c>
      <c r="D504" s="2" t="s">
        <v>184</v>
      </c>
      <c r="E504" s="2" t="s">
        <v>5670</v>
      </c>
      <c r="K504" s="211" t="s">
        <v>5667</v>
      </c>
    </row>
    <row r="505" spans="1:11" ht="15.75" customHeight="1">
      <c r="A505" s="159" t="s">
        <v>5096</v>
      </c>
      <c r="B505" s="159" t="s">
        <v>415</v>
      </c>
      <c r="C505" s="2" t="s">
        <v>5102</v>
      </c>
      <c r="D505" s="2" t="s">
        <v>156</v>
      </c>
      <c r="E505" s="2" t="s">
        <v>5666</v>
      </c>
      <c r="K505" s="211" t="s">
        <v>5665</v>
      </c>
    </row>
    <row r="506" spans="1:11" ht="15.75" customHeight="1">
      <c r="A506" s="159" t="s">
        <v>5096</v>
      </c>
      <c r="B506" s="159" t="s">
        <v>415</v>
      </c>
      <c r="C506" s="2" t="s">
        <v>5102</v>
      </c>
      <c r="D506" s="2" t="s">
        <v>3635</v>
      </c>
      <c r="E506" s="2" t="s">
        <v>5664</v>
      </c>
      <c r="G506" s="2">
        <v>32</v>
      </c>
      <c r="H506" s="2">
        <v>0</v>
      </c>
      <c r="K506" s="211" t="s">
        <v>5667</v>
      </c>
    </row>
    <row r="507" spans="1:11" ht="15.75" customHeight="1">
      <c r="A507" s="159" t="s">
        <v>5096</v>
      </c>
      <c r="B507" s="159" t="s">
        <v>415</v>
      </c>
      <c r="C507" s="2" t="s">
        <v>5102</v>
      </c>
      <c r="D507" s="2" t="s">
        <v>5842</v>
      </c>
      <c r="E507" s="2" t="s">
        <v>717</v>
      </c>
      <c r="K507" s="211" t="s">
        <v>5667</v>
      </c>
    </row>
    <row r="508" spans="1:11" ht="15.75" customHeight="1">
      <c r="A508" s="159" t="s">
        <v>5096</v>
      </c>
      <c r="B508" s="159" t="s">
        <v>415</v>
      </c>
      <c r="C508" s="2" t="s">
        <v>5102</v>
      </c>
      <c r="D508" s="2" t="s">
        <v>1822</v>
      </c>
      <c r="E508" s="2" t="s">
        <v>5664</v>
      </c>
      <c r="G508" s="2">
        <v>32</v>
      </c>
      <c r="H508" s="2">
        <v>0</v>
      </c>
      <c r="K508" s="211" t="s">
        <v>5665</v>
      </c>
    </row>
    <row r="509" spans="1:11" ht="15.75" customHeight="1">
      <c r="A509" s="159" t="s">
        <v>5096</v>
      </c>
      <c r="B509" s="159" t="s">
        <v>415</v>
      </c>
      <c r="C509" s="2" t="s">
        <v>5102</v>
      </c>
      <c r="D509" s="2" t="s">
        <v>1826</v>
      </c>
      <c r="E509" s="2" t="s">
        <v>717</v>
      </c>
      <c r="K509" s="211" t="s">
        <v>5667</v>
      </c>
    </row>
    <row r="510" spans="1:11" ht="15.75" customHeight="1">
      <c r="A510" s="159" t="s">
        <v>5096</v>
      </c>
      <c r="B510" s="159" t="s">
        <v>415</v>
      </c>
      <c r="C510" s="2" t="s">
        <v>5102</v>
      </c>
      <c r="D510" s="2" t="s">
        <v>5843</v>
      </c>
      <c r="E510" s="2" t="s">
        <v>717</v>
      </c>
      <c r="K510" s="211" t="s">
        <v>5667</v>
      </c>
    </row>
    <row r="511" spans="1:11" ht="15.75" customHeight="1">
      <c r="A511" s="159" t="s">
        <v>5096</v>
      </c>
      <c r="B511" s="159" t="s">
        <v>415</v>
      </c>
      <c r="C511" s="2" t="s">
        <v>5102</v>
      </c>
      <c r="D511" s="2" t="s">
        <v>5689</v>
      </c>
      <c r="E511" s="2" t="s">
        <v>5664</v>
      </c>
      <c r="G511" s="2">
        <v>32</v>
      </c>
      <c r="H511" s="2">
        <v>0</v>
      </c>
      <c r="K511" s="211" t="s">
        <v>5667</v>
      </c>
    </row>
    <row r="512" spans="1:11" ht="15.75" customHeight="1">
      <c r="A512" s="159" t="s">
        <v>5096</v>
      </c>
      <c r="B512" s="159" t="s">
        <v>415</v>
      </c>
      <c r="C512" s="2" t="s">
        <v>5102</v>
      </c>
      <c r="D512" s="2" t="s">
        <v>5687</v>
      </c>
      <c r="E512" s="2" t="s">
        <v>5670</v>
      </c>
      <c r="K512" s="211" t="s">
        <v>5667</v>
      </c>
    </row>
    <row r="513" spans="1:11" ht="15.75" customHeight="1">
      <c r="A513" s="159" t="s">
        <v>5096</v>
      </c>
      <c r="B513" s="159" t="s">
        <v>415</v>
      </c>
      <c r="C513" s="2" t="s">
        <v>5102</v>
      </c>
      <c r="D513" s="2" t="s">
        <v>1394</v>
      </c>
      <c r="E513" s="2" t="s">
        <v>5664</v>
      </c>
      <c r="G513" s="2">
        <v>32</v>
      </c>
      <c r="H513" s="2">
        <v>0</v>
      </c>
      <c r="K513" s="211" t="s">
        <v>5665</v>
      </c>
    </row>
    <row r="514" spans="1:11" ht="15.75" customHeight="1">
      <c r="A514" s="159" t="s">
        <v>5096</v>
      </c>
      <c r="B514" s="159" t="s">
        <v>415</v>
      </c>
      <c r="C514" s="2" t="s">
        <v>5102</v>
      </c>
      <c r="D514" s="2" t="s">
        <v>5844</v>
      </c>
      <c r="E514" s="2" t="s">
        <v>5664</v>
      </c>
      <c r="G514" s="2">
        <v>32</v>
      </c>
      <c r="H514" s="2">
        <v>0</v>
      </c>
      <c r="K514" s="211" t="s">
        <v>5667</v>
      </c>
    </row>
    <row r="515" spans="1:11" ht="15.75" customHeight="1">
      <c r="A515" s="159" t="s">
        <v>5096</v>
      </c>
      <c r="B515" s="159" t="s">
        <v>415</v>
      </c>
      <c r="C515" s="2" t="s">
        <v>5102</v>
      </c>
      <c r="D515" s="2" t="s">
        <v>5845</v>
      </c>
      <c r="E515" s="2" t="s">
        <v>717</v>
      </c>
      <c r="K515" s="211" t="s">
        <v>5667</v>
      </c>
    </row>
    <row r="516" spans="1:11" ht="15.75" customHeight="1">
      <c r="A516" s="159" t="s">
        <v>5096</v>
      </c>
      <c r="B516" s="159" t="s">
        <v>415</v>
      </c>
      <c r="C516" s="2" t="s">
        <v>5102</v>
      </c>
      <c r="D516" s="2" t="s">
        <v>5846</v>
      </c>
      <c r="E516" s="2" t="s">
        <v>5664</v>
      </c>
      <c r="G516" s="2">
        <v>32</v>
      </c>
      <c r="H516" s="2">
        <v>0</v>
      </c>
      <c r="K516" s="211" t="s">
        <v>5667</v>
      </c>
    </row>
    <row r="517" spans="1:11" ht="15.75" customHeight="1">
      <c r="A517" s="159" t="s">
        <v>5096</v>
      </c>
      <c r="B517" s="159" t="s">
        <v>415</v>
      </c>
      <c r="C517" s="2" t="s">
        <v>5102</v>
      </c>
      <c r="D517" s="2" t="s">
        <v>5847</v>
      </c>
      <c r="E517" s="2" t="s">
        <v>5672</v>
      </c>
      <c r="K517" s="211" t="s">
        <v>5667</v>
      </c>
    </row>
    <row r="518" spans="1:11" ht="15.75" customHeight="1">
      <c r="A518" s="159" t="s">
        <v>5096</v>
      </c>
      <c r="B518" s="159" t="s">
        <v>415</v>
      </c>
      <c r="C518" s="2" t="s">
        <v>5102</v>
      </c>
      <c r="D518" s="2" t="s">
        <v>5848</v>
      </c>
      <c r="E518" s="2" t="s">
        <v>5672</v>
      </c>
      <c r="K518" s="211" t="s">
        <v>5667</v>
      </c>
    </row>
    <row r="519" spans="1:11" ht="15.75" customHeight="1">
      <c r="A519" s="159" t="s">
        <v>5096</v>
      </c>
      <c r="B519" s="159" t="s">
        <v>415</v>
      </c>
      <c r="C519" s="2" t="s">
        <v>5102</v>
      </c>
      <c r="D519" s="2" t="s">
        <v>5849</v>
      </c>
      <c r="E519" s="2" t="s">
        <v>5664</v>
      </c>
      <c r="G519" s="2">
        <v>32</v>
      </c>
      <c r="H519" s="2">
        <v>0</v>
      </c>
      <c r="K519" s="211" t="s">
        <v>5667</v>
      </c>
    </row>
    <row r="520" spans="1:11" ht="15.75" customHeight="1">
      <c r="A520" s="159" t="s">
        <v>5096</v>
      </c>
      <c r="B520" s="159" t="s">
        <v>415</v>
      </c>
      <c r="C520" s="2" t="s">
        <v>5102</v>
      </c>
      <c r="D520" s="2" t="s">
        <v>5850</v>
      </c>
      <c r="E520" s="2" t="s">
        <v>5692</v>
      </c>
      <c r="G520" s="2">
        <v>53</v>
      </c>
      <c r="K520" s="211" t="s">
        <v>5667</v>
      </c>
    </row>
    <row r="521" spans="1:11" ht="15.75" customHeight="1">
      <c r="A521" s="159" t="s">
        <v>5096</v>
      </c>
      <c r="B521" s="159" t="s">
        <v>415</v>
      </c>
      <c r="C521" s="2" t="s">
        <v>5102</v>
      </c>
      <c r="D521" s="2" t="s">
        <v>5851</v>
      </c>
      <c r="E521" s="2" t="s">
        <v>5664</v>
      </c>
      <c r="G521" s="2">
        <v>32</v>
      </c>
      <c r="H521" s="2">
        <v>0</v>
      </c>
      <c r="K521" s="211" t="s">
        <v>5667</v>
      </c>
    </row>
    <row r="522" spans="1:11" ht="15.75" customHeight="1">
      <c r="A522" s="159" t="s">
        <v>5096</v>
      </c>
      <c r="B522" s="159" t="s">
        <v>415</v>
      </c>
      <c r="C522" s="2" t="s">
        <v>5102</v>
      </c>
      <c r="D522" s="2" t="s">
        <v>2069</v>
      </c>
      <c r="E522" s="2" t="s">
        <v>5666</v>
      </c>
      <c r="K522" s="211" t="s">
        <v>5667</v>
      </c>
    </row>
    <row r="523" spans="1:11" ht="15.75" customHeight="1">
      <c r="A523" s="159" t="s">
        <v>5096</v>
      </c>
      <c r="B523" s="159" t="s">
        <v>415</v>
      </c>
      <c r="C523" s="2" t="s">
        <v>5102</v>
      </c>
      <c r="D523" s="2" t="s">
        <v>5852</v>
      </c>
      <c r="E523" s="2" t="s">
        <v>5664</v>
      </c>
      <c r="G523" s="2">
        <v>32</v>
      </c>
      <c r="H523" s="2">
        <v>0</v>
      </c>
      <c r="K523" s="211" t="s">
        <v>5667</v>
      </c>
    </row>
    <row r="524" spans="1:11" ht="15.75" customHeight="1">
      <c r="A524" s="159" t="s">
        <v>5096</v>
      </c>
      <c r="B524" s="159" t="s">
        <v>415</v>
      </c>
      <c r="C524" s="2" t="s">
        <v>5102</v>
      </c>
      <c r="D524" s="2" t="s">
        <v>5853</v>
      </c>
      <c r="E524" s="2" t="s">
        <v>5666</v>
      </c>
      <c r="K524" s="211" t="s">
        <v>5667</v>
      </c>
    </row>
    <row r="525" spans="1:11" ht="15.75" customHeight="1">
      <c r="A525" s="159" t="s">
        <v>5096</v>
      </c>
      <c r="B525" s="159" t="s">
        <v>415</v>
      </c>
      <c r="C525" s="2" t="s">
        <v>5102</v>
      </c>
      <c r="D525" s="2" t="s">
        <v>5854</v>
      </c>
      <c r="E525" s="2" t="s">
        <v>5692</v>
      </c>
      <c r="G525" s="2">
        <v>53</v>
      </c>
      <c r="K525" s="211" t="s">
        <v>5667</v>
      </c>
    </row>
    <row r="526" spans="1:11" ht="15.75" customHeight="1">
      <c r="A526" s="159" t="s">
        <v>5096</v>
      </c>
      <c r="B526" s="159" t="s">
        <v>415</v>
      </c>
      <c r="C526" s="2" t="s">
        <v>5102</v>
      </c>
      <c r="D526" s="2" t="s">
        <v>5855</v>
      </c>
      <c r="E526" s="2" t="s">
        <v>5692</v>
      </c>
      <c r="G526" s="2">
        <v>53</v>
      </c>
      <c r="K526" s="211" t="s">
        <v>5667</v>
      </c>
    </row>
    <row r="527" spans="1:11" ht="15.75" customHeight="1">
      <c r="A527" s="159" t="s">
        <v>5096</v>
      </c>
      <c r="B527" s="159" t="s">
        <v>415</v>
      </c>
      <c r="C527" s="2" t="s">
        <v>5102</v>
      </c>
      <c r="D527" s="2" t="s">
        <v>5856</v>
      </c>
      <c r="E527" s="2" t="s">
        <v>5664</v>
      </c>
      <c r="G527" s="2">
        <v>32</v>
      </c>
      <c r="H527" s="2">
        <v>0</v>
      </c>
      <c r="K527" s="211" t="s">
        <v>5667</v>
      </c>
    </row>
    <row r="528" spans="1:11" ht="15.75" customHeight="1">
      <c r="A528" s="159" t="s">
        <v>5096</v>
      </c>
      <c r="B528" s="159" t="s">
        <v>415</v>
      </c>
      <c r="C528" s="2" t="s">
        <v>5102</v>
      </c>
      <c r="D528" s="2" t="s">
        <v>5857</v>
      </c>
      <c r="E528" s="2" t="s">
        <v>717</v>
      </c>
      <c r="K528" s="211" t="s">
        <v>5667</v>
      </c>
    </row>
    <row r="529" spans="1:11" ht="15.75" customHeight="1">
      <c r="A529" s="159" t="s">
        <v>5096</v>
      </c>
      <c r="B529" s="159" t="s">
        <v>415</v>
      </c>
      <c r="C529" s="2" t="s">
        <v>5102</v>
      </c>
      <c r="D529" s="2" t="s">
        <v>5858</v>
      </c>
      <c r="E529" s="2" t="s">
        <v>717</v>
      </c>
      <c r="K529" s="211" t="s">
        <v>5667</v>
      </c>
    </row>
    <row r="530" spans="1:11" ht="15.75" customHeight="1">
      <c r="A530" s="159" t="s">
        <v>5096</v>
      </c>
      <c r="B530" s="159" t="s">
        <v>415</v>
      </c>
      <c r="C530" s="2" t="s">
        <v>5102</v>
      </c>
      <c r="D530" s="2" t="s">
        <v>5859</v>
      </c>
      <c r="E530" s="2" t="s">
        <v>717</v>
      </c>
      <c r="K530" s="211" t="s">
        <v>5667</v>
      </c>
    </row>
    <row r="531" spans="1:11" ht="15.75" customHeight="1">
      <c r="A531" s="159" t="s">
        <v>5096</v>
      </c>
      <c r="B531" s="159" t="s">
        <v>415</v>
      </c>
      <c r="C531" s="2" t="s">
        <v>5102</v>
      </c>
      <c r="D531" s="2" t="s">
        <v>5860</v>
      </c>
      <c r="E531" s="2" t="s">
        <v>717</v>
      </c>
      <c r="K531" s="211" t="s">
        <v>5667</v>
      </c>
    </row>
    <row r="532" spans="1:11" ht="15.75" customHeight="1">
      <c r="A532" s="159" t="s">
        <v>5096</v>
      </c>
      <c r="B532" s="159" t="s">
        <v>415</v>
      </c>
      <c r="C532" s="2" t="s">
        <v>5102</v>
      </c>
      <c r="D532" s="2" t="s">
        <v>5861</v>
      </c>
      <c r="E532" s="2" t="s">
        <v>5666</v>
      </c>
      <c r="K532" s="211" t="s">
        <v>5665</v>
      </c>
    </row>
    <row r="533" spans="1:11" ht="15.75" customHeight="1">
      <c r="A533" s="159" t="s">
        <v>5096</v>
      </c>
      <c r="B533" s="159" t="s">
        <v>415</v>
      </c>
      <c r="C533" s="2" t="s">
        <v>5102</v>
      </c>
      <c r="D533" s="2" t="s">
        <v>5862</v>
      </c>
      <c r="E533" s="2" t="s">
        <v>5664</v>
      </c>
      <c r="G533" s="2">
        <v>32</v>
      </c>
      <c r="H533" s="2">
        <v>0</v>
      </c>
      <c r="K533" s="211" t="s">
        <v>5667</v>
      </c>
    </row>
    <row r="534" spans="1:11" ht="15.75" customHeight="1">
      <c r="A534" s="159" t="s">
        <v>5096</v>
      </c>
      <c r="B534" s="159" t="s">
        <v>415</v>
      </c>
      <c r="C534" s="2" t="s">
        <v>5102</v>
      </c>
      <c r="D534" s="2" t="s">
        <v>5863</v>
      </c>
      <c r="E534" s="2" t="s">
        <v>5692</v>
      </c>
      <c r="G534" s="2">
        <v>53</v>
      </c>
      <c r="K534" s="211" t="s">
        <v>5667</v>
      </c>
    </row>
    <row r="535" spans="1:11" ht="15.75" customHeight="1">
      <c r="A535" s="159" t="s">
        <v>5096</v>
      </c>
      <c r="B535" s="159" t="s">
        <v>415</v>
      </c>
      <c r="C535" s="2" t="s">
        <v>5102</v>
      </c>
      <c r="D535" s="2" t="s">
        <v>5864</v>
      </c>
      <c r="E535" s="2" t="s">
        <v>5692</v>
      </c>
      <c r="G535" s="2">
        <v>53</v>
      </c>
      <c r="K535" s="211" t="s">
        <v>5667</v>
      </c>
    </row>
    <row r="536" spans="1:11" ht="15.75" customHeight="1">
      <c r="A536" s="159" t="s">
        <v>5096</v>
      </c>
      <c r="B536" s="159" t="s">
        <v>415</v>
      </c>
      <c r="C536" s="2" t="s">
        <v>5102</v>
      </c>
      <c r="D536" s="2" t="s">
        <v>5865</v>
      </c>
      <c r="E536" s="2" t="s">
        <v>5692</v>
      </c>
      <c r="G536" s="2">
        <v>53</v>
      </c>
      <c r="K536" s="211" t="s">
        <v>5667</v>
      </c>
    </row>
    <row r="537" spans="1:11" ht="15.75" customHeight="1">
      <c r="A537" s="159" t="s">
        <v>5096</v>
      </c>
      <c r="B537" s="159" t="s">
        <v>415</v>
      </c>
      <c r="C537" s="2" t="s">
        <v>5102</v>
      </c>
      <c r="D537" s="2" t="s">
        <v>5866</v>
      </c>
      <c r="E537" s="2" t="s">
        <v>5672</v>
      </c>
      <c r="K537" s="211" t="s">
        <v>5667</v>
      </c>
    </row>
    <row r="538" spans="1:11" ht="15.75" customHeight="1">
      <c r="A538" s="159" t="s">
        <v>5096</v>
      </c>
      <c r="B538" s="159" t="s">
        <v>415</v>
      </c>
      <c r="C538" s="2" t="s">
        <v>5102</v>
      </c>
      <c r="D538" s="2" t="s">
        <v>5867</v>
      </c>
      <c r="E538" s="2" t="s">
        <v>5666</v>
      </c>
      <c r="K538" s="211" t="s">
        <v>5667</v>
      </c>
    </row>
    <row r="539" spans="1:11" ht="15.75" customHeight="1">
      <c r="A539" s="159" t="s">
        <v>5096</v>
      </c>
      <c r="B539" s="159" t="s">
        <v>415</v>
      </c>
      <c r="C539" s="2" t="s">
        <v>5102</v>
      </c>
      <c r="D539" s="2" t="s">
        <v>5868</v>
      </c>
      <c r="E539" s="2" t="s">
        <v>5664</v>
      </c>
      <c r="G539" s="2">
        <v>32</v>
      </c>
      <c r="H539" s="2">
        <v>0</v>
      </c>
      <c r="K539" s="211" t="s">
        <v>5667</v>
      </c>
    </row>
    <row r="540" spans="1:11" ht="15.75" customHeight="1">
      <c r="A540" s="159" t="s">
        <v>5096</v>
      </c>
      <c r="B540" s="159" t="s">
        <v>415</v>
      </c>
      <c r="C540" s="2" t="s">
        <v>5102</v>
      </c>
      <c r="D540" s="2" t="s">
        <v>5869</v>
      </c>
      <c r="E540" s="2" t="s">
        <v>5666</v>
      </c>
      <c r="K540" s="211" t="s">
        <v>5667</v>
      </c>
    </row>
    <row r="541" spans="1:11" ht="15.75" customHeight="1">
      <c r="A541" s="159" t="s">
        <v>5096</v>
      </c>
      <c r="B541" s="159" t="s">
        <v>415</v>
      </c>
      <c r="C541" s="2" t="s">
        <v>5102</v>
      </c>
      <c r="D541" s="2" t="s">
        <v>5870</v>
      </c>
      <c r="E541" s="2" t="s">
        <v>5666</v>
      </c>
      <c r="K541" s="211" t="s">
        <v>5667</v>
      </c>
    </row>
    <row r="542" spans="1:11" ht="15.75" customHeight="1">
      <c r="A542" s="159" t="s">
        <v>5096</v>
      </c>
      <c r="B542" s="159" t="s">
        <v>415</v>
      </c>
      <c r="C542" s="2" t="s">
        <v>5102</v>
      </c>
      <c r="D542" s="2" t="s">
        <v>5871</v>
      </c>
      <c r="E542" s="2" t="s">
        <v>5672</v>
      </c>
      <c r="K542" s="211" t="s">
        <v>5667</v>
      </c>
    </row>
    <row r="543" spans="1:11" ht="15.75" customHeight="1">
      <c r="A543" s="159" t="s">
        <v>5096</v>
      </c>
      <c r="B543" s="159" t="s">
        <v>415</v>
      </c>
      <c r="C543" s="2" t="s">
        <v>5102</v>
      </c>
      <c r="D543" s="2" t="s">
        <v>5872</v>
      </c>
      <c r="E543" s="2" t="s">
        <v>5666</v>
      </c>
      <c r="K543" s="211" t="s">
        <v>5667</v>
      </c>
    </row>
    <row r="544" spans="1:11" ht="15.75" customHeight="1">
      <c r="A544" s="159" t="s">
        <v>5096</v>
      </c>
      <c r="B544" s="159" t="s">
        <v>415</v>
      </c>
      <c r="C544" s="2" t="s">
        <v>5102</v>
      </c>
      <c r="D544" s="2" t="s">
        <v>5873</v>
      </c>
      <c r="E544" s="2" t="s">
        <v>5664</v>
      </c>
      <c r="G544" s="2">
        <v>32</v>
      </c>
      <c r="H544" s="2">
        <v>0</v>
      </c>
      <c r="K544" s="211" t="s">
        <v>5667</v>
      </c>
    </row>
    <row r="545" spans="1:11" ht="15.75" customHeight="1">
      <c r="A545" s="159" t="s">
        <v>5096</v>
      </c>
      <c r="B545" s="159" t="s">
        <v>415</v>
      </c>
      <c r="C545" s="2" t="s">
        <v>5102</v>
      </c>
      <c r="D545" s="2" t="s">
        <v>5874</v>
      </c>
      <c r="E545" s="2" t="s">
        <v>5664</v>
      </c>
      <c r="G545" s="2">
        <v>32</v>
      </c>
      <c r="H545" s="2">
        <v>0</v>
      </c>
      <c r="K545" s="211" t="s">
        <v>5667</v>
      </c>
    </row>
    <row r="546" spans="1:11" ht="15.75" customHeight="1">
      <c r="A546" s="159" t="s">
        <v>5096</v>
      </c>
      <c r="B546" s="159" t="s">
        <v>415</v>
      </c>
      <c r="C546" s="2" t="s">
        <v>5102</v>
      </c>
      <c r="D546" s="2" t="s">
        <v>5875</v>
      </c>
      <c r="E546" s="2" t="s">
        <v>5692</v>
      </c>
      <c r="G546" s="2">
        <v>53</v>
      </c>
      <c r="K546" s="211" t="s">
        <v>5667</v>
      </c>
    </row>
    <row r="547" spans="1:11" ht="15.75" customHeight="1">
      <c r="A547" s="159" t="s">
        <v>5096</v>
      </c>
      <c r="B547" s="159" t="s">
        <v>415</v>
      </c>
      <c r="C547" s="2" t="s">
        <v>5102</v>
      </c>
      <c r="D547" s="2" t="s">
        <v>5876</v>
      </c>
      <c r="E547" s="2" t="s">
        <v>5666</v>
      </c>
      <c r="K547" s="211" t="s">
        <v>5667</v>
      </c>
    </row>
    <row r="548" spans="1:11" ht="15.75" customHeight="1">
      <c r="A548" s="159" t="s">
        <v>5096</v>
      </c>
      <c r="B548" s="159" t="s">
        <v>415</v>
      </c>
      <c r="C548" s="2" t="s">
        <v>5102</v>
      </c>
      <c r="D548" s="2" t="s">
        <v>5877</v>
      </c>
      <c r="E548" s="2" t="s">
        <v>5666</v>
      </c>
      <c r="K548" s="211" t="s">
        <v>5667</v>
      </c>
    </row>
    <row r="549" spans="1:11" ht="15.75" customHeight="1">
      <c r="A549" s="159" t="s">
        <v>5096</v>
      </c>
      <c r="B549" s="159" t="s">
        <v>415</v>
      </c>
      <c r="C549" s="2" t="s">
        <v>5102</v>
      </c>
      <c r="D549" s="2" t="s">
        <v>5878</v>
      </c>
      <c r="E549" s="2" t="s">
        <v>5692</v>
      </c>
      <c r="G549" s="2">
        <v>53</v>
      </c>
      <c r="K549" s="211" t="s">
        <v>5667</v>
      </c>
    </row>
    <row r="550" spans="1:11" ht="15.75" customHeight="1">
      <c r="A550" s="159" t="s">
        <v>5096</v>
      </c>
      <c r="B550" s="159" t="s">
        <v>415</v>
      </c>
      <c r="C550" s="2" t="s">
        <v>5102</v>
      </c>
      <c r="D550" s="2" t="s">
        <v>5879</v>
      </c>
      <c r="E550" s="2" t="s">
        <v>5692</v>
      </c>
      <c r="G550" s="2">
        <v>53</v>
      </c>
      <c r="K550" s="211" t="s">
        <v>5667</v>
      </c>
    </row>
    <row r="551" spans="1:11" ht="15.75" customHeight="1">
      <c r="A551" s="159" t="s">
        <v>5096</v>
      </c>
      <c r="B551" s="159" t="s">
        <v>415</v>
      </c>
      <c r="C551" s="2" t="s">
        <v>5102</v>
      </c>
      <c r="D551" s="2" t="s">
        <v>5880</v>
      </c>
      <c r="E551" s="2" t="s">
        <v>5664</v>
      </c>
      <c r="G551" s="2">
        <v>32</v>
      </c>
      <c r="H551" s="2">
        <v>0</v>
      </c>
      <c r="K551" s="211" t="s">
        <v>5667</v>
      </c>
    </row>
    <row r="552" spans="1:11" ht="15.75" customHeight="1">
      <c r="A552" s="159" t="s">
        <v>5096</v>
      </c>
      <c r="B552" s="159" t="s">
        <v>415</v>
      </c>
      <c r="C552" s="2" t="s">
        <v>5102</v>
      </c>
      <c r="D552" s="2" t="s">
        <v>5881</v>
      </c>
      <c r="E552" s="2" t="s">
        <v>5672</v>
      </c>
      <c r="K552" s="211" t="s">
        <v>5667</v>
      </c>
    </row>
    <row r="553" spans="1:11" ht="15.75" customHeight="1">
      <c r="A553" s="159" t="s">
        <v>5096</v>
      </c>
      <c r="B553" s="159" t="s">
        <v>266</v>
      </c>
      <c r="C553" s="212" t="s">
        <v>5103</v>
      </c>
      <c r="D553" s="2" t="s">
        <v>3897</v>
      </c>
      <c r="E553" s="2" t="s">
        <v>5664</v>
      </c>
      <c r="G553" s="2">
        <v>32</v>
      </c>
      <c r="H553" s="2">
        <v>0</v>
      </c>
      <c r="K553" s="211" t="s">
        <v>5665</v>
      </c>
    </row>
    <row r="554" spans="1:11" ht="15.75" customHeight="1">
      <c r="A554" s="159" t="s">
        <v>5096</v>
      </c>
      <c r="B554" s="159" t="s">
        <v>266</v>
      </c>
      <c r="C554" s="212" t="s">
        <v>5103</v>
      </c>
      <c r="D554" s="2" t="s">
        <v>184</v>
      </c>
      <c r="E554" s="2" t="s">
        <v>5670</v>
      </c>
      <c r="K554" s="211" t="s">
        <v>5667</v>
      </c>
    </row>
    <row r="555" spans="1:11" ht="15.75" customHeight="1">
      <c r="A555" s="159" t="s">
        <v>5096</v>
      </c>
      <c r="B555" s="159" t="s">
        <v>266</v>
      </c>
      <c r="C555" s="212" t="s">
        <v>5103</v>
      </c>
      <c r="D555" s="2" t="s">
        <v>5882</v>
      </c>
      <c r="E555" s="2" t="s">
        <v>717</v>
      </c>
      <c r="K555" s="211" t="s">
        <v>5667</v>
      </c>
    </row>
    <row r="556" spans="1:11" ht="15.75" customHeight="1">
      <c r="A556" s="159" t="s">
        <v>5096</v>
      </c>
      <c r="B556" s="159" t="s">
        <v>266</v>
      </c>
      <c r="C556" s="212" t="s">
        <v>5103</v>
      </c>
      <c r="D556" s="2" t="s">
        <v>5084</v>
      </c>
      <c r="E556" s="2" t="s">
        <v>5666</v>
      </c>
      <c r="K556" s="211" t="s">
        <v>5667</v>
      </c>
    </row>
    <row r="557" spans="1:11" ht="15.75" customHeight="1">
      <c r="A557" s="159" t="s">
        <v>5096</v>
      </c>
      <c r="B557" s="159" t="s">
        <v>266</v>
      </c>
      <c r="C557" s="212" t="s">
        <v>5103</v>
      </c>
      <c r="D557" s="2" t="s">
        <v>5883</v>
      </c>
      <c r="E557" s="2" t="s">
        <v>5664</v>
      </c>
      <c r="G557" s="2">
        <v>32</v>
      </c>
      <c r="H557" s="2">
        <v>0</v>
      </c>
      <c r="K557" s="211" t="s">
        <v>5665</v>
      </c>
    </row>
    <row r="558" spans="1:11" ht="15.75" customHeight="1">
      <c r="A558" s="159" t="s">
        <v>5096</v>
      </c>
      <c r="B558" s="159" t="s">
        <v>266</v>
      </c>
      <c r="C558" s="212" t="s">
        <v>5103</v>
      </c>
      <c r="D558" s="2" t="s">
        <v>5698</v>
      </c>
      <c r="E558" s="2" t="s">
        <v>5670</v>
      </c>
      <c r="K558" s="211" t="s">
        <v>5667</v>
      </c>
    </row>
    <row r="559" spans="1:11" ht="15.75" customHeight="1">
      <c r="A559" s="159" t="s">
        <v>5096</v>
      </c>
      <c r="B559" s="159" t="s">
        <v>266</v>
      </c>
      <c r="C559" s="212" t="s">
        <v>5103</v>
      </c>
      <c r="D559" s="2" t="s">
        <v>5691</v>
      </c>
      <c r="E559" s="2" t="s">
        <v>5664</v>
      </c>
      <c r="G559" s="2">
        <v>32</v>
      </c>
      <c r="H559" s="2">
        <v>0</v>
      </c>
      <c r="K559" s="211" t="s">
        <v>5667</v>
      </c>
    </row>
    <row r="560" spans="1:11" ht="15.75" customHeight="1">
      <c r="A560" s="159" t="s">
        <v>5096</v>
      </c>
      <c r="B560" s="159" t="s">
        <v>266</v>
      </c>
      <c r="C560" s="212" t="s">
        <v>5103</v>
      </c>
      <c r="D560" s="2" t="s">
        <v>5689</v>
      </c>
      <c r="E560" s="2" t="s">
        <v>5664</v>
      </c>
      <c r="G560" s="2">
        <v>32</v>
      </c>
      <c r="H560" s="2">
        <v>0</v>
      </c>
      <c r="K560" s="211" t="s">
        <v>5667</v>
      </c>
    </row>
    <row r="561" spans="1:11" ht="15.75" customHeight="1">
      <c r="A561" s="159" t="s">
        <v>5096</v>
      </c>
      <c r="B561" s="159" t="s">
        <v>266</v>
      </c>
      <c r="C561" s="212" t="s">
        <v>5103</v>
      </c>
      <c r="D561" s="2" t="s">
        <v>5616</v>
      </c>
      <c r="E561" s="2" t="s">
        <v>5666</v>
      </c>
      <c r="K561" s="211" t="s">
        <v>5667</v>
      </c>
    </row>
    <row r="562" spans="1:11" ht="15.75" customHeight="1">
      <c r="A562" s="159" t="s">
        <v>5096</v>
      </c>
      <c r="B562" s="159" t="s">
        <v>266</v>
      </c>
      <c r="C562" s="212" t="s">
        <v>5103</v>
      </c>
      <c r="D562" s="2" t="s">
        <v>5884</v>
      </c>
      <c r="E562" s="2" t="s">
        <v>5692</v>
      </c>
      <c r="G562" s="2">
        <v>53</v>
      </c>
      <c r="K562" s="211" t="s">
        <v>5667</v>
      </c>
    </row>
    <row r="563" spans="1:11" ht="15.75" customHeight="1">
      <c r="A563" s="159" t="s">
        <v>5096</v>
      </c>
      <c r="B563" s="159" t="s">
        <v>266</v>
      </c>
      <c r="C563" s="212" t="s">
        <v>5103</v>
      </c>
      <c r="D563" s="2" t="s">
        <v>5687</v>
      </c>
      <c r="E563" s="2" t="s">
        <v>5670</v>
      </c>
      <c r="K563" s="211" t="s">
        <v>5667</v>
      </c>
    </row>
    <row r="564" spans="1:11" ht="15.75" customHeight="1">
      <c r="A564" s="159" t="s">
        <v>5096</v>
      </c>
      <c r="B564" s="159" t="s">
        <v>266</v>
      </c>
      <c r="C564" s="212" t="s">
        <v>5103</v>
      </c>
      <c r="D564" s="2" t="s">
        <v>5607</v>
      </c>
      <c r="E564" s="2" t="s">
        <v>5672</v>
      </c>
      <c r="K564" s="211" t="s">
        <v>5667</v>
      </c>
    </row>
    <row r="565" spans="1:11" ht="15.75" customHeight="1">
      <c r="A565" s="159" t="s">
        <v>5096</v>
      </c>
      <c r="B565" s="159" t="s">
        <v>266</v>
      </c>
      <c r="C565" s="212" t="s">
        <v>5103</v>
      </c>
      <c r="D565" s="2" t="s">
        <v>5885</v>
      </c>
      <c r="E565" s="2" t="s">
        <v>5664</v>
      </c>
      <c r="G565" s="2">
        <v>32</v>
      </c>
      <c r="H565" s="2">
        <v>0</v>
      </c>
      <c r="K565" s="211" t="s">
        <v>5667</v>
      </c>
    </row>
    <row r="566" spans="1:11" ht="15.75" customHeight="1">
      <c r="A566" s="159" t="s">
        <v>5096</v>
      </c>
      <c r="B566" s="159" t="s">
        <v>266</v>
      </c>
      <c r="C566" s="212" t="s">
        <v>5103</v>
      </c>
      <c r="D566" s="2" t="s">
        <v>5886</v>
      </c>
      <c r="E566" s="2" t="s">
        <v>5666</v>
      </c>
      <c r="K566" s="211" t="s">
        <v>5665</v>
      </c>
    </row>
    <row r="567" spans="1:11" ht="15.75" customHeight="1">
      <c r="A567" s="159" t="s">
        <v>5096</v>
      </c>
      <c r="B567" s="159" t="s">
        <v>266</v>
      </c>
      <c r="C567" s="212" t="s">
        <v>5103</v>
      </c>
      <c r="D567" s="2" t="s">
        <v>5887</v>
      </c>
      <c r="E567" s="2" t="s">
        <v>5664</v>
      </c>
      <c r="G567" s="2">
        <v>32</v>
      </c>
      <c r="H567" s="2">
        <v>0</v>
      </c>
      <c r="K567" s="211" t="s">
        <v>5667</v>
      </c>
    </row>
    <row r="568" spans="1:11" ht="15.75" customHeight="1">
      <c r="A568" s="159" t="s">
        <v>5096</v>
      </c>
      <c r="B568" s="212" t="s">
        <v>266</v>
      </c>
      <c r="C568" s="2" t="s">
        <v>5104</v>
      </c>
      <c r="D568" s="2" t="s">
        <v>3897</v>
      </c>
      <c r="E568" s="2" t="s">
        <v>5664</v>
      </c>
      <c r="G568" s="2">
        <v>32</v>
      </c>
      <c r="H568" s="2">
        <v>0</v>
      </c>
      <c r="K568" s="211" t="s">
        <v>5665</v>
      </c>
    </row>
    <row r="569" spans="1:11" ht="15.75" customHeight="1">
      <c r="A569" s="159" t="s">
        <v>5096</v>
      </c>
      <c r="B569" s="212" t="s">
        <v>266</v>
      </c>
      <c r="C569" s="2" t="s">
        <v>5104</v>
      </c>
      <c r="D569" s="2" t="s">
        <v>5620</v>
      </c>
      <c r="E569" s="2" t="s">
        <v>5692</v>
      </c>
      <c r="G569" s="2">
        <v>53</v>
      </c>
      <c r="K569" s="211" t="s">
        <v>5667</v>
      </c>
    </row>
    <row r="570" spans="1:11" ht="15.75" customHeight="1">
      <c r="A570" s="159" t="s">
        <v>5096</v>
      </c>
      <c r="B570" s="212" t="s">
        <v>266</v>
      </c>
      <c r="C570" s="2" t="s">
        <v>5104</v>
      </c>
      <c r="D570" s="2" t="s">
        <v>5888</v>
      </c>
      <c r="E570" s="2" t="s">
        <v>717</v>
      </c>
      <c r="K570" s="211" t="s">
        <v>5667</v>
      </c>
    </row>
    <row r="571" spans="1:11" ht="15.75" customHeight="1">
      <c r="A571" s="159" t="s">
        <v>5096</v>
      </c>
      <c r="B571" s="212" t="s">
        <v>266</v>
      </c>
      <c r="C571" s="2" t="s">
        <v>5104</v>
      </c>
      <c r="D571" s="2" t="s">
        <v>5882</v>
      </c>
      <c r="E571" s="2" t="s">
        <v>717</v>
      </c>
      <c r="K571" s="211" t="s">
        <v>5667</v>
      </c>
    </row>
    <row r="572" spans="1:11" ht="15.75" customHeight="1">
      <c r="A572" s="159" t="s">
        <v>5096</v>
      </c>
      <c r="B572" s="212" t="s">
        <v>266</v>
      </c>
      <c r="C572" s="2" t="s">
        <v>5104</v>
      </c>
      <c r="D572" s="2" t="s">
        <v>5765</v>
      </c>
      <c r="E572" s="2" t="s">
        <v>5664</v>
      </c>
      <c r="G572" s="2">
        <v>32</v>
      </c>
      <c r="H572" s="2">
        <v>0</v>
      </c>
      <c r="K572" s="211" t="s">
        <v>5667</v>
      </c>
    </row>
    <row r="573" spans="1:11" ht="15.75" customHeight="1">
      <c r="A573" s="159" t="s">
        <v>5096</v>
      </c>
      <c r="B573" s="212" t="s">
        <v>266</v>
      </c>
      <c r="C573" s="2" t="s">
        <v>5104</v>
      </c>
      <c r="D573" s="2" t="s">
        <v>5671</v>
      </c>
      <c r="E573" s="2" t="s">
        <v>5664</v>
      </c>
      <c r="G573" s="2">
        <v>32</v>
      </c>
      <c r="H573" s="2">
        <v>0</v>
      </c>
      <c r="K573" s="211" t="s">
        <v>5667</v>
      </c>
    </row>
    <row r="574" spans="1:11" ht="15.75" customHeight="1">
      <c r="A574" s="159" t="s">
        <v>5096</v>
      </c>
      <c r="B574" s="212" t="s">
        <v>266</v>
      </c>
      <c r="C574" s="2" t="s">
        <v>5104</v>
      </c>
      <c r="D574" s="2" t="s">
        <v>5689</v>
      </c>
      <c r="E574" s="2" t="s">
        <v>5664</v>
      </c>
      <c r="G574" s="2">
        <v>32</v>
      </c>
      <c r="H574" s="2">
        <v>0</v>
      </c>
      <c r="K574" s="211" t="s">
        <v>5667</v>
      </c>
    </row>
    <row r="575" spans="1:11" ht="15.75" customHeight="1">
      <c r="A575" s="159" t="s">
        <v>5096</v>
      </c>
      <c r="B575" s="212" t="s">
        <v>266</v>
      </c>
      <c r="C575" s="2" t="s">
        <v>5104</v>
      </c>
      <c r="D575" s="2" t="s">
        <v>5617</v>
      </c>
      <c r="E575" s="2" t="s">
        <v>5664</v>
      </c>
      <c r="G575" s="2">
        <v>32</v>
      </c>
      <c r="H575" s="2">
        <v>0</v>
      </c>
      <c r="K575" s="211" t="s">
        <v>5665</v>
      </c>
    </row>
    <row r="576" spans="1:11" ht="15.75" customHeight="1">
      <c r="A576" s="159" t="s">
        <v>5096</v>
      </c>
      <c r="B576" s="212" t="s">
        <v>266</v>
      </c>
      <c r="C576" s="2" t="s">
        <v>5104</v>
      </c>
      <c r="D576" s="2" t="s">
        <v>5889</v>
      </c>
      <c r="E576" s="2" t="s">
        <v>3893</v>
      </c>
      <c r="K576" s="211" t="s">
        <v>5667</v>
      </c>
    </row>
    <row r="577" spans="1:11" ht="15.75" customHeight="1">
      <c r="A577" s="159" t="s">
        <v>5096</v>
      </c>
      <c r="B577" s="212" t="s">
        <v>266</v>
      </c>
      <c r="C577" s="2" t="s">
        <v>5104</v>
      </c>
      <c r="D577" s="2" t="s">
        <v>5084</v>
      </c>
      <c r="E577" s="2" t="s">
        <v>5666</v>
      </c>
      <c r="K577" s="211" t="s">
        <v>5667</v>
      </c>
    </row>
    <row r="578" spans="1:11" ht="15.75" customHeight="1">
      <c r="A578" s="159" t="s">
        <v>5096</v>
      </c>
      <c r="B578" s="212" t="s">
        <v>266</v>
      </c>
      <c r="C578" s="2" t="s">
        <v>5104</v>
      </c>
      <c r="D578" s="2" t="s">
        <v>184</v>
      </c>
      <c r="E578" s="2" t="s">
        <v>5670</v>
      </c>
      <c r="K578" s="211" t="s">
        <v>5667</v>
      </c>
    </row>
    <row r="579" spans="1:11" ht="15.75" customHeight="1">
      <c r="A579" s="159" t="s">
        <v>5096</v>
      </c>
      <c r="B579" s="212" t="s">
        <v>266</v>
      </c>
      <c r="C579" s="2" t="s">
        <v>5104</v>
      </c>
      <c r="D579" s="2" t="s">
        <v>5691</v>
      </c>
      <c r="E579" s="2" t="s">
        <v>5664</v>
      </c>
      <c r="G579" s="2">
        <v>32</v>
      </c>
      <c r="H579" s="2">
        <v>0</v>
      </c>
      <c r="K579" s="211" t="s">
        <v>5667</v>
      </c>
    </row>
    <row r="580" spans="1:11" ht="15.75" customHeight="1">
      <c r="A580" s="159" t="s">
        <v>5096</v>
      </c>
      <c r="B580" s="212" t="s">
        <v>266</v>
      </c>
      <c r="C580" s="2" t="s">
        <v>5104</v>
      </c>
      <c r="D580" s="2" t="s">
        <v>5611</v>
      </c>
      <c r="E580" s="2" t="s">
        <v>5672</v>
      </c>
      <c r="K580" s="211" t="s">
        <v>5667</v>
      </c>
    </row>
    <row r="581" spans="1:11" ht="15.75" customHeight="1">
      <c r="A581" s="159" t="s">
        <v>5096</v>
      </c>
      <c r="B581" s="212" t="s">
        <v>266</v>
      </c>
      <c r="C581" s="2" t="s">
        <v>5104</v>
      </c>
      <c r="D581" s="2" t="s">
        <v>5612</v>
      </c>
      <c r="E581" s="2" t="s">
        <v>5672</v>
      </c>
      <c r="K581" s="211" t="s">
        <v>5667</v>
      </c>
    </row>
    <row r="582" spans="1:11" ht="15.75" customHeight="1">
      <c r="A582" s="159" t="s">
        <v>5096</v>
      </c>
      <c r="B582" s="212" t="s">
        <v>266</v>
      </c>
      <c r="C582" s="2" t="s">
        <v>5104</v>
      </c>
      <c r="D582" s="2" t="s">
        <v>5698</v>
      </c>
      <c r="E582" s="2" t="s">
        <v>5670</v>
      </c>
      <c r="K582" s="211" t="s">
        <v>5667</v>
      </c>
    </row>
    <row r="583" spans="1:11" ht="15.75" customHeight="1">
      <c r="A583" s="159" t="s">
        <v>5096</v>
      </c>
      <c r="B583" s="212" t="s">
        <v>266</v>
      </c>
      <c r="C583" s="2" t="s">
        <v>5104</v>
      </c>
      <c r="D583" s="2" t="s">
        <v>1822</v>
      </c>
      <c r="E583" s="2" t="s">
        <v>5664</v>
      </c>
      <c r="G583" s="2">
        <v>32</v>
      </c>
      <c r="H583" s="2">
        <v>0</v>
      </c>
      <c r="K583" s="211" t="s">
        <v>5667</v>
      </c>
    </row>
    <row r="584" spans="1:11" ht="15.75" customHeight="1">
      <c r="A584" s="159" t="s">
        <v>5096</v>
      </c>
      <c r="B584" s="212" t="s">
        <v>266</v>
      </c>
      <c r="C584" s="2" t="s">
        <v>5104</v>
      </c>
      <c r="D584" s="2" t="s">
        <v>5618</v>
      </c>
      <c r="E584" s="2" t="s">
        <v>5664</v>
      </c>
      <c r="G584" s="2">
        <v>32</v>
      </c>
      <c r="H584" s="2">
        <v>0</v>
      </c>
      <c r="K584" s="211" t="s">
        <v>5665</v>
      </c>
    </row>
    <row r="585" spans="1:11" ht="15.75" customHeight="1">
      <c r="A585" s="159" t="s">
        <v>5096</v>
      </c>
      <c r="B585" s="212" t="s">
        <v>266</v>
      </c>
      <c r="C585" s="2" t="s">
        <v>5104</v>
      </c>
      <c r="D585" s="2" t="s">
        <v>5890</v>
      </c>
      <c r="E585" s="2" t="s">
        <v>3893</v>
      </c>
      <c r="K585" s="211" t="s">
        <v>5667</v>
      </c>
    </row>
    <row r="586" spans="1:11" ht="15.75" customHeight="1">
      <c r="A586" s="159" t="s">
        <v>5096</v>
      </c>
      <c r="B586" s="212" t="s">
        <v>266</v>
      </c>
      <c r="C586" s="2" t="s">
        <v>5104</v>
      </c>
      <c r="D586" s="2" t="s">
        <v>5891</v>
      </c>
      <c r="E586" s="2" t="s">
        <v>3893</v>
      </c>
      <c r="K586" s="211" t="s">
        <v>5667</v>
      </c>
    </row>
    <row r="587" spans="1:11" ht="15.75" customHeight="1">
      <c r="A587" s="159" t="s">
        <v>5096</v>
      </c>
      <c r="B587" s="212" t="s">
        <v>266</v>
      </c>
      <c r="C587" s="2" t="s">
        <v>5104</v>
      </c>
      <c r="D587" s="2" t="s">
        <v>5884</v>
      </c>
      <c r="E587" s="2" t="s">
        <v>5692</v>
      </c>
      <c r="G587" s="2">
        <v>53</v>
      </c>
      <c r="K587" s="211" t="s">
        <v>5667</v>
      </c>
    </row>
    <row r="588" spans="1:11" ht="15.75" customHeight="1">
      <c r="A588" s="159" t="s">
        <v>5096</v>
      </c>
      <c r="B588" s="212" t="s">
        <v>266</v>
      </c>
      <c r="C588" s="2" t="s">
        <v>5104</v>
      </c>
      <c r="D588" s="2" t="s">
        <v>5687</v>
      </c>
      <c r="E588" s="2" t="s">
        <v>5670</v>
      </c>
      <c r="K588" s="211" t="s">
        <v>5667</v>
      </c>
    </row>
    <row r="589" spans="1:11" ht="15.75" customHeight="1">
      <c r="A589" s="159" t="s">
        <v>5096</v>
      </c>
      <c r="B589" s="212" t="s">
        <v>266</v>
      </c>
      <c r="C589" s="2" t="s">
        <v>5104</v>
      </c>
      <c r="D589" s="2" t="s">
        <v>5607</v>
      </c>
      <c r="E589" s="2" t="s">
        <v>5672</v>
      </c>
      <c r="K589" s="211" t="s">
        <v>5667</v>
      </c>
    </row>
    <row r="590" spans="1:11" ht="15.75" customHeight="1">
      <c r="A590" s="159" t="s">
        <v>5096</v>
      </c>
      <c r="B590" s="212" t="s">
        <v>266</v>
      </c>
      <c r="C590" s="2" t="s">
        <v>5104</v>
      </c>
      <c r="D590" s="2" t="s">
        <v>5892</v>
      </c>
      <c r="E590" s="2" t="s">
        <v>5664</v>
      </c>
      <c r="G590" s="2">
        <v>32</v>
      </c>
      <c r="H590" s="2">
        <v>0</v>
      </c>
      <c r="K590" s="211" t="s">
        <v>5665</v>
      </c>
    </row>
    <row r="591" spans="1:11" ht="15.75" customHeight="1">
      <c r="A591" s="159" t="s">
        <v>5096</v>
      </c>
      <c r="B591" s="212" t="s">
        <v>266</v>
      </c>
      <c r="C591" s="2" t="s">
        <v>5104</v>
      </c>
      <c r="D591" s="2" t="s">
        <v>156</v>
      </c>
      <c r="E591" s="2" t="s">
        <v>5666</v>
      </c>
      <c r="K591" s="211" t="s">
        <v>5665</v>
      </c>
    </row>
    <row r="592" spans="1:11" ht="15.75" customHeight="1">
      <c r="A592" s="159" t="s">
        <v>5096</v>
      </c>
      <c r="B592" s="212" t="s">
        <v>266</v>
      </c>
      <c r="C592" s="2" t="s">
        <v>5104</v>
      </c>
      <c r="D592" s="2" t="s">
        <v>5893</v>
      </c>
      <c r="E592" s="2" t="s">
        <v>5672</v>
      </c>
      <c r="K592" s="211" t="s">
        <v>5667</v>
      </c>
    </row>
    <row r="593" spans="1:11" ht="15.75" customHeight="1">
      <c r="A593" s="159" t="s">
        <v>5096</v>
      </c>
      <c r="B593" s="212" t="s">
        <v>266</v>
      </c>
      <c r="C593" s="2" t="s">
        <v>5104</v>
      </c>
      <c r="D593" s="2" t="s">
        <v>5609</v>
      </c>
      <c r="E593" s="2" t="s">
        <v>5666</v>
      </c>
      <c r="K593" s="211" t="s">
        <v>5665</v>
      </c>
    </row>
    <row r="594" spans="1:11" ht="15.75" customHeight="1">
      <c r="A594" s="159" t="s">
        <v>5096</v>
      </c>
      <c r="B594" s="212" t="s">
        <v>266</v>
      </c>
      <c r="C594" s="2" t="s">
        <v>5104</v>
      </c>
      <c r="D594" s="2" t="s">
        <v>5894</v>
      </c>
      <c r="E594" s="2" t="s">
        <v>5666</v>
      </c>
      <c r="K594" s="211" t="s">
        <v>5665</v>
      </c>
    </row>
    <row r="595" spans="1:11" ht="15.75" customHeight="1">
      <c r="A595" s="159" t="s">
        <v>5096</v>
      </c>
      <c r="B595" s="212" t="s">
        <v>266</v>
      </c>
      <c r="C595" s="2" t="s">
        <v>5104</v>
      </c>
      <c r="D595" s="2" t="s">
        <v>5895</v>
      </c>
      <c r="E595" s="2" t="s">
        <v>3893</v>
      </c>
      <c r="K595" s="211" t="s">
        <v>5667</v>
      </c>
    </row>
    <row r="596" spans="1:11" ht="15.75" customHeight="1">
      <c r="A596" s="159" t="s">
        <v>5096</v>
      </c>
      <c r="B596" s="212" t="s">
        <v>266</v>
      </c>
      <c r="C596" s="2" t="s">
        <v>5104</v>
      </c>
      <c r="D596" s="2" t="s">
        <v>5896</v>
      </c>
      <c r="E596" s="2" t="s">
        <v>5666</v>
      </c>
      <c r="K596" s="211" t="s">
        <v>5667</v>
      </c>
    </row>
    <row r="597" spans="1:11" ht="15.75" customHeight="1">
      <c r="A597" s="159" t="s">
        <v>5096</v>
      </c>
      <c r="B597" s="212" t="s">
        <v>266</v>
      </c>
      <c r="C597" s="2" t="s">
        <v>5104</v>
      </c>
      <c r="D597" s="2" t="s">
        <v>5614</v>
      </c>
      <c r="E597" s="2" t="s">
        <v>5666</v>
      </c>
      <c r="K597" s="211" t="s">
        <v>5667</v>
      </c>
    </row>
    <row r="598" spans="1:11" ht="15.75" customHeight="1">
      <c r="A598" s="159" t="s">
        <v>5096</v>
      </c>
      <c r="B598" s="212" t="s">
        <v>266</v>
      </c>
      <c r="C598" s="2" t="s">
        <v>5104</v>
      </c>
      <c r="D598" s="2" t="s">
        <v>5897</v>
      </c>
      <c r="E598" s="2" t="s">
        <v>5666</v>
      </c>
      <c r="K598" s="211" t="s">
        <v>5667</v>
      </c>
    </row>
    <row r="599" spans="1:11" ht="15.75" customHeight="1">
      <c r="A599" s="159" t="s">
        <v>5096</v>
      </c>
      <c r="B599" s="212" t="s">
        <v>266</v>
      </c>
      <c r="C599" s="2" t="s">
        <v>5104</v>
      </c>
      <c r="D599" s="2" t="s">
        <v>5898</v>
      </c>
      <c r="E599" s="2" t="s">
        <v>5666</v>
      </c>
      <c r="K599" s="211" t="s">
        <v>5665</v>
      </c>
    </row>
    <row r="600" spans="1:11" ht="15.75" customHeight="1">
      <c r="A600" s="159" t="s">
        <v>5096</v>
      </c>
      <c r="B600" s="212" t="s">
        <v>266</v>
      </c>
      <c r="C600" s="2" t="s">
        <v>5104</v>
      </c>
      <c r="D600" s="2" t="s">
        <v>5792</v>
      </c>
      <c r="E600" s="2" t="s">
        <v>5664</v>
      </c>
      <c r="G600" s="2">
        <v>32</v>
      </c>
      <c r="H600" s="2">
        <v>0</v>
      </c>
      <c r="K600" s="211" t="s">
        <v>5667</v>
      </c>
    </row>
    <row r="601" spans="1:11" ht="15.75" customHeight="1">
      <c r="A601" s="159" t="s">
        <v>5096</v>
      </c>
      <c r="B601" s="212" t="s">
        <v>266</v>
      </c>
      <c r="C601" s="2" t="s">
        <v>5104</v>
      </c>
      <c r="D601" s="2" t="s">
        <v>5899</v>
      </c>
      <c r="E601" s="2" t="s">
        <v>3893</v>
      </c>
      <c r="K601" s="211" t="s">
        <v>5667</v>
      </c>
    </row>
    <row r="602" spans="1:11" ht="15.75" customHeight="1">
      <c r="A602" s="159" t="s">
        <v>5096</v>
      </c>
      <c r="B602" s="212" t="s">
        <v>266</v>
      </c>
      <c r="C602" s="2" t="s">
        <v>5104</v>
      </c>
      <c r="D602" s="2" t="s">
        <v>5770</v>
      </c>
      <c r="E602" s="2" t="s">
        <v>5664</v>
      </c>
      <c r="G602" s="2">
        <v>32</v>
      </c>
      <c r="H602" s="2">
        <v>0</v>
      </c>
      <c r="K602" s="211" t="s">
        <v>5667</v>
      </c>
    </row>
    <row r="603" spans="1:11" ht="15.75" customHeight="1">
      <c r="A603" s="159" t="s">
        <v>5096</v>
      </c>
      <c r="B603" s="212" t="s">
        <v>266</v>
      </c>
      <c r="C603" s="2" t="s">
        <v>5104</v>
      </c>
      <c r="D603" s="2" t="s">
        <v>5622</v>
      </c>
      <c r="E603" s="2" t="s">
        <v>5692</v>
      </c>
      <c r="G603" s="2">
        <v>53</v>
      </c>
      <c r="K603" s="211" t="s">
        <v>5667</v>
      </c>
    </row>
    <row r="604" spans="1:11" ht="15.75" customHeight="1">
      <c r="A604" s="159" t="s">
        <v>5096</v>
      </c>
      <c r="B604" s="212" t="s">
        <v>266</v>
      </c>
      <c r="C604" s="2" t="s">
        <v>5104</v>
      </c>
      <c r="D604" s="2" t="s">
        <v>5900</v>
      </c>
      <c r="E604" s="2" t="s">
        <v>5664</v>
      </c>
      <c r="G604" s="2">
        <v>32</v>
      </c>
      <c r="H604" s="2">
        <v>0</v>
      </c>
      <c r="K604" s="211" t="s">
        <v>5667</v>
      </c>
    </row>
    <row r="605" spans="1:11" ht="15.75" customHeight="1">
      <c r="A605" s="159" t="s">
        <v>5096</v>
      </c>
      <c r="B605" s="212" t="s">
        <v>266</v>
      </c>
      <c r="C605" s="2" t="s">
        <v>5104</v>
      </c>
      <c r="D605" s="2" t="s">
        <v>5901</v>
      </c>
      <c r="E605" s="2" t="s">
        <v>5672</v>
      </c>
      <c r="K605" s="211" t="s">
        <v>5667</v>
      </c>
    </row>
    <row r="606" spans="1:11" ht="15.75" customHeight="1">
      <c r="A606" s="159" t="s">
        <v>5096</v>
      </c>
      <c r="B606" s="212" t="s">
        <v>266</v>
      </c>
      <c r="C606" s="2" t="s">
        <v>5104</v>
      </c>
      <c r="D606" s="2" t="s">
        <v>5619</v>
      </c>
      <c r="E606" s="2" t="s">
        <v>5672</v>
      </c>
      <c r="K606" s="211" t="s">
        <v>5667</v>
      </c>
    </row>
    <row r="607" spans="1:11" ht="15.75" customHeight="1">
      <c r="A607" s="159" t="s">
        <v>5096</v>
      </c>
      <c r="B607" s="212" t="s">
        <v>266</v>
      </c>
      <c r="C607" s="2" t="s">
        <v>5104</v>
      </c>
      <c r="D607" s="2" t="s">
        <v>5902</v>
      </c>
      <c r="E607" s="2" t="s">
        <v>3893</v>
      </c>
      <c r="K607" s="211" t="s">
        <v>5667</v>
      </c>
    </row>
    <row r="608" spans="1:11" ht="15.75" customHeight="1">
      <c r="A608" s="159" t="s">
        <v>5096</v>
      </c>
      <c r="B608" s="212" t="s">
        <v>266</v>
      </c>
      <c r="C608" s="2" t="s">
        <v>5104</v>
      </c>
      <c r="D608" s="2" t="s">
        <v>5903</v>
      </c>
      <c r="E608" s="2" t="s">
        <v>5666</v>
      </c>
      <c r="K608" s="211" t="s">
        <v>5667</v>
      </c>
    </row>
    <row r="609" spans="1:11" ht="15.75" customHeight="1">
      <c r="A609" s="159" t="s">
        <v>5096</v>
      </c>
      <c r="B609" s="212" t="s">
        <v>266</v>
      </c>
      <c r="C609" s="2" t="s">
        <v>5104</v>
      </c>
      <c r="D609" s="2" t="s">
        <v>5904</v>
      </c>
      <c r="E609" s="2" t="s">
        <v>5666</v>
      </c>
      <c r="K609" s="211" t="s">
        <v>5665</v>
      </c>
    </row>
    <row r="610" spans="1:11" ht="15.75" customHeight="1">
      <c r="A610" s="159" t="s">
        <v>5096</v>
      </c>
      <c r="B610" s="212" t="s">
        <v>266</v>
      </c>
      <c r="C610" s="2" t="s">
        <v>5104</v>
      </c>
      <c r="D610" s="2" t="s">
        <v>5905</v>
      </c>
      <c r="E610" s="2" t="s">
        <v>5666</v>
      </c>
      <c r="K610" s="211" t="s">
        <v>5667</v>
      </c>
    </row>
    <row r="611" spans="1:11" ht="15.75" customHeight="1">
      <c r="A611" s="159" t="s">
        <v>5096</v>
      </c>
      <c r="B611" s="212" t="s">
        <v>266</v>
      </c>
      <c r="C611" s="2" t="s">
        <v>5104</v>
      </c>
      <c r="D611" s="2" t="s">
        <v>2856</v>
      </c>
      <c r="E611" s="2" t="s">
        <v>5664</v>
      </c>
      <c r="G611" s="2">
        <v>32</v>
      </c>
      <c r="H611" s="2">
        <v>0</v>
      </c>
      <c r="K611" s="211" t="s">
        <v>5667</v>
      </c>
    </row>
    <row r="612" spans="1:11" ht="15.75" customHeight="1">
      <c r="A612" s="159" t="s">
        <v>5096</v>
      </c>
      <c r="B612" s="212" t="s">
        <v>266</v>
      </c>
      <c r="C612" s="2" t="s">
        <v>5104</v>
      </c>
      <c r="D612" s="2" t="s">
        <v>5906</v>
      </c>
      <c r="E612" s="2" t="s">
        <v>5666</v>
      </c>
      <c r="K612" s="211" t="s">
        <v>5667</v>
      </c>
    </row>
    <row r="613" spans="1:11" ht="15.75" customHeight="1">
      <c r="A613" s="159" t="s">
        <v>5096</v>
      </c>
      <c r="B613" s="212" t="s">
        <v>266</v>
      </c>
      <c r="C613" s="2" t="s">
        <v>5104</v>
      </c>
      <c r="D613" s="2" t="s">
        <v>5907</v>
      </c>
      <c r="E613" s="2" t="s">
        <v>5666</v>
      </c>
      <c r="K613" s="211" t="s">
        <v>5667</v>
      </c>
    </row>
    <row r="614" spans="1:11" ht="15.75" customHeight="1">
      <c r="A614" s="159" t="s">
        <v>5096</v>
      </c>
      <c r="B614" s="212" t="s">
        <v>266</v>
      </c>
      <c r="C614" s="2" t="s">
        <v>5104</v>
      </c>
      <c r="D614" s="2" t="s">
        <v>5908</v>
      </c>
      <c r="E614" s="2" t="s">
        <v>5666</v>
      </c>
      <c r="K614" s="211" t="s">
        <v>5667</v>
      </c>
    </row>
    <row r="615" spans="1:11" ht="15.75" customHeight="1">
      <c r="A615" s="159" t="s">
        <v>5096</v>
      </c>
      <c r="B615" s="212" t="s">
        <v>266</v>
      </c>
      <c r="C615" s="2" t="s">
        <v>5104</v>
      </c>
      <c r="D615" s="2" t="s">
        <v>5909</v>
      </c>
      <c r="E615" s="2" t="s">
        <v>5672</v>
      </c>
      <c r="K615" s="211" t="s">
        <v>5667</v>
      </c>
    </row>
    <row r="616" spans="1:11" ht="15.75" customHeight="1">
      <c r="A616" s="159" t="s">
        <v>5096</v>
      </c>
      <c r="B616" s="212" t="s">
        <v>266</v>
      </c>
      <c r="C616" s="2" t="s">
        <v>5104</v>
      </c>
      <c r="D616" s="2" t="s">
        <v>5910</v>
      </c>
      <c r="E616" s="2" t="s">
        <v>5666</v>
      </c>
      <c r="K616" s="211" t="s">
        <v>5667</v>
      </c>
    </row>
    <row r="617" spans="1:11" ht="15.75" customHeight="1">
      <c r="A617" s="159" t="s">
        <v>5096</v>
      </c>
      <c r="B617" s="212" t="s">
        <v>266</v>
      </c>
      <c r="C617" s="2" t="s">
        <v>5104</v>
      </c>
      <c r="D617" s="2" t="s">
        <v>5911</v>
      </c>
      <c r="E617" s="2" t="s">
        <v>5666</v>
      </c>
      <c r="K617" s="211" t="s">
        <v>5667</v>
      </c>
    </row>
    <row r="618" spans="1:11" ht="15.75" customHeight="1">
      <c r="A618" s="159" t="s">
        <v>5096</v>
      </c>
      <c r="B618" s="212" t="s">
        <v>266</v>
      </c>
      <c r="C618" s="2" t="s">
        <v>5104</v>
      </c>
      <c r="D618" s="2" t="s">
        <v>5912</v>
      </c>
      <c r="E618" s="2" t="s">
        <v>5666</v>
      </c>
      <c r="K618" s="211" t="s">
        <v>5667</v>
      </c>
    </row>
    <row r="619" spans="1:11" ht="15.75" customHeight="1">
      <c r="A619" s="159" t="s">
        <v>5096</v>
      </c>
      <c r="B619" s="212" t="s">
        <v>266</v>
      </c>
      <c r="C619" s="2" t="s">
        <v>5104</v>
      </c>
      <c r="D619" s="2" t="s">
        <v>5913</v>
      </c>
      <c r="E619" s="2" t="s">
        <v>5666</v>
      </c>
      <c r="K619" s="211" t="s">
        <v>5667</v>
      </c>
    </row>
    <row r="620" spans="1:11" ht="15.75" customHeight="1">
      <c r="A620" s="159" t="s">
        <v>5096</v>
      </c>
      <c r="B620" s="212" t="s">
        <v>266</v>
      </c>
      <c r="C620" s="2" t="s">
        <v>5104</v>
      </c>
      <c r="D620" s="2" t="s">
        <v>5914</v>
      </c>
      <c r="E620" s="2" t="s">
        <v>5666</v>
      </c>
      <c r="K620" s="211" t="s">
        <v>5667</v>
      </c>
    </row>
    <row r="621" spans="1:11" ht="15.75" customHeight="1">
      <c r="A621" s="159" t="s">
        <v>5096</v>
      </c>
      <c r="B621" s="212" t="s">
        <v>266</v>
      </c>
      <c r="C621" s="2" t="s">
        <v>5104</v>
      </c>
      <c r="D621" s="2" t="s">
        <v>5915</v>
      </c>
      <c r="E621" s="2" t="s">
        <v>5692</v>
      </c>
      <c r="G621" s="2">
        <v>53</v>
      </c>
      <c r="K621" s="211" t="s">
        <v>5667</v>
      </c>
    </row>
    <row r="622" spans="1:11" ht="15.75" customHeight="1">
      <c r="A622" s="159" t="s">
        <v>5096</v>
      </c>
      <c r="B622" s="212" t="s">
        <v>266</v>
      </c>
      <c r="C622" s="2" t="s">
        <v>5104</v>
      </c>
      <c r="D622" s="2" t="s">
        <v>5916</v>
      </c>
      <c r="E622" s="2" t="s">
        <v>5666</v>
      </c>
      <c r="K622" s="211" t="s">
        <v>5667</v>
      </c>
    </row>
    <row r="623" spans="1:11" ht="15.75" customHeight="1">
      <c r="A623" s="159" t="s">
        <v>5096</v>
      </c>
      <c r="B623" s="212" t="s">
        <v>266</v>
      </c>
      <c r="C623" s="2" t="s">
        <v>5104</v>
      </c>
      <c r="D623" s="2" t="s">
        <v>5917</v>
      </c>
      <c r="E623" s="2" t="s">
        <v>5666</v>
      </c>
      <c r="K623" s="211" t="s">
        <v>5667</v>
      </c>
    </row>
    <row r="624" spans="1:11" ht="15.75" customHeight="1">
      <c r="A624" s="159" t="s">
        <v>5096</v>
      </c>
      <c r="B624" s="212" t="s">
        <v>266</v>
      </c>
      <c r="C624" s="2" t="s">
        <v>5104</v>
      </c>
      <c r="D624" s="2" t="s">
        <v>5918</v>
      </c>
      <c r="E624" s="2" t="s">
        <v>5664</v>
      </c>
      <c r="G624" s="2">
        <v>32</v>
      </c>
      <c r="H624" s="2">
        <v>0</v>
      </c>
      <c r="K624" s="211" t="s">
        <v>5667</v>
      </c>
    </row>
    <row r="625" spans="1:11" ht="15.75" customHeight="1">
      <c r="A625" s="159" t="s">
        <v>5096</v>
      </c>
      <c r="B625" s="212" t="s">
        <v>266</v>
      </c>
      <c r="C625" s="2" t="s">
        <v>5104</v>
      </c>
      <c r="D625" s="2" t="s">
        <v>5919</v>
      </c>
      <c r="E625" s="2" t="s">
        <v>5672</v>
      </c>
      <c r="K625" s="211" t="s">
        <v>5667</v>
      </c>
    </row>
    <row r="626" spans="1:11" ht="15.75" customHeight="1">
      <c r="A626" s="159" t="s">
        <v>5096</v>
      </c>
      <c r="B626" s="212" t="s">
        <v>266</v>
      </c>
      <c r="C626" s="2" t="s">
        <v>5104</v>
      </c>
      <c r="D626" s="2" t="s">
        <v>5920</v>
      </c>
      <c r="E626" s="2" t="s">
        <v>5672</v>
      </c>
      <c r="K626" s="211" t="s">
        <v>5667</v>
      </c>
    </row>
    <row r="627" spans="1:11" ht="15.75" customHeight="1">
      <c r="A627" s="159" t="s">
        <v>5096</v>
      </c>
      <c r="B627" s="212" t="s">
        <v>266</v>
      </c>
      <c r="C627" s="2" t="s">
        <v>5104</v>
      </c>
      <c r="D627" s="2" t="s">
        <v>5921</v>
      </c>
      <c r="E627" s="2" t="s">
        <v>5672</v>
      </c>
      <c r="K627" s="211" t="s">
        <v>5667</v>
      </c>
    </row>
    <row r="628" spans="1:11" ht="15.75" customHeight="1">
      <c r="A628" s="159" t="s">
        <v>5096</v>
      </c>
      <c r="B628" s="212" t="s">
        <v>266</v>
      </c>
      <c r="C628" s="2" t="s">
        <v>5104</v>
      </c>
      <c r="D628" s="2" t="s">
        <v>5922</v>
      </c>
      <c r="E628" s="2" t="s">
        <v>5672</v>
      </c>
      <c r="K628" s="211" t="s">
        <v>5667</v>
      </c>
    </row>
    <row r="629" spans="1:11" ht="15.75" customHeight="1">
      <c r="A629" s="159" t="s">
        <v>5096</v>
      </c>
      <c r="B629" s="212" t="s">
        <v>266</v>
      </c>
      <c r="C629" s="2" t="s">
        <v>5104</v>
      </c>
      <c r="D629" s="2" t="s">
        <v>5923</v>
      </c>
      <c r="E629" s="2" t="s">
        <v>5664</v>
      </c>
      <c r="G629" s="2">
        <v>32</v>
      </c>
      <c r="H629" s="2">
        <v>0</v>
      </c>
      <c r="K629" s="211" t="s">
        <v>5667</v>
      </c>
    </row>
    <row r="630" spans="1:11" ht="15.75" customHeight="1">
      <c r="A630" s="159" t="s">
        <v>5096</v>
      </c>
      <c r="B630" s="212" t="s">
        <v>266</v>
      </c>
      <c r="C630" s="2" t="s">
        <v>5104</v>
      </c>
      <c r="D630" s="2" t="s">
        <v>465</v>
      </c>
      <c r="E630" s="2" t="s">
        <v>5670</v>
      </c>
      <c r="K630" s="211" t="s">
        <v>5667</v>
      </c>
    </row>
    <row r="631" spans="1:11" ht="15.75" customHeight="1">
      <c r="A631" s="159" t="s">
        <v>5096</v>
      </c>
      <c r="B631" s="212" t="s">
        <v>266</v>
      </c>
      <c r="C631" s="2" t="s">
        <v>5104</v>
      </c>
      <c r="D631" s="2" t="s">
        <v>5924</v>
      </c>
      <c r="E631" s="2" t="s">
        <v>5664</v>
      </c>
      <c r="G631" s="2">
        <v>32</v>
      </c>
      <c r="H631" s="2">
        <v>0</v>
      </c>
      <c r="K631" s="211" t="s">
        <v>5667</v>
      </c>
    </row>
    <row r="632" spans="1:11" ht="15.75" customHeight="1">
      <c r="A632" s="159" t="s">
        <v>5096</v>
      </c>
      <c r="B632" s="212" t="s">
        <v>266</v>
      </c>
      <c r="C632" s="2" t="s">
        <v>5104</v>
      </c>
      <c r="D632" s="2" t="s">
        <v>3839</v>
      </c>
      <c r="E632" s="2" t="s">
        <v>5672</v>
      </c>
      <c r="K632" s="211" t="s">
        <v>5667</v>
      </c>
    </row>
    <row r="633" spans="1:11" ht="15.75" customHeight="1">
      <c r="A633" s="159" t="s">
        <v>5096</v>
      </c>
      <c r="B633" s="212" t="s">
        <v>266</v>
      </c>
      <c r="C633" s="2" t="s">
        <v>5104</v>
      </c>
      <c r="D633" s="2" t="s">
        <v>5925</v>
      </c>
      <c r="E633" s="2" t="s">
        <v>5672</v>
      </c>
      <c r="K633" s="211" t="s">
        <v>5667</v>
      </c>
    </row>
    <row r="634" spans="1:11" ht="15.75" customHeight="1">
      <c r="A634" s="159" t="s">
        <v>5096</v>
      </c>
      <c r="B634" s="212" t="s">
        <v>266</v>
      </c>
      <c r="C634" s="2" t="s">
        <v>5104</v>
      </c>
      <c r="D634" s="2" t="s">
        <v>5926</v>
      </c>
      <c r="E634" s="2" t="s">
        <v>5670</v>
      </c>
      <c r="K634" s="211" t="s">
        <v>5667</v>
      </c>
    </row>
    <row r="635" spans="1:11" ht="15.75" customHeight="1">
      <c r="A635" s="159" t="s">
        <v>5096</v>
      </c>
      <c r="B635" s="212" t="s">
        <v>266</v>
      </c>
      <c r="C635" s="2" t="s">
        <v>5104</v>
      </c>
      <c r="D635" s="2" t="s">
        <v>5927</v>
      </c>
      <c r="E635" s="2" t="s">
        <v>717</v>
      </c>
      <c r="K635" s="211" t="s">
        <v>5667</v>
      </c>
    </row>
    <row r="636" spans="1:11" ht="15.75" customHeight="1">
      <c r="A636" s="159" t="s">
        <v>5096</v>
      </c>
      <c r="B636" s="212" t="s">
        <v>266</v>
      </c>
      <c r="C636" s="2" t="s">
        <v>5104</v>
      </c>
      <c r="D636" s="2" t="s">
        <v>5928</v>
      </c>
      <c r="E636" s="2" t="s">
        <v>717</v>
      </c>
      <c r="K636" s="211" t="s">
        <v>5667</v>
      </c>
    </row>
    <row r="637" spans="1:11" ht="15.75" customHeight="1">
      <c r="A637" s="159" t="s">
        <v>5096</v>
      </c>
      <c r="B637" s="212" t="s">
        <v>266</v>
      </c>
      <c r="C637" s="2" t="s">
        <v>5104</v>
      </c>
      <c r="D637" s="2" t="s">
        <v>5929</v>
      </c>
      <c r="E637" s="2" t="s">
        <v>5670</v>
      </c>
      <c r="K637" s="211" t="s">
        <v>5667</v>
      </c>
    </row>
    <row r="638" spans="1:11" ht="15.75" customHeight="1">
      <c r="A638" s="159" t="s">
        <v>5096</v>
      </c>
      <c r="B638" s="212" t="s">
        <v>266</v>
      </c>
      <c r="C638" s="2" t="s">
        <v>5104</v>
      </c>
      <c r="D638" s="2" t="s">
        <v>5930</v>
      </c>
      <c r="E638" s="2" t="s">
        <v>5672</v>
      </c>
      <c r="K638" s="211" t="s">
        <v>5667</v>
      </c>
    </row>
    <row r="639" spans="1:11" ht="15.75" customHeight="1">
      <c r="A639" s="159" t="s">
        <v>5096</v>
      </c>
      <c r="B639" s="212" t="s">
        <v>266</v>
      </c>
      <c r="C639" s="2" t="s">
        <v>5104</v>
      </c>
      <c r="D639" s="2" t="s">
        <v>5931</v>
      </c>
      <c r="E639" s="2" t="s">
        <v>5672</v>
      </c>
      <c r="K639" s="211" t="s">
        <v>5667</v>
      </c>
    </row>
    <row r="640" spans="1:11" ht="15.75" customHeight="1">
      <c r="A640" s="159" t="s">
        <v>5096</v>
      </c>
      <c r="B640" s="212" t="s">
        <v>266</v>
      </c>
      <c r="C640" s="2" t="s">
        <v>5104</v>
      </c>
      <c r="D640" s="2" t="s">
        <v>5586</v>
      </c>
      <c r="E640" s="2" t="s">
        <v>5670</v>
      </c>
      <c r="K640" s="211" t="s">
        <v>5667</v>
      </c>
    </row>
    <row r="641" spans="1:11" ht="15.75" customHeight="1">
      <c r="A641" s="159" t="s">
        <v>5096</v>
      </c>
      <c r="B641" s="212" t="s">
        <v>266</v>
      </c>
      <c r="C641" s="2" t="s">
        <v>5104</v>
      </c>
      <c r="D641" s="2" t="s">
        <v>5932</v>
      </c>
      <c r="E641" s="2" t="s">
        <v>5692</v>
      </c>
      <c r="G641" s="2">
        <v>53</v>
      </c>
      <c r="K641" s="211" t="s">
        <v>5667</v>
      </c>
    </row>
    <row r="642" spans="1:11" ht="15.75" customHeight="1">
      <c r="A642" s="159" t="s">
        <v>5096</v>
      </c>
      <c r="B642" s="212" t="s">
        <v>266</v>
      </c>
      <c r="C642" s="2" t="s">
        <v>5104</v>
      </c>
      <c r="D642" s="2" t="s">
        <v>5933</v>
      </c>
      <c r="E642" s="2" t="s">
        <v>5664</v>
      </c>
      <c r="G642" s="2">
        <v>32</v>
      </c>
      <c r="H642" s="2">
        <v>0</v>
      </c>
      <c r="K642" s="211" t="s">
        <v>5667</v>
      </c>
    </row>
    <row r="643" spans="1:11" ht="15.75" customHeight="1">
      <c r="A643" s="159" t="s">
        <v>5096</v>
      </c>
      <c r="B643" s="212" t="s">
        <v>266</v>
      </c>
      <c r="C643" s="2" t="s">
        <v>5104</v>
      </c>
      <c r="D643" s="2" t="s">
        <v>5934</v>
      </c>
      <c r="E643" s="2" t="s">
        <v>5666</v>
      </c>
      <c r="K643" s="211" t="s">
        <v>5667</v>
      </c>
    </row>
    <row r="644" spans="1:11" ht="15.75" customHeight="1">
      <c r="A644" s="159" t="s">
        <v>5096</v>
      </c>
      <c r="B644" s="212" t="s">
        <v>266</v>
      </c>
      <c r="C644" s="2" t="s">
        <v>5104</v>
      </c>
      <c r="D644" s="2" t="s">
        <v>5643</v>
      </c>
      <c r="E644" s="2" t="s">
        <v>5666</v>
      </c>
      <c r="K644" s="211" t="s">
        <v>5667</v>
      </c>
    </row>
    <row r="645" spans="1:11" ht="15.75" customHeight="1">
      <c r="A645" s="159" t="s">
        <v>5096</v>
      </c>
      <c r="B645" s="212" t="s">
        <v>266</v>
      </c>
      <c r="C645" s="2" t="s">
        <v>5104</v>
      </c>
      <c r="D645" s="2" t="s">
        <v>5935</v>
      </c>
      <c r="E645" s="2" t="s">
        <v>5672</v>
      </c>
      <c r="K645" s="211" t="s">
        <v>5667</v>
      </c>
    </row>
    <row r="646" spans="1:11" ht="15.75" customHeight="1">
      <c r="A646" s="159" t="s">
        <v>5096</v>
      </c>
      <c r="B646" s="212" t="s">
        <v>266</v>
      </c>
      <c r="C646" s="2" t="s">
        <v>5104</v>
      </c>
      <c r="D646" s="2" t="s">
        <v>5936</v>
      </c>
      <c r="E646" s="2" t="s">
        <v>5664</v>
      </c>
      <c r="G646" s="2">
        <v>32</v>
      </c>
      <c r="H646" s="2">
        <v>0</v>
      </c>
      <c r="K646" s="211" t="s">
        <v>5667</v>
      </c>
    </row>
    <row r="647" spans="1:11" ht="15.75" customHeight="1">
      <c r="A647" s="159" t="s">
        <v>5096</v>
      </c>
      <c r="B647" s="212" t="s">
        <v>266</v>
      </c>
      <c r="C647" s="2" t="s">
        <v>5104</v>
      </c>
      <c r="D647" s="2" t="s">
        <v>5937</v>
      </c>
      <c r="E647" s="2" t="s">
        <v>5666</v>
      </c>
      <c r="K647" s="211" t="s">
        <v>5667</v>
      </c>
    </row>
    <row r="648" spans="1:11" ht="15.75" customHeight="1">
      <c r="A648" s="159" t="s">
        <v>5096</v>
      </c>
      <c r="B648" s="212" t="s">
        <v>266</v>
      </c>
      <c r="C648" s="2" t="s">
        <v>5104</v>
      </c>
      <c r="D648" s="2" t="s">
        <v>5938</v>
      </c>
      <c r="E648" s="2" t="s">
        <v>5666</v>
      </c>
      <c r="K648" s="211" t="s">
        <v>5667</v>
      </c>
    </row>
    <row r="649" spans="1:11" ht="15.75" customHeight="1">
      <c r="A649" s="159" t="s">
        <v>5096</v>
      </c>
      <c r="B649" s="212" t="s">
        <v>266</v>
      </c>
      <c r="C649" s="2" t="s">
        <v>5104</v>
      </c>
      <c r="D649" s="2" t="s">
        <v>5939</v>
      </c>
      <c r="E649" s="2" t="s">
        <v>5666</v>
      </c>
      <c r="K649" s="211" t="s">
        <v>5667</v>
      </c>
    </row>
    <row r="650" spans="1:11" ht="15.75" customHeight="1">
      <c r="A650" s="159" t="s">
        <v>5096</v>
      </c>
      <c r="B650" s="212" t="s">
        <v>266</v>
      </c>
      <c r="C650" s="2" t="s">
        <v>5104</v>
      </c>
      <c r="D650" s="2" t="s">
        <v>5940</v>
      </c>
      <c r="E650" s="2" t="s">
        <v>1974</v>
      </c>
      <c r="K650" s="211" t="s">
        <v>5667</v>
      </c>
    </row>
    <row r="651" spans="1:11" ht="15.75" customHeight="1">
      <c r="A651" s="159" t="s">
        <v>5096</v>
      </c>
      <c r="B651" s="159" t="s">
        <v>415</v>
      </c>
      <c r="C651" s="2" t="s">
        <v>5105</v>
      </c>
      <c r="D651" s="2" t="s">
        <v>3897</v>
      </c>
      <c r="E651" s="2" t="s">
        <v>5664</v>
      </c>
      <c r="G651" s="2">
        <v>32</v>
      </c>
      <c r="H651" s="2">
        <v>0</v>
      </c>
      <c r="K651" s="211" t="s">
        <v>5665</v>
      </c>
    </row>
    <row r="652" spans="1:11" ht="15.75" customHeight="1">
      <c r="A652" s="159" t="s">
        <v>5096</v>
      </c>
      <c r="B652" s="159" t="s">
        <v>415</v>
      </c>
      <c r="C652" s="2" t="s">
        <v>5105</v>
      </c>
      <c r="D652" s="2" t="s">
        <v>5668</v>
      </c>
      <c r="E652" s="2" t="s">
        <v>3893</v>
      </c>
      <c r="K652" s="211" t="s">
        <v>5667</v>
      </c>
    </row>
    <row r="653" spans="1:11" ht="15.75" customHeight="1">
      <c r="A653" s="159" t="s">
        <v>5096</v>
      </c>
      <c r="B653" s="159" t="s">
        <v>415</v>
      </c>
      <c r="C653" s="2" t="s">
        <v>5105</v>
      </c>
      <c r="D653" s="2" t="s">
        <v>5941</v>
      </c>
      <c r="E653" s="2" t="s">
        <v>1974</v>
      </c>
      <c r="K653" s="211" t="s">
        <v>5667</v>
      </c>
    </row>
    <row r="654" spans="1:11" ht="15.75" customHeight="1">
      <c r="A654" s="159" t="s">
        <v>5096</v>
      </c>
      <c r="B654" s="159" t="s">
        <v>415</v>
      </c>
      <c r="C654" s="2" t="s">
        <v>5105</v>
      </c>
      <c r="D654" s="2" t="s">
        <v>184</v>
      </c>
      <c r="E654" s="2" t="s">
        <v>5670</v>
      </c>
      <c r="K654" s="211" t="s">
        <v>5667</v>
      </c>
    </row>
    <row r="655" spans="1:11" ht="15.75" customHeight="1">
      <c r="A655" s="159" t="s">
        <v>5096</v>
      </c>
      <c r="B655" s="159" t="s">
        <v>415</v>
      </c>
      <c r="C655" s="2" t="s">
        <v>5105</v>
      </c>
      <c r="D655" s="2" t="s">
        <v>5942</v>
      </c>
      <c r="E655" s="2" t="s">
        <v>5664</v>
      </c>
      <c r="G655" s="2">
        <v>32</v>
      </c>
      <c r="H655" s="2">
        <v>0</v>
      </c>
      <c r="K655" s="211" t="s">
        <v>5667</v>
      </c>
    </row>
    <row r="656" spans="1:11" ht="15.75" customHeight="1">
      <c r="A656" s="159" t="s">
        <v>5096</v>
      </c>
      <c r="B656" s="159" t="s">
        <v>415</v>
      </c>
      <c r="C656" s="2" t="s">
        <v>5105</v>
      </c>
      <c r="D656" s="2" t="s">
        <v>5717</v>
      </c>
      <c r="E656" s="2" t="s">
        <v>5666</v>
      </c>
      <c r="K656" s="211" t="s">
        <v>5667</v>
      </c>
    </row>
    <row r="657" spans="1:11" ht="15.75" customHeight="1">
      <c r="A657" s="159" t="s">
        <v>5096</v>
      </c>
      <c r="B657" s="159" t="s">
        <v>415</v>
      </c>
      <c r="C657" s="2" t="s">
        <v>5105</v>
      </c>
      <c r="D657" s="2" t="s">
        <v>5943</v>
      </c>
      <c r="E657" s="2" t="s">
        <v>5664</v>
      </c>
      <c r="G657" s="2">
        <v>32</v>
      </c>
      <c r="H657" s="2">
        <v>0</v>
      </c>
      <c r="K657" s="211" t="s">
        <v>5665</v>
      </c>
    </row>
    <row r="658" spans="1:11" ht="15.75" customHeight="1">
      <c r="A658" s="159" t="s">
        <v>5096</v>
      </c>
      <c r="B658" s="159" t="s">
        <v>415</v>
      </c>
      <c r="C658" s="2" t="s">
        <v>5105</v>
      </c>
      <c r="D658" s="2" t="s">
        <v>5944</v>
      </c>
      <c r="E658" s="2" t="s">
        <v>717</v>
      </c>
      <c r="K658" s="211" t="s">
        <v>5667</v>
      </c>
    </row>
    <row r="659" spans="1:11" ht="15.75" customHeight="1">
      <c r="A659" s="159" t="s">
        <v>5096</v>
      </c>
      <c r="B659" s="159" t="s">
        <v>415</v>
      </c>
      <c r="C659" s="2" t="s">
        <v>5105</v>
      </c>
      <c r="D659" s="2" t="s">
        <v>5945</v>
      </c>
      <c r="E659" s="2" t="s">
        <v>717</v>
      </c>
      <c r="K659" s="211" t="s">
        <v>5667</v>
      </c>
    </row>
    <row r="660" spans="1:11" ht="15.75" customHeight="1">
      <c r="A660" s="159" t="s">
        <v>5096</v>
      </c>
      <c r="B660" s="159" t="s">
        <v>415</v>
      </c>
      <c r="C660" s="2" t="s">
        <v>5105</v>
      </c>
      <c r="D660" s="2" t="s">
        <v>5774</v>
      </c>
      <c r="E660" s="2" t="s">
        <v>5664</v>
      </c>
      <c r="G660" s="2">
        <v>32</v>
      </c>
      <c r="H660" s="2">
        <v>0</v>
      </c>
      <c r="K660" s="211" t="s">
        <v>5665</v>
      </c>
    </row>
    <row r="661" spans="1:11" ht="15.75" customHeight="1">
      <c r="A661" s="159" t="s">
        <v>5096</v>
      </c>
      <c r="B661" s="159" t="s">
        <v>415</v>
      </c>
      <c r="C661" s="2" t="s">
        <v>5105</v>
      </c>
      <c r="D661" s="2" t="s">
        <v>5691</v>
      </c>
      <c r="E661" s="2" t="s">
        <v>5664</v>
      </c>
      <c r="G661" s="2">
        <v>32</v>
      </c>
      <c r="H661" s="2">
        <v>0</v>
      </c>
      <c r="K661" s="211" t="s">
        <v>5667</v>
      </c>
    </row>
    <row r="662" spans="1:11" ht="15.75" customHeight="1">
      <c r="A662" s="159" t="s">
        <v>5096</v>
      </c>
      <c r="B662" s="159" t="s">
        <v>415</v>
      </c>
      <c r="C662" s="2" t="s">
        <v>5105</v>
      </c>
      <c r="D662" s="2" t="s">
        <v>5946</v>
      </c>
      <c r="E662" s="2" t="s">
        <v>717</v>
      </c>
      <c r="K662" s="211" t="s">
        <v>5667</v>
      </c>
    </row>
    <row r="663" spans="1:11" ht="15.75" customHeight="1">
      <c r="A663" s="159" t="s">
        <v>5096</v>
      </c>
      <c r="B663" s="159" t="s">
        <v>415</v>
      </c>
      <c r="C663" s="2" t="s">
        <v>5105</v>
      </c>
      <c r="D663" s="2" t="s">
        <v>5947</v>
      </c>
      <c r="E663" s="2" t="s">
        <v>5666</v>
      </c>
      <c r="K663" s="211" t="s">
        <v>5667</v>
      </c>
    </row>
    <row r="664" spans="1:11" ht="15.75" customHeight="1">
      <c r="A664" s="159" t="s">
        <v>5096</v>
      </c>
      <c r="B664" s="159" t="s">
        <v>415</v>
      </c>
      <c r="C664" s="2" t="s">
        <v>5105</v>
      </c>
      <c r="D664" s="2" t="s">
        <v>5948</v>
      </c>
      <c r="E664" s="2" t="s">
        <v>717</v>
      </c>
      <c r="K664" s="211" t="s">
        <v>5667</v>
      </c>
    </row>
    <row r="665" spans="1:11" ht="15.75" customHeight="1">
      <c r="A665" s="159" t="s">
        <v>5096</v>
      </c>
      <c r="B665" s="159" t="s">
        <v>415</v>
      </c>
      <c r="C665" s="2" t="s">
        <v>5105</v>
      </c>
      <c r="D665" s="2" t="s">
        <v>5949</v>
      </c>
      <c r="E665" s="2" t="s">
        <v>717</v>
      </c>
      <c r="K665" s="211" t="s">
        <v>5667</v>
      </c>
    </row>
    <row r="666" spans="1:11" ht="15.75" customHeight="1">
      <c r="A666" s="159" t="s">
        <v>5096</v>
      </c>
      <c r="B666" s="159" t="s">
        <v>415</v>
      </c>
      <c r="C666" s="2" t="s">
        <v>5105</v>
      </c>
      <c r="D666" s="2" t="s">
        <v>5698</v>
      </c>
      <c r="E666" s="2" t="s">
        <v>5670</v>
      </c>
      <c r="K666" s="211" t="s">
        <v>5667</v>
      </c>
    </row>
    <row r="667" spans="1:11" ht="15.75" customHeight="1">
      <c r="A667" s="159" t="s">
        <v>5096</v>
      </c>
      <c r="B667" s="159" t="s">
        <v>415</v>
      </c>
      <c r="C667" s="2" t="s">
        <v>5105</v>
      </c>
      <c r="D667" s="2" t="s">
        <v>1822</v>
      </c>
      <c r="E667" s="2" t="s">
        <v>5664</v>
      </c>
      <c r="G667" s="2">
        <v>32</v>
      </c>
      <c r="H667" s="2">
        <v>0</v>
      </c>
      <c r="K667" s="211" t="s">
        <v>5665</v>
      </c>
    </row>
    <row r="668" spans="1:11" ht="15.75" customHeight="1">
      <c r="A668" s="159" t="s">
        <v>5096</v>
      </c>
      <c r="B668" s="159" t="s">
        <v>415</v>
      </c>
      <c r="C668" s="2" t="s">
        <v>5105</v>
      </c>
      <c r="D668" s="2" t="s">
        <v>5802</v>
      </c>
      <c r="E668" s="2" t="s">
        <v>717</v>
      </c>
      <c r="K668" s="211" t="s">
        <v>5667</v>
      </c>
    </row>
    <row r="669" spans="1:11" ht="15.75" customHeight="1">
      <c r="A669" s="159" t="s">
        <v>5096</v>
      </c>
      <c r="B669" s="159" t="s">
        <v>415</v>
      </c>
      <c r="C669" s="2" t="s">
        <v>5105</v>
      </c>
      <c r="D669" s="2" t="s">
        <v>5776</v>
      </c>
      <c r="E669" s="2" t="s">
        <v>5666</v>
      </c>
      <c r="K669" s="211" t="s">
        <v>5667</v>
      </c>
    </row>
    <row r="670" spans="1:11" ht="15.75" customHeight="1">
      <c r="A670" s="159" t="s">
        <v>5096</v>
      </c>
      <c r="B670" s="159" t="s">
        <v>415</v>
      </c>
      <c r="C670" s="2" t="s">
        <v>5105</v>
      </c>
      <c r="D670" s="2" t="s">
        <v>5950</v>
      </c>
      <c r="E670" s="2" t="s">
        <v>5664</v>
      </c>
      <c r="G670" s="2">
        <v>32</v>
      </c>
      <c r="H670" s="2">
        <v>0</v>
      </c>
      <c r="K670" s="211" t="s">
        <v>5667</v>
      </c>
    </row>
    <row r="671" spans="1:11" ht="15.75" customHeight="1">
      <c r="A671" s="159" t="s">
        <v>5096</v>
      </c>
      <c r="B671" s="159" t="s">
        <v>415</v>
      </c>
      <c r="C671" s="2" t="s">
        <v>5105</v>
      </c>
      <c r="D671" s="2" t="s">
        <v>5609</v>
      </c>
      <c r="E671" s="2" t="s">
        <v>5666</v>
      </c>
      <c r="K671" s="211" t="s">
        <v>5667</v>
      </c>
    </row>
    <row r="672" spans="1:11" ht="15.75" customHeight="1">
      <c r="A672" s="159" t="s">
        <v>5096</v>
      </c>
      <c r="B672" s="159" t="s">
        <v>415</v>
      </c>
      <c r="C672" s="2" t="s">
        <v>5105</v>
      </c>
      <c r="D672" s="2" t="s">
        <v>5951</v>
      </c>
      <c r="E672" s="2" t="s">
        <v>5672</v>
      </c>
      <c r="K672" s="211" t="s">
        <v>5667</v>
      </c>
    </row>
    <row r="673" spans="1:11" ht="15.75" customHeight="1">
      <c r="A673" s="159" t="s">
        <v>5096</v>
      </c>
      <c r="B673" s="159" t="s">
        <v>415</v>
      </c>
      <c r="C673" s="2" t="s">
        <v>5105</v>
      </c>
      <c r="D673" s="2" t="s">
        <v>174</v>
      </c>
      <c r="E673" s="2" t="s">
        <v>5664</v>
      </c>
      <c r="G673" s="2">
        <v>32</v>
      </c>
      <c r="H673" s="2">
        <v>0</v>
      </c>
      <c r="K673" s="211" t="s">
        <v>5665</v>
      </c>
    </row>
    <row r="674" spans="1:11" ht="15.75" customHeight="1">
      <c r="A674" s="159" t="s">
        <v>5096</v>
      </c>
      <c r="B674" s="159" t="s">
        <v>415</v>
      </c>
      <c r="C674" s="2" t="s">
        <v>5105</v>
      </c>
      <c r="D674" s="2" t="s">
        <v>5952</v>
      </c>
      <c r="E674" s="2" t="s">
        <v>5672</v>
      </c>
      <c r="K674" s="211" t="s">
        <v>5667</v>
      </c>
    </row>
    <row r="675" spans="1:11" ht="15.75" customHeight="1">
      <c r="A675" s="159" t="s">
        <v>5096</v>
      </c>
      <c r="B675" s="159" t="s">
        <v>415</v>
      </c>
      <c r="C675" s="2" t="s">
        <v>5105</v>
      </c>
      <c r="D675" s="2" t="s">
        <v>5953</v>
      </c>
      <c r="E675" s="2" t="s">
        <v>5666</v>
      </c>
      <c r="K675" s="211" t="s">
        <v>5667</v>
      </c>
    </row>
    <row r="676" spans="1:11" ht="15.75" customHeight="1">
      <c r="A676" s="159" t="s">
        <v>5096</v>
      </c>
      <c r="B676" s="159" t="s">
        <v>415</v>
      </c>
      <c r="C676" s="2" t="s">
        <v>5105</v>
      </c>
      <c r="D676" s="2" t="s">
        <v>5954</v>
      </c>
      <c r="E676" s="2" t="s">
        <v>5666</v>
      </c>
      <c r="K676" s="211" t="s">
        <v>5667</v>
      </c>
    </row>
    <row r="677" spans="1:11" ht="15.75" customHeight="1">
      <c r="A677" s="159" t="s">
        <v>5096</v>
      </c>
      <c r="B677" s="159" t="s">
        <v>415</v>
      </c>
      <c r="C677" s="2" t="s">
        <v>5105</v>
      </c>
      <c r="D677" s="2" t="s">
        <v>5955</v>
      </c>
      <c r="E677" s="2" t="s">
        <v>5666</v>
      </c>
      <c r="K677" s="211" t="s">
        <v>5665</v>
      </c>
    </row>
    <row r="678" spans="1:11" ht="15.75" customHeight="1">
      <c r="A678" s="159" t="s">
        <v>5096</v>
      </c>
      <c r="B678" s="159" t="s">
        <v>415</v>
      </c>
      <c r="C678" s="2" t="s">
        <v>5105</v>
      </c>
      <c r="D678" s="2" t="s">
        <v>5956</v>
      </c>
      <c r="E678" s="2" t="s">
        <v>1974</v>
      </c>
      <c r="K678" s="211" t="s">
        <v>5667</v>
      </c>
    </row>
    <row r="679" spans="1:11" ht="15.75" customHeight="1">
      <c r="A679" s="159" t="s">
        <v>5096</v>
      </c>
      <c r="B679" s="159" t="s">
        <v>415</v>
      </c>
      <c r="C679" s="2" t="s">
        <v>5105</v>
      </c>
      <c r="D679" s="2" t="s">
        <v>5957</v>
      </c>
      <c r="E679" s="2" t="s">
        <v>5664</v>
      </c>
      <c r="G679" s="2">
        <v>32</v>
      </c>
      <c r="H679" s="2">
        <v>0</v>
      </c>
      <c r="K679" s="211" t="s">
        <v>5667</v>
      </c>
    </row>
    <row r="680" spans="1:11" ht="15.75" customHeight="1">
      <c r="A680" s="159" t="s">
        <v>5096</v>
      </c>
      <c r="B680" s="159" t="s">
        <v>415</v>
      </c>
      <c r="C680" s="2" t="s">
        <v>5105</v>
      </c>
      <c r="D680" s="2" t="s">
        <v>5687</v>
      </c>
      <c r="E680" s="2" t="s">
        <v>5670</v>
      </c>
      <c r="K680" s="211" t="s">
        <v>5667</v>
      </c>
    </row>
    <row r="681" spans="1:11" ht="15.75" customHeight="1">
      <c r="A681" s="159" t="s">
        <v>5096</v>
      </c>
      <c r="B681" s="159" t="s">
        <v>415</v>
      </c>
      <c r="C681" s="2" t="s">
        <v>5105</v>
      </c>
      <c r="D681" s="2" t="s">
        <v>5958</v>
      </c>
      <c r="E681" s="2" t="s">
        <v>717</v>
      </c>
      <c r="K681" s="211" t="s">
        <v>5667</v>
      </c>
    </row>
    <row r="682" spans="1:11" ht="15.75" customHeight="1">
      <c r="A682" s="159" t="s">
        <v>5096</v>
      </c>
      <c r="B682" s="159" t="s">
        <v>415</v>
      </c>
      <c r="C682" s="2" t="s">
        <v>5105</v>
      </c>
      <c r="D682" s="2" t="s">
        <v>1974</v>
      </c>
      <c r="E682" s="2" t="s">
        <v>1974</v>
      </c>
      <c r="K682" s="211" t="s">
        <v>5667</v>
      </c>
    </row>
    <row r="683" spans="1:11" ht="15.75" customHeight="1">
      <c r="A683" s="159" t="s">
        <v>5096</v>
      </c>
      <c r="B683" s="159" t="s">
        <v>415</v>
      </c>
      <c r="C683" s="2" t="s">
        <v>5105</v>
      </c>
      <c r="D683" s="2" t="s">
        <v>5693</v>
      </c>
      <c r="E683" s="2" t="s">
        <v>5664</v>
      </c>
      <c r="G683" s="2">
        <v>32</v>
      </c>
      <c r="H683" s="2">
        <v>0</v>
      </c>
      <c r="K683" s="211" t="s">
        <v>5667</v>
      </c>
    </row>
    <row r="684" spans="1:11" ht="15.75" customHeight="1">
      <c r="A684" s="159" t="s">
        <v>5096</v>
      </c>
      <c r="B684" s="159" t="s">
        <v>415</v>
      </c>
      <c r="C684" s="2" t="s">
        <v>5105</v>
      </c>
      <c r="D684" s="2" t="s">
        <v>5689</v>
      </c>
      <c r="E684" s="2" t="s">
        <v>5664</v>
      </c>
      <c r="G684" s="2">
        <v>32</v>
      </c>
      <c r="H684" s="2">
        <v>0</v>
      </c>
      <c r="K684" s="211" t="s">
        <v>5667</v>
      </c>
    </row>
    <row r="685" spans="1:11" ht="15.75" customHeight="1">
      <c r="A685" s="159" t="s">
        <v>5096</v>
      </c>
      <c r="B685" s="159" t="s">
        <v>415</v>
      </c>
      <c r="C685" s="2" t="s">
        <v>5105</v>
      </c>
      <c r="D685" s="2" t="s">
        <v>5795</v>
      </c>
      <c r="E685" s="2" t="s">
        <v>5664</v>
      </c>
      <c r="G685" s="2">
        <v>32</v>
      </c>
      <c r="H685" s="2">
        <v>0</v>
      </c>
      <c r="K685" s="211" t="s">
        <v>5667</v>
      </c>
    </row>
    <row r="686" spans="1:11" ht="15.75" customHeight="1">
      <c r="A686" s="159" t="s">
        <v>5096</v>
      </c>
      <c r="B686" s="159" t="s">
        <v>415</v>
      </c>
      <c r="C686" s="2" t="s">
        <v>5105</v>
      </c>
      <c r="D686" s="2" t="s">
        <v>5810</v>
      </c>
      <c r="E686" s="2" t="s">
        <v>717</v>
      </c>
      <c r="K686" s="211" t="s">
        <v>5667</v>
      </c>
    </row>
    <row r="687" spans="1:11" ht="15.75" customHeight="1">
      <c r="A687" s="159" t="s">
        <v>5096</v>
      </c>
      <c r="B687" s="159" t="s">
        <v>415</v>
      </c>
      <c r="C687" s="2" t="s">
        <v>5105</v>
      </c>
      <c r="D687" s="2" t="s">
        <v>5959</v>
      </c>
      <c r="E687" s="2" t="s">
        <v>717</v>
      </c>
      <c r="K687" s="211" t="s">
        <v>5667</v>
      </c>
    </row>
    <row r="688" spans="1:11" ht="15.75" customHeight="1">
      <c r="A688" s="159" t="s">
        <v>5096</v>
      </c>
      <c r="B688" s="159" t="s">
        <v>415</v>
      </c>
      <c r="C688" s="2" t="s">
        <v>5105</v>
      </c>
      <c r="D688" s="2" t="s">
        <v>5960</v>
      </c>
      <c r="E688" s="2" t="s">
        <v>5664</v>
      </c>
      <c r="G688" s="2">
        <v>32</v>
      </c>
      <c r="H688" s="2">
        <v>0</v>
      </c>
      <c r="K688" s="211" t="s">
        <v>5665</v>
      </c>
    </row>
    <row r="689" spans="1:11" ht="15.75" customHeight="1">
      <c r="A689" s="159" t="s">
        <v>5096</v>
      </c>
      <c r="B689" s="159" t="s">
        <v>415</v>
      </c>
      <c r="C689" s="2" t="s">
        <v>5105</v>
      </c>
      <c r="D689" s="2" t="s">
        <v>5961</v>
      </c>
      <c r="E689" s="2" t="s">
        <v>5664</v>
      </c>
      <c r="G689" s="2">
        <v>32</v>
      </c>
      <c r="H689" s="2">
        <v>0</v>
      </c>
      <c r="K689" s="211" t="s">
        <v>5667</v>
      </c>
    </row>
    <row r="690" spans="1:11" ht="15.75" customHeight="1">
      <c r="A690" s="159" t="s">
        <v>5096</v>
      </c>
      <c r="B690" s="159" t="s">
        <v>415</v>
      </c>
      <c r="C690" s="2" t="s">
        <v>5105</v>
      </c>
      <c r="D690" s="2" t="s">
        <v>156</v>
      </c>
      <c r="E690" s="2" t="s">
        <v>5666</v>
      </c>
      <c r="K690" s="211" t="s">
        <v>5667</v>
      </c>
    </row>
    <row r="691" spans="1:11" ht="15.75" customHeight="1">
      <c r="A691" s="159" t="s">
        <v>5096</v>
      </c>
      <c r="B691" s="159" t="s">
        <v>415</v>
      </c>
      <c r="C691" s="2" t="s">
        <v>5105</v>
      </c>
      <c r="D691" s="2" t="s">
        <v>5696</v>
      </c>
      <c r="E691" s="2" t="s">
        <v>5664</v>
      </c>
      <c r="G691" s="2">
        <v>32</v>
      </c>
      <c r="H691" s="2">
        <v>0</v>
      </c>
      <c r="K691" s="211" t="s">
        <v>5667</v>
      </c>
    </row>
    <row r="692" spans="1:11" ht="15.75" customHeight="1">
      <c r="A692" s="159" t="s">
        <v>5096</v>
      </c>
      <c r="B692" s="159" t="s">
        <v>415</v>
      </c>
      <c r="C692" s="2" t="s">
        <v>5105</v>
      </c>
      <c r="D692" s="2" t="s">
        <v>5962</v>
      </c>
      <c r="E692" s="2" t="s">
        <v>5664</v>
      </c>
      <c r="G692" s="2">
        <v>32</v>
      </c>
      <c r="H692" s="2">
        <v>0</v>
      </c>
      <c r="K692" s="211" t="s">
        <v>5667</v>
      </c>
    </row>
    <row r="693" spans="1:11" ht="15.75" customHeight="1">
      <c r="A693" s="159" t="s">
        <v>5096</v>
      </c>
      <c r="B693" s="159" t="s">
        <v>415</v>
      </c>
      <c r="C693" s="2" t="s">
        <v>5105</v>
      </c>
      <c r="D693" s="2" t="s">
        <v>377</v>
      </c>
      <c r="E693" s="2" t="s">
        <v>5664</v>
      </c>
      <c r="G693" s="2">
        <v>32</v>
      </c>
      <c r="H693" s="2">
        <v>0</v>
      </c>
      <c r="K693" s="211" t="s">
        <v>5667</v>
      </c>
    </row>
    <row r="694" spans="1:11" ht="15.75" customHeight="1">
      <c r="A694" s="159" t="s">
        <v>5096</v>
      </c>
      <c r="B694" s="159" t="s">
        <v>415</v>
      </c>
      <c r="C694" s="2" t="s">
        <v>5105</v>
      </c>
      <c r="D694" s="2" t="s">
        <v>5963</v>
      </c>
      <c r="E694" s="2" t="s">
        <v>5664</v>
      </c>
      <c r="G694" s="2">
        <v>32</v>
      </c>
      <c r="H694" s="2">
        <v>0</v>
      </c>
      <c r="K694" s="211" t="s">
        <v>5667</v>
      </c>
    </row>
    <row r="695" spans="1:11" ht="15.75" customHeight="1">
      <c r="A695" s="159" t="s">
        <v>5096</v>
      </c>
      <c r="B695" s="159" t="s">
        <v>415</v>
      </c>
      <c r="C695" s="2" t="s">
        <v>5105</v>
      </c>
      <c r="D695" s="2" t="s">
        <v>5964</v>
      </c>
      <c r="E695" s="2" t="s">
        <v>5664</v>
      </c>
      <c r="G695" s="2">
        <v>32</v>
      </c>
      <c r="H695" s="2">
        <v>0</v>
      </c>
      <c r="K695" s="211" t="s">
        <v>5667</v>
      </c>
    </row>
    <row r="696" spans="1:11" ht="15.75" customHeight="1">
      <c r="A696" s="159" t="s">
        <v>5096</v>
      </c>
      <c r="B696" s="159" t="s">
        <v>415</v>
      </c>
      <c r="C696" s="2" t="s">
        <v>5105</v>
      </c>
      <c r="D696" s="2" t="s">
        <v>5843</v>
      </c>
      <c r="E696" s="2" t="s">
        <v>5692</v>
      </c>
      <c r="G696" s="2">
        <v>53</v>
      </c>
      <c r="K696" s="211" t="s">
        <v>5667</v>
      </c>
    </row>
    <row r="697" spans="1:11" ht="15.75" customHeight="1">
      <c r="A697" s="159" t="s">
        <v>5096</v>
      </c>
      <c r="B697" s="159" t="s">
        <v>415</v>
      </c>
      <c r="C697" s="2" t="s">
        <v>5105</v>
      </c>
      <c r="D697" s="2" t="s">
        <v>5965</v>
      </c>
      <c r="E697" s="2" t="s">
        <v>5664</v>
      </c>
      <c r="G697" s="2">
        <v>32</v>
      </c>
      <c r="H697" s="2">
        <v>0</v>
      </c>
      <c r="K697" s="211" t="s">
        <v>5667</v>
      </c>
    </row>
    <row r="698" spans="1:11" ht="15.75" customHeight="1">
      <c r="A698" s="159" t="s">
        <v>5096</v>
      </c>
      <c r="B698" s="159" t="s">
        <v>415</v>
      </c>
      <c r="C698" s="2" t="s">
        <v>5105</v>
      </c>
      <c r="D698" s="2" t="s">
        <v>5966</v>
      </c>
      <c r="E698" s="2" t="s">
        <v>5664</v>
      </c>
      <c r="G698" s="2">
        <v>32</v>
      </c>
      <c r="H698" s="2">
        <v>0</v>
      </c>
      <c r="K698" s="211" t="s">
        <v>5667</v>
      </c>
    </row>
    <row r="699" spans="1:11" ht="15.75" customHeight="1">
      <c r="A699" s="159" t="s">
        <v>5096</v>
      </c>
      <c r="B699" s="159" t="s">
        <v>415</v>
      </c>
      <c r="C699" s="2" t="s">
        <v>5105</v>
      </c>
      <c r="D699" s="2" t="s">
        <v>5967</v>
      </c>
      <c r="E699" s="2" t="s">
        <v>5664</v>
      </c>
      <c r="G699" s="2">
        <v>32</v>
      </c>
      <c r="H699" s="2">
        <v>0</v>
      </c>
      <c r="K699" s="211" t="s">
        <v>5667</v>
      </c>
    </row>
    <row r="700" spans="1:11" ht="15.75" customHeight="1">
      <c r="A700" s="159" t="s">
        <v>5096</v>
      </c>
      <c r="B700" s="159" t="s">
        <v>415</v>
      </c>
      <c r="C700" s="2" t="s">
        <v>5105</v>
      </c>
      <c r="D700" s="2" t="s">
        <v>5968</v>
      </c>
      <c r="E700" s="2" t="s">
        <v>5672</v>
      </c>
      <c r="K700" s="211" t="s">
        <v>5667</v>
      </c>
    </row>
    <row r="701" spans="1:11" ht="15.75" customHeight="1">
      <c r="A701" s="159" t="s">
        <v>5096</v>
      </c>
      <c r="B701" s="159" t="s">
        <v>415</v>
      </c>
      <c r="C701" s="2" t="s">
        <v>5105</v>
      </c>
      <c r="D701" s="2" t="s">
        <v>5820</v>
      </c>
      <c r="E701" s="2" t="s">
        <v>5664</v>
      </c>
      <c r="G701" s="2">
        <v>32</v>
      </c>
      <c r="H701" s="2">
        <v>0</v>
      </c>
      <c r="K701" s="211" t="s">
        <v>5667</v>
      </c>
    </row>
    <row r="702" spans="1:11" ht="15.75" customHeight="1">
      <c r="A702" s="159" t="s">
        <v>5096</v>
      </c>
      <c r="B702" s="159" t="s">
        <v>415</v>
      </c>
      <c r="C702" s="2" t="s">
        <v>5105</v>
      </c>
      <c r="D702" s="2" t="s">
        <v>5741</v>
      </c>
      <c r="E702" s="2" t="s">
        <v>5664</v>
      </c>
      <c r="G702" s="2">
        <v>32</v>
      </c>
      <c r="H702" s="2">
        <v>0</v>
      </c>
      <c r="K702" s="211" t="s">
        <v>5667</v>
      </c>
    </row>
    <row r="703" spans="1:11" ht="15.75" customHeight="1">
      <c r="A703" s="159" t="s">
        <v>5096</v>
      </c>
      <c r="B703" s="159" t="s">
        <v>415</v>
      </c>
      <c r="C703" s="2" t="s">
        <v>5105</v>
      </c>
      <c r="D703" s="2" t="s">
        <v>5969</v>
      </c>
      <c r="E703" s="2" t="s">
        <v>5664</v>
      </c>
      <c r="G703" s="2">
        <v>32</v>
      </c>
      <c r="H703" s="2">
        <v>0</v>
      </c>
      <c r="K703" s="211" t="s">
        <v>5667</v>
      </c>
    </row>
    <row r="704" spans="1:11" ht="15.75" customHeight="1">
      <c r="A704" s="159" t="s">
        <v>5096</v>
      </c>
      <c r="B704" s="159" t="s">
        <v>415</v>
      </c>
      <c r="C704" s="2" t="s">
        <v>5105</v>
      </c>
      <c r="D704" s="2" t="s">
        <v>5816</v>
      </c>
      <c r="E704" s="2" t="s">
        <v>717</v>
      </c>
      <c r="K704" s="211" t="s">
        <v>5667</v>
      </c>
    </row>
    <row r="705" spans="1:11" ht="15.75" customHeight="1">
      <c r="A705" s="159" t="s">
        <v>5096</v>
      </c>
      <c r="B705" s="159" t="s">
        <v>415</v>
      </c>
      <c r="C705" s="2" t="s">
        <v>5105</v>
      </c>
      <c r="D705" s="2" t="s">
        <v>5970</v>
      </c>
      <c r="E705" s="2" t="s">
        <v>5666</v>
      </c>
      <c r="K705" s="211" t="s">
        <v>5667</v>
      </c>
    </row>
    <row r="706" spans="1:11" ht="15.75" customHeight="1">
      <c r="A706" s="159" t="s">
        <v>5096</v>
      </c>
      <c r="B706" s="159" t="s">
        <v>415</v>
      </c>
      <c r="C706" s="2" t="s">
        <v>5105</v>
      </c>
      <c r="D706" s="2" t="s">
        <v>5793</v>
      </c>
      <c r="E706" s="2" t="s">
        <v>3893</v>
      </c>
      <c r="K706" s="211" t="s">
        <v>5667</v>
      </c>
    </row>
    <row r="707" spans="1:11" ht="15.75" customHeight="1">
      <c r="A707" s="159" t="s">
        <v>5096</v>
      </c>
      <c r="B707" s="159" t="s">
        <v>415</v>
      </c>
      <c r="C707" s="2" t="s">
        <v>5105</v>
      </c>
      <c r="D707" s="2" t="s">
        <v>5971</v>
      </c>
      <c r="E707" s="2" t="s">
        <v>5664</v>
      </c>
      <c r="G707" s="2">
        <v>32</v>
      </c>
      <c r="H707" s="2">
        <v>0</v>
      </c>
      <c r="K707" s="211" t="s">
        <v>5667</v>
      </c>
    </row>
    <row r="708" spans="1:11" ht="15.75" customHeight="1">
      <c r="A708" s="159" t="s">
        <v>5096</v>
      </c>
      <c r="B708" s="159" t="s">
        <v>415</v>
      </c>
      <c r="C708" s="2" t="s">
        <v>5105</v>
      </c>
      <c r="D708" s="2" t="s">
        <v>5972</v>
      </c>
      <c r="E708" s="2" t="s">
        <v>5666</v>
      </c>
      <c r="K708" s="211" t="s">
        <v>5667</v>
      </c>
    </row>
    <row r="709" spans="1:11" ht="15.75" customHeight="1">
      <c r="A709" s="159" t="s">
        <v>5096</v>
      </c>
      <c r="B709" s="159" t="s">
        <v>415</v>
      </c>
      <c r="C709" s="2" t="s">
        <v>5105</v>
      </c>
      <c r="D709" s="2" t="s">
        <v>5973</v>
      </c>
      <c r="E709" s="2" t="s">
        <v>5666</v>
      </c>
      <c r="K709" s="211" t="s">
        <v>5667</v>
      </c>
    </row>
    <row r="710" spans="1:11" ht="15.75" customHeight="1">
      <c r="A710" s="159" t="s">
        <v>5096</v>
      </c>
      <c r="B710" s="159" t="s">
        <v>415</v>
      </c>
      <c r="C710" s="2" t="s">
        <v>5105</v>
      </c>
      <c r="D710" s="2" t="s">
        <v>5974</v>
      </c>
      <c r="E710" s="2" t="s">
        <v>5666</v>
      </c>
      <c r="K710" s="211" t="s">
        <v>5667</v>
      </c>
    </row>
    <row r="711" spans="1:11" ht="15.75" customHeight="1">
      <c r="A711" s="159" t="s">
        <v>5096</v>
      </c>
      <c r="B711" s="159" t="s">
        <v>415</v>
      </c>
      <c r="C711" s="2" t="s">
        <v>5105</v>
      </c>
      <c r="D711" s="2" t="s">
        <v>5975</v>
      </c>
      <c r="E711" s="2" t="s">
        <v>5672</v>
      </c>
      <c r="K711" s="211" t="s">
        <v>5667</v>
      </c>
    </row>
    <row r="712" spans="1:11" ht="15.75" customHeight="1">
      <c r="A712" s="159" t="s">
        <v>5096</v>
      </c>
      <c r="B712" s="159" t="s">
        <v>415</v>
      </c>
      <c r="C712" s="2" t="s">
        <v>5105</v>
      </c>
      <c r="D712" s="2" t="s">
        <v>5976</v>
      </c>
      <c r="E712" s="2" t="s">
        <v>1974</v>
      </c>
      <c r="K712" s="211" t="s">
        <v>5667</v>
      </c>
    </row>
    <row r="713" spans="1:11" ht="15.75" customHeight="1">
      <c r="A713" s="159" t="s">
        <v>5096</v>
      </c>
      <c r="B713" s="159" t="s">
        <v>415</v>
      </c>
      <c r="C713" s="2" t="s">
        <v>5105</v>
      </c>
      <c r="D713" s="2" t="s">
        <v>5977</v>
      </c>
      <c r="E713" s="2" t="s">
        <v>5672</v>
      </c>
      <c r="K713" s="211" t="s">
        <v>5667</v>
      </c>
    </row>
    <row r="714" spans="1:11" ht="15.75" customHeight="1">
      <c r="A714" s="159" t="s">
        <v>5096</v>
      </c>
      <c r="B714" s="159" t="s">
        <v>415</v>
      </c>
      <c r="C714" s="2" t="s">
        <v>5105</v>
      </c>
      <c r="D714" s="2" t="s">
        <v>5978</v>
      </c>
      <c r="E714" s="2" t="s">
        <v>5664</v>
      </c>
      <c r="G714" s="2">
        <v>32</v>
      </c>
      <c r="H714" s="2">
        <v>0</v>
      </c>
      <c r="K714" s="211" t="s">
        <v>5667</v>
      </c>
    </row>
    <row r="715" spans="1:11" ht="15.75" customHeight="1">
      <c r="A715" s="159" t="s">
        <v>5096</v>
      </c>
      <c r="B715" s="159" t="s">
        <v>415</v>
      </c>
      <c r="C715" s="2" t="s">
        <v>5105</v>
      </c>
      <c r="D715" s="2" t="s">
        <v>5798</v>
      </c>
      <c r="E715" s="2" t="s">
        <v>5664</v>
      </c>
      <c r="G715" s="2">
        <v>32</v>
      </c>
      <c r="H715" s="2">
        <v>0</v>
      </c>
      <c r="K715" s="211" t="s">
        <v>5667</v>
      </c>
    </row>
    <row r="716" spans="1:11" ht="15.75" customHeight="1">
      <c r="A716" s="159" t="s">
        <v>5096</v>
      </c>
      <c r="B716" s="159" t="s">
        <v>415</v>
      </c>
      <c r="C716" s="2" t="s">
        <v>5105</v>
      </c>
      <c r="D716" s="2" t="s">
        <v>5979</v>
      </c>
      <c r="E716" s="2" t="s">
        <v>5672</v>
      </c>
      <c r="K716" s="211" t="s">
        <v>5667</v>
      </c>
    </row>
    <row r="717" spans="1:11" ht="15.75" customHeight="1">
      <c r="A717" s="159" t="s">
        <v>5096</v>
      </c>
      <c r="B717" s="159" t="s">
        <v>415</v>
      </c>
      <c r="C717" s="2" t="s">
        <v>5105</v>
      </c>
      <c r="D717" s="2" t="s">
        <v>5980</v>
      </c>
      <c r="E717" s="2" t="s">
        <v>1974</v>
      </c>
      <c r="K717" s="211" t="s">
        <v>5667</v>
      </c>
    </row>
    <row r="718" spans="1:11" ht="15.75" customHeight="1">
      <c r="A718" s="159" t="s">
        <v>5096</v>
      </c>
      <c r="B718" s="159" t="s">
        <v>415</v>
      </c>
      <c r="C718" s="2" t="s">
        <v>5105</v>
      </c>
      <c r="D718" s="2" t="s">
        <v>5981</v>
      </c>
      <c r="E718" s="2" t="s">
        <v>5666</v>
      </c>
      <c r="K718" s="211" t="s">
        <v>5667</v>
      </c>
    </row>
    <row r="719" spans="1:11" ht="15.75" customHeight="1">
      <c r="A719" s="159" t="s">
        <v>5096</v>
      </c>
      <c r="B719" s="159" t="s">
        <v>415</v>
      </c>
      <c r="C719" s="2" t="s">
        <v>5105</v>
      </c>
      <c r="D719" s="2" t="s">
        <v>5982</v>
      </c>
      <c r="E719" s="2" t="s">
        <v>5666</v>
      </c>
      <c r="K719" s="211" t="s">
        <v>5667</v>
      </c>
    </row>
    <row r="720" spans="1:11" ht="15.75" customHeight="1">
      <c r="A720" s="159" t="s">
        <v>5096</v>
      </c>
      <c r="B720" s="159" t="s">
        <v>415</v>
      </c>
      <c r="C720" s="2" t="s">
        <v>5105</v>
      </c>
      <c r="D720" s="2" t="s">
        <v>5983</v>
      </c>
      <c r="E720" s="2" t="s">
        <v>5670</v>
      </c>
      <c r="K720" s="211" t="s">
        <v>5667</v>
      </c>
    </row>
    <row r="721" spans="1:11" ht="15.75" customHeight="1">
      <c r="A721" s="159" t="s">
        <v>5096</v>
      </c>
      <c r="B721" s="159" t="s">
        <v>415</v>
      </c>
      <c r="C721" s="2" t="s">
        <v>5105</v>
      </c>
      <c r="D721" s="2" t="s">
        <v>5984</v>
      </c>
      <c r="E721" s="2" t="s">
        <v>5672</v>
      </c>
      <c r="K721" s="211" t="s">
        <v>5667</v>
      </c>
    </row>
    <row r="722" spans="1:11" ht="15.75" customHeight="1">
      <c r="A722" s="159" t="s">
        <v>5096</v>
      </c>
      <c r="B722" s="159" t="s">
        <v>415</v>
      </c>
      <c r="C722" s="2" t="s">
        <v>5105</v>
      </c>
      <c r="D722" s="2" t="s">
        <v>5985</v>
      </c>
      <c r="E722" s="2" t="s">
        <v>5664</v>
      </c>
      <c r="G722" s="2">
        <v>32</v>
      </c>
      <c r="H722" s="2">
        <v>0</v>
      </c>
      <c r="K722" s="211" t="s">
        <v>5667</v>
      </c>
    </row>
    <row r="723" spans="1:11" ht="15.75" customHeight="1">
      <c r="A723" s="159" t="s">
        <v>5096</v>
      </c>
      <c r="B723" s="159" t="s">
        <v>415</v>
      </c>
      <c r="C723" s="2" t="s">
        <v>5105</v>
      </c>
      <c r="D723" s="2" t="s">
        <v>5986</v>
      </c>
      <c r="E723" s="2" t="s">
        <v>5664</v>
      </c>
      <c r="G723" s="2">
        <v>32</v>
      </c>
      <c r="H723" s="2">
        <v>0</v>
      </c>
      <c r="K723" s="211" t="s">
        <v>5667</v>
      </c>
    </row>
    <row r="724" spans="1:11" ht="15.75" customHeight="1">
      <c r="A724" s="159" t="s">
        <v>5096</v>
      </c>
      <c r="B724" s="159" t="s">
        <v>415</v>
      </c>
      <c r="C724" s="2" t="s">
        <v>5105</v>
      </c>
      <c r="D724" s="2" t="s">
        <v>5987</v>
      </c>
      <c r="E724" s="2" t="s">
        <v>5672</v>
      </c>
      <c r="K724" s="211" t="s">
        <v>5667</v>
      </c>
    </row>
    <row r="725" spans="1:11" ht="15.75" customHeight="1">
      <c r="A725" s="159" t="s">
        <v>5096</v>
      </c>
      <c r="B725" s="159" t="s">
        <v>415</v>
      </c>
      <c r="C725" s="2" t="s">
        <v>5105</v>
      </c>
      <c r="D725" s="2" t="s">
        <v>5988</v>
      </c>
      <c r="E725" s="2" t="s">
        <v>5672</v>
      </c>
      <c r="K725" s="211" t="s">
        <v>5667</v>
      </c>
    </row>
    <row r="726" spans="1:11" ht="15.75" customHeight="1">
      <c r="A726" s="159" t="s">
        <v>5096</v>
      </c>
      <c r="B726" s="159" t="s">
        <v>415</v>
      </c>
      <c r="C726" s="2" t="s">
        <v>5105</v>
      </c>
      <c r="D726" s="2" t="s">
        <v>5989</v>
      </c>
      <c r="E726" s="2" t="s">
        <v>717</v>
      </c>
      <c r="K726" s="211" t="s">
        <v>5667</v>
      </c>
    </row>
    <row r="727" spans="1:11" ht="15.75" customHeight="1">
      <c r="A727" s="159" t="s">
        <v>5096</v>
      </c>
      <c r="B727" s="159" t="s">
        <v>415</v>
      </c>
      <c r="C727" s="2" t="s">
        <v>5105</v>
      </c>
      <c r="D727" s="2" t="s">
        <v>5990</v>
      </c>
      <c r="E727" s="2" t="s">
        <v>717</v>
      </c>
      <c r="K727" s="211" t="s">
        <v>5667</v>
      </c>
    </row>
    <row r="728" spans="1:11" ht="15.75" customHeight="1">
      <c r="A728" s="159" t="s">
        <v>5096</v>
      </c>
      <c r="B728" s="159" t="s">
        <v>415</v>
      </c>
      <c r="C728" s="2" t="s">
        <v>5105</v>
      </c>
      <c r="D728" s="2" t="s">
        <v>5840</v>
      </c>
      <c r="E728" s="2" t="s">
        <v>5664</v>
      </c>
      <c r="G728" s="2">
        <v>32</v>
      </c>
      <c r="H728" s="2">
        <v>0</v>
      </c>
      <c r="K728" s="211" t="s">
        <v>5667</v>
      </c>
    </row>
    <row r="729" spans="1:11" ht="15.75" customHeight="1">
      <c r="A729" s="159" t="s">
        <v>5096</v>
      </c>
      <c r="B729" s="159" t="s">
        <v>415</v>
      </c>
      <c r="C729" s="2" t="s">
        <v>5105</v>
      </c>
      <c r="D729" s="2" t="s">
        <v>5839</v>
      </c>
      <c r="E729" s="2" t="s">
        <v>5672</v>
      </c>
      <c r="K729" s="211" t="s">
        <v>5667</v>
      </c>
    </row>
    <row r="730" spans="1:11" ht="15.75" customHeight="1">
      <c r="A730" s="159" t="s">
        <v>5096</v>
      </c>
      <c r="B730" s="159" t="s">
        <v>415</v>
      </c>
      <c r="C730" s="2" t="s">
        <v>5105</v>
      </c>
      <c r="D730" s="2" t="s">
        <v>5991</v>
      </c>
      <c r="E730" s="2" t="s">
        <v>1974</v>
      </c>
      <c r="K730" s="211" t="s">
        <v>5667</v>
      </c>
    </row>
    <row r="731" spans="1:11" ht="15.75" customHeight="1">
      <c r="A731" s="159" t="s">
        <v>5096</v>
      </c>
      <c r="B731" s="159" t="s">
        <v>415</v>
      </c>
      <c r="C731" s="2" t="s">
        <v>5105</v>
      </c>
      <c r="D731" s="2" t="s">
        <v>5992</v>
      </c>
      <c r="E731" s="2" t="s">
        <v>1974</v>
      </c>
      <c r="K731" s="211" t="s">
        <v>5667</v>
      </c>
    </row>
    <row r="732" spans="1:11" ht="15.75" customHeight="1">
      <c r="A732" s="159" t="s">
        <v>5096</v>
      </c>
      <c r="B732" s="159" t="s">
        <v>415</v>
      </c>
      <c r="C732" s="2" t="s">
        <v>5105</v>
      </c>
      <c r="D732" s="2" t="s">
        <v>5993</v>
      </c>
      <c r="E732" s="2" t="s">
        <v>5664</v>
      </c>
      <c r="G732" s="2">
        <v>32</v>
      </c>
      <c r="H732" s="2">
        <v>0</v>
      </c>
      <c r="K732" s="211" t="s">
        <v>5667</v>
      </c>
    </row>
    <row r="733" spans="1:11" ht="15.75" customHeight="1">
      <c r="A733" s="159" t="s">
        <v>5096</v>
      </c>
      <c r="B733" s="159" t="s">
        <v>415</v>
      </c>
      <c r="C733" s="2" t="s">
        <v>5105</v>
      </c>
      <c r="D733" s="2" t="s">
        <v>5994</v>
      </c>
      <c r="E733" s="2" t="s">
        <v>5672</v>
      </c>
      <c r="K733" s="211" t="s">
        <v>5667</v>
      </c>
    </row>
    <row r="734" spans="1:11" ht="15.75" customHeight="1">
      <c r="A734" s="159" t="s">
        <v>5096</v>
      </c>
      <c r="B734" s="159" t="s">
        <v>415</v>
      </c>
      <c r="C734" s="2" t="s">
        <v>5105</v>
      </c>
      <c r="D734" s="2" t="s">
        <v>5995</v>
      </c>
      <c r="E734" s="2" t="s">
        <v>5664</v>
      </c>
      <c r="G734" s="2">
        <v>32</v>
      </c>
      <c r="H734" s="2">
        <v>0</v>
      </c>
      <c r="K734" s="211" t="s">
        <v>5667</v>
      </c>
    </row>
    <row r="735" spans="1:11" ht="15.75" customHeight="1">
      <c r="A735" s="159" t="s">
        <v>5096</v>
      </c>
      <c r="B735" s="159" t="s">
        <v>415</v>
      </c>
      <c r="C735" s="2" t="s">
        <v>5105</v>
      </c>
      <c r="D735" s="2" t="s">
        <v>5996</v>
      </c>
      <c r="E735" s="2" t="s">
        <v>5672</v>
      </c>
      <c r="K735" s="211" t="s">
        <v>5667</v>
      </c>
    </row>
    <row r="736" spans="1:11" ht="15.75" customHeight="1">
      <c r="A736" s="159" t="s">
        <v>5096</v>
      </c>
      <c r="B736" s="159" t="s">
        <v>415</v>
      </c>
      <c r="C736" s="2" t="s">
        <v>5105</v>
      </c>
      <c r="D736" s="2" t="s">
        <v>5997</v>
      </c>
      <c r="E736" s="2" t="s">
        <v>5672</v>
      </c>
      <c r="K736" s="211" t="s">
        <v>5667</v>
      </c>
    </row>
    <row r="737" spans="1:11" ht="15.75" customHeight="1">
      <c r="A737" s="159" t="s">
        <v>5096</v>
      </c>
      <c r="B737" s="159" t="s">
        <v>415</v>
      </c>
      <c r="C737" s="2" t="s">
        <v>5106</v>
      </c>
      <c r="D737" s="2" t="s">
        <v>3897</v>
      </c>
      <c r="E737" s="2" t="s">
        <v>5664</v>
      </c>
      <c r="G737" s="2">
        <v>32</v>
      </c>
      <c r="H737" s="2">
        <v>0</v>
      </c>
      <c r="K737" s="211" t="s">
        <v>5665</v>
      </c>
    </row>
    <row r="738" spans="1:11" ht="15.75" customHeight="1">
      <c r="A738" s="159" t="s">
        <v>5096</v>
      </c>
      <c r="B738" s="159" t="s">
        <v>415</v>
      </c>
      <c r="C738" s="2" t="s">
        <v>5106</v>
      </c>
      <c r="D738" s="2" t="s">
        <v>5953</v>
      </c>
      <c r="E738" s="2" t="s">
        <v>5666</v>
      </c>
      <c r="K738" s="211" t="s">
        <v>5667</v>
      </c>
    </row>
    <row r="739" spans="1:11" ht="15.75" customHeight="1">
      <c r="A739" s="159" t="s">
        <v>5096</v>
      </c>
      <c r="B739" s="159" t="s">
        <v>415</v>
      </c>
      <c r="C739" s="2" t="s">
        <v>5106</v>
      </c>
      <c r="D739" s="2" t="s">
        <v>184</v>
      </c>
      <c r="E739" s="2" t="s">
        <v>5670</v>
      </c>
      <c r="K739" s="211" t="s">
        <v>5667</v>
      </c>
    </row>
    <row r="740" spans="1:11" ht="15.75" customHeight="1">
      <c r="A740" s="159" t="s">
        <v>5096</v>
      </c>
      <c r="B740" s="159" t="s">
        <v>415</v>
      </c>
      <c r="C740" s="2" t="s">
        <v>5106</v>
      </c>
      <c r="D740" s="2" t="s">
        <v>5842</v>
      </c>
      <c r="E740" s="2" t="s">
        <v>717</v>
      </c>
      <c r="K740" s="211" t="s">
        <v>5665</v>
      </c>
    </row>
    <row r="741" spans="1:11" ht="15.75" customHeight="1">
      <c r="A741" s="159" t="s">
        <v>5096</v>
      </c>
      <c r="B741" s="159" t="s">
        <v>415</v>
      </c>
      <c r="C741" s="2" t="s">
        <v>5106</v>
      </c>
      <c r="D741" s="2" t="s">
        <v>5857</v>
      </c>
      <c r="E741" s="2" t="s">
        <v>717</v>
      </c>
      <c r="K741" s="211" t="s">
        <v>5667</v>
      </c>
    </row>
    <row r="742" spans="1:11" ht="15.75" customHeight="1">
      <c r="A742" s="159" t="s">
        <v>5096</v>
      </c>
      <c r="B742" s="159" t="s">
        <v>415</v>
      </c>
      <c r="C742" s="2" t="s">
        <v>5106</v>
      </c>
      <c r="D742" s="2" t="s">
        <v>5689</v>
      </c>
      <c r="E742" s="2" t="s">
        <v>5664</v>
      </c>
      <c r="G742" s="2">
        <v>32</v>
      </c>
      <c r="H742" s="2">
        <v>0</v>
      </c>
      <c r="K742" s="211" t="s">
        <v>5667</v>
      </c>
    </row>
    <row r="743" spans="1:11" ht="15.75" customHeight="1">
      <c r="A743" s="159" t="s">
        <v>5096</v>
      </c>
      <c r="B743" s="159" t="s">
        <v>415</v>
      </c>
      <c r="C743" s="2" t="s">
        <v>5106</v>
      </c>
      <c r="D743" s="2" t="s">
        <v>5960</v>
      </c>
      <c r="E743" s="2" t="s">
        <v>5664</v>
      </c>
      <c r="G743" s="2">
        <v>32</v>
      </c>
      <c r="H743" s="2">
        <v>0</v>
      </c>
      <c r="K743" s="211" t="s">
        <v>5667</v>
      </c>
    </row>
    <row r="744" spans="1:11" ht="15.75" customHeight="1">
      <c r="A744" s="159" t="s">
        <v>5096</v>
      </c>
      <c r="B744" s="159" t="s">
        <v>415</v>
      </c>
      <c r="C744" s="2" t="s">
        <v>5106</v>
      </c>
      <c r="D744" s="2" t="s">
        <v>5617</v>
      </c>
      <c r="E744" s="2" t="s">
        <v>5664</v>
      </c>
      <c r="G744" s="2">
        <v>32</v>
      </c>
      <c r="H744" s="2">
        <v>0</v>
      </c>
      <c r="K744" s="211" t="s">
        <v>5667</v>
      </c>
    </row>
    <row r="745" spans="1:11" ht="15.75" customHeight="1">
      <c r="A745" s="159" t="s">
        <v>5096</v>
      </c>
      <c r="B745" s="159" t="s">
        <v>415</v>
      </c>
      <c r="C745" s="2" t="s">
        <v>5106</v>
      </c>
      <c r="D745" s="2" t="s">
        <v>5774</v>
      </c>
      <c r="E745" s="2" t="s">
        <v>5664</v>
      </c>
      <c r="G745" s="2">
        <v>32</v>
      </c>
      <c r="H745" s="2">
        <v>0</v>
      </c>
      <c r="K745" s="211" t="s">
        <v>5667</v>
      </c>
    </row>
    <row r="746" spans="1:11" ht="15.75" customHeight="1">
      <c r="A746" s="159" t="s">
        <v>5096</v>
      </c>
      <c r="B746" s="159" t="s">
        <v>415</v>
      </c>
      <c r="C746" s="2" t="s">
        <v>5106</v>
      </c>
      <c r="D746" s="2" t="s">
        <v>5691</v>
      </c>
      <c r="E746" s="2" t="s">
        <v>5664</v>
      </c>
      <c r="G746" s="2">
        <v>32</v>
      </c>
      <c r="H746" s="2">
        <v>0</v>
      </c>
      <c r="K746" s="211" t="s">
        <v>5667</v>
      </c>
    </row>
    <row r="747" spans="1:11" ht="15.75" customHeight="1">
      <c r="A747" s="159" t="s">
        <v>5096</v>
      </c>
      <c r="B747" s="159" t="s">
        <v>415</v>
      </c>
      <c r="C747" s="2" t="s">
        <v>5106</v>
      </c>
      <c r="D747" s="2" t="s">
        <v>5765</v>
      </c>
      <c r="E747" s="2" t="s">
        <v>5664</v>
      </c>
      <c r="G747" s="2">
        <v>32</v>
      </c>
      <c r="H747" s="2">
        <v>0</v>
      </c>
      <c r="K747" s="211" t="s">
        <v>5667</v>
      </c>
    </row>
    <row r="748" spans="1:11" ht="15.75" customHeight="1">
      <c r="A748" s="159" t="s">
        <v>5096</v>
      </c>
      <c r="B748" s="159" t="s">
        <v>415</v>
      </c>
      <c r="C748" s="2" t="s">
        <v>5106</v>
      </c>
      <c r="D748" s="2" t="s">
        <v>1822</v>
      </c>
      <c r="E748" s="2" t="s">
        <v>5664</v>
      </c>
      <c r="G748" s="2">
        <v>32</v>
      </c>
      <c r="H748" s="2">
        <v>0</v>
      </c>
      <c r="K748" s="211" t="s">
        <v>5667</v>
      </c>
    </row>
    <row r="749" spans="1:11" ht="15.75" customHeight="1">
      <c r="A749" s="159" t="s">
        <v>5096</v>
      </c>
      <c r="B749" s="159" t="s">
        <v>415</v>
      </c>
      <c r="C749" s="2" t="s">
        <v>5106</v>
      </c>
      <c r="D749" s="2" t="s">
        <v>5998</v>
      </c>
      <c r="E749" s="2" t="s">
        <v>5664</v>
      </c>
      <c r="G749" s="2">
        <v>32</v>
      </c>
      <c r="H749" s="2">
        <v>0</v>
      </c>
      <c r="K749" s="211" t="s">
        <v>5667</v>
      </c>
    </row>
    <row r="750" spans="1:11" ht="15.75" customHeight="1">
      <c r="A750" s="159" t="s">
        <v>5096</v>
      </c>
      <c r="B750" s="159" t="s">
        <v>415</v>
      </c>
      <c r="C750" s="2" t="s">
        <v>5106</v>
      </c>
      <c r="D750" s="2" t="s">
        <v>174</v>
      </c>
      <c r="E750" s="2" t="s">
        <v>5664</v>
      </c>
      <c r="G750" s="2">
        <v>32</v>
      </c>
      <c r="H750" s="2">
        <v>0</v>
      </c>
      <c r="K750" s="211" t="s">
        <v>5665</v>
      </c>
    </row>
    <row r="751" spans="1:11" ht="15.75" customHeight="1">
      <c r="A751" s="159" t="s">
        <v>5096</v>
      </c>
      <c r="B751" s="159" t="s">
        <v>415</v>
      </c>
      <c r="C751" s="2" t="s">
        <v>5106</v>
      </c>
      <c r="D751" s="2" t="s">
        <v>5843</v>
      </c>
      <c r="E751" s="2" t="s">
        <v>717</v>
      </c>
      <c r="K751" s="211" t="s">
        <v>5667</v>
      </c>
    </row>
    <row r="752" spans="1:11" ht="15.75" customHeight="1">
      <c r="A752" s="159" t="s">
        <v>5096</v>
      </c>
      <c r="B752" s="159" t="s">
        <v>415</v>
      </c>
      <c r="C752" s="2" t="s">
        <v>5106</v>
      </c>
      <c r="D752" s="2" t="s">
        <v>5687</v>
      </c>
      <c r="E752" s="2" t="s">
        <v>5670</v>
      </c>
      <c r="K752" s="211" t="s">
        <v>5667</v>
      </c>
    </row>
    <row r="753" spans="1:11" ht="15.75" customHeight="1">
      <c r="A753" s="159" t="s">
        <v>5096</v>
      </c>
      <c r="B753" s="159" t="s">
        <v>415</v>
      </c>
      <c r="C753" s="2" t="s">
        <v>5106</v>
      </c>
      <c r="D753" s="2" t="s">
        <v>5999</v>
      </c>
      <c r="E753" s="2" t="s">
        <v>717</v>
      </c>
      <c r="K753" s="211" t="s">
        <v>5667</v>
      </c>
    </row>
    <row r="754" spans="1:11" ht="15.75" customHeight="1">
      <c r="A754" s="159" t="s">
        <v>5096</v>
      </c>
      <c r="B754" s="159" t="s">
        <v>415</v>
      </c>
      <c r="C754" s="2" t="s">
        <v>5106</v>
      </c>
      <c r="D754" s="2" t="s">
        <v>156</v>
      </c>
      <c r="E754" s="2" t="s">
        <v>3893</v>
      </c>
      <c r="K754" s="211" t="s">
        <v>5665</v>
      </c>
    </row>
    <row r="755" spans="1:11" ht="15.75" customHeight="1">
      <c r="A755" s="159" t="s">
        <v>5096</v>
      </c>
      <c r="B755" s="159" t="s">
        <v>415</v>
      </c>
      <c r="C755" s="2" t="s">
        <v>5106</v>
      </c>
      <c r="D755" s="2" t="s">
        <v>1394</v>
      </c>
      <c r="E755" s="2" t="s">
        <v>5664</v>
      </c>
      <c r="G755" s="2">
        <v>32</v>
      </c>
      <c r="H755" s="2">
        <v>0</v>
      </c>
      <c r="K755" s="211" t="s">
        <v>5667</v>
      </c>
    </row>
    <row r="756" spans="1:11" ht="15.75" customHeight="1">
      <c r="A756" s="159" t="s">
        <v>5096</v>
      </c>
      <c r="B756" s="159" t="s">
        <v>415</v>
      </c>
      <c r="C756" s="2" t="s">
        <v>5106</v>
      </c>
      <c r="D756" s="2" t="s">
        <v>5796</v>
      </c>
      <c r="E756" s="2" t="s">
        <v>5664</v>
      </c>
      <c r="G756" s="2">
        <v>32</v>
      </c>
      <c r="H756" s="2">
        <v>0</v>
      </c>
      <c r="K756" s="211" t="s">
        <v>5667</v>
      </c>
    </row>
    <row r="757" spans="1:11" ht="15.75" customHeight="1">
      <c r="A757" s="159" t="s">
        <v>5096</v>
      </c>
      <c r="B757" s="159" t="s">
        <v>415</v>
      </c>
      <c r="C757" s="2" t="s">
        <v>5106</v>
      </c>
      <c r="D757" s="2" t="s">
        <v>6000</v>
      </c>
      <c r="E757" s="2" t="s">
        <v>717</v>
      </c>
      <c r="K757" s="211" t="s">
        <v>5665</v>
      </c>
    </row>
    <row r="758" spans="1:11" ht="15.75" customHeight="1">
      <c r="A758" s="159" t="s">
        <v>5096</v>
      </c>
      <c r="B758" s="159" t="s">
        <v>415</v>
      </c>
      <c r="C758" s="2" t="s">
        <v>5106</v>
      </c>
      <c r="D758" s="2" t="s">
        <v>6001</v>
      </c>
      <c r="E758" s="2" t="s">
        <v>5664</v>
      </c>
      <c r="G758" s="2">
        <v>32</v>
      </c>
      <c r="H758" s="2">
        <v>0</v>
      </c>
      <c r="K758" s="211" t="s">
        <v>5667</v>
      </c>
    </row>
    <row r="759" spans="1:11" ht="15.75" customHeight="1">
      <c r="A759" s="159" t="s">
        <v>5096</v>
      </c>
      <c r="B759" s="159" t="s">
        <v>415</v>
      </c>
      <c r="C759" s="2" t="s">
        <v>5106</v>
      </c>
      <c r="D759" s="2" t="s">
        <v>6002</v>
      </c>
      <c r="E759" s="2" t="s">
        <v>5664</v>
      </c>
      <c r="G759" s="2">
        <v>32</v>
      </c>
      <c r="H759" s="2">
        <v>0</v>
      </c>
      <c r="K759" s="211" t="s">
        <v>5667</v>
      </c>
    </row>
    <row r="760" spans="1:11" ht="15.75" customHeight="1">
      <c r="A760" s="159" t="s">
        <v>5096</v>
      </c>
      <c r="B760" s="159" t="s">
        <v>415</v>
      </c>
      <c r="C760" s="2" t="s">
        <v>5106</v>
      </c>
      <c r="D760" s="2" t="s">
        <v>6003</v>
      </c>
      <c r="E760" s="2" t="s">
        <v>5664</v>
      </c>
      <c r="G760" s="2">
        <v>32</v>
      </c>
      <c r="H760" s="2">
        <v>0</v>
      </c>
      <c r="K760" s="211" t="s">
        <v>5667</v>
      </c>
    </row>
    <row r="761" spans="1:11" ht="15.75" customHeight="1">
      <c r="A761" s="159" t="s">
        <v>5096</v>
      </c>
      <c r="B761" s="159" t="s">
        <v>415</v>
      </c>
      <c r="C761" s="2" t="s">
        <v>5106</v>
      </c>
      <c r="D761" s="2" t="s">
        <v>6004</v>
      </c>
      <c r="E761" s="2" t="s">
        <v>5692</v>
      </c>
      <c r="G761" s="2">
        <v>53</v>
      </c>
      <c r="K761" s="211" t="s">
        <v>5667</v>
      </c>
    </row>
    <row r="762" spans="1:11" ht="15.75" customHeight="1">
      <c r="A762" s="159" t="s">
        <v>5096</v>
      </c>
      <c r="B762" s="159" t="s">
        <v>415</v>
      </c>
      <c r="C762" s="2" t="s">
        <v>5106</v>
      </c>
      <c r="D762" s="2" t="s">
        <v>6005</v>
      </c>
      <c r="E762" s="2" t="s">
        <v>5692</v>
      </c>
      <c r="G762" s="2">
        <v>53</v>
      </c>
      <c r="K762" s="211" t="s">
        <v>5667</v>
      </c>
    </row>
    <row r="763" spans="1:11" ht="15.75" customHeight="1">
      <c r="A763" s="159" t="s">
        <v>5096</v>
      </c>
      <c r="B763" s="159" t="s">
        <v>415</v>
      </c>
      <c r="C763" s="2" t="s">
        <v>5106</v>
      </c>
      <c r="D763" s="2" t="s">
        <v>6006</v>
      </c>
      <c r="E763" s="2" t="s">
        <v>5664</v>
      </c>
      <c r="G763" s="2">
        <v>32</v>
      </c>
      <c r="H763" s="2">
        <v>0</v>
      </c>
      <c r="K763" s="211" t="s">
        <v>5667</v>
      </c>
    </row>
    <row r="764" spans="1:11" ht="15.75" customHeight="1">
      <c r="A764" s="159" t="s">
        <v>5096</v>
      </c>
      <c r="B764" s="159" t="s">
        <v>415</v>
      </c>
      <c r="C764" s="2" t="s">
        <v>5106</v>
      </c>
      <c r="D764" s="2" t="s">
        <v>6007</v>
      </c>
      <c r="E764" s="2" t="s">
        <v>717</v>
      </c>
      <c r="K764" s="211" t="s">
        <v>5667</v>
      </c>
    </row>
    <row r="765" spans="1:11" ht="15.75" customHeight="1">
      <c r="A765" s="159" t="s">
        <v>5096</v>
      </c>
      <c r="B765" s="159" t="s">
        <v>415</v>
      </c>
      <c r="C765" s="2" t="s">
        <v>5106</v>
      </c>
      <c r="D765" s="2" t="s">
        <v>6008</v>
      </c>
      <c r="E765" s="2" t="s">
        <v>717</v>
      </c>
      <c r="K765" s="211" t="s">
        <v>5667</v>
      </c>
    </row>
    <row r="766" spans="1:11" ht="15.75" customHeight="1">
      <c r="A766" s="159" t="s">
        <v>5096</v>
      </c>
      <c r="B766" s="159" t="s">
        <v>415</v>
      </c>
      <c r="C766" s="2" t="s">
        <v>5106</v>
      </c>
      <c r="D766" s="2" t="s">
        <v>6009</v>
      </c>
      <c r="E766" s="2" t="s">
        <v>717</v>
      </c>
      <c r="K766" s="211" t="s">
        <v>5667</v>
      </c>
    </row>
    <row r="767" spans="1:11" ht="15.75" customHeight="1">
      <c r="A767" s="159" t="s">
        <v>5096</v>
      </c>
      <c r="B767" s="159" t="s">
        <v>415</v>
      </c>
      <c r="C767" s="2" t="s">
        <v>5106</v>
      </c>
      <c r="D767" s="2" t="s">
        <v>6010</v>
      </c>
      <c r="E767" s="2" t="s">
        <v>717</v>
      </c>
      <c r="K767" s="211" t="s">
        <v>5667</v>
      </c>
    </row>
    <row r="768" spans="1:11" ht="15.75" customHeight="1">
      <c r="A768" s="159" t="s">
        <v>5096</v>
      </c>
      <c r="B768" s="159" t="s">
        <v>415</v>
      </c>
      <c r="C768" s="2" t="s">
        <v>5106</v>
      </c>
      <c r="D768" s="2" t="s">
        <v>6011</v>
      </c>
      <c r="E768" s="2" t="s">
        <v>717</v>
      </c>
      <c r="K768" s="211" t="s">
        <v>5667</v>
      </c>
    </row>
    <row r="769" spans="1:11" ht="15.75" customHeight="1">
      <c r="A769" s="159" t="s">
        <v>5096</v>
      </c>
      <c r="B769" s="159" t="s">
        <v>415</v>
      </c>
      <c r="C769" s="2" t="s">
        <v>5106</v>
      </c>
      <c r="D769" s="2" t="s">
        <v>6012</v>
      </c>
      <c r="E769" s="2" t="s">
        <v>5692</v>
      </c>
      <c r="G769" s="2">
        <v>53</v>
      </c>
      <c r="K769" s="211" t="s">
        <v>5667</v>
      </c>
    </row>
    <row r="770" spans="1:11" ht="15.75" customHeight="1">
      <c r="A770" s="159" t="s">
        <v>5096</v>
      </c>
      <c r="B770" s="159" t="s">
        <v>415</v>
      </c>
      <c r="C770" s="2" t="s">
        <v>5106</v>
      </c>
      <c r="D770" s="2" t="s">
        <v>6013</v>
      </c>
      <c r="E770" s="2" t="s">
        <v>5664</v>
      </c>
      <c r="G770" s="2">
        <v>32</v>
      </c>
      <c r="H770" s="2">
        <v>0</v>
      </c>
      <c r="K770" s="211" t="s">
        <v>5667</v>
      </c>
    </row>
    <row r="771" spans="1:11" ht="15.75" customHeight="1">
      <c r="A771" s="159" t="s">
        <v>5096</v>
      </c>
      <c r="B771" s="159" t="s">
        <v>415</v>
      </c>
      <c r="C771" s="2" t="s">
        <v>5106</v>
      </c>
      <c r="D771" s="2" t="s">
        <v>6014</v>
      </c>
      <c r="E771" s="2" t="s">
        <v>1974</v>
      </c>
      <c r="K771" s="211" t="s">
        <v>5667</v>
      </c>
    </row>
    <row r="772" spans="1:11" ht="15.75" customHeight="1">
      <c r="A772" s="159" t="s">
        <v>5096</v>
      </c>
      <c r="B772" s="159" t="s">
        <v>415</v>
      </c>
      <c r="C772" s="2" t="s">
        <v>5106</v>
      </c>
      <c r="D772" s="2" t="s">
        <v>6015</v>
      </c>
      <c r="E772" s="2" t="s">
        <v>1974</v>
      </c>
      <c r="K772" s="211" t="s">
        <v>5667</v>
      </c>
    </row>
    <row r="773" spans="1:11" ht="15.75" customHeight="1">
      <c r="A773" s="159" t="s">
        <v>5096</v>
      </c>
      <c r="B773" s="159" t="s">
        <v>415</v>
      </c>
      <c r="C773" s="2" t="s">
        <v>5106</v>
      </c>
      <c r="D773" s="2" t="s">
        <v>6016</v>
      </c>
      <c r="E773" s="2" t="s">
        <v>717</v>
      </c>
      <c r="K773" s="211" t="s">
        <v>5667</v>
      </c>
    </row>
    <row r="774" spans="1:11" ht="15.75" customHeight="1">
      <c r="A774" s="159" t="s">
        <v>5096</v>
      </c>
      <c r="B774" s="159" t="s">
        <v>415</v>
      </c>
      <c r="C774" s="2" t="s">
        <v>5106</v>
      </c>
      <c r="D774" s="2" t="s">
        <v>5923</v>
      </c>
      <c r="E774" s="2" t="s">
        <v>5664</v>
      </c>
      <c r="G774" s="2">
        <v>32</v>
      </c>
      <c r="H774" s="2">
        <v>0</v>
      </c>
      <c r="K774" s="211" t="s">
        <v>5667</v>
      </c>
    </row>
    <row r="775" spans="1:11" ht="15.75" customHeight="1">
      <c r="A775" s="159" t="s">
        <v>5096</v>
      </c>
      <c r="B775" s="159" t="s">
        <v>415</v>
      </c>
      <c r="C775" s="2" t="s">
        <v>5106</v>
      </c>
      <c r="D775" s="2" t="s">
        <v>5741</v>
      </c>
      <c r="E775" s="2" t="s">
        <v>5664</v>
      </c>
      <c r="G775" s="2">
        <v>32</v>
      </c>
      <c r="H775" s="2">
        <v>0</v>
      </c>
      <c r="K775" s="211" t="s">
        <v>5667</v>
      </c>
    </row>
    <row r="776" spans="1:11" ht="15.75" customHeight="1">
      <c r="A776" s="159" t="s">
        <v>5096</v>
      </c>
      <c r="B776" s="159" t="s">
        <v>415</v>
      </c>
      <c r="C776" s="2" t="s">
        <v>5106</v>
      </c>
      <c r="D776" s="2" t="s">
        <v>6017</v>
      </c>
      <c r="E776" s="2" t="s">
        <v>5664</v>
      </c>
      <c r="G776" s="2">
        <v>32</v>
      </c>
      <c r="H776" s="2">
        <v>0</v>
      </c>
      <c r="K776" s="211" t="s">
        <v>5667</v>
      </c>
    </row>
    <row r="777" spans="1:11" ht="15.75" customHeight="1">
      <c r="A777" s="159" t="s">
        <v>5096</v>
      </c>
      <c r="B777" s="159" t="s">
        <v>415</v>
      </c>
      <c r="C777" s="2" t="s">
        <v>5106</v>
      </c>
      <c r="D777" s="2" t="s">
        <v>5849</v>
      </c>
      <c r="E777" s="2" t="s">
        <v>5664</v>
      </c>
      <c r="G777" s="2">
        <v>32</v>
      </c>
      <c r="H777" s="2">
        <v>0</v>
      </c>
      <c r="K777" s="211" t="s">
        <v>5667</v>
      </c>
    </row>
    <row r="778" spans="1:11" ht="15.75" customHeight="1">
      <c r="A778" s="159" t="s">
        <v>5096</v>
      </c>
      <c r="B778" s="159" t="s">
        <v>415</v>
      </c>
      <c r="C778" s="2" t="s">
        <v>5106</v>
      </c>
      <c r="D778" s="2" t="s">
        <v>5844</v>
      </c>
      <c r="E778" s="2" t="s">
        <v>5664</v>
      </c>
      <c r="G778" s="2">
        <v>32</v>
      </c>
      <c r="H778" s="2">
        <v>0</v>
      </c>
      <c r="K778" s="211" t="s">
        <v>5667</v>
      </c>
    </row>
    <row r="779" spans="1:11" ht="15.75" customHeight="1">
      <c r="A779" s="159" t="s">
        <v>5096</v>
      </c>
      <c r="B779" s="159" t="s">
        <v>415</v>
      </c>
      <c r="C779" s="2" t="s">
        <v>5106</v>
      </c>
      <c r="D779" s="2" t="s">
        <v>2069</v>
      </c>
      <c r="E779" s="2" t="s">
        <v>5666</v>
      </c>
      <c r="K779" s="211" t="s">
        <v>5667</v>
      </c>
    </row>
    <row r="780" spans="1:11" ht="15.75" customHeight="1">
      <c r="A780" s="159" t="s">
        <v>5096</v>
      </c>
      <c r="B780" s="159" t="s">
        <v>415</v>
      </c>
      <c r="C780" s="2" t="s">
        <v>5106</v>
      </c>
      <c r="D780" s="2" t="s">
        <v>5850</v>
      </c>
      <c r="E780" s="2" t="s">
        <v>5692</v>
      </c>
      <c r="G780" s="2">
        <v>53</v>
      </c>
      <c r="K780" s="211" t="s">
        <v>5667</v>
      </c>
    </row>
    <row r="781" spans="1:11" ht="15.75" customHeight="1">
      <c r="A781" s="159" t="s">
        <v>5096</v>
      </c>
      <c r="B781" s="159" t="s">
        <v>415</v>
      </c>
      <c r="C781" s="2" t="s">
        <v>5106</v>
      </c>
      <c r="D781" s="2" t="s">
        <v>5856</v>
      </c>
      <c r="E781" s="2" t="s">
        <v>5664</v>
      </c>
      <c r="G781" s="2">
        <v>32</v>
      </c>
      <c r="H781" s="2">
        <v>0</v>
      </c>
      <c r="K781" s="211" t="s">
        <v>5667</v>
      </c>
    </row>
    <row r="782" spans="1:11" ht="15.75" customHeight="1">
      <c r="A782" s="159" t="s">
        <v>5096</v>
      </c>
      <c r="B782" s="159" t="s">
        <v>415</v>
      </c>
      <c r="C782" s="2" t="s">
        <v>5106</v>
      </c>
      <c r="D782" s="2" t="s">
        <v>5847</v>
      </c>
      <c r="E782" s="2" t="s">
        <v>5672</v>
      </c>
      <c r="K782" s="211" t="s">
        <v>5667</v>
      </c>
    </row>
    <row r="783" spans="1:11" ht="15.75" customHeight="1">
      <c r="A783" s="159" t="s">
        <v>5096</v>
      </c>
      <c r="B783" s="159" t="s">
        <v>415</v>
      </c>
      <c r="C783" s="2" t="s">
        <v>5106</v>
      </c>
      <c r="D783" s="2" t="s">
        <v>5950</v>
      </c>
      <c r="E783" s="2" t="s">
        <v>5664</v>
      </c>
      <c r="G783" s="2">
        <v>32</v>
      </c>
      <c r="H783" s="2">
        <v>0</v>
      </c>
      <c r="K783" s="211" t="s">
        <v>5667</v>
      </c>
    </row>
    <row r="784" spans="1:11" ht="15.75" customHeight="1">
      <c r="A784" s="159" t="s">
        <v>5096</v>
      </c>
      <c r="B784" s="159" t="s">
        <v>415</v>
      </c>
      <c r="C784" s="2" t="s">
        <v>5106</v>
      </c>
      <c r="D784" s="2" t="s">
        <v>6018</v>
      </c>
      <c r="E784" s="2" t="s">
        <v>717</v>
      </c>
      <c r="K784" s="211" t="s">
        <v>5667</v>
      </c>
    </row>
    <row r="785" spans="1:11" ht="15.75" customHeight="1">
      <c r="A785" s="159" t="s">
        <v>5096</v>
      </c>
      <c r="B785" s="159" t="s">
        <v>415</v>
      </c>
      <c r="C785" s="2" t="s">
        <v>5106</v>
      </c>
      <c r="D785" s="2" t="s">
        <v>6019</v>
      </c>
      <c r="E785" s="2" t="s">
        <v>717</v>
      </c>
      <c r="K785" s="211" t="s">
        <v>5667</v>
      </c>
    </row>
    <row r="786" spans="1:11" ht="15.75" customHeight="1">
      <c r="A786" s="159" t="s">
        <v>5096</v>
      </c>
      <c r="B786" s="159" t="s">
        <v>415</v>
      </c>
      <c r="C786" s="2" t="s">
        <v>5106</v>
      </c>
      <c r="D786" s="2" t="s">
        <v>5854</v>
      </c>
      <c r="E786" s="2" t="s">
        <v>5692</v>
      </c>
      <c r="G786" s="2">
        <v>53</v>
      </c>
      <c r="K786" s="211" t="s">
        <v>5667</v>
      </c>
    </row>
    <row r="787" spans="1:11" ht="15.75" customHeight="1">
      <c r="A787" s="159" t="s">
        <v>5096</v>
      </c>
      <c r="B787" s="159" t="s">
        <v>415</v>
      </c>
      <c r="C787" s="2" t="s">
        <v>5106</v>
      </c>
      <c r="D787" s="2" t="s">
        <v>5863</v>
      </c>
      <c r="E787" s="2" t="s">
        <v>5692</v>
      </c>
      <c r="G787" s="2">
        <v>53</v>
      </c>
      <c r="K787" s="211" t="s">
        <v>5667</v>
      </c>
    </row>
    <row r="788" spans="1:11" ht="15.75" customHeight="1">
      <c r="A788" s="159" t="s">
        <v>5096</v>
      </c>
      <c r="B788" s="159" t="s">
        <v>415</v>
      </c>
      <c r="C788" s="2" t="s">
        <v>5106</v>
      </c>
      <c r="D788" s="2" t="s">
        <v>5864</v>
      </c>
      <c r="E788" s="2" t="s">
        <v>5692</v>
      </c>
      <c r="G788" s="2">
        <v>53</v>
      </c>
      <c r="K788" s="211" t="s">
        <v>5667</v>
      </c>
    </row>
    <row r="789" spans="1:11" ht="15.75" customHeight="1">
      <c r="A789" s="159" t="s">
        <v>5096</v>
      </c>
      <c r="B789" s="159" t="s">
        <v>415</v>
      </c>
      <c r="C789" s="2" t="s">
        <v>5106</v>
      </c>
      <c r="D789" s="2" t="s">
        <v>5855</v>
      </c>
      <c r="E789" s="2" t="s">
        <v>5692</v>
      </c>
      <c r="G789" s="2">
        <v>53</v>
      </c>
      <c r="K789" s="211" t="s">
        <v>5667</v>
      </c>
    </row>
    <row r="790" spans="1:11" ht="15.75" customHeight="1">
      <c r="A790" s="159" t="s">
        <v>5096</v>
      </c>
      <c r="B790" s="159" t="s">
        <v>415</v>
      </c>
      <c r="C790" s="2" t="s">
        <v>5106</v>
      </c>
      <c r="D790" s="2" t="s">
        <v>5865</v>
      </c>
      <c r="E790" s="2" t="s">
        <v>5692</v>
      </c>
      <c r="G790" s="2">
        <v>53</v>
      </c>
      <c r="K790" s="211" t="s">
        <v>5667</v>
      </c>
    </row>
    <row r="791" spans="1:11" ht="15.75" customHeight="1">
      <c r="A791" s="159" t="s">
        <v>5096</v>
      </c>
      <c r="B791" s="159" t="s">
        <v>415</v>
      </c>
      <c r="C791" s="2" t="s">
        <v>5106</v>
      </c>
      <c r="D791" s="2" t="s">
        <v>5866</v>
      </c>
      <c r="E791" s="2" t="s">
        <v>5672</v>
      </c>
      <c r="K791" s="211" t="s">
        <v>5667</v>
      </c>
    </row>
    <row r="792" spans="1:11" ht="15.75" customHeight="1">
      <c r="A792" s="159" t="s">
        <v>5096</v>
      </c>
      <c r="B792" s="159" t="s">
        <v>415</v>
      </c>
      <c r="C792" s="2" t="s">
        <v>5106</v>
      </c>
      <c r="D792" s="2" t="s">
        <v>5871</v>
      </c>
      <c r="E792" s="2" t="s">
        <v>5672</v>
      </c>
      <c r="K792" s="211" t="s">
        <v>5667</v>
      </c>
    </row>
    <row r="793" spans="1:11" ht="15.75" customHeight="1">
      <c r="A793" s="159" t="s">
        <v>5096</v>
      </c>
      <c r="B793" s="159" t="s">
        <v>415</v>
      </c>
      <c r="C793" s="2" t="s">
        <v>5106</v>
      </c>
      <c r="D793" s="2" t="s">
        <v>5873</v>
      </c>
      <c r="E793" s="2" t="s">
        <v>5664</v>
      </c>
      <c r="G793" s="2">
        <v>32</v>
      </c>
      <c r="H793" s="2">
        <v>0</v>
      </c>
      <c r="K793" s="211" t="s">
        <v>5667</v>
      </c>
    </row>
    <row r="794" spans="1:11" ht="15.75" customHeight="1">
      <c r="A794" s="159" t="s">
        <v>5096</v>
      </c>
      <c r="B794" s="159" t="s">
        <v>415</v>
      </c>
      <c r="C794" s="2" t="s">
        <v>5106</v>
      </c>
      <c r="D794" s="2" t="s">
        <v>5868</v>
      </c>
      <c r="E794" s="2" t="s">
        <v>5664</v>
      </c>
      <c r="G794" s="2">
        <v>32</v>
      </c>
      <c r="H794" s="2">
        <v>0</v>
      </c>
      <c r="K794" s="211" t="s">
        <v>5667</v>
      </c>
    </row>
    <row r="795" spans="1:11" ht="15.75" customHeight="1">
      <c r="A795" s="159" t="s">
        <v>5096</v>
      </c>
      <c r="B795" s="159" t="s">
        <v>415</v>
      </c>
      <c r="C795" s="2" t="s">
        <v>5106</v>
      </c>
      <c r="D795" s="2" t="s">
        <v>5875</v>
      </c>
      <c r="E795" s="2" t="s">
        <v>5692</v>
      </c>
      <c r="G795" s="2">
        <v>53</v>
      </c>
      <c r="K795" s="211" t="s">
        <v>5667</v>
      </c>
    </row>
    <row r="796" spans="1:11" ht="15.75" customHeight="1">
      <c r="A796" s="159" t="s">
        <v>5096</v>
      </c>
      <c r="B796" s="159" t="s">
        <v>415</v>
      </c>
      <c r="C796" s="2" t="s">
        <v>5106</v>
      </c>
      <c r="D796" s="2" t="s">
        <v>5878</v>
      </c>
      <c r="E796" s="2" t="s">
        <v>5692</v>
      </c>
      <c r="G796" s="2">
        <v>53</v>
      </c>
      <c r="K796" s="211" t="s">
        <v>5667</v>
      </c>
    </row>
    <row r="797" spans="1:11" ht="15.75" customHeight="1">
      <c r="A797" s="159" t="s">
        <v>5096</v>
      </c>
      <c r="B797" s="159" t="s">
        <v>415</v>
      </c>
      <c r="C797" s="2" t="s">
        <v>5106</v>
      </c>
      <c r="D797" s="2" t="s">
        <v>5879</v>
      </c>
      <c r="E797" s="2" t="s">
        <v>5692</v>
      </c>
      <c r="G797" s="2">
        <v>53</v>
      </c>
      <c r="K797" s="211" t="s">
        <v>5667</v>
      </c>
    </row>
    <row r="798" spans="1:11" ht="15.75" customHeight="1">
      <c r="A798" s="159" t="s">
        <v>5096</v>
      </c>
      <c r="B798" s="159" t="s">
        <v>415</v>
      </c>
      <c r="C798" s="2" t="s">
        <v>5106</v>
      </c>
      <c r="D798" s="2" t="s">
        <v>5880</v>
      </c>
      <c r="E798" s="2" t="s">
        <v>5664</v>
      </c>
      <c r="G798" s="2">
        <v>32</v>
      </c>
      <c r="H798" s="2">
        <v>0</v>
      </c>
      <c r="K798" s="211" t="s">
        <v>5667</v>
      </c>
    </row>
    <row r="799" spans="1:11" ht="15.75" customHeight="1">
      <c r="A799" s="159" t="s">
        <v>5096</v>
      </c>
      <c r="B799" s="159" t="s">
        <v>415</v>
      </c>
      <c r="C799" s="2" t="s">
        <v>5106</v>
      </c>
      <c r="D799" s="2" t="s">
        <v>5881</v>
      </c>
      <c r="E799" s="2" t="s">
        <v>5672</v>
      </c>
      <c r="K799" s="211" t="s">
        <v>5667</v>
      </c>
    </row>
    <row r="800" spans="1:11" ht="15.75" customHeight="1">
      <c r="A800" s="159" t="s">
        <v>5096</v>
      </c>
      <c r="B800" s="159" t="s">
        <v>415</v>
      </c>
      <c r="C800" s="2" t="s">
        <v>5106</v>
      </c>
      <c r="D800" s="2" t="s">
        <v>6020</v>
      </c>
      <c r="E800" s="2" t="s">
        <v>5672</v>
      </c>
      <c r="K800" s="211" t="s">
        <v>5667</v>
      </c>
    </row>
    <row r="801" spans="1:11" ht="15.75" customHeight="1">
      <c r="A801" s="159" t="s">
        <v>5096</v>
      </c>
      <c r="B801" s="159" t="s">
        <v>415</v>
      </c>
      <c r="C801" s="2" t="s">
        <v>5106</v>
      </c>
      <c r="D801" s="2" t="s">
        <v>6021</v>
      </c>
      <c r="E801" s="2" t="s">
        <v>5672</v>
      </c>
      <c r="K801" s="211" t="s">
        <v>5667</v>
      </c>
    </row>
    <row r="802" spans="1:11" ht="15.75" customHeight="1">
      <c r="A802" s="159" t="s">
        <v>5096</v>
      </c>
      <c r="B802" s="159" t="s">
        <v>415</v>
      </c>
      <c r="C802" s="2" t="s">
        <v>5106</v>
      </c>
      <c r="D802" s="2" t="s">
        <v>5936</v>
      </c>
      <c r="E802" s="2" t="s">
        <v>5664</v>
      </c>
      <c r="G802" s="2">
        <v>32</v>
      </c>
      <c r="H802" s="2">
        <v>0</v>
      </c>
      <c r="K802" s="211" t="s">
        <v>5667</v>
      </c>
    </row>
    <row r="803" spans="1:11" ht="15.75" customHeight="1">
      <c r="A803" s="159" t="s">
        <v>5096</v>
      </c>
      <c r="B803" s="159" t="s">
        <v>415</v>
      </c>
      <c r="C803" s="2" t="s">
        <v>5106</v>
      </c>
      <c r="D803" s="2" t="s">
        <v>5937</v>
      </c>
      <c r="E803" s="2" t="s">
        <v>5666</v>
      </c>
      <c r="K803" s="211" t="s">
        <v>5667</v>
      </c>
    </row>
    <row r="804" spans="1:11" ht="15.75" customHeight="1"/>
    <row r="805" spans="1:11" ht="15.75" customHeight="1"/>
    <row r="806" spans="1:11" ht="15.75" customHeight="1"/>
    <row r="807" spans="1:11" ht="15.75" customHeight="1"/>
    <row r="808" spans="1:11" ht="15.75" customHeight="1"/>
    <row r="809" spans="1:11" ht="15.75" customHeight="1"/>
    <row r="810" spans="1:11" ht="15.75" customHeight="1"/>
    <row r="811" spans="1:11" ht="15.75" customHeight="1"/>
    <row r="812" spans="1:11" ht="15.75" customHeight="1"/>
    <row r="813" spans="1:11" ht="15.75" customHeight="1"/>
    <row r="814" spans="1:11" ht="15.75" customHeight="1"/>
    <row r="815" spans="1:11" ht="15.75" customHeight="1"/>
    <row r="816" spans="1:11"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803" xr:uid="{00000000-0009-0000-0000-00000B000000}">
    <filterColumn colId="0">
      <filters>
        <filter val="dbstagingii"/>
      </filters>
    </filterColumn>
  </autoFilter>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Z999"/>
  <sheetViews>
    <sheetView workbookViewId="0"/>
  </sheetViews>
  <sheetFormatPr baseColWidth="10" defaultColWidth="12.6640625" defaultRowHeight="15" customHeight="1"/>
  <cols>
    <col min="1" max="1" width="11.5" customWidth="1"/>
    <col min="2" max="2" width="11.6640625" customWidth="1"/>
    <col min="3" max="3" width="33.1640625" customWidth="1"/>
    <col min="4" max="4" width="7.5" customWidth="1"/>
    <col min="5" max="5" width="7.83203125" customWidth="1"/>
    <col min="6" max="6" width="10.1640625" customWidth="1"/>
    <col min="7" max="7" width="6.83203125" customWidth="1"/>
    <col min="8" max="8" width="11.33203125" customWidth="1"/>
    <col min="9" max="9" width="9.1640625" customWidth="1"/>
    <col min="10" max="10" width="9.83203125" customWidth="1"/>
    <col min="11" max="11" width="14.1640625" customWidth="1"/>
    <col min="12" max="12" width="11.6640625" customWidth="1"/>
    <col min="13" max="13" width="14.33203125" customWidth="1"/>
    <col min="14" max="14" width="16.1640625" customWidth="1"/>
    <col min="15" max="15" width="18.6640625" customWidth="1"/>
    <col min="16" max="16" width="24.5" customWidth="1"/>
    <col min="17" max="26" width="7.6640625" customWidth="1"/>
  </cols>
  <sheetData>
    <row r="1" spans="1:16">
      <c r="A1" s="213" t="s">
        <v>6022</v>
      </c>
      <c r="B1" s="214" t="s">
        <v>155</v>
      </c>
      <c r="C1" s="214" t="s">
        <v>156</v>
      </c>
      <c r="D1" s="214" t="s">
        <v>157</v>
      </c>
      <c r="E1" s="214" t="s">
        <v>158</v>
      </c>
      <c r="F1" s="214" t="s">
        <v>159</v>
      </c>
      <c r="G1" s="214" t="s">
        <v>160</v>
      </c>
      <c r="H1" s="214" t="s">
        <v>161</v>
      </c>
      <c r="I1" s="214" t="s">
        <v>162</v>
      </c>
      <c r="J1" s="215" t="s">
        <v>163</v>
      </c>
      <c r="K1" s="216" t="s">
        <v>165</v>
      </c>
      <c r="L1" s="217" t="s">
        <v>3632</v>
      </c>
      <c r="M1" s="103" t="s">
        <v>166</v>
      </c>
      <c r="N1" s="104" t="s">
        <v>167</v>
      </c>
      <c r="O1" s="105" t="s">
        <v>168</v>
      </c>
      <c r="P1" s="218" t="s">
        <v>6023</v>
      </c>
    </row>
    <row r="2" spans="1:16">
      <c r="A2" s="133" t="s">
        <v>6024</v>
      </c>
      <c r="B2" s="133" t="s">
        <v>6025</v>
      </c>
      <c r="C2" s="219" t="s">
        <v>6026</v>
      </c>
      <c r="D2" s="158">
        <v>730</v>
      </c>
      <c r="E2" s="133"/>
      <c r="F2" s="133"/>
      <c r="G2" s="158">
        <v>936</v>
      </c>
      <c r="H2" s="220"/>
      <c r="I2" s="158">
        <v>616</v>
      </c>
      <c r="J2" s="221">
        <v>44232</v>
      </c>
      <c r="K2" s="133" t="s">
        <v>3678</v>
      </c>
      <c r="L2" s="189"/>
      <c r="M2" s="98" t="s">
        <v>4246</v>
      </c>
      <c r="N2" s="98" t="s">
        <v>6027</v>
      </c>
      <c r="O2" s="208" t="s">
        <v>176</v>
      </c>
      <c r="P2" s="222" t="s">
        <v>6028</v>
      </c>
    </row>
    <row r="3" spans="1:16">
      <c r="A3" s="133" t="s">
        <v>6024</v>
      </c>
      <c r="B3" s="133" t="s">
        <v>6025</v>
      </c>
      <c r="C3" s="133" t="s">
        <v>6029</v>
      </c>
      <c r="D3" s="158">
        <v>311</v>
      </c>
      <c r="E3" s="133"/>
      <c r="F3" s="133"/>
      <c r="G3" s="158">
        <v>624</v>
      </c>
      <c r="H3" s="220"/>
      <c r="I3" s="158">
        <v>456</v>
      </c>
      <c r="J3" s="221">
        <v>44238</v>
      </c>
      <c r="K3" s="133" t="s">
        <v>3678</v>
      </c>
      <c r="L3" s="189"/>
      <c r="M3" s="98" t="s">
        <v>4246</v>
      </c>
      <c r="N3" s="98" t="s">
        <v>6027</v>
      </c>
      <c r="O3" s="208" t="s">
        <v>176</v>
      </c>
      <c r="P3" s="222" t="s">
        <v>6028</v>
      </c>
    </row>
    <row r="4" spans="1:16">
      <c r="A4" s="133" t="s">
        <v>6024</v>
      </c>
      <c r="B4" s="133" t="s">
        <v>6025</v>
      </c>
      <c r="C4" s="133" t="s">
        <v>6030</v>
      </c>
      <c r="D4" s="158">
        <v>338</v>
      </c>
      <c r="E4" s="133"/>
      <c r="F4" s="133"/>
      <c r="G4" s="158">
        <v>552</v>
      </c>
      <c r="H4" s="220"/>
      <c r="I4" s="158">
        <v>392</v>
      </c>
      <c r="J4" s="221">
        <v>44133</v>
      </c>
      <c r="K4" s="133" t="s">
        <v>3678</v>
      </c>
      <c r="L4" s="189"/>
      <c r="M4" s="98" t="s">
        <v>4246</v>
      </c>
      <c r="N4" s="98" t="s">
        <v>6027</v>
      </c>
      <c r="O4" s="208" t="s">
        <v>176</v>
      </c>
      <c r="P4" s="223" t="s">
        <v>6031</v>
      </c>
    </row>
    <row r="5" spans="1:16">
      <c r="A5" s="133" t="s">
        <v>6024</v>
      </c>
      <c r="B5" s="133" t="s">
        <v>6025</v>
      </c>
      <c r="C5" s="133" t="s">
        <v>6032</v>
      </c>
      <c r="D5" s="158">
        <v>11501</v>
      </c>
      <c r="E5" s="133"/>
      <c r="F5" s="133"/>
      <c r="G5" s="158">
        <v>6464</v>
      </c>
      <c r="H5" s="220"/>
      <c r="I5" s="158">
        <v>504</v>
      </c>
      <c r="J5" s="221">
        <v>44324</v>
      </c>
      <c r="K5" s="133" t="s">
        <v>3678</v>
      </c>
      <c r="L5" s="189"/>
      <c r="M5" s="98" t="s">
        <v>4246</v>
      </c>
      <c r="N5" s="98" t="s">
        <v>6027</v>
      </c>
      <c r="O5" s="208" t="s">
        <v>176</v>
      </c>
      <c r="P5" s="223" t="s">
        <v>6031</v>
      </c>
    </row>
    <row r="6" spans="1:16">
      <c r="A6" s="133" t="s">
        <v>6024</v>
      </c>
      <c r="B6" s="133" t="s">
        <v>6025</v>
      </c>
      <c r="C6" s="133" t="s">
        <v>87</v>
      </c>
      <c r="D6" s="158">
        <v>19580</v>
      </c>
      <c r="E6" s="133"/>
      <c r="F6" s="133"/>
      <c r="G6" s="158">
        <v>4568</v>
      </c>
      <c r="H6" s="220"/>
      <c r="I6" s="158">
        <v>360</v>
      </c>
      <c r="J6" s="221">
        <v>44231</v>
      </c>
      <c r="K6" s="133" t="s">
        <v>3678</v>
      </c>
      <c r="L6" s="189"/>
      <c r="M6" s="98" t="s">
        <v>4246</v>
      </c>
      <c r="N6" s="98" t="s">
        <v>6027</v>
      </c>
      <c r="O6" s="208" t="s">
        <v>176</v>
      </c>
      <c r="P6" s="222" t="s">
        <v>6028</v>
      </c>
    </row>
    <row r="7" spans="1:16">
      <c r="A7" s="133" t="s">
        <v>6024</v>
      </c>
      <c r="B7" s="133" t="s">
        <v>6025</v>
      </c>
      <c r="C7" s="133" t="s">
        <v>6033</v>
      </c>
      <c r="D7" s="158">
        <v>9232</v>
      </c>
      <c r="E7" s="133"/>
      <c r="F7" s="133"/>
      <c r="G7" s="158">
        <v>3448</v>
      </c>
      <c r="H7" s="220"/>
      <c r="I7" s="158">
        <v>400</v>
      </c>
      <c r="J7" s="221">
        <v>44400</v>
      </c>
      <c r="K7" s="133" t="s">
        <v>3678</v>
      </c>
      <c r="L7" s="189"/>
      <c r="M7" s="98" t="s">
        <v>4246</v>
      </c>
      <c r="N7" s="98" t="s">
        <v>6027</v>
      </c>
      <c r="O7" s="208" t="s">
        <v>176</v>
      </c>
      <c r="P7" s="222" t="s">
        <v>6028</v>
      </c>
    </row>
    <row r="8" spans="1:16">
      <c r="A8" s="133" t="s">
        <v>6024</v>
      </c>
      <c r="B8" s="133" t="s">
        <v>6025</v>
      </c>
      <c r="C8" s="224" t="s">
        <v>6034</v>
      </c>
      <c r="D8" s="158">
        <v>17859</v>
      </c>
      <c r="E8" s="133"/>
      <c r="F8" s="133"/>
      <c r="G8" s="158">
        <v>5696</v>
      </c>
      <c r="H8" s="220"/>
      <c r="I8" s="158">
        <v>320</v>
      </c>
      <c r="J8" s="221">
        <v>43913</v>
      </c>
      <c r="K8" s="133" t="s">
        <v>3678</v>
      </c>
      <c r="L8" s="189"/>
      <c r="M8" s="98" t="s">
        <v>4246</v>
      </c>
      <c r="N8" s="98" t="s">
        <v>6027</v>
      </c>
      <c r="O8" s="208" t="s">
        <v>176</v>
      </c>
      <c r="P8" s="223" t="s">
        <v>6031</v>
      </c>
    </row>
    <row r="9" spans="1:16">
      <c r="A9" s="133" t="s">
        <v>6024</v>
      </c>
      <c r="B9" s="133" t="s">
        <v>6035</v>
      </c>
      <c r="C9" s="133" t="s">
        <v>6036</v>
      </c>
      <c r="D9" s="158">
        <v>63</v>
      </c>
      <c r="E9" s="133"/>
      <c r="F9" s="133"/>
      <c r="G9" s="158">
        <v>432</v>
      </c>
      <c r="H9" s="220"/>
      <c r="I9" s="158">
        <v>336</v>
      </c>
      <c r="J9" s="221">
        <v>43913</v>
      </c>
      <c r="K9" s="133" t="s">
        <v>3678</v>
      </c>
      <c r="L9" s="189"/>
      <c r="M9" s="98" t="s">
        <v>4246</v>
      </c>
      <c r="N9" s="98" t="s">
        <v>6027</v>
      </c>
      <c r="O9" s="208" t="s">
        <v>176</v>
      </c>
      <c r="P9" s="223" t="s">
        <v>6031</v>
      </c>
    </row>
    <row r="10" spans="1:16">
      <c r="A10" s="133" t="s">
        <v>6024</v>
      </c>
      <c r="B10" s="133" t="s">
        <v>6035</v>
      </c>
      <c r="C10" s="133" t="s">
        <v>6037</v>
      </c>
      <c r="D10" s="158">
        <v>2684</v>
      </c>
      <c r="G10" s="158">
        <v>1032</v>
      </c>
      <c r="H10" s="225"/>
      <c r="I10" s="158">
        <v>176</v>
      </c>
      <c r="J10" s="221">
        <v>43983</v>
      </c>
      <c r="K10" s="133" t="s">
        <v>3678</v>
      </c>
      <c r="L10" s="189"/>
      <c r="M10" s="98" t="s">
        <v>4246</v>
      </c>
      <c r="N10" s="98" t="s">
        <v>6027</v>
      </c>
      <c r="O10" s="208" t="s">
        <v>176</v>
      </c>
      <c r="P10" s="222" t="s">
        <v>6028</v>
      </c>
    </row>
    <row r="11" spans="1:16">
      <c r="A11" s="133" t="s">
        <v>6024</v>
      </c>
      <c r="B11" s="133" t="s">
        <v>6035</v>
      </c>
      <c r="C11" s="133" t="s">
        <v>6038</v>
      </c>
      <c r="D11" s="158">
        <v>2833</v>
      </c>
      <c r="G11" s="158">
        <v>896</v>
      </c>
      <c r="H11" s="225"/>
      <c r="I11" s="158">
        <v>216</v>
      </c>
      <c r="J11" s="221">
        <v>43913</v>
      </c>
      <c r="K11" s="133" t="s">
        <v>3678</v>
      </c>
      <c r="L11" s="189"/>
      <c r="M11" s="98" t="s">
        <v>4246</v>
      </c>
      <c r="N11" s="98" t="s">
        <v>6027</v>
      </c>
      <c r="O11" s="208" t="s">
        <v>176</v>
      </c>
      <c r="P11" s="223" t="s">
        <v>6031</v>
      </c>
    </row>
    <row r="12" spans="1:16">
      <c r="A12" s="133" t="s">
        <v>6024</v>
      </c>
      <c r="B12" s="133" t="s">
        <v>6035</v>
      </c>
      <c r="C12" s="133" t="s">
        <v>6039</v>
      </c>
      <c r="D12" s="158">
        <v>2863</v>
      </c>
      <c r="G12" s="158">
        <v>1984</v>
      </c>
      <c r="H12" s="225"/>
      <c r="I12" s="158">
        <v>272</v>
      </c>
      <c r="J12" s="221">
        <v>43913</v>
      </c>
      <c r="K12" s="133" t="s">
        <v>3678</v>
      </c>
      <c r="L12" s="189"/>
      <c r="M12" s="98" t="s">
        <v>4246</v>
      </c>
      <c r="N12" s="98" t="s">
        <v>6027</v>
      </c>
      <c r="O12" s="208" t="s">
        <v>176</v>
      </c>
      <c r="P12" s="223" t="s">
        <v>6031</v>
      </c>
    </row>
    <row r="13" spans="1:16">
      <c r="A13" s="133" t="s">
        <v>6024</v>
      </c>
      <c r="B13" s="133" t="s">
        <v>6035</v>
      </c>
      <c r="C13" s="133" t="s">
        <v>6040</v>
      </c>
      <c r="D13" s="158">
        <v>976</v>
      </c>
      <c r="G13" s="158">
        <v>1152</v>
      </c>
      <c r="H13" s="225"/>
      <c r="I13" s="158">
        <v>592</v>
      </c>
      <c r="J13" s="221">
        <v>43913</v>
      </c>
      <c r="K13" s="133" t="s">
        <v>3678</v>
      </c>
      <c r="L13" s="189"/>
      <c r="M13" s="98" t="s">
        <v>4246</v>
      </c>
      <c r="N13" s="98" t="s">
        <v>6027</v>
      </c>
      <c r="O13" s="208" t="s">
        <v>176</v>
      </c>
      <c r="P13" s="223" t="s">
        <v>6031</v>
      </c>
    </row>
    <row r="14" spans="1:16">
      <c r="A14" s="133" t="s">
        <v>6024</v>
      </c>
      <c r="B14" s="133" t="s">
        <v>6035</v>
      </c>
      <c r="C14" s="133" t="s">
        <v>6041</v>
      </c>
      <c r="D14" s="158">
        <v>1005</v>
      </c>
      <c r="G14" s="158">
        <v>1216</v>
      </c>
      <c r="H14" s="225"/>
      <c r="I14" s="158">
        <v>520</v>
      </c>
      <c r="J14" s="221">
        <v>43913</v>
      </c>
      <c r="K14" s="133" t="s">
        <v>3678</v>
      </c>
      <c r="L14" s="189"/>
      <c r="M14" s="98" t="s">
        <v>4246</v>
      </c>
      <c r="N14" s="98" t="s">
        <v>6027</v>
      </c>
      <c r="O14" s="208" t="s">
        <v>176</v>
      </c>
      <c r="P14" s="223" t="s">
        <v>6031</v>
      </c>
    </row>
    <row r="15" spans="1:16">
      <c r="A15" s="133" t="s">
        <v>6024</v>
      </c>
      <c r="B15" s="133" t="s">
        <v>6035</v>
      </c>
      <c r="C15" s="133" t="s">
        <v>6042</v>
      </c>
      <c r="D15" s="158">
        <v>364</v>
      </c>
      <c r="G15" s="158">
        <v>1136</v>
      </c>
      <c r="H15" s="225"/>
      <c r="I15" s="158">
        <v>832</v>
      </c>
      <c r="J15" s="221">
        <v>43910</v>
      </c>
      <c r="K15" s="133" t="s">
        <v>3678</v>
      </c>
      <c r="L15" s="189"/>
      <c r="M15" s="98" t="s">
        <v>4246</v>
      </c>
      <c r="N15" s="98" t="s">
        <v>6027</v>
      </c>
      <c r="O15" s="208" t="s">
        <v>176</v>
      </c>
      <c r="P15" s="222" t="s">
        <v>6028</v>
      </c>
    </row>
    <row r="16" spans="1:16">
      <c r="A16" s="133" t="s">
        <v>6024</v>
      </c>
      <c r="B16" s="133" t="s">
        <v>6035</v>
      </c>
      <c r="C16" s="133" t="s">
        <v>6043</v>
      </c>
      <c r="D16" s="158">
        <v>16</v>
      </c>
      <c r="G16" s="158">
        <v>432</v>
      </c>
      <c r="H16" s="225"/>
      <c r="I16" s="158">
        <v>336</v>
      </c>
      <c r="J16" s="221">
        <v>43910</v>
      </c>
      <c r="K16" s="133" t="s">
        <v>3678</v>
      </c>
      <c r="L16" s="189"/>
      <c r="M16" s="98" t="s">
        <v>4246</v>
      </c>
      <c r="N16" s="98" t="s">
        <v>6027</v>
      </c>
      <c r="O16" s="208" t="s">
        <v>176</v>
      </c>
      <c r="P16" s="222" t="s">
        <v>6028</v>
      </c>
    </row>
    <row r="17" spans="1:26">
      <c r="A17" s="133" t="s">
        <v>6024</v>
      </c>
      <c r="B17" s="133" t="s">
        <v>6035</v>
      </c>
      <c r="C17" s="133" t="s">
        <v>6044</v>
      </c>
      <c r="D17" s="158">
        <v>7368</v>
      </c>
      <c r="G17" s="158">
        <v>4336</v>
      </c>
      <c r="H17" s="225"/>
      <c r="I17" s="158">
        <v>640</v>
      </c>
      <c r="J17" s="221">
        <v>43910</v>
      </c>
      <c r="K17" s="133" t="s">
        <v>3678</v>
      </c>
      <c r="L17" s="189"/>
      <c r="M17" s="98" t="s">
        <v>4246</v>
      </c>
      <c r="N17" s="98" t="s">
        <v>6027</v>
      </c>
      <c r="O17" s="208" t="s">
        <v>176</v>
      </c>
      <c r="P17" s="222" t="s">
        <v>6028</v>
      </c>
    </row>
    <row r="18" spans="1:26">
      <c r="A18" s="133" t="s">
        <v>6024</v>
      </c>
      <c r="B18" s="133" t="s">
        <v>6035</v>
      </c>
      <c r="C18" s="133" t="s">
        <v>6045</v>
      </c>
      <c r="D18" s="158">
        <v>1080282</v>
      </c>
      <c r="G18" s="158">
        <v>456688</v>
      </c>
      <c r="H18" s="225"/>
      <c r="I18" s="158">
        <v>7544</v>
      </c>
      <c r="J18" s="221">
        <v>43910</v>
      </c>
      <c r="K18" s="133" t="s">
        <v>3678</v>
      </c>
      <c r="L18" s="189"/>
      <c r="M18" s="98" t="s">
        <v>4246</v>
      </c>
      <c r="N18" s="98" t="s">
        <v>6027</v>
      </c>
      <c r="O18" s="208" t="s">
        <v>176</v>
      </c>
      <c r="P18" s="222" t="s">
        <v>6028</v>
      </c>
    </row>
    <row r="19" spans="1:26">
      <c r="A19" s="133" t="s">
        <v>6024</v>
      </c>
      <c r="B19" s="133" t="s">
        <v>6035</v>
      </c>
      <c r="C19" s="133" t="s">
        <v>6046</v>
      </c>
      <c r="D19" s="158">
        <v>28704</v>
      </c>
      <c r="G19" s="158">
        <v>11064</v>
      </c>
      <c r="H19" s="225"/>
      <c r="I19" s="158">
        <v>560</v>
      </c>
      <c r="J19" s="221">
        <v>43910</v>
      </c>
      <c r="K19" s="133" t="s">
        <v>3678</v>
      </c>
      <c r="L19" s="189"/>
      <c r="M19" s="98" t="s">
        <v>4246</v>
      </c>
      <c r="N19" s="98" t="s">
        <v>6027</v>
      </c>
      <c r="O19" s="208" t="s">
        <v>176</v>
      </c>
      <c r="P19" s="222" t="s">
        <v>6028</v>
      </c>
    </row>
    <row r="20" spans="1:26">
      <c r="A20" s="133" t="s">
        <v>6024</v>
      </c>
      <c r="B20" s="133" t="s">
        <v>6035</v>
      </c>
      <c r="C20" s="133" t="s">
        <v>6047</v>
      </c>
      <c r="D20" s="158">
        <v>228318</v>
      </c>
      <c r="G20" s="158">
        <v>115552</v>
      </c>
      <c r="H20" s="225"/>
      <c r="I20" s="158">
        <v>904</v>
      </c>
      <c r="J20" s="221">
        <v>43910</v>
      </c>
      <c r="K20" s="133" t="s">
        <v>3678</v>
      </c>
      <c r="L20" s="189"/>
      <c r="M20" s="98" t="s">
        <v>4246</v>
      </c>
      <c r="N20" s="98" t="s">
        <v>6027</v>
      </c>
      <c r="O20" s="208" t="s">
        <v>176</v>
      </c>
      <c r="P20" s="222" t="s">
        <v>6028</v>
      </c>
    </row>
    <row r="21" spans="1:26" ht="15.75" customHeight="1">
      <c r="A21" s="133" t="s">
        <v>6024</v>
      </c>
      <c r="B21" s="133" t="s">
        <v>6035</v>
      </c>
      <c r="C21" s="133" t="s">
        <v>6048</v>
      </c>
      <c r="D21" s="158">
        <v>45062</v>
      </c>
      <c r="G21" s="158">
        <v>22136</v>
      </c>
      <c r="H21" s="225"/>
      <c r="I21" s="158">
        <v>920</v>
      </c>
      <c r="J21" s="221">
        <v>43910</v>
      </c>
      <c r="K21" s="133" t="s">
        <v>3678</v>
      </c>
      <c r="L21" s="189"/>
      <c r="M21" s="98" t="s">
        <v>4246</v>
      </c>
      <c r="N21" s="98" t="s">
        <v>6027</v>
      </c>
      <c r="O21" s="208" t="s">
        <v>176</v>
      </c>
      <c r="P21" s="222" t="s">
        <v>6028</v>
      </c>
    </row>
    <row r="22" spans="1:26" ht="15.75" customHeight="1">
      <c r="A22" s="133" t="s">
        <v>6024</v>
      </c>
      <c r="B22" s="133" t="s">
        <v>6035</v>
      </c>
      <c r="C22" s="133" t="s">
        <v>6049</v>
      </c>
      <c r="D22" s="158">
        <v>269358</v>
      </c>
      <c r="G22" s="158">
        <v>112840</v>
      </c>
      <c r="H22" s="225"/>
      <c r="I22" s="158">
        <v>2184</v>
      </c>
      <c r="J22" s="221">
        <v>43910</v>
      </c>
      <c r="K22" s="133" t="s">
        <v>3678</v>
      </c>
      <c r="L22" s="189"/>
      <c r="M22" s="98" t="s">
        <v>4246</v>
      </c>
      <c r="N22" s="98" t="s">
        <v>6027</v>
      </c>
      <c r="O22" s="208" t="s">
        <v>176</v>
      </c>
      <c r="P22" s="222" t="s">
        <v>6028</v>
      </c>
    </row>
    <row r="23" spans="1:26" ht="15.75" customHeight="1">
      <c r="A23" s="133" t="s">
        <v>6024</v>
      </c>
      <c r="B23" s="133" t="s">
        <v>6035</v>
      </c>
      <c r="C23" s="133" t="s">
        <v>6050</v>
      </c>
      <c r="D23" s="158">
        <v>4480</v>
      </c>
      <c r="G23" s="158">
        <v>2800</v>
      </c>
      <c r="H23" s="225"/>
      <c r="I23" s="158">
        <v>496</v>
      </c>
      <c r="J23" s="221">
        <v>43910</v>
      </c>
      <c r="K23" s="133" t="s">
        <v>3678</v>
      </c>
      <c r="L23" s="189"/>
      <c r="M23" s="98" t="s">
        <v>4246</v>
      </c>
      <c r="N23" s="98" t="s">
        <v>6027</v>
      </c>
      <c r="O23" s="208" t="s">
        <v>176</v>
      </c>
      <c r="P23" s="222" t="s">
        <v>6028</v>
      </c>
    </row>
    <row r="24" spans="1:26" ht="15.75" customHeight="1">
      <c r="A24" s="133" t="s">
        <v>6024</v>
      </c>
      <c r="B24" s="133" t="s">
        <v>6025</v>
      </c>
      <c r="C24" s="133" t="s">
        <v>6051</v>
      </c>
      <c r="D24" s="158">
        <v>67</v>
      </c>
      <c r="G24" s="158">
        <v>360</v>
      </c>
      <c r="H24" s="225"/>
      <c r="I24" s="158">
        <v>256</v>
      </c>
      <c r="J24" s="221">
        <v>43910</v>
      </c>
      <c r="K24" s="133" t="s">
        <v>3678</v>
      </c>
      <c r="L24" s="189"/>
      <c r="M24" s="98" t="s">
        <v>4246</v>
      </c>
      <c r="N24" s="98" t="s">
        <v>6027</v>
      </c>
      <c r="O24" s="208" t="s">
        <v>176</v>
      </c>
      <c r="P24" s="223" t="s">
        <v>6031</v>
      </c>
      <c r="Q24" s="189"/>
      <c r="R24" s="189"/>
      <c r="S24" s="189"/>
      <c r="T24" s="189"/>
      <c r="U24" s="189"/>
      <c r="V24" s="189"/>
      <c r="W24" s="189"/>
      <c r="X24" s="189"/>
      <c r="Y24" s="189"/>
      <c r="Z24" s="189"/>
    </row>
    <row r="25" spans="1:26" ht="15.75" customHeight="1">
      <c r="A25" s="133" t="s">
        <v>6024</v>
      </c>
      <c r="B25" s="133" t="s">
        <v>6025</v>
      </c>
      <c r="C25" s="133" t="s">
        <v>6052</v>
      </c>
      <c r="D25" s="158">
        <v>2439</v>
      </c>
      <c r="G25" s="158">
        <v>1152</v>
      </c>
      <c r="H25" s="225"/>
      <c r="I25" s="158">
        <v>184</v>
      </c>
      <c r="J25" s="221">
        <v>43910</v>
      </c>
      <c r="K25" s="133" t="s">
        <v>3678</v>
      </c>
      <c r="L25" s="189"/>
      <c r="M25" s="98" t="s">
        <v>4246</v>
      </c>
      <c r="N25" s="98" t="s">
        <v>6027</v>
      </c>
      <c r="O25" s="208" t="s">
        <v>176</v>
      </c>
      <c r="P25" s="222" t="s">
        <v>6028</v>
      </c>
    </row>
    <row r="26" spans="1:26" ht="15.75" customHeight="1">
      <c r="A26" s="133" t="s">
        <v>6024</v>
      </c>
      <c r="B26" s="133" t="s">
        <v>6035</v>
      </c>
      <c r="C26" s="133" t="s">
        <v>6053</v>
      </c>
      <c r="D26" s="158">
        <v>21</v>
      </c>
      <c r="G26" s="158">
        <v>432</v>
      </c>
      <c r="H26" s="225"/>
      <c r="I26" s="158">
        <v>336</v>
      </c>
      <c r="J26" s="221">
        <v>43910</v>
      </c>
      <c r="K26" s="133" t="s">
        <v>3678</v>
      </c>
      <c r="L26" s="189"/>
      <c r="M26" s="98" t="s">
        <v>4246</v>
      </c>
      <c r="N26" s="98" t="s">
        <v>6027</v>
      </c>
      <c r="O26" s="208" t="s">
        <v>176</v>
      </c>
      <c r="P26" s="222" t="s">
        <v>6028</v>
      </c>
    </row>
    <row r="27" spans="1:26" ht="15.75" customHeight="1">
      <c r="A27" s="133" t="s">
        <v>6024</v>
      </c>
      <c r="B27" s="133" t="s">
        <v>6035</v>
      </c>
      <c r="C27" s="133" t="s">
        <v>6054</v>
      </c>
      <c r="D27" s="158">
        <v>34790</v>
      </c>
      <c r="G27" s="158">
        <v>13560</v>
      </c>
      <c r="H27" s="225"/>
      <c r="I27" s="158">
        <v>744</v>
      </c>
      <c r="J27" s="221">
        <v>43910</v>
      </c>
      <c r="K27" s="133" t="s">
        <v>3678</v>
      </c>
      <c r="L27" s="189"/>
      <c r="M27" s="98" t="s">
        <v>4246</v>
      </c>
      <c r="N27" s="98" t="s">
        <v>6027</v>
      </c>
      <c r="O27" s="208" t="s">
        <v>176</v>
      </c>
      <c r="P27" s="222" t="s">
        <v>6028</v>
      </c>
    </row>
    <row r="28" spans="1:26" ht="15.75" customHeight="1">
      <c r="A28" s="133" t="s">
        <v>6024</v>
      </c>
      <c r="B28" s="133" t="s">
        <v>6035</v>
      </c>
      <c r="C28" s="133" t="s">
        <v>6055</v>
      </c>
      <c r="D28" s="158">
        <v>66451</v>
      </c>
      <c r="G28" s="158">
        <v>29880</v>
      </c>
      <c r="H28" s="225"/>
      <c r="I28" s="158">
        <v>2232</v>
      </c>
      <c r="J28" s="221">
        <v>43910</v>
      </c>
      <c r="K28" s="133" t="s">
        <v>3678</v>
      </c>
      <c r="L28" s="189"/>
      <c r="M28" s="98" t="s">
        <v>4246</v>
      </c>
      <c r="N28" s="98" t="s">
        <v>6027</v>
      </c>
      <c r="O28" s="208" t="s">
        <v>176</v>
      </c>
      <c r="P28" s="222" t="s">
        <v>6028</v>
      </c>
    </row>
    <row r="29" spans="1:26" ht="15.75" customHeight="1">
      <c r="A29" s="133" t="s">
        <v>6024</v>
      </c>
      <c r="B29" s="133" t="s">
        <v>6035</v>
      </c>
      <c r="C29" s="133" t="s">
        <v>6056</v>
      </c>
      <c r="D29" s="158">
        <v>14877</v>
      </c>
      <c r="G29" s="158">
        <v>5480</v>
      </c>
      <c r="H29" s="225"/>
      <c r="I29" s="158">
        <v>344</v>
      </c>
      <c r="J29" s="221">
        <v>43910</v>
      </c>
      <c r="K29" s="133" t="s">
        <v>3678</v>
      </c>
      <c r="L29" s="189"/>
      <c r="M29" s="98" t="s">
        <v>4246</v>
      </c>
      <c r="N29" s="98" t="s">
        <v>6027</v>
      </c>
      <c r="O29" s="208" t="s">
        <v>176</v>
      </c>
      <c r="P29" s="222" t="s">
        <v>6028</v>
      </c>
    </row>
    <row r="30" spans="1:26" ht="15.75" customHeight="1">
      <c r="A30" s="133" t="s">
        <v>6024</v>
      </c>
      <c r="B30" s="133" t="s">
        <v>6035</v>
      </c>
      <c r="C30" s="133" t="s">
        <v>6057</v>
      </c>
      <c r="D30" s="158">
        <v>324789</v>
      </c>
      <c r="G30" s="158">
        <v>137064</v>
      </c>
      <c r="H30" s="225"/>
      <c r="I30" s="158">
        <v>816</v>
      </c>
      <c r="J30" s="221">
        <v>43910</v>
      </c>
      <c r="K30" s="133" t="s">
        <v>3678</v>
      </c>
      <c r="L30" s="189"/>
      <c r="M30" s="98" t="s">
        <v>4246</v>
      </c>
      <c r="N30" s="98" t="s">
        <v>6027</v>
      </c>
      <c r="O30" s="208" t="s">
        <v>176</v>
      </c>
      <c r="P30" s="222" t="s">
        <v>6028</v>
      </c>
    </row>
    <row r="31" spans="1:26" ht="15.75" customHeight="1">
      <c r="A31" s="133" t="s">
        <v>6024</v>
      </c>
      <c r="B31" s="133" t="s">
        <v>6035</v>
      </c>
      <c r="C31" s="133" t="s">
        <v>6058</v>
      </c>
      <c r="D31" s="158">
        <v>8448</v>
      </c>
      <c r="G31" s="158">
        <v>4120</v>
      </c>
      <c r="H31" s="225"/>
      <c r="I31" s="158">
        <v>176</v>
      </c>
      <c r="J31" s="221">
        <v>43910</v>
      </c>
      <c r="K31" s="133" t="s">
        <v>3678</v>
      </c>
      <c r="L31" s="189"/>
      <c r="M31" s="98" t="s">
        <v>4246</v>
      </c>
      <c r="N31" s="98" t="s">
        <v>6027</v>
      </c>
      <c r="O31" s="208" t="s">
        <v>176</v>
      </c>
      <c r="P31" s="222" t="s">
        <v>6028</v>
      </c>
    </row>
    <row r="32" spans="1:26" ht="15.75" customHeight="1">
      <c r="A32" s="133" t="s">
        <v>6024</v>
      </c>
      <c r="B32" s="133" t="s">
        <v>6035</v>
      </c>
      <c r="C32" s="133" t="s">
        <v>6059</v>
      </c>
      <c r="D32" s="158">
        <v>34275</v>
      </c>
      <c r="G32" s="158">
        <v>12824</v>
      </c>
      <c r="H32" s="225"/>
      <c r="I32" s="158">
        <v>960</v>
      </c>
      <c r="J32" s="221">
        <v>43910</v>
      </c>
      <c r="K32" s="133" t="s">
        <v>3678</v>
      </c>
      <c r="L32" s="189"/>
      <c r="M32" s="98" t="s">
        <v>4246</v>
      </c>
      <c r="N32" s="98" t="s">
        <v>6027</v>
      </c>
      <c r="O32" s="208" t="s">
        <v>176</v>
      </c>
      <c r="P32" s="222" t="s">
        <v>6028</v>
      </c>
    </row>
    <row r="33" spans="1:16" ht="15.75" customHeight="1">
      <c r="A33" s="133" t="s">
        <v>6024</v>
      </c>
      <c r="B33" s="133" t="s">
        <v>6025</v>
      </c>
      <c r="C33" s="133" t="s">
        <v>6060</v>
      </c>
      <c r="D33" s="158">
        <v>5</v>
      </c>
      <c r="G33" s="158">
        <v>432</v>
      </c>
      <c r="H33" s="225"/>
      <c r="I33" s="158">
        <v>336</v>
      </c>
      <c r="J33" s="221">
        <v>43910</v>
      </c>
      <c r="K33" s="133" t="s">
        <v>3678</v>
      </c>
      <c r="L33" s="189"/>
      <c r="M33" s="98" t="s">
        <v>4246</v>
      </c>
      <c r="N33" s="98" t="s">
        <v>6027</v>
      </c>
      <c r="O33" s="208" t="s">
        <v>176</v>
      </c>
      <c r="P33" s="222" t="s">
        <v>6028</v>
      </c>
    </row>
    <row r="34" spans="1:16" ht="15.75" customHeight="1">
      <c r="A34" s="133" t="s">
        <v>6024</v>
      </c>
      <c r="B34" s="133" t="s">
        <v>6025</v>
      </c>
      <c r="C34" s="133" t="s">
        <v>6061</v>
      </c>
      <c r="D34" s="158">
        <v>366</v>
      </c>
      <c r="G34" s="158">
        <v>1008</v>
      </c>
      <c r="H34" s="225"/>
      <c r="I34" s="158">
        <v>720</v>
      </c>
      <c r="J34" s="221">
        <v>43910</v>
      </c>
      <c r="K34" s="133" t="s">
        <v>3678</v>
      </c>
      <c r="L34" s="189"/>
      <c r="M34" s="98" t="s">
        <v>4246</v>
      </c>
      <c r="N34" s="98" t="s">
        <v>6027</v>
      </c>
      <c r="O34" s="208" t="s">
        <v>176</v>
      </c>
      <c r="P34" s="222" t="s">
        <v>6028</v>
      </c>
    </row>
    <row r="35" spans="1:16" ht="15.75" customHeight="1">
      <c r="A35" s="133" t="s">
        <v>6024</v>
      </c>
      <c r="B35" s="133" t="s">
        <v>6025</v>
      </c>
      <c r="C35" s="133" t="s">
        <v>6062</v>
      </c>
      <c r="D35" s="158">
        <v>16</v>
      </c>
      <c r="G35" s="158">
        <v>432</v>
      </c>
      <c r="H35" s="225"/>
      <c r="I35" s="158">
        <v>336</v>
      </c>
      <c r="J35" s="221">
        <v>43910</v>
      </c>
      <c r="K35" s="133" t="s">
        <v>3678</v>
      </c>
      <c r="L35" s="189"/>
      <c r="M35" s="98" t="s">
        <v>4246</v>
      </c>
      <c r="N35" s="98" t="s">
        <v>6027</v>
      </c>
      <c r="O35" s="208" t="s">
        <v>176</v>
      </c>
      <c r="P35" s="222" t="s">
        <v>6028</v>
      </c>
    </row>
    <row r="36" spans="1:16" ht="15.75" customHeight="1">
      <c r="A36" s="133" t="s">
        <v>6024</v>
      </c>
      <c r="B36" s="133" t="s">
        <v>6025</v>
      </c>
      <c r="C36" s="133" t="s">
        <v>6063</v>
      </c>
      <c r="D36" s="158">
        <v>336</v>
      </c>
      <c r="G36" s="158">
        <v>1200</v>
      </c>
      <c r="H36" s="225"/>
      <c r="I36" s="158">
        <v>904</v>
      </c>
      <c r="J36" s="221">
        <v>43910</v>
      </c>
      <c r="K36" s="133" t="s">
        <v>3678</v>
      </c>
      <c r="L36" s="189"/>
      <c r="M36" s="98" t="s">
        <v>4246</v>
      </c>
      <c r="N36" s="98" t="s">
        <v>6027</v>
      </c>
      <c r="O36" s="208" t="s">
        <v>176</v>
      </c>
      <c r="P36" s="222" t="s">
        <v>6028</v>
      </c>
    </row>
    <row r="37" spans="1:16" ht="15.75" customHeight="1">
      <c r="A37" s="133" t="s">
        <v>6024</v>
      </c>
      <c r="B37" s="133" t="s">
        <v>6025</v>
      </c>
      <c r="C37" s="133" t="s">
        <v>6064</v>
      </c>
      <c r="D37" s="158">
        <v>0</v>
      </c>
      <c r="G37" s="158">
        <v>0</v>
      </c>
      <c r="H37" s="225"/>
      <c r="I37" s="158">
        <v>0</v>
      </c>
      <c r="J37" s="221">
        <v>43910</v>
      </c>
      <c r="K37" s="133" t="s">
        <v>3678</v>
      </c>
      <c r="L37" s="189"/>
      <c r="M37" s="98" t="s">
        <v>4246</v>
      </c>
      <c r="N37" s="98" t="s">
        <v>6027</v>
      </c>
      <c r="O37" s="208" t="s">
        <v>176</v>
      </c>
      <c r="P37" s="222" t="s">
        <v>6028</v>
      </c>
    </row>
    <row r="38" spans="1:16" ht="15.75" customHeight="1">
      <c r="A38" s="133" t="s">
        <v>6024</v>
      </c>
      <c r="B38" s="133" t="s">
        <v>6025</v>
      </c>
      <c r="C38" s="133" t="s">
        <v>6065</v>
      </c>
      <c r="D38" s="158">
        <v>1839</v>
      </c>
      <c r="G38" s="158">
        <v>1840</v>
      </c>
      <c r="H38" s="225"/>
      <c r="I38" s="158">
        <v>384</v>
      </c>
      <c r="J38" s="221">
        <v>43910</v>
      </c>
      <c r="K38" s="133" t="s">
        <v>3678</v>
      </c>
      <c r="L38" s="189"/>
      <c r="M38" s="98" t="s">
        <v>4246</v>
      </c>
      <c r="N38" s="98" t="s">
        <v>6027</v>
      </c>
      <c r="O38" s="208" t="s">
        <v>176</v>
      </c>
      <c r="P38" s="222" t="s">
        <v>6028</v>
      </c>
    </row>
    <row r="39" spans="1:16" ht="15.75" customHeight="1">
      <c r="A39" s="133" t="s">
        <v>6024</v>
      </c>
      <c r="B39" s="133" t="s">
        <v>6025</v>
      </c>
      <c r="C39" s="133" t="s">
        <v>6066</v>
      </c>
      <c r="D39" s="158">
        <v>1190</v>
      </c>
      <c r="G39" s="158">
        <v>1072</v>
      </c>
      <c r="H39" s="225"/>
      <c r="I39" s="158">
        <v>456</v>
      </c>
      <c r="J39" s="221">
        <v>43910</v>
      </c>
      <c r="K39" s="133" t="s">
        <v>3678</v>
      </c>
      <c r="L39" s="189"/>
      <c r="M39" s="98" t="s">
        <v>4246</v>
      </c>
      <c r="N39" s="98" t="s">
        <v>6027</v>
      </c>
      <c r="O39" s="208" t="s">
        <v>176</v>
      </c>
      <c r="P39" s="222" t="s">
        <v>6028</v>
      </c>
    </row>
    <row r="40" spans="1:16" ht="15.75" customHeight="1">
      <c r="A40" s="133" t="s">
        <v>6024</v>
      </c>
      <c r="B40" s="133" t="s">
        <v>6025</v>
      </c>
      <c r="C40" s="133" t="s">
        <v>6067</v>
      </c>
      <c r="D40" s="158">
        <v>6003</v>
      </c>
      <c r="G40" s="158">
        <v>3184</v>
      </c>
      <c r="H40" s="225"/>
      <c r="I40" s="158">
        <v>576</v>
      </c>
      <c r="J40" s="221">
        <v>43910</v>
      </c>
      <c r="K40" s="133" t="s">
        <v>3678</v>
      </c>
      <c r="L40" s="189"/>
      <c r="M40" s="98" t="s">
        <v>4246</v>
      </c>
      <c r="N40" s="98" t="s">
        <v>6027</v>
      </c>
      <c r="O40" s="208" t="s">
        <v>176</v>
      </c>
      <c r="P40" s="222" t="s">
        <v>6028</v>
      </c>
    </row>
    <row r="41" spans="1:16" ht="15.75" customHeight="1">
      <c r="A41" s="133" t="s">
        <v>6024</v>
      </c>
      <c r="B41" s="133" t="s">
        <v>6025</v>
      </c>
      <c r="C41" s="133" t="s">
        <v>6068</v>
      </c>
      <c r="D41" s="158">
        <v>184</v>
      </c>
      <c r="G41" s="158">
        <v>496</v>
      </c>
      <c r="H41" s="225"/>
      <c r="I41" s="158">
        <v>352</v>
      </c>
      <c r="J41" s="221">
        <v>43910</v>
      </c>
      <c r="K41" s="133" t="s">
        <v>3678</v>
      </c>
      <c r="L41" s="189"/>
      <c r="M41" s="98" t="s">
        <v>4246</v>
      </c>
      <c r="N41" s="98" t="s">
        <v>6027</v>
      </c>
      <c r="O41" s="208" t="s">
        <v>176</v>
      </c>
      <c r="P41" s="222" t="s">
        <v>6028</v>
      </c>
    </row>
    <row r="42" spans="1:16" ht="15.75" customHeight="1">
      <c r="A42" s="133" t="s">
        <v>6024</v>
      </c>
      <c r="B42" s="133" t="s">
        <v>6025</v>
      </c>
      <c r="C42" s="133" t="s">
        <v>6069</v>
      </c>
      <c r="D42" s="158">
        <v>3</v>
      </c>
      <c r="G42" s="158">
        <v>432</v>
      </c>
      <c r="H42" s="225"/>
      <c r="I42" s="158">
        <v>336</v>
      </c>
      <c r="J42" s="221">
        <v>43910</v>
      </c>
      <c r="K42" s="133" t="s">
        <v>3678</v>
      </c>
      <c r="L42" s="189"/>
      <c r="M42" s="98" t="s">
        <v>4246</v>
      </c>
      <c r="N42" s="98" t="s">
        <v>6027</v>
      </c>
      <c r="O42" s="208" t="s">
        <v>176</v>
      </c>
      <c r="P42" s="222" t="s">
        <v>6028</v>
      </c>
    </row>
    <row r="43" spans="1:16" ht="15.75" customHeight="1">
      <c r="A43" s="133" t="s">
        <v>6024</v>
      </c>
      <c r="B43" s="133" t="s">
        <v>6025</v>
      </c>
      <c r="C43" s="133" t="s">
        <v>6070</v>
      </c>
      <c r="D43" s="158">
        <v>358</v>
      </c>
      <c r="G43" s="158">
        <v>1136</v>
      </c>
      <c r="H43" s="225"/>
      <c r="I43" s="158">
        <v>872</v>
      </c>
      <c r="J43" s="221">
        <v>43910</v>
      </c>
      <c r="K43" s="133" t="s">
        <v>3678</v>
      </c>
      <c r="L43" s="189"/>
      <c r="M43" s="98" t="s">
        <v>4246</v>
      </c>
      <c r="N43" s="98" t="s">
        <v>6027</v>
      </c>
      <c r="O43" s="208" t="s">
        <v>176</v>
      </c>
      <c r="P43" s="222" t="s">
        <v>6028</v>
      </c>
    </row>
    <row r="44" spans="1:16" ht="15.75" customHeight="1">
      <c r="A44" s="133" t="s">
        <v>6024</v>
      </c>
      <c r="B44" s="133" t="s">
        <v>6025</v>
      </c>
      <c r="C44" s="133" t="s">
        <v>6071</v>
      </c>
      <c r="D44" s="158">
        <v>1313</v>
      </c>
      <c r="G44" s="158">
        <v>1016</v>
      </c>
      <c r="H44" s="225"/>
      <c r="I44" s="158">
        <v>344</v>
      </c>
      <c r="J44" s="221">
        <v>43910</v>
      </c>
      <c r="K44" s="133" t="s">
        <v>3678</v>
      </c>
      <c r="L44" s="189"/>
      <c r="M44" s="98" t="s">
        <v>4246</v>
      </c>
      <c r="N44" s="98" t="s">
        <v>6027</v>
      </c>
      <c r="O44" s="208" t="s">
        <v>176</v>
      </c>
      <c r="P44" s="222" t="s">
        <v>6028</v>
      </c>
    </row>
    <row r="45" spans="1:16" ht="15.75" customHeight="1">
      <c r="A45" s="133" t="s">
        <v>6024</v>
      </c>
      <c r="B45" s="133" t="s">
        <v>6025</v>
      </c>
      <c r="C45" s="133" t="s">
        <v>6072</v>
      </c>
      <c r="D45" s="158">
        <v>10883</v>
      </c>
      <c r="G45" s="158">
        <v>7176</v>
      </c>
      <c r="H45" s="225"/>
      <c r="I45" s="158">
        <v>800</v>
      </c>
      <c r="J45" s="221">
        <v>43910</v>
      </c>
      <c r="K45" s="133" t="s">
        <v>3678</v>
      </c>
      <c r="L45" s="189"/>
      <c r="M45" s="98" t="s">
        <v>4246</v>
      </c>
      <c r="N45" s="98" t="s">
        <v>6027</v>
      </c>
      <c r="O45" s="208" t="s">
        <v>176</v>
      </c>
      <c r="P45" s="223" t="s">
        <v>6031</v>
      </c>
    </row>
    <row r="46" spans="1:16" ht="15.75" customHeight="1">
      <c r="A46" s="133" t="s">
        <v>6024</v>
      </c>
      <c r="B46" s="133" t="s">
        <v>6025</v>
      </c>
      <c r="C46" s="133" t="s">
        <v>6073</v>
      </c>
      <c r="D46" s="158">
        <v>7</v>
      </c>
      <c r="G46" s="158">
        <v>432</v>
      </c>
      <c r="H46" s="225"/>
      <c r="I46" s="158">
        <v>336</v>
      </c>
      <c r="J46" s="221">
        <v>43910</v>
      </c>
      <c r="K46" s="133" t="s">
        <v>3678</v>
      </c>
      <c r="L46" s="189"/>
      <c r="M46" s="98" t="s">
        <v>4246</v>
      </c>
      <c r="N46" s="98" t="s">
        <v>6027</v>
      </c>
      <c r="O46" s="208" t="s">
        <v>176</v>
      </c>
      <c r="P46" s="222" t="s">
        <v>6028</v>
      </c>
    </row>
    <row r="47" spans="1:16" ht="15.75" customHeight="1">
      <c r="A47" s="133" t="s">
        <v>6024</v>
      </c>
      <c r="B47" s="133" t="s">
        <v>6025</v>
      </c>
      <c r="C47" s="133" t="s">
        <v>6074</v>
      </c>
      <c r="D47" s="158">
        <v>17534</v>
      </c>
      <c r="G47" s="158">
        <v>7264</v>
      </c>
      <c r="H47" s="225"/>
      <c r="I47" s="158">
        <v>472</v>
      </c>
      <c r="J47" s="221">
        <v>43910</v>
      </c>
      <c r="K47" s="133" t="s">
        <v>3678</v>
      </c>
      <c r="L47" s="189"/>
      <c r="M47" s="98" t="s">
        <v>4246</v>
      </c>
      <c r="N47" s="98" t="s">
        <v>6027</v>
      </c>
      <c r="O47" s="208" t="s">
        <v>176</v>
      </c>
      <c r="P47" s="223" t="s">
        <v>6031</v>
      </c>
    </row>
    <row r="48" spans="1:16" ht="15.75" customHeight="1">
      <c r="A48" s="133" t="s">
        <v>6024</v>
      </c>
      <c r="B48" s="133" t="s">
        <v>6035</v>
      </c>
      <c r="C48" s="133" t="s">
        <v>6075</v>
      </c>
      <c r="D48" s="158">
        <v>60</v>
      </c>
      <c r="G48" s="158">
        <v>432</v>
      </c>
      <c r="H48" s="225"/>
      <c r="I48" s="158">
        <v>320</v>
      </c>
      <c r="J48" s="221">
        <v>43910</v>
      </c>
      <c r="K48" s="133" t="s">
        <v>3678</v>
      </c>
      <c r="L48" s="189"/>
      <c r="M48" s="98" t="s">
        <v>4246</v>
      </c>
      <c r="N48" s="98" t="s">
        <v>6027</v>
      </c>
      <c r="O48" s="208" t="s">
        <v>176</v>
      </c>
      <c r="P48" s="223" t="s">
        <v>6031</v>
      </c>
    </row>
    <row r="49" spans="1:16" ht="15.75" customHeight="1">
      <c r="A49" s="133" t="s">
        <v>6024</v>
      </c>
      <c r="B49" s="133" t="s">
        <v>6025</v>
      </c>
      <c r="C49" s="133" t="s">
        <v>6076</v>
      </c>
      <c r="D49" s="158">
        <v>16</v>
      </c>
      <c r="G49" s="225"/>
      <c r="H49" s="225"/>
      <c r="I49" s="225"/>
      <c r="J49" s="226">
        <v>44533</v>
      </c>
      <c r="K49" s="133" t="s">
        <v>3678</v>
      </c>
      <c r="L49" s="189"/>
      <c r="M49" s="98" t="s">
        <v>4246</v>
      </c>
      <c r="N49" s="98" t="s">
        <v>6027</v>
      </c>
      <c r="O49" s="208" t="s">
        <v>176</v>
      </c>
      <c r="P49" s="222" t="s">
        <v>6028</v>
      </c>
    </row>
    <row r="50" spans="1:16" ht="15.75" customHeight="1">
      <c r="A50" s="133" t="s">
        <v>6024</v>
      </c>
      <c r="B50" s="133" t="s">
        <v>6035</v>
      </c>
      <c r="C50" s="227" t="s">
        <v>6077</v>
      </c>
      <c r="D50" s="225"/>
      <c r="G50" s="225"/>
      <c r="H50" s="225"/>
      <c r="I50" s="225"/>
      <c r="J50" s="226">
        <v>44533</v>
      </c>
      <c r="K50" s="133" t="s">
        <v>3678</v>
      </c>
      <c r="L50" s="189"/>
      <c r="M50" s="98" t="s">
        <v>4246</v>
      </c>
      <c r="N50" s="98" t="s">
        <v>6027</v>
      </c>
      <c r="O50" s="208" t="s">
        <v>176</v>
      </c>
      <c r="P50" s="223" t="s">
        <v>6031</v>
      </c>
    </row>
    <row r="51" spans="1:16" ht="15.75" customHeight="1">
      <c r="A51" s="133" t="s">
        <v>6024</v>
      </c>
      <c r="B51" s="133" t="s">
        <v>6025</v>
      </c>
      <c r="C51" s="133" t="s">
        <v>6078</v>
      </c>
      <c r="D51" s="225"/>
      <c r="G51" s="225"/>
      <c r="H51" s="225"/>
      <c r="I51" s="225"/>
      <c r="J51" s="226">
        <v>44533</v>
      </c>
      <c r="K51" s="133" t="s">
        <v>3678</v>
      </c>
      <c r="L51" s="189"/>
      <c r="M51" s="98" t="s">
        <v>4246</v>
      </c>
      <c r="N51" s="98" t="s">
        <v>6027</v>
      </c>
      <c r="O51" s="208" t="s">
        <v>176</v>
      </c>
      <c r="P51" s="223" t="s">
        <v>6031</v>
      </c>
    </row>
    <row r="52" spans="1:16" ht="15.75" customHeight="1">
      <c r="A52" s="133" t="s">
        <v>6024</v>
      </c>
      <c r="B52" s="133" t="s">
        <v>6025</v>
      </c>
      <c r="C52" s="133" t="s">
        <v>6079</v>
      </c>
      <c r="D52" s="225"/>
      <c r="G52" s="225"/>
      <c r="H52" s="225"/>
      <c r="I52" s="225"/>
      <c r="J52" s="226">
        <v>44533</v>
      </c>
      <c r="K52" s="133" t="s">
        <v>3678</v>
      </c>
      <c r="L52" s="189"/>
      <c r="M52" s="98" t="s">
        <v>4246</v>
      </c>
      <c r="N52" s="98" t="s">
        <v>6027</v>
      </c>
      <c r="O52" s="208" t="s">
        <v>176</v>
      </c>
      <c r="P52" s="223" t="s">
        <v>6031</v>
      </c>
    </row>
    <row r="53" spans="1:16" ht="15.75" customHeight="1">
      <c r="A53" s="133" t="s">
        <v>6024</v>
      </c>
      <c r="B53" s="133" t="s">
        <v>6025</v>
      </c>
      <c r="C53" s="133" t="s">
        <v>6080</v>
      </c>
      <c r="D53" s="225"/>
      <c r="G53" s="225"/>
      <c r="H53" s="225"/>
      <c r="I53" s="225"/>
      <c r="J53" s="226">
        <v>44533</v>
      </c>
      <c r="K53" s="133" t="s">
        <v>3678</v>
      </c>
      <c r="L53" s="189"/>
      <c r="M53" s="98" t="s">
        <v>4246</v>
      </c>
      <c r="N53" s="98" t="s">
        <v>6027</v>
      </c>
      <c r="O53" s="208" t="s">
        <v>176</v>
      </c>
      <c r="P53" s="222" t="s">
        <v>6028</v>
      </c>
    </row>
    <row r="54" spans="1:16" ht="15.75" customHeight="1">
      <c r="A54" s="133" t="s">
        <v>6024</v>
      </c>
      <c r="B54" s="133" t="s">
        <v>6035</v>
      </c>
      <c r="C54" s="228" t="s">
        <v>6081</v>
      </c>
      <c r="D54" s="158">
        <v>26</v>
      </c>
      <c r="G54" s="225"/>
      <c r="H54" s="225"/>
      <c r="I54" s="225"/>
      <c r="J54" s="226">
        <v>44533</v>
      </c>
      <c r="K54" s="133" t="s">
        <v>3678</v>
      </c>
      <c r="L54" s="189"/>
      <c r="M54" s="98" t="s">
        <v>4246</v>
      </c>
      <c r="N54" s="98" t="s">
        <v>6027</v>
      </c>
      <c r="O54" s="208" t="s">
        <v>176</v>
      </c>
      <c r="P54" s="223" t="s">
        <v>6031</v>
      </c>
    </row>
    <row r="55" spans="1:16" ht="15.75" customHeight="1">
      <c r="A55" s="133" t="s">
        <v>6024</v>
      </c>
      <c r="B55" s="133" t="s">
        <v>6025</v>
      </c>
      <c r="C55" s="228" t="s">
        <v>6082</v>
      </c>
      <c r="D55" s="2"/>
      <c r="E55" s="2"/>
      <c r="F55" s="2"/>
      <c r="G55" s="2"/>
      <c r="H55" s="2"/>
      <c r="I55" s="2"/>
      <c r="J55" s="229">
        <v>44579</v>
      </c>
      <c r="K55" s="133" t="s">
        <v>3678</v>
      </c>
      <c r="M55" s="98" t="s">
        <v>4246</v>
      </c>
      <c r="N55" s="98" t="s">
        <v>6027</v>
      </c>
      <c r="O55" s="230" t="s">
        <v>176</v>
      </c>
      <c r="P55" s="223" t="s">
        <v>6031</v>
      </c>
    </row>
    <row r="56" spans="1:16" ht="15.75" customHeight="1">
      <c r="A56" s="133" t="s">
        <v>6024</v>
      </c>
      <c r="B56" s="133" t="s">
        <v>6025</v>
      </c>
      <c r="C56" s="228" t="s">
        <v>6083</v>
      </c>
      <c r="D56" s="2"/>
      <c r="E56" s="2"/>
      <c r="F56" s="2"/>
      <c r="G56" s="2"/>
      <c r="H56" s="2"/>
      <c r="I56" s="2"/>
      <c r="J56" s="229">
        <v>44579</v>
      </c>
      <c r="K56" s="133" t="s">
        <v>3678</v>
      </c>
      <c r="M56" s="98" t="s">
        <v>4246</v>
      </c>
      <c r="N56" s="98" t="s">
        <v>6027</v>
      </c>
      <c r="O56" s="230" t="s">
        <v>176</v>
      </c>
      <c r="P56" s="223" t="s">
        <v>6031</v>
      </c>
    </row>
    <row r="57" spans="1:16" ht="15" customHeight="1">
      <c r="A57" s="133" t="s">
        <v>6024</v>
      </c>
      <c r="B57" s="133" t="s">
        <v>6025</v>
      </c>
      <c r="C57" s="228" t="s">
        <v>6084</v>
      </c>
      <c r="D57" s="2"/>
      <c r="E57" s="2"/>
      <c r="F57" s="2"/>
      <c r="G57" s="2"/>
      <c r="H57" s="2"/>
      <c r="I57" s="2"/>
      <c r="J57" s="229">
        <v>44579</v>
      </c>
      <c r="K57" s="133" t="s">
        <v>3678</v>
      </c>
      <c r="M57" s="98" t="s">
        <v>4246</v>
      </c>
      <c r="N57" s="98" t="s">
        <v>6027</v>
      </c>
      <c r="O57" s="230" t="s">
        <v>176</v>
      </c>
      <c r="P57" s="222" t="s">
        <v>6028</v>
      </c>
    </row>
    <row r="58" spans="1:16" ht="15.75" customHeight="1">
      <c r="A58" s="133" t="s">
        <v>6024</v>
      </c>
      <c r="B58" s="133" t="s">
        <v>6025</v>
      </c>
      <c r="C58" s="228" t="s">
        <v>6085</v>
      </c>
      <c r="D58" s="2"/>
      <c r="E58" s="2"/>
      <c r="F58" s="2"/>
      <c r="G58" s="2"/>
      <c r="H58" s="2"/>
      <c r="I58" s="2"/>
      <c r="J58" s="229">
        <v>44579</v>
      </c>
      <c r="K58" s="133" t="s">
        <v>3678</v>
      </c>
      <c r="M58" s="98" t="s">
        <v>4246</v>
      </c>
      <c r="N58" s="98" t="s">
        <v>6027</v>
      </c>
      <c r="O58" s="230" t="s">
        <v>176</v>
      </c>
      <c r="P58" s="222" t="s">
        <v>6028</v>
      </c>
    </row>
    <row r="59" spans="1:16" ht="15.75" customHeight="1">
      <c r="A59" s="133" t="s">
        <v>6024</v>
      </c>
      <c r="B59" s="133" t="s">
        <v>6025</v>
      </c>
      <c r="C59" s="228" t="s">
        <v>6086</v>
      </c>
      <c r="D59" s="2"/>
      <c r="E59" s="2"/>
      <c r="F59" s="2"/>
      <c r="G59" s="2"/>
      <c r="H59" s="2"/>
      <c r="I59" s="2"/>
      <c r="J59" s="229">
        <v>44579</v>
      </c>
      <c r="K59" s="133" t="s">
        <v>3678</v>
      </c>
      <c r="M59" s="98" t="s">
        <v>4246</v>
      </c>
      <c r="N59" s="98" t="s">
        <v>6027</v>
      </c>
      <c r="O59" s="230" t="s">
        <v>176</v>
      </c>
      <c r="P59" s="222" t="s">
        <v>6028</v>
      </c>
    </row>
    <row r="60" spans="1:16" ht="15.75" customHeight="1">
      <c r="A60" s="133" t="s">
        <v>6024</v>
      </c>
      <c r="B60" s="133" t="s">
        <v>6025</v>
      </c>
      <c r="C60" s="228" t="s">
        <v>6087</v>
      </c>
      <c r="D60" s="2"/>
      <c r="E60" s="2"/>
      <c r="F60" s="2"/>
      <c r="G60" s="2"/>
      <c r="H60" s="2"/>
      <c r="I60" s="2"/>
      <c r="J60" s="229">
        <v>44579</v>
      </c>
      <c r="K60" s="133" t="s">
        <v>3678</v>
      </c>
      <c r="M60" s="98" t="s">
        <v>4246</v>
      </c>
      <c r="N60" s="98" t="s">
        <v>6027</v>
      </c>
      <c r="O60" s="230" t="s">
        <v>176</v>
      </c>
      <c r="P60" s="223" t="s">
        <v>6031</v>
      </c>
    </row>
    <row r="61" spans="1:16" ht="15.75" customHeight="1">
      <c r="A61" s="133"/>
      <c r="B61" s="133"/>
      <c r="C61" s="228"/>
      <c r="J61" s="229"/>
      <c r="K61" s="133"/>
      <c r="L61" s="189"/>
      <c r="O61" s="208"/>
      <c r="P61" s="231"/>
    </row>
    <row r="62" spans="1:16" ht="15.75" customHeight="1">
      <c r="K62" s="189"/>
      <c r="L62" s="189"/>
      <c r="P62" s="231"/>
    </row>
    <row r="63" spans="1:16" ht="15.75" customHeight="1">
      <c r="K63" s="189"/>
      <c r="L63" s="189"/>
      <c r="P63" s="231"/>
    </row>
    <row r="64" spans="1:16" ht="15.75" customHeight="1">
      <c r="K64" s="189"/>
      <c r="L64" s="189"/>
      <c r="P64" s="231"/>
    </row>
    <row r="65" spans="11:16" ht="15.75" customHeight="1">
      <c r="K65" s="189"/>
      <c r="L65" s="189"/>
      <c r="P65" s="231"/>
    </row>
    <row r="66" spans="11:16" ht="15.75" customHeight="1">
      <c r="K66" s="189"/>
      <c r="L66" s="189"/>
      <c r="P66" s="231"/>
    </row>
    <row r="67" spans="11:16" ht="15.75" customHeight="1">
      <c r="K67" s="189"/>
      <c r="L67" s="189"/>
      <c r="P67" s="231"/>
    </row>
    <row r="68" spans="11:16" ht="15.75" customHeight="1">
      <c r="K68" s="189"/>
      <c r="L68" s="189"/>
      <c r="P68" s="231"/>
    </row>
    <row r="69" spans="11:16" ht="15.75" customHeight="1">
      <c r="K69" s="189"/>
      <c r="L69" s="189"/>
      <c r="P69" s="231"/>
    </row>
    <row r="70" spans="11:16" ht="15.75" customHeight="1">
      <c r="K70" s="189"/>
      <c r="L70" s="189"/>
      <c r="P70" s="231"/>
    </row>
    <row r="71" spans="11:16" ht="15.75" customHeight="1">
      <c r="K71" s="189"/>
      <c r="L71" s="189"/>
      <c r="P71" s="231"/>
    </row>
    <row r="72" spans="11:16" ht="15.75" customHeight="1">
      <c r="K72" s="189"/>
      <c r="L72" s="189"/>
      <c r="P72" s="231"/>
    </row>
    <row r="73" spans="11:16" ht="15.75" customHeight="1">
      <c r="K73" s="189"/>
      <c r="L73" s="189"/>
      <c r="P73" s="231"/>
    </row>
    <row r="74" spans="11:16" ht="15.75" customHeight="1">
      <c r="K74" s="189"/>
      <c r="L74" s="189"/>
      <c r="P74" s="231"/>
    </row>
    <row r="75" spans="11:16" ht="15.75" customHeight="1">
      <c r="K75" s="189"/>
      <c r="L75" s="189"/>
      <c r="P75" s="231"/>
    </row>
    <row r="76" spans="11:16" ht="15.75" customHeight="1">
      <c r="K76" s="189"/>
      <c r="L76" s="189"/>
      <c r="P76" s="231"/>
    </row>
    <row r="77" spans="11:16" ht="15.75" customHeight="1">
      <c r="K77" s="189"/>
      <c r="L77" s="189"/>
      <c r="P77" s="231"/>
    </row>
    <row r="78" spans="11:16" ht="15.75" customHeight="1">
      <c r="K78" s="189"/>
      <c r="L78" s="189"/>
      <c r="P78" s="231"/>
    </row>
    <row r="79" spans="11:16" ht="15.75" customHeight="1">
      <c r="K79" s="189"/>
      <c r="L79" s="189"/>
      <c r="P79" s="231"/>
    </row>
    <row r="80" spans="11:16" ht="15.75" customHeight="1">
      <c r="K80" s="189"/>
      <c r="L80" s="189"/>
      <c r="P80" s="231"/>
    </row>
    <row r="81" spans="11:16" ht="15.75" customHeight="1">
      <c r="K81" s="189"/>
      <c r="L81" s="189"/>
      <c r="P81" s="231"/>
    </row>
    <row r="82" spans="11:16" ht="15.75" customHeight="1">
      <c r="K82" s="189"/>
      <c r="L82" s="189"/>
      <c r="P82" s="231"/>
    </row>
    <row r="83" spans="11:16" ht="15.75" customHeight="1">
      <c r="K83" s="189"/>
      <c r="L83" s="189"/>
      <c r="P83" s="231"/>
    </row>
    <row r="84" spans="11:16" ht="15.75" customHeight="1">
      <c r="K84" s="189"/>
      <c r="L84" s="189"/>
      <c r="P84" s="231"/>
    </row>
    <row r="85" spans="11:16" ht="15.75" customHeight="1">
      <c r="K85" s="189"/>
      <c r="L85" s="189"/>
      <c r="P85" s="231"/>
    </row>
    <row r="86" spans="11:16" ht="15.75" customHeight="1">
      <c r="K86" s="189"/>
      <c r="L86" s="189"/>
      <c r="P86" s="231"/>
    </row>
    <row r="87" spans="11:16" ht="15.75" customHeight="1">
      <c r="K87" s="189"/>
      <c r="L87" s="189"/>
      <c r="P87" s="231"/>
    </row>
    <row r="88" spans="11:16" ht="15.75" customHeight="1">
      <c r="K88" s="189"/>
      <c r="L88" s="189"/>
      <c r="P88" s="231"/>
    </row>
    <row r="89" spans="11:16" ht="15.75" customHeight="1">
      <c r="K89" s="189"/>
      <c r="L89" s="189"/>
      <c r="P89" s="231"/>
    </row>
    <row r="90" spans="11:16" ht="15.75" customHeight="1">
      <c r="K90" s="189"/>
      <c r="L90" s="189"/>
      <c r="P90" s="231"/>
    </row>
    <row r="91" spans="11:16" ht="15.75" customHeight="1">
      <c r="K91" s="189"/>
      <c r="L91" s="189"/>
      <c r="P91" s="231"/>
    </row>
    <row r="92" spans="11:16" ht="15.75" customHeight="1">
      <c r="K92" s="189"/>
      <c r="L92" s="189"/>
      <c r="P92" s="231"/>
    </row>
    <row r="93" spans="11:16" ht="15.75" customHeight="1">
      <c r="K93" s="189"/>
      <c r="L93" s="189"/>
      <c r="P93" s="231"/>
    </row>
    <row r="94" spans="11:16" ht="15.75" customHeight="1">
      <c r="K94" s="189"/>
      <c r="L94" s="189"/>
      <c r="P94" s="231"/>
    </row>
    <row r="95" spans="11:16" ht="15.75" customHeight="1">
      <c r="K95" s="189"/>
      <c r="L95" s="189"/>
      <c r="P95" s="231"/>
    </row>
    <row r="96" spans="11:16" ht="15.75" customHeight="1">
      <c r="K96" s="189"/>
      <c r="L96" s="189"/>
      <c r="P96" s="231"/>
    </row>
    <row r="97" spans="11:16" ht="15.75" customHeight="1">
      <c r="K97" s="189"/>
      <c r="L97" s="189"/>
      <c r="P97" s="231"/>
    </row>
    <row r="98" spans="11:16" ht="15.75" customHeight="1">
      <c r="K98" s="189"/>
      <c r="L98" s="189"/>
      <c r="P98" s="231"/>
    </row>
    <row r="99" spans="11:16" ht="15.75" customHeight="1">
      <c r="K99" s="189"/>
      <c r="L99" s="189"/>
      <c r="P99" s="231"/>
    </row>
    <row r="100" spans="11:16" ht="15.75" customHeight="1">
      <c r="K100" s="189"/>
      <c r="L100" s="189"/>
      <c r="P100" s="231"/>
    </row>
    <row r="101" spans="11:16" ht="15.75" customHeight="1">
      <c r="K101" s="189"/>
      <c r="L101" s="189"/>
      <c r="P101" s="231"/>
    </row>
    <row r="102" spans="11:16" ht="15.75" customHeight="1">
      <c r="K102" s="189"/>
      <c r="L102" s="189"/>
      <c r="P102" s="231"/>
    </row>
    <row r="103" spans="11:16" ht="15.75" customHeight="1">
      <c r="K103" s="189"/>
      <c r="L103" s="189"/>
      <c r="P103" s="231"/>
    </row>
    <row r="104" spans="11:16" ht="15.75" customHeight="1">
      <c r="K104" s="189"/>
      <c r="L104" s="189"/>
      <c r="P104" s="231"/>
    </row>
    <row r="105" spans="11:16" ht="15.75" customHeight="1">
      <c r="K105" s="189"/>
      <c r="L105" s="189"/>
      <c r="P105" s="231"/>
    </row>
    <row r="106" spans="11:16" ht="15.75" customHeight="1">
      <c r="K106" s="189"/>
      <c r="L106" s="189"/>
      <c r="P106" s="231"/>
    </row>
    <row r="107" spans="11:16" ht="15.75" customHeight="1">
      <c r="K107" s="189"/>
      <c r="L107" s="189"/>
      <c r="P107" s="231"/>
    </row>
    <row r="108" spans="11:16" ht="15.75" customHeight="1">
      <c r="K108" s="189"/>
      <c r="L108" s="189"/>
      <c r="P108" s="231"/>
    </row>
    <row r="109" spans="11:16" ht="15.75" customHeight="1">
      <c r="K109" s="189"/>
      <c r="L109" s="189"/>
      <c r="P109" s="231"/>
    </row>
    <row r="110" spans="11:16" ht="15.75" customHeight="1">
      <c r="K110" s="189"/>
      <c r="L110" s="189"/>
      <c r="P110" s="231"/>
    </row>
    <row r="111" spans="11:16" ht="15.75" customHeight="1">
      <c r="K111" s="189"/>
      <c r="L111" s="189"/>
      <c r="P111" s="231"/>
    </row>
    <row r="112" spans="11:16" ht="15.75" customHeight="1">
      <c r="K112" s="189"/>
      <c r="L112" s="189"/>
      <c r="P112" s="231"/>
    </row>
    <row r="113" spans="11:16" ht="15.75" customHeight="1">
      <c r="K113" s="189"/>
      <c r="L113" s="189"/>
      <c r="P113" s="231"/>
    </row>
    <row r="114" spans="11:16" ht="15.75" customHeight="1">
      <c r="K114" s="189"/>
      <c r="L114" s="189"/>
      <c r="P114" s="231"/>
    </row>
    <row r="115" spans="11:16" ht="15.75" customHeight="1">
      <c r="K115" s="189"/>
      <c r="L115" s="189"/>
      <c r="P115" s="231"/>
    </row>
    <row r="116" spans="11:16" ht="15.75" customHeight="1">
      <c r="K116" s="189"/>
      <c r="L116" s="189"/>
      <c r="P116" s="231"/>
    </row>
    <row r="117" spans="11:16" ht="15.75" customHeight="1">
      <c r="K117" s="189"/>
      <c r="L117" s="189"/>
      <c r="P117" s="231"/>
    </row>
    <row r="118" spans="11:16" ht="15.75" customHeight="1">
      <c r="K118" s="189"/>
      <c r="L118" s="189"/>
      <c r="P118" s="231"/>
    </row>
    <row r="119" spans="11:16" ht="15.75" customHeight="1">
      <c r="K119" s="189"/>
      <c r="L119" s="189"/>
      <c r="P119" s="231"/>
    </row>
    <row r="120" spans="11:16" ht="15.75" customHeight="1">
      <c r="K120" s="189"/>
      <c r="L120" s="189"/>
      <c r="P120" s="231"/>
    </row>
    <row r="121" spans="11:16" ht="15.75" customHeight="1">
      <c r="K121" s="189"/>
      <c r="L121" s="189"/>
      <c r="P121" s="231"/>
    </row>
    <row r="122" spans="11:16" ht="15.75" customHeight="1">
      <c r="K122" s="189"/>
      <c r="L122" s="189"/>
      <c r="P122" s="231"/>
    </row>
    <row r="123" spans="11:16" ht="15.75" customHeight="1">
      <c r="K123" s="189"/>
      <c r="L123" s="189"/>
      <c r="P123" s="231"/>
    </row>
    <row r="124" spans="11:16" ht="15.75" customHeight="1">
      <c r="K124" s="189"/>
      <c r="L124" s="189"/>
      <c r="P124" s="231"/>
    </row>
    <row r="125" spans="11:16" ht="15.75" customHeight="1">
      <c r="K125" s="189"/>
      <c r="L125" s="189"/>
      <c r="P125" s="231"/>
    </row>
    <row r="126" spans="11:16" ht="15.75" customHeight="1">
      <c r="K126" s="189"/>
      <c r="L126" s="189"/>
      <c r="P126" s="231"/>
    </row>
    <row r="127" spans="11:16" ht="15.75" customHeight="1">
      <c r="K127" s="189"/>
      <c r="L127" s="189"/>
      <c r="P127" s="231"/>
    </row>
    <row r="128" spans="11:16" ht="15.75" customHeight="1">
      <c r="K128" s="189"/>
      <c r="L128" s="189"/>
      <c r="P128" s="231"/>
    </row>
    <row r="129" spans="11:16" ht="15.75" customHeight="1">
      <c r="K129" s="189"/>
      <c r="L129" s="189"/>
      <c r="P129" s="231"/>
    </row>
    <row r="130" spans="11:16" ht="15.75" customHeight="1">
      <c r="K130" s="189"/>
      <c r="L130" s="189"/>
      <c r="P130" s="231"/>
    </row>
    <row r="131" spans="11:16" ht="15.75" customHeight="1">
      <c r="K131" s="189"/>
      <c r="L131" s="189"/>
      <c r="P131" s="231"/>
    </row>
    <row r="132" spans="11:16" ht="15.75" customHeight="1">
      <c r="K132" s="189"/>
      <c r="L132" s="189"/>
      <c r="P132" s="231"/>
    </row>
    <row r="133" spans="11:16" ht="15.75" customHeight="1">
      <c r="K133" s="189"/>
      <c r="L133" s="189"/>
      <c r="P133" s="231"/>
    </row>
    <row r="134" spans="11:16" ht="15.75" customHeight="1">
      <c r="K134" s="189"/>
      <c r="L134" s="189"/>
      <c r="P134" s="231"/>
    </row>
    <row r="135" spans="11:16" ht="15.75" customHeight="1">
      <c r="K135" s="189"/>
      <c r="L135" s="189"/>
      <c r="P135" s="231"/>
    </row>
    <row r="136" spans="11:16" ht="15.75" customHeight="1">
      <c r="K136" s="189"/>
      <c r="L136" s="189"/>
      <c r="P136" s="231"/>
    </row>
    <row r="137" spans="11:16" ht="15.75" customHeight="1">
      <c r="K137" s="189"/>
      <c r="L137" s="189"/>
      <c r="P137" s="231"/>
    </row>
    <row r="138" spans="11:16" ht="15.75" customHeight="1">
      <c r="K138" s="189"/>
      <c r="L138" s="189"/>
      <c r="P138" s="231"/>
    </row>
    <row r="139" spans="11:16" ht="15.75" customHeight="1">
      <c r="K139" s="189"/>
      <c r="L139" s="189"/>
      <c r="P139" s="231"/>
    </row>
    <row r="140" spans="11:16" ht="15.75" customHeight="1">
      <c r="K140" s="189"/>
      <c r="L140" s="189"/>
      <c r="P140" s="231"/>
    </row>
    <row r="141" spans="11:16" ht="15.75" customHeight="1">
      <c r="K141" s="189"/>
      <c r="L141" s="189"/>
      <c r="P141" s="231"/>
    </row>
    <row r="142" spans="11:16" ht="15.75" customHeight="1">
      <c r="K142" s="189"/>
      <c r="L142" s="189"/>
      <c r="P142" s="231"/>
    </row>
    <row r="143" spans="11:16" ht="15.75" customHeight="1">
      <c r="K143" s="189"/>
      <c r="L143" s="189"/>
      <c r="P143" s="231"/>
    </row>
    <row r="144" spans="11:16" ht="15.75" customHeight="1">
      <c r="K144" s="189"/>
      <c r="L144" s="189"/>
      <c r="P144" s="231"/>
    </row>
    <row r="145" spans="11:16" ht="15.75" customHeight="1">
      <c r="K145" s="189"/>
      <c r="L145" s="189"/>
      <c r="P145" s="231"/>
    </row>
    <row r="146" spans="11:16" ht="15.75" customHeight="1">
      <c r="K146" s="189"/>
      <c r="L146" s="189"/>
      <c r="P146" s="231"/>
    </row>
    <row r="147" spans="11:16" ht="15.75" customHeight="1">
      <c r="K147" s="189"/>
      <c r="L147" s="189"/>
      <c r="P147" s="231"/>
    </row>
    <row r="148" spans="11:16" ht="15.75" customHeight="1">
      <c r="K148" s="189"/>
      <c r="L148" s="189"/>
      <c r="P148" s="231"/>
    </row>
    <row r="149" spans="11:16" ht="15.75" customHeight="1">
      <c r="K149" s="189"/>
      <c r="L149" s="189"/>
      <c r="P149" s="231"/>
    </row>
    <row r="150" spans="11:16" ht="15.75" customHeight="1">
      <c r="K150" s="189"/>
      <c r="L150" s="189"/>
      <c r="P150" s="231"/>
    </row>
    <row r="151" spans="11:16" ht="15.75" customHeight="1">
      <c r="K151" s="189"/>
      <c r="L151" s="189"/>
      <c r="P151" s="231"/>
    </row>
    <row r="152" spans="11:16" ht="15.75" customHeight="1">
      <c r="K152" s="189"/>
      <c r="L152" s="189"/>
      <c r="P152" s="231"/>
    </row>
    <row r="153" spans="11:16" ht="15.75" customHeight="1">
      <c r="K153" s="189"/>
      <c r="L153" s="189"/>
      <c r="P153" s="231"/>
    </row>
    <row r="154" spans="11:16" ht="15.75" customHeight="1">
      <c r="K154" s="189"/>
      <c r="L154" s="189"/>
      <c r="P154" s="231"/>
    </row>
    <row r="155" spans="11:16" ht="15.75" customHeight="1">
      <c r="K155" s="189"/>
      <c r="L155" s="189"/>
      <c r="P155" s="231"/>
    </row>
    <row r="156" spans="11:16" ht="15.75" customHeight="1">
      <c r="K156" s="189"/>
      <c r="L156" s="189"/>
      <c r="P156" s="231"/>
    </row>
    <row r="157" spans="11:16" ht="15.75" customHeight="1">
      <c r="K157" s="189"/>
      <c r="L157" s="189"/>
      <c r="P157" s="231"/>
    </row>
    <row r="158" spans="11:16" ht="15.75" customHeight="1">
      <c r="K158" s="189"/>
      <c r="L158" s="189"/>
      <c r="P158" s="231"/>
    </row>
    <row r="159" spans="11:16" ht="15.75" customHeight="1">
      <c r="K159" s="189"/>
      <c r="L159" s="189"/>
      <c r="P159" s="231"/>
    </row>
    <row r="160" spans="11:16" ht="15.75" customHeight="1">
      <c r="K160" s="189"/>
      <c r="L160" s="189"/>
      <c r="P160" s="231"/>
    </row>
    <row r="161" spans="11:16" ht="15.75" customHeight="1">
      <c r="K161" s="189"/>
      <c r="L161" s="189"/>
      <c r="P161" s="231"/>
    </row>
    <row r="162" spans="11:16" ht="15.75" customHeight="1">
      <c r="K162" s="189"/>
      <c r="L162" s="189"/>
      <c r="P162" s="231"/>
    </row>
    <row r="163" spans="11:16" ht="15.75" customHeight="1">
      <c r="K163" s="189"/>
      <c r="L163" s="189"/>
      <c r="P163" s="231"/>
    </row>
    <row r="164" spans="11:16" ht="15.75" customHeight="1">
      <c r="K164" s="189"/>
      <c r="L164" s="189"/>
      <c r="P164" s="231"/>
    </row>
    <row r="165" spans="11:16" ht="15.75" customHeight="1">
      <c r="K165" s="189"/>
      <c r="L165" s="189"/>
      <c r="P165" s="231"/>
    </row>
    <row r="166" spans="11:16" ht="15.75" customHeight="1">
      <c r="K166" s="189"/>
      <c r="L166" s="189"/>
      <c r="P166" s="231"/>
    </row>
    <row r="167" spans="11:16" ht="15.75" customHeight="1">
      <c r="K167" s="189"/>
      <c r="L167" s="189"/>
      <c r="P167" s="231"/>
    </row>
    <row r="168" spans="11:16" ht="15.75" customHeight="1">
      <c r="K168" s="189"/>
      <c r="L168" s="189"/>
      <c r="P168" s="231"/>
    </row>
    <row r="169" spans="11:16" ht="15.75" customHeight="1">
      <c r="K169" s="189"/>
      <c r="L169" s="189"/>
      <c r="P169" s="231"/>
    </row>
    <row r="170" spans="11:16" ht="15.75" customHeight="1">
      <c r="K170" s="189"/>
      <c r="L170" s="189"/>
      <c r="P170" s="231"/>
    </row>
    <row r="171" spans="11:16" ht="15.75" customHeight="1">
      <c r="K171" s="189"/>
      <c r="L171" s="189"/>
      <c r="P171" s="231"/>
    </row>
    <row r="172" spans="11:16" ht="15.75" customHeight="1">
      <c r="K172" s="189"/>
      <c r="L172" s="189"/>
      <c r="P172" s="231"/>
    </row>
    <row r="173" spans="11:16" ht="15.75" customHeight="1">
      <c r="K173" s="189"/>
      <c r="L173" s="189"/>
      <c r="P173" s="231"/>
    </row>
    <row r="174" spans="11:16" ht="15.75" customHeight="1">
      <c r="K174" s="189"/>
      <c r="L174" s="189"/>
      <c r="P174" s="231"/>
    </row>
    <row r="175" spans="11:16" ht="15.75" customHeight="1">
      <c r="K175" s="189"/>
      <c r="L175" s="189"/>
      <c r="P175" s="231"/>
    </row>
    <row r="176" spans="11:16" ht="15.75" customHeight="1">
      <c r="K176" s="189"/>
      <c r="L176" s="189"/>
      <c r="P176" s="231"/>
    </row>
    <row r="177" spans="11:16" ht="15.75" customHeight="1">
      <c r="K177" s="189"/>
      <c r="L177" s="189"/>
      <c r="P177" s="231"/>
    </row>
    <row r="178" spans="11:16" ht="15.75" customHeight="1">
      <c r="K178" s="189"/>
      <c r="L178" s="189"/>
      <c r="P178" s="231"/>
    </row>
    <row r="179" spans="11:16" ht="15.75" customHeight="1">
      <c r="K179" s="189"/>
      <c r="L179" s="189"/>
      <c r="P179" s="231"/>
    </row>
    <row r="180" spans="11:16" ht="15.75" customHeight="1">
      <c r="K180" s="189"/>
      <c r="L180" s="189"/>
      <c r="P180" s="231"/>
    </row>
    <row r="181" spans="11:16" ht="15.75" customHeight="1">
      <c r="K181" s="189"/>
      <c r="L181" s="189"/>
      <c r="P181" s="231"/>
    </row>
    <row r="182" spans="11:16" ht="15.75" customHeight="1">
      <c r="K182" s="189"/>
      <c r="L182" s="189"/>
      <c r="P182" s="231"/>
    </row>
    <row r="183" spans="11:16" ht="15.75" customHeight="1">
      <c r="K183" s="189"/>
      <c r="L183" s="189"/>
      <c r="P183" s="231"/>
    </row>
    <row r="184" spans="11:16" ht="15.75" customHeight="1">
      <c r="K184" s="189"/>
      <c r="L184" s="189"/>
      <c r="P184" s="231"/>
    </row>
    <row r="185" spans="11:16" ht="15.75" customHeight="1">
      <c r="K185" s="189"/>
      <c r="L185" s="189"/>
      <c r="P185" s="231"/>
    </row>
    <row r="186" spans="11:16" ht="15.75" customHeight="1">
      <c r="K186" s="189"/>
      <c r="L186" s="189"/>
      <c r="P186" s="231"/>
    </row>
    <row r="187" spans="11:16" ht="15.75" customHeight="1">
      <c r="K187" s="189"/>
      <c r="L187" s="189"/>
      <c r="P187" s="231"/>
    </row>
    <row r="188" spans="11:16" ht="15.75" customHeight="1">
      <c r="K188" s="189"/>
      <c r="L188" s="189"/>
      <c r="P188" s="231"/>
    </row>
    <row r="189" spans="11:16" ht="15.75" customHeight="1">
      <c r="K189" s="189"/>
      <c r="L189" s="189"/>
      <c r="P189" s="231"/>
    </row>
    <row r="190" spans="11:16" ht="15.75" customHeight="1">
      <c r="K190" s="189"/>
      <c r="L190" s="189"/>
      <c r="P190" s="231"/>
    </row>
    <row r="191" spans="11:16" ht="15.75" customHeight="1">
      <c r="K191" s="189"/>
      <c r="L191" s="189"/>
      <c r="P191" s="231"/>
    </row>
    <row r="192" spans="11:16" ht="15.75" customHeight="1">
      <c r="K192" s="189"/>
      <c r="L192" s="189"/>
      <c r="P192" s="231"/>
    </row>
    <row r="193" spans="11:16" ht="15.75" customHeight="1">
      <c r="K193" s="189"/>
      <c r="L193" s="189"/>
      <c r="P193" s="231"/>
    </row>
    <row r="194" spans="11:16" ht="15.75" customHeight="1">
      <c r="K194" s="189"/>
      <c r="L194" s="189"/>
      <c r="P194" s="231"/>
    </row>
    <row r="195" spans="11:16" ht="15.75" customHeight="1">
      <c r="K195" s="189"/>
      <c r="L195" s="189"/>
      <c r="P195" s="231"/>
    </row>
    <row r="196" spans="11:16" ht="15.75" customHeight="1">
      <c r="K196" s="189"/>
      <c r="L196" s="189"/>
      <c r="P196" s="231"/>
    </row>
    <row r="197" spans="11:16" ht="15.75" customHeight="1">
      <c r="K197" s="189"/>
      <c r="L197" s="189"/>
      <c r="P197" s="231"/>
    </row>
    <row r="198" spans="11:16" ht="15.75" customHeight="1">
      <c r="K198" s="189"/>
      <c r="L198" s="189"/>
      <c r="P198" s="231"/>
    </row>
    <row r="199" spans="11:16" ht="15.75" customHeight="1">
      <c r="K199" s="189"/>
      <c r="L199" s="189"/>
      <c r="P199" s="231"/>
    </row>
    <row r="200" spans="11:16" ht="15.75" customHeight="1">
      <c r="K200" s="189"/>
      <c r="L200" s="189"/>
      <c r="P200" s="231"/>
    </row>
    <row r="201" spans="11:16" ht="15.75" customHeight="1">
      <c r="K201" s="189"/>
      <c r="L201" s="189"/>
      <c r="P201" s="231"/>
    </row>
    <row r="202" spans="11:16" ht="15.75" customHeight="1">
      <c r="K202" s="189"/>
      <c r="L202" s="189"/>
      <c r="P202" s="231"/>
    </row>
    <row r="203" spans="11:16" ht="15.75" customHeight="1">
      <c r="K203" s="189"/>
      <c r="L203" s="189"/>
      <c r="P203" s="231"/>
    </row>
    <row r="204" spans="11:16" ht="15.75" customHeight="1">
      <c r="K204" s="189"/>
      <c r="L204" s="189"/>
      <c r="P204" s="231"/>
    </row>
    <row r="205" spans="11:16" ht="15.75" customHeight="1">
      <c r="K205" s="189"/>
      <c r="L205" s="189"/>
      <c r="P205" s="231"/>
    </row>
    <row r="206" spans="11:16" ht="15.75" customHeight="1">
      <c r="K206" s="189"/>
      <c r="L206" s="189"/>
      <c r="P206" s="231"/>
    </row>
    <row r="207" spans="11:16" ht="15.75" customHeight="1">
      <c r="K207" s="189"/>
      <c r="L207" s="189"/>
      <c r="P207" s="231"/>
    </row>
    <row r="208" spans="11:16" ht="15.75" customHeight="1">
      <c r="K208" s="189"/>
      <c r="L208" s="189"/>
      <c r="P208" s="231"/>
    </row>
    <row r="209" spans="11:16" ht="15.75" customHeight="1">
      <c r="K209" s="189"/>
      <c r="L209" s="189"/>
      <c r="P209" s="231"/>
    </row>
    <row r="210" spans="11:16" ht="15.75" customHeight="1">
      <c r="K210" s="189"/>
      <c r="L210" s="189"/>
      <c r="P210" s="231"/>
    </row>
    <row r="211" spans="11:16" ht="15.75" customHeight="1">
      <c r="K211" s="189"/>
      <c r="L211" s="189"/>
      <c r="P211" s="231"/>
    </row>
    <row r="212" spans="11:16" ht="15.75" customHeight="1">
      <c r="K212" s="189"/>
      <c r="L212" s="189"/>
      <c r="P212" s="231"/>
    </row>
    <row r="213" spans="11:16" ht="15.75" customHeight="1">
      <c r="K213" s="189"/>
      <c r="L213" s="189"/>
      <c r="P213" s="231"/>
    </row>
    <row r="214" spans="11:16" ht="15.75" customHeight="1">
      <c r="K214" s="189"/>
      <c r="L214" s="189"/>
      <c r="P214" s="231"/>
    </row>
    <row r="215" spans="11:16" ht="15.75" customHeight="1">
      <c r="K215" s="189"/>
      <c r="L215" s="189"/>
      <c r="P215" s="231"/>
    </row>
    <row r="216" spans="11:16" ht="15.75" customHeight="1">
      <c r="K216" s="189"/>
      <c r="L216" s="189"/>
      <c r="P216" s="231"/>
    </row>
    <row r="217" spans="11:16" ht="15.75" customHeight="1">
      <c r="K217" s="189"/>
      <c r="L217" s="189"/>
      <c r="P217" s="231"/>
    </row>
    <row r="218" spans="11:16" ht="15.75" customHeight="1">
      <c r="K218" s="189"/>
      <c r="L218" s="189"/>
      <c r="P218" s="231"/>
    </row>
    <row r="219" spans="11:16" ht="15.75" customHeight="1">
      <c r="K219" s="189"/>
      <c r="L219" s="189"/>
      <c r="P219" s="231"/>
    </row>
    <row r="220" spans="11:16" ht="15.75" customHeight="1">
      <c r="K220" s="189"/>
      <c r="L220" s="189"/>
      <c r="P220" s="231"/>
    </row>
    <row r="221" spans="11:16" ht="15.75" customHeight="1">
      <c r="K221" s="189"/>
      <c r="L221" s="189"/>
      <c r="P221" s="231"/>
    </row>
    <row r="222" spans="11:16" ht="15.75" customHeight="1">
      <c r="K222" s="189"/>
      <c r="L222" s="189"/>
      <c r="P222" s="231"/>
    </row>
    <row r="223" spans="11:16" ht="15.75" customHeight="1">
      <c r="K223" s="189"/>
      <c r="L223" s="189"/>
      <c r="P223" s="231"/>
    </row>
    <row r="224" spans="11:16" ht="15.75" customHeight="1">
      <c r="K224" s="189"/>
      <c r="L224" s="189"/>
      <c r="P224" s="231"/>
    </row>
    <row r="225" spans="11:16" ht="15.75" customHeight="1">
      <c r="K225" s="189"/>
      <c r="L225" s="189"/>
      <c r="P225" s="231"/>
    </row>
    <row r="226" spans="11:16" ht="15.75" customHeight="1">
      <c r="K226" s="189"/>
      <c r="L226" s="189"/>
      <c r="P226" s="231"/>
    </row>
    <row r="227" spans="11:16" ht="15.75" customHeight="1">
      <c r="K227" s="189"/>
      <c r="L227" s="189"/>
      <c r="P227" s="231"/>
    </row>
    <row r="228" spans="11:16" ht="15.75" customHeight="1">
      <c r="K228" s="189"/>
      <c r="L228" s="189"/>
      <c r="P228" s="231"/>
    </row>
    <row r="229" spans="11:16" ht="15.75" customHeight="1">
      <c r="K229" s="189"/>
      <c r="L229" s="189"/>
      <c r="P229" s="231"/>
    </row>
    <row r="230" spans="11:16" ht="15.75" customHeight="1">
      <c r="K230" s="189"/>
      <c r="L230" s="189"/>
      <c r="P230" s="231"/>
    </row>
    <row r="231" spans="11:16" ht="15.75" customHeight="1">
      <c r="K231" s="189"/>
      <c r="L231" s="189"/>
      <c r="P231" s="231"/>
    </row>
    <row r="232" spans="11:16" ht="15.75" customHeight="1">
      <c r="K232" s="189"/>
      <c r="L232" s="189"/>
      <c r="P232" s="231"/>
    </row>
    <row r="233" spans="11:16" ht="15.75" customHeight="1">
      <c r="K233" s="189"/>
      <c r="L233" s="189"/>
      <c r="P233" s="231"/>
    </row>
    <row r="234" spans="11:16" ht="15.75" customHeight="1">
      <c r="K234" s="189"/>
      <c r="L234" s="189"/>
      <c r="P234" s="231"/>
    </row>
    <row r="235" spans="11:16" ht="15.75" customHeight="1">
      <c r="K235" s="189"/>
      <c r="L235" s="189"/>
      <c r="P235" s="231"/>
    </row>
    <row r="236" spans="11:16" ht="15.75" customHeight="1">
      <c r="K236" s="189"/>
      <c r="L236" s="189"/>
      <c r="P236" s="231"/>
    </row>
    <row r="237" spans="11:16" ht="15.75" customHeight="1">
      <c r="K237" s="189"/>
      <c r="L237" s="189"/>
      <c r="P237" s="231"/>
    </row>
    <row r="238" spans="11:16" ht="15.75" customHeight="1">
      <c r="K238" s="189"/>
      <c r="L238" s="189"/>
      <c r="P238" s="231"/>
    </row>
    <row r="239" spans="11:16" ht="15.75" customHeight="1">
      <c r="K239" s="189"/>
      <c r="L239" s="189"/>
      <c r="P239" s="231"/>
    </row>
    <row r="240" spans="11:16" ht="15.75" customHeight="1">
      <c r="K240" s="189"/>
      <c r="L240" s="189"/>
      <c r="P240" s="231"/>
    </row>
    <row r="241" spans="11:16" ht="15.75" customHeight="1">
      <c r="K241" s="189"/>
      <c r="L241" s="189"/>
      <c r="P241" s="231"/>
    </row>
    <row r="242" spans="11:16" ht="15.75" customHeight="1">
      <c r="K242" s="189"/>
      <c r="L242" s="189"/>
      <c r="P242" s="231"/>
    </row>
    <row r="243" spans="11:16" ht="15.75" customHeight="1">
      <c r="K243" s="189"/>
      <c r="L243" s="189"/>
      <c r="P243" s="231"/>
    </row>
    <row r="244" spans="11:16" ht="15.75" customHeight="1">
      <c r="K244" s="189"/>
      <c r="L244" s="189"/>
      <c r="P244" s="231"/>
    </row>
    <row r="245" spans="11:16" ht="15.75" customHeight="1">
      <c r="K245" s="189"/>
      <c r="L245" s="189"/>
      <c r="P245" s="231"/>
    </row>
    <row r="246" spans="11:16" ht="15.75" customHeight="1">
      <c r="K246" s="189"/>
      <c r="L246" s="189"/>
      <c r="P246" s="231"/>
    </row>
    <row r="247" spans="11:16" ht="15.75" customHeight="1">
      <c r="K247" s="189"/>
      <c r="L247" s="189"/>
      <c r="P247" s="231"/>
    </row>
    <row r="248" spans="11:16" ht="15.75" customHeight="1">
      <c r="K248" s="189"/>
      <c r="L248" s="189"/>
      <c r="P248" s="231"/>
    </row>
    <row r="249" spans="11:16" ht="15.75" customHeight="1">
      <c r="K249" s="189"/>
      <c r="L249" s="189"/>
      <c r="P249" s="231"/>
    </row>
    <row r="250" spans="11:16" ht="15.75" customHeight="1">
      <c r="K250" s="189"/>
      <c r="L250" s="189"/>
      <c r="P250" s="231"/>
    </row>
    <row r="251" spans="11:16" ht="15.75" customHeight="1">
      <c r="K251" s="189"/>
      <c r="L251" s="189"/>
      <c r="P251" s="231"/>
    </row>
    <row r="252" spans="11:16" ht="15.75" customHeight="1">
      <c r="K252" s="189"/>
      <c r="L252" s="189"/>
      <c r="P252" s="231"/>
    </row>
    <row r="253" spans="11:16" ht="15.75" customHeight="1">
      <c r="K253" s="189"/>
      <c r="L253" s="189"/>
      <c r="P253" s="231"/>
    </row>
    <row r="254" spans="11:16" ht="15.75" customHeight="1">
      <c r="K254" s="189"/>
      <c r="L254" s="189"/>
      <c r="P254" s="231"/>
    </row>
    <row r="255" spans="11:16" ht="15.75" customHeight="1">
      <c r="K255" s="189"/>
      <c r="L255" s="189"/>
      <c r="P255" s="231"/>
    </row>
    <row r="256" spans="11:16" ht="15.75" customHeight="1">
      <c r="K256" s="189"/>
      <c r="L256" s="189"/>
      <c r="P256" s="231"/>
    </row>
    <row r="257" spans="11:16" ht="15.75" customHeight="1">
      <c r="K257" s="189"/>
      <c r="L257" s="189"/>
      <c r="P257" s="231"/>
    </row>
    <row r="258" spans="11:16" ht="15.75" customHeight="1">
      <c r="K258" s="189"/>
      <c r="L258" s="189"/>
      <c r="P258" s="231"/>
    </row>
    <row r="259" spans="11:16" ht="15.75" customHeight="1">
      <c r="K259" s="189"/>
      <c r="L259" s="189"/>
      <c r="P259" s="231"/>
    </row>
    <row r="260" spans="11:16" ht="15.75" customHeight="1">
      <c r="K260" s="189"/>
      <c r="L260" s="189"/>
      <c r="P260" s="231"/>
    </row>
    <row r="261" spans="11:16" ht="15.75" customHeight="1">
      <c r="K261" s="189"/>
      <c r="L261" s="189"/>
      <c r="P261" s="231"/>
    </row>
    <row r="262" spans="11:16" ht="15.75" customHeight="1">
      <c r="K262" s="189"/>
      <c r="L262" s="189"/>
      <c r="P262" s="231"/>
    </row>
    <row r="263" spans="11:16" ht="15.75" customHeight="1">
      <c r="K263" s="189"/>
      <c r="L263" s="189"/>
      <c r="P263" s="231"/>
    </row>
    <row r="264" spans="11:16" ht="15.75" customHeight="1">
      <c r="K264" s="189"/>
      <c r="L264" s="189"/>
      <c r="P264" s="231"/>
    </row>
    <row r="265" spans="11:16" ht="15.75" customHeight="1">
      <c r="K265" s="189"/>
      <c r="L265" s="189"/>
      <c r="P265" s="231"/>
    </row>
    <row r="266" spans="11:16" ht="15.75" customHeight="1">
      <c r="K266" s="189"/>
      <c r="L266" s="189"/>
      <c r="P266" s="231"/>
    </row>
    <row r="267" spans="11:16" ht="15.75" customHeight="1">
      <c r="K267" s="189"/>
      <c r="L267" s="189"/>
      <c r="P267" s="231"/>
    </row>
    <row r="268" spans="11:16" ht="15.75" customHeight="1">
      <c r="K268" s="189"/>
      <c r="L268" s="189"/>
      <c r="P268" s="231"/>
    </row>
    <row r="269" spans="11:16" ht="15.75" customHeight="1">
      <c r="K269" s="189"/>
      <c r="L269" s="189"/>
      <c r="P269" s="231"/>
    </row>
    <row r="270" spans="11:16" ht="15.75" customHeight="1">
      <c r="K270" s="189"/>
      <c r="L270" s="189"/>
      <c r="P270" s="231"/>
    </row>
    <row r="271" spans="11:16" ht="15.75" customHeight="1">
      <c r="K271" s="189"/>
      <c r="L271" s="189"/>
      <c r="P271" s="231"/>
    </row>
    <row r="272" spans="11:16" ht="15.75" customHeight="1">
      <c r="K272" s="189"/>
      <c r="L272" s="189"/>
      <c r="P272" s="231"/>
    </row>
    <row r="273" spans="11:16" ht="15.75" customHeight="1">
      <c r="K273" s="189"/>
      <c r="L273" s="189"/>
      <c r="P273" s="231"/>
    </row>
    <row r="274" spans="11:16" ht="15.75" customHeight="1">
      <c r="K274" s="189"/>
      <c r="L274" s="189"/>
      <c r="P274" s="231"/>
    </row>
    <row r="275" spans="11:16" ht="15.75" customHeight="1">
      <c r="K275" s="189"/>
      <c r="L275" s="189"/>
      <c r="P275" s="231"/>
    </row>
    <row r="276" spans="11:16" ht="15.75" customHeight="1">
      <c r="K276" s="189"/>
      <c r="L276" s="189"/>
      <c r="P276" s="231"/>
    </row>
    <row r="277" spans="11:16" ht="15.75" customHeight="1">
      <c r="K277" s="189"/>
      <c r="L277" s="189"/>
      <c r="P277" s="231"/>
    </row>
    <row r="278" spans="11:16" ht="15.75" customHeight="1">
      <c r="K278" s="189"/>
      <c r="L278" s="189"/>
      <c r="P278" s="231"/>
    </row>
    <row r="279" spans="11:16" ht="15.75" customHeight="1">
      <c r="K279" s="189"/>
      <c r="L279" s="189"/>
      <c r="P279" s="231"/>
    </row>
    <row r="280" spans="11:16" ht="15.75" customHeight="1">
      <c r="K280" s="189"/>
      <c r="L280" s="189"/>
      <c r="P280" s="231"/>
    </row>
    <row r="281" spans="11:16" ht="15.75" customHeight="1">
      <c r="K281" s="189"/>
      <c r="L281" s="189"/>
      <c r="P281" s="231"/>
    </row>
    <row r="282" spans="11:16" ht="15.75" customHeight="1">
      <c r="K282" s="189"/>
      <c r="L282" s="189"/>
      <c r="P282" s="231"/>
    </row>
    <row r="283" spans="11:16" ht="15.75" customHeight="1">
      <c r="K283" s="189"/>
      <c r="L283" s="189"/>
      <c r="P283" s="231"/>
    </row>
    <row r="284" spans="11:16" ht="15.75" customHeight="1">
      <c r="K284" s="189"/>
      <c r="L284" s="189"/>
      <c r="P284" s="231"/>
    </row>
    <row r="285" spans="11:16" ht="15.75" customHeight="1">
      <c r="K285" s="189"/>
      <c r="L285" s="189"/>
      <c r="P285" s="231"/>
    </row>
    <row r="286" spans="11:16" ht="15.75" customHeight="1">
      <c r="K286" s="189"/>
      <c r="L286" s="189"/>
      <c r="P286" s="231"/>
    </row>
    <row r="287" spans="11:16" ht="15.75" customHeight="1">
      <c r="K287" s="189"/>
      <c r="L287" s="189"/>
      <c r="P287" s="231"/>
    </row>
    <row r="288" spans="11:16" ht="15.75" customHeight="1">
      <c r="K288" s="189"/>
      <c r="L288" s="189"/>
      <c r="P288" s="231"/>
    </row>
    <row r="289" spans="11:16" ht="15.75" customHeight="1">
      <c r="K289" s="189"/>
      <c r="L289" s="189"/>
      <c r="P289" s="231"/>
    </row>
    <row r="290" spans="11:16" ht="15.75" customHeight="1">
      <c r="K290" s="189"/>
      <c r="L290" s="189"/>
      <c r="P290" s="231"/>
    </row>
    <row r="291" spans="11:16" ht="15.75" customHeight="1">
      <c r="K291" s="189"/>
      <c r="L291" s="189"/>
      <c r="P291" s="231"/>
    </row>
    <row r="292" spans="11:16" ht="15.75" customHeight="1">
      <c r="K292" s="189"/>
      <c r="L292" s="189"/>
      <c r="P292" s="231"/>
    </row>
    <row r="293" spans="11:16" ht="15.75" customHeight="1">
      <c r="K293" s="189"/>
      <c r="L293" s="189"/>
      <c r="P293" s="231"/>
    </row>
    <row r="294" spans="11:16" ht="15.75" customHeight="1">
      <c r="K294" s="189"/>
      <c r="L294" s="189"/>
      <c r="P294" s="231"/>
    </row>
    <row r="295" spans="11:16" ht="15.75" customHeight="1">
      <c r="K295" s="189"/>
      <c r="L295" s="189"/>
      <c r="P295" s="231"/>
    </row>
    <row r="296" spans="11:16" ht="15.75" customHeight="1">
      <c r="K296" s="189"/>
      <c r="L296" s="189"/>
      <c r="P296" s="231"/>
    </row>
    <row r="297" spans="11:16" ht="15.75" customHeight="1">
      <c r="K297" s="189"/>
      <c r="L297" s="189"/>
      <c r="P297" s="231"/>
    </row>
    <row r="298" spans="11:16" ht="15.75" customHeight="1">
      <c r="K298" s="189"/>
      <c r="L298" s="189"/>
      <c r="P298" s="231"/>
    </row>
    <row r="299" spans="11:16" ht="15.75" customHeight="1">
      <c r="K299" s="189"/>
      <c r="L299" s="189"/>
      <c r="P299" s="231"/>
    </row>
    <row r="300" spans="11:16" ht="15.75" customHeight="1">
      <c r="K300" s="189"/>
      <c r="L300" s="189"/>
      <c r="P300" s="231"/>
    </row>
    <row r="301" spans="11:16" ht="15.75" customHeight="1">
      <c r="K301" s="189"/>
      <c r="L301" s="189"/>
      <c r="P301" s="231"/>
    </row>
    <row r="302" spans="11:16" ht="15.75" customHeight="1">
      <c r="K302" s="189"/>
      <c r="L302" s="189"/>
      <c r="P302" s="231"/>
    </row>
    <row r="303" spans="11:16" ht="15.75" customHeight="1">
      <c r="K303" s="189"/>
      <c r="L303" s="189"/>
      <c r="P303" s="231"/>
    </row>
    <row r="304" spans="11:16" ht="15.75" customHeight="1">
      <c r="K304" s="189"/>
      <c r="L304" s="189"/>
      <c r="P304" s="231"/>
    </row>
    <row r="305" spans="11:16" ht="15.75" customHeight="1">
      <c r="K305" s="189"/>
      <c r="L305" s="189"/>
      <c r="P305" s="231"/>
    </row>
    <row r="306" spans="11:16" ht="15.75" customHeight="1">
      <c r="K306" s="189"/>
      <c r="L306" s="189"/>
      <c r="P306" s="231"/>
    </row>
    <row r="307" spans="11:16" ht="15.75" customHeight="1">
      <c r="K307" s="189"/>
      <c r="L307" s="189"/>
      <c r="P307" s="231"/>
    </row>
    <row r="308" spans="11:16" ht="15.75" customHeight="1">
      <c r="K308" s="189"/>
      <c r="L308" s="189"/>
      <c r="P308" s="231"/>
    </row>
    <row r="309" spans="11:16" ht="15.75" customHeight="1">
      <c r="K309" s="189"/>
      <c r="L309" s="189"/>
      <c r="P309" s="231"/>
    </row>
    <row r="310" spans="11:16" ht="15.75" customHeight="1">
      <c r="K310" s="189"/>
      <c r="L310" s="189"/>
      <c r="P310" s="231"/>
    </row>
    <row r="311" spans="11:16" ht="15.75" customHeight="1">
      <c r="K311" s="189"/>
      <c r="L311" s="189"/>
      <c r="P311" s="231"/>
    </row>
    <row r="312" spans="11:16" ht="15.75" customHeight="1">
      <c r="K312" s="189"/>
      <c r="L312" s="189"/>
      <c r="P312" s="231"/>
    </row>
    <row r="313" spans="11:16" ht="15.75" customHeight="1">
      <c r="K313" s="189"/>
      <c r="L313" s="189"/>
      <c r="P313" s="231"/>
    </row>
    <row r="314" spans="11:16" ht="15.75" customHeight="1">
      <c r="K314" s="189"/>
      <c r="L314" s="189"/>
      <c r="P314" s="231"/>
    </row>
    <row r="315" spans="11:16" ht="15.75" customHeight="1">
      <c r="K315" s="189"/>
      <c r="L315" s="189"/>
      <c r="P315" s="231"/>
    </row>
    <row r="316" spans="11:16" ht="15.75" customHeight="1">
      <c r="K316" s="189"/>
      <c r="L316" s="189"/>
      <c r="P316" s="231"/>
    </row>
    <row r="317" spans="11:16" ht="15.75" customHeight="1">
      <c r="K317" s="189"/>
      <c r="L317" s="189"/>
      <c r="P317" s="231"/>
    </row>
    <row r="318" spans="11:16" ht="15.75" customHeight="1">
      <c r="K318" s="189"/>
      <c r="L318" s="189"/>
      <c r="P318" s="231"/>
    </row>
    <row r="319" spans="11:16" ht="15.75" customHeight="1">
      <c r="K319" s="189"/>
      <c r="L319" s="189"/>
      <c r="P319" s="231"/>
    </row>
    <row r="320" spans="11:16" ht="15.75" customHeight="1">
      <c r="K320" s="189"/>
      <c r="L320" s="189"/>
      <c r="P320" s="231"/>
    </row>
    <row r="321" spans="11:16" ht="15.75" customHeight="1">
      <c r="K321" s="189"/>
      <c r="L321" s="189"/>
      <c r="P321" s="231"/>
    </row>
    <row r="322" spans="11:16" ht="15.75" customHeight="1">
      <c r="K322" s="189"/>
      <c r="L322" s="189"/>
      <c r="P322" s="231"/>
    </row>
    <row r="323" spans="11:16" ht="15.75" customHeight="1">
      <c r="K323" s="189"/>
      <c r="L323" s="189"/>
      <c r="P323" s="231"/>
    </row>
    <row r="324" spans="11:16" ht="15.75" customHeight="1">
      <c r="K324" s="189"/>
      <c r="L324" s="189"/>
      <c r="P324" s="231"/>
    </row>
    <row r="325" spans="11:16" ht="15.75" customHeight="1">
      <c r="K325" s="189"/>
      <c r="L325" s="189"/>
      <c r="P325" s="231"/>
    </row>
    <row r="326" spans="11:16" ht="15.75" customHeight="1">
      <c r="K326" s="189"/>
      <c r="L326" s="189"/>
      <c r="P326" s="231"/>
    </row>
    <row r="327" spans="11:16" ht="15.75" customHeight="1">
      <c r="K327" s="189"/>
      <c r="L327" s="189"/>
      <c r="P327" s="231"/>
    </row>
    <row r="328" spans="11:16" ht="15.75" customHeight="1">
      <c r="K328" s="189"/>
      <c r="L328" s="189"/>
      <c r="P328" s="231"/>
    </row>
    <row r="329" spans="11:16" ht="15.75" customHeight="1">
      <c r="K329" s="189"/>
      <c r="L329" s="189"/>
      <c r="P329" s="231"/>
    </row>
    <row r="330" spans="11:16" ht="15.75" customHeight="1">
      <c r="K330" s="189"/>
      <c r="L330" s="189"/>
      <c r="P330" s="231"/>
    </row>
    <row r="331" spans="11:16" ht="15.75" customHeight="1">
      <c r="K331" s="189"/>
      <c r="L331" s="189"/>
      <c r="P331" s="231"/>
    </row>
    <row r="332" spans="11:16" ht="15.75" customHeight="1">
      <c r="K332" s="189"/>
      <c r="L332" s="189"/>
      <c r="P332" s="231"/>
    </row>
    <row r="333" spans="11:16" ht="15.75" customHeight="1">
      <c r="K333" s="189"/>
      <c r="L333" s="189"/>
      <c r="P333" s="231"/>
    </row>
    <row r="334" spans="11:16" ht="15.75" customHeight="1">
      <c r="K334" s="189"/>
      <c r="L334" s="189"/>
      <c r="P334" s="231"/>
    </row>
    <row r="335" spans="11:16" ht="15.75" customHeight="1">
      <c r="K335" s="189"/>
      <c r="L335" s="189"/>
      <c r="P335" s="231"/>
    </row>
    <row r="336" spans="11:16" ht="15.75" customHeight="1">
      <c r="K336" s="189"/>
      <c r="L336" s="189"/>
      <c r="P336" s="231"/>
    </row>
    <row r="337" spans="11:16" ht="15.75" customHeight="1">
      <c r="K337" s="189"/>
      <c r="L337" s="189"/>
      <c r="P337" s="231"/>
    </row>
    <row r="338" spans="11:16" ht="15.75" customHeight="1">
      <c r="K338" s="189"/>
      <c r="L338" s="189"/>
      <c r="P338" s="231"/>
    </row>
    <row r="339" spans="11:16" ht="15.75" customHeight="1">
      <c r="K339" s="189"/>
      <c r="L339" s="189"/>
      <c r="P339" s="231"/>
    </row>
    <row r="340" spans="11:16" ht="15.75" customHeight="1">
      <c r="K340" s="189"/>
      <c r="L340" s="189"/>
      <c r="P340" s="231"/>
    </row>
    <row r="341" spans="11:16" ht="15.75" customHeight="1">
      <c r="K341" s="189"/>
      <c r="L341" s="189"/>
      <c r="P341" s="231"/>
    </row>
    <row r="342" spans="11:16" ht="15.75" customHeight="1">
      <c r="K342" s="189"/>
      <c r="L342" s="189"/>
      <c r="P342" s="231"/>
    </row>
    <row r="343" spans="11:16" ht="15.75" customHeight="1">
      <c r="K343" s="189"/>
      <c r="L343" s="189"/>
      <c r="P343" s="231"/>
    </row>
    <row r="344" spans="11:16" ht="15.75" customHeight="1">
      <c r="K344" s="189"/>
      <c r="L344" s="189"/>
      <c r="P344" s="231"/>
    </row>
    <row r="345" spans="11:16" ht="15.75" customHeight="1">
      <c r="K345" s="189"/>
      <c r="L345" s="189"/>
      <c r="P345" s="231"/>
    </row>
    <row r="346" spans="11:16" ht="15.75" customHeight="1">
      <c r="K346" s="189"/>
      <c r="L346" s="189"/>
      <c r="P346" s="231"/>
    </row>
    <row r="347" spans="11:16" ht="15.75" customHeight="1">
      <c r="K347" s="189"/>
      <c r="L347" s="189"/>
      <c r="P347" s="231"/>
    </row>
    <row r="348" spans="11:16" ht="15.75" customHeight="1">
      <c r="K348" s="189"/>
      <c r="L348" s="189"/>
      <c r="P348" s="231"/>
    </row>
    <row r="349" spans="11:16" ht="15.75" customHeight="1">
      <c r="K349" s="189"/>
      <c r="L349" s="189"/>
      <c r="P349" s="231"/>
    </row>
    <row r="350" spans="11:16" ht="15.75" customHeight="1">
      <c r="K350" s="189"/>
      <c r="L350" s="189"/>
      <c r="P350" s="231"/>
    </row>
    <row r="351" spans="11:16" ht="15.75" customHeight="1">
      <c r="K351" s="189"/>
      <c r="L351" s="189"/>
      <c r="P351" s="231"/>
    </row>
    <row r="352" spans="11:16" ht="15.75" customHeight="1">
      <c r="K352" s="189"/>
      <c r="L352" s="189"/>
      <c r="P352" s="231"/>
    </row>
    <row r="353" spans="11:16" ht="15.75" customHeight="1">
      <c r="K353" s="189"/>
      <c r="L353" s="189"/>
      <c r="P353" s="231"/>
    </row>
    <row r="354" spans="11:16" ht="15.75" customHeight="1">
      <c r="K354" s="189"/>
      <c r="L354" s="189"/>
      <c r="P354" s="231"/>
    </row>
    <row r="355" spans="11:16" ht="15.75" customHeight="1">
      <c r="K355" s="189"/>
      <c r="L355" s="189"/>
      <c r="P355" s="231"/>
    </row>
    <row r="356" spans="11:16" ht="15.75" customHeight="1">
      <c r="K356" s="189"/>
      <c r="L356" s="189"/>
      <c r="P356" s="231"/>
    </row>
    <row r="357" spans="11:16" ht="15.75" customHeight="1">
      <c r="K357" s="189"/>
      <c r="L357" s="189"/>
      <c r="P357" s="231"/>
    </row>
    <row r="358" spans="11:16" ht="15.75" customHeight="1">
      <c r="K358" s="189"/>
      <c r="L358" s="189"/>
      <c r="P358" s="231"/>
    </row>
    <row r="359" spans="11:16" ht="15.75" customHeight="1">
      <c r="K359" s="189"/>
      <c r="L359" s="189"/>
      <c r="P359" s="231"/>
    </row>
    <row r="360" spans="11:16" ht="15.75" customHeight="1">
      <c r="K360" s="189"/>
      <c r="L360" s="189"/>
      <c r="P360" s="231"/>
    </row>
    <row r="361" spans="11:16" ht="15.75" customHeight="1">
      <c r="K361" s="189"/>
      <c r="L361" s="189"/>
      <c r="P361" s="231"/>
    </row>
    <row r="362" spans="11:16" ht="15.75" customHeight="1">
      <c r="K362" s="189"/>
      <c r="L362" s="189"/>
      <c r="P362" s="231"/>
    </row>
    <row r="363" spans="11:16" ht="15.75" customHeight="1">
      <c r="K363" s="189"/>
      <c r="L363" s="189"/>
      <c r="P363" s="231"/>
    </row>
    <row r="364" spans="11:16" ht="15.75" customHeight="1">
      <c r="K364" s="189"/>
      <c r="L364" s="189"/>
      <c r="P364" s="231"/>
    </row>
    <row r="365" spans="11:16" ht="15.75" customHeight="1">
      <c r="K365" s="189"/>
      <c r="L365" s="189"/>
      <c r="P365" s="231"/>
    </row>
    <row r="366" spans="11:16" ht="15.75" customHeight="1">
      <c r="K366" s="189"/>
      <c r="L366" s="189"/>
      <c r="P366" s="231"/>
    </row>
    <row r="367" spans="11:16" ht="15.75" customHeight="1">
      <c r="K367" s="189"/>
      <c r="L367" s="189"/>
      <c r="P367" s="231"/>
    </row>
    <row r="368" spans="11:16" ht="15.75" customHeight="1">
      <c r="K368" s="189"/>
      <c r="L368" s="189"/>
      <c r="P368" s="231"/>
    </row>
    <row r="369" spans="11:16" ht="15.75" customHeight="1">
      <c r="K369" s="189"/>
      <c r="L369" s="189"/>
      <c r="P369" s="231"/>
    </row>
    <row r="370" spans="11:16" ht="15.75" customHeight="1">
      <c r="K370" s="189"/>
      <c r="L370" s="189"/>
      <c r="P370" s="231"/>
    </row>
    <row r="371" spans="11:16" ht="15.75" customHeight="1">
      <c r="K371" s="189"/>
      <c r="L371" s="189"/>
      <c r="P371" s="231"/>
    </row>
    <row r="372" spans="11:16" ht="15.75" customHeight="1">
      <c r="K372" s="189"/>
      <c r="L372" s="189"/>
      <c r="P372" s="231"/>
    </row>
    <row r="373" spans="11:16" ht="15.75" customHeight="1">
      <c r="K373" s="189"/>
      <c r="L373" s="189"/>
      <c r="P373" s="231"/>
    </row>
    <row r="374" spans="11:16" ht="15.75" customHeight="1">
      <c r="K374" s="189"/>
      <c r="L374" s="189"/>
      <c r="P374" s="231"/>
    </row>
    <row r="375" spans="11:16" ht="15.75" customHeight="1">
      <c r="K375" s="189"/>
      <c r="L375" s="189"/>
      <c r="P375" s="231"/>
    </row>
    <row r="376" spans="11:16" ht="15.75" customHeight="1">
      <c r="K376" s="189"/>
      <c r="L376" s="189"/>
      <c r="P376" s="231"/>
    </row>
    <row r="377" spans="11:16" ht="15.75" customHeight="1">
      <c r="K377" s="189"/>
      <c r="L377" s="189"/>
      <c r="P377" s="231"/>
    </row>
    <row r="378" spans="11:16" ht="15.75" customHeight="1">
      <c r="K378" s="189"/>
      <c r="L378" s="189"/>
      <c r="P378" s="231"/>
    </row>
    <row r="379" spans="11:16" ht="15.75" customHeight="1">
      <c r="K379" s="189"/>
      <c r="L379" s="189"/>
      <c r="P379" s="231"/>
    </row>
    <row r="380" spans="11:16" ht="15.75" customHeight="1">
      <c r="K380" s="189"/>
      <c r="L380" s="189"/>
      <c r="P380" s="231"/>
    </row>
    <row r="381" spans="11:16" ht="15.75" customHeight="1">
      <c r="K381" s="189"/>
      <c r="L381" s="189"/>
      <c r="P381" s="231"/>
    </row>
    <row r="382" spans="11:16" ht="15.75" customHeight="1">
      <c r="K382" s="189"/>
      <c r="L382" s="189"/>
      <c r="P382" s="231"/>
    </row>
    <row r="383" spans="11:16" ht="15.75" customHeight="1">
      <c r="K383" s="189"/>
      <c r="L383" s="189"/>
      <c r="P383" s="231"/>
    </row>
    <row r="384" spans="11:16" ht="15.75" customHeight="1">
      <c r="K384" s="189"/>
      <c r="L384" s="189"/>
      <c r="P384" s="231"/>
    </row>
    <row r="385" spans="11:16" ht="15.75" customHeight="1">
      <c r="K385" s="189"/>
      <c r="L385" s="189"/>
      <c r="P385" s="231"/>
    </row>
    <row r="386" spans="11:16" ht="15.75" customHeight="1">
      <c r="K386" s="189"/>
      <c r="L386" s="189"/>
      <c r="P386" s="231"/>
    </row>
    <row r="387" spans="11:16" ht="15.75" customHeight="1">
      <c r="K387" s="189"/>
      <c r="L387" s="189"/>
      <c r="P387" s="231"/>
    </row>
    <row r="388" spans="11:16" ht="15.75" customHeight="1">
      <c r="K388" s="189"/>
      <c r="L388" s="189"/>
      <c r="P388" s="231"/>
    </row>
    <row r="389" spans="11:16" ht="15.75" customHeight="1">
      <c r="K389" s="189"/>
      <c r="L389" s="189"/>
      <c r="P389" s="231"/>
    </row>
    <row r="390" spans="11:16" ht="15.75" customHeight="1">
      <c r="K390" s="189"/>
      <c r="L390" s="189"/>
      <c r="P390" s="231"/>
    </row>
    <row r="391" spans="11:16" ht="15.75" customHeight="1">
      <c r="K391" s="189"/>
      <c r="L391" s="189"/>
      <c r="P391" s="231"/>
    </row>
    <row r="392" spans="11:16" ht="15.75" customHeight="1">
      <c r="K392" s="189"/>
      <c r="L392" s="189"/>
      <c r="P392" s="231"/>
    </row>
    <row r="393" spans="11:16" ht="15.75" customHeight="1">
      <c r="K393" s="189"/>
      <c r="L393" s="189"/>
      <c r="P393" s="231"/>
    </row>
    <row r="394" spans="11:16" ht="15.75" customHeight="1">
      <c r="K394" s="189"/>
      <c r="L394" s="189"/>
      <c r="P394" s="231"/>
    </row>
    <row r="395" spans="11:16" ht="15.75" customHeight="1">
      <c r="K395" s="189"/>
      <c r="L395" s="189"/>
      <c r="P395" s="231"/>
    </row>
    <row r="396" spans="11:16" ht="15.75" customHeight="1">
      <c r="K396" s="189"/>
      <c r="L396" s="189"/>
      <c r="P396" s="231"/>
    </row>
    <row r="397" spans="11:16" ht="15.75" customHeight="1">
      <c r="K397" s="189"/>
      <c r="L397" s="189"/>
      <c r="P397" s="231"/>
    </row>
    <row r="398" spans="11:16" ht="15.75" customHeight="1">
      <c r="K398" s="189"/>
      <c r="L398" s="189"/>
      <c r="P398" s="231"/>
    </row>
    <row r="399" spans="11:16" ht="15.75" customHeight="1">
      <c r="K399" s="189"/>
      <c r="L399" s="189"/>
      <c r="P399" s="231"/>
    </row>
    <row r="400" spans="11:16" ht="15.75" customHeight="1">
      <c r="K400" s="189"/>
      <c r="L400" s="189"/>
      <c r="P400" s="231"/>
    </row>
    <row r="401" spans="11:16" ht="15.75" customHeight="1">
      <c r="K401" s="189"/>
      <c r="L401" s="189"/>
      <c r="P401" s="231"/>
    </row>
    <row r="402" spans="11:16" ht="15.75" customHeight="1">
      <c r="K402" s="189"/>
      <c r="L402" s="189"/>
      <c r="P402" s="231"/>
    </row>
    <row r="403" spans="11:16" ht="15.75" customHeight="1">
      <c r="K403" s="189"/>
      <c r="L403" s="189"/>
      <c r="P403" s="231"/>
    </row>
    <row r="404" spans="11:16" ht="15.75" customHeight="1">
      <c r="K404" s="189"/>
      <c r="L404" s="189"/>
      <c r="P404" s="231"/>
    </row>
    <row r="405" spans="11:16" ht="15.75" customHeight="1">
      <c r="K405" s="189"/>
      <c r="L405" s="189"/>
      <c r="P405" s="231"/>
    </row>
    <row r="406" spans="11:16" ht="15.75" customHeight="1">
      <c r="K406" s="189"/>
      <c r="L406" s="189"/>
      <c r="P406" s="231"/>
    </row>
    <row r="407" spans="11:16" ht="15.75" customHeight="1">
      <c r="K407" s="189"/>
      <c r="L407" s="189"/>
      <c r="P407" s="231"/>
    </row>
    <row r="408" spans="11:16" ht="15.75" customHeight="1">
      <c r="K408" s="189"/>
      <c r="L408" s="189"/>
      <c r="P408" s="231"/>
    </row>
    <row r="409" spans="11:16" ht="15.75" customHeight="1">
      <c r="K409" s="189"/>
      <c r="L409" s="189"/>
      <c r="P409" s="231"/>
    </row>
    <row r="410" spans="11:16" ht="15.75" customHeight="1">
      <c r="K410" s="189"/>
      <c r="L410" s="189"/>
      <c r="P410" s="231"/>
    </row>
    <row r="411" spans="11:16" ht="15.75" customHeight="1">
      <c r="K411" s="189"/>
      <c r="L411" s="189"/>
      <c r="P411" s="231"/>
    </row>
    <row r="412" spans="11:16" ht="15.75" customHeight="1">
      <c r="K412" s="189"/>
      <c r="L412" s="189"/>
      <c r="P412" s="231"/>
    </row>
    <row r="413" spans="11:16" ht="15.75" customHeight="1">
      <c r="K413" s="189"/>
      <c r="L413" s="189"/>
      <c r="P413" s="231"/>
    </row>
    <row r="414" spans="11:16" ht="15.75" customHeight="1">
      <c r="K414" s="189"/>
      <c r="L414" s="189"/>
      <c r="P414" s="231"/>
    </row>
    <row r="415" spans="11:16" ht="15.75" customHeight="1">
      <c r="K415" s="189"/>
      <c r="L415" s="189"/>
      <c r="P415" s="231"/>
    </row>
    <row r="416" spans="11:16" ht="15.75" customHeight="1">
      <c r="K416" s="189"/>
      <c r="L416" s="189"/>
      <c r="P416" s="231"/>
    </row>
    <row r="417" spans="11:16" ht="15.75" customHeight="1">
      <c r="K417" s="189"/>
      <c r="L417" s="189"/>
      <c r="P417" s="231"/>
    </row>
    <row r="418" spans="11:16" ht="15.75" customHeight="1">
      <c r="K418" s="189"/>
      <c r="L418" s="189"/>
      <c r="P418" s="231"/>
    </row>
    <row r="419" spans="11:16" ht="15.75" customHeight="1">
      <c r="K419" s="189"/>
      <c r="L419" s="189"/>
      <c r="P419" s="231"/>
    </row>
    <row r="420" spans="11:16" ht="15.75" customHeight="1">
      <c r="K420" s="189"/>
      <c r="L420" s="189"/>
      <c r="P420" s="231"/>
    </row>
    <row r="421" spans="11:16" ht="15.75" customHeight="1">
      <c r="K421" s="189"/>
      <c r="L421" s="189"/>
      <c r="P421" s="231"/>
    </row>
    <row r="422" spans="11:16" ht="15.75" customHeight="1">
      <c r="K422" s="189"/>
      <c r="L422" s="189"/>
      <c r="P422" s="231"/>
    </row>
    <row r="423" spans="11:16" ht="15.75" customHeight="1">
      <c r="K423" s="189"/>
      <c r="L423" s="189"/>
      <c r="P423" s="231"/>
    </row>
    <row r="424" spans="11:16" ht="15.75" customHeight="1">
      <c r="K424" s="189"/>
      <c r="L424" s="189"/>
      <c r="P424" s="231"/>
    </row>
    <row r="425" spans="11:16" ht="15.75" customHeight="1">
      <c r="K425" s="189"/>
      <c r="L425" s="189"/>
      <c r="P425" s="231"/>
    </row>
    <row r="426" spans="11:16" ht="15.75" customHeight="1">
      <c r="K426" s="189"/>
      <c r="L426" s="189"/>
      <c r="P426" s="231"/>
    </row>
    <row r="427" spans="11:16" ht="15.75" customHeight="1">
      <c r="K427" s="189"/>
      <c r="L427" s="189"/>
      <c r="P427" s="231"/>
    </row>
    <row r="428" spans="11:16" ht="15.75" customHeight="1">
      <c r="K428" s="189"/>
      <c r="L428" s="189"/>
      <c r="P428" s="231"/>
    </row>
    <row r="429" spans="11:16" ht="15.75" customHeight="1">
      <c r="K429" s="189"/>
      <c r="L429" s="189"/>
      <c r="P429" s="231"/>
    </row>
    <row r="430" spans="11:16" ht="15.75" customHeight="1">
      <c r="K430" s="189"/>
      <c r="L430" s="189"/>
      <c r="P430" s="231"/>
    </row>
    <row r="431" spans="11:16" ht="15.75" customHeight="1">
      <c r="K431" s="189"/>
      <c r="L431" s="189"/>
      <c r="P431" s="231"/>
    </row>
    <row r="432" spans="11:16" ht="15.75" customHeight="1">
      <c r="K432" s="189"/>
      <c r="L432" s="189"/>
      <c r="P432" s="231"/>
    </row>
    <row r="433" spans="11:16" ht="15.75" customHeight="1">
      <c r="K433" s="189"/>
      <c r="L433" s="189"/>
      <c r="P433" s="231"/>
    </row>
    <row r="434" spans="11:16" ht="15.75" customHeight="1">
      <c r="K434" s="189"/>
      <c r="L434" s="189"/>
      <c r="P434" s="231"/>
    </row>
    <row r="435" spans="11:16" ht="15.75" customHeight="1">
      <c r="K435" s="189"/>
      <c r="L435" s="189"/>
      <c r="P435" s="231"/>
    </row>
    <row r="436" spans="11:16" ht="15.75" customHeight="1">
      <c r="K436" s="189"/>
      <c r="L436" s="189"/>
      <c r="P436" s="231"/>
    </row>
    <row r="437" spans="11:16" ht="15.75" customHeight="1">
      <c r="K437" s="189"/>
      <c r="L437" s="189"/>
      <c r="P437" s="231"/>
    </row>
    <row r="438" spans="11:16" ht="15.75" customHeight="1">
      <c r="K438" s="189"/>
      <c r="L438" s="189"/>
      <c r="P438" s="231"/>
    </row>
    <row r="439" spans="11:16" ht="15.75" customHeight="1">
      <c r="K439" s="189"/>
      <c r="L439" s="189"/>
      <c r="P439" s="231"/>
    </row>
    <row r="440" spans="11:16" ht="15.75" customHeight="1">
      <c r="K440" s="189"/>
      <c r="L440" s="189"/>
      <c r="P440" s="231"/>
    </row>
    <row r="441" spans="11:16" ht="15.75" customHeight="1">
      <c r="K441" s="189"/>
      <c r="L441" s="189"/>
      <c r="P441" s="231"/>
    </row>
    <row r="442" spans="11:16" ht="15.75" customHeight="1">
      <c r="K442" s="189"/>
      <c r="L442" s="189"/>
      <c r="P442" s="231"/>
    </row>
    <row r="443" spans="11:16" ht="15.75" customHeight="1">
      <c r="K443" s="189"/>
      <c r="L443" s="189"/>
      <c r="P443" s="231"/>
    </row>
    <row r="444" spans="11:16" ht="15.75" customHeight="1">
      <c r="K444" s="189"/>
      <c r="L444" s="189"/>
      <c r="P444" s="231"/>
    </row>
    <row r="445" spans="11:16" ht="15.75" customHeight="1">
      <c r="K445" s="189"/>
      <c r="L445" s="189"/>
      <c r="P445" s="231"/>
    </row>
    <row r="446" spans="11:16" ht="15.75" customHeight="1">
      <c r="K446" s="189"/>
      <c r="L446" s="189"/>
      <c r="P446" s="231"/>
    </row>
    <row r="447" spans="11:16" ht="15.75" customHeight="1">
      <c r="K447" s="189"/>
      <c r="L447" s="189"/>
      <c r="P447" s="231"/>
    </row>
    <row r="448" spans="11:16" ht="15.75" customHeight="1">
      <c r="K448" s="189"/>
      <c r="L448" s="189"/>
      <c r="P448" s="231"/>
    </row>
    <row r="449" spans="11:16" ht="15.75" customHeight="1">
      <c r="K449" s="189"/>
      <c r="L449" s="189"/>
      <c r="P449" s="231"/>
    </row>
    <row r="450" spans="11:16" ht="15.75" customHeight="1">
      <c r="K450" s="189"/>
      <c r="L450" s="189"/>
      <c r="P450" s="231"/>
    </row>
    <row r="451" spans="11:16" ht="15.75" customHeight="1">
      <c r="K451" s="189"/>
      <c r="L451" s="189"/>
      <c r="P451" s="231"/>
    </row>
    <row r="452" spans="11:16" ht="15.75" customHeight="1">
      <c r="K452" s="189"/>
      <c r="L452" s="189"/>
      <c r="P452" s="231"/>
    </row>
    <row r="453" spans="11:16" ht="15.75" customHeight="1">
      <c r="K453" s="189"/>
      <c r="L453" s="189"/>
      <c r="P453" s="231"/>
    </row>
    <row r="454" spans="11:16" ht="15.75" customHeight="1">
      <c r="K454" s="189"/>
      <c r="L454" s="189"/>
      <c r="P454" s="231"/>
    </row>
    <row r="455" spans="11:16" ht="15.75" customHeight="1">
      <c r="K455" s="189"/>
      <c r="L455" s="189"/>
      <c r="P455" s="231"/>
    </row>
    <row r="456" spans="11:16" ht="15.75" customHeight="1">
      <c r="K456" s="189"/>
      <c r="L456" s="189"/>
      <c r="P456" s="231"/>
    </row>
    <row r="457" spans="11:16" ht="15.75" customHeight="1">
      <c r="K457" s="189"/>
      <c r="L457" s="189"/>
      <c r="P457" s="231"/>
    </row>
    <row r="458" spans="11:16" ht="15.75" customHeight="1">
      <c r="K458" s="189"/>
      <c r="L458" s="189"/>
      <c r="P458" s="231"/>
    </row>
    <row r="459" spans="11:16" ht="15.75" customHeight="1">
      <c r="K459" s="189"/>
      <c r="L459" s="189"/>
      <c r="P459" s="231"/>
    </row>
    <row r="460" spans="11:16" ht="15.75" customHeight="1">
      <c r="K460" s="189"/>
      <c r="L460" s="189"/>
      <c r="P460" s="231"/>
    </row>
    <row r="461" spans="11:16" ht="15.75" customHeight="1">
      <c r="K461" s="189"/>
      <c r="L461" s="189"/>
      <c r="P461" s="231"/>
    </row>
    <row r="462" spans="11:16" ht="15.75" customHeight="1">
      <c r="K462" s="189"/>
      <c r="L462" s="189"/>
      <c r="P462" s="231"/>
    </row>
    <row r="463" spans="11:16" ht="15.75" customHeight="1">
      <c r="K463" s="189"/>
      <c r="L463" s="189"/>
      <c r="P463" s="231"/>
    </row>
    <row r="464" spans="11:16" ht="15.75" customHeight="1">
      <c r="K464" s="189"/>
      <c r="L464" s="189"/>
      <c r="P464" s="231"/>
    </row>
    <row r="465" spans="11:16" ht="15.75" customHeight="1">
      <c r="K465" s="189"/>
      <c r="L465" s="189"/>
      <c r="P465" s="231"/>
    </row>
    <row r="466" spans="11:16" ht="15.75" customHeight="1">
      <c r="K466" s="189"/>
      <c r="L466" s="189"/>
      <c r="P466" s="231"/>
    </row>
    <row r="467" spans="11:16" ht="15.75" customHeight="1">
      <c r="K467" s="189"/>
      <c r="L467" s="189"/>
      <c r="P467" s="231"/>
    </row>
    <row r="468" spans="11:16" ht="15.75" customHeight="1">
      <c r="K468" s="189"/>
      <c r="L468" s="189"/>
      <c r="P468" s="231"/>
    </row>
    <row r="469" spans="11:16" ht="15.75" customHeight="1">
      <c r="K469" s="189"/>
      <c r="L469" s="189"/>
      <c r="P469" s="231"/>
    </row>
    <row r="470" spans="11:16" ht="15.75" customHeight="1">
      <c r="K470" s="189"/>
      <c r="L470" s="189"/>
      <c r="P470" s="231"/>
    </row>
    <row r="471" spans="11:16" ht="15.75" customHeight="1">
      <c r="K471" s="189"/>
      <c r="L471" s="189"/>
      <c r="P471" s="231"/>
    </row>
    <row r="472" spans="11:16" ht="15.75" customHeight="1">
      <c r="K472" s="189"/>
      <c r="L472" s="189"/>
      <c r="P472" s="231"/>
    </row>
    <row r="473" spans="11:16" ht="15.75" customHeight="1">
      <c r="K473" s="189"/>
      <c r="L473" s="189"/>
      <c r="P473" s="231"/>
    </row>
    <row r="474" spans="11:16" ht="15.75" customHeight="1">
      <c r="K474" s="189"/>
      <c r="L474" s="189"/>
      <c r="P474" s="231"/>
    </row>
    <row r="475" spans="11:16" ht="15.75" customHeight="1">
      <c r="K475" s="189"/>
      <c r="L475" s="189"/>
      <c r="P475" s="231"/>
    </row>
    <row r="476" spans="11:16" ht="15.75" customHeight="1">
      <c r="K476" s="189"/>
      <c r="L476" s="189"/>
      <c r="P476" s="231"/>
    </row>
    <row r="477" spans="11:16" ht="15.75" customHeight="1">
      <c r="K477" s="189"/>
      <c r="L477" s="189"/>
      <c r="P477" s="231"/>
    </row>
    <row r="478" spans="11:16" ht="15.75" customHeight="1">
      <c r="K478" s="189"/>
      <c r="L478" s="189"/>
      <c r="P478" s="231"/>
    </row>
    <row r="479" spans="11:16" ht="15.75" customHeight="1">
      <c r="K479" s="189"/>
      <c r="L479" s="189"/>
      <c r="P479" s="231"/>
    </row>
    <row r="480" spans="11:16" ht="15.75" customHeight="1">
      <c r="K480" s="189"/>
      <c r="L480" s="189"/>
      <c r="P480" s="231"/>
    </row>
    <row r="481" spans="11:16" ht="15.75" customHeight="1">
      <c r="K481" s="189"/>
      <c r="L481" s="189"/>
      <c r="P481" s="231"/>
    </row>
    <row r="482" spans="11:16" ht="15.75" customHeight="1">
      <c r="K482" s="189"/>
      <c r="L482" s="189"/>
      <c r="P482" s="231"/>
    </row>
    <row r="483" spans="11:16" ht="15.75" customHeight="1">
      <c r="K483" s="189"/>
      <c r="L483" s="189"/>
      <c r="P483" s="231"/>
    </row>
    <row r="484" spans="11:16" ht="15.75" customHeight="1">
      <c r="K484" s="189"/>
      <c r="L484" s="189"/>
      <c r="P484" s="231"/>
    </row>
    <row r="485" spans="11:16" ht="15.75" customHeight="1">
      <c r="K485" s="189"/>
      <c r="L485" s="189"/>
      <c r="P485" s="231"/>
    </row>
    <row r="486" spans="11:16" ht="15.75" customHeight="1">
      <c r="K486" s="189"/>
      <c r="L486" s="189"/>
      <c r="P486" s="231"/>
    </row>
    <row r="487" spans="11:16" ht="15.75" customHeight="1">
      <c r="K487" s="189"/>
      <c r="L487" s="189"/>
      <c r="P487" s="231"/>
    </row>
    <row r="488" spans="11:16" ht="15.75" customHeight="1">
      <c r="K488" s="189"/>
      <c r="L488" s="189"/>
      <c r="P488" s="231"/>
    </row>
    <row r="489" spans="11:16" ht="15.75" customHeight="1">
      <c r="K489" s="189"/>
      <c r="L489" s="189"/>
      <c r="P489" s="231"/>
    </row>
    <row r="490" spans="11:16" ht="15.75" customHeight="1">
      <c r="K490" s="189"/>
      <c r="L490" s="189"/>
      <c r="P490" s="231"/>
    </row>
    <row r="491" spans="11:16" ht="15.75" customHeight="1">
      <c r="K491" s="189"/>
      <c r="L491" s="189"/>
      <c r="P491" s="231"/>
    </row>
    <row r="492" spans="11:16" ht="15.75" customHeight="1">
      <c r="K492" s="189"/>
      <c r="L492" s="189"/>
      <c r="P492" s="231"/>
    </row>
    <row r="493" spans="11:16" ht="15.75" customHeight="1">
      <c r="K493" s="189"/>
      <c r="L493" s="189"/>
      <c r="P493" s="231"/>
    </row>
    <row r="494" spans="11:16" ht="15.75" customHeight="1">
      <c r="K494" s="189"/>
      <c r="L494" s="189"/>
      <c r="P494" s="231"/>
    </row>
    <row r="495" spans="11:16" ht="15.75" customHeight="1">
      <c r="K495" s="189"/>
      <c r="L495" s="189"/>
      <c r="P495" s="231"/>
    </row>
    <row r="496" spans="11:16" ht="15.75" customHeight="1">
      <c r="K496" s="189"/>
      <c r="L496" s="189"/>
      <c r="P496" s="231"/>
    </row>
    <row r="497" spans="11:16" ht="15.75" customHeight="1">
      <c r="K497" s="189"/>
      <c r="L497" s="189"/>
      <c r="P497" s="231"/>
    </row>
    <row r="498" spans="11:16" ht="15.75" customHeight="1">
      <c r="K498" s="189"/>
      <c r="L498" s="189"/>
      <c r="P498" s="231"/>
    </row>
    <row r="499" spans="11:16" ht="15.75" customHeight="1">
      <c r="K499" s="189"/>
      <c r="L499" s="189"/>
      <c r="P499" s="231"/>
    </row>
    <row r="500" spans="11:16" ht="15.75" customHeight="1">
      <c r="K500" s="189"/>
      <c r="L500" s="189"/>
      <c r="P500" s="231"/>
    </row>
    <row r="501" spans="11:16" ht="15.75" customHeight="1">
      <c r="K501" s="189"/>
      <c r="L501" s="189"/>
      <c r="P501" s="231"/>
    </row>
    <row r="502" spans="11:16" ht="15.75" customHeight="1">
      <c r="K502" s="189"/>
      <c r="L502" s="189"/>
      <c r="P502" s="231"/>
    </row>
    <row r="503" spans="11:16" ht="15.75" customHeight="1">
      <c r="K503" s="189"/>
      <c r="L503" s="189"/>
      <c r="P503" s="231"/>
    </row>
    <row r="504" spans="11:16" ht="15.75" customHeight="1">
      <c r="K504" s="189"/>
      <c r="L504" s="189"/>
      <c r="P504" s="231"/>
    </row>
    <row r="505" spans="11:16" ht="15.75" customHeight="1">
      <c r="K505" s="189"/>
      <c r="L505" s="189"/>
      <c r="P505" s="231"/>
    </row>
    <row r="506" spans="11:16" ht="15.75" customHeight="1">
      <c r="K506" s="189"/>
      <c r="L506" s="189"/>
      <c r="P506" s="231"/>
    </row>
    <row r="507" spans="11:16" ht="15.75" customHeight="1">
      <c r="K507" s="189"/>
      <c r="L507" s="189"/>
      <c r="P507" s="231"/>
    </row>
    <row r="508" spans="11:16" ht="15.75" customHeight="1">
      <c r="K508" s="189"/>
      <c r="L508" s="189"/>
      <c r="P508" s="231"/>
    </row>
    <row r="509" spans="11:16" ht="15.75" customHeight="1">
      <c r="K509" s="189"/>
      <c r="L509" s="189"/>
      <c r="P509" s="231"/>
    </row>
    <row r="510" spans="11:16" ht="15.75" customHeight="1">
      <c r="K510" s="189"/>
      <c r="L510" s="189"/>
      <c r="P510" s="231"/>
    </row>
    <row r="511" spans="11:16" ht="15.75" customHeight="1">
      <c r="K511" s="189"/>
      <c r="L511" s="189"/>
      <c r="P511" s="231"/>
    </row>
    <row r="512" spans="11:16" ht="15.75" customHeight="1">
      <c r="K512" s="189"/>
      <c r="L512" s="189"/>
      <c r="P512" s="231"/>
    </row>
    <row r="513" spans="11:16" ht="15.75" customHeight="1">
      <c r="K513" s="189"/>
      <c r="L513" s="189"/>
      <c r="P513" s="231"/>
    </row>
    <row r="514" spans="11:16" ht="15.75" customHeight="1">
      <c r="K514" s="189"/>
      <c r="L514" s="189"/>
      <c r="P514" s="231"/>
    </row>
    <row r="515" spans="11:16" ht="15.75" customHeight="1">
      <c r="K515" s="189"/>
      <c r="L515" s="189"/>
      <c r="P515" s="231"/>
    </row>
    <row r="516" spans="11:16" ht="15.75" customHeight="1">
      <c r="K516" s="189"/>
      <c r="L516" s="189"/>
      <c r="P516" s="231"/>
    </row>
    <row r="517" spans="11:16" ht="15.75" customHeight="1">
      <c r="K517" s="189"/>
      <c r="L517" s="189"/>
      <c r="P517" s="231"/>
    </row>
    <row r="518" spans="11:16" ht="15.75" customHeight="1">
      <c r="K518" s="189"/>
      <c r="L518" s="189"/>
      <c r="P518" s="231"/>
    </row>
    <row r="519" spans="11:16" ht="15.75" customHeight="1">
      <c r="K519" s="189"/>
      <c r="L519" s="189"/>
      <c r="P519" s="231"/>
    </row>
    <row r="520" spans="11:16" ht="15.75" customHeight="1">
      <c r="K520" s="189"/>
      <c r="L520" s="189"/>
      <c r="P520" s="231"/>
    </row>
    <row r="521" spans="11:16" ht="15.75" customHeight="1">
      <c r="K521" s="189"/>
      <c r="L521" s="189"/>
      <c r="P521" s="231"/>
    </row>
    <row r="522" spans="11:16" ht="15.75" customHeight="1">
      <c r="K522" s="189"/>
      <c r="L522" s="189"/>
      <c r="P522" s="231"/>
    </row>
    <row r="523" spans="11:16" ht="15.75" customHeight="1">
      <c r="K523" s="189"/>
      <c r="L523" s="189"/>
      <c r="P523" s="231"/>
    </row>
    <row r="524" spans="11:16" ht="15.75" customHeight="1">
      <c r="K524" s="189"/>
      <c r="L524" s="189"/>
      <c r="P524" s="231"/>
    </row>
    <row r="525" spans="11:16" ht="15.75" customHeight="1">
      <c r="K525" s="189"/>
      <c r="L525" s="189"/>
      <c r="P525" s="231"/>
    </row>
    <row r="526" spans="11:16" ht="15.75" customHeight="1">
      <c r="K526" s="189"/>
      <c r="L526" s="189"/>
      <c r="P526" s="231"/>
    </row>
    <row r="527" spans="11:16" ht="15.75" customHeight="1">
      <c r="K527" s="189"/>
      <c r="L527" s="189"/>
      <c r="P527" s="231"/>
    </row>
    <row r="528" spans="11:16" ht="15.75" customHeight="1">
      <c r="K528" s="189"/>
      <c r="L528" s="189"/>
      <c r="P528" s="231"/>
    </row>
    <row r="529" spans="11:16" ht="15.75" customHeight="1">
      <c r="K529" s="189"/>
      <c r="L529" s="189"/>
      <c r="P529" s="231"/>
    </row>
    <row r="530" spans="11:16" ht="15.75" customHeight="1">
      <c r="K530" s="189"/>
      <c r="L530" s="189"/>
      <c r="P530" s="231"/>
    </row>
    <row r="531" spans="11:16" ht="15.75" customHeight="1">
      <c r="K531" s="189"/>
      <c r="L531" s="189"/>
      <c r="P531" s="231"/>
    </row>
    <row r="532" spans="11:16" ht="15.75" customHeight="1">
      <c r="K532" s="189"/>
      <c r="L532" s="189"/>
      <c r="P532" s="231"/>
    </row>
    <row r="533" spans="11:16" ht="15.75" customHeight="1">
      <c r="K533" s="189"/>
      <c r="L533" s="189"/>
      <c r="P533" s="231"/>
    </row>
    <row r="534" spans="11:16" ht="15.75" customHeight="1">
      <c r="K534" s="189"/>
      <c r="L534" s="189"/>
      <c r="P534" s="231"/>
    </row>
    <row r="535" spans="11:16" ht="15.75" customHeight="1">
      <c r="K535" s="189"/>
      <c r="L535" s="189"/>
      <c r="P535" s="231"/>
    </row>
    <row r="536" spans="11:16" ht="15.75" customHeight="1">
      <c r="K536" s="189"/>
      <c r="L536" s="189"/>
      <c r="P536" s="231"/>
    </row>
    <row r="537" spans="11:16" ht="15.75" customHeight="1">
      <c r="K537" s="189"/>
      <c r="L537" s="189"/>
      <c r="P537" s="231"/>
    </row>
    <row r="538" spans="11:16" ht="15.75" customHeight="1">
      <c r="K538" s="189"/>
      <c r="L538" s="189"/>
      <c r="P538" s="231"/>
    </row>
    <row r="539" spans="11:16" ht="15.75" customHeight="1">
      <c r="K539" s="189"/>
      <c r="L539" s="189"/>
      <c r="P539" s="231"/>
    </row>
    <row r="540" spans="11:16" ht="15.75" customHeight="1">
      <c r="K540" s="189"/>
      <c r="L540" s="189"/>
      <c r="P540" s="231"/>
    </row>
    <row r="541" spans="11:16" ht="15.75" customHeight="1">
      <c r="K541" s="189"/>
      <c r="L541" s="189"/>
      <c r="P541" s="231"/>
    </row>
    <row r="542" spans="11:16" ht="15.75" customHeight="1">
      <c r="K542" s="189"/>
      <c r="L542" s="189"/>
      <c r="P542" s="231"/>
    </row>
    <row r="543" spans="11:16" ht="15.75" customHeight="1">
      <c r="K543" s="189"/>
      <c r="L543" s="189"/>
      <c r="P543" s="231"/>
    </row>
    <row r="544" spans="11:16" ht="15.75" customHeight="1">
      <c r="K544" s="189"/>
      <c r="L544" s="189"/>
      <c r="P544" s="231"/>
    </row>
    <row r="545" spans="11:16" ht="15.75" customHeight="1">
      <c r="K545" s="189"/>
      <c r="L545" s="189"/>
      <c r="P545" s="231"/>
    </row>
    <row r="546" spans="11:16" ht="15.75" customHeight="1">
      <c r="K546" s="189"/>
      <c r="L546" s="189"/>
      <c r="P546" s="231"/>
    </row>
    <row r="547" spans="11:16" ht="15.75" customHeight="1">
      <c r="K547" s="189"/>
      <c r="L547" s="189"/>
      <c r="P547" s="231"/>
    </row>
    <row r="548" spans="11:16" ht="15.75" customHeight="1">
      <c r="K548" s="189"/>
      <c r="L548" s="189"/>
      <c r="P548" s="231"/>
    </row>
    <row r="549" spans="11:16" ht="15.75" customHeight="1">
      <c r="K549" s="189"/>
      <c r="L549" s="189"/>
      <c r="P549" s="231"/>
    </row>
    <row r="550" spans="11:16" ht="15.75" customHeight="1">
      <c r="K550" s="189"/>
      <c r="L550" s="189"/>
      <c r="P550" s="231"/>
    </row>
    <row r="551" spans="11:16" ht="15.75" customHeight="1">
      <c r="K551" s="189"/>
      <c r="L551" s="189"/>
      <c r="P551" s="231"/>
    </row>
    <row r="552" spans="11:16" ht="15.75" customHeight="1">
      <c r="K552" s="189"/>
      <c r="L552" s="189"/>
      <c r="P552" s="231"/>
    </row>
    <row r="553" spans="11:16" ht="15.75" customHeight="1">
      <c r="K553" s="189"/>
      <c r="L553" s="189"/>
      <c r="P553" s="231"/>
    </row>
    <row r="554" spans="11:16" ht="15.75" customHeight="1">
      <c r="K554" s="189"/>
      <c r="L554" s="189"/>
      <c r="P554" s="231"/>
    </row>
    <row r="555" spans="11:16" ht="15.75" customHeight="1">
      <c r="K555" s="189"/>
      <c r="L555" s="189"/>
      <c r="P555" s="231"/>
    </row>
    <row r="556" spans="11:16" ht="15.75" customHeight="1">
      <c r="K556" s="189"/>
      <c r="L556" s="189"/>
      <c r="P556" s="231"/>
    </row>
    <row r="557" spans="11:16" ht="15.75" customHeight="1">
      <c r="K557" s="189"/>
      <c r="L557" s="189"/>
      <c r="P557" s="231"/>
    </row>
    <row r="558" spans="11:16" ht="15.75" customHeight="1">
      <c r="K558" s="189"/>
      <c r="L558" s="189"/>
      <c r="P558" s="231"/>
    </row>
    <row r="559" spans="11:16" ht="15.75" customHeight="1">
      <c r="K559" s="189"/>
      <c r="L559" s="189"/>
      <c r="P559" s="231"/>
    </row>
    <row r="560" spans="11:16" ht="15.75" customHeight="1">
      <c r="K560" s="189"/>
      <c r="L560" s="189"/>
      <c r="P560" s="231"/>
    </row>
    <row r="561" spans="11:16" ht="15.75" customHeight="1">
      <c r="K561" s="189"/>
      <c r="L561" s="189"/>
      <c r="P561" s="231"/>
    </row>
    <row r="562" spans="11:16" ht="15.75" customHeight="1">
      <c r="K562" s="189"/>
      <c r="L562" s="189"/>
      <c r="P562" s="231"/>
    </row>
    <row r="563" spans="11:16" ht="15.75" customHeight="1">
      <c r="K563" s="189"/>
      <c r="L563" s="189"/>
      <c r="P563" s="231"/>
    </row>
    <row r="564" spans="11:16" ht="15.75" customHeight="1">
      <c r="K564" s="189"/>
      <c r="L564" s="189"/>
      <c r="P564" s="231"/>
    </row>
    <row r="565" spans="11:16" ht="15.75" customHeight="1">
      <c r="K565" s="189"/>
      <c r="L565" s="189"/>
      <c r="P565" s="231"/>
    </row>
    <row r="566" spans="11:16" ht="15.75" customHeight="1">
      <c r="K566" s="189"/>
      <c r="L566" s="189"/>
      <c r="P566" s="231"/>
    </row>
    <row r="567" spans="11:16" ht="15.75" customHeight="1">
      <c r="K567" s="189"/>
      <c r="L567" s="189"/>
      <c r="P567" s="231"/>
    </row>
    <row r="568" spans="11:16" ht="15.75" customHeight="1">
      <c r="K568" s="189"/>
      <c r="L568" s="189"/>
      <c r="P568" s="231"/>
    </row>
    <row r="569" spans="11:16" ht="15.75" customHeight="1">
      <c r="K569" s="189"/>
      <c r="L569" s="189"/>
      <c r="P569" s="231"/>
    </row>
    <row r="570" spans="11:16" ht="15.75" customHeight="1">
      <c r="K570" s="189"/>
      <c r="L570" s="189"/>
      <c r="P570" s="231"/>
    </row>
    <row r="571" spans="11:16" ht="15.75" customHeight="1">
      <c r="K571" s="189"/>
      <c r="L571" s="189"/>
      <c r="P571" s="231"/>
    </row>
    <row r="572" spans="11:16" ht="15.75" customHeight="1">
      <c r="K572" s="189"/>
      <c r="L572" s="189"/>
      <c r="P572" s="231"/>
    </row>
    <row r="573" spans="11:16" ht="15.75" customHeight="1">
      <c r="K573" s="189"/>
      <c r="L573" s="189"/>
      <c r="P573" s="231"/>
    </row>
    <row r="574" spans="11:16" ht="15.75" customHeight="1">
      <c r="K574" s="189"/>
      <c r="L574" s="189"/>
      <c r="P574" s="231"/>
    </row>
    <row r="575" spans="11:16" ht="15.75" customHeight="1">
      <c r="K575" s="189"/>
      <c r="L575" s="189"/>
      <c r="P575" s="231"/>
    </row>
    <row r="576" spans="11:16" ht="15.75" customHeight="1">
      <c r="K576" s="189"/>
      <c r="L576" s="189"/>
      <c r="P576" s="231"/>
    </row>
    <row r="577" spans="11:16" ht="15.75" customHeight="1">
      <c r="K577" s="189"/>
      <c r="L577" s="189"/>
      <c r="P577" s="231"/>
    </row>
    <row r="578" spans="11:16" ht="15.75" customHeight="1">
      <c r="K578" s="189"/>
      <c r="L578" s="189"/>
      <c r="P578" s="231"/>
    </row>
    <row r="579" spans="11:16" ht="15.75" customHeight="1">
      <c r="K579" s="189"/>
      <c r="L579" s="189"/>
      <c r="P579" s="231"/>
    </row>
    <row r="580" spans="11:16" ht="15.75" customHeight="1">
      <c r="K580" s="189"/>
      <c r="L580" s="189"/>
      <c r="P580" s="231"/>
    </row>
    <row r="581" spans="11:16" ht="15.75" customHeight="1">
      <c r="K581" s="189"/>
      <c r="L581" s="189"/>
      <c r="P581" s="231"/>
    </row>
    <row r="582" spans="11:16" ht="15.75" customHeight="1">
      <c r="K582" s="189"/>
      <c r="L582" s="189"/>
      <c r="P582" s="231"/>
    </row>
    <row r="583" spans="11:16" ht="15.75" customHeight="1">
      <c r="K583" s="189"/>
      <c r="L583" s="189"/>
      <c r="P583" s="231"/>
    </row>
    <row r="584" spans="11:16" ht="15.75" customHeight="1">
      <c r="K584" s="189"/>
      <c r="L584" s="189"/>
      <c r="P584" s="231"/>
    </row>
    <row r="585" spans="11:16" ht="15.75" customHeight="1">
      <c r="K585" s="189"/>
      <c r="L585" s="189"/>
      <c r="P585" s="231"/>
    </row>
    <row r="586" spans="11:16" ht="15.75" customHeight="1">
      <c r="K586" s="189"/>
      <c r="L586" s="189"/>
      <c r="P586" s="231"/>
    </row>
    <row r="587" spans="11:16" ht="15.75" customHeight="1">
      <c r="K587" s="189"/>
      <c r="L587" s="189"/>
      <c r="P587" s="231"/>
    </row>
    <row r="588" spans="11:16" ht="15.75" customHeight="1">
      <c r="K588" s="189"/>
      <c r="L588" s="189"/>
      <c r="P588" s="231"/>
    </row>
    <row r="589" spans="11:16" ht="15.75" customHeight="1">
      <c r="K589" s="189"/>
      <c r="L589" s="189"/>
      <c r="P589" s="231"/>
    </row>
    <row r="590" spans="11:16" ht="15.75" customHeight="1">
      <c r="K590" s="189"/>
      <c r="L590" s="189"/>
      <c r="P590" s="231"/>
    </row>
    <row r="591" spans="11:16" ht="15.75" customHeight="1">
      <c r="K591" s="189"/>
      <c r="L591" s="189"/>
      <c r="P591" s="231"/>
    </row>
    <row r="592" spans="11:16" ht="15.75" customHeight="1">
      <c r="K592" s="189"/>
      <c r="L592" s="189"/>
      <c r="P592" s="231"/>
    </row>
    <row r="593" spans="11:16" ht="15.75" customHeight="1">
      <c r="K593" s="189"/>
      <c r="L593" s="189"/>
      <c r="P593" s="231"/>
    </row>
    <row r="594" spans="11:16" ht="15.75" customHeight="1">
      <c r="K594" s="189"/>
      <c r="L594" s="189"/>
      <c r="P594" s="231"/>
    </row>
    <row r="595" spans="11:16" ht="15.75" customHeight="1">
      <c r="K595" s="189"/>
      <c r="L595" s="189"/>
      <c r="P595" s="231"/>
    </row>
    <row r="596" spans="11:16" ht="15.75" customHeight="1">
      <c r="K596" s="189"/>
      <c r="L596" s="189"/>
      <c r="P596" s="231"/>
    </row>
    <row r="597" spans="11:16" ht="15.75" customHeight="1">
      <c r="K597" s="189"/>
      <c r="L597" s="189"/>
      <c r="P597" s="231"/>
    </row>
    <row r="598" spans="11:16" ht="15.75" customHeight="1">
      <c r="K598" s="189"/>
      <c r="L598" s="189"/>
      <c r="P598" s="231"/>
    </row>
    <row r="599" spans="11:16" ht="15.75" customHeight="1">
      <c r="K599" s="189"/>
      <c r="L599" s="189"/>
      <c r="P599" s="231"/>
    </row>
    <row r="600" spans="11:16" ht="15.75" customHeight="1">
      <c r="K600" s="189"/>
      <c r="L600" s="189"/>
      <c r="P600" s="231"/>
    </row>
    <row r="601" spans="11:16" ht="15.75" customHeight="1">
      <c r="K601" s="189"/>
      <c r="L601" s="189"/>
      <c r="P601" s="231"/>
    </row>
    <row r="602" spans="11:16" ht="15.75" customHeight="1">
      <c r="K602" s="189"/>
      <c r="L602" s="189"/>
      <c r="P602" s="231"/>
    </row>
    <row r="603" spans="11:16" ht="15.75" customHeight="1">
      <c r="K603" s="189"/>
      <c r="L603" s="189"/>
      <c r="P603" s="231"/>
    </row>
    <row r="604" spans="11:16" ht="15.75" customHeight="1">
      <c r="K604" s="189"/>
      <c r="L604" s="189"/>
      <c r="P604" s="231"/>
    </row>
    <row r="605" spans="11:16" ht="15.75" customHeight="1">
      <c r="K605" s="189"/>
      <c r="L605" s="189"/>
      <c r="P605" s="231"/>
    </row>
    <row r="606" spans="11:16" ht="15.75" customHeight="1">
      <c r="K606" s="189"/>
      <c r="L606" s="189"/>
      <c r="P606" s="231"/>
    </row>
    <row r="607" spans="11:16" ht="15.75" customHeight="1">
      <c r="K607" s="189"/>
      <c r="L607" s="189"/>
      <c r="P607" s="231"/>
    </row>
    <row r="608" spans="11:16" ht="15.75" customHeight="1">
      <c r="K608" s="189"/>
      <c r="L608" s="189"/>
      <c r="P608" s="231"/>
    </row>
    <row r="609" spans="11:16" ht="15.75" customHeight="1">
      <c r="K609" s="189"/>
      <c r="L609" s="189"/>
      <c r="P609" s="231"/>
    </row>
    <row r="610" spans="11:16" ht="15.75" customHeight="1">
      <c r="K610" s="189"/>
      <c r="L610" s="189"/>
      <c r="P610" s="231"/>
    </row>
    <row r="611" spans="11:16" ht="15.75" customHeight="1">
      <c r="K611" s="189"/>
      <c r="L611" s="189"/>
      <c r="P611" s="231"/>
    </row>
    <row r="612" spans="11:16" ht="15.75" customHeight="1">
      <c r="K612" s="189"/>
      <c r="L612" s="189"/>
      <c r="P612" s="231"/>
    </row>
    <row r="613" spans="11:16" ht="15.75" customHeight="1">
      <c r="K613" s="189"/>
      <c r="L613" s="189"/>
      <c r="P613" s="231"/>
    </row>
    <row r="614" spans="11:16" ht="15.75" customHeight="1">
      <c r="K614" s="189"/>
      <c r="L614" s="189"/>
      <c r="P614" s="231"/>
    </row>
    <row r="615" spans="11:16" ht="15.75" customHeight="1">
      <c r="K615" s="189"/>
      <c r="L615" s="189"/>
      <c r="P615" s="231"/>
    </row>
    <row r="616" spans="11:16" ht="15.75" customHeight="1">
      <c r="K616" s="189"/>
      <c r="L616" s="189"/>
      <c r="P616" s="231"/>
    </row>
    <row r="617" spans="11:16" ht="15.75" customHeight="1">
      <c r="K617" s="189"/>
      <c r="L617" s="189"/>
      <c r="P617" s="231"/>
    </row>
    <row r="618" spans="11:16" ht="15.75" customHeight="1">
      <c r="K618" s="189"/>
      <c r="L618" s="189"/>
      <c r="P618" s="231"/>
    </row>
    <row r="619" spans="11:16" ht="15.75" customHeight="1">
      <c r="K619" s="189"/>
      <c r="L619" s="189"/>
      <c r="P619" s="231"/>
    </row>
    <row r="620" spans="11:16" ht="15.75" customHeight="1">
      <c r="K620" s="189"/>
      <c r="L620" s="189"/>
      <c r="P620" s="231"/>
    </row>
    <row r="621" spans="11:16" ht="15.75" customHeight="1">
      <c r="K621" s="189"/>
      <c r="L621" s="189"/>
      <c r="P621" s="231"/>
    </row>
    <row r="622" spans="11:16" ht="15.75" customHeight="1">
      <c r="K622" s="189"/>
      <c r="L622" s="189"/>
      <c r="P622" s="231"/>
    </row>
    <row r="623" spans="11:16" ht="15.75" customHeight="1">
      <c r="K623" s="189"/>
      <c r="L623" s="189"/>
      <c r="P623" s="231"/>
    </row>
    <row r="624" spans="11:16" ht="15.75" customHeight="1">
      <c r="K624" s="189"/>
      <c r="L624" s="189"/>
      <c r="P624" s="231"/>
    </row>
    <row r="625" spans="11:16" ht="15.75" customHeight="1">
      <c r="K625" s="189"/>
      <c r="L625" s="189"/>
      <c r="P625" s="231"/>
    </row>
    <row r="626" spans="11:16" ht="15.75" customHeight="1">
      <c r="K626" s="189"/>
      <c r="L626" s="189"/>
      <c r="P626" s="231"/>
    </row>
    <row r="627" spans="11:16" ht="15.75" customHeight="1">
      <c r="K627" s="189"/>
      <c r="L627" s="189"/>
      <c r="P627" s="231"/>
    </row>
    <row r="628" spans="11:16" ht="15.75" customHeight="1">
      <c r="K628" s="189"/>
      <c r="L628" s="189"/>
      <c r="P628" s="231"/>
    </row>
    <row r="629" spans="11:16" ht="15.75" customHeight="1">
      <c r="K629" s="189"/>
      <c r="L629" s="189"/>
      <c r="P629" s="231"/>
    </row>
    <row r="630" spans="11:16" ht="15.75" customHeight="1">
      <c r="K630" s="189"/>
      <c r="L630" s="189"/>
      <c r="P630" s="231"/>
    </row>
    <row r="631" spans="11:16" ht="15.75" customHeight="1">
      <c r="K631" s="189"/>
      <c r="L631" s="189"/>
      <c r="P631" s="231"/>
    </row>
    <row r="632" spans="11:16" ht="15.75" customHeight="1">
      <c r="K632" s="189"/>
      <c r="L632" s="189"/>
      <c r="P632" s="231"/>
    </row>
    <row r="633" spans="11:16" ht="15.75" customHeight="1">
      <c r="K633" s="189"/>
      <c r="L633" s="189"/>
      <c r="P633" s="231"/>
    </row>
    <row r="634" spans="11:16" ht="15.75" customHeight="1">
      <c r="K634" s="189"/>
      <c r="L634" s="189"/>
      <c r="P634" s="231"/>
    </row>
    <row r="635" spans="11:16" ht="15.75" customHeight="1">
      <c r="K635" s="189"/>
      <c r="L635" s="189"/>
      <c r="P635" s="231"/>
    </row>
    <row r="636" spans="11:16" ht="15.75" customHeight="1">
      <c r="K636" s="189"/>
      <c r="L636" s="189"/>
      <c r="P636" s="231"/>
    </row>
    <row r="637" spans="11:16" ht="15.75" customHeight="1">
      <c r="K637" s="189"/>
      <c r="L637" s="189"/>
      <c r="P637" s="231"/>
    </row>
    <row r="638" spans="11:16" ht="15.75" customHeight="1">
      <c r="K638" s="189"/>
      <c r="L638" s="189"/>
      <c r="P638" s="231"/>
    </row>
    <row r="639" spans="11:16" ht="15.75" customHeight="1">
      <c r="K639" s="189"/>
      <c r="L639" s="189"/>
      <c r="P639" s="231"/>
    </row>
    <row r="640" spans="11:16" ht="15.75" customHeight="1">
      <c r="K640" s="189"/>
      <c r="L640" s="189"/>
      <c r="P640" s="231"/>
    </row>
    <row r="641" spans="11:16" ht="15.75" customHeight="1">
      <c r="K641" s="189"/>
      <c r="L641" s="189"/>
      <c r="P641" s="231"/>
    </row>
    <row r="642" spans="11:16" ht="15.75" customHeight="1">
      <c r="K642" s="189"/>
      <c r="L642" s="189"/>
      <c r="P642" s="231"/>
    </row>
    <row r="643" spans="11:16" ht="15.75" customHeight="1">
      <c r="K643" s="189"/>
      <c r="L643" s="189"/>
      <c r="P643" s="231"/>
    </row>
    <row r="644" spans="11:16" ht="15.75" customHeight="1">
      <c r="K644" s="189"/>
      <c r="L644" s="189"/>
      <c r="P644" s="231"/>
    </row>
    <row r="645" spans="11:16" ht="15.75" customHeight="1">
      <c r="K645" s="189"/>
      <c r="L645" s="189"/>
      <c r="P645" s="231"/>
    </row>
    <row r="646" spans="11:16" ht="15.75" customHeight="1">
      <c r="K646" s="189"/>
      <c r="L646" s="189"/>
      <c r="P646" s="231"/>
    </row>
    <row r="647" spans="11:16" ht="15.75" customHeight="1">
      <c r="K647" s="189"/>
      <c r="L647" s="189"/>
      <c r="P647" s="231"/>
    </row>
    <row r="648" spans="11:16" ht="15.75" customHeight="1">
      <c r="K648" s="189"/>
      <c r="L648" s="189"/>
      <c r="P648" s="231"/>
    </row>
    <row r="649" spans="11:16" ht="15.75" customHeight="1">
      <c r="K649" s="189"/>
      <c r="L649" s="189"/>
      <c r="P649" s="231"/>
    </row>
    <row r="650" spans="11:16" ht="15.75" customHeight="1">
      <c r="K650" s="189"/>
      <c r="L650" s="189"/>
      <c r="P650" s="231"/>
    </row>
    <row r="651" spans="11:16" ht="15.75" customHeight="1">
      <c r="K651" s="189"/>
      <c r="L651" s="189"/>
      <c r="P651" s="231"/>
    </row>
    <row r="652" spans="11:16" ht="15.75" customHeight="1">
      <c r="K652" s="189"/>
      <c r="L652" s="189"/>
      <c r="P652" s="231"/>
    </row>
    <row r="653" spans="11:16" ht="15.75" customHeight="1">
      <c r="K653" s="189"/>
      <c r="L653" s="189"/>
      <c r="P653" s="231"/>
    </row>
    <row r="654" spans="11:16" ht="15.75" customHeight="1">
      <c r="K654" s="189"/>
      <c r="L654" s="189"/>
      <c r="P654" s="231"/>
    </row>
    <row r="655" spans="11:16" ht="15.75" customHeight="1">
      <c r="K655" s="189"/>
      <c r="L655" s="189"/>
      <c r="P655" s="231"/>
    </row>
    <row r="656" spans="11:16" ht="15.75" customHeight="1">
      <c r="K656" s="189"/>
      <c r="L656" s="189"/>
      <c r="P656" s="231"/>
    </row>
    <row r="657" spans="11:16" ht="15.75" customHeight="1">
      <c r="K657" s="189"/>
      <c r="L657" s="189"/>
      <c r="P657" s="231"/>
    </row>
    <row r="658" spans="11:16" ht="15.75" customHeight="1">
      <c r="K658" s="189"/>
      <c r="L658" s="189"/>
      <c r="P658" s="231"/>
    </row>
    <row r="659" spans="11:16" ht="15.75" customHeight="1">
      <c r="K659" s="189"/>
      <c r="L659" s="189"/>
      <c r="P659" s="231"/>
    </row>
    <row r="660" spans="11:16" ht="15.75" customHeight="1">
      <c r="K660" s="189"/>
      <c r="L660" s="189"/>
      <c r="P660" s="231"/>
    </row>
    <row r="661" spans="11:16" ht="15.75" customHeight="1">
      <c r="K661" s="189"/>
      <c r="L661" s="189"/>
      <c r="P661" s="231"/>
    </row>
    <row r="662" spans="11:16" ht="15.75" customHeight="1">
      <c r="K662" s="189"/>
      <c r="L662" s="189"/>
      <c r="P662" s="231"/>
    </row>
    <row r="663" spans="11:16" ht="15.75" customHeight="1">
      <c r="K663" s="189"/>
      <c r="L663" s="189"/>
      <c r="P663" s="231"/>
    </row>
    <row r="664" spans="11:16" ht="15.75" customHeight="1">
      <c r="K664" s="189"/>
      <c r="L664" s="189"/>
      <c r="P664" s="231"/>
    </row>
    <row r="665" spans="11:16" ht="15.75" customHeight="1">
      <c r="K665" s="189"/>
      <c r="L665" s="189"/>
      <c r="P665" s="231"/>
    </row>
    <row r="666" spans="11:16" ht="15.75" customHeight="1">
      <c r="K666" s="189"/>
      <c r="L666" s="189"/>
      <c r="P666" s="231"/>
    </row>
    <row r="667" spans="11:16" ht="15.75" customHeight="1">
      <c r="K667" s="189"/>
      <c r="L667" s="189"/>
      <c r="P667" s="231"/>
    </row>
    <row r="668" spans="11:16" ht="15.75" customHeight="1">
      <c r="K668" s="189"/>
      <c r="L668" s="189"/>
      <c r="P668" s="231"/>
    </row>
    <row r="669" spans="11:16" ht="15.75" customHeight="1">
      <c r="K669" s="189"/>
      <c r="L669" s="189"/>
      <c r="P669" s="231"/>
    </row>
    <row r="670" spans="11:16" ht="15.75" customHeight="1">
      <c r="K670" s="189"/>
      <c r="L670" s="189"/>
      <c r="P670" s="231"/>
    </row>
    <row r="671" spans="11:16" ht="15.75" customHeight="1">
      <c r="K671" s="189"/>
      <c r="L671" s="189"/>
      <c r="P671" s="231"/>
    </row>
    <row r="672" spans="11:16" ht="15.75" customHeight="1">
      <c r="K672" s="189"/>
      <c r="L672" s="189"/>
      <c r="P672" s="231"/>
    </row>
    <row r="673" spans="11:16" ht="15.75" customHeight="1">
      <c r="K673" s="189"/>
      <c r="L673" s="189"/>
      <c r="P673" s="231"/>
    </row>
    <row r="674" spans="11:16" ht="15.75" customHeight="1">
      <c r="K674" s="189"/>
      <c r="L674" s="189"/>
      <c r="P674" s="231"/>
    </row>
    <row r="675" spans="11:16" ht="15.75" customHeight="1">
      <c r="K675" s="189"/>
      <c r="L675" s="189"/>
      <c r="P675" s="231"/>
    </row>
    <row r="676" spans="11:16" ht="15.75" customHeight="1">
      <c r="K676" s="189"/>
      <c r="L676" s="189"/>
      <c r="P676" s="231"/>
    </row>
    <row r="677" spans="11:16" ht="15.75" customHeight="1">
      <c r="K677" s="189"/>
      <c r="L677" s="189"/>
      <c r="P677" s="231"/>
    </row>
    <row r="678" spans="11:16" ht="15.75" customHeight="1">
      <c r="K678" s="189"/>
      <c r="L678" s="189"/>
      <c r="P678" s="231"/>
    </row>
    <row r="679" spans="11:16" ht="15.75" customHeight="1">
      <c r="K679" s="189"/>
      <c r="L679" s="189"/>
      <c r="P679" s="231"/>
    </row>
    <row r="680" spans="11:16" ht="15.75" customHeight="1">
      <c r="K680" s="189"/>
      <c r="L680" s="189"/>
      <c r="P680" s="231"/>
    </row>
    <row r="681" spans="11:16" ht="15.75" customHeight="1">
      <c r="K681" s="189"/>
      <c r="L681" s="189"/>
      <c r="P681" s="231"/>
    </row>
    <row r="682" spans="11:16" ht="15.75" customHeight="1">
      <c r="K682" s="189"/>
      <c r="L682" s="189"/>
      <c r="P682" s="231"/>
    </row>
    <row r="683" spans="11:16" ht="15.75" customHeight="1">
      <c r="K683" s="189"/>
      <c r="L683" s="189"/>
      <c r="P683" s="231"/>
    </row>
    <row r="684" spans="11:16" ht="15.75" customHeight="1">
      <c r="K684" s="189"/>
      <c r="L684" s="189"/>
      <c r="P684" s="231"/>
    </row>
    <row r="685" spans="11:16" ht="15.75" customHeight="1">
      <c r="K685" s="189"/>
      <c r="L685" s="189"/>
      <c r="P685" s="231"/>
    </row>
    <row r="686" spans="11:16" ht="15.75" customHeight="1">
      <c r="K686" s="189"/>
      <c r="L686" s="189"/>
      <c r="P686" s="231"/>
    </row>
    <row r="687" spans="11:16" ht="15.75" customHeight="1">
      <c r="K687" s="189"/>
      <c r="L687" s="189"/>
      <c r="P687" s="231"/>
    </row>
    <row r="688" spans="11:16" ht="15.75" customHeight="1">
      <c r="K688" s="189"/>
      <c r="L688" s="189"/>
      <c r="P688" s="231"/>
    </row>
    <row r="689" spans="11:16" ht="15.75" customHeight="1">
      <c r="K689" s="189"/>
      <c r="L689" s="189"/>
      <c r="P689" s="231"/>
    </row>
    <row r="690" spans="11:16" ht="15.75" customHeight="1">
      <c r="K690" s="189"/>
      <c r="L690" s="189"/>
      <c r="P690" s="231"/>
    </row>
    <row r="691" spans="11:16" ht="15.75" customHeight="1">
      <c r="K691" s="189"/>
      <c r="L691" s="189"/>
      <c r="P691" s="231"/>
    </row>
    <row r="692" spans="11:16" ht="15.75" customHeight="1">
      <c r="K692" s="189"/>
      <c r="L692" s="189"/>
      <c r="P692" s="231"/>
    </row>
    <row r="693" spans="11:16" ht="15.75" customHeight="1">
      <c r="K693" s="189"/>
      <c r="L693" s="189"/>
      <c r="P693" s="231"/>
    </row>
    <row r="694" spans="11:16" ht="15.75" customHeight="1">
      <c r="K694" s="189"/>
      <c r="L694" s="189"/>
      <c r="P694" s="231"/>
    </row>
    <row r="695" spans="11:16" ht="15.75" customHeight="1">
      <c r="K695" s="189"/>
      <c r="L695" s="189"/>
      <c r="P695" s="231"/>
    </row>
    <row r="696" spans="11:16" ht="15.75" customHeight="1">
      <c r="K696" s="189"/>
      <c r="L696" s="189"/>
      <c r="P696" s="231"/>
    </row>
    <row r="697" spans="11:16" ht="15.75" customHeight="1">
      <c r="K697" s="189"/>
      <c r="L697" s="189"/>
      <c r="P697" s="231"/>
    </row>
    <row r="698" spans="11:16" ht="15.75" customHeight="1">
      <c r="K698" s="189"/>
      <c r="L698" s="189"/>
      <c r="P698" s="231"/>
    </row>
    <row r="699" spans="11:16" ht="15.75" customHeight="1">
      <c r="K699" s="189"/>
      <c r="L699" s="189"/>
      <c r="P699" s="231"/>
    </row>
    <row r="700" spans="11:16" ht="15.75" customHeight="1">
      <c r="K700" s="189"/>
      <c r="L700" s="189"/>
      <c r="P700" s="231"/>
    </row>
    <row r="701" spans="11:16" ht="15.75" customHeight="1">
      <c r="K701" s="189"/>
      <c r="L701" s="189"/>
      <c r="P701" s="231"/>
    </row>
    <row r="702" spans="11:16" ht="15.75" customHeight="1">
      <c r="K702" s="189"/>
      <c r="L702" s="189"/>
      <c r="P702" s="231"/>
    </row>
    <row r="703" spans="11:16" ht="15.75" customHeight="1">
      <c r="K703" s="189"/>
      <c r="L703" s="189"/>
      <c r="P703" s="231"/>
    </row>
    <row r="704" spans="11:16" ht="15.75" customHeight="1">
      <c r="K704" s="189"/>
      <c r="L704" s="189"/>
      <c r="P704" s="231"/>
    </row>
    <row r="705" spans="11:16" ht="15.75" customHeight="1">
      <c r="K705" s="189"/>
      <c r="L705" s="189"/>
      <c r="P705" s="231"/>
    </row>
    <row r="706" spans="11:16" ht="15.75" customHeight="1">
      <c r="K706" s="189"/>
      <c r="L706" s="189"/>
      <c r="P706" s="231"/>
    </row>
    <row r="707" spans="11:16" ht="15.75" customHeight="1">
      <c r="K707" s="189"/>
      <c r="L707" s="189"/>
      <c r="P707" s="231"/>
    </row>
    <row r="708" spans="11:16" ht="15.75" customHeight="1">
      <c r="K708" s="189"/>
      <c r="L708" s="189"/>
      <c r="P708" s="231"/>
    </row>
    <row r="709" spans="11:16" ht="15.75" customHeight="1">
      <c r="K709" s="189"/>
      <c r="L709" s="189"/>
      <c r="P709" s="231"/>
    </row>
    <row r="710" spans="11:16" ht="15.75" customHeight="1">
      <c r="K710" s="189"/>
      <c r="L710" s="189"/>
      <c r="P710" s="231"/>
    </row>
    <row r="711" spans="11:16" ht="15.75" customHeight="1">
      <c r="K711" s="189"/>
      <c r="L711" s="189"/>
      <c r="P711" s="231"/>
    </row>
    <row r="712" spans="11:16" ht="15.75" customHeight="1">
      <c r="K712" s="189"/>
      <c r="L712" s="189"/>
      <c r="P712" s="231"/>
    </row>
    <row r="713" spans="11:16" ht="15.75" customHeight="1">
      <c r="K713" s="189"/>
      <c r="L713" s="189"/>
      <c r="P713" s="231"/>
    </row>
    <row r="714" spans="11:16" ht="15.75" customHeight="1">
      <c r="K714" s="189"/>
      <c r="L714" s="189"/>
      <c r="P714" s="231"/>
    </row>
    <row r="715" spans="11:16" ht="15.75" customHeight="1">
      <c r="K715" s="189"/>
      <c r="L715" s="189"/>
      <c r="P715" s="231"/>
    </row>
    <row r="716" spans="11:16" ht="15.75" customHeight="1">
      <c r="K716" s="189"/>
      <c r="L716" s="189"/>
      <c r="P716" s="231"/>
    </row>
    <row r="717" spans="11:16" ht="15.75" customHeight="1">
      <c r="K717" s="189"/>
      <c r="L717" s="189"/>
      <c r="P717" s="231"/>
    </row>
    <row r="718" spans="11:16" ht="15.75" customHeight="1">
      <c r="K718" s="189"/>
      <c r="L718" s="189"/>
      <c r="P718" s="231"/>
    </row>
    <row r="719" spans="11:16" ht="15.75" customHeight="1">
      <c r="K719" s="189"/>
      <c r="L719" s="189"/>
      <c r="P719" s="231"/>
    </row>
    <row r="720" spans="11:16" ht="15.75" customHeight="1">
      <c r="K720" s="189"/>
      <c r="L720" s="189"/>
      <c r="P720" s="231"/>
    </row>
    <row r="721" spans="11:16" ht="15.75" customHeight="1">
      <c r="K721" s="189"/>
      <c r="L721" s="189"/>
      <c r="P721" s="231"/>
    </row>
    <row r="722" spans="11:16" ht="15.75" customHeight="1">
      <c r="K722" s="189"/>
      <c r="L722" s="189"/>
      <c r="P722" s="231"/>
    </row>
    <row r="723" spans="11:16" ht="15.75" customHeight="1">
      <c r="K723" s="189"/>
      <c r="L723" s="189"/>
      <c r="P723" s="231"/>
    </row>
    <row r="724" spans="11:16" ht="15.75" customHeight="1">
      <c r="K724" s="189"/>
      <c r="L724" s="189"/>
      <c r="P724" s="231"/>
    </row>
    <row r="725" spans="11:16" ht="15.75" customHeight="1">
      <c r="K725" s="189"/>
      <c r="L725" s="189"/>
      <c r="P725" s="231"/>
    </row>
    <row r="726" spans="11:16" ht="15.75" customHeight="1">
      <c r="K726" s="189"/>
      <c r="L726" s="189"/>
      <c r="P726" s="231"/>
    </row>
    <row r="727" spans="11:16" ht="15.75" customHeight="1">
      <c r="K727" s="189"/>
      <c r="L727" s="189"/>
      <c r="P727" s="231"/>
    </row>
    <row r="728" spans="11:16" ht="15.75" customHeight="1">
      <c r="K728" s="189"/>
      <c r="L728" s="189"/>
      <c r="P728" s="231"/>
    </row>
    <row r="729" spans="11:16" ht="15.75" customHeight="1">
      <c r="K729" s="189"/>
      <c r="L729" s="189"/>
      <c r="P729" s="231"/>
    </row>
    <row r="730" spans="11:16" ht="15.75" customHeight="1">
      <c r="K730" s="189"/>
      <c r="L730" s="189"/>
      <c r="P730" s="231"/>
    </row>
    <row r="731" spans="11:16" ht="15.75" customHeight="1">
      <c r="K731" s="189"/>
      <c r="L731" s="189"/>
      <c r="P731" s="231"/>
    </row>
    <row r="732" spans="11:16" ht="15.75" customHeight="1">
      <c r="K732" s="189"/>
      <c r="L732" s="189"/>
      <c r="P732" s="231"/>
    </row>
    <row r="733" spans="11:16" ht="15.75" customHeight="1">
      <c r="K733" s="189"/>
      <c r="L733" s="189"/>
      <c r="P733" s="231"/>
    </row>
    <row r="734" spans="11:16" ht="15.75" customHeight="1">
      <c r="K734" s="189"/>
      <c r="L734" s="189"/>
      <c r="P734" s="231"/>
    </row>
    <row r="735" spans="11:16" ht="15.75" customHeight="1">
      <c r="K735" s="189"/>
      <c r="L735" s="189"/>
      <c r="P735" s="231"/>
    </row>
    <row r="736" spans="11:16" ht="15.75" customHeight="1">
      <c r="K736" s="189"/>
      <c r="L736" s="189"/>
      <c r="P736" s="231"/>
    </row>
    <row r="737" spans="11:16" ht="15.75" customHeight="1">
      <c r="K737" s="189"/>
      <c r="L737" s="189"/>
      <c r="P737" s="231"/>
    </row>
    <row r="738" spans="11:16" ht="15.75" customHeight="1">
      <c r="K738" s="189"/>
      <c r="L738" s="189"/>
      <c r="P738" s="231"/>
    </row>
    <row r="739" spans="11:16" ht="15.75" customHeight="1">
      <c r="K739" s="189"/>
      <c r="L739" s="189"/>
      <c r="P739" s="231"/>
    </row>
    <row r="740" spans="11:16" ht="15.75" customHeight="1">
      <c r="K740" s="189"/>
      <c r="L740" s="189"/>
      <c r="P740" s="231"/>
    </row>
    <row r="741" spans="11:16" ht="15.75" customHeight="1">
      <c r="K741" s="189"/>
      <c r="L741" s="189"/>
      <c r="P741" s="231"/>
    </row>
    <row r="742" spans="11:16" ht="15.75" customHeight="1">
      <c r="K742" s="189"/>
      <c r="L742" s="189"/>
      <c r="P742" s="231"/>
    </row>
    <row r="743" spans="11:16" ht="15.75" customHeight="1">
      <c r="K743" s="189"/>
      <c r="L743" s="189"/>
      <c r="P743" s="231"/>
    </row>
    <row r="744" spans="11:16" ht="15.75" customHeight="1">
      <c r="K744" s="189"/>
      <c r="L744" s="189"/>
      <c r="P744" s="231"/>
    </row>
    <row r="745" spans="11:16" ht="15.75" customHeight="1">
      <c r="K745" s="189"/>
      <c r="L745" s="189"/>
      <c r="P745" s="231"/>
    </row>
    <row r="746" spans="11:16" ht="15.75" customHeight="1">
      <c r="K746" s="189"/>
      <c r="L746" s="189"/>
      <c r="P746" s="231"/>
    </row>
    <row r="747" spans="11:16" ht="15.75" customHeight="1">
      <c r="K747" s="189"/>
      <c r="L747" s="189"/>
      <c r="P747" s="231"/>
    </row>
    <row r="748" spans="11:16" ht="15.75" customHeight="1">
      <c r="K748" s="189"/>
      <c r="L748" s="189"/>
      <c r="P748" s="231"/>
    </row>
    <row r="749" spans="11:16" ht="15.75" customHeight="1">
      <c r="K749" s="189"/>
      <c r="L749" s="189"/>
      <c r="P749" s="231"/>
    </row>
    <row r="750" spans="11:16" ht="15.75" customHeight="1">
      <c r="K750" s="189"/>
      <c r="L750" s="189"/>
      <c r="P750" s="231"/>
    </row>
    <row r="751" spans="11:16" ht="15.75" customHeight="1">
      <c r="K751" s="189"/>
      <c r="L751" s="189"/>
      <c r="P751" s="231"/>
    </row>
    <row r="752" spans="11:16" ht="15.75" customHeight="1">
      <c r="K752" s="189"/>
      <c r="L752" s="189"/>
      <c r="P752" s="231"/>
    </row>
    <row r="753" spans="11:16" ht="15.75" customHeight="1">
      <c r="K753" s="189"/>
      <c r="L753" s="189"/>
      <c r="P753" s="231"/>
    </row>
    <row r="754" spans="11:16" ht="15.75" customHeight="1">
      <c r="K754" s="189"/>
      <c r="L754" s="189"/>
      <c r="P754" s="231"/>
    </row>
    <row r="755" spans="11:16" ht="15.75" customHeight="1">
      <c r="K755" s="189"/>
      <c r="L755" s="189"/>
      <c r="P755" s="231"/>
    </row>
    <row r="756" spans="11:16" ht="15.75" customHeight="1">
      <c r="K756" s="189"/>
      <c r="L756" s="189"/>
      <c r="P756" s="231"/>
    </row>
    <row r="757" spans="11:16" ht="15.75" customHeight="1">
      <c r="K757" s="189"/>
      <c r="L757" s="189"/>
      <c r="P757" s="231"/>
    </row>
    <row r="758" spans="11:16" ht="15.75" customHeight="1">
      <c r="K758" s="189"/>
      <c r="L758" s="189"/>
      <c r="P758" s="231"/>
    </row>
    <row r="759" spans="11:16" ht="15.75" customHeight="1">
      <c r="K759" s="189"/>
      <c r="L759" s="189"/>
      <c r="P759" s="231"/>
    </row>
    <row r="760" spans="11:16" ht="15.75" customHeight="1">
      <c r="K760" s="189"/>
      <c r="L760" s="189"/>
      <c r="P760" s="231"/>
    </row>
    <row r="761" spans="11:16" ht="15.75" customHeight="1">
      <c r="K761" s="189"/>
      <c r="L761" s="189"/>
      <c r="P761" s="231"/>
    </row>
    <row r="762" spans="11:16" ht="15.75" customHeight="1">
      <c r="K762" s="189"/>
      <c r="L762" s="189"/>
      <c r="P762" s="231"/>
    </row>
    <row r="763" spans="11:16" ht="15.75" customHeight="1">
      <c r="K763" s="189"/>
      <c r="L763" s="189"/>
      <c r="P763" s="231"/>
    </row>
    <row r="764" spans="11:16" ht="15.75" customHeight="1">
      <c r="K764" s="189"/>
      <c r="L764" s="189"/>
      <c r="P764" s="231"/>
    </row>
    <row r="765" spans="11:16" ht="15.75" customHeight="1">
      <c r="K765" s="189"/>
      <c r="L765" s="189"/>
      <c r="P765" s="231"/>
    </row>
    <row r="766" spans="11:16" ht="15.75" customHeight="1">
      <c r="K766" s="189"/>
      <c r="L766" s="189"/>
      <c r="P766" s="231"/>
    </row>
    <row r="767" spans="11:16" ht="15.75" customHeight="1">
      <c r="K767" s="189"/>
      <c r="L767" s="189"/>
      <c r="P767" s="231"/>
    </row>
    <row r="768" spans="11:16" ht="15.75" customHeight="1">
      <c r="K768" s="189"/>
      <c r="L768" s="189"/>
      <c r="P768" s="231"/>
    </row>
    <row r="769" spans="11:16" ht="15.75" customHeight="1">
      <c r="K769" s="189"/>
      <c r="L769" s="189"/>
      <c r="P769" s="231"/>
    </row>
    <row r="770" spans="11:16" ht="15.75" customHeight="1">
      <c r="K770" s="189"/>
      <c r="L770" s="189"/>
      <c r="P770" s="231"/>
    </row>
    <row r="771" spans="11:16" ht="15.75" customHeight="1">
      <c r="K771" s="189"/>
      <c r="L771" s="189"/>
      <c r="P771" s="231"/>
    </row>
    <row r="772" spans="11:16" ht="15.75" customHeight="1">
      <c r="K772" s="189"/>
      <c r="L772" s="189"/>
      <c r="P772" s="231"/>
    </row>
    <row r="773" spans="11:16" ht="15.75" customHeight="1">
      <c r="K773" s="189"/>
      <c r="L773" s="189"/>
      <c r="P773" s="231"/>
    </row>
    <row r="774" spans="11:16" ht="15.75" customHeight="1">
      <c r="K774" s="189"/>
      <c r="L774" s="189"/>
      <c r="P774" s="231"/>
    </row>
    <row r="775" spans="11:16" ht="15.75" customHeight="1">
      <c r="K775" s="189"/>
      <c r="L775" s="189"/>
      <c r="P775" s="231"/>
    </row>
    <row r="776" spans="11:16" ht="15.75" customHeight="1">
      <c r="K776" s="189"/>
      <c r="L776" s="189"/>
      <c r="P776" s="231"/>
    </row>
    <row r="777" spans="11:16" ht="15.75" customHeight="1">
      <c r="K777" s="189"/>
      <c r="L777" s="189"/>
      <c r="P777" s="231"/>
    </row>
    <row r="778" spans="11:16" ht="15.75" customHeight="1">
      <c r="K778" s="189"/>
      <c r="L778" s="189"/>
      <c r="P778" s="231"/>
    </row>
    <row r="779" spans="11:16" ht="15.75" customHeight="1">
      <c r="K779" s="189"/>
      <c r="L779" s="189"/>
      <c r="P779" s="231"/>
    </row>
    <row r="780" spans="11:16" ht="15.75" customHeight="1">
      <c r="K780" s="189"/>
      <c r="L780" s="189"/>
      <c r="P780" s="231"/>
    </row>
    <row r="781" spans="11:16" ht="15.75" customHeight="1">
      <c r="K781" s="189"/>
      <c r="L781" s="189"/>
      <c r="P781" s="231"/>
    </row>
    <row r="782" spans="11:16" ht="15.75" customHeight="1">
      <c r="K782" s="189"/>
      <c r="L782" s="189"/>
      <c r="P782" s="231"/>
    </row>
    <row r="783" spans="11:16" ht="15.75" customHeight="1">
      <c r="K783" s="189"/>
      <c r="L783" s="189"/>
      <c r="P783" s="231"/>
    </row>
    <row r="784" spans="11:16" ht="15.75" customHeight="1">
      <c r="K784" s="189"/>
      <c r="L784" s="189"/>
      <c r="P784" s="231"/>
    </row>
    <row r="785" spans="11:16" ht="15.75" customHeight="1">
      <c r="K785" s="189"/>
      <c r="L785" s="189"/>
      <c r="P785" s="231"/>
    </row>
    <row r="786" spans="11:16" ht="15.75" customHeight="1">
      <c r="K786" s="189"/>
      <c r="L786" s="189"/>
      <c r="P786" s="231"/>
    </row>
    <row r="787" spans="11:16" ht="15.75" customHeight="1">
      <c r="K787" s="189"/>
      <c r="L787" s="189"/>
      <c r="P787" s="231"/>
    </row>
    <row r="788" spans="11:16" ht="15.75" customHeight="1">
      <c r="K788" s="189"/>
      <c r="L788" s="189"/>
      <c r="P788" s="231"/>
    </row>
    <row r="789" spans="11:16" ht="15.75" customHeight="1">
      <c r="K789" s="189"/>
      <c r="L789" s="189"/>
      <c r="P789" s="231"/>
    </row>
    <row r="790" spans="11:16" ht="15.75" customHeight="1">
      <c r="K790" s="189"/>
      <c r="L790" s="189"/>
      <c r="P790" s="231"/>
    </row>
    <row r="791" spans="11:16" ht="15.75" customHeight="1">
      <c r="K791" s="189"/>
      <c r="L791" s="189"/>
      <c r="P791" s="231"/>
    </row>
    <row r="792" spans="11:16" ht="15.75" customHeight="1">
      <c r="K792" s="189"/>
      <c r="L792" s="189"/>
      <c r="P792" s="231"/>
    </row>
    <row r="793" spans="11:16" ht="15.75" customHeight="1">
      <c r="K793" s="189"/>
      <c r="L793" s="189"/>
      <c r="P793" s="231"/>
    </row>
    <row r="794" spans="11:16" ht="15.75" customHeight="1">
      <c r="K794" s="189"/>
      <c r="L794" s="189"/>
      <c r="P794" s="231"/>
    </row>
    <row r="795" spans="11:16" ht="15.75" customHeight="1">
      <c r="K795" s="189"/>
      <c r="L795" s="189"/>
      <c r="P795" s="231"/>
    </row>
    <row r="796" spans="11:16" ht="15.75" customHeight="1">
      <c r="K796" s="189"/>
      <c r="L796" s="189"/>
      <c r="P796" s="231"/>
    </row>
    <row r="797" spans="11:16" ht="15.75" customHeight="1">
      <c r="K797" s="189"/>
      <c r="L797" s="189"/>
      <c r="P797" s="231"/>
    </row>
    <row r="798" spans="11:16" ht="15.75" customHeight="1">
      <c r="K798" s="189"/>
      <c r="L798" s="189"/>
      <c r="P798" s="231"/>
    </row>
    <row r="799" spans="11:16" ht="15.75" customHeight="1">
      <c r="K799" s="189"/>
      <c r="L799" s="189"/>
      <c r="P799" s="231"/>
    </row>
    <row r="800" spans="11:16" ht="15.75" customHeight="1">
      <c r="K800" s="189"/>
      <c r="L800" s="189"/>
      <c r="P800" s="231"/>
    </row>
    <row r="801" spans="11:16" ht="15.75" customHeight="1">
      <c r="K801" s="189"/>
      <c r="L801" s="189"/>
      <c r="P801" s="231"/>
    </row>
    <row r="802" spans="11:16" ht="15.75" customHeight="1">
      <c r="K802" s="189"/>
      <c r="L802" s="189"/>
      <c r="P802" s="231"/>
    </row>
    <row r="803" spans="11:16" ht="15.75" customHeight="1">
      <c r="K803" s="189"/>
      <c r="L803" s="189"/>
      <c r="P803" s="231"/>
    </row>
    <row r="804" spans="11:16" ht="15.75" customHeight="1">
      <c r="K804" s="189"/>
      <c r="L804" s="189"/>
      <c r="P804" s="231"/>
    </row>
    <row r="805" spans="11:16" ht="15.75" customHeight="1">
      <c r="K805" s="189"/>
      <c r="L805" s="189"/>
      <c r="P805" s="231"/>
    </row>
    <row r="806" spans="11:16" ht="15.75" customHeight="1">
      <c r="K806" s="189"/>
      <c r="L806" s="189"/>
      <c r="P806" s="231"/>
    </row>
    <row r="807" spans="11:16" ht="15.75" customHeight="1">
      <c r="K807" s="189"/>
      <c r="L807" s="189"/>
      <c r="P807" s="231"/>
    </row>
    <row r="808" spans="11:16" ht="15.75" customHeight="1">
      <c r="K808" s="189"/>
      <c r="L808" s="189"/>
      <c r="P808" s="231"/>
    </row>
    <row r="809" spans="11:16" ht="15.75" customHeight="1">
      <c r="K809" s="189"/>
      <c r="L809" s="189"/>
      <c r="P809" s="231"/>
    </row>
    <row r="810" spans="11:16" ht="15.75" customHeight="1">
      <c r="K810" s="189"/>
      <c r="L810" s="189"/>
      <c r="P810" s="231"/>
    </row>
    <row r="811" spans="11:16" ht="15.75" customHeight="1">
      <c r="K811" s="189"/>
      <c r="L811" s="189"/>
      <c r="P811" s="231"/>
    </row>
    <row r="812" spans="11:16" ht="15.75" customHeight="1">
      <c r="K812" s="189"/>
      <c r="L812" s="189"/>
      <c r="P812" s="231"/>
    </row>
    <row r="813" spans="11:16" ht="15.75" customHeight="1">
      <c r="K813" s="189"/>
      <c r="L813" s="189"/>
      <c r="P813" s="231"/>
    </row>
    <row r="814" spans="11:16" ht="15.75" customHeight="1">
      <c r="K814" s="189"/>
      <c r="L814" s="189"/>
      <c r="P814" s="231"/>
    </row>
    <row r="815" spans="11:16" ht="15.75" customHeight="1">
      <c r="K815" s="189"/>
      <c r="L815" s="189"/>
      <c r="P815" s="231"/>
    </row>
    <row r="816" spans="11:16" ht="15.75" customHeight="1">
      <c r="K816" s="189"/>
      <c r="L816" s="189"/>
      <c r="P816" s="231"/>
    </row>
    <row r="817" spans="11:16" ht="15.75" customHeight="1">
      <c r="K817" s="189"/>
      <c r="L817" s="189"/>
      <c r="P817" s="231"/>
    </row>
    <row r="818" spans="11:16" ht="15.75" customHeight="1">
      <c r="K818" s="189"/>
      <c r="L818" s="189"/>
      <c r="P818" s="231"/>
    </row>
    <row r="819" spans="11:16" ht="15.75" customHeight="1">
      <c r="K819" s="189"/>
      <c r="L819" s="189"/>
      <c r="P819" s="231"/>
    </row>
    <row r="820" spans="11:16" ht="15.75" customHeight="1">
      <c r="K820" s="189"/>
      <c r="L820" s="189"/>
      <c r="P820" s="231"/>
    </row>
    <row r="821" spans="11:16" ht="15.75" customHeight="1">
      <c r="K821" s="189"/>
      <c r="L821" s="189"/>
      <c r="P821" s="231"/>
    </row>
    <row r="822" spans="11:16" ht="15.75" customHeight="1">
      <c r="K822" s="189"/>
      <c r="L822" s="189"/>
      <c r="P822" s="231"/>
    </row>
    <row r="823" spans="11:16" ht="15.75" customHeight="1">
      <c r="K823" s="189"/>
      <c r="L823" s="189"/>
      <c r="P823" s="231"/>
    </row>
    <row r="824" spans="11:16" ht="15.75" customHeight="1">
      <c r="K824" s="189"/>
      <c r="L824" s="189"/>
      <c r="P824" s="231"/>
    </row>
    <row r="825" spans="11:16" ht="15.75" customHeight="1">
      <c r="K825" s="189"/>
      <c r="L825" s="189"/>
      <c r="P825" s="231"/>
    </row>
    <row r="826" spans="11:16" ht="15.75" customHeight="1">
      <c r="K826" s="189"/>
      <c r="L826" s="189"/>
      <c r="P826" s="231"/>
    </row>
    <row r="827" spans="11:16" ht="15.75" customHeight="1">
      <c r="K827" s="189"/>
      <c r="L827" s="189"/>
      <c r="P827" s="231"/>
    </row>
    <row r="828" spans="11:16" ht="15.75" customHeight="1">
      <c r="K828" s="189"/>
      <c r="L828" s="189"/>
      <c r="P828" s="231"/>
    </row>
    <row r="829" spans="11:16" ht="15.75" customHeight="1">
      <c r="K829" s="189"/>
      <c r="L829" s="189"/>
      <c r="P829" s="231"/>
    </row>
    <row r="830" spans="11:16" ht="15.75" customHeight="1">
      <c r="K830" s="189"/>
      <c r="L830" s="189"/>
      <c r="P830" s="231"/>
    </row>
    <row r="831" spans="11:16" ht="15.75" customHeight="1">
      <c r="K831" s="189"/>
      <c r="L831" s="189"/>
      <c r="P831" s="231"/>
    </row>
    <row r="832" spans="11:16" ht="15.75" customHeight="1">
      <c r="K832" s="189"/>
      <c r="L832" s="189"/>
      <c r="P832" s="231"/>
    </row>
    <row r="833" spans="11:16" ht="15.75" customHeight="1">
      <c r="K833" s="189"/>
      <c r="L833" s="189"/>
      <c r="P833" s="231"/>
    </row>
    <row r="834" spans="11:16" ht="15.75" customHeight="1">
      <c r="K834" s="189"/>
      <c r="L834" s="189"/>
      <c r="P834" s="231"/>
    </row>
    <row r="835" spans="11:16" ht="15.75" customHeight="1">
      <c r="K835" s="189"/>
      <c r="L835" s="189"/>
      <c r="P835" s="231"/>
    </row>
    <row r="836" spans="11:16" ht="15.75" customHeight="1">
      <c r="K836" s="189"/>
      <c r="L836" s="189"/>
      <c r="P836" s="231"/>
    </row>
    <row r="837" spans="11:16" ht="15.75" customHeight="1">
      <c r="K837" s="189"/>
      <c r="L837" s="189"/>
      <c r="P837" s="231"/>
    </row>
    <row r="838" spans="11:16" ht="15.75" customHeight="1">
      <c r="K838" s="189"/>
      <c r="L838" s="189"/>
      <c r="P838" s="231"/>
    </row>
    <row r="839" spans="11:16" ht="15.75" customHeight="1">
      <c r="K839" s="189"/>
      <c r="L839" s="189"/>
      <c r="P839" s="231"/>
    </row>
    <row r="840" spans="11:16" ht="15.75" customHeight="1">
      <c r="K840" s="189"/>
      <c r="L840" s="189"/>
      <c r="P840" s="231"/>
    </row>
    <row r="841" spans="11:16" ht="15.75" customHeight="1">
      <c r="K841" s="189"/>
      <c r="L841" s="189"/>
      <c r="P841" s="231"/>
    </row>
    <row r="842" spans="11:16" ht="15.75" customHeight="1">
      <c r="K842" s="189"/>
      <c r="L842" s="189"/>
      <c r="P842" s="231"/>
    </row>
    <row r="843" spans="11:16" ht="15.75" customHeight="1">
      <c r="K843" s="189"/>
      <c r="L843" s="189"/>
      <c r="P843" s="231"/>
    </row>
    <row r="844" spans="11:16" ht="15.75" customHeight="1">
      <c r="K844" s="189"/>
      <c r="L844" s="189"/>
      <c r="P844" s="231"/>
    </row>
    <row r="845" spans="11:16" ht="15.75" customHeight="1">
      <c r="K845" s="189"/>
      <c r="L845" s="189"/>
      <c r="P845" s="231"/>
    </row>
    <row r="846" spans="11:16" ht="15.75" customHeight="1">
      <c r="K846" s="189"/>
      <c r="L846" s="189"/>
      <c r="P846" s="231"/>
    </row>
    <row r="847" spans="11:16" ht="15.75" customHeight="1">
      <c r="K847" s="189"/>
      <c r="L847" s="189"/>
      <c r="P847" s="231"/>
    </row>
    <row r="848" spans="11:16" ht="15.75" customHeight="1">
      <c r="K848" s="189"/>
      <c r="L848" s="189"/>
      <c r="P848" s="231"/>
    </row>
    <row r="849" spans="11:16" ht="15.75" customHeight="1">
      <c r="K849" s="189"/>
      <c r="L849" s="189"/>
      <c r="P849" s="231"/>
    </row>
    <row r="850" spans="11:16" ht="15.75" customHeight="1">
      <c r="K850" s="189"/>
      <c r="L850" s="189"/>
      <c r="P850" s="231"/>
    </row>
    <row r="851" spans="11:16" ht="15.75" customHeight="1">
      <c r="K851" s="189"/>
      <c r="L851" s="189"/>
      <c r="P851" s="231"/>
    </row>
    <row r="852" spans="11:16" ht="15.75" customHeight="1">
      <c r="K852" s="189"/>
      <c r="L852" s="189"/>
      <c r="P852" s="231"/>
    </row>
    <row r="853" spans="11:16" ht="15.75" customHeight="1">
      <c r="K853" s="189"/>
      <c r="L853" s="189"/>
      <c r="P853" s="231"/>
    </row>
    <row r="854" spans="11:16" ht="15.75" customHeight="1">
      <c r="K854" s="189"/>
      <c r="L854" s="189"/>
      <c r="P854" s="231"/>
    </row>
    <row r="855" spans="11:16" ht="15.75" customHeight="1">
      <c r="K855" s="189"/>
      <c r="L855" s="189"/>
      <c r="P855" s="231"/>
    </row>
    <row r="856" spans="11:16" ht="15.75" customHeight="1">
      <c r="K856" s="189"/>
      <c r="L856" s="189"/>
      <c r="P856" s="231"/>
    </row>
    <row r="857" spans="11:16" ht="15.75" customHeight="1">
      <c r="K857" s="189"/>
      <c r="L857" s="189"/>
      <c r="P857" s="231"/>
    </row>
    <row r="858" spans="11:16" ht="15.75" customHeight="1">
      <c r="K858" s="189"/>
      <c r="L858" s="189"/>
      <c r="P858" s="231"/>
    </row>
    <row r="859" spans="11:16" ht="15.75" customHeight="1">
      <c r="K859" s="189"/>
      <c r="L859" s="189"/>
      <c r="P859" s="231"/>
    </row>
    <row r="860" spans="11:16" ht="15.75" customHeight="1">
      <c r="K860" s="189"/>
      <c r="L860" s="189"/>
      <c r="P860" s="231"/>
    </row>
    <row r="861" spans="11:16" ht="15.75" customHeight="1">
      <c r="K861" s="189"/>
      <c r="L861" s="189"/>
      <c r="P861" s="231"/>
    </row>
    <row r="862" spans="11:16" ht="15.75" customHeight="1">
      <c r="K862" s="189"/>
      <c r="L862" s="189"/>
      <c r="P862" s="231"/>
    </row>
    <row r="863" spans="11:16" ht="15.75" customHeight="1">
      <c r="K863" s="189"/>
      <c r="L863" s="189"/>
      <c r="P863" s="231"/>
    </row>
    <row r="864" spans="11:16" ht="15.75" customHeight="1">
      <c r="K864" s="189"/>
      <c r="L864" s="189"/>
      <c r="P864" s="231"/>
    </row>
    <row r="865" spans="11:16" ht="15.75" customHeight="1">
      <c r="K865" s="189"/>
      <c r="L865" s="189"/>
      <c r="P865" s="231"/>
    </row>
    <row r="866" spans="11:16" ht="15.75" customHeight="1">
      <c r="K866" s="189"/>
      <c r="L866" s="189"/>
      <c r="P866" s="231"/>
    </row>
    <row r="867" spans="11:16" ht="15.75" customHeight="1">
      <c r="K867" s="189"/>
      <c r="L867" s="189"/>
      <c r="P867" s="231"/>
    </row>
    <row r="868" spans="11:16" ht="15.75" customHeight="1">
      <c r="K868" s="189"/>
      <c r="L868" s="189"/>
      <c r="P868" s="231"/>
    </row>
    <row r="869" spans="11:16" ht="15.75" customHeight="1">
      <c r="K869" s="189"/>
      <c r="L869" s="189"/>
      <c r="P869" s="231"/>
    </row>
    <row r="870" spans="11:16" ht="15.75" customHeight="1">
      <c r="K870" s="189"/>
      <c r="L870" s="189"/>
      <c r="P870" s="231"/>
    </row>
    <row r="871" spans="11:16" ht="15.75" customHeight="1">
      <c r="K871" s="189"/>
      <c r="L871" s="189"/>
      <c r="P871" s="231"/>
    </row>
    <row r="872" spans="11:16" ht="15.75" customHeight="1">
      <c r="K872" s="189"/>
      <c r="L872" s="189"/>
      <c r="P872" s="231"/>
    </row>
    <row r="873" spans="11:16" ht="15.75" customHeight="1">
      <c r="K873" s="189"/>
      <c r="L873" s="189"/>
      <c r="P873" s="231"/>
    </row>
    <row r="874" spans="11:16" ht="15.75" customHeight="1">
      <c r="K874" s="189"/>
      <c r="L874" s="189"/>
      <c r="P874" s="231"/>
    </row>
    <row r="875" spans="11:16" ht="15.75" customHeight="1">
      <c r="K875" s="189"/>
      <c r="L875" s="189"/>
      <c r="P875" s="231"/>
    </row>
    <row r="876" spans="11:16" ht="15.75" customHeight="1">
      <c r="K876" s="189"/>
      <c r="L876" s="189"/>
      <c r="P876" s="231"/>
    </row>
    <row r="877" spans="11:16" ht="15.75" customHeight="1">
      <c r="K877" s="189"/>
      <c r="L877" s="189"/>
      <c r="P877" s="231"/>
    </row>
    <row r="878" spans="11:16" ht="15.75" customHeight="1">
      <c r="K878" s="189"/>
      <c r="L878" s="189"/>
      <c r="P878" s="231"/>
    </row>
    <row r="879" spans="11:16" ht="15.75" customHeight="1">
      <c r="K879" s="189"/>
      <c r="L879" s="189"/>
      <c r="P879" s="231"/>
    </row>
    <row r="880" spans="11:16" ht="15.75" customHeight="1">
      <c r="K880" s="189"/>
      <c r="L880" s="189"/>
      <c r="P880" s="231"/>
    </row>
    <row r="881" spans="11:16" ht="15.75" customHeight="1">
      <c r="K881" s="189"/>
      <c r="L881" s="189"/>
      <c r="P881" s="231"/>
    </row>
    <row r="882" spans="11:16" ht="15.75" customHeight="1">
      <c r="K882" s="189"/>
      <c r="L882" s="189"/>
      <c r="P882" s="231"/>
    </row>
    <row r="883" spans="11:16" ht="15.75" customHeight="1">
      <c r="K883" s="189"/>
      <c r="L883" s="189"/>
      <c r="P883" s="231"/>
    </row>
    <row r="884" spans="11:16" ht="15.75" customHeight="1">
      <c r="K884" s="189"/>
      <c r="L884" s="189"/>
      <c r="P884" s="231"/>
    </row>
    <row r="885" spans="11:16" ht="15.75" customHeight="1">
      <c r="K885" s="189"/>
      <c r="L885" s="189"/>
      <c r="P885" s="231"/>
    </row>
    <row r="886" spans="11:16" ht="15.75" customHeight="1">
      <c r="K886" s="189"/>
      <c r="L886" s="189"/>
      <c r="P886" s="231"/>
    </row>
    <row r="887" spans="11:16" ht="15.75" customHeight="1">
      <c r="K887" s="189"/>
      <c r="L887" s="189"/>
      <c r="P887" s="231"/>
    </row>
    <row r="888" spans="11:16" ht="15.75" customHeight="1">
      <c r="K888" s="189"/>
      <c r="L888" s="189"/>
      <c r="P888" s="231"/>
    </row>
    <row r="889" spans="11:16" ht="15.75" customHeight="1">
      <c r="K889" s="189"/>
      <c r="L889" s="189"/>
      <c r="P889" s="231"/>
    </row>
    <row r="890" spans="11:16" ht="15.75" customHeight="1">
      <c r="K890" s="189"/>
      <c r="L890" s="189"/>
      <c r="P890" s="231"/>
    </row>
    <row r="891" spans="11:16" ht="15.75" customHeight="1">
      <c r="K891" s="189"/>
      <c r="L891" s="189"/>
      <c r="P891" s="231"/>
    </row>
    <row r="892" spans="11:16" ht="15.75" customHeight="1">
      <c r="K892" s="189"/>
      <c r="L892" s="189"/>
      <c r="P892" s="231"/>
    </row>
    <row r="893" spans="11:16" ht="15.75" customHeight="1">
      <c r="K893" s="189"/>
      <c r="L893" s="189"/>
      <c r="P893" s="231"/>
    </row>
    <row r="894" spans="11:16" ht="15.75" customHeight="1">
      <c r="K894" s="189"/>
      <c r="L894" s="189"/>
      <c r="P894" s="231"/>
    </row>
    <row r="895" spans="11:16" ht="15.75" customHeight="1">
      <c r="K895" s="189"/>
      <c r="L895" s="189"/>
      <c r="P895" s="231"/>
    </row>
    <row r="896" spans="11:16" ht="15.75" customHeight="1">
      <c r="K896" s="189"/>
      <c r="L896" s="189"/>
      <c r="P896" s="231"/>
    </row>
    <row r="897" spans="11:16" ht="15.75" customHeight="1">
      <c r="K897" s="189"/>
      <c r="L897" s="189"/>
      <c r="P897" s="231"/>
    </row>
    <row r="898" spans="11:16" ht="15.75" customHeight="1">
      <c r="K898" s="189"/>
      <c r="L898" s="189"/>
      <c r="P898" s="231"/>
    </row>
    <row r="899" spans="11:16" ht="15.75" customHeight="1">
      <c r="K899" s="189"/>
      <c r="L899" s="189"/>
      <c r="P899" s="231"/>
    </row>
    <row r="900" spans="11:16" ht="15.75" customHeight="1">
      <c r="K900" s="189"/>
      <c r="L900" s="189"/>
      <c r="P900" s="231"/>
    </row>
    <row r="901" spans="11:16" ht="15.75" customHeight="1">
      <c r="K901" s="189"/>
      <c r="L901" s="189"/>
      <c r="P901" s="231"/>
    </row>
    <row r="902" spans="11:16" ht="15.75" customHeight="1">
      <c r="K902" s="189"/>
      <c r="L902" s="189"/>
      <c r="P902" s="231"/>
    </row>
    <row r="903" spans="11:16" ht="15.75" customHeight="1">
      <c r="K903" s="189"/>
      <c r="L903" s="189"/>
      <c r="P903" s="231"/>
    </row>
    <row r="904" spans="11:16" ht="15.75" customHeight="1">
      <c r="K904" s="189"/>
      <c r="L904" s="189"/>
      <c r="P904" s="231"/>
    </row>
    <row r="905" spans="11:16" ht="15.75" customHeight="1">
      <c r="K905" s="189"/>
      <c r="L905" s="189"/>
      <c r="P905" s="231"/>
    </row>
    <row r="906" spans="11:16" ht="15.75" customHeight="1">
      <c r="K906" s="189"/>
      <c r="L906" s="189"/>
      <c r="P906" s="231"/>
    </row>
    <row r="907" spans="11:16" ht="15.75" customHeight="1">
      <c r="K907" s="189"/>
      <c r="L907" s="189"/>
      <c r="P907" s="231"/>
    </row>
    <row r="908" spans="11:16" ht="15.75" customHeight="1">
      <c r="K908" s="189"/>
      <c r="L908" s="189"/>
      <c r="P908" s="231"/>
    </row>
    <row r="909" spans="11:16" ht="15.75" customHeight="1">
      <c r="K909" s="189"/>
      <c r="L909" s="189"/>
      <c r="P909" s="231"/>
    </row>
    <row r="910" spans="11:16" ht="15.75" customHeight="1">
      <c r="K910" s="189"/>
      <c r="L910" s="189"/>
      <c r="P910" s="231"/>
    </row>
    <row r="911" spans="11:16" ht="15.75" customHeight="1">
      <c r="K911" s="189"/>
      <c r="L911" s="189"/>
      <c r="P911" s="231"/>
    </row>
    <row r="912" spans="11:16" ht="15.75" customHeight="1">
      <c r="K912" s="189"/>
      <c r="L912" s="189"/>
      <c r="P912" s="231"/>
    </row>
    <row r="913" spans="11:16" ht="15.75" customHeight="1">
      <c r="K913" s="189"/>
      <c r="L913" s="189"/>
      <c r="P913" s="231"/>
    </row>
    <row r="914" spans="11:16" ht="15.75" customHeight="1">
      <c r="K914" s="189"/>
      <c r="L914" s="189"/>
      <c r="P914" s="231"/>
    </row>
    <row r="915" spans="11:16" ht="15.75" customHeight="1">
      <c r="K915" s="189"/>
      <c r="L915" s="189"/>
      <c r="P915" s="231"/>
    </row>
    <row r="916" spans="11:16" ht="15.75" customHeight="1">
      <c r="K916" s="189"/>
      <c r="L916" s="189"/>
      <c r="P916" s="231"/>
    </row>
    <row r="917" spans="11:16" ht="15.75" customHeight="1">
      <c r="K917" s="189"/>
      <c r="L917" s="189"/>
      <c r="P917" s="231"/>
    </row>
    <row r="918" spans="11:16" ht="15.75" customHeight="1">
      <c r="K918" s="189"/>
      <c r="L918" s="189"/>
      <c r="P918" s="231"/>
    </row>
    <row r="919" spans="11:16" ht="15.75" customHeight="1">
      <c r="K919" s="189"/>
      <c r="L919" s="189"/>
      <c r="P919" s="231"/>
    </row>
    <row r="920" spans="11:16" ht="15.75" customHeight="1">
      <c r="K920" s="189"/>
      <c r="L920" s="189"/>
      <c r="P920" s="231"/>
    </row>
    <row r="921" spans="11:16" ht="15.75" customHeight="1">
      <c r="K921" s="189"/>
      <c r="L921" s="189"/>
      <c r="P921" s="231"/>
    </row>
    <row r="922" spans="11:16" ht="15.75" customHeight="1">
      <c r="K922" s="189"/>
      <c r="L922" s="189"/>
      <c r="P922" s="231"/>
    </row>
    <row r="923" spans="11:16" ht="15.75" customHeight="1">
      <c r="K923" s="189"/>
      <c r="L923" s="189"/>
      <c r="P923" s="231"/>
    </row>
    <row r="924" spans="11:16" ht="15.75" customHeight="1">
      <c r="K924" s="189"/>
      <c r="L924" s="189"/>
      <c r="P924" s="231"/>
    </row>
    <row r="925" spans="11:16" ht="15.75" customHeight="1">
      <c r="K925" s="189"/>
      <c r="L925" s="189"/>
      <c r="P925" s="231"/>
    </row>
    <row r="926" spans="11:16" ht="15.75" customHeight="1">
      <c r="K926" s="189"/>
      <c r="L926" s="189"/>
      <c r="P926" s="231"/>
    </row>
    <row r="927" spans="11:16" ht="15.75" customHeight="1">
      <c r="K927" s="189"/>
      <c r="L927" s="189"/>
      <c r="P927" s="231"/>
    </row>
    <row r="928" spans="11:16" ht="15.75" customHeight="1">
      <c r="K928" s="189"/>
      <c r="L928" s="189"/>
      <c r="P928" s="231"/>
    </row>
    <row r="929" spans="11:16" ht="15.75" customHeight="1">
      <c r="K929" s="189"/>
      <c r="L929" s="189"/>
      <c r="P929" s="231"/>
    </row>
    <row r="930" spans="11:16" ht="15.75" customHeight="1">
      <c r="K930" s="189"/>
      <c r="L930" s="189"/>
      <c r="P930" s="231"/>
    </row>
    <row r="931" spans="11:16" ht="15.75" customHeight="1">
      <c r="K931" s="189"/>
      <c r="L931" s="189"/>
      <c r="P931" s="231"/>
    </row>
    <row r="932" spans="11:16" ht="15.75" customHeight="1">
      <c r="K932" s="189"/>
      <c r="L932" s="189"/>
      <c r="P932" s="231"/>
    </row>
    <row r="933" spans="11:16" ht="15.75" customHeight="1">
      <c r="K933" s="189"/>
      <c r="L933" s="189"/>
      <c r="P933" s="231"/>
    </row>
    <row r="934" spans="11:16" ht="15.75" customHeight="1">
      <c r="K934" s="189"/>
      <c r="L934" s="189"/>
      <c r="P934" s="231"/>
    </row>
    <row r="935" spans="11:16" ht="15.75" customHeight="1">
      <c r="K935" s="189"/>
      <c r="L935" s="189"/>
      <c r="P935" s="231"/>
    </row>
    <row r="936" spans="11:16" ht="15.75" customHeight="1">
      <c r="K936" s="189"/>
      <c r="L936" s="189"/>
      <c r="P936" s="231"/>
    </row>
    <row r="937" spans="11:16" ht="15.75" customHeight="1">
      <c r="K937" s="189"/>
      <c r="L937" s="189"/>
      <c r="P937" s="231"/>
    </row>
    <row r="938" spans="11:16" ht="15.75" customHeight="1">
      <c r="K938" s="189"/>
      <c r="L938" s="189"/>
      <c r="P938" s="231"/>
    </row>
    <row r="939" spans="11:16" ht="15.75" customHeight="1">
      <c r="K939" s="189"/>
      <c r="L939" s="189"/>
      <c r="P939" s="231"/>
    </row>
    <row r="940" spans="11:16" ht="15.75" customHeight="1">
      <c r="K940" s="189"/>
      <c r="L940" s="189"/>
      <c r="P940" s="231"/>
    </row>
    <row r="941" spans="11:16" ht="15.75" customHeight="1">
      <c r="K941" s="189"/>
      <c r="L941" s="189"/>
      <c r="P941" s="231"/>
    </row>
    <row r="942" spans="11:16" ht="15.75" customHeight="1">
      <c r="K942" s="189"/>
      <c r="L942" s="189"/>
      <c r="P942" s="231"/>
    </row>
    <row r="943" spans="11:16" ht="15.75" customHeight="1">
      <c r="K943" s="189"/>
      <c r="L943" s="189"/>
      <c r="P943" s="231"/>
    </row>
    <row r="944" spans="11:16" ht="15.75" customHeight="1">
      <c r="K944" s="189"/>
      <c r="L944" s="189"/>
      <c r="P944" s="231"/>
    </row>
    <row r="945" spans="11:16" ht="15.75" customHeight="1">
      <c r="K945" s="189"/>
      <c r="L945" s="189"/>
      <c r="P945" s="231"/>
    </row>
    <row r="946" spans="11:16" ht="15.75" customHeight="1">
      <c r="K946" s="189"/>
      <c r="L946" s="189"/>
      <c r="P946" s="231"/>
    </row>
    <row r="947" spans="11:16" ht="15.75" customHeight="1">
      <c r="K947" s="189"/>
      <c r="L947" s="189"/>
      <c r="P947" s="231"/>
    </row>
    <row r="948" spans="11:16" ht="15.75" customHeight="1">
      <c r="K948" s="189"/>
      <c r="L948" s="189"/>
      <c r="P948" s="231"/>
    </row>
    <row r="949" spans="11:16" ht="15.75" customHeight="1">
      <c r="K949" s="189"/>
      <c r="L949" s="189"/>
      <c r="P949" s="231"/>
    </row>
    <row r="950" spans="11:16" ht="15.75" customHeight="1">
      <c r="K950" s="189"/>
      <c r="L950" s="189"/>
      <c r="P950" s="231"/>
    </row>
    <row r="951" spans="11:16" ht="15.75" customHeight="1">
      <c r="K951" s="189"/>
      <c r="L951" s="189"/>
      <c r="P951" s="231"/>
    </row>
    <row r="952" spans="11:16" ht="15.75" customHeight="1">
      <c r="K952" s="189"/>
      <c r="L952" s="189"/>
      <c r="P952" s="231"/>
    </row>
    <row r="953" spans="11:16" ht="15.75" customHeight="1">
      <c r="K953" s="189"/>
      <c r="L953" s="189"/>
      <c r="P953" s="231"/>
    </row>
    <row r="954" spans="11:16" ht="15.75" customHeight="1">
      <c r="K954" s="189"/>
      <c r="L954" s="189"/>
      <c r="P954" s="231"/>
    </row>
    <row r="955" spans="11:16" ht="15.75" customHeight="1">
      <c r="K955" s="189"/>
      <c r="L955" s="189"/>
      <c r="P955" s="231"/>
    </row>
    <row r="956" spans="11:16" ht="15.75" customHeight="1">
      <c r="K956" s="189"/>
      <c r="L956" s="189"/>
      <c r="P956" s="231"/>
    </row>
    <row r="957" spans="11:16" ht="15.75" customHeight="1">
      <c r="K957" s="189"/>
      <c r="L957" s="189"/>
      <c r="P957" s="231"/>
    </row>
    <row r="958" spans="11:16" ht="15.75" customHeight="1">
      <c r="K958" s="189"/>
      <c r="L958" s="189"/>
      <c r="P958" s="231"/>
    </row>
    <row r="959" spans="11:16" ht="15.75" customHeight="1">
      <c r="K959" s="189"/>
      <c r="L959" s="189"/>
      <c r="P959" s="231"/>
    </row>
    <row r="960" spans="11:16" ht="15.75" customHeight="1">
      <c r="K960" s="189"/>
      <c r="L960" s="189"/>
      <c r="P960" s="231"/>
    </row>
    <row r="961" spans="11:16" ht="15.75" customHeight="1">
      <c r="K961" s="189"/>
      <c r="L961" s="189"/>
      <c r="P961" s="231"/>
    </row>
    <row r="962" spans="11:16" ht="15.75" customHeight="1">
      <c r="K962" s="189"/>
      <c r="L962" s="189"/>
      <c r="P962" s="231"/>
    </row>
    <row r="963" spans="11:16" ht="15.75" customHeight="1">
      <c r="K963" s="189"/>
      <c r="L963" s="189"/>
      <c r="P963" s="231"/>
    </row>
    <row r="964" spans="11:16" ht="15.75" customHeight="1">
      <c r="K964" s="189"/>
      <c r="L964" s="189"/>
      <c r="P964" s="231"/>
    </row>
    <row r="965" spans="11:16" ht="15.75" customHeight="1">
      <c r="K965" s="189"/>
      <c r="L965" s="189"/>
      <c r="P965" s="231"/>
    </row>
    <row r="966" spans="11:16" ht="15.75" customHeight="1">
      <c r="K966" s="189"/>
      <c r="L966" s="189"/>
      <c r="P966" s="231"/>
    </row>
    <row r="967" spans="11:16" ht="15.75" customHeight="1">
      <c r="K967" s="189"/>
      <c r="L967" s="189"/>
      <c r="P967" s="231"/>
    </row>
    <row r="968" spans="11:16" ht="15.75" customHeight="1">
      <c r="K968" s="189"/>
      <c r="L968" s="189"/>
      <c r="P968" s="231"/>
    </row>
    <row r="969" spans="11:16" ht="15.75" customHeight="1">
      <c r="K969" s="189"/>
      <c r="L969" s="189"/>
      <c r="P969" s="231"/>
    </row>
    <row r="970" spans="11:16" ht="15.75" customHeight="1">
      <c r="K970" s="189"/>
      <c r="L970" s="189"/>
      <c r="P970" s="231"/>
    </row>
    <row r="971" spans="11:16" ht="15.75" customHeight="1">
      <c r="K971" s="189"/>
      <c r="L971" s="189"/>
      <c r="P971" s="231"/>
    </row>
    <row r="972" spans="11:16" ht="15.75" customHeight="1">
      <c r="K972" s="189"/>
      <c r="L972" s="189"/>
      <c r="P972" s="231"/>
    </row>
    <row r="973" spans="11:16" ht="15.75" customHeight="1">
      <c r="K973" s="189"/>
      <c r="L973" s="189"/>
      <c r="P973" s="231"/>
    </row>
    <row r="974" spans="11:16" ht="15.75" customHeight="1">
      <c r="K974" s="189"/>
      <c r="L974" s="189"/>
      <c r="P974" s="231"/>
    </row>
    <row r="975" spans="11:16" ht="15.75" customHeight="1">
      <c r="K975" s="189"/>
      <c r="L975" s="189"/>
      <c r="P975" s="231"/>
    </row>
    <row r="976" spans="11:16" ht="15.75" customHeight="1">
      <c r="K976" s="189"/>
      <c r="L976" s="189"/>
      <c r="P976" s="231"/>
    </row>
    <row r="977" spans="11:16" ht="15.75" customHeight="1">
      <c r="K977" s="189"/>
      <c r="L977" s="189"/>
      <c r="P977" s="231"/>
    </row>
    <row r="978" spans="11:16" ht="15.75" customHeight="1">
      <c r="K978" s="189"/>
      <c r="L978" s="189"/>
      <c r="P978" s="231"/>
    </row>
    <row r="979" spans="11:16" ht="15.75" customHeight="1">
      <c r="K979" s="189"/>
      <c r="L979" s="189"/>
      <c r="P979" s="231"/>
    </row>
    <row r="980" spans="11:16" ht="15.75" customHeight="1">
      <c r="K980" s="189"/>
      <c r="L980" s="189"/>
      <c r="P980" s="231"/>
    </row>
    <row r="981" spans="11:16" ht="15.75" customHeight="1">
      <c r="K981" s="189"/>
      <c r="L981" s="189"/>
      <c r="P981" s="231"/>
    </row>
    <row r="982" spans="11:16" ht="15.75" customHeight="1">
      <c r="K982" s="189"/>
      <c r="L982" s="189"/>
      <c r="P982" s="231"/>
    </row>
    <row r="983" spans="11:16" ht="15.75" customHeight="1">
      <c r="K983" s="189"/>
      <c r="L983" s="189"/>
      <c r="P983" s="231"/>
    </row>
    <row r="984" spans="11:16" ht="15.75" customHeight="1">
      <c r="K984" s="189"/>
      <c r="L984" s="189"/>
      <c r="P984" s="231"/>
    </row>
    <row r="985" spans="11:16" ht="15.75" customHeight="1">
      <c r="K985" s="189"/>
      <c r="L985" s="189"/>
      <c r="P985" s="231"/>
    </row>
    <row r="986" spans="11:16" ht="15.75" customHeight="1">
      <c r="K986" s="189"/>
      <c r="L986" s="189"/>
      <c r="P986" s="231"/>
    </row>
    <row r="987" spans="11:16" ht="15.75" customHeight="1">
      <c r="K987" s="189"/>
      <c r="L987" s="189"/>
      <c r="P987" s="231"/>
    </row>
    <row r="988" spans="11:16" ht="15.75" customHeight="1">
      <c r="K988" s="189"/>
      <c r="L988" s="189"/>
      <c r="P988" s="231"/>
    </row>
    <row r="989" spans="11:16" ht="15.75" customHeight="1">
      <c r="K989" s="189"/>
      <c r="L989" s="189"/>
      <c r="P989" s="231"/>
    </row>
    <row r="990" spans="11:16" ht="15.75" customHeight="1">
      <c r="K990" s="189"/>
      <c r="L990" s="189"/>
      <c r="P990" s="231"/>
    </row>
    <row r="991" spans="11:16" ht="15.75" customHeight="1">
      <c r="K991" s="189"/>
      <c r="L991" s="189"/>
      <c r="P991" s="231"/>
    </row>
    <row r="992" spans="11:16" ht="15.75" customHeight="1">
      <c r="K992" s="189"/>
      <c r="L992" s="189"/>
      <c r="P992" s="231"/>
    </row>
    <row r="993" spans="11:16" ht="15.75" customHeight="1">
      <c r="K993" s="189"/>
      <c r="L993" s="189"/>
      <c r="P993" s="231"/>
    </row>
    <row r="994" spans="11:16" ht="15.75" customHeight="1">
      <c r="K994" s="189"/>
      <c r="L994" s="189"/>
      <c r="P994" s="231"/>
    </row>
    <row r="995" spans="11:16" ht="15.75" customHeight="1">
      <c r="K995" s="189"/>
      <c r="L995" s="189"/>
      <c r="P995" s="231"/>
    </row>
    <row r="996" spans="11:16" ht="15.75" customHeight="1">
      <c r="K996" s="189"/>
      <c r="L996" s="189"/>
      <c r="P996" s="231"/>
    </row>
    <row r="997" spans="11:16" ht="15.75" customHeight="1">
      <c r="K997" s="189"/>
      <c r="L997" s="189"/>
      <c r="P997" s="231"/>
    </row>
    <row r="998" spans="11:16" ht="15.75" customHeight="1">
      <c r="K998" s="189"/>
      <c r="L998" s="189"/>
      <c r="P998" s="231"/>
    </row>
    <row r="999" spans="11:16" ht="15.75" customHeight="1">
      <c r="K999" s="189"/>
      <c r="L999" s="189"/>
      <c r="P999" s="231"/>
    </row>
  </sheetData>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tabColor rgb="FFD9E2F3"/>
  </sheetPr>
  <dimension ref="A1:Z2710"/>
  <sheetViews>
    <sheetView zoomScale="140" zoomScaleNormal="140" workbookViewId="0">
      <selection activeCell="B1778" sqref="B1778"/>
    </sheetView>
  </sheetViews>
  <sheetFormatPr baseColWidth="10" defaultColWidth="12.6640625" defaultRowHeight="15" customHeight="1"/>
  <cols>
    <col min="1" max="1" width="12.33203125" customWidth="1"/>
    <col min="2" max="2" width="33.33203125" customWidth="1"/>
    <col min="3" max="3" width="28.1640625" customWidth="1"/>
    <col min="4" max="4" width="12.1640625" customWidth="1"/>
    <col min="5" max="5" width="24" hidden="1" customWidth="1"/>
    <col min="6" max="6" width="6.83203125" hidden="1" customWidth="1"/>
    <col min="7" max="7" width="4.1640625" hidden="1" customWidth="1"/>
    <col min="8" max="8" width="14.33203125" customWidth="1"/>
    <col min="9" max="9" width="8.6640625" customWidth="1"/>
    <col min="10" max="10" width="20.33203125" customWidth="1"/>
    <col min="11" max="26" width="7.6640625" customWidth="1"/>
  </cols>
  <sheetData>
    <row r="1" spans="1:9">
      <c r="A1" s="232" t="s">
        <v>154</v>
      </c>
      <c r="B1" s="232" t="s">
        <v>13153</v>
      </c>
      <c r="C1" s="232" t="s">
        <v>13154</v>
      </c>
      <c r="D1" s="232" t="s">
        <v>13155</v>
      </c>
      <c r="E1" s="155" t="s">
        <v>469</v>
      </c>
      <c r="F1" s="155" t="s">
        <v>470</v>
      </c>
      <c r="G1" s="155" t="s">
        <v>471</v>
      </c>
      <c r="H1" s="155" t="s">
        <v>474</v>
      </c>
    </row>
    <row r="2" spans="1:9" hidden="1">
      <c r="A2" s="2" t="s">
        <v>6024</v>
      </c>
      <c r="B2" s="2" t="s">
        <v>6026</v>
      </c>
      <c r="C2" s="2" t="s">
        <v>325</v>
      </c>
      <c r="D2" s="2" t="s">
        <v>484</v>
      </c>
      <c r="F2" s="2">
        <v>10</v>
      </c>
      <c r="G2" s="2">
        <v>0</v>
      </c>
      <c r="H2" s="2" t="s">
        <v>5665</v>
      </c>
      <c r="I2" s="217"/>
    </row>
    <row r="3" spans="1:9" hidden="1">
      <c r="A3" s="2" t="s">
        <v>6024</v>
      </c>
      <c r="B3" s="2" t="s">
        <v>6026</v>
      </c>
      <c r="C3" s="2" t="s">
        <v>6090</v>
      </c>
      <c r="D3" s="98" t="s">
        <v>6091</v>
      </c>
      <c r="H3" s="2" t="s">
        <v>5665</v>
      </c>
    </row>
    <row r="4" spans="1:9" hidden="1">
      <c r="A4" s="2" t="s">
        <v>6024</v>
      </c>
      <c r="B4" s="2" t="s">
        <v>6026</v>
      </c>
      <c r="C4" s="2" t="s">
        <v>6092</v>
      </c>
      <c r="D4" s="2" t="s">
        <v>1796</v>
      </c>
      <c r="E4" s="2">
        <v>50</v>
      </c>
      <c r="H4" s="2" t="s">
        <v>5665</v>
      </c>
    </row>
    <row r="5" spans="1:9" hidden="1">
      <c r="A5" s="2" t="s">
        <v>6024</v>
      </c>
      <c r="B5" s="2" t="s">
        <v>6026</v>
      </c>
      <c r="C5" s="2" t="s">
        <v>6093</v>
      </c>
      <c r="D5" s="2" t="s">
        <v>484</v>
      </c>
      <c r="F5" s="2">
        <v>10</v>
      </c>
      <c r="G5" s="2">
        <v>0</v>
      </c>
      <c r="H5" s="2" t="s">
        <v>5665</v>
      </c>
    </row>
    <row r="6" spans="1:9" hidden="1">
      <c r="A6" s="2" t="s">
        <v>6024</v>
      </c>
      <c r="B6" s="2" t="s">
        <v>6026</v>
      </c>
      <c r="C6" s="2" t="s">
        <v>6094</v>
      </c>
      <c r="D6" s="2" t="s">
        <v>484</v>
      </c>
      <c r="F6" s="2">
        <v>10</v>
      </c>
      <c r="G6" s="2">
        <v>0</v>
      </c>
      <c r="H6" s="2" t="s">
        <v>5665</v>
      </c>
    </row>
    <row r="7" spans="1:9" hidden="1">
      <c r="A7" s="2" t="s">
        <v>6024</v>
      </c>
      <c r="B7" s="2" t="s">
        <v>6026</v>
      </c>
      <c r="C7" s="2" t="s">
        <v>6095</v>
      </c>
      <c r="D7" s="2" t="s">
        <v>1796</v>
      </c>
      <c r="E7" s="2">
        <v>50</v>
      </c>
      <c r="H7" s="2" t="s">
        <v>5667</v>
      </c>
    </row>
    <row r="8" spans="1:9" hidden="1">
      <c r="A8" s="2" t="s">
        <v>6024</v>
      </c>
      <c r="B8" s="2" t="s">
        <v>6026</v>
      </c>
      <c r="C8" s="2" t="s">
        <v>4306</v>
      </c>
      <c r="D8" s="2" t="s">
        <v>1796</v>
      </c>
      <c r="E8" s="2">
        <v>250</v>
      </c>
      <c r="H8" s="2" t="s">
        <v>5667</v>
      </c>
    </row>
    <row r="9" spans="1:9" hidden="1">
      <c r="A9" s="2" t="s">
        <v>6024</v>
      </c>
      <c r="B9" s="2" t="s">
        <v>6026</v>
      </c>
      <c r="C9" s="2" t="s">
        <v>4246</v>
      </c>
      <c r="D9" s="2" t="s">
        <v>1796</v>
      </c>
      <c r="E9" s="2">
        <v>250</v>
      </c>
      <c r="H9" s="2" t="s">
        <v>5665</v>
      </c>
    </row>
    <row r="10" spans="1:9" hidden="1">
      <c r="A10" s="2" t="s">
        <v>6024</v>
      </c>
      <c r="B10" s="2" t="s">
        <v>6026</v>
      </c>
      <c r="C10" s="2" t="s">
        <v>6096</v>
      </c>
      <c r="D10" s="2" t="s">
        <v>484</v>
      </c>
      <c r="F10" s="2">
        <v>10</v>
      </c>
      <c r="G10" s="2">
        <v>0</v>
      </c>
      <c r="H10" s="2" t="s">
        <v>5665</v>
      </c>
    </row>
    <row r="11" spans="1:9" hidden="1">
      <c r="A11" s="2" t="s">
        <v>6024</v>
      </c>
      <c r="B11" s="2" t="s">
        <v>6026</v>
      </c>
      <c r="C11" s="2" t="s">
        <v>11</v>
      </c>
      <c r="D11" s="2" t="s">
        <v>481</v>
      </c>
      <c r="F11" s="2">
        <v>38</v>
      </c>
      <c r="G11" s="2">
        <v>0</v>
      </c>
      <c r="H11" s="2" t="s">
        <v>5667</v>
      </c>
    </row>
    <row r="12" spans="1:9" hidden="1">
      <c r="A12" s="2" t="s">
        <v>6024</v>
      </c>
      <c r="B12" s="2" t="s">
        <v>6026</v>
      </c>
      <c r="C12" s="2" t="s">
        <v>6097</v>
      </c>
      <c r="D12" s="2" t="s">
        <v>1796</v>
      </c>
      <c r="E12" s="2">
        <v>100</v>
      </c>
      <c r="H12" s="2" t="s">
        <v>5667</v>
      </c>
    </row>
    <row r="13" spans="1:9" hidden="1">
      <c r="A13" s="2" t="s">
        <v>6024</v>
      </c>
      <c r="B13" s="2" t="s">
        <v>6026</v>
      </c>
      <c r="C13" s="2" t="s">
        <v>6098</v>
      </c>
      <c r="D13" s="2" t="s">
        <v>1796</v>
      </c>
      <c r="E13" s="2">
        <v>100</v>
      </c>
      <c r="H13" s="2" t="s">
        <v>5667</v>
      </c>
    </row>
    <row r="14" spans="1:9" hidden="1">
      <c r="A14" s="2" t="s">
        <v>6024</v>
      </c>
      <c r="B14" s="2" t="s">
        <v>6026</v>
      </c>
      <c r="C14" s="2" t="s">
        <v>6099</v>
      </c>
      <c r="D14" s="2" t="s">
        <v>1796</v>
      </c>
      <c r="E14" s="2">
        <v>100</v>
      </c>
      <c r="H14" s="2" t="s">
        <v>5667</v>
      </c>
    </row>
    <row r="15" spans="1:9" hidden="1">
      <c r="A15" s="2" t="s">
        <v>6024</v>
      </c>
      <c r="B15" s="2" t="s">
        <v>6026</v>
      </c>
      <c r="C15" s="2" t="s">
        <v>6100</v>
      </c>
      <c r="D15" s="2" t="s">
        <v>1796</v>
      </c>
      <c r="E15" s="2">
        <v>100</v>
      </c>
      <c r="H15" s="2" t="s">
        <v>5667</v>
      </c>
    </row>
    <row r="16" spans="1:9" hidden="1">
      <c r="A16" s="2" t="s">
        <v>6024</v>
      </c>
      <c r="B16" s="2" t="s">
        <v>6026</v>
      </c>
      <c r="C16" s="2" t="s">
        <v>6101</v>
      </c>
      <c r="D16" s="2" t="s">
        <v>1796</v>
      </c>
      <c r="E16" s="2">
        <v>100</v>
      </c>
      <c r="H16" s="2" t="s">
        <v>5667</v>
      </c>
    </row>
    <row r="17" spans="1:8" hidden="1">
      <c r="A17" s="2" t="s">
        <v>6024</v>
      </c>
      <c r="B17" s="2" t="s">
        <v>6026</v>
      </c>
      <c r="C17" s="2" t="s">
        <v>6102</v>
      </c>
      <c r="D17" s="2" t="s">
        <v>1796</v>
      </c>
      <c r="E17" s="2">
        <v>100</v>
      </c>
      <c r="H17" s="2" t="s">
        <v>5667</v>
      </c>
    </row>
    <row r="18" spans="1:8" hidden="1">
      <c r="A18" s="2" t="s">
        <v>6024</v>
      </c>
      <c r="B18" s="2" t="s">
        <v>6026</v>
      </c>
      <c r="C18" s="2" t="s">
        <v>1787</v>
      </c>
      <c r="D18" s="2" t="s">
        <v>1796</v>
      </c>
      <c r="E18" s="2">
        <v>100</v>
      </c>
      <c r="H18" s="2" t="s">
        <v>5667</v>
      </c>
    </row>
    <row r="19" spans="1:8" hidden="1">
      <c r="A19" s="2" t="s">
        <v>6024</v>
      </c>
      <c r="B19" s="2" t="s">
        <v>6026</v>
      </c>
      <c r="C19" s="2" t="s">
        <v>6103</v>
      </c>
      <c r="D19" s="2" t="s">
        <v>1796</v>
      </c>
      <c r="E19" s="2">
        <v>100</v>
      </c>
      <c r="H19" s="2" t="s">
        <v>5667</v>
      </c>
    </row>
    <row r="20" spans="1:8" hidden="1">
      <c r="A20" s="2" t="s">
        <v>6024</v>
      </c>
      <c r="B20" s="2" t="s">
        <v>6026</v>
      </c>
      <c r="C20" s="2" t="s">
        <v>6104</v>
      </c>
      <c r="D20" s="2" t="s">
        <v>1796</v>
      </c>
      <c r="E20" s="2">
        <v>100</v>
      </c>
      <c r="H20" s="2" t="s">
        <v>5667</v>
      </c>
    </row>
    <row r="21" spans="1:8" ht="15.75" hidden="1" customHeight="1">
      <c r="A21" s="2" t="s">
        <v>6024</v>
      </c>
      <c r="B21" s="2" t="s">
        <v>6026</v>
      </c>
      <c r="C21" s="2" t="s">
        <v>811</v>
      </c>
      <c r="D21" s="2" t="s">
        <v>1796</v>
      </c>
      <c r="E21" s="2">
        <v>100</v>
      </c>
      <c r="H21" s="2" t="s">
        <v>5667</v>
      </c>
    </row>
    <row r="22" spans="1:8" ht="15.75" hidden="1" customHeight="1">
      <c r="A22" s="2" t="s">
        <v>6024</v>
      </c>
      <c r="B22" s="2" t="s">
        <v>6026</v>
      </c>
      <c r="C22" s="2" t="s">
        <v>5219</v>
      </c>
      <c r="D22" s="2" t="s">
        <v>1796</v>
      </c>
      <c r="E22" s="2">
        <v>100</v>
      </c>
      <c r="H22" s="2" t="s">
        <v>5667</v>
      </c>
    </row>
    <row r="23" spans="1:8" ht="15.75" hidden="1" customHeight="1">
      <c r="A23" s="2" t="s">
        <v>6024</v>
      </c>
      <c r="B23" s="2" t="s">
        <v>6026</v>
      </c>
      <c r="C23" s="2" t="s">
        <v>6105</v>
      </c>
      <c r="D23" s="2" t="s">
        <v>1796</v>
      </c>
      <c r="E23" s="2">
        <v>100</v>
      </c>
      <c r="H23" s="2" t="s">
        <v>5667</v>
      </c>
    </row>
    <row r="24" spans="1:8" ht="15.75" hidden="1" customHeight="1">
      <c r="A24" s="2" t="s">
        <v>6024</v>
      </c>
      <c r="B24" s="2" t="s">
        <v>6026</v>
      </c>
      <c r="C24" s="2" t="s">
        <v>6106</v>
      </c>
      <c r="D24" s="2" t="s">
        <v>1796</v>
      </c>
      <c r="E24" s="2">
        <v>100</v>
      </c>
      <c r="H24" s="2" t="s">
        <v>5667</v>
      </c>
    </row>
    <row r="25" spans="1:8" ht="15.75" hidden="1" customHeight="1">
      <c r="A25" s="2" t="s">
        <v>6024</v>
      </c>
      <c r="B25" s="2" t="s">
        <v>6026</v>
      </c>
      <c r="C25" s="2" t="s">
        <v>6107</v>
      </c>
      <c r="D25" s="2" t="s">
        <v>1796</v>
      </c>
      <c r="E25" s="2">
        <v>100</v>
      </c>
      <c r="H25" s="2" t="s">
        <v>5667</v>
      </c>
    </row>
    <row r="26" spans="1:8" ht="15.75" hidden="1" customHeight="1">
      <c r="A26" s="2" t="s">
        <v>6024</v>
      </c>
      <c r="B26" s="2" t="s">
        <v>6026</v>
      </c>
      <c r="C26" s="2" t="s">
        <v>6108</v>
      </c>
      <c r="D26" s="2" t="s">
        <v>1796</v>
      </c>
      <c r="E26" s="2">
        <v>100</v>
      </c>
      <c r="H26" s="2" t="s">
        <v>5667</v>
      </c>
    </row>
    <row r="27" spans="1:8" ht="15.75" hidden="1" customHeight="1">
      <c r="A27" s="2" t="s">
        <v>6024</v>
      </c>
      <c r="B27" s="2" t="s">
        <v>6026</v>
      </c>
      <c r="C27" s="2" t="s">
        <v>6109</v>
      </c>
      <c r="D27" s="2" t="s">
        <v>1796</v>
      </c>
      <c r="E27" s="2">
        <v>100</v>
      </c>
      <c r="H27" s="2" t="s">
        <v>5667</v>
      </c>
    </row>
    <row r="28" spans="1:8" ht="15.75" hidden="1" customHeight="1">
      <c r="A28" s="2" t="s">
        <v>6024</v>
      </c>
      <c r="B28" s="2" t="s">
        <v>6026</v>
      </c>
      <c r="C28" s="2" t="s">
        <v>6110</v>
      </c>
      <c r="D28" s="2" t="s">
        <v>1796</v>
      </c>
      <c r="E28" s="2">
        <v>100</v>
      </c>
      <c r="H28" s="2" t="s">
        <v>5667</v>
      </c>
    </row>
    <row r="29" spans="1:8" ht="15.75" hidden="1" customHeight="1">
      <c r="A29" s="2" t="s">
        <v>6024</v>
      </c>
      <c r="B29" s="2" t="s">
        <v>6026</v>
      </c>
      <c r="C29" s="2" t="s">
        <v>6111</v>
      </c>
      <c r="D29" s="2" t="s">
        <v>1796</v>
      </c>
      <c r="E29" s="2">
        <v>100</v>
      </c>
      <c r="H29" s="2" t="s">
        <v>5667</v>
      </c>
    </row>
    <row r="30" spans="1:8" ht="15.75" hidden="1" customHeight="1">
      <c r="A30" s="2" t="s">
        <v>6024</v>
      </c>
      <c r="B30" s="2" t="s">
        <v>6026</v>
      </c>
      <c r="C30" s="2" t="s">
        <v>6112</v>
      </c>
      <c r="D30" s="2" t="s">
        <v>800</v>
      </c>
      <c r="H30" s="2" t="s">
        <v>5665</v>
      </c>
    </row>
    <row r="31" spans="1:8" ht="15.75" hidden="1" customHeight="1">
      <c r="A31" s="2" t="s">
        <v>6024</v>
      </c>
      <c r="B31" s="2" t="s">
        <v>6026</v>
      </c>
      <c r="C31" s="2" t="s">
        <v>6113</v>
      </c>
      <c r="D31" s="2" t="s">
        <v>1796</v>
      </c>
      <c r="E31" s="2">
        <v>100</v>
      </c>
      <c r="H31" s="2" t="s">
        <v>5667</v>
      </c>
    </row>
    <row r="32" spans="1:8" ht="15.75" hidden="1" customHeight="1">
      <c r="A32" s="2" t="s">
        <v>6024</v>
      </c>
      <c r="B32" s="2" t="s">
        <v>6026</v>
      </c>
      <c r="C32" s="2" t="s">
        <v>6114</v>
      </c>
      <c r="D32" s="2" t="s">
        <v>484</v>
      </c>
      <c r="F32" s="2">
        <v>10</v>
      </c>
      <c r="G32" s="2">
        <v>0</v>
      </c>
      <c r="H32" s="2" t="s">
        <v>5667</v>
      </c>
    </row>
    <row r="33" spans="1:8" ht="15.75" hidden="1" customHeight="1">
      <c r="A33" s="2" t="s">
        <v>6024</v>
      </c>
      <c r="B33" s="2" t="s">
        <v>6026</v>
      </c>
      <c r="C33" s="2" t="s">
        <v>6027</v>
      </c>
      <c r="D33" s="2" t="s">
        <v>800</v>
      </c>
      <c r="H33" s="2" t="s">
        <v>5665</v>
      </c>
    </row>
    <row r="34" spans="1:8" ht="15.75" hidden="1" customHeight="1">
      <c r="A34" s="2" t="s">
        <v>6024</v>
      </c>
      <c r="B34" s="2" t="s">
        <v>6026</v>
      </c>
      <c r="C34" s="2" t="s">
        <v>6115</v>
      </c>
      <c r="D34" s="2" t="s">
        <v>1796</v>
      </c>
      <c r="E34" s="2">
        <v>100</v>
      </c>
      <c r="H34" s="2" t="s">
        <v>5667</v>
      </c>
    </row>
    <row r="35" spans="1:8" ht="15.75" hidden="1" customHeight="1">
      <c r="A35" s="2" t="s">
        <v>6024</v>
      </c>
      <c r="B35" s="2" t="s">
        <v>6026</v>
      </c>
      <c r="C35" s="2" t="s">
        <v>6116</v>
      </c>
      <c r="D35" s="2" t="s">
        <v>484</v>
      </c>
      <c r="F35" s="2">
        <v>10</v>
      </c>
      <c r="G35" s="2">
        <v>0</v>
      </c>
      <c r="H35" s="2" t="s">
        <v>5667</v>
      </c>
    </row>
    <row r="36" spans="1:8" ht="15.75" hidden="1" customHeight="1">
      <c r="A36" s="2" t="s">
        <v>6024</v>
      </c>
      <c r="B36" s="2" t="s">
        <v>6026</v>
      </c>
      <c r="C36" s="2" t="s">
        <v>6117</v>
      </c>
      <c r="D36" s="2" t="s">
        <v>1796</v>
      </c>
      <c r="E36" s="2">
        <v>250</v>
      </c>
      <c r="H36" s="2" t="s">
        <v>5667</v>
      </c>
    </row>
    <row r="37" spans="1:8" ht="15.75" hidden="1" customHeight="1">
      <c r="A37" s="2" t="s">
        <v>6024</v>
      </c>
      <c r="B37" s="2" t="s">
        <v>6029</v>
      </c>
      <c r="C37" s="2" t="s">
        <v>325</v>
      </c>
      <c r="D37" s="2" t="s">
        <v>484</v>
      </c>
      <c r="F37" s="2">
        <v>10</v>
      </c>
      <c r="G37" s="2">
        <v>0</v>
      </c>
      <c r="H37" s="2" t="s">
        <v>5665</v>
      </c>
    </row>
    <row r="38" spans="1:8" ht="15.75" hidden="1" customHeight="1">
      <c r="A38" s="2" t="s">
        <v>6024</v>
      </c>
      <c r="B38" s="2" t="s">
        <v>6029</v>
      </c>
      <c r="C38" s="2" t="s">
        <v>6090</v>
      </c>
      <c r="D38" s="2" t="s">
        <v>6118</v>
      </c>
      <c r="H38" s="2" t="s">
        <v>5665</v>
      </c>
    </row>
    <row r="39" spans="1:8" ht="15.75" hidden="1" customHeight="1">
      <c r="A39" s="2" t="s">
        <v>6024</v>
      </c>
      <c r="B39" s="2" t="s">
        <v>6029</v>
      </c>
      <c r="C39" s="2" t="s">
        <v>6092</v>
      </c>
      <c r="D39" s="2" t="s">
        <v>1796</v>
      </c>
      <c r="E39" s="2">
        <v>50</v>
      </c>
      <c r="H39" s="2" t="s">
        <v>5665</v>
      </c>
    </row>
    <row r="40" spans="1:8" ht="15.75" hidden="1" customHeight="1">
      <c r="A40" s="2" t="s">
        <v>6024</v>
      </c>
      <c r="B40" s="2" t="s">
        <v>6029</v>
      </c>
      <c r="C40" s="2" t="s">
        <v>6093</v>
      </c>
      <c r="D40" s="2" t="s">
        <v>484</v>
      </c>
      <c r="F40" s="2">
        <v>10</v>
      </c>
      <c r="G40" s="2">
        <v>0</v>
      </c>
      <c r="H40" s="2" t="s">
        <v>5665</v>
      </c>
    </row>
    <row r="41" spans="1:8" ht="15.75" hidden="1" customHeight="1">
      <c r="A41" s="2" t="s">
        <v>6024</v>
      </c>
      <c r="B41" s="2" t="s">
        <v>6029</v>
      </c>
      <c r="C41" s="2" t="s">
        <v>6094</v>
      </c>
      <c r="D41" s="2" t="s">
        <v>484</v>
      </c>
      <c r="F41" s="2">
        <v>10</v>
      </c>
      <c r="G41" s="2">
        <v>0</v>
      </c>
      <c r="H41" s="2" t="s">
        <v>5665</v>
      </c>
    </row>
    <row r="42" spans="1:8" ht="15.75" hidden="1" customHeight="1">
      <c r="A42" s="2" t="s">
        <v>6024</v>
      </c>
      <c r="B42" s="2" t="s">
        <v>6029</v>
      </c>
      <c r="C42" s="2" t="s">
        <v>6095</v>
      </c>
      <c r="D42" s="2" t="s">
        <v>1796</v>
      </c>
      <c r="E42" s="2">
        <v>50</v>
      </c>
      <c r="H42" s="2" t="s">
        <v>5667</v>
      </c>
    </row>
    <row r="43" spans="1:8" ht="15.75" hidden="1" customHeight="1">
      <c r="A43" s="2" t="s">
        <v>6024</v>
      </c>
      <c r="B43" s="2" t="s">
        <v>6029</v>
      </c>
      <c r="C43" s="2" t="s">
        <v>4306</v>
      </c>
      <c r="D43" s="2" t="s">
        <v>1796</v>
      </c>
      <c r="E43" s="2">
        <v>250</v>
      </c>
      <c r="H43" s="2" t="s">
        <v>5667</v>
      </c>
    </row>
    <row r="44" spans="1:8" ht="15.75" hidden="1" customHeight="1">
      <c r="A44" s="2" t="s">
        <v>6024</v>
      </c>
      <c r="B44" s="2" t="s">
        <v>6029</v>
      </c>
      <c r="C44" s="2" t="s">
        <v>4246</v>
      </c>
      <c r="D44" s="2" t="s">
        <v>1796</v>
      </c>
      <c r="E44" s="2">
        <v>250</v>
      </c>
      <c r="H44" s="2" t="s">
        <v>5665</v>
      </c>
    </row>
    <row r="45" spans="1:8" ht="15.75" hidden="1" customHeight="1">
      <c r="A45" s="2" t="s">
        <v>6024</v>
      </c>
      <c r="B45" s="2" t="s">
        <v>6029</v>
      </c>
      <c r="C45" s="2" t="s">
        <v>6096</v>
      </c>
      <c r="D45" s="2" t="s">
        <v>484</v>
      </c>
      <c r="F45" s="2">
        <v>10</v>
      </c>
      <c r="G45" s="2">
        <v>0</v>
      </c>
      <c r="H45" s="2" t="s">
        <v>5665</v>
      </c>
    </row>
    <row r="46" spans="1:8" ht="15.75" hidden="1" customHeight="1">
      <c r="A46" s="2" t="s">
        <v>6024</v>
      </c>
      <c r="B46" s="2" t="s">
        <v>6029</v>
      </c>
      <c r="C46" s="2" t="s">
        <v>1787</v>
      </c>
      <c r="D46" s="2" t="s">
        <v>1796</v>
      </c>
      <c r="E46" s="2">
        <v>100</v>
      </c>
      <c r="H46" s="2" t="s">
        <v>5667</v>
      </c>
    </row>
    <row r="47" spans="1:8" ht="15.75" hidden="1" customHeight="1">
      <c r="A47" s="2" t="s">
        <v>6024</v>
      </c>
      <c r="B47" s="2" t="s">
        <v>6029</v>
      </c>
      <c r="C47" s="2" t="s">
        <v>6119</v>
      </c>
      <c r="D47" s="2" t="s">
        <v>1796</v>
      </c>
      <c r="E47" s="2">
        <v>100</v>
      </c>
      <c r="H47" s="2" t="s">
        <v>5667</v>
      </c>
    </row>
    <row r="48" spans="1:8" ht="15.75" hidden="1" customHeight="1">
      <c r="A48" s="2" t="s">
        <v>6024</v>
      </c>
      <c r="B48" s="2" t="s">
        <v>6029</v>
      </c>
      <c r="C48" s="2" t="s">
        <v>4805</v>
      </c>
      <c r="D48" s="2" t="s">
        <v>1796</v>
      </c>
      <c r="E48" s="2">
        <v>100</v>
      </c>
      <c r="H48" s="2" t="s">
        <v>5667</v>
      </c>
    </row>
    <row r="49" spans="1:26" ht="15.75" hidden="1" customHeight="1">
      <c r="A49" s="2" t="s">
        <v>6024</v>
      </c>
      <c r="B49" s="2" t="s">
        <v>6029</v>
      </c>
      <c r="C49" s="2" t="s">
        <v>6120</v>
      </c>
      <c r="D49" s="2" t="s">
        <v>1796</v>
      </c>
      <c r="E49" s="2">
        <v>100</v>
      </c>
      <c r="H49" s="2" t="s">
        <v>5667</v>
      </c>
    </row>
    <row r="50" spans="1:26" ht="15.75" hidden="1" customHeight="1">
      <c r="A50" s="2" t="s">
        <v>6024</v>
      </c>
      <c r="B50" s="2" t="s">
        <v>6029</v>
      </c>
      <c r="C50" s="2" t="s">
        <v>6121</v>
      </c>
      <c r="D50" s="2" t="s">
        <v>481</v>
      </c>
      <c r="F50" s="2">
        <v>38</v>
      </c>
      <c r="G50" s="2">
        <v>0</v>
      </c>
      <c r="H50" s="2" t="s">
        <v>5667</v>
      </c>
    </row>
    <row r="51" spans="1:26" ht="15.75" hidden="1" customHeight="1">
      <c r="A51" s="2" t="s">
        <v>6024</v>
      </c>
      <c r="B51" s="2" t="s">
        <v>6029</v>
      </c>
      <c r="C51" s="2" t="s">
        <v>6122</v>
      </c>
      <c r="D51" s="2" t="s">
        <v>1796</v>
      </c>
      <c r="E51" s="2">
        <v>100</v>
      </c>
      <c r="H51" s="2" t="s">
        <v>5667</v>
      </c>
    </row>
    <row r="52" spans="1:26" ht="15.75" hidden="1" customHeight="1">
      <c r="A52" s="2" t="s">
        <v>6024</v>
      </c>
      <c r="B52" s="2" t="s">
        <v>6029</v>
      </c>
      <c r="C52" s="2" t="s">
        <v>6123</v>
      </c>
      <c r="D52" s="2" t="s">
        <v>481</v>
      </c>
      <c r="F52" s="2">
        <v>38</v>
      </c>
      <c r="G52" s="2">
        <v>0</v>
      </c>
      <c r="H52" s="2" t="s">
        <v>5667</v>
      </c>
    </row>
    <row r="53" spans="1:26" ht="15.75" hidden="1" customHeight="1">
      <c r="A53" s="2" t="s">
        <v>6024</v>
      </c>
      <c r="B53" s="2" t="s">
        <v>6029</v>
      </c>
      <c r="C53" s="2" t="s">
        <v>6124</v>
      </c>
      <c r="D53" s="2" t="s">
        <v>1796</v>
      </c>
      <c r="E53" s="2">
        <v>100</v>
      </c>
      <c r="H53" s="2" t="s">
        <v>5667</v>
      </c>
    </row>
    <row r="54" spans="1:26" ht="15.75" hidden="1" customHeight="1">
      <c r="A54" s="2" t="s">
        <v>6024</v>
      </c>
      <c r="B54" s="2" t="s">
        <v>6029</v>
      </c>
      <c r="C54" s="2" t="s">
        <v>6125</v>
      </c>
      <c r="D54" s="2" t="s">
        <v>1796</v>
      </c>
      <c r="E54" s="2">
        <v>100</v>
      </c>
      <c r="H54" s="2" t="s">
        <v>5667</v>
      </c>
    </row>
    <row r="55" spans="1:26" ht="15.75" hidden="1" customHeight="1">
      <c r="A55" s="165" t="s">
        <v>6024</v>
      </c>
      <c r="B55" s="165" t="s">
        <v>6029</v>
      </c>
      <c r="C55" s="233" t="s">
        <v>6126</v>
      </c>
      <c r="D55" s="233" t="s">
        <v>481</v>
      </c>
      <c r="E55" s="234">
        <v>17</v>
      </c>
      <c r="F55" s="234">
        <v>38</v>
      </c>
      <c r="G55" s="234">
        <v>0</v>
      </c>
      <c r="H55" s="165" t="s">
        <v>5665</v>
      </c>
      <c r="I55" s="164" t="s">
        <v>2318</v>
      </c>
      <c r="J55" s="165"/>
      <c r="K55" s="165"/>
      <c r="L55" s="165"/>
      <c r="M55" s="165"/>
      <c r="N55" s="165"/>
      <c r="O55" s="165"/>
      <c r="P55" s="165"/>
      <c r="Q55" s="165"/>
      <c r="R55" s="165"/>
      <c r="S55" s="165"/>
      <c r="T55" s="165"/>
      <c r="U55" s="165"/>
      <c r="V55" s="165"/>
      <c r="W55" s="165"/>
      <c r="X55" s="165"/>
      <c r="Y55" s="165"/>
      <c r="Z55" s="165"/>
    </row>
    <row r="56" spans="1:26" ht="15.75" hidden="1" customHeight="1">
      <c r="A56" s="165" t="s">
        <v>6024</v>
      </c>
      <c r="B56" s="165" t="s">
        <v>6029</v>
      </c>
      <c r="C56" s="233" t="s">
        <v>6127</v>
      </c>
      <c r="D56" s="233" t="s">
        <v>1796</v>
      </c>
      <c r="E56" s="234">
        <v>200</v>
      </c>
      <c r="F56" s="235"/>
      <c r="G56" s="235"/>
      <c r="H56" s="165" t="s">
        <v>5665</v>
      </c>
      <c r="I56" s="164" t="s">
        <v>2318</v>
      </c>
      <c r="J56" s="165"/>
      <c r="K56" s="165"/>
      <c r="L56" s="165"/>
      <c r="M56" s="165"/>
      <c r="N56" s="165"/>
      <c r="O56" s="165"/>
      <c r="P56" s="165"/>
      <c r="Q56" s="165"/>
      <c r="R56" s="165"/>
      <c r="S56" s="165"/>
      <c r="T56" s="165"/>
      <c r="U56" s="165"/>
      <c r="V56" s="165"/>
      <c r="W56" s="165"/>
      <c r="X56" s="165"/>
      <c r="Y56" s="165"/>
      <c r="Z56" s="165"/>
    </row>
    <row r="57" spans="1:26" ht="15.75" hidden="1" customHeight="1">
      <c r="A57" s="165" t="s">
        <v>6024</v>
      </c>
      <c r="B57" s="165" t="s">
        <v>6029</v>
      </c>
      <c r="C57" s="233" t="s">
        <v>6128</v>
      </c>
      <c r="D57" s="233" t="s">
        <v>481</v>
      </c>
      <c r="E57" s="234">
        <v>17</v>
      </c>
      <c r="F57" s="234">
        <v>38</v>
      </c>
      <c r="G57" s="234">
        <v>0</v>
      </c>
      <c r="H57" s="165" t="s">
        <v>5665</v>
      </c>
      <c r="I57" s="164" t="s">
        <v>2318</v>
      </c>
      <c r="J57" s="165"/>
      <c r="K57" s="165"/>
      <c r="L57" s="165"/>
      <c r="M57" s="165"/>
      <c r="N57" s="165"/>
      <c r="O57" s="165"/>
      <c r="P57" s="165"/>
      <c r="Q57" s="165"/>
      <c r="R57" s="165"/>
      <c r="S57" s="165"/>
      <c r="T57" s="165"/>
      <c r="U57" s="165"/>
      <c r="V57" s="165"/>
      <c r="W57" s="165"/>
      <c r="X57" s="165"/>
      <c r="Y57" s="165"/>
      <c r="Z57" s="165"/>
    </row>
    <row r="58" spans="1:26" ht="15.75" hidden="1" customHeight="1">
      <c r="A58" s="165" t="s">
        <v>6024</v>
      </c>
      <c r="B58" s="165" t="s">
        <v>6029</v>
      </c>
      <c r="C58" s="233" t="s">
        <v>6129</v>
      </c>
      <c r="D58" s="233" t="s">
        <v>1796</v>
      </c>
      <c r="E58" s="234">
        <v>200</v>
      </c>
      <c r="F58" s="235"/>
      <c r="G58" s="235"/>
      <c r="H58" s="165" t="s">
        <v>5665</v>
      </c>
      <c r="I58" s="164" t="s">
        <v>2318</v>
      </c>
      <c r="J58" s="165"/>
      <c r="K58" s="165"/>
      <c r="L58" s="165"/>
      <c r="M58" s="165"/>
      <c r="N58" s="165"/>
      <c r="O58" s="165"/>
      <c r="P58" s="165"/>
      <c r="Q58" s="165"/>
      <c r="R58" s="165"/>
      <c r="S58" s="165"/>
      <c r="T58" s="165"/>
      <c r="U58" s="165"/>
      <c r="V58" s="165"/>
      <c r="W58" s="165"/>
      <c r="X58" s="165"/>
      <c r="Y58" s="165"/>
      <c r="Z58" s="165"/>
    </row>
    <row r="59" spans="1:26" ht="15.75" hidden="1" customHeight="1">
      <c r="A59" s="165" t="s">
        <v>6024</v>
      </c>
      <c r="B59" s="165" t="s">
        <v>6029</v>
      </c>
      <c r="C59" s="233" t="s">
        <v>6130</v>
      </c>
      <c r="D59" s="233" t="s">
        <v>481</v>
      </c>
      <c r="E59" s="234">
        <v>17</v>
      </c>
      <c r="F59" s="234">
        <v>38</v>
      </c>
      <c r="G59" s="234">
        <v>0</v>
      </c>
      <c r="H59" s="165" t="s">
        <v>5665</v>
      </c>
      <c r="I59" s="164" t="s">
        <v>2318</v>
      </c>
      <c r="J59" s="165"/>
      <c r="K59" s="165"/>
      <c r="L59" s="165"/>
      <c r="M59" s="165"/>
      <c r="N59" s="165"/>
      <c r="O59" s="165"/>
      <c r="P59" s="165"/>
      <c r="Q59" s="165"/>
      <c r="R59" s="165"/>
      <c r="S59" s="165"/>
      <c r="T59" s="165"/>
      <c r="U59" s="165"/>
      <c r="V59" s="165"/>
      <c r="W59" s="165"/>
      <c r="X59" s="165"/>
      <c r="Y59" s="165"/>
      <c r="Z59" s="165"/>
    </row>
    <row r="60" spans="1:26" ht="15.75" hidden="1" customHeight="1">
      <c r="A60" s="165" t="s">
        <v>6024</v>
      </c>
      <c r="B60" s="165" t="s">
        <v>6029</v>
      </c>
      <c r="C60" s="233" t="s">
        <v>6131</v>
      </c>
      <c r="D60" s="233" t="s">
        <v>1796</v>
      </c>
      <c r="E60" s="234">
        <v>200</v>
      </c>
      <c r="F60" s="235"/>
      <c r="G60" s="235"/>
      <c r="H60" s="165" t="s">
        <v>5665</v>
      </c>
      <c r="I60" s="164" t="s">
        <v>2318</v>
      </c>
      <c r="J60" s="165"/>
      <c r="K60" s="165"/>
      <c r="L60" s="165"/>
      <c r="M60" s="165"/>
      <c r="N60" s="165"/>
      <c r="O60" s="165"/>
      <c r="P60" s="165"/>
      <c r="Q60" s="165"/>
      <c r="R60" s="165"/>
      <c r="S60" s="165"/>
      <c r="T60" s="165"/>
      <c r="U60" s="165"/>
      <c r="V60" s="165"/>
      <c r="W60" s="165"/>
      <c r="X60" s="165"/>
      <c r="Y60" s="165"/>
      <c r="Z60" s="165"/>
    </row>
    <row r="61" spans="1:26" ht="15.75" hidden="1" customHeight="1">
      <c r="A61" s="165" t="s">
        <v>6024</v>
      </c>
      <c r="B61" s="165" t="s">
        <v>6029</v>
      </c>
      <c r="C61" s="233" t="s">
        <v>6132</v>
      </c>
      <c r="D61" s="233" t="s">
        <v>481</v>
      </c>
      <c r="E61" s="234">
        <v>17</v>
      </c>
      <c r="F61" s="234">
        <v>38</v>
      </c>
      <c r="G61" s="234">
        <v>0</v>
      </c>
      <c r="H61" s="165" t="s">
        <v>5665</v>
      </c>
      <c r="I61" s="164" t="s">
        <v>2318</v>
      </c>
      <c r="J61" s="165"/>
      <c r="K61" s="165"/>
      <c r="L61" s="165"/>
      <c r="M61" s="165"/>
      <c r="N61" s="165"/>
      <c r="O61" s="165"/>
      <c r="P61" s="165"/>
      <c r="Q61" s="165"/>
      <c r="R61" s="165"/>
      <c r="S61" s="165"/>
      <c r="T61" s="165"/>
      <c r="U61" s="165"/>
      <c r="V61" s="165"/>
      <c r="W61" s="165"/>
      <c r="X61" s="165"/>
      <c r="Y61" s="165"/>
      <c r="Z61" s="165"/>
    </row>
    <row r="62" spans="1:26" ht="15.75" hidden="1" customHeight="1">
      <c r="A62" s="165" t="s">
        <v>6024</v>
      </c>
      <c r="B62" s="165" t="s">
        <v>6029</v>
      </c>
      <c r="C62" s="233" t="s">
        <v>6133</v>
      </c>
      <c r="D62" s="233" t="s">
        <v>1796</v>
      </c>
      <c r="E62" s="234">
        <v>200</v>
      </c>
      <c r="F62" s="235"/>
      <c r="G62" s="235"/>
      <c r="H62" s="165" t="s">
        <v>5665</v>
      </c>
      <c r="I62" s="164" t="s">
        <v>2318</v>
      </c>
      <c r="J62" s="165"/>
      <c r="K62" s="165"/>
      <c r="L62" s="165"/>
      <c r="M62" s="165"/>
      <c r="N62" s="165"/>
      <c r="O62" s="165"/>
      <c r="P62" s="165"/>
      <c r="Q62" s="165"/>
      <c r="R62" s="165"/>
      <c r="S62" s="165"/>
      <c r="T62" s="165"/>
      <c r="U62" s="165"/>
      <c r="V62" s="165"/>
      <c r="W62" s="165"/>
      <c r="X62" s="165"/>
      <c r="Y62" s="165"/>
      <c r="Z62" s="165"/>
    </row>
    <row r="63" spans="1:26" ht="15.75" hidden="1" customHeight="1">
      <c r="A63" s="2" t="s">
        <v>6024</v>
      </c>
      <c r="B63" s="2" t="s">
        <v>6029</v>
      </c>
      <c r="C63" s="2" t="s">
        <v>6112</v>
      </c>
      <c r="D63" s="2" t="s">
        <v>800</v>
      </c>
      <c r="H63" s="2" t="s">
        <v>5665</v>
      </c>
    </row>
    <row r="64" spans="1:26" ht="15.75" hidden="1" customHeight="1">
      <c r="A64" s="2" t="s">
        <v>6024</v>
      </c>
      <c r="B64" s="2" t="s">
        <v>6029</v>
      </c>
      <c r="C64" s="2" t="s">
        <v>6113</v>
      </c>
      <c r="D64" s="2" t="s">
        <v>1796</v>
      </c>
      <c r="E64" s="2">
        <v>100</v>
      </c>
      <c r="H64" s="2" t="s">
        <v>5667</v>
      </c>
    </row>
    <row r="65" spans="1:8" ht="15.75" hidden="1" customHeight="1">
      <c r="A65" s="2" t="s">
        <v>6024</v>
      </c>
      <c r="B65" s="2" t="s">
        <v>6029</v>
      </c>
      <c r="C65" s="2" t="s">
        <v>6114</v>
      </c>
      <c r="D65" s="2" t="s">
        <v>484</v>
      </c>
      <c r="F65" s="2">
        <v>10</v>
      </c>
      <c r="G65" s="2">
        <v>0</v>
      </c>
      <c r="H65" s="2" t="s">
        <v>5667</v>
      </c>
    </row>
    <row r="66" spans="1:8" ht="15.75" hidden="1" customHeight="1">
      <c r="A66" s="2" t="s">
        <v>6024</v>
      </c>
      <c r="B66" s="2" t="s">
        <v>6029</v>
      </c>
      <c r="C66" s="2" t="s">
        <v>6027</v>
      </c>
      <c r="D66" s="2" t="s">
        <v>800</v>
      </c>
      <c r="H66" s="2" t="s">
        <v>5665</v>
      </c>
    </row>
    <row r="67" spans="1:8" ht="15.75" hidden="1" customHeight="1">
      <c r="A67" s="2" t="s">
        <v>6024</v>
      </c>
      <c r="B67" s="2" t="s">
        <v>6029</v>
      </c>
      <c r="C67" s="2" t="s">
        <v>6115</v>
      </c>
      <c r="D67" s="2" t="s">
        <v>1796</v>
      </c>
      <c r="E67" s="2">
        <v>100</v>
      </c>
      <c r="H67" s="2" t="s">
        <v>5667</v>
      </c>
    </row>
    <row r="68" spans="1:8" ht="15.75" hidden="1" customHeight="1">
      <c r="A68" s="2" t="s">
        <v>6024</v>
      </c>
      <c r="B68" s="2" t="s">
        <v>6029</v>
      </c>
      <c r="C68" s="2" t="s">
        <v>6116</v>
      </c>
      <c r="D68" s="2" t="s">
        <v>484</v>
      </c>
      <c r="F68" s="2">
        <v>10</v>
      </c>
      <c r="G68" s="2">
        <v>0</v>
      </c>
      <c r="H68" s="2" t="s">
        <v>5667</v>
      </c>
    </row>
    <row r="69" spans="1:8" ht="15.75" hidden="1" customHeight="1">
      <c r="A69" s="2" t="s">
        <v>6024</v>
      </c>
      <c r="B69" s="2" t="s">
        <v>6029</v>
      </c>
      <c r="C69" s="2" t="s">
        <v>6117</v>
      </c>
      <c r="D69" s="2" t="s">
        <v>1796</v>
      </c>
      <c r="E69" s="2">
        <v>250</v>
      </c>
      <c r="H69" s="2" t="s">
        <v>5667</v>
      </c>
    </row>
    <row r="70" spans="1:8" ht="15.75" hidden="1" customHeight="1">
      <c r="A70" s="2" t="s">
        <v>6024</v>
      </c>
      <c r="B70" s="2" t="s">
        <v>6030</v>
      </c>
      <c r="C70" s="178" t="s">
        <v>325</v>
      </c>
      <c r="D70" s="2" t="s">
        <v>484</v>
      </c>
      <c r="F70" s="2">
        <v>10</v>
      </c>
      <c r="G70" s="2">
        <v>0</v>
      </c>
      <c r="H70" s="2" t="s">
        <v>5665</v>
      </c>
    </row>
    <row r="71" spans="1:8" ht="15.75" hidden="1" customHeight="1">
      <c r="A71" s="2" t="s">
        <v>6024</v>
      </c>
      <c r="B71" s="2" t="s">
        <v>6030</v>
      </c>
      <c r="C71" s="178" t="s">
        <v>6090</v>
      </c>
      <c r="D71" s="2" t="s">
        <v>6118</v>
      </c>
      <c r="H71" s="2" t="s">
        <v>5665</v>
      </c>
    </row>
    <row r="72" spans="1:8" ht="15.75" hidden="1" customHeight="1">
      <c r="A72" s="2" t="s">
        <v>6024</v>
      </c>
      <c r="B72" s="2" t="s">
        <v>6030</v>
      </c>
      <c r="C72" s="178" t="s">
        <v>6092</v>
      </c>
      <c r="D72" s="2" t="s">
        <v>1796</v>
      </c>
      <c r="E72" s="2">
        <v>50</v>
      </c>
      <c r="H72" s="2" t="s">
        <v>5665</v>
      </c>
    </row>
    <row r="73" spans="1:8" ht="15.75" hidden="1" customHeight="1">
      <c r="A73" s="2" t="s">
        <v>6024</v>
      </c>
      <c r="B73" s="2" t="s">
        <v>6030</v>
      </c>
      <c r="C73" s="178" t="s">
        <v>6093</v>
      </c>
      <c r="D73" s="2" t="s">
        <v>484</v>
      </c>
      <c r="F73" s="2">
        <v>10</v>
      </c>
      <c r="G73" s="2">
        <v>0</v>
      </c>
      <c r="H73" s="2" t="s">
        <v>5665</v>
      </c>
    </row>
    <row r="74" spans="1:8" ht="15.75" hidden="1" customHeight="1">
      <c r="A74" s="2" t="s">
        <v>6024</v>
      </c>
      <c r="B74" s="2" t="s">
        <v>6030</v>
      </c>
      <c r="C74" s="178" t="s">
        <v>6094</v>
      </c>
      <c r="D74" s="2" t="s">
        <v>484</v>
      </c>
      <c r="F74" s="2">
        <v>10</v>
      </c>
      <c r="G74" s="2">
        <v>0</v>
      </c>
      <c r="H74" s="2" t="s">
        <v>5665</v>
      </c>
    </row>
    <row r="75" spans="1:8" ht="15.75" hidden="1" customHeight="1">
      <c r="A75" s="2" t="s">
        <v>6024</v>
      </c>
      <c r="B75" s="2" t="s">
        <v>6030</v>
      </c>
      <c r="C75" s="178" t="s">
        <v>6095</v>
      </c>
      <c r="D75" s="2" t="s">
        <v>1796</v>
      </c>
      <c r="E75" s="2">
        <v>50</v>
      </c>
      <c r="H75" s="2" t="s">
        <v>5667</v>
      </c>
    </row>
    <row r="76" spans="1:8" ht="15.75" hidden="1" customHeight="1">
      <c r="A76" s="2" t="s">
        <v>6024</v>
      </c>
      <c r="B76" s="2" t="s">
        <v>6030</v>
      </c>
      <c r="C76" s="178" t="s">
        <v>4306</v>
      </c>
      <c r="D76" s="2" t="s">
        <v>1796</v>
      </c>
      <c r="E76" s="2">
        <v>250</v>
      </c>
      <c r="H76" s="2" t="s">
        <v>5667</v>
      </c>
    </row>
    <row r="77" spans="1:8" ht="15.75" hidden="1" customHeight="1">
      <c r="A77" s="2" t="s">
        <v>6024</v>
      </c>
      <c r="B77" s="2" t="s">
        <v>6030</v>
      </c>
      <c r="C77" s="178" t="s">
        <v>4246</v>
      </c>
      <c r="D77" s="2" t="s">
        <v>1796</v>
      </c>
      <c r="E77" s="2">
        <v>250</v>
      </c>
      <c r="H77" s="2" t="s">
        <v>5665</v>
      </c>
    </row>
    <row r="78" spans="1:8" ht="15.75" hidden="1" customHeight="1">
      <c r="A78" s="2" t="s">
        <v>6024</v>
      </c>
      <c r="B78" s="2" t="s">
        <v>6030</v>
      </c>
      <c r="C78" s="178" t="s">
        <v>6096</v>
      </c>
      <c r="D78" s="2" t="s">
        <v>484</v>
      </c>
      <c r="F78" s="2">
        <v>10</v>
      </c>
      <c r="G78" s="2">
        <v>0</v>
      </c>
      <c r="H78" s="2" t="s">
        <v>5665</v>
      </c>
    </row>
    <row r="79" spans="1:8" ht="15.75" hidden="1" customHeight="1">
      <c r="A79" s="2" t="s">
        <v>6024</v>
      </c>
      <c r="B79" s="2" t="s">
        <v>6030</v>
      </c>
      <c r="C79" s="178" t="s">
        <v>6134</v>
      </c>
      <c r="D79" s="2" t="s">
        <v>1796</v>
      </c>
      <c r="E79" s="2">
        <v>100</v>
      </c>
      <c r="H79" s="2" t="s">
        <v>5667</v>
      </c>
    </row>
    <row r="80" spans="1:8" ht="15.75" hidden="1" customHeight="1">
      <c r="A80" s="2" t="s">
        <v>6024</v>
      </c>
      <c r="B80" s="2" t="s">
        <v>6030</v>
      </c>
      <c r="C80" s="178" t="s">
        <v>6135</v>
      </c>
      <c r="D80" s="2" t="s">
        <v>1796</v>
      </c>
      <c r="E80" s="2">
        <v>100</v>
      </c>
      <c r="H80" s="2" t="s">
        <v>5667</v>
      </c>
    </row>
    <row r="81" spans="1:8" ht="15.75" hidden="1" customHeight="1">
      <c r="A81" s="2" t="s">
        <v>6024</v>
      </c>
      <c r="B81" s="2" t="s">
        <v>6030</v>
      </c>
      <c r="C81" s="178" t="s">
        <v>6136</v>
      </c>
      <c r="D81" s="2" t="s">
        <v>1796</v>
      </c>
      <c r="E81" s="2">
        <v>100</v>
      </c>
      <c r="H81" s="2" t="s">
        <v>5667</v>
      </c>
    </row>
    <row r="82" spans="1:8" ht="15.75" hidden="1" customHeight="1">
      <c r="A82" s="2" t="s">
        <v>6024</v>
      </c>
      <c r="B82" s="2" t="s">
        <v>6030</v>
      </c>
      <c r="C82" s="178" t="s">
        <v>6137</v>
      </c>
      <c r="D82" s="2" t="s">
        <v>1796</v>
      </c>
      <c r="E82" s="2">
        <v>100</v>
      </c>
      <c r="H82" s="2" t="s">
        <v>5667</v>
      </c>
    </row>
    <row r="83" spans="1:8" ht="15.75" hidden="1" customHeight="1">
      <c r="A83" s="2" t="s">
        <v>6024</v>
      </c>
      <c r="B83" s="2" t="s">
        <v>6030</v>
      </c>
      <c r="C83" s="178" t="s">
        <v>257</v>
      </c>
      <c r="D83" s="2" t="s">
        <v>1796</v>
      </c>
      <c r="E83" s="2">
        <v>100</v>
      </c>
      <c r="H83" s="2" t="s">
        <v>5667</v>
      </c>
    </row>
    <row r="84" spans="1:8" ht="15.75" hidden="1" customHeight="1">
      <c r="A84" s="2" t="s">
        <v>6024</v>
      </c>
      <c r="B84" s="2" t="s">
        <v>6030</v>
      </c>
      <c r="C84" s="178" t="s">
        <v>6138</v>
      </c>
      <c r="D84" s="2" t="s">
        <v>1796</v>
      </c>
      <c r="E84" s="2">
        <v>100</v>
      </c>
      <c r="H84" s="2" t="s">
        <v>5667</v>
      </c>
    </row>
    <row r="85" spans="1:8" ht="15.75" hidden="1" customHeight="1">
      <c r="A85" s="2" t="s">
        <v>6024</v>
      </c>
      <c r="B85" s="2" t="s">
        <v>6030</v>
      </c>
      <c r="C85" s="178" t="s">
        <v>6139</v>
      </c>
      <c r="D85" s="2" t="s">
        <v>1796</v>
      </c>
      <c r="E85" s="2">
        <v>100</v>
      </c>
      <c r="H85" s="2" t="s">
        <v>5667</v>
      </c>
    </row>
    <row r="86" spans="1:8" ht="15.75" hidden="1" customHeight="1">
      <c r="A86" s="2" t="s">
        <v>6024</v>
      </c>
      <c r="B86" s="2" t="s">
        <v>6030</v>
      </c>
      <c r="C86" s="178" t="s">
        <v>6140</v>
      </c>
      <c r="D86" s="2" t="s">
        <v>1796</v>
      </c>
      <c r="E86" s="2">
        <v>100</v>
      </c>
      <c r="H86" s="2" t="s">
        <v>5667</v>
      </c>
    </row>
    <row r="87" spans="1:8" ht="15.75" hidden="1" customHeight="1">
      <c r="A87" s="2" t="s">
        <v>6024</v>
      </c>
      <c r="B87" s="2" t="s">
        <v>6030</v>
      </c>
      <c r="C87" s="178" t="s">
        <v>1139</v>
      </c>
      <c r="D87" s="2" t="s">
        <v>1796</v>
      </c>
      <c r="E87" s="2">
        <v>100</v>
      </c>
      <c r="H87" s="2" t="s">
        <v>5667</v>
      </c>
    </row>
    <row r="88" spans="1:8" ht="15.75" hidden="1" customHeight="1">
      <c r="A88" s="2" t="s">
        <v>6024</v>
      </c>
      <c r="B88" s="2" t="s">
        <v>6030</v>
      </c>
      <c r="C88" s="178" t="s">
        <v>6141</v>
      </c>
      <c r="D88" s="2" t="s">
        <v>1796</v>
      </c>
      <c r="E88" s="2">
        <v>100</v>
      </c>
      <c r="H88" s="2" t="s">
        <v>5667</v>
      </c>
    </row>
    <row r="89" spans="1:8" ht="15.75" hidden="1" customHeight="1">
      <c r="A89" s="2" t="s">
        <v>6024</v>
      </c>
      <c r="B89" s="2" t="s">
        <v>6030</v>
      </c>
      <c r="C89" s="178" t="s">
        <v>1135</v>
      </c>
      <c r="D89" s="2" t="s">
        <v>481</v>
      </c>
      <c r="F89" s="2">
        <v>38</v>
      </c>
      <c r="G89" s="2">
        <v>0</v>
      </c>
      <c r="H89" s="2" t="s">
        <v>5667</v>
      </c>
    </row>
    <row r="90" spans="1:8" ht="15.75" hidden="1" customHeight="1">
      <c r="A90" s="2" t="s">
        <v>6024</v>
      </c>
      <c r="B90" s="2" t="s">
        <v>6030</v>
      </c>
      <c r="C90" s="178" t="s">
        <v>6142</v>
      </c>
      <c r="D90" s="2" t="s">
        <v>481</v>
      </c>
      <c r="F90" s="2">
        <v>38</v>
      </c>
      <c r="G90" s="2">
        <v>0</v>
      </c>
      <c r="H90" s="2" t="s">
        <v>5667</v>
      </c>
    </row>
    <row r="91" spans="1:8" ht="15.75" hidden="1" customHeight="1">
      <c r="A91" s="2" t="s">
        <v>6024</v>
      </c>
      <c r="B91" s="2" t="s">
        <v>6030</v>
      </c>
      <c r="C91" s="178" t="s">
        <v>6143</v>
      </c>
      <c r="D91" s="2" t="s">
        <v>481</v>
      </c>
      <c r="F91" s="2">
        <v>38</v>
      </c>
      <c r="G91" s="2">
        <v>2</v>
      </c>
      <c r="H91" s="2" t="s">
        <v>5667</v>
      </c>
    </row>
    <row r="92" spans="1:8" ht="15.75" hidden="1" customHeight="1">
      <c r="A92" s="2" t="s">
        <v>6024</v>
      </c>
      <c r="B92" s="2" t="s">
        <v>6030</v>
      </c>
      <c r="C92" s="178" t="s">
        <v>6144</v>
      </c>
      <c r="D92" s="2" t="s">
        <v>481</v>
      </c>
      <c r="F92" s="2">
        <v>38</v>
      </c>
      <c r="G92" s="2">
        <v>0</v>
      </c>
      <c r="H92" s="2" t="s">
        <v>5667</v>
      </c>
    </row>
    <row r="93" spans="1:8" ht="15.75" hidden="1" customHeight="1">
      <c r="A93" s="2" t="s">
        <v>6024</v>
      </c>
      <c r="B93" s="2" t="s">
        <v>6030</v>
      </c>
      <c r="C93" s="178" t="s">
        <v>6145</v>
      </c>
      <c r="D93" s="2" t="s">
        <v>481</v>
      </c>
      <c r="F93" s="2">
        <v>38</v>
      </c>
      <c r="G93" s="2">
        <v>0</v>
      </c>
      <c r="H93" s="2" t="s">
        <v>5667</v>
      </c>
    </row>
    <row r="94" spans="1:8" ht="15.75" hidden="1" customHeight="1">
      <c r="A94" s="2" t="s">
        <v>6024</v>
      </c>
      <c r="B94" s="2" t="s">
        <v>6030</v>
      </c>
      <c r="C94" s="178" t="s">
        <v>6146</v>
      </c>
      <c r="D94" s="2" t="s">
        <v>481</v>
      </c>
      <c r="F94" s="2">
        <v>38</v>
      </c>
      <c r="G94" s="2">
        <v>0</v>
      </c>
      <c r="H94" s="2" t="s">
        <v>5667</v>
      </c>
    </row>
    <row r="95" spans="1:8" ht="15.75" hidden="1" customHeight="1">
      <c r="A95" s="2" t="s">
        <v>6024</v>
      </c>
      <c r="B95" s="2" t="s">
        <v>6030</v>
      </c>
      <c r="C95" s="178" t="s">
        <v>6147</v>
      </c>
      <c r="D95" s="2" t="s">
        <v>481</v>
      </c>
      <c r="F95" s="2">
        <v>38</v>
      </c>
      <c r="G95" s="2">
        <v>0</v>
      </c>
      <c r="H95" s="2" t="s">
        <v>5667</v>
      </c>
    </row>
    <row r="96" spans="1:8" ht="15.75" hidden="1" customHeight="1">
      <c r="A96" s="2" t="s">
        <v>6024</v>
      </c>
      <c r="B96" s="2" t="s">
        <v>6030</v>
      </c>
      <c r="C96" s="178" t="s">
        <v>6148</v>
      </c>
      <c r="D96" s="2" t="s">
        <v>481</v>
      </c>
      <c r="F96" s="2">
        <v>38</v>
      </c>
      <c r="G96" s="2">
        <v>0</v>
      </c>
      <c r="H96" s="2" t="s">
        <v>5667</v>
      </c>
    </row>
    <row r="97" spans="1:8" ht="15.75" hidden="1" customHeight="1">
      <c r="A97" s="2" t="s">
        <v>6024</v>
      </c>
      <c r="B97" s="2" t="s">
        <v>6030</v>
      </c>
      <c r="C97" s="178" t="s">
        <v>6112</v>
      </c>
      <c r="D97" s="2" t="s">
        <v>800</v>
      </c>
      <c r="H97" s="2" t="s">
        <v>5665</v>
      </c>
    </row>
    <row r="98" spans="1:8" ht="15.75" hidden="1" customHeight="1">
      <c r="A98" s="2" t="s">
        <v>6024</v>
      </c>
      <c r="B98" s="2" t="s">
        <v>6030</v>
      </c>
      <c r="C98" s="178" t="s">
        <v>6113</v>
      </c>
      <c r="D98" s="2" t="s">
        <v>1796</v>
      </c>
      <c r="E98" s="2">
        <v>100</v>
      </c>
      <c r="H98" s="2" t="s">
        <v>5667</v>
      </c>
    </row>
    <row r="99" spans="1:8" ht="15.75" hidden="1" customHeight="1">
      <c r="A99" s="2" t="s">
        <v>6024</v>
      </c>
      <c r="B99" s="2" t="s">
        <v>6030</v>
      </c>
      <c r="C99" s="178" t="s">
        <v>6114</v>
      </c>
      <c r="D99" s="2" t="s">
        <v>484</v>
      </c>
      <c r="F99" s="2">
        <v>10</v>
      </c>
      <c r="G99" s="2">
        <v>0</v>
      </c>
      <c r="H99" s="2" t="s">
        <v>5667</v>
      </c>
    </row>
    <row r="100" spans="1:8" ht="15.75" hidden="1" customHeight="1">
      <c r="A100" s="2" t="s">
        <v>6024</v>
      </c>
      <c r="B100" s="2" t="s">
        <v>6030</v>
      </c>
      <c r="C100" s="178" t="s">
        <v>6027</v>
      </c>
      <c r="D100" s="2" t="s">
        <v>800</v>
      </c>
      <c r="H100" s="2" t="s">
        <v>5665</v>
      </c>
    </row>
    <row r="101" spans="1:8" ht="15.75" hidden="1" customHeight="1">
      <c r="A101" s="2" t="s">
        <v>6024</v>
      </c>
      <c r="B101" s="2" t="s">
        <v>6030</v>
      </c>
      <c r="C101" s="178" t="s">
        <v>6115</v>
      </c>
      <c r="D101" s="2" t="s">
        <v>1796</v>
      </c>
      <c r="E101" s="2">
        <v>100</v>
      </c>
      <c r="H101" s="2" t="s">
        <v>5667</v>
      </c>
    </row>
    <row r="102" spans="1:8" ht="15.75" hidden="1" customHeight="1">
      <c r="A102" s="2" t="s">
        <v>6024</v>
      </c>
      <c r="B102" s="2" t="s">
        <v>6030</v>
      </c>
      <c r="C102" s="178" t="s">
        <v>6116</v>
      </c>
      <c r="D102" s="2" t="s">
        <v>484</v>
      </c>
      <c r="F102" s="2">
        <v>10</v>
      </c>
      <c r="G102" s="2">
        <v>0</v>
      </c>
      <c r="H102" s="2" t="s">
        <v>5667</v>
      </c>
    </row>
    <row r="103" spans="1:8" ht="15.75" hidden="1" customHeight="1">
      <c r="A103" s="2" t="s">
        <v>6024</v>
      </c>
      <c r="B103" s="2" t="s">
        <v>6030</v>
      </c>
      <c r="C103" s="178" t="s">
        <v>6117</v>
      </c>
      <c r="D103" s="2" t="s">
        <v>1796</v>
      </c>
      <c r="E103" s="2">
        <v>250</v>
      </c>
      <c r="H103" s="2" t="s">
        <v>5667</v>
      </c>
    </row>
    <row r="104" spans="1:8" ht="15.75" hidden="1" customHeight="1">
      <c r="A104" s="2" t="s">
        <v>6024</v>
      </c>
      <c r="B104" s="2" t="s">
        <v>6032</v>
      </c>
      <c r="C104" s="178" t="s">
        <v>325</v>
      </c>
      <c r="D104" s="2" t="s">
        <v>484</v>
      </c>
      <c r="F104" s="2">
        <v>10</v>
      </c>
      <c r="G104" s="2">
        <v>0</v>
      </c>
      <c r="H104" s="2" t="s">
        <v>5665</v>
      </c>
    </row>
    <row r="105" spans="1:8" ht="15.75" hidden="1" customHeight="1">
      <c r="A105" s="2" t="s">
        <v>6024</v>
      </c>
      <c r="B105" s="2" t="s">
        <v>6032</v>
      </c>
      <c r="C105" s="178" t="s">
        <v>6090</v>
      </c>
      <c r="D105" s="2" t="s">
        <v>6118</v>
      </c>
      <c r="H105" s="2" t="s">
        <v>5665</v>
      </c>
    </row>
    <row r="106" spans="1:8" ht="15.75" hidden="1" customHeight="1">
      <c r="A106" s="2" t="s">
        <v>6024</v>
      </c>
      <c r="B106" s="2" t="s">
        <v>6032</v>
      </c>
      <c r="C106" s="178" t="s">
        <v>6092</v>
      </c>
      <c r="D106" s="2" t="s">
        <v>1796</v>
      </c>
      <c r="E106" s="2">
        <v>50</v>
      </c>
      <c r="H106" s="2" t="s">
        <v>5665</v>
      </c>
    </row>
    <row r="107" spans="1:8" ht="15.75" hidden="1" customHeight="1">
      <c r="A107" s="2" t="s">
        <v>6024</v>
      </c>
      <c r="B107" s="2" t="s">
        <v>6032</v>
      </c>
      <c r="C107" s="178" t="s">
        <v>6093</v>
      </c>
      <c r="D107" s="2" t="s">
        <v>484</v>
      </c>
      <c r="F107" s="2">
        <v>10</v>
      </c>
      <c r="G107" s="2">
        <v>0</v>
      </c>
      <c r="H107" s="2" t="s">
        <v>5665</v>
      </c>
    </row>
    <row r="108" spans="1:8" ht="15.75" hidden="1" customHeight="1">
      <c r="A108" s="2" t="s">
        <v>6024</v>
      </c>
      <c r="B108" s="2" t="s">
        <v>6032</v>
      </c>
      <c r="C108" s="178" t="s">
        <v>6094</v>
      </c>
      <c r="D108" s="2" t="s">
        <v>484</v>
      </c>
      <c r="F108" s="2">
        <v>10</v>
      </c>
      <c r="G108" s="2">
        <v>0</v>
      </c>
      <c r="H108" s="2" t="s">
        <v>5665</v>
      </c>
    </row>
    <row r="109" spans="1:8" ht="15.75" hidden="1" customHeight="1">
      <c r="A109" s="2" t="s">
        <v>6024</v>
      </c>
      <c r="B109" s="2" t="s">
        <v>6032</v>
      </c>
      <c r="C109" s="178" t="s">
        <v>6095</v>
      </c>
      <c r="D109" s="2" t="s">
        <v>1796</v>
      </c>
      <c r="E109" s="2">
        <v>50</v>
      </c>
      <c r="H109" s="2" t="s">
        <v>5667</v>
      </c>
    </row>
    <row r="110" spans="1:8" ht="15.75" hidden="1" customHeight="1">
      <c r="A110" s="2" t="s">
        <v>6024</v>
      </c>
      <c r="B110" s="2" t="s">
        <v>6032</v>
      </c>
      <c r="C110" s="178" t="s">
        <v>4306</v>
      </c>
      <c r="D110" s="2" t="s">
        <v>1796</v>
      </c>
      <c r="E110" s="2">
        <v>250</v>
      </c>
      <c r="H110" s="2" t="s">
        <v>5667</v>
      </c>
    </row>
    <row r="111" spans="1:8" ht="15.75" hidden="1" customHeight="1">
      <c r="A111" s="2" t="s">
        <v>6024</v>
      </c>
      <c r="B111" s="2" t="s">
        <v>6032</v>
      </c>
      <c r="C111" s="178" t="s">
        <v>4246</v>
      </c>
      <c r="D111" s="2" t="s">
        <v>1796</v>
      </c>
      <c r="E111" s="2">
        <v>250</v>
      </c>
      <c r="H111" s="2" t="s">
        <v>5665</v>
      </c>
    </row>
    <row r="112" spans="1:8" ht="15.75" hidden="1" customHeight="1">
      <c r="A112" s="2" t="s">
        <v>6024</v>
      </c>
      <c r="B112" s="2" t="s">
        <v>6032</v>
      </c>
      <c r="C112" s="178" t="s">
        <v>6096</v>
      </c>
      <c r="D112" s="2" t="s">
        <v>484</v>
      </c>
      <c r="F112" s="2">
        <v>10</v>
      </c>
      <c r="G112" s="2">
        <v>0</v>
      </c>
      <c r="H112" s="2" t="s">
        <v>5665</v>
      </c>
    </row>
    <row r="113" spans="1:8" ht="15.75" hidden="1" customHeight="1">
      <c r="A113" s="2" t="s">
        <v>6024</v>
      </c>
      <c r="B113" s="2" t="s">
        <v>6032</v>
      </c>
      <c r="C113" s="178" t="s">
        <v>6149</v>
      </c>
      <c r="D113" s="2" t="s">
        <v>481</v>
      </c>
      <c r="F113" s="2">
        <v>38</v>
      </c>
      <c r="G113" s="2">
        <v>0</v>
      </c>
      <c r="H113" s="2" t="s">
        <v>5667</v>
      </c>
    </row>
    <row r="114" spans="1:8" ht="15.75" hidden="1" customHeight="1">
      <c r="A114" s="2" t="s">
        <v>6024</v>
      </c>
      <c r="B114" s="2" t="s">
        <v>6032</v>
      </c>
      <c r="C114" s="178" t="s">
        <v>6150</v>
      </c>
      <c r="D114" s="2" t="s">
        <v>1796</v>
      </c>
      <c r="E114" s="2">
        <v>100</v>
      </c>
      <c r="H114" s="2" t="s">
        <v>5667</v>
      </c>
    </row>
    <row r="115" spans="1:8" ht="15.75" hidden="1" customHeight="1">
      <c r="A115" s="2" t="s">
        <v>6024</v>
      </c>
      <c r="B115" s="2" t="s">
        <v>6032</v>
      </c>
      <c r="C115" s="178" t="s">
        <v>6151</v>
      </c>
      <c r="D115" s="2" t="s">
        <v>1796</v>
      </c>
      <c r="E115" s="2">
        <v>100</v>
      </c>
      <c r="H115" s="2" t="s">
        <v>5667</v>
      </c>
    </row>
    <row r="116" spans="1:8" ht="15.75" hidden="1" customHeight="1">
      <c r="A116" s="2" t="s">
        <v>6024</v>
      </c>
      <c r="B116" s="2" t="s">
        <v>6032</v>
      </c>
      <c r="C116" s="178" t="s">
        <v>6152</v>
      </c>
      <c r="D116" s="2" t="s">
        <v>1796</v>
      </c>
      <c r="E116" s="2">
        <v>100</v>
      </c>
      <c r="H116" s="2" t="s">
        <v>5667</v>
      </c>
    </row>
    <row r="117" spans="1:8" ht="15.75" hidden="1" customHeight="1">
      <c r="A117" s="2" t="s">
        <v>6024</v>
      </c>
      <c r="B117" s="2" t="s">
        <v>6032</v>
      </c>
      <c r="C117" s="178" t="s">
        <v>6153</v>
      </c>
      <c r="D117" s="2" t="s">
        <v>1796</v>
      </c>
      <c r="E117" s="2">
        <v>1000</v>
      </c>
      <c r="H117" s="2" t="s">
        <v>5667</v>
      </c>
    </row>
    <row r="118" spans="1:8" ht="15.75" hidden="1" customHeight="1">
      <c r="A118" s="2" t="s">
        <v>6024</v>
      </c>
      <c r="B118" s="2" t="s">
        <v>6032</v>
      </c>
      <c r="C118" s="178" t="s">
        <v>6154</v>
      </c>
      <c r="D118" s="2" t="s">
        <v>800</v>
      </c>
      <c r="H118" s="2" t="s">
        <v>5667</v>
      </c>
    </row>
    <row r="119" spans="1:8" ht="15.75" hidden="1" customHeight="1">
      <c r="A119" s="2" t="s">
        <v>6024</v>
      </c>
      <c r="B119" s="2" t="s">
        <v>6032</v>
      </c>
      <c r="C119" s="178" t="s">
        <v>6155</v>
      </c>
      <c r="D119" s="2" t="s">
        <v>800</v>
      </c>
      <c r="H119" s="2" t="s">
        <v>5667</v>
      </c>
    </row>
    <row r="120" spans="1:8" ht="15.75" hidden="1" customHeight="1">
      <c r="A120" s="2" t="s">
        <v>6024</v>
      </c>
      <c r="B120" s="2" t="s">
        <v>6032</v>
      </c>
      <c r="C120" s="178" t="s">
        <v>6156</v>
      </c>
      <c r="D120" s="2" t="s">
        <v>1796</v>
      </c>
      <c r="E120" s="2">
        <v>100</v>
      </c>
      <c r="H120" s="2" t="s">
        <v>5667</v>
      </c>
    </row>
    <row r="121" spans="1:8" ht="15.75" hidden="1" customHeight="1">
      <c r="A121" s="2" t="s">
        <v>6024</v>
      </c>
      <c r="B121" s="2" t="s">
        <v>6032</v>
      </c>
      <c r="C121" s="178" t="s">
        <v>335</v>
      </c>
      <c r="D121" s="2" t="s">
        <v>1796</v>
      </c>
      <c r="E121" s="2">
        <v>20</v>
      </c>
      <c r="H121" s="2" t="s">
        <v>5667</v>
      </c>
    </row>
    <row r="122" spans="1:8" ht="15.75" hidden="1" customHeight="1">
      <c r="A122" s="2" t="s">
        <v>6024</v>
      </c>
      <c r="B122" s="2" t="s">
        <v>6032</v>
      </c>
      <c r="C122" s="178" t="s">
        <v>6157</v>
      </c>
      <c r="D122" s="2" t="s">
        <v>1796</v>
      </c>
      <c r="E122" s="2">
        <v>250</v>
      </c>
      <c r="H122" s="2" t="s">
        <v>5667</v>
      </c>
    </row>
    <row r="123" spans="1:8" ht="15.75" hidden="1" customHeight="1">
      <c r="A123" s="2" t="s">
        <v>6024</v>
      </c>
      <c r="B123" s="2" t="s">
        <v>6032</v>
      </c>
      <c r="C123" s="178" t="s">
        <v>6158</v>
      </c>
      <c r="D123" s="2" t="s">
        <v>1796</v>
      </c>
      <c r="E123" s="2">
        <v>250</v>
      </c>
      <c r="H123" s="2" t="s">
        <v>5667</v>
      </c>
    </row>
    <row r="124" spans="1:8" ht="15.75" hidden="1" customHeight="1">
      <c r="A124" s="2" t="s">
        <v>6024</v>
      </c>
      <c r="B124" s="2" t="s">
        <v>6032</v>
      </c>
      <c r="C124" s="178" t="s">
        <v>6159</v>
      </c>
      <c r="D124" s="2" t="s">
        <v>484</v>
      </c>
      <c r="F124" s="2">
        <v>10</v>
      </c>
      <c r="G124" s="2">
        <v>0</v>
      </c>
      <c r="H124" s="2" t="s">
        <v>5667</v>
      </c>
    </row>
    <row r="125" spans="1:8" ht="15.75" hidden="1" customHeight="1">
      <c r="A125" s="2" t="s">
        <v>6024</v>
      </c>
      <c r="B125" s="2" t="s">
        <v>6032</v>
      </c>
      <c r="C125" s="178" t="s">
        <v>6160</v>
      </c>
      <c r="D125" s="2" t="s">
        <v>1796</v>
      </c>
      <c r="E125" s="2">
        <v>250</v>
      </c>
      <c r="H125" s="2" t="s">
        <v>5667</v>
      </c>
    </row>
    <row r="126" spans="1:8" ht="15.75" hidden="1" customHeight="1">
      <c r="A126" s="2" t="s">
        <v>6024</v>
      </c>
      <c r="B126" s="2" t="s">
        <v>6032</v>
      </c>
      <c r="C126" s="178" t="s">
        <v>6161</v>
      </c>
      <c r="D126" s="2" t="s">
        <v>1796</v>
      </c>
      <c r="E126" s="2">
        <v>250</v>
      </c>
      <c r="H126" s="2" t="s">
        <v>5667</v>
      </c>
    </row>
    <row r="127" spans="1:8" ht="15.75" hidden="1" customHeight="1">
      <c r="A127" s="2" t="s">
        <v>6024</v>
      </c>
      <c r="B127" s="2" t="s">
        <v>6032</v>
      </c>
      <c r="C127" s="178" t="s">
        <v>6162</v>
      </c>
      <c r="D127" s="2" t="s">
        <v>484</v>
      </c>
      <c r="F127" s="2">
        <v>10</v>
      </c>
      <c r="G127" s="2">
        <v>0</v>
      </c>
      <c r="H127" s="2" t="s">
        <v>5667</v>
      </c>
    </row>
    <row r="128" spans="1:8" ht="15.75" hidden="1" customHeight="1">
      <c r="A128" s="2" t="s">
        <v>6024</v>
      </c>
      <c r="B128" s="2" t="s">
        <v>6032</v>
      </c>
      <c r="C128" s="178" t="s">
        <v>6137</v>
      </c>
      <c r="D128" s="2" t="s">
        <v>1796</v>
      </c>
      <c r="E128" s="2">
        <v>20</v>
      </c>
      <c r="H128" s="2" t="s">
        <v>5667</v>
      </c>
    </row>
    <row r="129" spans="1:8" ht="15.75" hidden="1" customHeight="1">
      <c r="A129" s="2" t="s">
        <v>6024</v>
      </c>
      <c r="B129" s="2" t="s">
        <v>6032</v>
      </c>
      <c r="C129" s="178" t="s">
        <v>6163</v>
      </c>
      <c r="D129" s="2" t="s">
        <v>481</v>
      </c>
      <c r="F129" s="2">
        <v>38</v>
      </c>
      <c r="G129" s="2">
        <v>0</v>
      </c>
      <c r="H129" s="2" t="s">
        <v>5667</v>
      </c>
    </row>
    <row r="130" spans="1:8" ht="15.75" hidden="1" customHeight="1">
      <c r="A130" s="2" t="s">
        <v>6024</v>
      </c>
      <c r="B130" s="2" t="s">
        <v>6032</v>
      </c>
      <c r="C130" s="178" t="s">
        <v>6164</v>
      </c>
      <c r="D130" s="2" t="s">
        <v>481</v>
      </c>
      <c r="F130" s="2">
        <v>38</v>
      </c>
      <c r="G130" s="2">
        <v>2</v>
      </c>
      <c r="H130" s="2" t="s">
        <v>5667</v>
      </c>
    </row>
    <row r="131" spans="1:8" ht="15.75" hidden="1" customHeight="1">
      <c r="A131" s="2" t="s">
        <v>6024</v>
      </c>
      <c r="B131" s="2" t="s">
        <v>6032</v>
      </c>
      <c r="C131" s="178" t="s">
        <v>6165</v>
      </c>
      <c r="D131" s="2" t="s">
        <v>1796</v>
      </c>
      <c r="E131" s="2">
        <v>100</v>
      </c>
      <c r="H131" s="2" t="s">
        <v>5667</v>
      </c>
    </row>
    <row r="132" spans="1:8" ht="15.75" hidden="1" customHeight="1">
      <c r="A132" s="2" t="s">
        <v>6024</v>
      </c>
      <c r="B132" s="2" t="s">
        <v>6032</v>
      </c>
      <c r="C132" s="178" t="s">
        <v>6166</v>
      </c>
      <c r="D132" s="2" t="s">
        <v>1796</v>
      </c>
      <c r="E132" s="2">
        <v>100</v>
      </c>
      <c r="H132" s="2" t="s">
        <v>5667</v>
      </c>
    </row>
    <row r="133" spans="1:8" ht="15.75" hidden="1" customHeight="1">
      <c r="A133" s="2" t="s">
        <v>6024</v>
      </c>
      <c r="B133" s="2" t="s">
        <v>6032</v>
      </c>
      <c r="C133" s="178" t="s">
        <v>6167</v>
      </c>
      <c r="D133" s="2" t="s">
        <v>1796</v>
      </c>
      <c r="E133" s="2">
        <v>100</v>
      </c>
      <c r="H133" s="2" t="s">
        <v>5667</v>
      </c>
    </row>
    <row r="134" spans="1:8" ht="15.75" hidden="1" customHeight="1">
      <c r="A134" s="2" t="s">
        <v>6024</v>
      </c>
      <c r="B134" s="2" t="s">
        <v>6032</v>
      </c>
      <c r="C134" s="178" t="s">
        <v>6168</v>
      </c>
      <c r="D134" s="2" t="s">
        <v>1796</v>
      </c>
      <c r="E134" s="2">
        <v>100</v>
      </c>
      <c r="H134" s="2" t="s">
        <v>5667</v>
      </c>
    </row>
    <row r="135" spans="1:8" ht="15.75" hidden="1" customHeight="1">
      <c r="A135" s="2" t="s">
        <v>6024</v>
      </c>
      <c r="B135" s="2" t="s">
        <v>6032</v>
      </c>
      <c r="C135" s="178" t="s">
        <v>6169</v>
      </c>
      <c r="D135" s="2" t="s">
        <v>1796</v>
      </c>
      <c r="E135" s="2">
        <v>3</v>
      </c>
      <c r="H135" s="2" t="s">
        <v>5667</v>
      </c>
    </row>
    <row r="136" spans="1:8" ht="15.75" hidden="1" customHeight="1">
      <c r="A136" s="2" t="s">
        <v>6024</v>
      </c>
      <c r="B136" s="2" t="s">
        <v>6032</v>
      </c>
      <c r="C136" s="178" t="s">
        <v>6170</v>
      </c>
      <c r="D136" s="2" t="s">
        <v>1796</v>
      </c>
      <c r="E136" s="2">
        <v>3</v>
      </c>
      <c r="H136" s="2" t="s">
        <v>5667</v>
      </c>
    </row>
    <row r="137" spans="1:8" ht="15.75" hidden="1" customHeight="1">
      <c r="A137" s="2" t="s">
        <v>6024</v>
      </c>
      <c r="B137" s="2" t="s">
        <v>6032</v>
      </c>
      <c r="C137" s="178" t="s">
        <v>6171</v>
      </c>
      <c r="D137" s="2" t="s">
        <v>1796</v>
      </c>
      <c r="E137" s="2">
        <v>3</v>
      </c>
      <c r="H137" s="2" t="s">
        <v>5667</v>
      </c>
    </row>
    <row r="138" spans="1:8" ht="15.75" hidden="1" customHeight="1">
      <c r="A138" s="2" t="s">
        <v>6024</v>
      </c>
      <c r="B138" s="2" t="s">
        <v>6032</v>
      </c>
      <c r="C138" s="178" t="s">
        <v>6172</v>
      </c>
      <c r="D138" s="2" t="s">
        <v>1796</v>
      </c>
      <c r="E138" s="2">
        <v>3</v>
      </c>
      <c r="H138" s="2" t="s">
        <v>5667</v>
      </c>
    </row>
    <row r="139" spans="1:8" ht="15.75" hidden="1" customHeight="1">
      <c r="A139" s="2" t="s">
        <v>6024</v>
      </c>
      <c r="B139" s="2" t="s">
        <v>6032</v>
      </c>
      <c r="C139" s="178" t="s">
        <v>6173</v>
      </c>
      <c r="D139" s="2" t="s">
        <v>1796</v>
      </c>
      <c r="E139" s="2">
        <v>3</v>
      </c>
      <c r="H139" s="2" t="s">
        <v>5667</v>
      </c>
    </row>
    <row r="140" spans="1:8" ht="15.75" hidden="1" customHeight="1">
      <c r="A140" s="2" t="s">
        <v>6024</v>
      </c>
      <c r="B140" s="2" t="s">
        <v>6032</v>
      </c>
      <c r="C140" s="178" t="s">
        <v>6174</v>
      </c>
      <c r="D140" s="2" t="s">
        <v>1796</v>
      </c>
      <c r="E140" s="2">
        <v>3</v>
      </c>
      <c r="H140" s="2" t="s">
        <v>5667</v>
      </c>
    </row>
    <row r="141" spans="1:8" ht="15.75" hidden="1" customHeight="1">
      <c r="A141" s="2" t="s">
        <v>6024</v>
      </c>
      <c r="B141" s="2" t="s">
        <v>6032</v>
      </c>
      <c r="C141" s="178" t="s">
        <v>6175</v>
      </c>
      <c r="D141" s="2" t="s">
        <v>1796</v>
      </c>
      <c r="E141" s="2">
        <v>3</v>
      </c>
      <c r="H141" s="2" t="s">
        <v>5667</v>
      </c>
    </row>
    <row r="142" spans="1:8" ht="15.75" hidden="1" customHeight="1">
      <c r="A142" s="2" t="s">
        <v>6024</v>
      </c>
      <c r="B142" s="2" t="s">
        <v>6032</v>
      </c>
      <c r="C142" s="178" t="s">
        <v>6176</v>
      </c>
      <c r="D142" s="2" t="s">
        <v>1796</v>
      </c>
      <c r="E142" s="2">
        <v>3</v>
      </c>
      <c r="H142" s="2" t="s">
        <v>5667</v>
      </c>
    </row>
    <row r="143" spans="1:8" ht="15.75" hidden="1" customHeight="1">
      <c r="A143" s="2" t="s">
        <v>6024</v>
      </c>
      <c r="B143" s="2" t="s">
        <v>6032</v>
      </c>
      <c r="C143" s="178" t="s">
        <v>6177</v>
      </c>
      <c r="D143" s="2" t="s">
        <v>1796</v>
      </c>
      <c r="E143" s="2">
        <v>3</v>
      </c>
      <c r="H143" s="2" t="s">
        <v>5667</v>
      </c>
    </row>
    <row r="144" spans="1:8" ht="15.75" hidden="1" customHeight="1">
      <c r="A144" s="2" t="s">
        <v>6024</v>
      </c>
      <c r="B144" s="2" t="s">
        <v>6032</v>
      </c>
      <c r="C144" s="178" t="s">
        <v>6178</v>
      </c>
      <c r="D144" s="2" t="s">
        <v>1796</v>
      </c>
      <c r="E144" s="2">
        <v>3</v>
      </c>
      <c r="H144" s="2" t="s">
        <v>5667</v>
      </c>
    </row>
    <row r="145" spans="1:8" ht="15.75" hidden="1" customHeight="1">
      <c r="A145" s="2" t="s">
        <v>6024</v>
      </c>
      <c r="B145" s="2" t="s">
        <v>6032</v>
      </c>
      <c r="C145" s="178" t="s">
        <v>6179</v>
      </c>
      <c r="D145" s="2" t="s">
        <v>1796</v>
      </c>
      <c r="E145" s="2">
        <v>3</v>
      </c>
      <c r="H145" s="2" t="s">
        <v>5667</v>
      </c>
    </row>
    <row r="146" spans="1:8" ht="15.75" hidden="1" customHeight="1">
      <c r="A146" s="2" t="s">
        <v>6024</v>
      </c>
      <c r="B146" s="2" t="s">
        <v>6032</v>
      </c>
      <c r="C146" s="178" t="s">
        <v>6180</v>
      </c>
      <c r="D146" s="2" t="s">
        <v>1796</v>
      </c>
      <c r="E146" s="2">
        <v>3</v>
      </c>
      <c r="H146" s="2" t="s">
        <v>5667</v>
      </c>
    </row>
    <row r="147" spans="1:8" ht="15.75" hidden="1" customHeight="1">
      <c r="A147" s="2" t="s">
        <v>6024</v>
      </c>
      <c r="B147" s="2" t="s">
        <v>6032</v>
      </c>
      <c r="C147" s="178" t="s">
        <v>6181</v>
      </c>
      <c r="D147" s="2" t="s">
        <v>1796</v>
      </c>
      <c r="E147" s="2">
        <v>3</v>
      </c>
      <c r="H147" s="2" t="s">
        <v>5667</v>
      </c>
    </row>
    <row r="148" spans="1:8" ht="15.75" hidden="1" customHeight="1">
      <c r="A148" s="2" t="s">
        <v>6024</v>
      </c>
      <c r="B148" s="2" t="s">
        <v>6032</v>
      </c>
      <c r="C148" s="178" t="s">
        <v>6182</v>
      </c>
      <c r="D148" s="2" t="s">
        <v>1796</v>
      </c>
      <c r="E148" s="2">
        <v>3</v>
      </c>
      <c r="H148" s="2" t="s">
        <v>5667</v>
      </c>
    </row>
    <row r="149" spans="1:8" ht="15.75" hidden="1" customHeight="1">
      <c r="A149" s="2" t="s">
        <v>6024</v>
      </c>
      <c r="B149" s="2" t="s">
        <v>6032</v>
      </c>
      <c r="C149" s="178" t="s">
        <v>6112</v>
      </c>
      <c r="D149" s="2" t="s">
        <v>800</v>
      </c>
      <c r="H149" s="2" t="s">
        <v>5665</v>
      </c>
    </row>
    <row r="150" spans="1:8" ht="15.75" hidden="1" customHeight="1">
      <c r="A150" s="2" t="s">
        <v>6024</v>
      </c>
      <c r="B150" s="2" t="s">
        <v>6032</v>
      </c>
      <c r="C150" s="178" t="s">
        <v>6113</v>
      </c>
      <c r="D150" s="2" t="s">
        <v>1796</v>
      </c>
      <c r="E150" s="2">
        <v>100</v>
      </c>
      <c r="H150" s="2" t="s">
        <v>5667</v>
      </c>
    </row>
    <row r="151" spans="1:8" ht="15.75" hidden="1" customHeight="1">
      <c r="A151" s="2" t="s">
        <v>6024</v>
      </c>
      <c r="B151" s="2" t="s">
        <v>6032</v>
      </c>
      <c r="C151" s="178" t="s">
        <v>6114</v>
      </c>
      <c r="D151" s="2" t="s">
        <v>484</v>
      </c>
      <c r="F151" s="2">
        <v>10</v>
      </c>
      <c r="G151" s="2">
        <v>0</v>
      </c>
      <c r="H151" s="2" t="s">
        <v>5667</v>
      </c>
    </row>
    <row r="152" spans="1:8" ht="15.75" hidden="1" customHeight="1">
      <c r="A152" s="2" t="s">
        <v>6024</v>
      </c>
      <c r="B152" s="2" t="s">
        <v>6032</v>
      </c>
      <c r="C152" s="178" t="s">
        <v>6027</v>
      </c>
      <c r="D152" s="2" t="s">
        <v>800</v>
      </c>
      <c r="H152" s="2" t="s">
        <v>5665</v>
      </c>
    </row>
    <row r="153" spans="1:8" ht="15.75" hidden="1" customHeight="1">
      <c r="A153" s="2" t="s">
        <v>6024</v>
      </c>
      <c r="B153" s="2" t="s">
        <v>6032</v>
      </c>
      <c r="C153" s="178" t="s">
        <v>6115</v>
      </c>
      <c r="D153" s="2" t="s">
        <v>1796</v>
      </c>
      <c r="E153" s="2">
        <v>100</v>
      </c>
      <c r="H153" s="2" t="s">
        <v>5667</v>
      </c>
    </row>
    <row r="154" spans="1:8" ht="15.75" hidden="1" customHeight="1">
      <c r="A154" s="2" t="s">
        <v>6024</v>
      </c>
      <c r="B154" s="2" t="s">
        <v>6032</v>
      </c>
      <c r="C154" s="178" t="s">
        <v>6116</v>
      </c>
      <c r="D154" s="2" t="s">
        <v>484</v>
      </c>
      <c r="F154" s="2">
        <v>10</v>
      </c>
      <c r="G154" s="2">
        <v>0</v>
      </c>
      <c r="H154" s="2" t="s">
        <v>5667</v>
      </c>
    </row>
    <row r="155" spans="1:8" ht="15.75" hidden="1" customHeight="1">
      <c r="A155" s="2" t="s">
        <v>6024</v>
      </c>
      <c r="B155" s="2" t="s">
        <v>6032</v>
      </c>
      <c r="C155" s="178" t="s">
        <v>6117</v>
      </c>
      <c r="D155" s="2" t="s">
        <v>1796</v>
      </c>
      <c r="E155" s="2">
        <v>250</v>
      </c>
      <c r="H155" s="2" t="s">
        <v>5667</v>
      </c>
    </row>
    <row r="156" spans="1:8" ht="15.75" hidden="1" customHeight="1">
      <c r="A156" s="2" t="s">
        <v>6024</v>
      </c>
      <c r="B156" s="2" t="s">
        <v>87</v>
      </c>
      <c r="C156" s="2" t="s">
        <v>325</v>
      </c>
      <c r="D156" s="2" t="s">
        <v>484</v>
      </c>
      <c r="F156" s="2">
        <v>10</v>
      </c>
      <c r="G156" s="2">
        <v>0</v>
      </c>
      <c r="H156" s="2" t="s">
        <v>5665</v>
      </c>
    </row>
    <row r="157" spans="1:8" ht="15.75" hidden="1" customHeight="1">
      <c r="A157" s="2" t="s">
        <v>6024</v>
      </c>
      <c r="B157" s="2" t="s">
        <v>87</v>
      </c>
      <c r="C157" s="2" t="s">
        <v>6090</v>
      </c>
      <c r="D157" s="2" t="s">
        <v>6118</v>
      </c>
      <c r="H157" s="2" t="s">
        <v>5665</v>
      </c>
    </row>
    <row r="158" spans="1:8" ht="15.75" hidden="1" customHeight="1">
      <c r="A158" s="2" t="s">
        <v>6024</v>
      </c>
      <c r="B158" s="2" t="s">
        <v>87</v>
      </c>
      <c r="C158" s="2" t="s">
        <v>6092</v>
      </c>
      <c r="D158" s="2" t="s">
        <v>1796</v>
      </c>
      <c r="E158" s="2">
        <v>50</v>
      </c>
      <c r="H158" s="2" t="s">
        <v>5665</v>
      </c>
    </row>
    <row r="159" spans="1:8" ht="15.75" hidden="1" customHeight="1">
      <c r="A159" s="2" t="s">
        <v>6024</v>
      </c>
      <c r="B159" s="2" t="s">
        <v>87</v>
      </c>
      <c r="C159" s="2" t="s">
        <v>6093</v>
      </c>
      <c r="D159" s="2" t="s">
        <v>484</v>
      </c>
      <c r="F159" s="2">
        <v>10</v>
      </c>
      <c r="G159" s="2">
        <v>0</v>
      </c>
      <c r="H159" s="2" t="s">
        <v>5665</v>
      </c>
    </row>
    <row r="160" spans="1:8" ht="15.75" hidden="1" customHeight="1">
      <c r="A160" s="2" t="s">
        <v>6024</v>
      </c>
      <c r="B160" s="2" t="s">
        <v>87</v>
      </c>
      <c r="C160" s="2" t="s">
        <v>6094</v>
      </c>
      <c r="D160" s="2" t="s">
        <v>484</v>
      </c>
      <c r="F160" s="2">
        <v>10</v>
      </c>
      <c r="G160" s="2">
        <v>0</v>
      </c>
      <c r="H160" s="2" t="s">
        <v>5665</v>
      </c>
    </row>
    <row r="161" spans="1:8" ht="15.75" hidden="1" customHeight="1">
      <c r="A161" s="2" t="s">
        <v>6024</v>
      </c>
      <c r="B161" s="2" t="s">
        <v>87</v>
      </c>
      <c r="C161" s="2" t="s">
        <v>6095</v>
      </c>
      <c r="D161" s="2" t="s">
        <v>1796</v>
      </c>
      <c r="E161" s="2">
        <v>50</v>
      </c>
      <c r="H161" s="2" t="s">
        <v>5667</v>
      </c>
    </row>
    <row r="162" spans="1:8" ht="15.75" hidden="1" customHeight="1">
      <c r="A162" s="2" t="s">
        <v>6024</v>
      </c>
      <c r="B162" s="2" t="s">
        <v>87</v>
      </c>
      <c r="C162" s="2" t="s">
        <v>4306</v>
      </c>
      <c r="D162" s="2" t="s">
        <v>1796</v>
      </c>
      <c r="E162" s="2">
        <v>250</v>
      </c>
      <c r="H162" s="2" t="s">
        <v>5667</v>
      </c>
    </row>
    <row r="163" spans="1:8" ht="15.75" hidden="1" customHeight="1">
      <c r="A163" s="2" t="s">
        <v>6024</v>
      </c>
      <c r="B163" s="2" t="s">
        <v>87</v>
      </c>
      <c r="C163" s="2" t="s">
        <v>4246</v>
      </c>
      <c r="D163" s="2" t="s">
        <v>1796</v>
      </c>
      <c r="E163" s="2">
        <v>250</v>
      </c>
      <c r="H163" s="2" t="s">
        <v>5665</v>
      </c>
    </row>
    <row r="164" spans="1:8" ht="15.75" hidden="1" customHeight="1">
      <c r="A164" s="2" t="s">
        <v>6024</v>
      </c>
      <c r="B164" s="2" t="s">
        <v>87</v>
      </c>
      <c r="C164" s="2" t="s">
        <v>6096</v>
      </c>
      <c r="D164" s="2" t="s">
        <v>484</v>
      </c>
      <c r="F164" s="2">
        <v>10</v>
      </c>
      <c r="G164" s="2">
        <v>0</v>
      </c>
      <c r="H164" s="2" t="s">
        <v>5665</v>
      </c>
    </row>
    <row r="165" spans="1:8" ht="15.75" hidden="1" customHeight="1">
      <c r="A165" s="2" t="s">
        <v>6024</v>
      </c>
      <c r="B165" s="2" t="s">
        <v>87</v>
      </c>
      <c r="C165" s="2" t="s">
        <v>257</v>
      </c>
      <c r="D165" s="2" t="s">
        <v>1796</v>
      </c>
      <c r="E165" s="2">
        <v>10</v>
      </c>
      <c r="H165" s="2" t="s">
        <v>5667</v>
      </c>
    </row>
    <row r="166" spans="1:8" ht="15.75" hidden="1" customHeight="1">
      <c r="A166" s="2" t="s">
        <v>6024</v>
      </c>
      <c r="B166" s="2" t="s">
        <v>87</v>
      </c>
      <c r="C166" s="2" t="s">
        <v>6183</v>
      </c>
      <c r="D166" s="2" t="s">
        <v>481</v>
      </c>
      <c r="F166" s="2">
        <v>38</v>
      </c>
      <c r="G166" s="2">
        <v>0</v>
      </c>
      <c r="H166" s="2" t="s">
        <v>5667</v>
      </c>
    </row>
    <row r="167" spans="1:8" ht="15.75" hidden="1" customHeight="1">
      <c r="A167" s="2" t="s">
        <v>6024</v>
      </c>
      <c r="B167" s="2" t="s">
        <v>87</v>
      </c>
      <c r="C167" s="2" t="s">
        <v>6184</v>
      </c>
      <c r="D167" s="2" t="s">
        <v>481</v>
      </c>
      <c r="F167" s="2">
        <v>38</v>
      </c>
      <c r="G167" s="2">
        <v>0</v>
      </c>
      <c r="H167" s="2" t="s">
        <v>5667</v>
      </c>
    </row>
    <row r="168" spans="1:8" ht="15.75" hidden="1" customHeight="1">
      <c r="A168" s="2" t="s">
        <v>6024</v>
      </c>
      <c r="B168" s="2" t="s">
        <v>87</v>
      </c>
      <c r="C168" s="2" t="s">
        <v>6185</v>
      </c>
      <c r="D168" s="2" t="s">
        <v>481</v>
      </c>
      <c r="F168" s="2">
        <v>38</v>
      </c>
      <c r="G168" s="2">
        <v>2</v>
      </c>
      <c r="H168" s="2" t="s">
        <v>5667</v>
      </c>
    </row>
    <row r="169" spans="1:8" ht="15.75" hidden="1" customHeight="1">
      <c r="A169" s="2" t="s">
        <v>6024</v>
      </c>
      <c r="B169" s="2" t="s">
        <v>87</v>
      </c>
      <c r="C169" s="2" t="s">
        <v>6112</v>
      </c>
      <c r="D169" s="2" t="s">
        <v>800</v>
      </c>
      <c r="H169" s="2" t="s">
        <v>5665</v>
      </c>
    </row>
    <row r="170" spans="1:8" ht="15.75" hidden="1" customHeight="1">
      <c r="A170" s="2" t="s">
        <v>6024</v>
      </c>
      <c r="B170" s="2" t="s">
        <v>87</v>
      </c>
      <c r="C170" s="2" t="s">
        <v>6113</v>
      </c>
      <c r="D170" s="2" t="s">
        <v>1796</v>
      </c>
      <c r="E170" s="2">
        <v>100</v>
      </c>
      <c r="H170" s="2" t="s">
        <v>5667</v>
      </c>
    </row>
    <row r="171" spans="1:8" ht="15.75" hidden="1" customHeight="1">
      <c r="A171" s="2" t="s">
        <v>6024</v>
      </c>
      <c r="B171" s="2" t="s">
        <v>87</v>
      </c>
      <c r="C171" s="2" t="s">
        <v>6114</v>
      </c>
      <c r="D171" s="2" t="s">
        <v>484</v>
      </c>
      <c r="F171" s="2">
        <v>10</v>
      </c>
      <c r="G171" s="2">
        <v>0</v>
      </c>
      <c r="H171" s="2" t="s">
        <v>5667</v>
      </c>
    </row>
    <row r="172" spans="1:8" ht="15.75" hidden="1" customHeight="1">
      <c r="A172" s="2" t="s">
        <v>6024</v>
      </c>
      <c r="B172" s="2" t="s">
        <v>87</v>
      </c>
      <c r="C172" s="2" t="s">
        <v>6027</v>
      </c>
      <c r="D172" s="2" t="s">
        <v>800</v>
      </c>
      <c r="H172" s="2" t="s">
        <v>5665</v>
      </c>
    </row>
    <row r="173" spans="1:8" ht="15.75" hidden="1" customHeight="1">
      <c r="A173" s="2" t="s">
        <v>6024</v>
      </c>
      <c r="B173" s="2" t="s">
        <v>87</v>
      </c>
      <c r="C173" s="2" t="s">
        <v>6115</v>
      </c>
      <c r="D173" s="2" t="s">
        <v>1796</v>
      </c>
      <c r="E173" s="2">
        <v>100</v>
      </c>
      <c r="H173" s="2" t="s">
        <v>5667</v>
      </c>
    </row>
    <row r="174" spans="1:8" ht="15.75" hidden="1" customHeight="1">
      <c r="A174" s="2" t="s">
        <v>6024</v>
      </c>
      <c r="B174" s="2" t="s">
        <v>87</v>
      </c>
      <c r="C174" s="2" t="s">
        <v>6116</v>
      </c>
      <c r="D174" s="2" t="s">
        <v>484</v>
      </c>
      <c r="F174" s="2">
        <v>10</v>
      </c>
      <c r="G174" s="2">
        <v>0</v>
      </c>
      <c r="H174" s="2" t="s">
        <v>5667</v>
      </c>
    </row>
    <row r="175" spans="1:8" ht="15.75" hidden="1" customHeight="1">
      <c r="A175" s="2" t="s">
        <v>6024</v>
      </c>
      <c r="B175" s="2" t="s">
        <v>87</v>
      </c>
      <c r="C175" s="2" t="s">
        <v>6117</v>
      </c>
      <c r="D175" s="2" t="s">
        <v>1796</v>
      </c>
      <c r="E175" s="2">
        <v>250</v>
      </c>
      <c r="H175" s="2" t="s">
        <v>5667</v>
      </c>
    </row>
    <row r="176" spans="1:8" ht="15.75" hidden="1" customHeight="1">
      <c r="A176" s="2" t="s">
        <v>6024</v>
      </c>
      <c r="B176" s="2" t="s">
        <v>6033</v>
      </c>
      <c r="C176" s="2" t="s">
        <v>325</v>
      </c>
      <c r="D176" s="2" t="s">
        <v>484</v>
      </c>
      <c r="F176" s="2">
        <v>10</v>
      </c>
      <c r="G176" s="2">
        <v>0</v>
      </c>
      <c r="H176" s="2" t="s">
        <v>5665</v>
      </c>
    </row>
    <row r="177" spans="1:8" ht="15.75" hidden="1" customHeight="1">
      <c r="A177" s="2" t="s">
        <v>6024</v>
      </c>
      <c r="B177" s="2" t="s">
        <v>6033</v>
      </c>
      <c r="C177" s="2" t="s">
        <v>6090</v>
      </c>
      <c r="D177" s="2" t="s">
        <v>6118</v>
      </c>
      <c r="H177" s="2" t="s">
        <v>5665</v>
      </c>
    </row>
    <row r="178" spans="1:8" ht="15.75" hidden="1" customHeight="1">
      <c r="A178" s="2" t="s">
        <v>6024</v>
      </c>
      <c r="B178" s="2" t="s">
        <v>6033</v>
      </c>
      <c r="C178" s="2" t="s">
        <v>6092</v>
      </c>
      <c r="D178" s="2" t="s">
        <v>1796</v>
      </c>
      <c r="E178" s="2">
        <v>50</v>
      </c>
      <c r="H178" s="2" t="s">
        <v>5665</v>
      </c>
    </row>
    <row r="179" spans="1:8" ht="15.75" hidden="1" customHeight="1">
      <c r="A179" s="2" t="s">
        <v>6024</v>
      </c>
      <c r="B179" s="2" t="s">
        <v>6033</v>
      </c>
      <c r="C179" s="2" t="s">
        <v>6093</v>
      </c>
      <c r="D179" s="2" t="s">
        <v>484</v>
      </c>
      <c r="F179" s="2">
        <v>10</v>
      </c>
      <c r="G179" s="2">
        <v>0</v>
      </c>
      <c r="H179" s="2" t="s">
        <v>5665</v>
      </c>
    </row>
    <row r="180" spans="1:8" ht="15.75" hidden="1" customHeight="1">
      <c r="A180" s="2" t="s">
        <v>6024</v>
      </c>
      <c r="B180" s="2" t="s">
        <v>6033</v>
      </c>
      <c r="C180" s="2" t="s">
        <v>6094</v>
      </c>
      <c r="D180" s="2" t="s">
        <v>484</v>
      </c>
      <c r="F180" s="2">
        <v>10</v>
      </c>
      <c r="G180" s="2">
        <v>0</v>
      </c>
      <c r="H180" s="2" t="s">
        <v>5665</v>
      </c>
    </row>
    <row r="181" spans="1:8" ht="15.75" hidden="1" customHeight="1">
      <c r="A181" s="2" t="s">
        <v>6024</v>
      </c>
      <c r="B181" s="2" t="s">
        <v>6033</v>
      </c>
      <c r="C181" s="2" t="s">
        <v>6095</v>
      </c>
      <c r="D181" s="2" t="s">
        <v>1796</v>
      </c>
      <c r="E181" s="2">
        <v>50</v>
      </c>
      <c r="H181" s="2" t="s">
        <v>5667</v>
      </c>
    </row>
    <row r="182" spans="1:8" ht="15.75" hidden="1" customHeight="1">
      <c r="A182" s="2" t="s">
        <v>6024</v>
      </c>
      <c r="B182" s="2" t="s">
        <v>6033</v>
      </c>
      <c r="C182" s="2" t="s">
        <v>4306</v>
      </c>
      <c r="D182" s="2" t="s">
        <v>1796</v>
      </c>
      <c r="E182" s="2">
        <v>250</v>
      </c>
      <c r="H182" s="2" t="s">
        <v>5667</v>
      </c>
    </row>
    <row r="183" spans="1:8" ht="15.75" hidden="1" customHeight="1">
      <c r="A183" s="2" t="s">
        <v>6024</v>
      </c>
      <c r="B183" s="2" t="s">
        <v>6033</v>
      </c>
      <c r="C183" s="2" t="s">
        <v>4246</v>
      </c>
      <c r="D183" s="2" t="s">
        <v>1796</v>
      </c>
      <c r="E183" s="2">
        <v>250</v>
      </c>
      <c r="H183" s="2" t="s">
        <v>5665</v>
      </c>
    </row>
    <row r="184" spans="1:8" ht="15.75" hidden="1" customHeight="1">
      <c r="A184" s="2" t="s">
        <v>6024</v>
      </c>
      <c r="B184" s="2" t="s">
        <v>6033</v>
      </c>
      <c r="C184" s="2" t="s">
        <v>6096</v>
      </c>
      <c r="D184" s="2" t="s">
        <v>484</v>
      </c>
      <c r="F184" s="2">
        <v>10</v>
      </c>
      <c r="G184" s="2">
        <v>0</v>
      </c>
      <c r="H184" s="2" t="s">
        <v>5665</v>
      </c>
    </row>
    <row r="185" spans="1:8" ht="15.75" hidden="1" customHeight="1">
      <c r="A185" s="2" t="s">
        <v>6024</v>
      </c>
      <c r="B185" s="2" t="s">
        <v>6033</v>
      </c>
      <c r="C185" s="2" t="s">
        <v>6186</v>
      </c>
      <c r="D185" s="2" t="s">
        <v>1796</v>
      </c>
      <c r="E185" s="2">
        <v>100</v>
      </c>
      <c r="H185" s="2" t="s">
        <v>5667</v>
      </c>
    </row>
    <row r="186" spans="1:8" ht="15.75" hidden="1" customHeight="1">
      <c r="A186" s="2" t="s">
        <v>6024</v>
      </c>
      <c r="B186" s="2" t="s">
        <v>6033</v>
      </c>
      <c r="C186" s="2" t="s">
        <v>6187</v>
      </c>
      <c r="D186" s="2" t="s">
        <v>1796</v>
      </c>
      <c r="E186" s="2">
        <v>100</v>
      </c>
      <c r="H186" s="2" t="s">
        <v>5667</v>
      </c>
    </row>
    <row r="187" spans="1:8" ht="15.75" hidden="1" customHeight="1">
      <c r="A187" s="2" t="s">
        <v>6024</v>
      </c>
      <c r="B187" s="2" t="s">
        <v>6033</v>
      </c>
      <c r="C187" s="2" t="s">
        <v>6188</v>
      </c>
      <c r="D187" s="2" t="s">
        <v>1796</v>
      </c>
      <c r="E187" s="2">
        <v>100</v>
      </c>
      <c r="H187" s="2" t="s">
        <v>5667</v>
      </c>
    </row>
    <row r="188" spans="1:8" ht="15.75" hidden="1" customHeight="1">
      <c r="A188" s="2" t="s">
        <v>6024</v>
      </c>
      <c r="B188" s="2" t="s">
        <v>6033</v>
      </c>
      <c r="C188" s="2" t="s">
        <v>6189</v>
      </c>
      <c r="D188" s="2" t="s">
        <v>1796</v>
      </c>
      <c r="E188" s="2">
        <v>100</v>
      </c>
      <c r="H188" s="2" t="s">
        <v>5667</v>
      </c>
    </row>
    <row r="189" spans="1:8" ht="15.75" hidden="1" customHeight="1">
      <c r="A189" s="2" t="s">
        <v>6024</v>
      </c>
      <c r="B189" s="2" t="s">
        <v>6033</v>
      </c>
      <c r="C189" s="2" t="s">
        <v>1592</v>
      </c>
      <c r="D189" s="2" t="s">
        <v>1796</v>
      </c>
      <c r="E189" s="2">
        <v>100</v>
      </c>
      <c r="H189" s="2" t="s">
        <v>5667</v>
      </c>
    </row>
    <row r="190" spans="1:8" ht="15.75" hidden="1" customHeight="1">
      <c r="A190" s="2" t="s">
        <v>6024</v>
      </c>
      <c r="B190" s="2" t="s">
        <v>6033</v>
      </c>
      <c r="C190" s="2" t="s">
        <v>6190</v>
      </c>
      <c r="D190" s="2" t="s">
        <v>1796</v>
      </c>
      <c r="E190" s="2">
        <v>100</v>
      </c>
      <c r="H190" s="2" t="s">
        <v>5667</v>
      </c>
    </row>
    <row r="191" spans="1:8" ht="15.75" hidden="1" customHeight="1">
      <c r="A191" s="2" t="s">
        <v>6024</v>
      </c>
      <c r="B191" s="2" t="s">
        <v>6033</v>
      </c>
      <c r="C191" s="2" t="s">
        <v>1594</v>
      </c>
      <c r="D191" s="2" t="s">
        <v>1796</v>
      </c>
      <c r="E191" s="2">
        <v>100</v>
      </c>
      <c r="H191" s="2" t="s">
        <v>5667</v>
      </c>
    </row>
    <row r="192" spans="1:8" ht="15.75" hidden="1" customHeight="1">
      <c r="A192" s="2" t="s">
        <v>6024</v>
      </c>
      <c r="B192" s="2" t="s">
        <v>6033</v>
      </c>
      <c r="C192" s="2" t="s">
        <v>1588</v>
      </c>
      <c r="D192" s="2" t="s">
        <v>1796</v>
      </c>
      <c r="E192" s="2">
        <v>100</v>
      </c>
      <c r="H192" s="2" t="s">
        <v>5667</v>
      </c>
    </row>
    <row r="193" spans="1:8" ht="15.75" hidden="1" customHeight="1">
      <c r="A193" s="2" t="s">
        <v>6024</v>
      </c>
      <c r="B193" s="2" t="s">
        <v>6033</v>
      </c>
      <c r="C193" s="2" t="s">
        <v>164</v>
      </c>
      <c r="D193" s="2" t="s">
        <v>1796</v>
      </c>
      <c r="E193" s="2">
        <v>100</v>
      </c>
      <c r="H193" s="2" t="s">
        <v>5667</v>
      </c>
    </row>
    <row r="194" spans="1:8" ht="15.75" hidden="1" customHeight="1">
      <c r="A194" s="2" t="s">
        <v>6024</v>
      </c>
      <c r="B194" s="2" t="s">
        <v>6033</v>
      </c>
      <c r="C194" s="2" t="s">
        <v>6191</v>
      </c>
      <c r="D194" s="2" t="s">
        <v>481</v>
      </c>
      <c r="F194" s="2">
        <v>38</v>
      </c>
      <c r="G194" s="2">
        <v>0</v>
      </c>
      <c r="H194" s="2" t="s">
        <v>5667</v>
      </c>
    </row>
    <row r="195" spans="1:8" ht="15.75" hidden="1" customHeight="1">
      <c r="A195" s="2" t="s">
        <v>6024</v>
      </c>
      <c r="B195" s="2" t="s">
        <v>6033</v>
      </c>
      <c r="C195" s="2" t="s">
        <v>6192</v>
      </c>
      <c r="D195" s="2" t="s">
        <v>1796</v>
      </c>
      <c r="E195" s="2">
        <v>100</v>
      </c>
      <c r="H195" s="2" t="s">
        <v>5667</v>
      </c>
    </row>
    <row r="196" spans="1:8" ht="15.75" hidden="1" customHeight="1">
      <c r="A196" s="2" t="s">
        <v>6024</v>
      </c>
      <c r="B196" s="2" t="s">
        <v>6033</v>
      </c>
      <c r="C196" s="2" t="s">
        <v>6193</v>
      </c>
      <c r="D196" s="2" t="s">
        <v>1796</v>
      </c>
      <c r="E196" s="2">
        <v>100</v>
      </c>
      <c r="H196" s="2" t="s">
        <v>5667</v>
      </c>
    </row>
    <row r="197" spans="1:8" ht="15.75" hidden="1" customHeight="1">
      <c r="A197" s="2" t="s">
        <v>6024</v>
      </c>
      <c r="B197" s="2" t="s">
        <v>6033</v>
      </c>
      <c r="C197" s="2" t="s">
        <v>6194</v>
      </c>
      <c r="D197" s="2" t="s">
        <v>1796</v>
      </c>
      <c r="E197" s="2">
        <v>100</v>
      </c>
      <c r="H197" s="2" t="s">
        <v>5667</v>
      </c>
    </row>
    <row r="198" spans="1:8" ht="15.75" hidden="1" customHeight="1">
      <c r="A198" s="2" t="s">
        <v>6024</v>
      </c>
      <c r="B198" s="2" t="s">
        <v>6033</v>
      </c>
      <c r="C198" s="2" t="s">
        <v>6195</v>
      </c>
      <c r="D198" s="2" t="s">
        <v>1796</v>
      </c>
      <c r="E198" s="2">
        <v>100</v>
      </c>
      <c r="H198" s="2" t="s">
        <v>5667</v>
      </c>
    </row>
    <row r="199" spans="1:8" ht="15.75" hidden="1" customHeight="1">
      <c r="A199" s="2" t="s">
        <v>6024</v>
      </c>
      <c r="B199" s="2" t="s">
        <v>6033</v>
      </c>
      <c r="C199" s="2" t="s">
        <v>6196</v>
      </c>
      <c r="D199" s="2" t="s">
        <v>1796</v>
      </c>
      <c r="E199" s="2">
        <v>100</v>
      </c>
      <c r="H199" s="2" t="s">
        <v>5667</v>
      </c>
    </row>
    <row r="200" spans="1:8" ht="15.75" hidden="1" customHeight="1">
      <c r="A200" s="2" t="s">
        <v>6024</v>
      </c>
      <c r="B200" s="2" t="s">
        <v>6033</v>
      </c>
      <c r="C200" s="2" t="s">
        <v>6197</v>
      </c>
      <c r="D200" s="2" t="s">
        <v>1796</v>
      </c>
      <c r="E200" s="2">
        <v>100</v>
      </c>
      <c r="H200" s="2" t="s">
        <v>5667</v>
      </c>
    </row>
    <row r="201" spans="1:8" ht="15.75" hidden="1" customHeight="1">
      <c r="A201" s="2" t="s">
        <v>6024</v>
      </c>
      <c r="B201" s="2" t="s">
        <v>6033</v>
      </c>
      <c r="C201" s="2" t="s">
        <v>6198</v>
      </c>
      <c r="D201" s="2" t="s">
        <v>1796</v>
      </c>
      <c r="E201" s="2">
        <v>100</v>
      </c>
      <c r="H201" s="2" t="s">
        <v>5667</v>
      </c>
    </row>
    <row r="202" spans="1:8" ht="15.75" hidden="1" customHeight="1">
      <c r="A202" s="2" t="s">
        <v>6024</v>
      </c>
      <c r="B202" s="2" t="s">
        <v>6033</v>
      </c>
      <c r="C202" s="2" t="s">
        <v>6199</v>
      </c>
      <c r="D202" s="2" t="s">
        <v>1796</v>
      </c>
      <c r="E202" s="2">
        <v>100</v>
      </c>
      <c r="H202" s="2" t="s">
        <v>5667</v>
      </c>
    </row>
    <row r="203" spans="1:8" ht="15.75" hidden="1" customHeight="1">
      <c r="A203" s="2" t="s">
        <v>6024</v>
      </c>
      <c r="B203" s="2" t="s">
        <v>6033</v>
      </c>
      <c r="C203" s="2" t="s">
        <v>6112</v>
      </c>
      <c r="D203" s="2" t="s">
        <v>800</v>
      </c>
      <c r="H203" s="2" t="s">
        <v>5665</v>
      </c>
    </row>
    <row r="204" spans="1:8" ht="15.75" hidden="1" customHeight="1">
      <c r="A204" s="2" t="s">
        <v>6024</v>
      </c>
      <c r="B204" s="2" t="s">
        <v>6033</v>
      </c>
      <c r="C204" s="2" t="s">
        <v>6113</v>
      </c>
      <c r="D204" s="2" t="s">
        <v>1796</v>
      </c>
      <c r="E204" s="2">
        <v>100</v>
      </c>
      <c r="H204" s="2" t="s">
        <v>5667</v>
      </c>
    </row>
    <row r="205" spans="1:8" ht="15.75" hidden="1" customHeight="1">
      <c r="A205" s="2" t="s">
        <v>6024</v>
      </c>
      <c r="B205" s="2" t="s">
        <v>6033</v>
      </c>
      <c r="C205" s="2" t="s">
        <v>6114</v>
      </c>
      <c r="D205" s="2" t="s">
        <v>484</v>
      </c>
      <c r="F205" s="2">
        <v>10</v>
      </c>
      <c r="G205" s="2">
        <v>0</v>
      </c>
      <c r="H205" s="2" t="s">
        <v>5667</v>
      </c>
    </row>
    <row r="206" spans="1:8" ht="15.75" hidden="1" customHeight="1">
      <c r="A206" s="2" t="s">
        <v>6024</v>
      </c>
      <c r="B206" s="2" t="s">
        <v>6033</v>
      </c>
      <c r="C206" s="2" t="s">
        <v>6027</v>
      </c>
      <c r="D206" s="2" t="s">
        <v>800</v>
      </c>
      <c r="H206" s="2" t="s">
        <v>5665</v>
      </c>
    </row>
    <row r="207" spans="1:8" ht="15.75" hidden="1" customHeight="1">
      <c r="A207" s="2" t="s">
        <v>6024</v>
      </c>
      <c r="B207" s="2" t="s">
        <v>6033</v>
      </c>
      <c r="C207" s="2" t="s">
        <v>6115</v>
      </c>
      <c r="D207" s="2" t="s">
        <v>1796</v>
      </c>
      <c r="E207" s="2">
        <v>100</v>
      </c>
      <c r="H207" s="2" t="s">
        <v>5667</v>
      </c>
    </row>
    <row r="208" spans="1:8" ht="15.75" hidden="1" customHeight="1">
      <c r="A208" s="2" t="s">
        <v>6024</v>
      </c>
      <c r="B208" s="2" t="s">
        <v>6033</v>
      </c>
      <c r="C208" s="2" t="s">
        <v>6116</v>
      </c>
      <c r="D208" s="2" t="s">
        <v>484</v>
      </c>
      <c r="F208" s="2">
        <v>10</v>
      </c>
      <c r="G208" s="2">
        <v>0</v>
      </c>
      <c r="H208" s="2" t="s">
        <v>5667</v>
      </c>
    </row>
    <row r="209" spans="1:10" ht="15.75" hidden="1" customHeight="1">
      <c r="A209" s="2" t="s">
        <v>6024</v>
      </c>
      <c r="B209" s="2" t="s">
        <v>6033</v>
      </c>
      <c r="C209" s="2" t="s">
        <v>6117</v>
      </c>
      <c r="D209" s="2" t="s">
        <v>1796</v>
      </c>
      <c r="E209" s="2">
        <v>250</v>
      </c>
      <c r="H209" s="2" t="s">
        <v>5667</v>
      </c>
    </row>
    <row r="210" spans="1:10" ht="15.75" hidden="1" customHeight="1">
      <c r="A210" s="2" t="s">
        <v>6024</v>
      </c>
      <c r="B210" s="178" t="s">
        <v>6034</v>
      </c>
      <c r="C210" s="178" t="s">
        <v>325</v>
      </c>
      <c r="D210" s="236" t="s">
        <v>484</v>
      </c>
      <c r="E210" s="2">
        <v>100</v>
      </c>
      <c r="H210" s="2" t="s">
        <v>5667</v>
      </c>
      <c r="I210" s="133" t="s">
        <v>1796</v>
      </c>
      <c r="J210" s="98" t="s">
        <v>6200</v>
      </c>
    </row>
    <row r="211" spans="1:10" ht="15.75" hidden="1" customHeight="1">
      <c r="A211" s="2" t="s">
        <v>6024</v>
      </c>
      <c r="B211" s="178" t="s">
        <v>6034</v>
      </c>
      <c r="C211" s="178" t="s">
        <v>6090</v>
      </c>
      <c r="D211" s="2" t="s">
        <v>1796</v>
      </c>
      <c r="E211" s="2">
        <v>100</v>
      </c>
      <c r="H211" s="2" t="s">
        <v>5667</v>
      </c>
      <c r="I211" s="133"/>
    </row>
    <row r="212" spans="1:10" ht="15.75" hidden="1" customHeight="1">
      <c r="A212" s="2" t="s">
        <v>6024</v>
      </c>
      <c r="B212" s="178" t="s">
        <v>6034</v>
      </c>
      <c r="C212" s="178" t="s">
        <v>6092</v>
      </c>
      <c r="D212" s="2" t="s">
        <v>1796</v>
      </c>
      <c r="E212" s="2">
        <v>100</v>
      </c>
      <c r="H212" s="2" t="s">
        <v>5667</v>
      </c>
      <c r="I212" s="133"/>
    </row>
    <row r="213" spans="1:10" ht="15.75" hidden="1" customHeight="1">
      <c r="A213" s="2" t="s">
        <v>6024</v>
      </c>
      <c r="B213" s="178" t="s">
        <v>6034</v>
      </c>
      <c r="C213" s="178" t="s">
        <v>6093</v>
      </c>
      <c r="D213" s="237" t="s">
        <v>484</v>
      </c>
      <c r="E213" s="2">
        <v>100</v>
      </c>
      <c r="H213" s="2" t="s">
        <v>5667</v>
      </c>
      <c r="I213" s="133" t="s">
        <v>1796</v>
      </c>
      <c r="J213" s="98" t="s">
        <v>6200</v>
      </c>
    </row>
    <row r="214" spans="1:10" ht="15.75" hidden="1" customHeight="1">
      <c r="A214" s="2" t="s">
        <v>6024</v>
      </c>
      <c r="B214" s="178" t="s">
        <v>6034</v>
      </c>
      <c r="C214" s="178" t="s">
        <v>6094</v>
      </c>
      <c r="D214" s="237" t="s">
        <v>484</v>
      </c>
      <c r="E214" s="2">
        <v>100</v>
      </c>
      <c r="H214" s="2" t="s">
        <v>5667</v>
      </c>
      <c r="I214" s="133" t="s">
        <v>1796</v>
      </c>
      <c r="J214" s="98" t="s">
        <v>6200</v>
      </c>
    </row>
    <row r="215" spans="1:10" ht="15.75" hidden="1" customHeight="1">
      <c r="A215" s="2" t="s">
        <v>6024</v>
      </c>
      <c r="B215" s="178" t="s">
        <v>6034</v>
      </c>
      <c r="C215" s="178" t="s">
        <v>6095</v>
      </c>
      <c r="D215" s="237" t="s">
        <v>1796</v>
      </c>
      <c r="F215" s="2">
        <v>10</v>
      </c>
      <c r="G215" s="2">
        <v>0</v>
      </c>
      <c r="H215" s="2" t="s">
        <v>5667</v>
      </c>
      <c r="I215" s="133" t="s">
        <v>484</v>
      </c>
      <c r="J215" s="98" t="s">
        <v>6201</v>
      </c>
    </row>
    <row r="216" spans="1:10" ht="15.75" hidden="1" customHeight="1">
      <c r="A216" s="2" t="s">
        <v>6024</v>
      </c>
      <c r="B216" s="178" t="s">
        <v>6034</v>
      </c>
      <c r="C216" s="178" t="s">
        <v>4306</v>
      </c>
      <c r="D216" s="2" t="s">
        <v>6118</v>
      </c>
      <c r="H216" s="2" t="s">
        <v>5667</v>
      </c>
      <c r="I216" s="98"/>
    </row>
    <row r="217" spans="1:10" ht="15.75" hidden="1" customHeight="1">
      <c r="A217" s="2" t="s">
        <v>6024</v>
      </c>
      <c r="B217" s="178" t="s">
        <v>6034</v>
      </c>
      <c r="C217" s="178" t="s">
        <v>4246</v>
      </c>
      <c r="D217" s="2" t="s">
        <v>1796</v>
      </c>
      <c r="E217" s="2">
        <v>50</v>
      </c>
      <c r="H217" s="2" t="s">
        <v>5665</v>
      </c>
    </row>
    <row r="218" spans="1:10" ht="15.75" hidden="1" customHeight="1">
      <c r="A218" s="2" t="s">
        <v>6024</v>
      </c>
      <c r="B218" s="178" t="s">
        <v>6034</v>
      </c>
      <c r="C218" s="178" t="s">
        <v>6096</v>
      </c>
      <c r="D218" s="2" t="s">
        <v>484</v>
      </c>
      <c r="F218" s="2">
        <v>10</v>
      </c>
      <c r="G218" s="2">
        <v>0</v>
      </c>
      <c r="H218" s="2" t="s">
        <v>5665</v>
      </c>
    </row>
    <row r="219" spans="1:10" ht="15.75" hidden="1" customHeight="1">
      <c r="A219" s="165" t="s">
        <v>6024</v>
      </c>
      <c r="B219" s="238" t="s">
        <v>6034</v>
      </c>
      <c r="C219" s="238" t="s">
        <v>253</v>
      </c>
      <c r="D219" s="165" t="s">
        <v>1796</v>
      </c>
      <c r="E219" s="169">
        <v>50</v>
      </c>
      <c r="F219" s="165">
        <v>10</v>
      </c>
      <c r="G219" s="165">
        <v>0</v>
      </c>
      <c r="H219" s="165" t="s">
        <v>5665</v>
      </c>
      <c r="I219" s="164" t="s">
        <v>2764</v>
      </c>
    </row>
    <row r="220" spans="1:10" ht="15.75" hidden="1" customHeight="1">
      <c r="A220" s="2" t="s">
        <v>6024</v>
      </c>
      <c r="B220" s="178" t="s">
        <v>6034</v>
      </c>
      <c r="C220" s="178" t="s">
        <v>6202</v>
      </c>
      <c r="D220" s="2" t="s">
        <v>1796</v>
      </c>
      <c r="E220" s="2">
        <v>50</v>
      </c>
      <c r="H220" s="2" t="s">
        <v>5667</v>
      </c>
    </row>
    <row r="221" spans="1:10" ht="15.75" hidden="1" customHeight="1">
      <c r="A221" s="2" t="s">
        <v>6024</v>
      </c>
      <c r="B221" s="178" t="s">
        <v>6034</v>
      </c>
      <c r="C221" s="178" t="s">
        <v>6203</v>
      </c>
      <c r="D221" s="2" t="s">
        <v>1796</v>
      </c>
      <c r="E221" s="2">
        <v>250</v>
      </c>
      <c r="H221" s="2" t="s">
        <v>5667</v>
      </c>
    </row>
    <row r="222" spans="1:10" ht="15.75" hidden="1" customHeight="1">
      <c r="A222" s="2" t="s">
        <v>6024</v>
      </c>
      <c r="B222" s="178" t="s">
        <v>6034</v>
      </c>
      <c r="C222" s="178" t="s">
        <v>6204</v>
      </c>
      <c r="D222" s="2" t="s">
        <v>1796</v>
      </c>
      <c r="E222" s="2">
        <v>250</v>
      </c>
      <c r="H222" s="2" t="s">
        <v>5665</v>
      </c>
    </row>
    <row r="223" spans="1:10" ht="15.75" hidden="1" customHeight="1">
      <c r="A223" s="165" t="s">
        <v>6024</v>
      </c>
      <c r="B223" s="238" t="s">
        <v>6034</v>
      </c>
      <c r="C223" s="238" t="s">
        <v>6205</v>
      </c>
      <c r="D223" s="165" t="s">
        <v>1796</v>
      </c>
      <c r="E223" s="169">
        <v>100</v>
      </c>
      <c r="F223" s="165">
        <v>10</v>
      </c>
      <c r="G223" s="165">
        <v>0</v>
      </c>
      <c r="H223" s="165" t="s">
        <v>5665</v>
      </c>
      <c r="I223" s="164" t="s">
        <v>2764</v>
      </c>
    </row>
    <row r="224" spans="1:10" ht="15.75" hidden="1" customHeight="1">
      <c r="A224" s="2" t="s">
        <v>6024</v>
      </c>
      <c r="B224" s="178" t="s">
        <v>6034</v>
      </c>
      <c r="C224" s="178" t="s">
        <v>6112</v>
      </c>
      <c r="D224" s="2" t="s">
        <v>800</v>
      </c>
      <c r="H224" s="2" t="s">
        <v>5665</v>
      </c>
    </row>
    <row r="225" spans="1:8" ht="15.75" hidden="1" customHeight="1">
      <c r="A225" s="2" t="s">
        <v>6024</v>
      </c>
      <c r="B225" s="178" t="s">
        <v>6034</v>
      </c>
      <c r="C225" s="178" t="s">
        <v>6113</v>
      </c>
      <c r="D225" s="2" t="s">
        <v>1796</v>
      </c>
      <c r="E225" s="2">
        <v>100</v>
      </c>
      <c r="H225" s="2" t="s">
        <v>5667</v>
      </c>
    </row>
    <row r="226" spans="1:8" ht="15.75" hidden="1" customHeight="1">
      <c r="A226" s="2" t="s">
        <v>6024</v>
      </c>
      <c r="B226" s="178" t="s">
        <v>6034</v>
      </c>
      <c r="C226" s="178" t="s">
        <v>6114</v>
      </c>
      <c r="D226" s="2" t="s">
        <v>484</v>
      </c>
      <c r="F226" s="2">
        <v>10</v>
      </c>
      <c r="G226" s="2">
        <v>0</v>
      </c>
      <c r="H226" s="2" t="s">
        <v>5667</v>
      </c>
    </row>
    <row r="227" spans="1:8" ht="15.75" hidden="1" customHeight="1">
      <c r="A227" s="2" t="s">
        <v>6024</v>
      </c>
      <c r="B227" s="178" t="s">
        <v>6034</v>
      </c>
      <c r="C227" s="178" t="s">
        <v>6027</v>
      </c>
      <c r="D227" s="2" t="s">
        <v>800</v>
      </c>
      <c r="H227" s="2" t="s">
        <v>5665</v>
      </c>
    </row>
    <row r="228" spans="1:8" ht="15.75" hidden="1" customHeight="1">
      <c r="A228" s="2" t="s">
        <v>6024</v>
      </c>
      <c r="B228" s="178" t="s">
        <v>6034</v>
      </c>
      <c r="C228" s="178" t="s">
        <v>6115</v>
      </c>
      <c r="D228" s="2" t="s">
        <v>1796</v>
      </c>
      <c r="E228" s="2">
        <v>100</v>
      </c>
      <c r="H228" s="2" t="s">
        <v>5667</v>
      </c>
    </row>
    <row r="229" spans="1:8" ht="15.75" hidden="1" customHeight="1">
      <c r="A229" s="2" t="s">
        <v>6024</v>
      </c>
      <c r="B229" s="178" t="s">
        <v>6034</v>
      </c>
      <c r="C229" s="178" t="s">
        <v>6116</v>
      </c>
      <c r="D229" s="2" t="s">
        <v>484</v>
      </c>
      <c r="F229" s="2">
        <v>10</v>
      </c>
      <c r="G229" s="2">
        <v>0</v>
      </c>
      <c r="H229" s="2" t="s">
        <v>5667</v>
      </c>
    </row>
    <row r="230" spans="1:8" ht="15.75" hidden="1" customHeight="1">
      <c r="A230" s="2" t="s">
        <v>6024</v>
      </c>
      <c r="B230" s="178" t="s">
        <v>6034</v>
      </c>
      <c r="C230" s="178" t="s">
        <v>6117</v>
      </c>
      <c r="D230" s="2" t="s">
        <v>1796</v>
      </c>
      <c r="E230" s="2">
        <v>250</v>
      </c>
      <c r="H230" s="2" t="s">
        <v>5667</v>
      </c>
    </row>
    <row r="231" spans="1:8" ht="15.75" hidden="1" customHeight="1">
      <c r="A231" s="2" t="s">
        <v>6024</v>
      </c>
      <c r="B231" s="2" t="s">
        <v>6036</v>
      </c>
      <c r="C231" s="178" t="s">
        <v>325</v>
      </c>
      <c r="D231" s="2" t="s">
        <v>484</v>
      </c>
      <c r="F231" s="2">
        <v>10</v>
      </c>
      <c r="G231" s="2">
        <v>0</v>
      </c>
      <c r="H231" s="2" t="s">
        <v>5665</v>
      </c>
    </row>
    <row r="232" spans="1:8" ht="15.75" hidden="1" customHeight="1">
      <c r="A232" s="2" t="s">
        <v>6024</v>
      </c>
      <c r="B232" s="2" t="s">
        <v>6036</v>
      </c>
      <c r="C232" s="178" t="s">
        <v>6090</v>
      </c>
      <c r="D232" s="2" t="s">
        <v>6118</v>
      </c>
      <c r="H232" s="2" t="s">
        <v>5665</v>
      </c>
    </row>
    <row r="233" spans="1:8" ht="15.75" hidden="1" customHeight="1">
      <c r="A233" s="2" t="s">
        <v>6024</v>
      </c>
      <c r="B233" s="2" t="s">
        <v>6036</v>
      </c>
      <c r="C233" s="178" t="s">
        <v>6092</v>
      </c>
      <c r="D233" s="2" t="s">
        <v>1796</v>
      </c>
      <c r="E233" s="2">
        <v>50</v>
      </c>
      <c r="H233" s="2" t="s">
        <v>5665</v>
      </c>
    </row>
    <row r="234" spans="1:8" ht="15.75" hidden="1" customHeight="1">
      <c r="A234" s="2" t="s">
        <v>6024</v>
      </c>
      <c r="B234" s="2" t="s">
        <v>6036</v>
      </c>
      <c r="C234" s="178" t="s">
        <v>6093</v>
      </c>
      <c r="D234" s="2" t="s">
        <v>484</v>
      </c>
      <c r="F234" s="2">
        <v>10</v>
      </c>
      <c r="G234" s="2">
        <v>0</v>
      </c>
      <c r="H234" s="2" t="s">
        <v>5665</v>
      </c>
    </row>
    <row r="235" spans="1:8" ht="15.75" hidden="1" customHeight="1">
      <c r="A235" s="2" t="s">
        <v>6024</v>
      </c>
      <c r="B235" s="2" t="s">
        <v>6036</v>
      </c>
      <c r="C235" s="178" t="s">
        <v>6094</v>
      </c>
      <c r="D235" s="2" t="s">
        <v>484</v>
      </c>
      <c r="F235" s="2">
        <v>10</v>
      </c>
      <c r="G235" s="2">
        <v>0</v>
      </c>
      <c r="H235" s="2" t="s">
        <v>5665</v>
      </c>
    </row>
    <row r="236" spans="1:8" ht="15.75" hidden="1" customHeight="1">
      <c r="A236" s="2" t="s">
        <v>6024</v>
      </c>
      <c r="B236" s="2" t="s">
        <v>6036</v>
      </c>
      <c r="C236" s="178" t="s">
        <v>6095</v>
      </c>
      <c r="D236" s="2" t="s">
        <v>1796</v>
      </c>
      <c r="E236" s="2">
        <v>50</v>
      </c>
      <c r="H236" s="2" t="s">
        <v>5667</v>
      </c>
    </row>
    <row r="237" spans="1:8" ht="15.75" hidden="1" customHeight="1">
      <c r="A237" s="2" t="s">
        <v>6024</v>
      </c>
      <c r="B237" s="2" t="s">
        <v>6036</v>
      </c>
      <c r="C237" s="178" t="s">
        <v>4306</v>
      </c>
      <c r="D237" s="2" t="s">
        <v>1796</v>
      </c>
      <c r="E237" s="2">
        <v>250</v>
      </c>
      <c r="H237" s="2" t="s">
        <v>5667</v>
      </c>
    </row>
    <row r="238" spans="1:8" ht="15.75" hidden="1" customHeight="1">
      <c r="A238" s="2" t="s">
        <v>6024</v>
      </c>
      <c r="B238" s="2" t="s">
        <v>6036</v>
      </c>
      <c r="C238" s="178" t="s">
        <v>4246</v>
      </c>
      <c r="D238" s="2" t="s">
        <v>1796</v>
      </c>
      <c r="E238" s="2">
        <v>250</v>
      </c>
      <c r="H238" s="2" t="s">
        <v>5665</v>
      </c>
    </row>
    <row r="239" spans="1:8" ht="15.75" hidden="1" customHeight="1">
      <c r="A239" s="2" t="s">
        <v>6024</v>
      </c>
      <c r="B239" s="2" t="s">
        <v>6036</v>
      </c>
      <c r="C239" s="178" t="s">
        <v>6096</v>
      </c>
      <c r="D239" s="2" t="s">
        <v>484</v>
      </c>
      <c r="F239" s="2">
        <v>10</v>
      </c>
      <c r="G239" s="2">
        <v>0</v>
      </c>
      <c r="H239" s="2" t="s">
        <v>5665</v>
      </c>
    </row>
    <row r="240" spans="1:8" ht="15.75" hidden="1" customHeight="1">
      <c r="A240" s="2" t="s">
        <v>6024</v>
      </c>
      <c r="B240" s="2" t="s">
        <v>6036</v>
      </c>
      <c r="C240" s="178" t="s">
        <v>6183</v>
      </c>
      <c r="D240" s="2" t="s">
        <v>481</v>
      </c>
      <c r="F240" s="2">
        <v>38</v>
      </c>
      <c r="G240" s="2">
        <v>0</v>
      </c>
      <c r="H240" s="2" t="s">
        <v>5667</v>
      </c>
    </row>
    <row r="241" spans="1:8" ht="15.75" hidden="1" customHeight="1">
      <c r="A241" s="2" t="s">
        <v>6024</v>
      </c>
      <c r="B241" s="2" t="s">
        <v>6036</v>
      </c>
      <c r="C241" s="178" t="s">
        <v>6206</v>
      </c>
      <c r="D241" s="2" t="s">
        <v>1796</v>
      </c>
      <c r="E241" s="2">
        <v>100</v>
      </c>
      <c r="H241" s="2" t="s">
        <v>5667</v>
      </c>
    </row>
    <row r="242" spans="1:8" ht="15.75" hidden="1" customHeight="1">
      <c r="A242" s="2" t="s">
        <v>6024</v>
      </c>
      <c r="B242" s="2" t="s">
        <v>6036</v>
      </c>
      <c r="C242" s="178" t="s">
        <v>6163</v>
      </c>
      <c r="D242" s="2" t="s">
        <v>481</v>
      </c>
      <c r="F242" s="2">
        <v>38</v>
      </c>
      <c r="G242" s="2">
        <v>0</v>
      </c>
      <c r="H242" s="2" t="s">
        <v>5667</v>
      </c>
    </row>
    <row r="243" spans="1:8" ht="15.75" hidden="1" customHeight="1">
      <c r="A243" s="2" t="s">
        <v>6024</v>
      </c>
      <c r="B243" s="2" t="s">
        <v>6036</v>
      </c>
      <c r="C243" s="178" t="s">
        <v>6207</v>
      </c>
      <c r="D243" s="2" t="s">
        <v>481</v>
      </c>
      <c r="F243" s="2">
        <v>38</v>
      </c>
      <c r="G243" s="2">
        <v>0</v>
      </c>
      <c r="H243" s="2" t="s">
        <v>5667</v>
      </c>
    </row>
    <row r="244" spans="1:8" ht="15.75" hidden="1" customHeight="1">
      <c r="A244" s="2" t="s">
        <v>6024</v>
      </c>
      <c r="B244" s="2" t="s">
        <v>6036</v>
      </c>
      <c r="C244" s="178" t="s">
        <v>6208</v>
      </c>
      <c r="D244" s="2" t="s">
        <v>481</v>
      </c>
      <c r="F244" s="2">
        <v>38</v>
      </c>
      <c r="G244" s="2">
        <v>0</v>
      </c>
      <c r="H244" s="2" t="s">
        <v>5667</v>
      </c>
    </row>
    <row r="245" spans="1:8" ht="15.75" hidden="1" customHeight="1">
      <c r="A245" s="2" t="s">
        <v>6024</v>
      </c>
      <c r="B245" s="2" t="s">
        <v>6036</v>
      </c>
      <c r="C245" s="178" t="s">
        <v>6209</v>
      </c>
      <c r="D245" s="2" t="s">
        <v>800</v>
      </c>
      <c r="H245" s="2" t="s">
        <v>5667</v>
      </c>
    </row>
    <row r="246" spans="1:8" ht="15.75" hidden="1" customHeight="1">
      <c r="A246" s="2" t="s">
        <v>6024</v>
      </c>
      <c r="B246" s="2" t="s">
        <v>6036</v>
      </c>
      <c r="C246" s="178" t="s">
        <v>6112</v>
      </c>
      <c r="D246" s="2" t="s">
        <v>800</v>
      </c>
      <c r="H246" s="2" t="s">
        <v>5665</v>
      </c>
    </row>
    <row r="247" spans="1:8" ht="15.75" hidden="1" customHeight="1">
      <c r="A247" s="2" t="s">
        <v>6024</v>
      </c>
      <c r="B247" s="2" t="s">
        <v>6036</v>
      </c>
      <c r="C247" s="178" t="s">
        <v>6113</v>
      </c>
      <c r="D247" s="2" t="s">
        <v>1796</v>
      </c>
      <c r="E247" s="2">
        <v>100</v>
      </c>
      <c r="H247" s="2" t="s">
        <v>5667</v>
      </c>
    </row>
    <row r="248" spans="1:8" ht="15.75" hidden="1" customHeight="1">
      <c r="A248" s="2" t="s">
        <v>6024</v>
      </c>
      <c r="B248" s="2" t="s">
        <v>6036</v>
      </c>
      <c r="C248" s="178" t="s">
        <v>6114</v>
      </c>
      <c r="D248" s="2" t="s">
        <v>484</v>
      </c>
      <c r="F248" s="2">
        <v>10</v>
      </c>
      <c r="G248" s="2">
        <v>0</v>
      </c>
      <c r="H248" s="2" t="s">
        <v>5667</v>
      </c>
    </row>
    <row r="249" spans="1:8" ht="15.75" hidden="1" customHeight="1">
      <c r="A249" s="2" t="s">
        <v>6024</v>
      </c>
      <c r="B249" s="2" t="s">
        <v>6036</v>
      </c>
      <c r="C249" s="178" t="s">
        <v>6027</v>
      </c>
      <c r="D249" s="2" t="s">
        <v>800</v>
      </c>
      <c r="H249" s="2" t="s">
        <v>5665</v>
      </c>
    </row>
    <row r="250" spans="1:8" ht="15.75" hidden="1" customHeight="1">
      <c r="A250" s="2" t="s">
        <v>6024</v>
      </c>
      <c r="B250" s="2" t="s">
        <v>6036</v>
      </c>
      <c r="C250" s="178" t="s">
        <v>6115</v>
      </c>
      <c r="D250" s="2" t="s">
        <v>1796</v>
      </c>
      <c r="E250" s="2">
        <v>100</v>
      </c>
      <c r="H250" s="2" t="s">
        <v>5667</v>
      </c>
    </row>
    <row r="251" spans="1:8" ht="15.75" hidden="1" customHeight="1">
      <c r="A251" s="2" t="s">
        <v>6024</v>
      </c>
      <c r="B251" s="2" t="s">
        <v>6036</v>
      </c>
      <c r="C251" s="178" t="s">
        <v>6116</v>
      </c>
      <c r="D251" s="2" t="s">
        <v>484</v>
      </c>
      <c r="F251" s="2">
        <v>10</v>
      </c>
      <c r="G251" s="2">
        <v>0</v>
      </c>
      <c r="H251" s="2" t="s">
        <v>5667</v>
      </c>
    </row>
    <row r="252" spans="1:8" ht="15.75" hidden="1" customHeight="1">
      <c r="A252" s="2" t="s">
        <v>6024</v>
      </c>
      <c r="B252" s="2" t="s">
        <v>6036</v>
      </c>
      <c r="C252" s="178" t="s">
        <v>6117</v>
      </c>
      <c r="D252" s="2" t="s">
        <v>1796</v>
      </c>
      <c r="E252" s="2">
        <v>250</v>
      </c>
      <c r="H252" s="2" t="s">
        <v>5667</v>
      </c>
    </row>
    <row r="253" spans="1:8" ht="15.75" hidden="1" customHeight="1">
      <c r="A253" s="2" t="s">
        <v>6024</v>
      </c>
      <c r="B253" s="2" t="s">
        <v>6037</v>
      </c>
      <c r="C253" s="2" t="s">
        <v>325</v>
      </c>
      <c r="D253" s="2" t="s">
        <v>484</v>
      </c>
      <c r="F253" s="2">
        <v>10</v>
      </c>
      <c r="G253" s="2">
        <v>0</v>
      </c>
      <c r="H253" s="2" t="s">
        <v>5665</v>
      </c>
    </row>
    <row r="254" spans="1:8" ht="15.75" hidden="1" customHeight="1">
      <c r="A254" s="2" t="s">
        <v>6024</v>
      </c>
      <c r="B254" s="2" t="s">
        <v>6037</v>
      </c>
      <c r="C254" s="2" t="s">
        <v>6090</v>
      </c>
      <c r="D254" s="2" t="s">
        <v>6118</v>
      </c>
      <c r="H254" s="2" t="s">
        <v>5665</v>
      </c>
    </row>
    <row r="255" spans="1:8" ht="15.75" hidden="1" customHeight="1">
      <c r="A255" s="2" t="s">
        <v>6024</v>
      </c>
      <c r="B255" s="2" t="s">
        <v>6037</v>
      </c>
      <c r="C255" s="2" t="s">
        <v>6092</v>
      </c>
      <c r="D255" s="2" t="s">
        <v>1796</v>
      </c>
      <c r="E255" s="2">
        <v>50</v>
      </c>
      <c r="H255" s="2" t="s">
        <v>5665</v>
      </c>
    </row>
    <row r="256" spans="1:8" ht="15.75" hidden="1" customHeight="1">
      <c r="A256" s="2" t="s">
        <v>6024</v>
      </c>
      <c r="B256" s="2" t="s">
        <v>6037</v>
      </c>
      <c r="C256" s="2" t="s">
        <v>6093</v>
      </c>
      <c r="D256" s="2" t="s">
        <v>484</v>
      </c>
      <c r="F256" s="2">
        <v>10</v>
      </c>
      <c r="G256" s="2">
        <v>0</v>
      </c>
      <c r="H256" s="2" t="s">
        <v>5665</v>
      </c>
    </row>
    <row r="257" spans="1:8" ht="15.75" hidden="1" customHeight="1">
      <c r="A257" s="2" t="s">
        <v>6024</v>
      </c>
      <c r="B257" s="2" t="s">
        <v>6037</v>
      </c>
      <c r="C257" s="2" t="s">
        <v>6094</v>
      </c>
      <c r="D257" s="2" t="s">
        <v>484</v>
      </c>
      <c r="F257" s="2">
        <v>10</v>
      </c>
      <c r="G257" s="2">
        <v>0</v>
      </c>
      <c r="H257" s="2" t="s">
        <v>5665</v>
      </c>
    </row>
    <row r="258" spans="1:8" ht="15.75" hidden="1" customHeight="1">
      <c r="A258" s="2" t="s">
        <v>6024</v>
      </c>
      <c r="B258" s="2" t="s">
        <v>6037</v>
      </c>
      <c r="C258" s="2" t="s">
        <v>6095</v>
      </c>
      <c r="D258" s="2" t="s">
        <v>1796</v>
      </c>
      <c r="E258" s="2">
        <v>50</v>
      </c>
      <c r="H258" s="2" t="s">
        <v>5667</v>
      </c>
    </row>
    <row r="259" spans="1:8" ht="15.75" hidden="1" customHeight="1">
      <c r="A259" s="2" t="s">
        <v>6024</v>
      </c>
      <c r="B259" s="2" t="s">
        <v>6037</v>
      </c>
      <c r="C259" s="2" t="s">
        <v>4306</v>
      </c>
      <c r="D259" s="2" t="s">
        <v>1796</v>
      </c>
      <c r="E259" s="2">
        <v>250</v>
      </c>
      <c r="H259" s="2" t="s">
        <v>5667</v>
      </c>
    </row>
    <row r="260" spans="1:8" ht="15.75" hidden="1" customHeight="1">
      <c r="A260" s="2" t="s">
        <v>6024</v>
      </c>
      <c r="B260" s="2" t="s">
        <v>6037</v>
      </c>
      <c r="C260" s="2" t="s">
        <v>4246</v>
      </c>
      <c r="D260" s="2" t="s">
        <v>1796</v>
      </c>
      <c r="E260" s="2">
        <v>250</v>
      </c>
      <c r="H260" s="2" t="s">
        <v>5665</v>
      </c>
    </row>
    <row r="261" spans="1:8" ht="15.75" hidden="1" customHeight="1">
      <c r="A261" s="2" t="s">
        <v>6024</v>
      </c>
      <c r="B261" s="2" t="s">
        <v>6037</v>
      </c>
      <c r="C261" s="2" t="s">
        <v>6096</v>
      </c>
      <c r="D261" s="2" t="s">
        <v>484</v>
      </c>
      <c r="F261" s="2">
        <v>10</v>
      </c>
      <c r="G261" s="2">
        <v>0</v>
      </c>
      <c r="H261" s="2" t="s">
        <v>5665</v>
      </c>
    </row>
    <row r="262" spans="1:8" ht="15.75" hidden="1" customHeight="1">
      <c r="A262" s="2" t="s">
        <v>6024</v>
      </c>
      <c r="B262" s="2" t="s">
        <v>6037</v>
      </c>
      <c r="C262" s="2" t="s">
        <v>257</v>
      </c>
      <c r="D262" s="2" t="s">
        <v>1796</v>
      </c>
      <c r="E262" s="2">
        <v>100</v>
      </c>
      <c r="H262" s="2" t="s">
        <v>5667</v>
      </c>
    </row>
    <row r="263" spans="1:8" ht="15.75" hidden="1" customHeight="1">
      <c r="A263" s="2" t="s">
        <v>6024</v>
      </c>
      <c r="B263" s="2" t="s">
        <v>6037</v>
      </c>
      <c r="C263" s="2" t="s">
        <v>6210</v>
      </c>
      <c r="D263" s="2" t="s">
        <v>1796</v>
      </c>
      <c r="E263" s="2">
        <v>100</v>
      </c>
      <c r="H263" s="2" t="s">
        <v>5667</v>
      </c>
    </row>
    <row r="264" spans="1:8" ht="15.75" hidden="1" customHeight="1">
      <c r="A264" s="2" t="s">
        <v>6024</v>
      </c>
      <c r="B264" s="2" t="s">
        <v>6037</v>
      </c>
      <c r="C264" s="2" t="s">
        <v>6152</v>
      </c>
      <c r="D264" s="2" t="s">
        <v>1796</v>
      </c>
      <c r="E264" s="2">
        <v>100</v>
      </c>
      <c r="H264" s="2" t="s">
        <v>5667</v>
      </c>
    </row>
    <row r="265" spans="1:8" ht="15.75" hidden="1" customHeight="1">
      <c r="A265" s="2" t="s">
        <v>6024</v>
      </c>
      <c r="B265" s="2" t="s">
        <v>6037</v>
      </c>
      <c r="C265" s="2" t="s">
        <v>6211</v>
      </c>
      <c r="D265" s="2" t="s">
        <v>1796</v>
      </c>
      <c r="E265" s="2">
        <v>100</v>
      </c>
      <c r="H265" s="2" t="s">
        <v>5667</v>
      </c>
    </row>
    <row r="266" spans="1:8" ht="15.75" hidden="1" customHeight="1">
      <c r="A266" s="2" t="s">
        <v>6024</v>
      </c>
      <c r="B266" s="2" t="s">
        <v>6037</v>
      </c>
      <c r="C266" s="2" t="s">
        <v>6112</v>
      </c>
      <c r="D266" s="2" t="s">
        <v>800</v>
      </c>
      <c r="H266" s="2" t="s">
        <v>5665</v>
      </c>
    </row>
    <row r="267" spans="1:8" ht="15.75" hidden="1" customHeight="1">
      <c r="A267" s="2" t="s">
        <v>6024</v>
      </c>
      <c r="B267" s="2" t="s">
        <v>6037</v>
      </c>
      <c r="C267" s="2" t="s">
        <v>6113</v>
      </c>
      <c r="D267" s="2" t="s">
        <v>1796</v>
      </c>
      <c r="E267" s="2">
        <v>100</v>
      </c>
      <c r="H267" s="2" t="s">
        <v>5667</v>
      </c>
    </row>
    <row r="268" spans="1:8" ht="15.75" hidden="1" customHeight="1">
      <c r="A268" s="2" t="s">
        <v>6024</v>
      </c>
      <c r="B268" s="2" t="s">
        <v>6037</v>
      </c>
      <c r="C268" s="2" t="s">
        <v>6114</v>
      </c>
      <c r="D268" s="2" t="s">
        <v>484</v>
      </c>
      <c r="F268" s="2">
        <v>10</v>
      </c>
      <c r="G268" s="2">
        <v>0</v>
      </c>
      <c r="H268" s="2" t="s">
        <v>5667</v>
      </c>
    </row>
    <row r="269" spans="1:8" ht="15.75" hidden="1" customHeight="1">
      <c r="A269" s="2" t="s">
        <v>6024</v>
      </c>
      <c r="B269" s="2" t="s">
        <v>6037</v>
      </c>
      <c r="C269" s="2" t="s">
        <v>6027</v>
      </c>
      <c r="D269" s="2" t="s">
        <v>800</v>
      </c>
      <c r="H269" s="2" t="s">
        <v>5665</v>
      </c>
    </row>
    <row r="270" spans="1:8" ht="15.75" hidden="1" customHeight="1">
      <c r="A270" s="2" t="s">
        <v>6024</v>
      </c>
      <c r="B270" s="2" t="s">
        <v>6037</v>
      </c>
      <c r="C270" s="2" t="s">
        <v>6115</v>
      </c>
      <c r="D270" s="2" t="s">
        <v>1796</v>
      </c>
      <c r="E270" s="2">
        <v>100</v>
      </c>
      <c r="H270" s="2" t="s">
        <v>5667</v>
      </c>
    </row>
    <row r="271" spans="1:8" ht="15.75" hidden="1" customHeight="1">
      <c r="A271" s="2" t="s">
        <v>6024</v>
      </c>
      <c r="B271" s="2" t="s">
        <v>6037</v>
      </c>
      <c r="C271" s="2" t="s">
        <v>6116</v>
      </c>
      <c r="D271" s="2" t="s">
        <v>484</v>
      </c>
      <c r="F271" s="2">
        <v>10</v>
      </c>
      <c r="G271" s="2">
        <v>0</v>
      </c>
      <c r="H271" s="2" t="s">
        <v>5667</v>
      </c>
    </row>
    <row r="272" spans="1:8" ht="15.75" hidden="1" customHeight="1">
      <c r="A272" s="2" t="s">
        <v>6024</v>
      </c>
      <c r="B272" s="2" t="s">
        <v>6037</v>
      </c>
      <c r="C272" s="2" t="s">
        <v>6117</v>
      </c>
      <c r="D272" s="2" t="s">
        <v>1796</v>
      </c>
      <c r="E272" s="2">
        <v>250</v>
      </c>
      <c r="H272" s="2" t="s">
        <v>5667</v>
      </c>
    </row>
    <row r="273" spans="1:8" ht="15.75" hidden="1" customHeight="1">
      <c r="A273" s="2" t="s">
        <v>6024</v>
      </c>
      <c r="B273" s="2" t="s">
        <v>6038</v>
      </c>
      <c r="C273" s="178" t="s">
        <v>325</v>
      </c>
      <c r="D273" s="2" t="s">
        <v>484</v>
      </c>
      <c r="F273" s="2">
        <v>10</v>
      </c>
      <c r="G273" s="2">
        <v>0</v>
      </c>
      <c r="H273" s="2" t="s">
        <v>5665</v>
      </c>
    </row>
    <row r="274" spans="1:8" ht="15.75" hidden="1" customHeight="1">
      <c r="A274" s="2" t="s">
        <v>6024</v>
      </c>
      <c r="B274" s="2" t="s">
        <v>6038</v>
      </c>
      <c r="C274" s="178" t="s">
        <v>6090</v>
      </c>
      <c r="D274" s="2" t="s">
        <v>6118</v>
      </c>
      <c r="H274" s="2" t="s">
        <v>5665</v>
      </c>
    </row>
    <row r="275" spans="1:8" ht="15.75" hidden="1" customHeight="1">
      <c r="A275" s="2" t="s">
        <v>6024</v>
      </c>
      <c r="B275" s="2" t="s">
        <v>6038</v>
      </c>
      <c r="C275" s="178" t="s">
        <v>6092</v>
      </c>
      <c r="D275" s="2" t="s">
        <v>1796</v>
      </c>
      <c r="E275" s="2">
        <v>50</v>
      </c>
      <c r="H275" s="2" t="s">
        <v>5665</v>
      </c>
    </row>
    <row r="276" spans="1:8" ht="15.75" hidden="1" customHeight="1">
      <c r="A276" s="2" t="s">
        <v>6024</v>
      </c>
      <c r="B276" s="2" t="s">
        <v>6038</v>
      </c>
      <c r="C276" s="178" t="s">
        <v>6093</v>
      </c>
      <c r="D276" s="2" t="s">
        <v>484</v>
      </c>
      <c r="F276" s="2">
        <v>10</v>
      </c>
      <c r="G276" s="2">
        <v>0</v>
      </c>
      <c r="H276" s="2" t="s">
        <v>5665</v>
      </c>
    </row>
    <row r="277" spans="1:8" ht="15.75" hidden="1" customHeight="1">
      <c r="A277" s="2" t="s">
        <v>6024</v>
      </c>
      <c r="B277" s="2" t="s">
        <v>6038</v>
      </c>
      <c r="C277" s="178" t="s">
        <v>6094</v>
      </c>
      <c r="D277" s="2" t="s">
        <v>484</v>
      </c>
      <c r="F277" s="2">
        <v>10</v>
      </c>
      <c r="G277" s="2">
        <v>0</v>
      </c>
      <c r="H277" s="2" t="s">
        <v>5665</v>
      </c>
    </row>
    <row r="278" spans="1:8" ht="15.75" hidden="1" customHeight="1">
      <c r="A278" s="2" t="s">
        <v>6024</v>
      </c>
      <c r="B278" s="2" t="s">
        <v>6038</v>
      </c>
      <c r="C278" s="178" t="s">
        <v>6095</v>
      </c>
      <c r="D278" s="2" t="s">
        <v>1796</v>
      </c>
      <c r="E278" s="2">
        <v>50</v>
      </c>
      <c r="H278" s="2" t="s">
        <v>5667</v>
      </c>
    </row>
    <row r="279" spans="1:8" ht="15.75" hidden="1" customHeight="1">
      <c r="A279" s="2" t="s">
        <v>6024</v>
      </c>
      <c r="B279" s="2" t="s">
        <v>6038</v>
      </c>
      <c r="C279" s="178" t="s">
        <v>4306</v>
      </c>
      <c r="D279" s="2" t="s">
        <v>1796</v>
      </c>
      <c r="E279" s="2">
        <v>250</v>
      </c>
      <c r="H279" s="2" t="s">
        <v>5667</v>
      </c>
    </row>
    <row r="280" spans="1:8" ht="15.75" hidden="1" customHeight="1">
      <c r="A280" s="2" t="s">
        <v>6024</v>
      </c>
      <c r="B280" s="2" t="s">
        <v>6038</v>
      </c>
      <c r="C280" s="178" t="s">
        <v>4246</v>
      </c>
      <c r="D280" s="2" t="s">
        <v>1796</v>
      </c>
      <c r="E280" s="2">
        <v>250</v>
      </c>
      <c r="H280" s="2" t="s">
        <v>5665</v>
      </c>
    </row>
    <row r="281" spans="1:8" ht="15.75" hidden="1" customHeight="1">
      <c r="A281" s="2" t="s">
        <v>6024</v>
      </c>
      <c r="B281" s="2" t="s">
        <v>6038</v>
      </c>
      <c r="C281" s="178" t="s">
        <v>6096</v>
      </c>
      <c r="D281" s="2" t="s">
        <v>484</v>
      </c>
      <c r="F281" s="2">
        <v>10</v>
      </c>
      <c r="G281" s="2">
        <v>0</v>
      </c>
      <c r="H281" s="2" t="s">
        <v>5665</v>
      </c>
    </row>
    <row r="282" spans="1:8" ht="15.75" hidden="1" customHeight="1">
      <c r="A282" s="2" t="s">
        <v>6024</v>
      </c>
      <c r="B282" s="2" t="s">
        <v>6038</v>
      </c>
      <c r="C282" s="178" t="s">
        <v>6212</v>
      </c>
      <c r="D282" s="2" t="s">
        <v>800</v>
      </c>
      <c r="H282" s="2" t="s">
        <v>5667</v>
      </c>
    </row>
    <row r="283" spans="1:8" ht="15.75" hidden="1" customHeight="1">
      <c r="A283" s="2" t="s">
        <v>6024</v>
      </c>
      <c r="B283" s="2" t="s">
        <v>6038</v>
      </c>
      <c r="C283" s="178" t="s">
        <v>6213</v>
      </c>
      <c r="D283" s="2" t="s">
        <v>481</v>
      </c>
      <c r="F283" s="2">
        <v>38</v>
      </c>
      <c r="G283" s="2">
        <v>2</v>
      </c>
      <c r="H283" s="2" t="s">
        <v>5667</v>
      </c>
    </row>
    <row r="284" spans="1:8" ht="15.75" hidden="1" customHeight="1">
      <c r="A284" s="2" t="s">
        <v>6024</v>
      </c>
      <c r="B284" s="2" t="s">
        <v>6038</v>
      </c>
      <c r="C284" s="178" t="s">
        <v>6214</v>
      </c>
      <c r="D284" s="2" t="s">
        <v>481</v>
      </c>
      <c r="F284" s="2">
        <v>38</v>
      </c>
      <c r="G284" s="2">
        <v>2</v>
      </c>
      <c r="H284" s="2" t="s">
        <v>5667</v>
      </c>
    </row>
    <row r="285" spans="1:8" ht="15.75" hidden="1" customHeight="1">
      <c r="A285" s="2" t="s">
        <v>6024</v>
      </c>
      <c r="B285" s="2" t="s">
        <v>6038</v>
      </c>
      <c r="C285" s="178" t="s">
        <v>6215</v>
      </c>
      <c r="D285" s="2" t="s">
        <v>481</v>
      </c>
      <c r="F285" s="2">
        <v>38</v>
      </c>
      <c r="G285" s="2">
        <v>2</v>
      </c>
      <c r="H285" s="2" t="s">
        <v>5667</v>
      </c>
    </row>
    <row r="286" spans="1:8" ht="15.75" hidden="1" customHeight="1">
      <c r="A286" s="2" t="s">
        <v>6024</v>
      </c>
      <c r="B286" s="2" t="s">
        <v>6038</v>
      </c>
      <c r="C286" s="178" t="s">
        <v>6216</v>
      </c>
      <c r="D286" s="2" t="s">
        <v>481</v>
      </c>
      <c r="F286" s="2">
        <v>38</v>
      </c>
      <c r="G286" s="2">
        <v>2</v>
      </c>
      <c r="H286" s="2" t="s">
        <v>5667</v>
      </c>
    </row>
    <row r="287" spans="1:8" ht="15.75" hidden="1" customHeight="1">
      <c r="A287" s="2" t="s">
        <v>6024</v>
      </c>
      <c r="B287" s="2" t="s">
        <v>6038</v>
      </c>
      <c r="C287" s="178" t="s">
        <v>6217</v>
      </c>
      <c r="D287" s="2" t="s">
        <v>481</v>
      </c>
      <c r="F287" s="2">
        <v>38</v>
      </c>
      <c r="G287" s="2">
        <v>2</v>
      </c>
      <c r="H287" s="2" t="s">
        <v>5667</v>
      </c>
    </row>
    <row r="288" spans="1:8" ht="15.75" hidden="1" customHeight="1">
      <c r="A288" s="2" t="s">
        <v>6024</v>
      </c>
      <c r="B288" s="2" t="s">
        <v>6038</v>
      </c>
      <c r="C288" s="178" t="s">
        <v>6171</v>
      </c>
      <c r="D288" s="2" t="s">
        <v>481</v>
      </c>
      <c r="F288" s="2">
        <v>38</v>
      </c>
      <c r="G288" s="2">
        <v>2</v>
      </c>
      <c r="H288" s="2" t="s">
        <v>5667</v>
      </c>
    </row>
    <row r="289" spans="1:8" ht="15.75" hidden="1" customHeight="1">
      <c r="A289" s="2" t="s">
        <v>6024</v>
      </c>
      <c r="B289" s="2" t="s">
        <v>6038</v>
      </c>
      <c r="C289" s="178" t="s">
        <v>6218</v>
      </c>
      <c r="D289" s="2" t="s">
        <v>481</v>
      </c>
      <c r="F289" s="2">
        <v>38</v>
      </c>
      <c r="G289" s="2">
        <v>2</v>
      </c>
      <c r="H289" s="2" t="s">
        <v>5667</v>
      </c>
    </row>
    <row r="290" spans="1:8" ht="15.75" hidden="1" customHeight="1">
      <c r="A290" s="2" t="s">
        <v>6024</v>
      </c>
      <c r="B290" s="2" t="s">
        <v>6038</v>
      </c>
      <c r="C290" s="178" t="s">
        <v>6219</v>
      </c>
      <c r="D290" s="2" t="s">
        <v>481</v>
      </c>
      <c r="F290" s="2">
        <v>38</v>
      </c>
      <c r="G290" s="2">
        <v>2</v>
      </c>
      <c r="H290" s="2" t="s">
        <v>5667</v>
      </c>
    </row>
    <row r="291" spans="1:8" ht="15.75" hidden="1" customHeight="1">
      <c r="A291" s="2" t="s">
        <v>6024</v>
      </c>
      <c r="B291" s="2" t="s">
        <v>6038</v>
      </c>
      <c r="C291" s="178" t="s">
        <v>6220</v>
      </c>
      <c r="D291" s="2" t="s">
        <v>481</v>
      </c>
      <c r="F291" s="2">
        <v>38</v>
      </c>
      <c r="G291" s="2">
        <v>2</v>
      </c>
      <c r="H291" s="2" t="s">
        <v>5667</v>
      </c>
    </row>
    <row r="292" spans="1:8" ht="15.75" hidden="1" customHeight="1">
      <c r="A292" s="2" t="s">
        <v>6024</v>
      </c>
      <c r="B292" s="2" t="s">
        <v>6038</v>
      </c>
      <c r="C292" s="178" t="s">
        <v>6112</v>
      </c>
      <c r="D292" s="2" t="s">
        <v>800</v>
      </c>
      <c r="H292" s="2" t="s">
        <v>5665</v>
      </c>
    </row>
    <row r="293" spans="1:8" ht="15.75" hidden="1" customHeight="1">
      <c r="A293" s="2" t="s">
        <v>6024</v>
      </c>
      <c r="B293" s="2" t="s">
        <v>6038</v>
      </c>
      <c r="C293" s="178" t="s">
        <v>6113</v>
      </c>
      <c r="D293" s="2" t="s">
        <v>1796</v>
      </c>
      <c r="E293" s="2">
        <v>100</v>
      </c>
      <c r="H293" s="2" t="s">
        <v>5667</v>
      </c>
    </row>
    <row r="294" spans="1:8" ht="15.75" hidden="1" customHeight="1">
      <c r="A294" s="2" t="s">
        <v>6024</v>
      </c>
      <c r="B294" s="2" t="s">
        <v>6038</v>
      </c>
      <c r="C294" s="178" t="s">
        <v>6114</v>
      </c>
      <c r="D294" s="2" t="s">
        <v>484</v>
      </c>
      <c r="F294" s="2">
        <v>10</v>
      </c>
      <c r="G294" s="2">
        <v>0</v>
      </c>
      <c r="H294" s="2" t="s">
        <v>5667</v>
      </c>
    </row>
    <row r="295" spans="1:8" ht="15.75" hidden="1" customHeight="1">
      <c r="A295" s="2" t="s">
        <v>6024</v>
      </c>
      <c r="B295" s="2" t="s">
        <v>6038</v>
      </c>
      <c r="C295" s="178" t="s">
        <v>6027</v>
      </c>
      <c r="D295" s="2" t="s">
        <v>800</v>
      </c>
      <c r="H295" s="2" t="s">
        <v>5665</v>
      </c>
    </row>
    <row r="296" spans="1:8" ht="15.75" hidden="1" customHeight="1">
      <c r="A296" s="2" t="s">
        <v>6024</v>
      </c>
      <c r="B296" s="2" t="s">
        <v>6038</v>
      </c>
      <c r="C296" s="178" t="s">
        <v>6115</v>
      </c>
      <c r="D296" s="2" t="s">
        <v>1796</v>
      </c>
      <c r="E296" s="2">
        <v>100</v>
      </c>
      <c r="H296" s="2" t="s">
        <v>5667</v>
      </c>
    </row>
    <row r="297" spans="1:8" ht="15.75" hidden="1" customHeight="1">
      <c r="A297" s="2" t="s">
        <v>6024</v>
      </c>
      <c r="B297" s="2" t="s">
        <v>6038</v>
      </c>
      <c r="C297" s="178" t="s">
        <v>6116</v>
      </c>
      <c r="D297" s="2" t="s">
        <v>484</v>
      </c>
      <c r="F297" s="2">
        <v>10</v>
      </c>
      <c r="G297" s="2">
        <v>0</v>
      </c>
      <c r="H297" s="2" t="s">
        <v>5667</v>
      </c>
    </row>
    <row r="298" spans="1:8" ht="15.75" hidden="1" customHeight="1">
      <c r="A298" s="2" t="s">
        <v>6024</v>
      </c>
      <c r="B298" s="2" t="s">
        <v>6038</v>
      </c>
      <c r="C298" s="178" t="s">
        <v>6117</v>
      </c>
      <c r="D298" s="2" t="s">
        <v>1796</v>
      </c>
      <c r="E298" s="2">
        <v>250</v>
      </c>
      <c r="H298" s="2" t="s">
        <v>5667</v>
      </c>
    </row>
    <row r="299" spans="1:8" ht="15.75" hidden="1" customHeight="1">
      <c r="A299" s="2" t="s">
        <v>6024</v>
      </c>
      <c r="B299" s="2" t="s">
        <v>6039</v>
      </c>
      <c r="C299" s="178" t="s">
        <v>325</v>
      </c>
      <c r="D299" s="2" t="s">
        <v>484</v>
      </c>
      <c r="F299" s="2">
        <v>10</v>
      </c>
      <c r="G299" s="2">
        <v>0</v>
      </c>
      <c r="H299" s="2" t="s">
        <v>5665</v>
      </c>
    </row>
    <row r="300" spans="1:8" ht="15.75" hidden="1" customHeight="1">
      <c r="A300" s="2" t="s">
        <v>6024</v>
      </c>
      <c r="B300" s="2" t="s">
        <v>6039</v>
      </c>
      <c r="C300" s="178" t="s">
        <v>6090</v>
      </c>
      <c r="D300" s="2" t="s">
        <v>6118</v>
      </c>
      <c r="H300" s="2" t="s">
        <v>5665</v>
      </c>
    </row>
    <row r="301" spans="1:8" ht="15.75" hidden="1" customHeight="1">
      <c r="A301" s="2" t="s">
        <v>6024</v>
      </c>
      <c r="B301" s="2" t="s">
        <v>6039</v>
      </c>
      <c r="C301" s="178" t="s">
        <v>6092</v>
      </c>
      <c r="D301" s="2" t="s">
        <v>1796</v>
      </c>
      <c r="E301" s="2">
        <v>50</v>
      </c>
      <c r="H301" s="2" t="s">
        <v>5665</v>
      </c>
    </row>
    <row r="302" spans="1:8" ht="15.75" hidden="1" customHeight="1">
      <c r="A302" s="2" t="s">
        <v>6024</v>
      </c>
      <c r="B302" s="2" t="s">
        <v>6039</v>
      </c>
      <c r="C302" s="178" t="s">
        <v>6093</v>
      </c>
      <c r="D302" s="2" t="s">
        <v>484</v>
      </c>
      <c r="F302" s="2">
        <v>10</v>
      </c>
      <c r="G302" s="2">
        <v>0</v>
      </c>
      <c r="H302" s="2" t="s">
        <v>5665</v>
      </c>
    </row>
    <row r="303" spans="1:8" ht="15.75" hidden="1" customHeight="1">
      <c r="A303" s="2" t="s">
        <v>6024</v>
      </c>
      <c r="B303" s="2" t="s">
        <v>6039</v>
      </c>
      <c r="C303" s="178" t="s">
        <v>6094</v>
      </c>
      <c r="D303" s="2" t="s">
        <v>484</v>
      </c>
      <c r="F303" s="2">
        <v>10</v>
      </c>
      <c r="G303" s="2">
        <v>0</v>
      </c>
      <c r="H303" s="2" t="s">
        <v>5665</v>
      </c>
    </row>
    <row r="304" spans="1:8" ht="15.75" hidden="1" customHeight="1">
      <c r="A304" s="2" t="s">
        <v>6024</v>
      </c>
      <c r="B304" s="2" t="s">
        <v>6039</v>
      </c>
      <c r="C304" s="178" t="s">
        <v>6095</v>
      </c>
      <c r="D304" s="2" t="s">
        <v>1796</v>
      </c>
      <c r="E304" s="2">
        <v>50</v>
      </c>
      <c r="H304" s="2" t="s">
        <v>5667</v>
      </c>
    </row>
    <row r="305" spans="1:8" ht="15.75" hidden="1" customHeight="1">
      <c r="A305" s="2" t="s">
        <v>6024</v>
      </c>
      <c r="B305" s="2" t="s">
        <v>6039</v>
      </c>
      <c r="C305" s="178" t="s">
        <v>4306</v>
      </c>
      <c r="D305" s="2" t="s">
        <v>1796</v>
      </c>
      <c r="E305" s="2">
        <v>250</v>
      </c>
      <c r="H305" s="2" t="s">
        <v>5667</v>
      </c>
    </row>
    <row r="306" spans="1:8" ht="15.75" hidden="1" customHeight="1">
      <c r="A306" s="2" t="s">
        <v>6024</v>
      </c>
      <c r="B306" s="2" t="s">
        <v>6039</v>
      </c>
      <c r="C306" s="178" t="s">
        <v>4246</v>
      </c>
      <c r="D306" s="2" t="s">
        <v>1796</v>
      </c>
      <c r="E306" s="2">
        <v>250</v>
      </c>
      <c r="H306" s="2" t="s">
        <v>5665</v>
      </c>
    </row>
    <row r="307" spans="1:8" ht="15.75" hidden="1" customHeight="1">
      <c r="A307" s="2" t="s">
        <v>6024</v>
      </c>
      <c r="B307" s="2" t="s">
        <v>6039</v>
      </c>
      <c r="C307" s="178" t="s">
        <v>6096</v>
      </c>
      <c r="D307" s="2" t="s">
        <v>484</v>
      </c>
      <c r="F307" s="2">
        <v>10</v>
      </c>
      <c r="G307" s="2">
        <v>0</v>
      </c>
      <c r="H307" s="2" t="s">
        <v>5665</v>
      </c>
    </row>
    <row r="308" spans="1:8" ht="15.75" hidden="1" customHeight="1">
      <c r="A308" s="2" t="s">
        <v>6024</v>
      </c>
      <c r="B308" s="2" t="s">
        <v>6039</v>
      </c>
      <c r="C308" s="178" t="s">
        <v>6212</v>
      </c>
      <c r="D308" s="2" t="s">
        <v>800</v>
      </c>
      <c r="H308" s="2" t="s">
        <v>5667</v>
      </c>
    </row>
    <row r="309" spans="1:8" ht="15.75" hidden="1" customHeight="1">
      <c r="A309" s="2" t="s">
        <v>6024</v>
      </c>
      <c r="B309" s="2" t="s">
        <v>6039</v>
      </c>
      <c r="C309" s="178" t="s">
        <v>6221</v>
      </c>
      <c r="D309" s="2" t="s">
        <v>481</v>
      </c>
      <c r="F309" s="2">
        <v>38</v>
      </c>
      <c r="G309" s="2">
        <v>2</v>
      </c>
      <c r="H309" s="2" t="s">
        <v>5667</v>
      </c>
    </row>
    <row r="310" spans="1:8" ht="15.75" hidden="1" customHeight="1">
      <c r="A310" s="2" t="s">
        <v>6024</v>
      </c>
      <c r="B310" s="2" t="s">
        <v>6039</v>
      </c>
      <c r="C310" s="178" t="s">
        <v>6222</v>
      </c>
      <c r="D310" s="2" t="s">
        <v>481</v>
      </c>
      <c r="F310" s="2">
        <v>38</v>
      </c>
      <c r="G310" s="2">
        <v>2</v>
      </c>
      <c r="H310" s="2" t="s">
        <v>5667</v>
      </c>
    </row>
    <row r="311" spans="1:8" ht="15.75" hidden="1" customHeight="1">
      <c r="A311" s="2" t="s">
        <v>6024</v>
      </c>
      <c r="B311" s="2" t="s">
        <v>6039</v>
      </c>
      <c r="C311" s="178" t="s">
        <v>6223</v>
      </c>
      <c r="D311" s="2" t="s">
        <v>481</v>
      </c>
      <c r="F311" s="2">
        <v>38</v>
      </c>
      <c r="G311" s="2">
        <v>2</v>
      </c>
      <c r="H311" s="2" t="s">
        <v>5667</v>
      </c>
    </row>
    <row r="312" spans="1:8" ht="15.75" hidden="1" customHeight="1">
      <c r="A312" s="2" t="s">
        <v>6024</v>
      </c>
      <c r="B312" s="2" t="s">
        <v>6039</v>
      </c>
      <c r="C312" s="178" t="s">
        <v>6224</v>
      </c>
      <c r="D312" s="2" t="s">
        <v>481</v>
      </c>
      <c r="F312" s="2">
        <v>38</v>
      </c>
      <c r="G312" s="2">
        <v>2</v>
      </c>
      <c r="H312" s="2" t="s">
        <v>5667</v>
      </c>
    </row>
    <row r="313" spans="1:8" ht="15.75" hidden="1" customHeight="1">
      <c r="A313" s="2" t="s">
        <v>6024</v>
      </c>
      <c r="B313" s="2" t="s">
        <v>6039</v>
      </c>
      <c r="C313" s="178" t="s">
        <v>6225</v>
      </c>
      <c r="D313" s="2" t="s">
        <v>481</v>
      </c>
      <c r="F313" s="2">
        <v>38</v>
      </c>
      <c r="G313" s="2">
        <v>2</v>
      </c>
      <c r="H313" s="2" t="s">
        <v>5667</v>
      </c>
    </row>
    <row r="314" spans="1:8" ht="15.75" hidden="1" customHeight="1">
      <c r="A314" s="2" t="s">
        <v>6024</v>
      </c>
      <c r="B314" s="2" t="s">
        <v>6039</v>
      </c>
      <c r="C314" s="178" t="s">
        <v>6226</v>
      </c>
      <c r="D314" s="2" t="s">
        <v>481</v>
      </c>
      <c r="F314" s="2">
        <v>38</v>
      </c>
      <c r="G314" s="2">
        <v>2</v>
      </c>
      <c r="H314" s="2" t="s">
        <v>5667</v>
      </c>
    </row>
    <row r="315" spans="1:8" ht="15.75" hidden="1" customHeight="1">
      <c r="A315" s="2" t="s">
        <v>6024</v>
      </c>
      <c r="B315" s="2" t="s">
        <v>6039</v>
      </c>
      <c r="C315" s="178" t="s">
        <v>6227</v>
      </c>
      <c r="D315" s="2" t="s">
        <v>481</v>
      </c>
      <c r="F315" s="2">
        <v>38</v>
      </c>
      <c r="G315" s="2">
        <v>2</v>
      </c>
      <c r="H315" s="2" t="s">
        <v>5667</v>
      </c>
    </row>
    <row r="316" spans="1:8" ht="15.75" hidden="1" customHeight="1">
      <c r="A316" s="2" t="s">
        <v>6024</v>
      </c>
      <c r="B316" s="2" t="s">
        <v>6039</v>
      </c>
      <c r="C316" s="178" t="s">
        <v>6228</v>
      </c>
      <c r="D316" s="2" t="s">
        <v>481</v>
      </c>
      <c r="F316" s="2">
        <v>38</v>
      </c>
      <c r="G316" s="2">
        <v>2</v>
      </c>
      <c r="H316" s="2" t="s">
        <v>5667</v>
      </c>
    </row>
    <row r="317" spans="1:8" ht="15.75" hidden="1" customHeight="1">
      <c r="A317" s="2" t="s">
        <v>6024</v>
      </c>
      <c r="B317" s="2" t="s">
        <v>6039</v>
      </c>
      <c r="C317" s="178" t="s">
        <v>6229</v>
      </c>
      <c r="D317" s="2" t="s">
        <v>481</v>
      </c>
      <c r="F317" s="2">
        <v>38</v>
      </c>
      <c r="G317" s="2">
        <v>2</v>
      </c>
      <c r="H317" s="2" t="s">
        <v>5667</v>
      </c>
    </row>
    <row r="318" spans="1:8" ht="15.75" hidden="1" customHeight="1">
      <c r="A318" s="2" t="s">
        <v>6024</v>
      </c>
      <c r="B318" s="2" t="s">
        <v>6039</v>
      </c>
      <c r="C318" s="178" t="s">
        <v>6230</v>
      </c>
      <c r="D318" s="2" t="s">
        <v>481</v>
      </c>
      <c r="F318" s="2">
        <v>38</v>
      </c>
      <c r="G318" s="2">
        <v>2</v>
      </c>
      <c r="H318" s="2" t="s">
        <v>5667</v>
      </c>
    </row>
    <row r="319" spans="1:8" ht="15.75" hidden="1" customHeight="1">
      <c r="A319" s="2" t="s">
        <v>6024</v>
      </c>
      <c r="B319" s="2" t="s">
        <v>6039</v>
      </c>
      <c r="C319" s="178" t="s">
        <v>6231</v>
      </c>
      <c r="D319" s="2" t="s">
        <v>481</v>
      </c>
      <c r="F319" s="2">
        <v>38</v>
      </c>
      <c r="G319" s="2">
        <v>2</v>
      </c>
      <c r="H319" s="2" t="s">
        <v>5667</v>
      </c>
    </row>
    <row r="320" spans="1:8" ht="15.75" hidden="1" customHeight="1">
      <c r="A320" s="2" t="s">
        <v>6024</v>
      </c>
      <c r="B320" s="2" t="s">
        <v>6039</v>
      </c>
      <c r="C320" s="178" t="s">
        <v>6232</v>
      </c>
      <c r="D320" s="2" t="s">
        <v>481</v>
      </c>
      <c r="F320" s="2">
        <v>38</v>
      </c>
      <c r="G320" s="2">
        <v>2</v>
      </c>
      <c r="H320" s="2" t="s">
        <v>5667</v>
      </c>
    </row>
    <row r="321" spans="1:8" ht="15.75" hidden="1" customHeight="1">
      <c r="A321" s="2" t="s">
        <v>6024</v>
      </c>
      <c r="B321" s="2" t="s">
        <v>6039</v>
      </c>
      <c r="C321" s="178" t="s">
        <v>6233</v>
      </c>
      <c r="D321" s="2" t="s">
        <v>481</v>
      </c>
      <c r="F321" s="2">
        <v>38</v>
      </c>
      <c r="G321" s="2">
        <v>2</v>
      </c>
      <c r="H321" s="2" t="s">
        <v>5667</v>
      </c>
    </row>
    <row r="322" spans="1:8" ht="15.75" hidden="1" customHeight="1">
      <c r="A322" s="2" t="s">
        <v>6024</v>
      </c>
      <c r="B322" s="2" t="s">
        <v>6039</v>
      </c>
      <c r="C322" s="178" t="s">
        <v>6234</v>
      </c>
      <c r="D322" s="2" t="s">
        <v>481</v>
      </c>
      <c r="F322" s="2">
        <v>38</v>
      </c>
      <c r="G322" s="2">
        <v>2</v>
      </c>
      <c r="H322" s="2" t="s">
        <v>5667</v>
      </c>
    </row>
    <row r="323" spans="1:8" ht="15.75" hidden="1" customHeight="1">
      <c r="A323" s="2" t="s">
        <v>6024</v>
      </c>
      <c r="B323" s="2" t="s">
        <v>6039</v>
      </c>
      <c r="C323" s="178" t="s">
        <v>6235</v>
      </c>
      <c r="D323" s="2" t="s">
        <v>481</v>
      </c>
      <c r="F323" s="2">
        <v>38</v>
      </c>
      <c r="G323" s="2">
        <v>2</v>
      </c>
      <c r="H323" s="2" t="s">
        <v>5667</v>
      </c>
    </row>
    <row r="324" spans="1:8" ht="15.75" hidden="1" customHeight="1">
      <c r="A324" s="2" t="s">
        <v>6024</v>
      </c>
      <c r="B324" s="2" t="s">
        <v>6039</v>
      </c>
      <c r="C324" s="178" t="s">
        <v>6236</v>
      </c>
      <c r="D324" s="2" t="s">
        <v>481</v>
      </c>
      <c r="F324" s="2">
        <v>38</v>
      </c>
      <c r="G324" s="2">
        <v>2</v>
      </c>
      <c r="H324" s="2" t="s">
        <v>5667</v>
      </c>
    </row>
    <row r="325" spans="1:8" ht="15.75" hidden="1" customHeight="1">
      <c r="A325" s="2" t="s">
        <v>6024</v>
      </c>
      <c r="B325" s="2" t="s">
        <v>6039</v>
      </c>
      <c r="C325" s="178" t="s">
        <v>6237</v>
      </c>
      <c r="D325" s="2" t="s">
        <v>481</v>
      </c>
      <c r="F325" s="2">
        <v>38</v>
      </c>
      <c r="G325" s="2">
        <v>2</v>
      </c>
      <c r="H325" s="2" t="s">
        <v>5667</v>
      </c>
    </row>
    <row r="326" spans="1:8" ht="15.75" hidden="1" customHeight="1">
      <c r="A326" s="2" t="s">
        <v>6024</v>
      </c>
      <c r="B326" s="2" t="s">
        <v>6039</v>
      </c>
      <c r="C326" s="178" t="s">
        <v>6238</v>
      </c>
      <c r="D326" s="2" t="s">
        <v>481</v>
      </c>
      <c r="F326" s="2">
        <v>38</v>
      </c>
      <c r="G326" s="2">
        <v>2</v>
      </c>
      <c r="H326" s="2" t="s">
        <v>5667</v>
      </c>
    </row>
    <row r="327" spans="1:8" ht="15.75" hidden="1" customHeight="1">
      <c r="A327" s="2" t="s">
        <v>6024</v>
      </c>
      <c r="B327" s="2" t="s">
        <v>6039</v>
      </c>
      <c r="C327" s="178" t="s">
        <v>6239</v>
      </c>
      <c r="D327" s="2" t="s">
        <v>481</v>
      </c>
      <c r="F327" s="2">
        <v>38</v>
      </c>
      <c r="G327" s="2">
        <v>2</v>
      </c>
      <c r="H327" s="2" t="s">
        <v>5667</v>
      </c>
    </row>
    <row r="328" spans="1:8" ht="15.75" hidden="1" customHeight="1">
      <c r="A328" s="2" t="s">
        <v>6024</v>
      </c>
      <c r="B328" s="2" t="s">
        <v>6039</v>
      </c>
      <c r="C328" s="178" t="s">
        <v>6240</v>
      </c>
      <c r="D328" s="2" t="s">
        <v>481</v>
      </c>
      <c r="F328" s="2">
        <v>38</v>
      </c>
      <c r="G328" s="2">
        <v>2</v>
      </c>
      <c r="H328" s="2" t="s">
        <v>5667</v>
      </c>
    </row>
    <row r="329" spans="1:8" ht="15.75" hidden="1" customHeight="1">
      <c r="A329" s="2" t="s">
        <v>6024</v>
      </c>
      <c r="B329" s="2" t="s">
        <v>6039</v>
      </c>
      <c r="C329" s="178" t="s">
        <v>6241</v>
      </c>
      <c r="D329" s="2" t="s">
        <v>481</v>
      </c>
      <c r="F329" s="2">
        <v>38</v>
      </c>
      <c r="G329" s="2">
        <v>2</v>
      </c>
      <c r="H329" s="2" t="s">
        <v>5667</v>
      </c>
    </row>
    <row r="330" spans="1:8" ht="15.75" hidden="1" customHeight="1">
      <c r="A330" s="2" t="s">
        <v>6024</v>
      </c>
      <c r="B330" s="2" t="s">
        <v>6039</v>
      </c>
      <c r="C330" s="178" t="s">
        <v>6242</v>
      </c>
      <c r="D330" s="2" t="s">
        <v>481</v>
      </c>
      <c r="F330" s="2">
        <v>38</v>
      </c>
      <c r="G330" s="2">
        <v>2</v>
      </c>
      <c r="H330" s="2" t="s">
        <v>5667</v>
      </c>
    </row>
    <row r="331" spans="1:8" ht="15.75" hidden="1" customHeight="1">
      <c r="A331" s="2" t="s">
        <v>6024</v>
      </c>
      <c r="B331" s="2" t="s">
        <v>6039</v>
      </c>
      <c r="C331" s="178" t="s">
        <v>6243</v>
      </c>
      <c r="D331" s="2" t="s">
        <v>481</v>
      </c>
      <c r="F331" s="2">
        <v>38</v>
      </c>
      <c r="G331" s="2">
        <v>2</v>
      </c>
      <c r="H331" s="2" t="s">
        <v>5667</v>
      </c>
    </row>
    <row r="332" spans="1:8" ht="15.75" hidden="1" customHeight="1">
      <c r="A332" s="2" t="s">
        <v>6024</v>
      </c>
      <c r="B332" s="2" t="s">
        <v>6039</v>
      </c>
      <c r="C332" s="178" t="s">
        <v>6244</v>
      </c>
      <c r="D332" s="2" t="s">
        <v>481</v>
      </c>
      <c r="F332" s="2">
        <v>38</v>
      </c>
      <c r="G332" s="2">
        <v>2</v>
      </c>
      <c r="H332" s="2" t="s">
        <v>5667</v>
      </c>
    </row>
    <row r="333" spans="1:8" ht="15.75" hidden="1" customHeight="1">
      <c r="A333" s="2" t="s">
        <v>6024</v>
      </c>
      <c r="B333" s="2" t="s">
        <v>6039</v>
      </c>
      <c r="C333" s="178" t="s">
        <v>6245</v>
      </c>
      <c r="D333" s="2" t="s">
        <v>481</v>
      </c>
      <c r="F333" s="2">
        <v>38</v>
      </c>
      <c r="G333" s="2">
        <v>2</v>
      </c>
      <c r="H333" s="2" t="s">
        <v>5667</v>
      </c>
    </row>
    <row r="334" spans="1:8" ht="15.75" hidden="1" customHeight="1">
      <c r="A334" s="2" t="s">
        <v>6024</v>
      </c>
      <c r="B334" s="2" t="s">
        <v>6039</v>
      </c>
      <c r="C334" s="178" t="s">
        <v>6246</v>
      </c>
      <c r="D334" s="2" t="s">
        <v>481</v>
      </c>
      <c r="F334" s="2">
        <v>38</v>
      </c>
      <c r="G334" s="2">
        <v>2</v>
      </c>
      <c r="H334" s="2" t="s">
        <v>5667</v>
      </c>
    </row>
    <row r="335" spans="1:8" ht="15.75" hidden="1" customHeight="1">
      <c r="A335" s="2" t="s">
        <v>6024</v>
      </c>
      <c r="B335" s="2" t="s">
        <v>6039</v>
      </c>
      <c r="C335" s="178" t="s">
        <v>6247</v>
      </c>
      <c r="D335" s="2" t="s">
        <v>481</v>
      </c>
      <c r="F335" s="2">
        <v>38</v>
      </c>
      <c r="G335" s="2">
        <v>2</v>
      </c>
      <c r="H335" s="2" t="s">
        <v>5667</v>
      </c>
    </row>
    <row r="336" spans="1:8" ht="15.75" hidden="1" customHeight="1">
      <c r="A336" s="2" t="s">
        <v>6024</v>
      </c>
      <c r="B336" s="2" t="s">
        <v>6039</v>
      </c>
      <c r="C336" s="178" t="s">
        <v>6248</v>
      </c>
      <c r="D336" s="2" t="s">
        <v>481</v>
      </c>
      <c r="F336" s="2">
        <v>38</v>
      </c>
      <c r="G336" s="2">
        <v>2</v>
      </c>
      <c r="H336" s="2" t="s">
        <v>5667</v>
      </c>
    </row>
    <row r="337" spans="1:8" ht="15.75" hidden="1" customHeight="1">
      <c r="A337" s="2" t="s">
        <v>6024</v>
      </c>
      <c r="B337" s="2" t="s">
        <v>6039</v>
      </c>
      <c r="C337" s="178" t="s">
        <v>6249</v>
      </c>
      <c r="D337" s="2" t="s">
        <v>481</v>
      </c>
      <c r="F337" s="2">
        <v>38</v>
      </c>
      <c r="G337" s="2">
        <v>2</v>
      </c>
      <c r="H337" s="2" t="s">
        <v>5667</v>
      </c>
    </row>
    <row r="338" spans="1:8" ht="15.75" hidden="1" customHeight="1">
      <c r="A338" s="2" t="s">
        <v>6024</v>
      </c>
      <c r="B338" s="2" t="s">
        <v>6039</v>
      </c>
      <c r="C338" s="178" t="s">
        <v>6250</v>
      </c>
      <c r="D338" s="2" t="s">
        <v>481</v>
      </c>
      <c r="F338" s="2">
        <v>38</v>
      </c>
      <c r="G338" s="2">
        <v>2</v>
      </c>
      <c r="H338" s="2" t="s">
        <v>5667</v>
      </c>
    </row>
    <row r="339" spans="1:8" ht="15.75" hidden="1" customHeight="1">
      <c r="A339" s="2" t="s">
        <v>6024</v>
      </c>
      <c r="B339" s="2" t="s">
        <v>6039</v>
      </c>
      <c r="C339" s="178" t="s">
        <v>6251</v>
      </c>
      <c r="D339" s="2" t="s">
        <v>481</v>
      </c>
      <c r="F339" s="2">
        <v>38</v>
      </c>
      <c r="G339" s="2">
        <v>2</v>
      </c>
      <c r="H339" s="2" t="s">
        <v>5667</v>
      </c>
    </row>
    <row r="340" spans="1:8" ht="15.75" hidden="1" customHeight="1">
      <c r="A340" s="2" t="s">
        <v>6024</v>
      </c>
      <c r="B340" s="2" t="s">
        <v>6039</v>
      </c>
      <c r="C340" s="178" t="s">
        <v>6252</v>
      </c>
      <c r="D340" s="2" t="s">
        <v>481</v>
      </c>
      <c r="F340" s="2">
        <v>38</v>
      </c>
      <c r="G340" s="2">
        <v>2</v>
      </c>
      <c r="H340" s="2" t="s">
        <v>5667</v>
      </c>
    </row>
    <row r="341" spans="1:8" ht="15.75" hidden="1" customHeight="1">
      <c r="A341" s="2" t="s">
        <v>6024</v>
      </c>
      <c r="B341" s="2" t="s">
        <v>6039</v>
      </c>
      <c r="C341" s="178" t="s">
        <v>6253</v>
      </c>
      <c r="D341" s="2" t="s">
        <v>481</v>
      </c>
      <c r="F341" s="2">
        <v>38</v>
      </c>
      <c r="G341" s="2">
        <v>2</v>
      </c>
      <c r="H341" s="2" t="s">
        <v>5667</v>
      </c>
    </row>
    <row r="342" spans="1:8" ht="15.75" hidden="1" customHeight="1">
      <c r="A342" s="2" t="s">
        <v>6024</v>
      </c>
      <c r="B342" s="2" t="s">
        <v>6039</v>
      </c>
      <c r="C342" s="178" t="s">
        <v>6254</v>
      </c>
      <c r="D342" s="2" t="s">
        <v>481</v>
      </c>
      <c r="F342" s="2">
        <v>38</v>
      </c>
      <c r="G342" s="2">
        <v>2</v>
      </c>
      <c r="H342" s="2" t="s">
        <v>5667</v>
      </c>
    </row>
    <row r="343" spans="1:8" ht="15.75" hidden="1" customHeight="1">
      <c r="A343" s="2" t="s">
        <v>6024</v>
      </c>
      <c r="B343" s="2" t="s">
        <v>6039</v>
      </c>
      <c r="C343" s="178" t="s">
        <v>6255</v>
      </c>
      <c r="D343" s="2" t="s">
        <v>481</v>
      </c>
      <c r="F343" s="2">
        <v>38</v>
      </c>
      <c r="G343" s="2">
        <v>2</v>
      </c>
      <c r="H343" s="2" t="s">
        <v>5667</v>
      </c>
    </row>
    <row r="344" spans="1:8" ht="15.75" hidden="1" customHeight="1">
      <c r="A344" s="2" t="s">
        <v>6024</v>
      </c>
      <c r="B344" s="2" t="s">
        <v>6039</v>
      </c>
      <c r="C344" s="178" t="s">
        <v>6256</v>
      </c>
      <c r="D344" s="2" t="s">
        <v>481</v>
      </c>
      <c r="F344" s="2">
        <v>38</v>
      </c>
      <c r="G344" s="2">
        <v>2</v>
      </c>
      <c r="H344" s="2" t="s">
        <v>5667</v>
      </c>
    </row>
    <row r="345" spans="1:8" ht="15.75" hidden="1" customHeight="1">
      <c r="A345" s="2" t="s">
        <v>6024</v>
      </c>
      <c r="B345" s="2" t="s">
        <v>6039</v>
      </c>
      <c r="C345" s="178" t="s">
        <v>6257</v>
      </c>
      <c r="D345" s="2" t="s">
        <v>481</v>
      </c>
      <c r="F345" s="2">
        <v>38</v>
      </c>
      <c r="G345" s="2">
        <v>2</v>
      </c>
      <c r="H345" s="2" t="s">
        <v>5667</v>
      </c>
    </row>
    <row r="346" spans="1:8" ht="15.75" hidden="1" customHeight="1">
      <c r="A346" s="2" t="s">
        <v>6024</v>
      </c>
      <c r="B346" s="2" t="s">
        <v>6039</v>
      </c>
      <c r="C346" s="178" t="s">
        <v>6258</v>
      </c>
      <c r="D346" s="2" t="s">
        <v>481</v>
      </c>
      <c r="F346" s="2">
        <v>38</v>
      </c>
      <c r="G346" s="2">
        <v>2</v>
      </c>
      <c r="H346" s="2" t="s">
        <v>5667</v>
      </c>
    </row>
    <row r="347" spans="1:8" ht="15.75" hidden="1" customHeight="1">
      <c r="A347" s="2" t="s">
        <v>6024</v>
      </c>
      <c r="B347" s="2" t="s">
        <v>6039</v>
      </c>
      <c r="C347" s="178" t="s">
        <v>6259</v>
      </c>
      <c r="D347" s="2" t="s">
        <v>481</v>
      </c>
      <c r="F347" s="2">
        <v>38</v>
      </c>
      <c r="G347" s="2">
        <v>2</v>
      </c>
      <c r="H347" s="2" t="s">
        <v>5667</v>
      </c>
    </row>
    <row r="348" spans="1:8" ht="15.75" hidden="1" customHeight="1">
      <c r="A348" s="2" t="s">
        <v>6024</v>
      </c>
      <c r="B348" s="2" t="s">
        <v>6039</v>
      </c>
      <c r="C348" s="178" t="s">
        <v>6260</v>
      </c>
      <c r="D348" s="2" t="s">
        <v>481</v>
      </c>
      <c r="F348" s="2">
        <v>38</v>
      </c>
      <c r="G348" s="2">
        <v>2</v>
      </c>
      <c r="H348" s="2" t="s">
        <v>5667</v>
      </c>
    </row>
    <row r="349" spans="1:8" ht="15.75" hidden="1" customHeight="1">
      <c r="A349" s="2" t="s">
        <v>6024</v>
      </c>
      <c r="B349" s="2" t="s">
        <v>6039</v>
      </c>
      <c r="C349" s="178" t="s">
        <v>6261</v>
      </c>
      <c r="D349" s="2" t="s">
        <v>481</v>
      </c>
      <c r="F349" s="2">
        <v>38</v>
      </c>
      <c r="G349" s="2">
        <v>2</v>
      </c>
      <c r="H349" s="2" t="s">
        <v>5667</v>
      </c>
    </row>
    <row r="350" spans="1:8" ht="15.75" hidden="1" customHeight="1">
      <c r="A350" s="2" t="s">
        <v>6024</v>
      </c>
      <c r="B350" s="2" t="s">
        <v>6039</v>
      </c>
      <c r="C350" s="178" t="s">
        <v>6262</v>
      </c>
      <c r="D350" s="2" t="s">
        <v>481</v>
      </c>
      <c r="F350" s="2">
        <v>38</v>
      </c>
      <c r="G350" s="2">
        <v>2</v>
      </c>
      <c r="H350" s="2" t="s">
        <v>5667</v>
      </c>
    </row>
    <row r="351" spans="1:8" ht="15.75" hidden="1" customHeight="1">
      <c r="A351" s="2" t="s">
        <v>6024</v>
      </c>
      <c r="B351" s="2" t="s">
        <v>6039</v>
      </c>
      <c r="C351" s="178" t="s">
        <v>6263</v>
      </c>
      <c r="D351" s="2" t="s">
        <v>481</v>
      </c>
      <c r="F351" s="2">
        <v>38</v>
      </c>
      <c r="G351" s="2">
        <v>2</v>
      </c>
      <c r="H351" s="2" t="s">
        <v>5667</v>
      </c>
    </row>
    <row r="352" spans="1:8" ht="15.75" hidden="1" customHeight="1">
      <c r="A352" s="2" t="s">
        <v>6024</v>
      </c>
      <c r="B352" s="2" t="s">
        <v>6039</v>
      </c>
      <c r="C352" s="178" t="s">
        <v>6264</v>
      </c>
      <c r="D352" s="2" t="s">
        <v>481</v>
      </c>
      <c r="F352" s="2">
        <v>38</v>
      </c>
      <c r="G352" s="2">
        <v>2</v>
      </c>
      <c r="H352" s="2" t="s">
        <v>5667</v>
      </c>
    </row>
    <row r="353" spans="1:8" ht="15.75" hidden="1" customHeight="1">
      <c r="A353" s="2" t="s">
        <v>6024</v>
      </c>
      <c r="B353" s="2" t="s">
        <v>6039</v>
      </c>
      <c r="C353" s="178" t="s">
        <v>6265</v>
      </c>
      <c r="D353" s="2" t="s">
        <v>481</v>
      </c>
      <c r="F353" s="2">
        <v>38</v>
      </c>
      <c r="G353" s="2">
        <v>2</v>
      </c>
      <c r="H353" s="2" t="s">
        <v>5667</v>
      </c>
    </row>
    <row r="354" spans="1:8" ht="15.75" hidden="1" customHeight="1">
      <c r="A354" s="2" t="s">
        <v>6024</v>
      </c>
      <c r="B354" s="2" t="s">
        <v>6039</v>
      </c>
      <c r="C354" s="178" t="s">
        <v>6266</v>
      </c>
      <c r="D354" s="2" t="s">
        <v>481</v>
      </c>
      <c r="F354" s="2">
        <v>38</v>
      </c>
      <c r="G354" s="2">
        <v>2</v>
      </c>
      <c r="H354" s="2" t="s">
        <v>5667</v>
      </c>
    </row>
    <row r="355" spans="1:8" ht="15.75" hidden="1" customHeight="1">
      <c r="A355" s="2" t="s">
        <v>6024</v>
      </c>
      <c r="B355" s="2" t="s">
        <v>6039</v>
      </c>
      <c r="C355" s="178" t="s">
        <v>6267</v>
      </c>
      <c r="D355" s="2" t="s">
        <v>481</v>
      </c>
      <c r="F355" s="2">
        <v>38</v>
      </c>
      <c r="G355" s="2">
        <v>2</v>
      </c>
      <c r="H355" s="2" t="s">
        <v>5667</v>
      </c>
    </row>
    <row r="356" spans="1:8" ht="15.75" hidden="1" customHeight="1">
      <c r="A356" s="2" t="s">
        <v>6024</v>
      </c>
      <c r="B356" s="2" t="s">
        <v>6039</v>
      </c>
      <c r="C356" s="178" t="s">
        <v>6268</v>
      </c>
      <c r="D356" s="2" t="s">
        <v>481</v>
      </c>
      <c r="F356" s="2">
        <v>38</v>
      </c>
      <c r="G356" s="2">
        <v>2</v>
      </c>
      <c r="H356" s="2" t="s">
        <v>5667</v>
      </c>
    </row>
    <row r="357" spans="1:8" ht="15.75" hidden="1" customHeight="1">
      <c r="A357" s="2" t="s">
        <v>6024</v>
      </c>
      <c r="B357" s="2" t="s">
        <v>6039</v>
      </c>
      <c r="C357" s="178" t="s">
        <v>6269</v>
      </c>
      <c r="D357" s="2" t="s">
        <v>481</v>
      </c>
      <c r="F357" s="2">
        <v>38</v>
      </c>
      <c r="G357" s="2">
        <v>2</v>
      </c>
      <c r="H357" s="2" t="s">
        <v>5667</v>
      </c>
    </row>
    <row r="358" spans="1:8" ht="15.75" hidden="1" customHeight="1">
      <c r="A358" s="2" t="s">
        <v>6024</v>
      </c>
      <c r="B358" s="2" t="s">
        <v>6039</v>
      </c>
      <c r="C358" s="178" t="s">
        <v>6270</v>
      </c>
      <c r="D358" s="2" t="s">
        <v>481</v>
      </c>
      <c r="F358" s="2">
        <v>38</v>
      </c>
      <c r="G358" s="2">
        <v>2</v>
      </c>
      <c r="H358" s="2" t="s">
        <v>5667</v>
      </c>
    </row>
    <row r="359" spans="1:8" ht="15.75" hidden="1" customHeight="1">
      <c r="A359" s="2" t="s">
        <v>6024</v>
      </c>
      <c r="B359" s="2" t="s">
        <v>6039</v>
      </c>
      <c r="C359" s="178" t="s">
        <v>6271</v>
      </c>
      <c r="D359" s="2" t="s">
        <v>481</v>
      </c>
      <c r="F359" s="2">
        <v>38</v>
      </c>
      <c r="G359" s="2">
        <v>2</v>
      </c>
      <c r="H359" s="2" t="s">
        <v>5667</v>
      </c>
    </row>
    <row r="360" spans="1:8" ht="15.75" hidden="1" customHeight="1">
      <c r="A360" s="2" t="s">
        <v>6024</v>
      </c>
      <c r="B360" s="2" t="s">
        <v>6039</v>
      </c>
      <c r="C360" s="178" t="s">
        <v>6272</v>
      </c>
      <c r="D360" s="2" t="s">
        <v>481</v>
      </c>
      <c r="F360" s="2">
        <v>38</v>
      </c>
      <c r="G360" s="2">
        <v>2</v>
      </c>
      <c r="H360" s="2" t="s">
        <v>5667</v>
      </c>
    </row>
    <row r="361" spans="1:8" ht="15.75" hidden="1" customHeight="1">
      <c r="A361" s="2" t="s">
        <v>6024</v>
      </c>
      <c r="B361" s="2" t="s">
        <v>6039</v>
      </c>
      <c r="C361" s="178" t="s">
        <v>6273</v>
      </c>
      <c r="D361" s="2" t="s">
        <v>481</v>
      </c>
      <c r="F361" s="2">
        <v>38</v>
      </c>
      <c r="G361" s="2">
        <v>2</v>
      </c>
      <c r="H361" s="2" t="s">
        <v>5667</v>
      </c>
    </row>
    <row r="362" spans="1:8" ht="15.75" hidden="1" customHeight="1">
      <c r="A362" s="2" t="s">
        <v>6024</v>
      </c>
      <c r="B362" s="2" t="s">
        <v>6039</v>
      </c>
      <c r="C362" s="178" t="s">
        <v>6274</v>
      </c>
      <c r="D362" s="2" t="s">
        <v>481</v>
      </c>
      <c r="F362" s="2">
        <v>38</v>
      </c>
      <c r="G362" s="2">
        <v>2</v>
      </c>
      <c r="H362" s="2" t="s">
        <v>5667</v>
      </c>
    </row>
    <row r="363" spans="1:8" ht="15.75" hidden="1" customHeight="1">
      <c r="A363" s="2" t="s">
        <v>6024</v>
      </c>
      <c r="B363" s="2" t="s">
        <v>6039</v>
      </c>
      <c r="C363" s="178" t="s">
        <v>6275</v>
      </c>
      <c r="D363" s="2" t="s">
        <v>481</v>
      </c>
      <c r="F363" s="2">
        <v>38</v>
      </c>
      <c r="G363" s="2">
        <v>2</v>
      </c>
      <c r="H363" s="2" t="s">
        <v>5667</v>
      </c>
    </row>
    <row r="364" spans="1:8" ht="15.75" hidden="1" customHeight="1">
      <c r="A364" s="2" t="s">
        <v>6024</v>
      </c>
      <c r="B364" s="2" t="s">
        <v>6039</v>
      </c>
      <c r="C364" s="178" t="s">
        <v>6276</v>
      </c>
      <c r="D364" s="2" t="s">
        <v>481</v>
      </c>
      <c r="F364" s="2">
        <v>38</v>
      </c>
      <c r="G364" s="2">
        <v>2</v>
      </c>
      <c r="H364" s="2" t="s">
        <v>5667</v>
      </c>
    </row>
    <row r="365" spans="1:8" ht="15.75" hidden="1" customHeight="1">
      <c r="A365" s="2" t="s">
        <v>6024</v>
      </c>
      <c r="B365" s="2" t="s">
        <v>6039</v>
      </c>
      <c r="C365" s="178" t="s">
        <v>6277</v>
      </c>
      <c r="D365" s="2" t="s">
        <v>481</v>
      </c>
      <c r="F365" s="2">
        <v>38</v>
      </c>
      <c r="G365" s="2">
        <v>2</v>
      </c>
      <c r="H365" s="2" t="s">
        <v>5667</v>
      </c>
    </row>
    <row r="366" spans="1:8" ht="15.75" hidden="1" customHeight="1">
      <c r="A366" s="2" t="s">
        <v>6024</v>
      </c>
      <c r="B366" s="2" t="s">
        <v>6039</v>
      </c>
      <c r="C366" s="178" t="s">
        <v>6278</v>
      </c>
      <c r="D366" s="2" t="s">
        <v>481</v>
      </c>
      <c r="F366" s="2">
        <v>38</v>
      </c>
      <c r="G366" s="2">
        <v>2</v>
      </c>
      <c r="H366" s="2" t="s">
        <v>5667</v>
      </c>
    </row>
    <row r="367" spans="1:8" ht="15.75" hidden="1" customHeight="1">
      <c r="A367" s="2" t="s">
        <v>6024</v>
      </c>
      <c r="B367" s="2" t="s">
        <v>6039</v>
      </c>
      <c r="C367" s="178" t="s">
        <v>6279</v>
      </c>
      <c r="D367" s="2" t="s">
        <v>481</v>
      </c>
      <c r="F367" s="2">
        <v>38</v>
      </c>
      <c r="G367" s="2">
        <v>2</v>
      </c>
      <c r="H367" s="2" t="s">
        <v>5667</v>
      </c>
    </row>
    <row r="368" spans="1:8" ht="15.75" hidden="1" customHeight="1">
      <c r="A368" s="2" t="s">
        <v>6024</v>
      </c>
      <c r="B368" s="2" t="s">
        <v>6039</v>
      </c>
      <c r="C368" s="178" t="s">
        <v>6280</v>
      </c>
      <c r="D368" s="2" t="s">
        <v>481</v>
      </c>
      <c r="F368" s="2">
        <v>38</v>
      </c>
      <c r="G368" s="2">
        <v>2</v>
      </c>
      <c r="H368" s="2" t="s">
        <v>5667</v>
      </c>
    </row>
    <row r="369" spans="1:8" ht="15.75" hidden="1" customHeight="1">
      <c r="A369" s="2" t="s">
        <v>6024</v>
      </c>
      <c r="B369" s="2" t="s">
        <v>6039</v>
      </c>
      <c r="C369" s="178" t="s">
        <v>6281</v>
      </c>
      <c r="D369" s="2" t="s">
        <v>481</v>
      </c>
      <c r="F369" s="2">
        <v>38</v>
      </c>
      <c r="G369" s="2">
        <v>2</v>
      </c>
      <c r="H369" s="2" t="s">
        <v>5667</v>
      </c>
    </row>
    <row r="370" spans="1:8" ht="15.75" hidden="1" customHeight="1">
      <c r="A370" s="2" t="s">
        <v>6024</v>
      </c>
      <c r="B370" s="2" t="s">
        <v>6039</v>
      </c>
      <c r="C370" s="178" t="s">
        <v>6282</v>
      </c>
      <c r="D370" s="2" t="s">
        <v>481</v>
      </c>
      <c r="F370" s="2">
        <v>38</v>
      </c>
      <c r="G370" s="2">
        <v>2</v>
      </c>
      <c r="H370" s="2" t="s">
        <v>5667</v>
      </c>
    </row>
    <row r="371" spans="1:8" ht="15.75" hidden="1" customHeight="1">
      <c r="A371" s="2" t="s">
        <v>6024</v>
      </c>
      <c r="B371" s="2" t="s">
        <v>6039</v>
      </c>
      <c r="C371" s="178" t="s">
        <v>6283</v>
      </c>
      <c r="D371" s="2" t="s">
        <v>481</v>
      </c>
      <c r="F371" s="2">
        <v>38</v>
      </c>
      <c r="G371" s="2">
        <v>2</v>
      </c>
      <c r="H371" s="2" t="s">
        <v>5667</v>
      </c>
    </row>
    <row r="372" spans="1:8" ht="15.75" hidden="1" customHeight="1">
      <c r="A372" s="2" t="s">
        <v>6024</v>
      </c>
      <c r="B372" s="2" t="s">
        <v>6039</v>
      </c>
      <c r="C372" s="178" t="s">
        <v>6284</v>
      </c>
      <c r="D372" s="2" t="s">
        <v>481</v>
      </c>
      <c r="F372" s="2">
        <v>38</v>
      </c>
      <c r="G372" s="2">
        <v>2</v>
      </c>
      <c r="H372" s="2" t="s">
        <v>5667</v>
      </c>
    </row>
    <row r="373" spans="1:8" ht="15.75" hidden="1" customHeight="1">
      <c r="A373" s="2" t="s">
        <v>6024</v>
      </c>
      <c r="B373" s="2" t="s">
        <v>6039</v>
      </c>
      <c r="C373" s="178" t="s">
        <v>6285</v>
      </c>
      <c r="D373" s="2" t="s">
        <v>481</v>
      </c>
      <c r="F373" s="2">
        <v>38</v>
      </c>
      <c r="G373" s="2">
        <v>2</v>
      </c>
      <c r="H373" s="2" t="s">
        <v>5667</v>
      </c>
    </row>
    <row r="374" spans="1:8" ht="15.75" hidden="1" customHeight="1">
      <c r="A374" s="2" t="s">
        <v>6024</v>
      </c>
      <c r="B374" s="2" t="s">
        <v>6039</v>
      </c>
      <c r="C374" s="178" t="s">
        <v>6286</v>
      </c>
      <c r="D374" s="2" t="s">
        <v>481</v>
      </c>
      <c r="F374" s="2">
        <v>38</v>
      </c>
      <c r="G374" s="2">
        <v>2</v>
      </c>
      <c r="H374" s="2" t="s">
        <v>5667</v>
      </c>
    </row>
    <row r="375" spans="1:8" ht="15.75" hidden="1" customHeight="1">
      <c r="A375" s="2" t="s">
        <v>6024</v>
      </c>
      <c r="B375" s="2" t="s">
        <v>6039</v>
      </c>
      <c r="C375" s="178" t="s">
        <v>6287</v>
      </c>
      <c r="D375" s="2" t="s">
        <v>481</v>
      </c>
      <c r="F375" s="2">
        <v>38</v>
      </c>
      <c r="G375" s="2">
        <v>2</v>
      </c>
      <c r="H375" s="2" t="s">
        <v>5667</v>
      </c>
    </row>
    <row r="376" spans="1:8" ht="15.75" hidden="1" customHeight="1">
      <c r="A376" s="2" t="s">
        <v>6024</v>
      </c>
      <c r="B376" s="2" t="s">
        <v>6039</v>
      </c>
      <c r="C376" s="178" t="s">
        <v>6288</v>
      </c>
      <c r="D376" s="2" t="s">
        <v>481</v>
      </c>
      <c r="F376" s="2">
        <v>38</v>
      </c>
      <c r="G376" s="2">
        <v>2</v>
      </c>
      <c r="H376" s="2" t="s">
        <v>5667</v>
      </c>
    </row>
    <row r="377" spans="1:8" ht="15.75" hidden="1" customHeight="1">
      <c r="A377" s="2" t="s">
        <v>6024</v>
      </c>
      <c r="B377" s="2" t="s">
        <v>6039</v>
      </c>
      <c r="C377" s="178" t="s">
        <v>6289</v>
      </c>
      <c r="D377" s="2" t="s">
        <v>481</v>
      </c>
      <c r="F377" s="2">
        <v>38</v>
      </c>
      <c r="G377" s="2">
        <v>2</v>
      </c>
      <c r="H377" s="2" t="s">
        <v>5667</v>
      </c>
    </row>
    <row r="378" spans="1:8" ht="15.75" hidden="1" customHeight="1">
      <c r="A378" s="2" t="s">
        <v>6024</v>
      </c>
      <c r="B378" s="2" t="s">
        <v>6039</v>
      </c>
      <c r="C378" s="178" t="s">
        <v>6290</v>
      </c>
      <c r="D378" s="2" t="s">
        <v>481</v>
      </c>
      <c r="F378" s="2">
        <v>38</v>
      </c>
      <c r="G378" s="2">
        <v>2</v>
      </c>
      <c r="H378" s="2" t="s">
        <v>5667</v>
      </c>
    </row>
    <row r="379" spans="1:8" ht="15.75" hidden="1" customHeight="1">
      <c r="A379" s="2" t="s">
        <v>6024</v>
      </c>
      <c r="B379" s="2" t="s">
        <v>6039</v>
      </c>
      <c r="C379" s="178" t="s">
        <v>6291</v>
      </c>
      <c r="D379" s="2" t="s">
        <v>481</v>
      </c>
      <c r="F379" s="2">
        <v>38</v>
      </c>
      <c r="G379" s="2">
        <v>2</v>
      </c>
      <c r="H379" s="2" t="s">
        <v>5667</v>
      </c>
    </row>
    <row r="380" spans="1:8" ht="15.75" hidden="1" customHeight="1">
      <c r="A380" s="2" t="s">
        <v>6024</v>
      </c>
      <c r="B380" s="2" t="s">
        <v>6039</v>
      </c>
      <c r="C380" s="178" t="s">
        <v>6292</v>
      </c>
      <c r="D380" s="2" t="s">
        <v>481</v>
      </c>
      <c r="F380" s="2">
        <v>38</v>
      </c>
      <c r="G380" s="2">
        <v>2</v>
      </c>
      <c r="H380" s="2" t="s">
        <v>5667</v>
      </c>
    </row>
    <row r="381" spans="1:8" ht="15.75" hidden="1" customHeight="1">
      <c r="A381" s="2" t="s">
        <v>6024</v>
      </c>
      <c r="B381" s="2" t="s">
        <v>6039</v>
      </c>
      <c r="C381" s="178" t="s">
        <v>6293</v>
      </c>
      <c r="D381" s="2" t="s">
        <v>481</v>
      </c>
      <c r="F381" s="2">
        <v>38</v>
      </c>
      <c r="G381" s="2">
        <v>2</v>
      </c>
      <c r="H381" s="2" t="s">
        <v>5667</v>
      </c>
    </row>
    <row r="382" spans="1:8" ht="15.75" hidden="1" customHeight="1">
      <c r="A382" s="2" t="s">
        <v>6024</v>
      </c>
      <c r="B382" s="2" t="s">
        <v>6039</v>
      </c>
      <c r="C382" s="178" t="s">
        <v>6294</v>
      </c>
      <c r="D382" s="2" t="s">
        <v>481</v>
      </c>
      <c r="F382" s="2">
        <v>38</v>
      </c>
      <c r="G382" s="2">
        <v>2</v>
      </c>
      <c r="H382" s="2" t="s">
        <v>5667</v>
      </c>
    </row>
    <row r="383" spans="1:8" ht="15.75" hidden="1" customHeight="1">
      <c r="A383" s="2" t="s">
        <v>6024</v>
      </c>
      <c r="B383" s="2" t="s">
        <v>6039</v>
      </c>
      <c r="C383" s="178" t="s">
        <v>6295</v>
      </c>
      <c r="D383" s="2" t="s">
        <v>481</v>
      </c>
      <c r="F383" s="2">
        <v>38</v>
      </c>
      <c r="G383" s="2">
        <v>2</v>
      </c>
      <c r="H383" s="2" t="s">
        <v>5667</v>
      </c>
    </row>
    <row r="384" spans="1:8" ht="15.75" hidden="1" customHeight="1">
      <c r="A384" s="2" t="s">
        <v>6024</v>
      </c>
      <c r="B384" s="2" t="s">
        <v>6039</v>
      </c>
      <c r="C384" s="178" t="s">
        <v>6296</v>
      </c>
      <c r="D384" s="2" t="s">
        <v>481</v>
      </c>
      <c r="F384" s="2">
        <v>38</v>
      </c>
      <c r="G384" s="2">
        <v>2</v>
      </c>
      <c r="H384" s="2" t="s">
        <v>5667</v>
      </c>
    </row>
    <row r="385" spans="1:8" ht="15.75" hidden="1" customHeight="1">
      <c r="A385" s="2" t="s">
        <v>6024</v>
      </c>
      <c r="B385" s="2" t="s">
        <v>6039</v>
      </c>
      <c r="C385" s="178" t="s">
        <v>6297</v>
      </c>
      <c r="D385" s="2" t="s">
        <v>481</v>
      </c>
      <c r="F385" s="2">
        <v>38</v>
      </c>
      <c r="G385" s="2">
        <v>2</v>
      </c>
      <c r="H385" s="2" t="s">
        <v>5667</v>
      </c>
    </row>
    <row r="386" spans="1:8" ht="15.75" hidden="1" customHeight="1">
      <c r="A386" s="2" t="s">
        <v>6024</v>
      </c>
      <c r="B386" s="2" t="s">
        <v>6039</v>
      </c>
      <c r="C386" s="178" t="s">
        <v>6298</v>
      </c>
      <c r="D386" s="2" t="s">
        <v>481</v>
      </c>
      <c r="F386" s="2">
        <v>38</v>
      </c>
      <c r="G386" s="2">
        <v>2</v>
      </c>
      <c r="H386" s="2" t="s">
        <v>5667</v>
      </c>
    </row>
    <row r="387" spans="1:8" ht="15.75" hidden="1" customHeight="1">
      <c r="A387" s="2" t="s">
        <v>6024</v>
      </c>
      <c r="B387" s="2" t="s">
        <v>6039</v>
      </c>
      <c r="C387" s="178" t="s">
        <v>6299</v>
      </c>
      <c r="D387" s="2" t="s">
        <v>481</v>
      </c>
      <c r="F387" s="2">
        <v>38</v>
      </c>
      <c r="G387" s="2">
        <v>2</v>
      </c>
      <c r="H387" s="2" t="s">
        <v>5667</v>
      </c>
    </row>
    <row r="388" spans="1:8" ht="15.75" hidden="1" customHeight="1">
      <c r="A388" s="2" t="s">
        <v>6024</v>
      </c>
      <c r="B388" s="2" t="s">
        <v>6039</v>
      </c>
      <c r="C388" s="178" t="s">
        <v>6300</v>
      </c>
      <c r="D388" s="2" t="s">
        <v>481</v>
      </c>
      <c r="F388" s="2">
        <v>38</v>
      </c>
      <c r="G388" s="2">
        <v>2</v>
      </c>
      <c r="H388" s="2" t="s">
        <v>5667</v>
      </c>
    </row>
    <row r="389" spans="1:8" ht="15.75" hidden="1" customHeight="1">
      <c r="A389" s="2" t="s">
        <v>6024</v>
      </c>
      <c r="B389" s="2" t="s">
        <v>6039</v>
      </c>
      <c r="C389" s="178" t="s">
        <v>6301</v>
      </c>
      <c r="D389" s="2" t="s">
        <v>481</v>
      </c>
      <c r="F389" s="2">
        <v>38</v>
      </c>
      <c r="G389" s="2">
        <v>2</v>
      </c>
      <c r="H389" s="2" t="s">
        <v>5667</v>
      </c>
    </row>
    <row r="390" spans="1:8" ht="15.75" hidden="1" customHeight="1">
      <c r="A390" s="2" t="s">
        <v>6024</v>
      </c>
      <c r="B390" s="2" t="s">
        <v>6039</v>
      </c>
      <c r="C390" s="178" t="s">
        <v>6302</v>
      </c>
      <c r="D390" s="2" t="s">
        <v>481</v>
      </c>
      <c r="F390" s="2">
        <v>38</v>
      </c>
      <c r="G390" s="2">
        <v>2</v>
      </c>
      <c r="H390" s="2" t="s">
        <v>5667</v>
      </c>
    </row>
    <row r="391" spans="1:8" ht="15.75" hidden="1" customHeight="1">
      <c r="A391" s="2" t="s">
        <v>6024</v>
      </c>
      <c r="B391" s="2" t="s">
        <v>6039</v>
      </c>
      <c r="C391" s="178" t="s">
        <v>6303</v>
      </c>
      <c r="D391" s="2" t="s">
        <v>481</v>
      </c>
      <c r="F391" s="2">
        <v>38</v>
      </c>
      <c r="G391" s="2">
        <v>2</v>
      </c>
      <c r="H391" s="2" t="s">
        <v>5667</v>
      </c>
    </row>
    <row r="392" spans="1:8" ht="15.75" hidden="1" customHeight="1">
      <c r="A392" s="2" t="s">
        <v>6024</v>
      </c>
      <c r="B392" s="2" t="s">
        <v>6039</v>
      </c>
      <c r="C392" s="178" t="s">
        <v>6304</v>
      </c>
      <c r="D392" s="2" t="s">
        <v>481</v>
      </c>
      <c r="F392" s="2">
        <v>38</v>
      </c>
      <c r="G392" s="2">
        <v>2</v>
      </c>
      <c r="H392" s="2" t="s">
        <v>5667</v>
      </c>
    </row>
    <row r="393" spans="1:8" ht="15.75" hidden="1" customHeight="1">
      <c r="A393" s="2" t="s">
        <v>6024</v>
      </c>
      <c r="B393" s="2" t="s">
        <v>6039</v>
      </c>
      <c r="C393" s="178" t="s">
        <v>6305</v>
      </c>
      <c r="D393" s="2" t="s">
        <v>481</v>
      </c>
      <c r="F393" s="2">
        <v>38</v>
      </c>
      <c r="G393" s="2">
        <v>2</v>
      </c>
      <c r="H393" s="2" t="s">
        <v>5667</v>
      </c>
    </row>
    <row r="394" spans="1:8" ht="15.75" hidden="1" customHeight="1">
      <c r="A394" s="2" t="s">
        <v>6024</v>
      </c>
      <c r="B394" s="2" t="s">
        <v>6039</v>
      </c>
      <c r="C394" s="178" t="s">
        <v>6112</v>
      </c>
      <c r="D394" s="2" t="s">
        <v>800</v>
      </c>
      <c r="H394" s="2" t="s">
        <v>5665</v>
      </c>
    </row>
    <row r="395" spans="1:8" ht="15.75" hidden="1" customHeight="1">
      <c r="A395" s="2" t="s">
        <v>6024</v>
      </c>
      <c r="B395" s="2" t="s">
        <v>6039</v>
      </c>
      <c r="C395" s="178" t="s">
        <v>6113</v>
      </c>
      <c r="D395" s="2" t="s">
        <v>1796</v>
      </c>
      <c r="E395" s="2">
        <v>100</v>
      </c>
      <c r="H395" s="2" t="s">
        <v>5667</v>
      </c>
    </row>
    <row r="396" spans="1:8" ht="15.75" hidden="1" customHeight="1">
      <c r="A396" s="2" t="s">
        <v>6024</v>
      </c>
      <c r="B396" s="2" t="s">
        <v>6039</v>
      </c>
      <c r="C396" s="178" t="s">
        <v>6114</v>
      </c>
      <c r="D396" s="2" t="s">
        <v>484</v>
      </c>
      <c r="F396" s="2">
        <v>10</v>
      </c>
      <c r="G396" s="2">
        <v>0</v>
      </c>
      <c r="H396" s="2" t="s">
        <v>5667</v>
      </c>
    </row>
    <row r="397" spans="1:8" ht="15.75" hidden="1" customHeight="1">
      <c r="A397" s="2" t="s">
        <v>6024</v>
      </c>
      <c r="B397" s="2" t="s">
        <v>6039</v>
      </c>
      <c r="C397" s="178" t="s">
        <v>6027</v>
      </c>
      <c r="D397" s="2" t="s">
        <v>800</v>
      </c>
      <c r="H397" s="2" t="s">
        <v>5665</v>
      </c>
    </row>
    <row r="398" spans="1:8" ht="15.75" hidden="1" customHeight="1">
      <c r="A398" s="2" t="s">
        <v>6024</v>
      </c>
      <c r="B398" s="2" t="s">
        <v>6039</v>
      </c>
      <c r="C398" s="178" t="s">
        <v>6115</v>
      </c>
      <c r="D398" s="2" t="s">
        <v>1796</v>
      </c>
      <c r="E398" s="2">
        <v>100</v>
      </c>
      <c r="H398" s="2" t="s">
        <v>5667</v>
      </c>
    </row>
    <row r="399" spans="1:8" ht="15.75" hidden="1" customHeight="1">
      <c r="A399" s="2" t="s">
        <v>6024</v>
      </c>
      <c r="B399" s="2" t="s">
        <v>6039</v>
      </c>
      <c r="C399" s="178" t="s">
        <v>6116</v>
      </c>
      <c r="D399" s="2" t="s">
        <v>484</v>
      </c>
      <c r="F399" s="2">
        <v>10</v>
      </c>
      <c r="G399" s="2">
        <v>0</v>
      </c>
      <c r="H399" s="2" t="s">
        <v>5667</v>
      </c>
    </row>
    <row r="400" spans="1:8" ht="15.75" hidden="1" customHeight="1">
      <c r="A400" s="2" t="s">
        <v>6024</v>
      </c>
      <c r="B400" s="2" t="s">
        <v>6039</v>
      </c>
      <c r="C400" s="178" t="s">
        <v>6117</v>
      </c>
      <c r="D400" s="2" t="s">
        <v>1796</v>
      </c>
      <c r="E400" s="2">
        <v>250</v>
      </c>
      <c r="H400" s="2" t="s">
        <v>5667</v>
      </c>
    </row>
    <row r="401" spans="1:8" ht="15.75" hidden="1" customHeight="1">
      <c r="A401" s="2" t="s">
        <v>6024</v>
      </c>
      <c r="B401" s="2" t="s">
        <v>6040</v>
      </c>
      <c r="C401" s="178" t="s">
        <v>325</v>
      </c>
      <c r="D401" s="2" t="s">
        <v>484</v>
      </c>
      <c r="F401" s="2">
        <v>10</v>
      </c>
      <c r="G401" s="2">
        <v>0</v>
      </c>
      <c r="H401" s="2" t="s">
        <v>5665</v>
      </c>
    </row>
    <row r="402" spans="1:8" ht="15.75" hidden="1" customHeight="1">
      <c r="A402" s="2" t="s">
        <v>6024</v>
      </c>
      <c r="B402" s="2" t="s">
        <v>6040</v>
      </c>
      <c r="C402" s="178" t="s">
        <v>6090</v>
      </c>
      <c r="D402" s="2" t="s">
        <v>6118</v>
      </c>
      <c r="H402" s="2" t="s">
        <v>5665</v>
      </c>
    </row>
    <row r="403" spans="1:8" ht="15.75" hidden="1" customHeight="1">
      <c r="A403" s="2" t="s">
        <v>6024</v>
      </c>
      <c r="B403" s="2" t="s">
        <v>6040</v>
      </c>
      <c r="C403" s="178" t="s">
        <v>6092</v>
      </c>
      <c r="D403" s="2" t="s">
        <v>1796</v>
      </c>
      <c r="E403" s="2">
        <v>50</v>
      </c>
      <c r="H403" s="2" t="s">
        <v>5665</v>
      </c>
    </row>
    <row r="404" spans="1:8" ht="15.75" hidden="1" customHeight="1">
      <c r="A404" s="2" t="s">
        <v>6024</v>
      </c>
      <c r="B404" s="2" t="s">
        <v>6040</v>
      </c>
      <c r="C404" s="178" t="s">
        <v>6093</v>
      </c>
      <c r="D404" s="2" t="s">
        <v>484</v>
      </c>
      <c r="F404" s="2">
        <v>10</v>
      </c>
      <c r="G404" s="2">
        <v>0</v>
      </c>
      <c r="H404" s="2" t="s">
        <v>5665</v>
      </c>
    </row>
    <row r="405" spans="1:8" ht="15.75" hidden="1" customHeight="1">
      <c r="A405" s="2" t="s">
        <v>6024</v>
      </c>
      <c r="B405" s="2" t="s">
        <v>6040</v>
      </c>
      <c r="C405" s="178" t="s">
        <v>6094</v>
      </c>
      <c r="D405" s="2" t="s">
        <v>484</v>
      </c>
      <c r="F405" s="2">
        <v>10</v>
      </c>
      <c r="G405" s="2">
        <v>0</v>
      </c>
      <c r="H405" s="2" t="s">
        <v>5665</v>
      </c>
    </row>
    <row r="406" spans="1:8" ht="15.75" hidden="1" customHeight="1">
      <c r="A406" s="2" t="s">
        <v>6024</v>
      </c>
      <c r="B406" s="2" t="s">
        <v>6040</v>
      </c>
      <c r="C406" s="178" t="s">
        <v>6095</v>
      </c>
      <c r="D406" s="2" t="s">
        <v>1796</v>
      </c>
      <c r="E406" s="2">
        <v>50</v>
      </c>
      <c r="H406" s="2" t="s">
        <v>5667</v>
      </c>
    </row>
    <row r="407" spans="1:8" ht="15.75" hidden="1" customHeight="1">
      <c r="A407" s="2" t="s">
        <v>6024</v>
      </c>
      <c r="B407" s="2" t="s">
        <v>6040</v>
      </c>
      <c r="C407" s="178" t="s">
        <v>4306</v>
      </c>
      <c r="D407" s="2" t="s">
        <v>1796</v>
      </c>
      <c r="E407" s="2">
        <v>250</v>
      </c>
      <c r="H407" s="2" t="s">
        <v>5667</v>
      </c>
    </row>
    <row r="408" spans="1:8" ht="15.75" hidden="1" customHeight="1">
      <c r="A408" s="2" t="s">
        <v>6024</v>
      </c>
      <c r="B408" s="2" t="s">
        <v>6040</v>
      </c>
      <c r="C408" s="178" t="s">
        <v>4246</v>
      </c>
      <c r="D408" s="2" t="s">
        <v>1796</v>
      </c>
      <c r="E408" s="2">
        <v>250</v>
      </c>
      <c r="H408" s="2" t="s">
        <v>5665</v>
      </c>
    </row>
    <row r="409" spans="1:8" ht="15.75" hidden="1" customHeight="1">
      <c r="A409" s="2" t="s">
        <v>6024</v>
      </c>
      <c r="B409" s="2" t="s">
        <v>6040</v>
      </c>
      <c r="C409" s="178" t="s">
        <v>6096</v>
      </c>
      <c r="D409" s="2" t="s">
        <v>484</v>
      </c>
      <c r="F409" s="2">
        <v>10</v>
      </c>
      <c r="G409" s="2">
        <v>0</v>
      </c>
      <c r="H409" s="2" t="s">
        <v>5665</v>
      </c>
    </row>
    <row r="410" spans="1:8" ht="15.75" hidden="1" customHeight="1">
      <c r="A410" s="2" t="s">
        <v>6024</v>
      </c>
      <c r="B410" s="2" t="s">
        <v>6040</v>
      </c>
      <c r="C410" s="178" t="s">
        <v>6212</v>
      </c>
      <c r="D410" s="2" t="s">
        <v>800</v>
      </c>
      <c r="H410" s="2" t="s">
        <v>5667</v>
      </c>
    </row>
    <row r="411" spans="1:8" ht="15.75" hidden="1" customHeight="1">
      <c r="A411" s="2" t="s">
        <v>6024</v>
      </c>
      <c r="B411" s="2" t="s">
        <v>6040</v>
      </c>
      <c r="C411" s="178" t="s">
        <v>6306</v>
      </c>
      <c r="D411" s="2" t="s">
        <v>481</v>
      </c>
      <c r="F411" s="2">
        <v>38</v>
      </c>
      <c r="G411" s="2">
        <v>2</v>
      </c>
      <c r="H411" s="2" t="s">
        <v>5667</v>
      </c>
    </row>
    <row r="412" spans="1:8" ht="15.75" hidden="1" customHeight="1">
      <c r="A412" s="2" t="s">
        <v>6024</v>
      </c>
      <c r="B412" s="2" t="s">
        <v>6040</v>
      </c>
      <c r="C412" s="178" t="s">
        <v>6307</v>
      </c>
      <c r="D412" s="2" t="s">
        <v>481</v>
      </c>
      <c r="F412" s="2">
        <v>38</v>
      </c>
      <c r="G412" s="2">
        <v>2</v>
      </c>
      <c r="H412" s="2" t="s">
        <v>5667</v>
      </c>
    </row>
    <row r="413" spans="1:8" ht="15.75" hidden="1" customHeight="1">
      <c r="A413" s="2" t="s">
        <v>6024</v>
      </c>
      <c r="B413" s="2" t="s">
        <v>6040</v>
      </c>
      <c r="C413" s="178" t="s">
        <v>6308</v>
      </c>
      <c r="D413" s="2" t="s">
        <v>481</v>
      </c>
      <c r="F413" s="2">
        <v>38</v>
      </c>
      <c r="G413" s="2">
        <v>2</v>
      </c>
      <c r="H413" s="2" t="s">
        <v>5667</v>
      </c>
    </row>
    <row r="414" spans="1:8" ht="15.75" hidden="1" customHeight="1">
      <c r="A414" s="2" t="s">
        <v>6024</v>
      </c>
      <c r="B414" s="2" t="s">
        <v>6040</v>
      </c>
      <c r="C414" s="178" t="s">
        <v>6309</v>
      </c>
      <c r="D414" s="2" t="s">
        <v>481</v>
      </c>
      <c r="F414" s="2">
        <v>38</v>
      </c>
      <c r="G414" s="2">
        <v>2</v>
      </c>
      <c r="H414" s="2" t="s">
        <v>5667</v>
      </c>
    </row>
    <row r="415" spans="1:8" ht="15.75" hidden="1" customHeight="1">
      <c r="A415" s="2" t="s">
        <v>6024</v>
      </c>
      <c r="B415" s="2" t="s">
        <v>6040</v>
      </c>
      <c r="C415" s="178" t="s">
        <v>6310</v>
      </c>
      <c r="D415" s="2" t="s">
        <v>481</v>
      </c>
      <c r="F415" s="2">
        <v>38</v>
      </c>
      <c r="G415" s="2">
        <v>2</v>
      </c>
      <c r="H415" s="2" t="s">
        <v>5667</v>
      </c>
    </row>
    <row r="416" spans="1:8" ht="15.75" hidden="1" customHeight="1">
      <c r="A416" s="2" t="s">
        <v>6024</v>
      </c>
      <c r="B416" s="2" t="s">
        <v>6040</v>
      </c>
      <c r="C416" s="178" t="s">
        <v>6311</v>
      </c>
      <c r="D416" s="2" t="s">
        <v>481</v>
      </c>
      <c r="F416" s="2">
        <v>38</v>
      </c>
      <c r="G416" s="2">
        <v>2</v>
      </c>
      <c r="H416" s="2" t="s">
        <v>5667</v>
      </c>
    </row>
    <row r="417" spans="1:8" ht="15.75" hidden="1" customHeight="1">
      <c r="A417" s="2" t="s">
        <v>6024</v>
      </c>
      <c r="B417" s="2" t="s">
        <v>6040</v>
      </c>
      <c r="C417" s="178" t="s">
        <v>6312</v>
      </c>
      <c r="D417" s="2" t="s">
        <v>481</v>
      </c>
      <c r="F417" s="2">
        <v>38</v>
      </c>
      <c r="G417" s="2">
        <v>2</v>
      </c>
      <c r="H417" s="2" t="s">
        <v>5667</v>
      </c>
    </row>
    <row r="418" spans="1:8" ht="15.75" hidden="1" customHeight="1">
      <c r="A418" s="2" t="s">
        <v>6024</v>
      </c>
      <c r="B418" s="2" t="s">
        <v>6040</v>
      </c>
      <c r="C418" s="178" t="s">
        <v>6313</v>
      </c>
      <c r="D418" s="2" t="s">
        <v>481</v>
      </c>
      <c r="F418" s="2">
        <v>38</v>
      </c>
      <c r="G418" s="2">
        <v>2</v>
      </c>
      <c r="H418" s="2" t="s">
        <v>5667</v>
      </c>
    </row>
    <row r="419" spans="1:8" ht="15.75" hidden="1" customHeight="1">
      <c r="A419" s="2" t="s">
        <v>6024</v>
      </c>
      <c r="B419" s="2" t="s">
        <v>6040</v>
      </c>
      <c r="C419" s="178" t="s">
        <v>6314</v>
      </c>
      <c r="D419" s="2" t="s">
        <v>481</v>
      </c>
      <c r="F419" s="2">
        <v>38</v>
      </c>
      <c r="G419" s="2">
        <v>2</v>
      </c>
      <c r="H419" s="2" t="s">
        <v>5667</v>
      </c>
    </row>
    <row r="420" spans="1:8" ht="15.75" hidden="1" customHeight="1">
      <c r="A420" s="2" t="s">
        <v>6024</v>
      </c>
      <c r="B420" s="2" t="s">
        <v>6040</v>
      </c>
      <c r="C420" s="178" t="s">
        <v>6315</v>
      </c>
      <c r="D420" s="2" t="s">
        <v>481</v>
      </c>
      <c r="F420" s="2">
        <v>38</v>
      </c>
      <c r="G420" s="2">
        <v>2</v>
      </c>
      <c r="H420" s="2" t="s">
        <v>5667</v>
      </c>
    </row>
    <row r="421" spans="1:8" ht="15.75" hidden="1" customHeight="1">
      <c r="A421" s="2" t="s">
        <v>6024</v>
      </c>
      <c r="B421" s="2" t="s">
        <v>6040</v>
      </c>
      <c r="C421" s="178" t="s">
        <v>6316</v>
      </c>
      <c r="D421" s="2" t="s">
        <v>481</v>
      </c>
      <c r="F421" s="2">
        <v>38</v>
      </c>
      <c r="G421" s="2">
        <v>2</v>
      </c>
      <c r="H421" s="2" t="s">
        <v>5667</v>
      </c>
    </row>
    <row r="422" spans="1:8" ht="15.75" hidden="1" customHeight="1">
      <c r="A422" s="2" t="s">
        <v>6024</v>
      </c>
      <c r="B422" s="2" t="s">
        <v>6040</v>
      </c>
      <c r="C422" s="178" t="s">
        <v>6317</v>
      </c>
      <c r="D422" s="2" t="s">
        <v>481</v>
      </c>
      <c r="F422" s="2">
        <v>38</v>
      </c>
      <c r="G422" s="2">
        <v>2</v>
      </c>
      <c r="H422" s="2" t="s">
        <v>5667</v>
      </c>
    </row>
    <row r="423" spans="1:8" ht="15.75" hidden="1" customHeight="1">
      <c r="A423" s="2" t="s">
        <v>6024</v>
      </c>
      <c r="B423" s="2" t="s">
        <v>6040</v>
      </c>
      <c r="C423" s="178" t="s">
        <v>6318</v>
      </c>
      <c r="D423" s="2" t="s">
        <v>481</v>
      </c>
      <c r="F423" s="2">
        <v>38</v>
      </c>
      <c r="G423" s="2">
        <v>2</v>
      </c>
      <c r="H423" s="2" t="s">
        <v>5667</v>
      </c>
    </row>
    <row r="424" spans="1:8" ht="15.75" hidden="1" customHeight="1">
      <c r="A424" s="2" t="s">
        <v>6024</v>
      </c>
      <c r="B424" s="2" t="s">
        <v>6040</v>
      </c>
      <c r="C424" s="178" t="s">
        <v>6319</v>
      </c>
      <c r="D424" s="2" t="s">
        <v>481</v>
      </c>
      <c r="F424" s="2">
        <v>38</v>
      </c>
      <c r="G424" s="2">
        <v>2</v>
      </c>
      <c r="H424" s="2" t="s">
        <v>5667</v>
      </c>
    </row>
    <row r="425" spans="1:8" ht="15.75" hidden="1" customHeight="1">
      <c r="A425" s="2" t="s">
        <v>6024</v>
      </c>
      <c r="B425" s="2" t="s">
        <v>6040</v>
      </c>
      <c r="C425" s="178" t="s">
        <v>6320</v>
      </c>
      <c r="D425" s="2" t="s">
        <v>481</v>
      </c>
      <c r="F425" s="2">
        <v>38</v>
      </c>
      <c r="G425" s="2">
        <v>2</v>
      </c>
      <c r="H425" s="2" t="s">
        <v>5667</v>
      </c>
    </row>
    <row r="426" spans="1:8" ht="15.75" hidden="1" customHeight="1">
      <c r="A426" s="2" t="s">
        <v>6024</v>
      </c>
      <c r="B426" s="2" t="s">
        <v>6040</v>
      </c>
      <c r="C426" s="178" t="s">
        <v>6321</v>
      </c>
      <c r="D426" s="2" t="s">
        <v>481</v>
      </c>
      <c r="F426" s="2">
        <v>38</v>
      </c>
      <c r="G426" s="2">
        <v>2</v>
      </c>
      <c r="H426" s="2" t="s">
        <v>5667</v>
      </c>
    </row>
    <row r="427" spans="1:8" ht="15.75" hidden="1" customHeight="1">
      <c r="A427" s="2" t="s">
        <v>6024</v>
      </c>
      <c r="B427" s="2" t="s">
        <v>6040</v>
      </c>
      <c r="C427" s="178" t="s">
        <v>6322</v>
      </c>
      <c r="D427" s="2" t="s">
        <v>481</v>
      </c>
      <c r="F427" s="2">
        <v>38</v>
      </c>
      <c r="G427" s="2">
        <v>2</v>
      </c>
      <c r="H427" s="2" t="s">
        <v>5667</v>
      </c>
    </row>
    <row r="428" spans="1:8" ht="15.75" hidden="1" customHeight="1">
      <c r="A428" s="2" t="s">
        <v>6024</v>
      </c>
      <c r="B428" s="2" t="s">
        <v>6040</v>
      </c>
      <c r="C428" s="178" t="s">
        <v>6323</v>
      </c>
      <c r="D428" s="2" t="s">
        <v>481</v>
      </c>
      <c r="F428" s="2">
        <v>38</v>
      </c>
      <c r="G428" s="2">
        <v>2</v>
      </c>
      <c r="H428" s="2" t="s">
        <v>5667</v>
      </c>
    </row>
    <row r="429" spans="1:8" ht="15.75" hidden="1" customHeight="1">
      <c r="A429" s="2" t="s">
        <v>6024</v>
      </c>
      <c r="B429" s="2" t="s">
        <v>6040</v>
      </c>
      <c r="C429" s="178" t="s">
        <v>6324</v>
      </c>
      <c r="D429" s="2" t="s">
        <v>481</v>
      </c>
      <c r="F429" s="2">
        <v>38</v>
      </c>
      <c r="G429" s="2">
        <v>2</v>
      </c>
      <c r="H429" s="2" t="s">
        <v>5667</v>
      </c>
    </row>
    <row r="430" spans="1:8" ht="15.75" hidden="1" customHeight="1">
      <c r="A430" s="2" t="s">
        <v>6024</v>
      </c>
      <c r="B430" s="2" t="s">
        <v>6040</v>
      </c>
      <c r="C430" s="178" t="s">
        <v>6325</v>
      </c>
      <c r="D430" s="2" t="s">
        <v>481</v>
      </c>
      <c r="F430" s="2">
        <v>38</v>
      </c>
      <c r="G430" s="2">
        <v>2</v>
      </c>
      <c r="H430" s="2" t="s">
        <v>5667</v>
      </c>
    </row>
    <row r="431" spans="1:8" ht="15.75" hidden="1" customHeight="1">
      <c r="A431" s="2" t="s">
        <v>6024</v>
      </c>
      <c r="B431" s="2" t="s">
        <v>6040</v>
      </c>
      <c r="C431" s="178" t="s">
        <v>6326</v>
      </c>
      <c r="D431" s="2" t="s">
        <v>481</v>
      </c>
      <c r="F431" s="2">
        <v>38</v>
      </c>
      <c r="G431" s="2">
        <v>2</v>
      </c>
      <c r="H431" s="2" t="s">
        <v>5667</v>
      </c>
    </row>
    <row r="432" spans="1:8" ht="15.75" hidden="1" customHeight="1">
      <c r="A432" s="2" t="s">
        <v>6024</v>
      </c>
      <c r="B432" s="2" t="s">
        <v>6040</v>
      </c>
      <c r="C432" s="178" t="s">
        <v>6327</v>
      </c>
      <c r="D432" s="2" t="s">
        <v>481</v>
      </c>
      <c r="F432" s="2">
        <v>38</v>
      </c>
      <c r="G432" s="2">
        <v>2</v>
      </c>
      <c r="H432" s="2" t="s">
        <v>5667</v>
      </c>
    </row>
    <row r="433" spans="1:8" ht="15.75" hidden="1" customHeight="1">
      <c r="A433" s="2" t="s">
        <v>6024</v>
      </c>
      <c r="B433" s="2" t="s">
        <v>6040</v>
      </c>
      <c r="C433" s="178" t="s">
        <v>6328</v>
      </c>
      <c r="D433" s="2" t="s">
        <v>481</v>
      </c>
      <c r="F433" s="2">
        <v>38</v>
      </c>
      <c r="G433" s="2">
        <v>2</v>
      </c>
      <c r="H433" s="2" t="s">
        <v>5667</v>
      </c>
    </row>
    <row r="434" spans="1:8" ht="15.75" hidden="1" customHeight="1">
      <c r="A434" s="2" t="s">
        <v>6024</v>
      </c>
      <c r="B434" s="2" t="s">
        <v>6040</v>
      </c>
      <c r="C434" s="178" t="s">
        <v>6329</v>
      </c>
      <c r="D434" s="2" t="s">
        <v>481</v>
      </c>
      <c r="F434" s="2">
        <v>38</v>
      </c>
      <c r="G434" s="2">
        <v>2</v>
      </c>
      <c r="H434" s="2" t="s">
        <v>5667</v>
      </c>
    </row>
    <row r="435" spans="1:8" ht="15.75" hidden="1" customHeight="1">
      <c r="A435" s="2" t="s">
        <v>6024</v>
      </c>
      <c r="B435" s="2" t="s">
        <v>6040</v>
      </c>
      <c r="C435" s="178" t="s">
        <v>6330</v>
      </c>
      <c r="D435" s="2" t="s">
        <v>481</v>
      </c>
      <c r="F435" s="2">
        <v>38</v>
      </c>
      <c r="G435" s="2">
        <v>2</v>
      </c>
      <c r="H435" s="2" t="s">
        <v>5667</v>
      </c>
    </row>
    <row r="436" spans="1:8" ht="15.75" hidden="1" customHeight="1">
      <c r="A436" s="2" t="s">
        <v>6024</v>
      </c>
      <c r="B436" s="2" t="s">
        <v>6040</v>
      </c>
      <c r="C436" s="178" t="s">
        <v>6331</v>
      </c>
      <c r="D436" s="2" t="s">
        <v>481</v>
      </c>
      <c r="F436" s="2">
        <v>38</v>
      </c>
      <c r="G436" s="2">
        <v>2</v>
      </c>
      <c r="H436" s="2" t="s">
        <v>5667</v>
      </c>
    </row>
    <row r="437" spans="1:8" ht="15.75" hidden="1" customHeight="1">
      <c r="A437" s="2" t="s">
        <v>6024</v>
      </c>
      <c r="B437" s="2" t="s">
        <v>6040</v>
      </c>
      <c r="C437" s="178" t="s">
        <v>6332</v>
      </c>
      <c r="D437" s="2" t="s">
        <v>481</v>
      </c>
      <c r="F437" s="2">
        <v>38</v>
      </c>
      <c r="G437" s="2">
        <v>2</v>
      </c>
      <c r="H437" s="2" t="s">
        <v>5667</v>
      </c>
    </row>
    <row r="438" spans="1:8" ht="15.75" hidden="1" customHeight="1">
      <c r="A438" s="2" t="s">
        <v>6024</v>
      </c>
      <c r="B438" s="2" t="s">
        <v>6040</v>
      </c>
      <c r="C438" s="178" t="s">
        <v>6333</v>
      </c>
      <c r="D438" s="2" t="s">
        <v>481</v>
      </c>
      <c r="F438" s="2">
        <v>38</v>
      </c>
      <c r="G438" s="2">
        <v>2</v>
      </c>
      <c r="H438" s="2" t="s">
        <v>5667</v>
      </c>
    </row>
    <row r="439" spans="1:8" ht="15.75" hidden="1" customHeight="1">
      <c r="A439" s="2" t="s">
        <v>6024</v>
      </c>
      <c r="B439" s="2" t="s">
        <v>6040</v>
      </c>
      <c r="C439" s="178" t="s">
        <v>6334</v>
      </c>
      <c r="D439" s="2" t="s">
        <v>481</v>
      </c>
      <c r="F439" s="2">
        <v>38</v>
      </c>
      <c r="G439" s="2">
        <v>2</v>
      </c>
      <c r="H439" s="2" t="s">
        <v>5667</v>
      </c>
    </row>
    <row r="440" spans="1:8" ht="15.75" hidden="1" customHeight="1">
      <c r="A440" s="2" t="s">
        <v>6024</v>
      </c>
      <c r="B440" s="2" t="s">
        <v>6040</v>
      </c>
      <c r="C440" s="178" t="s">
        <v>6335</v>
      </c>
      <c r="D440" s="2" t="s">
        <v>481</v>
      </c>
      <c r="F440" s="2">
        <v>38</v>
      </c>
      <c r="G440" s="2">
        <v>2</v>
      </c>
      <c r="H440" s="2" t="s">
        <v>5667</v>
      </c>
    </row>
    <row r="441" spans="1:8" ht="15.75" hidden="1" customHeight="1">
      <c r="A441" s="2" t="s">
        <v>6024</v>
      </c>
      <c r="B441" s="2" t="s">
        <v>6040</v>
      </c>
      <c r="C441" s="178" t="s">
        <v>6336</v>
      </c>
      <c r="D441" s="2" t="s">
        <v>481</v>
      </c>
      <c r="F441" s="2">
        <v>38</v>
      </c>
      <c r="G441" s="2">
        <v>2</v>
      </c>
      <c r="H441" s="2" t="s">
        <v>5667</v>
      </c>
    </row>
    <row r="442" spans="1:8" ht="15.75" hidden="1" customHeight="1">
      <c r="A442" s="2" t="s">
        <v>6024</v>
      </c>
      <c r="B442" s="2" t="s">
        <v>6040</v>
      </c>
      <c r="C442" s="178" t="s">
        <v>6337</v>
      </c>
      <c r="D442" s="2" t="s">
        <v>481</v>
      </c>
      <c r="F442" s="2">
        <v>38</v>
      </c>
      <c r="G442" s="2">
        <v>2</v>
      </c>
      <c r="H442" s="2" t="s">
        <v>5667</v>
      </c>
    </row>
    <row r="443" spans="1:8" ht="15.75" hidden="1" customHeight="1">
      <c r="A443" s="2" t="s">
        <v>6024</v>
      </c>
      <c r="B443" s="2" t="s">
        <v>6040</v>
      </c>
      <c r="C443" s="178" t="s">
        <v>6338</v>
      </c>
      <c r="D443" s="2" t="s">
        <v>481</v>
      </c>
      <c r="F443" s="2">
        <v>38</v>
      </c>
      <c r="G443" s="2">
        <v>2</v>
      </c>
      <c r="H443" s="2" t="s">
        <v>5667</v>
      </c>
    </row>
    <row r="444" spans="1:8" ht="15.75" hidden="1" customHeight="1">
      <c r="A444" s="2" t="s">
        <v>6024</v>
      </c>
      <c r="B444" s="2" t="s">
        <v>6040</v>
      </c>
      <c r="C444" s="178" t="s">
        <v>6339</v>
      </c>
      <c r="D444" s="2" t="s">
        <v>481</v>
      </c>
      <c r="F444" s="2">
        <v>38</v>
      </c>
      <c r="G444" s="2">
        <v>2</v>
      </c>
      <c r="H444" s="2" t="s">
        <v>5667</v>
      </c>
    </row>
    <row r="445" spans="1:8" ht="15.75" hidden="1" customHeight="1">
      <c r="A445" s="2" t="s">
        <v>6024</v>
      </c>
      <c r="B445" s="2" t="s">
        <v>6040</v>
      </c>
      <c r="C445" s="178" t="s">
        <v>6340</v>
      </c>
      <c r="D445" s="2" t="s">
        <v>481</v>
      </c>
      <c r="F445" s="2">
        <v>38</v>
      </c>
      <c r="G445" s="2">
        <v>2</v>
      </c>
      <c r="H445" s="2" t="s">
        <v>5667</v>
      </c>
    </row>
    <row r="446" spans="1:8" ht="15.75" hidden="1" customHeight="1">
      <c r="A446" s="2" t="s">
        <v>6024</v>
      </c>
      <c r="B446" s="2" t="s">
        <v>6040</v>
      </c>
      <c r="C446" s="178" t="s">
        <v>6341</v>
      </c>
      <c r="D446" s="2" t="s">
        <v>481</v>
      </c>
      <c r="F446" s="2">
        <v>38</v>
      </c>
      <c r="G446" s="2">
        <v>2</v>
      </c>
      <c r="H446" s="2" t="s">
        <v>5667</v>
      </c>
    </row>
    <row r="447" spans="1:8" ht="15.75" hidden="1" customHeight="1">
      <c r="A447" s="2" t="s">
        <v>6024</v>
      </c>
      <c r="B447" s="2" t="s">
        <v>6040</v>
      </c>
      <c r="C447" s="178" t="s">
        <v>6342</v>
      </c>
      <c r="D447" s="2" t="s">
        <v>481</v>
      </c>
      <c r="F447" s="2">
        <v>38</v>
      </c>
      <c r="G447" s="2">
        <v>2</v>
      </c>
      <c r="H447" s="2" t="s">
        <v>5667</v>
      </c>
    </row>
    <row r="448" spans="1:8" ht="15.75" hidden="1" customHeight="1">
      <c r="A448" s="2" t="s">
        <v>6024</v>
      </c>
      <c r="B448" s="2" t="s">
        <v>6040</v>
      </c>
      <c r="C448" s="178" t="s">
        <v>6343</v>
      </c>
      <c r="D448" s="2" t="s">
        <v>481</v>
      </c>
      <c r="F448" s="2">
        <v>38</v>
      </c>
      <c r="G448" s="2">
        <v>2</v>
      </c>
      <c r="H448" s="2" t="s">
        <v>5667</v>
      </c>
    </row>
    <row r="449" spans="1:8" ht="15.75" hidden="1" customHeight="1">
      <c r="A449" s="2" t="s">
        <v>6024</v>
      </c>
      <c r="B449" s="2" t="s">
        <v>6040</v>
      </c>
      <c r="C449" s="178" t="s">
        <v>6344</v>
      </c>
      <c r="D449" s="2" t="s">
        <v>481</v>
      </c>
      <c r="F449" s="2">
        <v>38</v>
      </c>
      <c r="G449" s="2">
        <v>2</v>
      </c>
      <c r="H449" s="2" t="s">
        <v>5667</v>
      </c>
    </row>
    <row r="450" spans="1:8" ht="15.75" hidden="1" customHeight="1">
      <c r="A450" s="2" t="s">
        <v>6024</v>
      </c>
      <c r="B450" s="2" t="s">
        <v>6040</v>
      </c>
      <c r="C450" s="178" t="s">
        <v>6345</v>
      </c>
      <c r="D450" s="2" t="s">
        <v>481</v>
      </c>
      <c r="F450" s="2">
        <v>38</v>
      </c>
      <c r="G450" s="2">
        <v>2</v>
      </c>
      <c r="H450" s="2" t="s">
        <v>5667</v>
      </c>
    </row>
    <row r="451" spans="1:8" ht="15.75" hidden="1" customHeight="1">
      <c r="A451" s="2" t="s">
        <v>6024</v>
      </c>
      <c r="B451" s="2" t="s">
        <v>6040</v>
      </c>
      <c r="C451" s="178" t="s">
        <v>6346</v>
      </c>
      <c r="D451" s="2" t="s">
        <v>481</v>
      </c>
      <c r="F451" s="2">
        <v>38</v>
      </c>
      <c r="G451" s="2">
        <v>2</v>
      </c>
      <c r="H451" s="2" t="s">
        <v>5667</v>
      </c>
    </row>
    <row r="452" spans="1:8" ht="15.75" hidden="1" customHeight="1">
      <c r="A452" s="2" t="s">
        <v>6024</v>
      </c>
      <c r="B452" s="2" t="s">
        <v>6040</v>
      </c>
      <c r="C452" s="178" t="s">
        <v>6347</v>
      </c>
      <c r="D452" s="2" t="s">
        <v>481</v>
      </c>
      <c r="F452" s="2">
        <v>38</v>
      </c>
      <c r="G452" s="2">
        <v>2</v>
      </c>
      <c r="H452" s="2" t="s">
        <v>5667</v>
      </c>
    </row>
    <row r="453" spans="1:8" ht="15.75" hidden="1" customHeight="1">
      <c r="A453" s="2" t="s">
        <v>6024</v>
      </c>
      <c r="B453" s="2" t="s">
        <v>6040</v>
      </c>
      <c r="C453" s="178" t="s">
        <v>6348</v>
      </c>
      <c r="D453" s="2" t="s">
        <v>481</v>
      </c>
      <c r="F453" s="2">
        <v>38</v>
      </c>
      <c r="G453" s="2">
        <v>2</v>
      </c>
      <c r="H453" s="2" t="s">
        <v>5667</v>
      </c>
    </row>
    <row r="454" spans="1:8" ht="15.75" hidden="1" customHeight="1">
      <c r="A454" s="2" t="s">
        <v>6024</v>
      </c>
      <c r="B454" s="2" t="s">
        <v>6040</v>
      </c>
      <c r="C454" s="178" t="s">
        <v>6349</v>
      </c>
      <c r="D454" s="2" t="s">
        <v>481</v>
      </c>
      <c r="F454" s="2">
        <v>38</v>
      </c>
      <c r="G454" s="2">
        <v>2</v>
      </c>
      <c r="H454" s="2" t="s">
        <v>5667</v>
      </c>
    </row>
    <row r="455" spans="1:8" ht="15.75" hidden="1" customHeight="1">
      <c r="A455" s="2" t="s">
        <v>6024</v>
      </c>
      <c r="B455" s="2" t="s">
        <v>6040</v>
      </c>
      <c r="C455" s="178" t="s">
        <v>6350</v>
      </c>
      <c r="D455" s="2" t="s">
        <v>481</v>
      </c>
      <c r="F455" s="2">
        <v>38</v>
      </c>
      <c r="G455" s="2">
        <v>2</v>
      </c>
      <c r="H455" s="2" t="s">
        <v>5667</v>
      </c>
    </row>
    <row r="456" spans="1:8" ht="15.75" hidden="1" customHeight="1">
      <c r="A456" s="2" t="s">
        <v>6024</v>
      </c>
      <c r="B456" s="2" t="s">
        <v>6040</v>
      </c>
      <c r="C456" s="178" t="s">
        <v>6351</v>
      </c>
      <c r="D456" s="2" t="s">
        <v>481</v>
      </c>
      <c r="F456" s="2">
        <v>38</v>
      </c>
      <c r="G456" s="2">
        <v>2</v>
      </c>
      <c r="H456" s="2" t="s">
        <v>5667</v>
      </c>
    </row>
    <row r="457" spans="1:8" ht="15.75" hidden="1" customHeight="1">
      <c r="A457" s="2" t="s">
        <v>6024</v>
      </c>
      <c r="B457" s="2" t="s">
        <v>6040</v>
      </c>
      <c r="C457" s="178" t="s">
        <v>6352</v>
      </c>
      <c r="D457" s="2" t="s">
        <v>481</v>
      </c>
      <c r="F457" s="2">
        <v>38</v>
      </c>
      <c r="G457" s="2">
        <v>2</v>
      </c>
      <c r="H457" s="2" t="s">
        <v>5667</v>
      </c>
    </row>
    <row r="458" spans="1:8" ht="15.75" hidden="1" customHeight="1">
      <c r="A458" s="2" t="s">
        <v>6024</v>
      </c>
      <c r="B458" s="2" t="s">
        <v>6040</v>
      </c>
      <c r="C458" s="178" t="s">
        <v>6353</v>
      </c>
      <c r="D458" s="2" t="s">
        <v>481</v>
      </c>
      <c r="F458" s="2">
        <v>38</v>
      </c>
      <c r="G458" s="2">
        <v>2</v>
      </c>
      <c r="H458" s="2" t="s">
        <v>5667</v>
      </c>
    </row>
    <row r="459" spans="1:8" ht="15.75" hidden="1" customHeight="1">
      <c r="A459" s="2" t="s">
        <v>6024</v>
      </c>
      <c r="B459" s="2" t="s">
        <v>6040</v>
      </c>
      <c r="C459" s="178" t="s">
        <v>6354</v>
      </c>
      <c r="D459" s="2" t="s">
        <v>481</v>
      </c>
      <c r="F459" s="2">
        <v>38</v>
      </c>
      <c r="G459" s="2">
        <v>2</v>
      </c>
      <c r="H459" s="2" t="s">
        <v>5667</v>
      </c>
    </row>
    <row r="460" spans="1:8" ht="15.75" hidden="1" customHeight="1">
      <c r="A460" s="2" t="s">
        <v>6024</v>
      </c>
      <c r="B460" s="2" t="s">
        <v>6040</v>
      </c>
      <c r="C460" s="178" t="s">
        <v>6355</v>
      </c>
      <c r="D460" s="2" t="s">
        <v>481</v>
      </c>
      <c r="F460" s="2">
        <v>38</v>
      </c>
      <c r="G460" s="2">
        <v>2</v>
      </c>
      <c r="H460" s="2" t="s">
        <v>5667</v>
      </c>
    </row>
    <row r="461" spans="1:8" ht="15.75" hidden="1" customHeight="1">
      <c r="A461" s="2" t="s">
        <v>6024</v>
      </c>
      <c r="B461" s="2" t="s">
        <v>6040</v>
      </c>
      <c r="C461" s="178" t="s">
        <v>6356</v>
      </c>
      <c r="D461" s="2" t="s">
        <v>481</v>
      </c>
      <c r="F461" s="2">
        <v>38</v>
      </c>
      <c r="G461" s="2">
        <v>2</v>
      </c>
      <c r="H461" s="2" t="s">
        <v>5667</v>
      </c>
    </row>
    <row r="462" spans="1:8" ht="15.75" hidden="1" customHeight="1">
      <c r="A462" s="2" t="s">
        <v>6024</v>
      </c>
      <c r="B462" s="2" t="s">
        <v>6040</v>
      </c>
      <c r="C462" s="178" t="s">
        <v>6357</v>
      </c>
      <c r="D462" s="2" t="s">
        <v>481</v>
      </c>
      <c r="F462" s="2">
        <v>38</v>
      </c>
      <c r="G462" s="2">
        <v>2</v>
      </c>
      <c r="H462" s="2" t="s">
        <v>5667</v>
      </c>
    </row>
    <row r="463" spans="1:8" ht="15.75" hidden="1" customHeight="1">
      <c r="A463" s="2" t="s">
        <v>6024</v>
      </c>
      <c r="B463" s="2" t="s">
        <v>6040</v>
      </c>
      <c r="C463" s="178" t="s">
        <v>6358</v>
      </c>
      <c r="D463" s="2" t="s">
        <v>481</v>
      </c>
      <c r="F463" s="2">
        <v>38</v>
      </c>
      <c r="G463" s="2">
        <v>2</v>
      </c>
      <c r="H463" s="2" t="s">
        <v>5667</v>
      </c>
    </row>
    <row r="464" spans="1:8" ht="15.75" hidden="1" customHeight="1">
      <c r="A464" s="2" t="s">
        <v>6024</v>
      </c>
      <c r="B464" s="2" t="s">
        <v>6040</v>
      </c>
      <c r="C464" s="178" t="s">
        <v>6359</v>
      </c>
      <c r="D464" s="2" t="s">
        <v>481</v>
      </c>
      <c r="F464" s="2">
        <v>38</v>
      </c>
      <c r="G464" s="2">
        <v>2</v>
      </c>
      <c r="H464" s="2" t="s">
        <v>5667</v>
      </c>
    </row>
    <row r="465" spans="1:8" ht="15.75" hidden="1" customHeight="1">
      <c r="A465" s="2" t="s">
        <v>6024</v>
      </c>
      <c r="B465" s="2" t="s">
        <v>6040</v>
      </c>
      <c r="C465" s="178" t="s">
        <v>6360</v>
      </c>
      <c r="D465" s="2" t="s">
        <v>481</v>
      </c>
      <c r="F465" s="2">
        <v>38</v>
      </c>
      <c r="G465" s="2">
        <v>2</v>
      </c>
      <c r="H465" s="2" t="s">
        <v>5667</v>
      </c>
    </row>
    <row r="466" spans="1:8" ht="15.75" hidden="1" customHeight="1">
      <c r="A466" s="2" t="s">
        <v>6024</v>
      </c>
      <c r="B466" s="2" t="s">
        <v>6040</v>
      </c>
      <c r="C466" s="178" t="s">
        <v>6361</v>
      </c>
      <c r="D466" s="2" t="s">
        <v>481</v>
      </c>
      <c r="F466" s="2">
        <v>38</v>
      </c>
      <c r="G466" s="2">
        <v>2</v>
      </c>
      <c r="H466" s="2" t="s">
        <v>5667</v>
      </c>
    </row>
    <row r="467" spans="1:8" ht="15.75" hidden="1" customHeight="1">
      <c r="A467" s="2" t="s">
        <v>6024</v>
      </c>
      <c r="B467" s="2" t="s">
        <v>6040</v>
      </c>
      <c r="C467" s="178" t="s">
        <v>6362</v>
      </c>
      <c r="D467" s="2" t="s">
        <v>481</v>
      </c>
      <c r="F467" s="2">
        <v>38</v>
      </c>
      <c r="G467" s="2">
        <v>2</v>
      </c>
      <c r="H467" s="2" t="s">
        <v>5667</v>
      </c>
    </row>
    <row r="468" spans="1:8" ht="15.75" hidden="1" customHeight="1">
      <c r="A468" s="2" t="s">
        <v>6024</v>
      </c>
      <c r="B468" s="2" t="s">
        <v>6040</v>
      </c>
      <c r="C468" s="178" t="s">
        <v>6363</v>
      </c>
      <c r="D468" s="2" t="s">
        <v>481</v>
      </c>
      <c r="F468" s="2">
        <v>38</v>
      </c>
      <c r="G468" s="2">
        <v>2</v>
      </c>
      <c r="H468" s="2" t="s">
        <v>5667</v>
      </c>
    </row>
    <row r="469" spans="1:8" ht="15.75" hidden="1" customHeight="1">
      <c r="A469" s="2" t="s">
        <v>6024</v>
      </c>
      <c r="B469" s="2" t="s">
        <v>6040</v>
      </c>
      <c r="C469" s="178" t="s">
        <v>6364</v>
      </c>
      <c r="D469" s="2" t="s">
        <v>481</v>
      </c>
      <c r="F469" s="2">
        <v>38</v>
      </c>
      <c r="G469" s="2">
        <v>2</v>
      </c>
      <c r="H469" s="2" t="s">
        <v>5667</v>
      </c>
    </row>
    <row r="470" spans="1:8" ht="15.75" hidden="1" customHeight="1">
      <c r="A470" s="2" t="s">
        <v>6024</v>
      </c>
      <c r="B470" s="2" t="s">
        <v>6040</v>
      </c>
      <c r="C470" s="178" t="s">
        <v>6365</v>
      </c>
      <c r="D470" s="2" t="s">
        <v>481</v>
      </c>
      <c r="F470" s="2">
        <v>38</v>
      </c>
      <c r="G470" s="2">
        <v>2</v>
      </c>
      <c r="H470" s="2" t="s">
        <v>5667</v>
      </c>
    </row>
    <row r="471" spans="1:8" ht="15.75" hidden="1" customHeight="1">
      <c r="A471" s="2" t="s">
        <v>6024</v>
      </c>
      <c r="B471" s="2" t="s">
        <v>6040</v>
      </c>
      <c r="C471" s="178" t="s">
        <v>6366</v>
      </c>
      <c r="D471" s="2" t="s">
        <v>481</v>
      </c>
      <c r="F471" s="2">
        <v>38</v>
      </c>
      <c r="G471" s="2">
        <v>2</v>
      </c>
      <c r="H471" s="2" t="s">
        <v>5667</v>
      </c>
    </row>
    <row r="472" spans="1:8" ht="15.75" hidden="1" customHeight="1">
      <c r="A472" s="2" t="s">
        <v>6024</v>
      </c>
      <c r="B472" s="2" t="s">
        <v>6040</v>
      </c>
      <c r="C472" s="178" t="s">
        <v>6367</v>
      </c>
      <c r="D472" s="2" t="s">
        <v>481</v>
      </c>
      <c r="F472" s="2">
        <v>38</v>
      </c>
      <c r="G472" s="2">
        <v>2</v>
      </c>
      <c r="H472" s="2" t="s">
        <v>5667</v>
      </c>
    </row>
    <row r="473" spans="1:8" ht="15.75" hidden="1" customHeight="1">
      <c r="A473" s="2" t="s">
        <v>6024</v>
      </c>
      <c r="B473" s="2" t="s">
        <v>6040</v>
      </c>
      <c r="C473" s="178" t="s">
        <v>6368</v>
      </c>
      <c r="D473" s="2" t="s">
        <v>481</v>
      </c>
      <c r="F473" s="2">
        <v>38</v>
      </c>
      <c r="G473" s="2">
        <v>2</v>
      </c>
      <c r="H473" s="2" t="s">
        <v>5667</v>
      </c>
    </row>
    <row r="474" spans="1:8" ht="15.75" hidden="1" customHeight="1">
      <c r="A474" s="2" t="s">
        <v>6024</v>
      </c>
      <c r="B474" s="2" t="s">
        <v>6040</v>
      </c>
      <c r="C474" s="178" t="s">
        <v>6369</v>
      </c>
      <c r="D474" s="2" t="s">
        <v>481</v>
      </c>
      <c r="F474" s="2">
        <v>38</v>
      </c>
      <c r="G474" s="2">
        <v>2</v>
      </c>
      <c r="H474" s="2" t="s">
        <v>5667</v>
      </c>
    </row>
    <row r="475" spans="1:8" ht="15.75" hidden="1" customHeight="1">
      <c r="A475" s="2" t="s">
        <v>6024</v>
      </c>
      <c r="B475" s="2" t="s">
        <v>6040</v>
      </c>
      <c r="C475" s="178" t="s">
        <v>6370</v>
      </c>
      <c r="D475" s="2" t="s">
        <v>481</v>
      </c>
      <c r="F475" s="2">
        <v>38</v>
      </c>
      <c r="G475" s="2">
        <v>2</v>
      </c>
      <c r="H475" s="2" t="s">
        <v>5667</v>
      </c>
    </row>
    <row r="476" spans="1:8" ht="15.75" hidden="1" customHeight="1">
      <c r="A476" s="2" t="s">
        <v>6024</v>
      </c>
      <c r="B476" s="2" t="s">
        <v>6040</v>
      </c>
      <c r="C476" s="178" t="s">
        <v>6371</v>
      </c>
      <c r="D476" s="2" t="s">
        <v>481</v>
      </c>
      <c r="F476" s="2">
        <v>38</v>
      </c>
      <c r="G476" s="2">
        <v>2</v>
      </c>
      <c r="H476" s="2" t="s">
        <v>5667</v>
      </c>
    </row>
    <row r="477" spans="1:8" ht="15.75" hidden="1" customHeight="1">
      <c r="A477" s="2" t="s">
        <v>6024</v>
      </c>
      <c r="B477" s="2" t="s">
        <v>6040</v>
      </c>
      <c r="C477" s="178" t="s">
        <v>6372</v>
      </c>
      <c r="D477" s="2" t="s">
        <v>481</v>
      </c>
      <c r="F477" s="2">
        <v>38</v>
      </c>
      <c r="G477" s="2">
        <v>2</v>
      </c>
      <c r="H477" s="2" t="s">
        <v>5667</v>
      </c>
    </row>
    <row r="478" spans="1:8" ht="15.75" hidden="1" customHeight="1">
      <c r="A478" s="2" t="s">
        <v>6024</v>
      </c>
      <c r="B478" s="2" t="s">
        <v>6040</v>
      </c>
      <c r="C478" s="178" t="s">
        <v>6373</v>
      </c>
      <c r="D478" s="2" t="s">
        <v>481</v>
      </c>
      <c r="F478" s="2">
        <v>38</v>
      </c>
      <c r="G478" s="2">
        <v>2</v>
      </c>
      <c r="H478" s="2" t="s">
        <v>5667</v>
      </c>
    </row>
    <row r="479" spans="1:8" ht="15.75" hidden="1" customHeight="1">
      <c r="A479" s="2" t="s">
        <v>6024</v>
      </c>
      <c r="B479" s="2" t="s">
        <v>6040</v>
      </c>
      <c r="C479" s="178" t="s">
        <v>6374</v>
      </c>
      <c r="D479" s="2" t="s">
        <v>481</v>
      </c>
      <c r="F479" s="2">
        <v>38</v>
      </c>
      <c r="G479" s="2">
        <v>2</v>
      </c>
      <c r="H479" s="2" t="s">
        <v>5667</v>
      </c>
    </row>
    <row r="480" spans="1:8" ht="15.75" hidden="1" customHeight="1">
      <c r="A480" s="2" t="s">
        <v>6024</v>
      </c>
      <c r="B480" s="2" t="s">
        <v>6040</v>
      </c>
      <c r="C480" s="178" t="s">
        <v>6375</v>
      </c>
      <c r="D480" s="2" t="s">
        <v>481</v>
      </c>
      <c r="F480" s="2">
        <v>38</v>
      </c>
      <c r="G480" s="2">
        <v>2</v>
      </c>
      <c r="H480" s="2" t="s">
        <v>5667</v>
      </c>
    </row>
    <row r="481" spans="1:8" ht="15.75" hidden="1" customHeight="1">
      <c r="A481" s="2" t="s">
        <v>6024</v>
      </c>
      <c r="B481" s="2" t="s">
        <v>6040</v>
      </c>
      <c r="C481" s="178" t="s">
        <v>6376</v>
      </c>
      <c r="D481" s="2" t="s">
        <v>481</v>
      </c>
      <c r="F481" s="2">
        <v>38</v>
      </c>
      <c r="G481" s="2">
        <v>2</v>
      </c>
      <c r="H481" s="2" t="s">
        <v>5667</v>
      </c>
    </row>
    <row r="482" spans="1:8" ht="15.75" hidden="1" customHeight="1">
      <c r="A482" s="2" t="s">
        <v>6024</v>
      </c>
      <c r="B482" s="2" t="s">
        <v>6040</v>
      </c>
      <c r="C482" s="178" t="s">
        <v>6377</v>
      </c>
      <c r="D482" s="2" t="s">
        <v>481</v>
      </c>
      <c r="F482" s="2">
        <v>38</v>
      </c>
      <c r="G482" s="2">
        <v>2</v>
      </c>
      <c r="H482" s="2" t="s">
        <v>5667</v>
      </c>
    </row>
    <row r="483" spans="1:8" ht="15.75" hidden="1" customHeight="1">
      <c r="A483" s="2" t="s">
        <v>6024</v>
      </c>
      <c r="B483" s="2" t="s">
        <v>6040</v>
      </c>
      <c r="C483" s="178" t="s">
        <v>6378</v>
      </c>
      <c r="D483" s="2" t="s">
        <v>481</v>
      </c>
      <c r="F483" s="2">
        <v>38</v>
      </c>
      <c r="G483" s="2">
        <v>2</v>
      </c>
      <c r="H483" s="2" t="s">
        <v>5667</v>
      </c>
    </row>
    <row r="484" spans="1:8" ht="15.75" hidden="1" customHeight="1">
      <c r="A484" s="2" t="s">
        <v>6024</v>
      </c>
      <c r="B484" s="2" t="s">
        <v>6040</v>
      </c>
      <c r="C484" s="178" t="s">
        <v>6379</v>
      </c>
      <c r="D484" s="2" t="s">
        <v>481</v>
      </c>
      <c r="F484" s="2">
        <v>38</v>
      </c>
      <c r="G484" s="2">
        <v>2</v>
      </c>
      <c r="H484" s="2" t="s">
        <v>5667</v>
      </c>
    </row>
    <row r="485" spans="1:8" ht="15.75" hidden="1" customHeight="1">
      <c r="A485" s="2" t="s">
        <v>6024</v>
      </c>
      <c r="B485" s="2" t="s">
        <v>6040</v>
      </c>
      <c r="C485" s="178" t="s">
        <v>6380</v>
      </c>
      <c r="D485" s="2" t="s">
        <v>481</v>
      </c>
      <c r="F485" s="2">
        <v>38</v>
      </c>
      <c r="G485" s="2">
        <v>2</v>
      </c>
      <c r="H485" s="2" t="s">
        <v>5667</v>
      </c>
    </row>
    <row r="486" spans="1:8" ht="15.75" hidden="1" customHeight="1">
      <c r="A486" s="2" t="s">
        <v>6024</v>
      </c>
      <c r="B486" s="2" t="s">
        <v>6040</v>
      </c>
      <c r="C486" s="178" t="s">
        <v>6381</v>
      </c>
      <c r="D486" s="2" t="s">
        <v>481</v>
      </c>
      <c r="F486" s="2">
        <v>38</v>
      </c>
      <c r="G486" s="2">
        <v>2</v>
      </c>
      <c r="H486" s="2" t="s">
        <v>5667</v>
      </c>
    </row>
    <row r="487" spans="1:8" ht="15.75" hidden="1" customHeight="1">
      <c r="A487" s="2" t="s">
        <v>6024</v>
      </c>
      <c r="B487" s="2" t="s">
        <v>6040</v>
      </c>
      <c r="C487" s="178" t="s">
        <v>6382</v>
      </c>
      <c r="D487" s="2" t="s">
        <v>481</v>
      </c>
      <c r="F487" s="2">
        <v>38</v>
      </c>
      <c r="G487" s="2">
        <v>2</v>
      </c>
      <c r="H487" s="2" t="s">
        <v>5667</v>
      </c>
    </row>
    <row r="488" spans="1:8" ht="15.75" hidden="1" customHeight="1">
      <c r="A488" s="2" t="s">
        <v>6024</v>
      </c>
      <c r="B488" s="2" t="s">
        <v>6040</v>
      </c>
      <c r="C488" s="178" t="s">
        <v>6383</v>
      </c>
      <c r="D488" s="2" t="s">
        <v>481</v>
      </c>
      <c r="F488" s="2">
        <v>38</v>
      </c>
      <c r="G488" s="2">
        <v>2</v>
      </c>
      <c r="H488" s="2" t="s">
        <v>5667</v>
      </c>
    </row>
    <row r="489" spans="1:8" ht="15.75" hidden="1" customHeight="1">
      <c r="A489" s="2" t="s">
        <v>6024</v>
      </c>
      <c r="B489" s="2" t="s">
        <v>6040</v>
      </c>
      <c r="C489" s="178" t="s">
        <v>6384</v>
      </c>
      <c r="D489" s="2" t="s">
        <v>481</v>
      </c>
      <c r="F489" s="2">
        <v>38</v>
      </c>
      <c r="G489" s="2">
        <v>2</v>
      </c>
      <c r="H489" s="2" t="s">
        <v>5667</v>
      </c>
    </row>
    <row r="490" spans="1:8" ht="15.75" hidden="1" customHeight="1">
      <c r="A490" s="2" t="s">
        <v>6024</v>
      </c>
      <c r="B490" s="2" t="s">
        <v>6040</v>
      </c>
      <c r="C490" s="178" t="s">
        <v>6385</v>
      </c>
      <c r="D490" s="2" t="s">
        <v>481</v>
      </c>
      <c r="F490" s="2">
        <v>38</v>
      </c>
      <c r="G490" s="2">
        <v>2</v>
      </c>
      <c r="H490" s="2" t="s">
        <v>5667</v>
      </c>
    </row>
    <row r="491" spans="1:8" ht="15.75" hidden="1" customHeight="1">
      <c r="A491" s="2" t="s">
        <v>6024</v>
      </c>
      <c r="B491" s="2" t="s">
        <v>6040</v>
      </c>
      <c r="C491" s="178" t="s">
        <v>6386</v>
      </c>
      <c r="D491" s="2" t="s">
        <v>481</v>
      </c>
      <c r="F491" s="2">
        <v>38</v>
      </c>
      <c r="G491" s="2">
        <v>2</v>
      </c>
      <c r="H491" s="2" t="s">
        <v>5667</v>
      </c>
    </row>
    <row r="492" spans="1:8" ht="15.75" hidden="1" customHeight="1">
      <c r="A492" s="2" t="s">
        <v>6024</v>
      </c>
      <c r="B492" s="2" t="s">
        <v>6040</v>
      </c>
      <c r="C492" s="178" t="s">
        <v>6387</v>
      </c>
      <c r="D492" s="2" t="s">
        <v>481</v>
      </c>
      <c r="F492" s="2">
        <v>38</v>
      </c>
      <c r="G492" s="2">
        <v>2</v>
      </c>
      <c r="H492" s="2" t="s">
        <v>5667</v>
      </c>
    </row>
    <row r="493" spans="1:8" ht="15.75" hidden="1" customHeight="1">
      <c r="A493" s="2" t="s">
        <v>6024</v>
      </c>
      <c r="B493" s="2" t="s">
        <v>6040</v>
      </c>
      <c r="C493" s="178" t="s">
        <v>6388</v>
      </c>
      <c r="D493" s="2" t="s">
        <v>481</v>
      </c>
      <c r="F493" s="2">
        <v>38</v>
      </c>
      <c r="G493" s="2">
        <v>2</v>
      </c>
      <c r="H493" s="2" t="s">
        <v>5667</v>
      </c>
    </row>
    <row r="494" spans="1:8" ht="15.75" hidden="1" customHeight="1">
      <c r="A494" s="2" t="s">
        <v>6024</v>
      </c>
      <c r="B494" s="2" t="s">
        <v>6040</v>
      </c>
      <c r="C494" s="178" t="s">
        <v>6389</v>
      </c>
      <c r="D494" s="2" t="s">
        <v>481</v>
      </c>
      <c r="F494" s="2">
        <v>38</v>
      </c>
      <c r="G494" s="2">
        <v>2</v>
      </c>
      <c r="H494" s="2" t="s">
        <v>5667</v>
      </c>
    </row>
    <row r="495" spans="1:8" ht="15.75" hidden="1" customHeight="1">
      <c r="A495" s="2" t="s">
        <v>6024</v>
      </c>
      <c r="B495" s="2" t="s">
        <v>6040</v>
      </c>
      <c r="C495" s="178" t="s">
        <v>6390</v>
      </c>
      <c r="D495" s="2" t="s">
        <v>481</v>
      </c>
      <c r="F495" s="2">
        <v>38</v>
      </c>
      <c r="G495" s="2">
        <v>2</v>
      </c>
      <c r="H495" s="2" t="s">
        <v>5667</v>
      </c>
    </row>
    <row r="496" spans="1:8" ht="15.75" hidden="1" customHeight="1">
      <c r="A496" s="2" t="s">
        <v>6024</v>
      </c>
      <c r="B496" s="2" t="s">
        <v>6040</v>
      </c>
      <c r="C496" s="178" t="s">
        <v>6112</v>
      </c>
      <c r="D496" s="2" t="s">
        <v>800</v>
      </c>
      <c r="H496" s="2" t="s">
        <v>5665</v>
      </c>
    </row>
    <row r="497" spans="1:8" ht="15.75" hidden="1" customHeight="1">
      <c r="A497" s="2" t="s">
        <v>6024</v>
      </c>
      <c r="B497" s="2" t="s">
        <v>6040</v>
      </c>
      <c r="C497" s="178" t="s">
        <v>6113</v>
      </c>
      <c r="D497" s="2" t="s">
        <v>1796</v>
      </c>
      <c r="E497" s="2">
        <v>100</v>
      </c>
      <c r="H497" s="2" t="s">
        <v>5667</v>
      </c>
    </row>
    <row r="498" spans="1:8" ht="15.75" hidden="1" customHeight="1">
      <c r="A498" s="2" t="s">
        <v>6024</v>
      </c>
      <c r="B498" s="2" t="s">
        <v>6040</v>
      </c>
      <c r="C498" s="178" t="s">
        <v>6114</v>
      </c>
      <c r="D498" s="2" t="s">
        <v>484</v>
      </c>
      <c r="F498" s="2">
        <v>10</v>
      </c>
      <c r="G498" s="2">
        <v>0</v>
      </c>
      <c r="H498" s="2" t="s">
        <v>5667</v>
      </c>
    </row>
    <row r="499" spans="1:8" ht="15.75" hidden="1" customHeight="1">
      <c r="A499" s="2" t="s">
        <v>6024</v>
      </c>
      <c r="B499" s="2" t="s">
        <v>6040</v>
      </c>
      <c r="C499" s="178" t="s">
        <v>6027</v>
      </c>
      <c r="D499" s="2" t="s">
        <v>800</v>
      </c>
      <c r="H499" s="2" t="s">
        <v>5665</v>
      </c>
    </row>
    <row r="500" spans="1:8" ht="15.75" hidden="1" customHeight="1">
      <c r="A500" s="2" t="s">
        <v>6024</v>
      </c>
      <c r="B500" s="2" t="s">
        <v>6040</v>
      </c>
      <c r="C500" s="178" t="s">
        <v>6115</v>
      </c>
      <c r="D500" s="2" t="s">
        <v>1796</v>
      </c>
      <c r="E500" s="2">
        <v>100</v>
      </c>
      <c r="H500" s="2" t="s">
        <v>5667</v>
      </c>
    </row>
    <row r="501" spans="1:8" ht="15.75" hidden="1" customHeight="1">
      <c r="A501" s="2" t="s">
        <v>6024</v>
      </c>
      <c r="B501" s="2" t="s">
        <v>6040</v>
      </c>
      <c r="C501" s="178" t="s">
        <v>6116</v>
      </c>
      <c r="D501" s="2" t="s">
        <v>484</v>
      </c>
      <c r="F501" s="2">
        <v>10</v>
      </c>
      <c r="G501" s="2">
        <v>0</v>
      </c>
      <c r="H501" s="2" t="s">
        <v>5667</v>
      </c>
    </row>
    <row r="502" spans="1:8" ht="15.75" hidden="1" customHeight="1">
      <c r="A502" s="2" t="s">
        <v>6024</v>
      </c>
      <c r="B502" s="2" t="s">
        <v>6040</v>
      </c>
      <c r="C502" s="178" t="s">
        <v>6117</v>
      </c>
      <c r="D502" s="2" t="s">
        <v>1796</v>
      </c>
      <c r="E502" s="2">
        <v>250</v>
      </c>
      <c r="H502" s="2" t="s">
        <v>5667</v>
      </c>
    </row>
    <row r="503" spans="1:8" ht="15.75" hidden="1" customHeight="1">
      <c r="A503" s="2" t="s">
        <v>6024</v>
      </c>
      <c r="B503" s="2" t="s">
        <v>6041</v>
      </c>
      <c r="C503" s="178" t="s">
        <v>325</v>
      </c>
      <c r="D503" s="2" t="s">
        <v>484</v>
      </c>
      <c r="F503" s="2">
        <v>10</v>
      </c>
      <c r="G503" s="2">
        <v>0</v>
      </c>
      <c r="H503" s="2" t="s">
        <v>5665</v>
      </c>
    </row>
    <row r="504" spans="1:8" ht="15.75" hidden="1" customHeight="1">
      <c r="A504" s="2" t="s">
        <v>6024</v>
      </c>
      <c r="B504" s="2" t="s">
        <v>6041</v>
      </c>
      <c r="C504" s="178" t="s">
        <v>6090</v>
      </c>
      <c r="D504" s="2" t="s">
        <v>6118</v>
      </c>
      <c r="H504" s="2" t="s">
        <v>5665</v>
      </c>
    </row>
    <row r="505" spans="1:8" ht="15.75" hidden="1" customHeight="1">
      <c r="A505" s="2" t="s">
        <v>6024</v>
      </c>
      <c r="B505" s="2" t="s">
        <v>6041</v>
      </c>
      <c r="C505" s="178" t="s">
        <v>6092</v>
      </c>
      <c r="D505" s="2" t="s">
        <v>1796</v>
      </c>
      <c r="E505" s="2">
        <v>50</v>
      </c>
      <c r="H505" s="2" t="s">
        <v>5665</v>
      </c>
    </row>
    <row r="506" spans="1:8" ht="15.75" hidden="1" customHeight="1">
      <c r="A506" s="2" t="s">
        <v>6024</v>
      </c>
      <c r="B506" s="2" t="s">
        <v>6041</v>
      </c>
      <c r="C506" s="178" t="s">
        <v>6093</v>
      </c>
      <c r="D506" s="2" t="s">
        <v>484</v>
      </c>
      <c r="F506" s="2">
        <v>10</v>
      </c>
      <c r="G506" s="2">
        <v>0</v>
      </c>
      <c r="H506" s="2" t="s">
        <v>5665</v>
      </c>
    </row>
    <row r="507" spans="1:8" ht="15.75" hidden="1" customHeight="1">
      <c r="A507" s="2" t="s">
        <v>6024</v>
      </c>
      <c r="B507" s="2" t="s">
        <v>6041</v>
      </c>
      <c r="C507" s="178" t="s">
        <v>6094</v>
      </c>
      <c r="D507" s="2" t="s">
        <v>484</v>
      </c>
      <c r="F507" s="2">
        <v>10</v>
      </c>
      <c r="G507" s="2">
        <v>0</v>
      </c>
      <c r="H507" s="2" t="s">
        <v>5665</v>
      </c>
    </row>
    <row r="508" spans="1:8" ht="15.75" hidden="1" customHeight="1">
      <c r="A508" s="2" t="s">
        <v>6024</v>
      </c>
      <c r="B508" s="2" t="s">
        <v>6041</v>
      </c>
      <c r="C508" s="178" t="s">
        <v>6095</v>
      </c>
      <c r="D508" s="2" t="s">
        <v>1796</v>
      </c>
      <c r="E508" s="2">
        <v>50</v>
      </c>
      <c r="H508" s="2" t="s">
        <v>5667</v>
      </c>
    </row>
    <row r="509" spans="1:8" ht="15.75" hidden="1" customHeight="1">
      <c r="A509" s="2" t="s">
        <v>6024</v>
      </c>
      <c r="B509" s="2" t="s">
        <v>6041</v>
      </c>
      <c r="C509" s="178" t="s">
        <v>4306</v>
      </c>
      <c r="D509" s="2" t="s">
        <v>1796</v>
      </c>
      <c r="E509" s="2">
        <v>250</v>
      </c>
      <c r="H509" s="2" t="s">
        <v>5667</v>
      </c>
    </row>
    <row r="510" spans="1:8" ht="15.75" hidden="1" customHeight="1">
      <c r="A510" s="2" t="s">
        <v>6024</v>
      </c>
      <c r="B510" s="2" t="s">
        <v>6041</v>
      </c>
      <c r="C510" s="178" t="s">
        <v>4246</v>
      </c>
      <c r="D510" s="2" t="s">
        <v>1796</v>
      </c>
      <c r="E510" s="2">
        <v>250</v>
      </c>
      <c r="H510" s="2" t="s">
        <v>5665</v>
      </c>
    </row>
    <row r="511" spans="1:8" ht="15.75" hidden="1" customHeight="1">
      <c r="A511" s="2" t="s">
        <v>6024</v>
      </c>
      <c r="B511" s="2" t="s">
        <v>6041</v>
      </c>
      <c r="C511" s="178" t="s">
        <v>6096</v>
      </c>
      <c r="D511" s="2" t="s">
        <v>484</v>
      </c>
      <c r="F511" s="2">
        <v>10</v>
      </c>
      <c r="G511" s="2">
        <v>0</v>
      </c>
      <c r="H511" s="2" t="s">
        <v>5665</v>
      </c>
    </row>
    <row r="512" spans="1:8" ht="15.75" hidden="1" customHeight="1">
      <c r="A512" s="2" t="s">
        <v>6024</v>
      </c>
      <c r="B512" s="2" t="s">
        <v>6041</v>
      </c>
      <c r="C512" s="178" t="s">
        <v>6212</v>
      </c>
      <c r="D512" s="2" t="s">
        <v>800</v>
      </c>
      <c r="H512" s="2" t="s">
        <v>5667</v>
      </c>
    </row>
    <row r="513" spans="1:8" ht="15.75" hidden="1" customHeight="1">
      <c r="A513" s="2" t="s">
        <v>6024</v>
      </c>
      <c r="B513" s="2" t="s">
        <v>6041</v>
      </c>
      <c r="C513" s="178" t="s">
        <v>6391</v>
      </c>
      <c r="D513" s="2" t="s">
        <v>481</v>
      </c>
      <c r="F513" s="2">
        <v>38</v>
      </c>
      <c r="G513" s="2">
        <v>2</v>
      </c>
      <c r="H513" s="2" t="s">
        <v>5667</v>
      </c>
    </row>
    <row r="514" spans="1:8" ht="15.75" hidden="1" customHeight="1">
      <c r="A514" s="2" t="s">
        <v>6024</v>
      </c>
      <c r="B514" s="2" t="s">
        <v>6041</v>
      </c>
      <c r="C514" s="178" t="s">
        <v>6392</v>
      </c>
      <c r="D514" s="2" t="s">
        <v>481</v>
      </c>
      <c r="F514" s="2">
        <v>38</v>
      </c>
      <c r="G514" s="2">
        <v>2</v>
      </c>
      <c r="H514" s="2" t="s">
        <v>5667</v>
      </c>
    </row>
    <row r="515" spans="1:8" ht="15.75" hidden="1" customHeight="1">
      <c r="A515" s="2" t="s">
        <v>6024</v>
      </c>
      <c r="B515" s="2" t="s">
        <v>6041</v>
      </c>
      <c r="C515" s="178" t="s">
        <v>6393</v>
      </c>
      <c r="D515" s="2" t="s">
        <v>481</v>
      </c>
      <c r="F515" s="2">
        <v>38</v>
      </c>
      <c r="G515" s="2">
        <v>2</v>
      </c>
      <c r="H515" s="2" t="s">
        <v>5667</v>
      </c>
    </row>
    <row r="516" spans="1:8" ht="15.75" hidden="1" customHeight="1">
      <c r="A516" s="2" t="s">
        <v>6024</v>
      </c>
      <c r="B516" s="2" t="s">
        <v>6041</v>
      </c>
      <c r="C516" s="178" t="s">
        <v>6394</v>
      </c>
      <c r="D516" s="2" t="s">
        <v>481</v>
      </c>
      <c r="F516" s="2">
        <v>38</v>
      </c>
      <c r="G516" s="2">
        <v>2</v>
      </c>
      <c r="H516" s="2" t="s">
        <v>5667</v>
      </c>
    </row>
    <row r="517" spans="1:8" ht="15.75" hidden="1" customHeight="1">
      <c r="A517" s="2" t="s">
        <v>6024</v>
      </c>
      <c r="B517" s="2" t="s">
        <v>6041</v>
      </c>
      <c r="C517" s="178" t="s">
        <v>6395</v>
      </c>
      <c r="D517" s="2" t="s">
        <v>481</v>
      </c>
      <c r="F517" s="2">
        <v>38</v>
      </c>
      <c r="G517" s="2">
        <v>2</v>
      </c>
      <c r="H517" s="2" t="s">
        <v>5667</v>
      </c>
    </row>
    <row r="518" spans="1:8" ht="15.75" hidden="1" customHeight="1">
      <c r="A518" s="2" t="s">
        <v>6024</v>
      </c>
      <c r="B518" s="2" t="s">
        <v>6041</v>
      </c>
      <c r="C518" s="178" t="s">
        <v>6396</v>
      </c>
      <c r="D518" s="2" t="s">
        <v>481</v>
      </c>
      <c r="F518" s="2">
        <v>38</v>
      </c>
      <c r="G518" s="2">
        <v>2</v>
      </c>
      <c r="H518" s="2" t="s">
        <v>5667</v>
      </c>
    </row>
    <row r="519" spans="1:8" ht="15.75" hidden="1" customHeight="1">
      <c r="A519" s="2" t="s">
        <v>6024</v>
      </c>
      <c r="B519" s="2" t="s">
        <v>6041</v>
      </c>
      <c r="C519" s="178" t="s">
        <v>6397</v>
      </c>
      <c r="D519" s="2" t="s">
        <v>481</v>
      </c>
      <c r="F519" s="2">
        <v>38</v>
      </c>
      <c r="G519" s="2">
        <v>2</v>
      </c>
      <c r="H519" s="2" t="s">
        <v>5667</v>
      </c>
    </row>
    <row r="520" spans="1:8" ht="15.75" hidden="1" customHeight="1">
      <c r="A520" s="2" t="s">
        <v>6024</v>
      </c>
      <c r="B520" s="2" t="s">
        <v>6041</v>
      </c>
      <c r="C520" s="178" t="s">
        <v>6398</v>
      </c>
      <c r="D520" s="2" t="s">
        <v>481</v>
      </c>
      <c r="F520" s="2">
        <v>38</v>
      </c>
      <c r="G520" s="2">
        <v>2</v>
      </c>
      <c r="H520" s="2" t="s">
        <v>5667</v>
      </c>
    </row>
    <row r="521" spans="1:8" ht="15.75" hidden="1" customHeight="1">
      <c r="A521" s="2" t="s">
        <v>6024</v>
      </c>
      <c r="B521" s="2" t="s">
        <v>6041</v>
      </c>
      <c r="C521" s="178" t="s">
        <v>6399</v>
      </c>
      <c r="D521" s="2" t="s">
        <v>481</v>
      </c>
      <c r="F521" s="2">
        <v>38</v>
      </c>
      <c r="G521" s="2">
        <v>2</v>
      </c>
      <c r="H521" s="2" t="s">
        <v>5667</v>
      </c>
    </row>
    <row r="522" spans="1:8" ht="15.75" hidden="1" customHeight="1">
      <c r="A522" s="2" t="s">
        <v>6024</v>
      </c>
      <c r="B522" s="2" t="s">
        <v>6041</v>
      </c>
      <c r="C522" s="178" t="s">
        <v>6400</v>
      </c>
      <c r="D522" s="2" t="s">
        <v>481</v>
      </c>
      <c r="F522" s="2">
        <v>38</v>
      </c>
      <c r="G522" s="2">
        <v>2</v>
      </c>
      <c r="H522" s="2" t="s">
        <v>5667</v>
      </c>
    </row>
    <row r="523" spans="1:8" ht="15.75" hidden="1" customHeight="1">
      <c r="A523" s="2" t="s">
        <v>6024</v>
      </c>
      <c r="B523" s="2" t="s">
        <v>6041</v>
      </c>
      <c r="C523" s="178" t="s">
        <v>6401</v>
      </c>
      <c r="D523" s="2" t="s">
        <v>481</v>
      </c>
      <c r="F523" s="2">
        <v>38</v>
      </c>
      <c r="G523" s="2">
        <v>2</v>
      </c>
      <c r="H523" s="2" t="s">
        <v>5667</v>
      </c>
    </row>
    <row r="524" spans="1:8" ht="15.75" hidden="1" customHeight="1">
      <c r="A524" s="2" t="s">
        <v>6024</v>
      </c>
      <c r="B524" s="2" t="s">
        <v>6041</v>
      </c>
      <c r="C524" s="178" t="s">
        <v>6402</v>
      </c>
      <c r="D524" s="2" t="s">
        <v>481</v>
      </c>
      <c r="F524" s="2">
        <v>38</v>
      </c>
      <c r="G524" s="2">
        <v>2</v>
      </c>
      <c r="H524" s="2" t="s">
        <v>5667</v>
      </c>
    </row>
    <row r="525" spans="1:8" ht="15.75" hidden="1" customHeight="1">
      <c r="A525" s="2" t="s">
        <v>6024</v>
      </c>
      <c r="B525" s="2" t="s">
        <v>6041</v>
      </c>
      <c r="C525" s="178" t="s">
        <v>6403</v>
      </c>
      <c r="D525" s="2" t="s">
        <v>481</v>
      </c>
      <c r="F525" s="2">
        <v>38</v>
      </c>
      <c r="G525" s="2">
        <v>2</v>
      </c>
      <c r="H525" s="2" t="s">
        <v>5667</v>
      </c>
    </row>
    <row r="526" spans="1:8" ht="15.75" hidden="1" customHeight="1">
      <c r="A526" s="2" t="s">
        <v>6024</v>
      </c>
      <c r="B526" s="2" t="s">
        <v>6041</v>
      </c>
      <c r="C526" s="178" t="s">
        <v>6404</v>
      </c>
      <c r="D526" s="2" t="s">
        <v>481</v>
      </c>
      <c r="F526" s="2">
        <v>38</v>
      </c>
      <c r="G526" s="2">
        <v>2</v>
      </c>
      <c r="H526" s="2" t="s">
        <v>5667</v>
      </c>
    </row>
    <row r="527" spans="1:8" ht="15.75" hidden="1" customHeight="1">
      <c r="A527" s="2" t="s">
        <v>6024</v>
      </c>
      <c r="B527" s="2" t="s">
        <v>6041</v>
      </c>
      <c r="C527" s="178" t="s">
        <v>6405</v>
      </c>
      <c r="D527" s="2" t="s">
        <v>481</v>
      </c>
      <c r="F527" s="2">
        <v>38</v>
      </c>
      <c r="G527" s="2">
        <v>2</v>
      </c>
      <c r="H527" s="2" t="s">
        <v>5667</v>
      </c>
    </row>
    <row r="528" spans="1:8" ht="15.75" hidden="1" customHeight="1">
      <c r="A528" s="2" t="s">
        <v>6024</v>
      </c>
      <c r="B528" s="2" t="s">
        <v>6041</v>
      </c>
      <c r="C528" s="178" t="s">
        <v>6406</v>
      </c>
      <c r="D528" s="2" t="s">
        <v>481</v>
      </c>
      <c r="F528" s="2">
        <v>38</v>
      </c>
      <c r="G528" s="2">
        <v>2</v>
      </c>
      <c r="H528" s="2" t="s">
        <v>5667</v>
      </c>
    </row>
    <row r="529" spans="1:8" ht="15.75" hidden="1" customHeight="1">
      <c r="A529" s="2" t="s">
        <v>6024</v>
      </c>
      <c r="B529" s="2" t="s">
        <v>6041</v>
      </c>
      <c r="C529" s="178" t="s">
        <v>6407</v>
      </c>
      <c r="D529" s="2" t="s">
        <v>481</v>
      </c>
      <c r="F529" s="2">
        <v>38</v>
      </c>
      <c r="G529" s="2">
        <v>2</v>
      </c>
      <c r="H529" s="2" t="s">
        <v>5667</v>
      </c>
    </row>
    <row r="530" spans="1:8" ht="15.75" hidden="1" customHeight="1">
      <c r="A530" s="2" t="s">
        <v>6024</v>
      </c>
      <c r="B530" s="2" t="s">
        <v>6041</v>
      </c>
      <c r="C530" s="178" t="s">
        <v>6408</v>
      </c>
      <c r="D530" s="2" t="s">
        <v>481</v>
      </c>
      <c r="F530" s="2">
        <v>38</v>
      </c>
      <c r="G530" s="2">
        <v>2</v>
      </c>
      <c r="H530" s="2" t="s">
        <v>5667</v>
      </c>
    </row>
    <row r="531" spans="1:8" ht="15.75" hidden="1" customHeight="1">
      <c r="A531" s="2" t="s">
        <v>6024</v>
      </c>
      <c r="B531" s="2" t="s">
        <v>6041</v>
      </c>
      <c r="C531" s="178" t="s">
        <v>6409</v>
      </c>
      <c r="D531" s="2" t="s">
        <v>481</v>
      </c>
      <c r="F531" s="2">
        <v>38</v>
      </c>
      <c r="G531" s="2">
        <v>2</v>
      </c>
      <c r="H531" s="2" t="s">
        <v>5667</v>
      </c>
    </row>
    <row r="532" spans="1:8" ht="15.75" hidden="1" customHeight="1">
      <c r="A532" s="2" t="s">
        <v>6024</v>
      </c>
      <c r="B532" s="2" t="s">
        <v>6041</v>
      </c>
      <c r="C532" s="178" t="s">
        <v>6410</v>
      </c>
      <c r="D532" s="2" t="s">
        <v>481</v>
      </c>
      <c r="F532" s="2">
        <v>38</v>
      </c>
      <c r="G532" s="2">
        <v>2</v>
      </c>
      <c r="H532" s="2" t="s">
        <v>5667</v>
      </c>
    </row>
    <row r="533" spans="1:8" ht="15.75" hidden="1" customHeight="1">
      <c r="A533" s="2" t="s">
        <v>6024</v>
      </c>
      <c r="B533" s="2" t="s">
        <v>6041</v>
      </c>
      <c r="C533" s="178" t="s">
        <v>6411</v>
      </c>
      <c r="D533" s="2" t="s">
        <v>481</v>
      </c>
      <c r="F533" s="2">
        <v>38</v>
      </c>
      <c r="G533" s="2">
        <v>2</v>
      </c>
      <c r="H533" s="2" t="s">
        <v>5667</v>
      </c>
    </row>
    <row r="534" spans="1:8" ht="15.75" hidden="1" customHeight="1">
      <c r="A534" s="2" t="s">
        <v>6024</v>
      </c>
      <c r="B534" s="2" t="s">
        <v>6041</v>
      </c>
      <c r="C534" s="178" t="s">
        <v>6412</v>
      </c>
      <c r="D534" s="2" t="s">
        <v>481</v>
      </c>
      <c r="F534" s="2">
        <v>38</v>
      </c>
      <c r="G534" s="2">
        <v>2</v>
      </c>
      <c r="H534" s="2" t="s">
        <v>5667</v>
      </c>
    </row>
    <row r="535" spans="1:8" ht="15.75" hidden="1" customHeight="1">
      <c r="A535" s="2" t="s">
        <v>6024</v>
      </c>
      <c r="B535" s="2" t="s">
        <v>6041</v>
      </c>
      <c r="C535" s="178" t="s">
        <v>6413</v>
      </c>
      <c r="D535" s="2" t="s">
        <v>481</v>
      </c>
      <c r="F535" s="2">
        <v>38</v>
      </c>
      <c r="G535" s="2">
        <v>2</v>
      </c>
      <c r="H535" s="2" t="s">
        <v>5667</v>
      </c>
    </row>
    <row r="536" spans="1:8" ht="15.75" hidden="1" customHeight="1">
      <c r="A536" s="2" t="s">
        <v>6024</v>
      </c>
      <c r="B536" s="2" t="s">
        <v>6041</v>
      </c>
      <c r="C536" s="178" t="s">
        <v>6414</v>
      </c>
      <c r="D536" s="2" t="s">
        <v>481</v>
      </c>
      <c r="F536" s="2">
        <v>38</v>
      </c>
      <c r="G536" s="2">
        <v>2</v>
      </c>
      <c r="H536" s="2" t="s">
        <v>5667</v>
      </c>
    </row>
    <row r="537" spans="1:8" ht="15.75" hidden="1" customHeight="1">
      <c r="A537" s="2" t="s">
        <v>6024</v>
      </c>
      <c r="B537" s="2" t="s">
        <v>6041</v>
      </c>
      <c r="C537" s="178" t="s">
        <v>6415</v>
      </c>
      <c r="D537" s="2" t="s">
        <v>481</v>
      </c>
      <c r="F537" s="2">
        <v>38</v>
      </c>
      <c r="G537" s="2">
        <v>2</v>
      </c>
      <c r="H537" s="2" t="s">
        <v>5667</v>
      </c>
    </row>
    <row r="538" spans="1:8" ht="15.75" hidden="1" customHeight="1">
      <c r="A538" s="2" t="s">
        <v>6024</v>
      </c>
      <c r="B538" s="2" t="s">
        <v>6041</v>
      </c>
      <c r="C538" s="178" t="s">
        <v>6416</v>
      </c>
      <c r="D538" s="2" t="s">
        <v>481</v>
      </c>
      <c r="F538" s="2">
        <v>38</v>
      </c>
      <c r="G538" s="2">
        <v>2</v>
      </c>
      <c r="H538" s="2" t="s">
        <v>5667</v>
      </c>
    </row>
    <row r="539" spans="1:8" ht="15.75" hidden="1" customHeight="1">
      <c r="A539" s="2" t="s">
        <v>6024</v>
      </c>
      <c r="B539" s="2" t="s">
        <v>6041</v>
      </c>
      <c r="C539" s="178" t="s">
        <v>6417</v>
      </c>
      <c r="D539" s="2" t="s">
        <v>481</v>
      </c>
      <c r="F539" s="2">
        <v>38</v>
      </c>
      <c r="G539" s="2">
        <v>2</v>
      </c>
      <c r="H539" s="2" t="s">
        <v>5667</v>
      </c>
    </row>
    <row r="540" spans="1:8" ht="15.75" hidden="1" customHeight="1">
      <c r="A540" s="2" t="s">
        <v>6024</v>
      </c>
      <c r="B540" s="2" t="s">
        <v>6041</v>
      </c>
      <c r="C540" s="178" t="s">
        <v>6418</v>
      </c>
      <c r="D540" s="2" t="s">
        <v>481</v>
      </c>
      <c r="F540" s="2">
        <v>38</v>
      </c>
      <c r="G540" s="2">
        <v>2</v>
      </c>
      <c r="H540" s="2" t="s">
        <v>5667</v>
      </c>
    </row>
    <row r="541" spans="1:8" ht="15.75" hidden="1" customHeight="1">
      <c r="A541" s="2" t="s">
        <v>6024</v>
      </c>
      <c r="B541" s="2" t="s">
        <v>6041</v>
      </c>
      <c r="C541" s="178" t="s">
        <v>6419</v>
      </c>
      <c r="D541" s="2" t="s">
        <v>481</v>
      </c>
      <c r="F541" s="2">
        <v>38</v>
      </c>
      <c r="G541" s="2">
        <v>2</v>
      </c>
      <c r="H541" s="2" t="s">
        <v>5667</v>
      </c>
    </row>
    <row r="542" spans="1:8" ht="15.75" hidden="1" customHeight="1">
      <c r="A542" s="2" t="s">
        <v>6024</v>
      </c>
      <c r="B542" s="2" t="s">
        <v>6041</v>
      </c>
      <c r="C542" s="178" t="s">
        <v>6420</v>
      </c>
      <c r="D542" s="2" t="s">
        <v>481</v>
      </c>
      <c r="F542" s="2">
        <v>38</v>
      </c>
      <c r="G542" s="2">
        <v>2</v>
      </c>
      <c r="H542" s="2" t="s">
        <v>5667</v>
      </c>
    </row>
    <row r="543" spans="1:8" ht="15.75" hidden="1" customHeight="1">
      <c r="A543" s="2" t="s">
        <v>6024</v>
      </c>
      <c r="B543" s="2" t="s">
        <v>6041</v>
      </c>
      <c r="C543" s="178" t="s">
        <v>6421</v>
      </c>
      <c r="D543" s="2" t="s">
        <v>481</v>
      </c>
      <c r="F543" s="2">
        <v>38</v>
      </c>
      <c r="G543" s="2">
        <v>2</v>
      </c>
      <c r="H543" s="2" t="s">
        <v>5667</v>
      </c>
    </row>
    <row r="544" spans="1:8" ht="15.75" hidden="1" customHeight="1">
      <c r="A544" s="2" t="s">
        <v>6024</v>
      </c>
      <c r="B544" s="2" t="s">
        <v>6041</v>
      </c>
      <c r="C544" s="178" t="s">
        <v>6422</v>
      </c>
      <c r="D544" s="2" t="s">
        <v>481</v>
      </c>
      <c r="F544" s="2">
        <v>38</v>
      </c>
      <c r="G544" s="2">
        <v>2</v>
      </c>
      <c r="H544" s="2" t="s">
        <v>5667</v>
      </c>
    </row>
    <row r="545" spans="1:8" ht="15.75" hidden="1" customHeight="1">
      <c r="A545" s="2" t="s">
        <v>6024</v>
      </c>
      <c r="B545" s="2" t="s">
        <v>6041</v>
      </c>
      <c r="C545" s="178" t="s">
        <v>6423</v>
      </c>
      <c r="D545" s="2" t="s">
        <v>481</v>
      </c>
      <c r="F545" s="2">
        <v>38</v>
      </c>
      <c r="G545" s="2">
        <v>2</v>
      </c>
      <c r="H545" s="2" t="s">
        <v>5667</v>
      </c>
    </row>
    <row r="546" spans="1:8" ht="15.75" hidden="1" customHeight="1">
      <c r="A546" s="2" t="s">
        <v>6024</v>
      </c>
      <c r="B546" s="2" t="s">
        <v>6041</v>
      </c>
      <c r="C546" s="178" t="s">
        <v>6424</v>
      </c>
      <c r="D546" s="2" t="s">
        <v>481</v>
      </c>
      <c r="F546" s="2">
        <v>38</v>
      </c>
      <c r="G546" s="2">
        <v>2</v>
      </c>
      <c r="H546" s="2" t="s">
        <v>5667</v>
      </c>
    </row>
    <row r="547" spans="1:8" ht="15.75" hidden="1" customHeight="1">
      <c r="A547" s="2" t="s">
        <v>6024</v>
      </c>
      <c r="B547" s="2" t="s">
        <v>6041</v>
      </c>
      <c r="C547" s="178" t="s">
        <v>6425</v>
      </c>
      <c r="D547" s="2" t="s">
        <v>481</v>
      </c>
      <c r="F547" s="2">
        <v>38</v>
      </c>
      <c r="G547" s="2">
        <v>2</v>
      </c>
      <c r="H547" s="2" t="s">
        <v>5667</v>
      </c>
    </row>
    <row r="548" spans="1:8" ht="15.75" hidden="1" customHeight="1">
      <c r="A548" s="2" t="s">
        <v>6024</v>
      </c>
      <c r="B548" s="2" t="s">
        <v>6041</v>
      </c>
      <c r="C548" s="178" t="s">
        <v>6426</v>
      </c>
      <c r="D548" s="2" t="s">
        <v>481</v>
      </c>
      <c r="F548" s="2">
        <v>38</v>
      </c>
      <c r="G548" s="2">
        <v>2</v>
      </c>
      <c r="H548" s="2" t="s">
        <v>5667</v>
      </c>
    </row>
    <row r="549" spans="1:8" ht="15.75" hidden="1" customHeight="1">
      <c r="A549" s="2" t="s">
        <v>6024</v>
      </c>
      <c r="B549" s="2" t="s">
        <v>6041</v>
      </c>
      <c r="C549" s="178" t="s">
        <v>6427</v>
      </c>
      <c r="D549" s="2" t="s">
        <v>481</v>
      </c>
      <c r="F549" s="2">
        <v>38</v>
      </c>
      <c r="G549" s="2">
        <v>2</v>
      </c>
      <c r="H549" s="2" t="s">
        <v>5667</v>
      </c>
    </row>
    <row r="550" spans="1:8" ht="15.75" hidden="1" customHeight="1">
      <c r="A550" s="2" t="s">
        <v>6024</v>
      </c>
      <c r="B550" s="2" t="s">
        <v>6041</v>
      </c>
      <c r="C550" s="178" t="s">
        <v>6428</v>
      </c>
      <c r="D550" s="2" t="s">
        <v>481</v>
      </c>
      <c r="F550" s="2">
        <v>38</v>
      </c>
      <c r="G550" s="2">
        <v>2</v>
      </c>
      <c r="H550" s="2" t="s">
        <v>5667</v>
      </c>
    </row>
    <row r="551" spans="1:8" ht="15.75" hidden="1" customHeight="1">
      <c r="A551" s="2" t="s">
        <v>6024</v>
      </c>
      <c r="B551" s="2" t="s">
        <v>6041</v>
      </c>
      <c r="C551" s="178" t="s">
        <v>6429</v>
      </c>
      <c r="D551" s="2" t="s">
        <v>481</v>
      </c>
      <c r="F551" s="2">
        <v>38</v>
      </c>
      <c r="G551" s="2">
        <v>2</v>
      </c>
      <c r="H551" s="2" t="s">
        <v>5667</v>
      </c>
    </row>
    <row r="552" spans="1:8" ht="15.75" hidden="1" customHeight="1">
      <c r="A552" s="2" t="s">
        <v>6024</v>
      </c>
      <c r="B552" s="2" t="s">
        <v>6041</v>
      </c>
      <c r="C552" s="178" t="s">
        <v>6430</v>
      </c>
      <c r="D552" s="2" t="s">
        <v>481</v>
      </c>
      <c r="F552" s="2">
        <v>38</v>
      </c>
      <c r="G552" s="2">
        <v>2</v>
      </c>
      <c r="H552" s="2" t="s">
        <v>5667</v>
      </c>
    </row>
    <row r="553" spans="1:8" ht="15.75" hidden="1" customHeight="1">
      <c r="A553" s="2" t="s">
        <v>6024</v>
      </c>
      <c r="B553" s="2" t="s">
        <v>6041</v>
      </c>
      <c r="C553" s="178" t="s">
        <v>6431</v>
      </c>
      <c r="D553" s="2" t="s">
        <v>481</v>
      </c>
      <c r="F553" s="2">
        <v>38</v>
      </c>
      <c r="G553" s="2">
        <v>2</v>
      </c>
      <c r="H553" s="2" t="s">
        <v>5667</v>
      </c>
    </row>
    <row r="554" spans="1:8" ht="15.75" hidden="1" customHeight="1">
      <c r="A554" s="2" t="s">
        <v>6024</v>
      </c>
      <c r="B554" s="2" t="s">
        <v>6041</v>
      </c>
      <c r="C554" s="178" t="s">
        <v>6432</v>
      </c>
      <c r="D554" s="2" t="s">
        <v>481</v>
      </c>
      <c r="F554" s="2">
        <v>38</v>
      </c>
      <c r="G554" s="2">
        <v>2</v>
      </c>
      <c r="H554" s="2" t="s">
        <v>5667</v>
      </c>
    </row>
    <row r="555" spans="1:8" ht="15.75" hidden="1" customHeight="1">
      <c r="A555" s="2" t="s">
        <v>6024</v>
      </c>
      <c r="B555" s="2" t="s">
        <v>6041</v>
      </c>
      <c r="C555" s="178" t="s">
        <v>6433</v>
      </c>
      <c r="D555" s="2" t="s">
        <v>481</v>
      </c>
      <c r="F555" s="2">
        <v>38</v>
      </c>
      <c r="G555" s="2">
        <v>2</v>
      </c>
      <c r="H555" s="2" t="s">
        <v>5667</v>
      </c>
    </row>
    <row r="556" spans="1:8" ht="15.75" hidden="1" customHeight="1">
      <c r="A556" s="2" t="s">
        <v>6024</v>
      </c>
      <c r="B556" s="2" t="s">
        <v>6041</v>
      </c>
      <c r="C556" s="178" t="s">
        <v>6434</v>
      </c>
      <c r="D556" s="2" t="s">
        <v>481</v>
      </c>
      <c r="F556" s="2">
        <v>38</v>
      </c>
      <c r="G556" s="2">
        <v>2</v>
      </c>
      <c r="H556" s="2" t="s">
        <v>5667</v>
      </c>
    </row>
    <row r="557" spans="1:8" ht="15.75" hidden="1" customHeight="1">
      <c r="A557" s="2" t="s">
        <v>6024</v>
      </c>
      <c r="B557" s="2" t="s">
        <v>6041</v>
      </c>
      <c r="C557" s="178" t="s">
        <v>6435</v>
      </c>
      <c r="D557" s="2" t="s">
        <v>481</v>
      </c>
      <c r="F557" s="2">
        <v>38</v>
      </c>
      <c r="G557" s="2">
        <v>2</v>
      </c>
      <c r="H557" s="2" t="s">
        <v>5667</v>
      </c>
    </row>
    <row r="558" spans="1:8" ht="15.75" hidden="1" customHeight="1">
      <c r="A558" s="2" t="s">
        <v>6024</v>
      </c>
      <c r="B558" s="2" t="s">
        <v>6041</v>
      </c>
      <c r="C558" s="178" t="s">
        <v>6436</v>
      </c>
      <c r="D558" s="2" t="s">
        <v>481</v>
      </c>
      <c r="F558" s="2">
        <v>38</v>
      </c>
      <c r="G558" s="2">
        <v>2</v>
      </c>
      <c r="H558" s="2" t="s">
        <v>5667</v>
      </c>
    </row>
    <row r="559" spans="1:8" ht="15.75" hidden="1" customHeight="1">
      <c r="A559" s="2" t="s">
        <v>6024</v>
      </c>
      <c r="B559" s="2" t="s">
        <v>6041</v>
      </c>
      <c r="C559" s="178" t="s">
        <v>6437</v>
      </c>
      <c r="D559" s="2" t="s">
        <v>481</v>
      </c>
      <c r="F559" s="2">
        <v>38</v>
      </c>
      <c r="G559" s="2">
        <v>2</v>
      </c>
      <c r="H559" s="2" t="s">
        <v>5667</v>
      </c>
    </row>
    <row r="560" spans="1:8" ht="15.75" hidden="1" customHeight="1">
      <c r="A560" s="2" t="s">
        <v>6024</v>
      </c>
      <c r="B560" s="2" t="s">
        <v>6041</v>
      </c>
      <c r="C560" s="178" t="s">
        <v>6438</v>
      </c>
      <c r="D560" s="2" t="s">
        <v>481</v>
      </c>
      <c r="F560" s="2">
        <v>38</v>
      </c>
      <c r="G560" s="2">
        <v>2</v>
      </c>
      <c r="H560" s="2" t="s">
        <v>5667</v>
      </c>
    </row>
    <row r="561" spans="1:8" ht="15.75" hidden="1" customHeight="1">
      <c r="A561" s="2" t="s">
        <v>6024</v>
      </c>
      <c r="B561" s="2" t="s">
        <v>6041</v>
      </c>
      <c r="C561" s="178" t="s">
        <v>6439</v>
      </c>
      <c r="D561" s="2" t="s">
        <v>481</v>
      </c>
      <c r="F561" s="2">
        <v>38</v>
      </c>
      <c r="G561" s="2">
        <v>2</v>
      </c>
      <c r="H561" s="2" t="s">
        <v>5667</v>
      </c>
    </row>
    <row r="562" spans="1:8" ht="15.75" hidden="1" customHeight="1">
      <c r="A562" s="2" t="s">
        <v>6024</v>
      </c>
      <c r="B562" s="2" t="s">
        <v>6041</v>
      </c>
      <c r="C562" s="178" t="s">
        <v>6440</v>
      </c>
      <c r="D562" s="2" t="s">
        <v>481</v>
      </c>
      <c r="F562" s="2">
        <v>38</v>
      </c>
      <c r="G562" s="2">
        <v>2</v>
      </c>
      <c r="H562" s="2" t="s">
        <v>5667</v>
      </c>
    </row>
    <row r="563" spans="1:8" ht="15.75" hidden="1" customHeight="1">
      <c r="A563" s="2" t="s">
        <v>6024</v>
      </c>
      <c r="B563" s="2" t="s">
        <v>6041</v>
      </c>
      <c r="C563" s="178" t="s">
        <v>6441</v>
      </c>
      <c r="D563" s="2" t="s">
        <v>481</v>
      </c>
      <c r="F563" s="2">
        <v>38</v>
      </c>
      <c r="G563" s="2">
        <v>2</v>
      </c>
      <c r="H563" s="2" t="s">
        <v>5667</v>
      </c>
    </row>
    <row r="564" spans="1:8" ht="15.75" hidden="1" customHeight="1">
      <c r="A564" s="2" t="s">
        <v>6024</v>
      </c>
      <c r="B564" s="2" t="s">
        <v>6041</v>
      </c>
      <c r="C564" s="178" t="s">
        <v>6442</v>
      </c>
      <c r="D564" s="2" t="s">
        <v>481</v>
      </c>
      <c r="F564" s="2">
        <v>38</v>
      </c>
      <c r="G564" s="2">
        <v>2</v>
      </c>
      <c r="H564" s="2" t="s">
        <v>5667</v>
      </c>
    </row>
    <row r="565" spans="1:8" ht="15.75" hidden="1" customHeight="1">
      <c r="A565" s="2" t="s">
        <v>6024</v>
      </c>
      <c r="B565" s="2" t="s">
        <v>6041</v>
      </c>
      <c r="C565" s="178" t="s">
        <v>6443</v>
      </c>
      <c r="D565" s="2" t="s">
        <v>481</v>
      </c>
      <c r="F565" s="2">
        <v>38</v>
      </c>
      <c r="G565" s="2">
        <v>2</v>
      </c>
      <c r="H565" s="2" t="s">
        <v>5667</v>
      </c>
    </row>
    <row r="566" spans="1:8" ht="15.75" hidden="1" customHeight="1">
      <c r="A566" s="2" t="s">
        <v>6024</v>
      </c>
      <c r="B566" s="2" t="s">
        <v>6041</v>
      </c>
      <c r="C566" s="178" t="s">
        <v>6444</v>
      </c>
      <c r="D566" s="2" t="s">
        <v>481</v>
      </c>
      <c r="F566" s="2">
        <v>38</v>
      </c>
      <c r="G566" s="2">
        <v>2</v>
      </c>
      <c r="H566" s="2" t="s">
        <v>5667</v>
      </c>
    </row>
    <row r="567" spans="1:8" ht="15.75" hidden="1" customHeight="1">
      <c r="A567" s="2" t="s">
        <v>6024</v>
      </c>
      <c r="B567" s="2" t="s">
        <v>6041</v>
      </c>
      <c r="C567" s="178" t="s">
        <v>6445</v>
      </c>
      <c r="D567" s="2" t="s">
        <v>481</v>
      </c>
      <c r="F567" s="2">
        <v>38</v>
      </c>
      <c r="G567" s="2">
        <v>2</v>
      </c>
      <c r="H567" s="2" t="s">
        <v>5667</v>
      </c>
    </row>
    <row r="568" spans="1:8" ht="15.75" hidden="1" customHeight="1">
      <c r="A568" s="2" t="s">
        <v>6024</v>
      </c>
      <c r="B568" s="2" t="s">
        <v>6041</v>
      </c>
      <c r="C568" s="178" t="s">
        <v>6446</v>
      </c>
      <c r="D568" s="2" t="s">
        <v>481</v>
      </c>
      <c r="F568" s="2">
        <v>38</v>
      </c>
      <c r="G568" s="2">
        <v>2</v>
      </c>
      <c r="H568" s="2" t="s">
        <v>5667</v>
      </c>
    </row>
    <row r="569" spans="1:8" ht="15.75" hidden="1" customHeight="1">
      <c r="A569" s="2" t="s">
        <v>6024</v>
      </c>
      <c r="B569" s="2" t="s">
        <v>6041</v>
      </c>
      <c r="C569" s="178" t="s">
        <v>6447</v>
      </c>
      <c r="D569" s="2" t="s">
        <v>481</v>
      </c>
      <c r="F569" s="2">
        <v>38</v>
      </c>
      <c r="G569" s="2">
        <v>2</v>
      </c>
      <c r="H569" s="2" t="s">
        <v>5667</v>
      </c>
    </row>
    <row r="570" spans="1:8" ht="15.75" hidden="1" customHeight="1">
      <c r="A570" s="2" t="s">
        <v>6024</v>
      </c>
      <c r="B570" s="2" t="s">
        <v>6041</v>
      </c>
      <c r="C570" s="178" t="s">
        <v>6448</v>
      </c>
      <c r="D570" s="2" t="s">
        <v>481</v>
      </c>
      <c r="F570" s="2">
        <v>38</v>
      </c>
      <c r="G570" s="2">
        <v>2</v>
      </c>
      <c r="H570" s="2" t="s">
        <v>5667</v>
      </c>
    </row>
    <row r="571" spans="1:8" ht="15.75" hidden="1" customHeight="1">
      <c r="A571" s="2" t="s">
        <v>6024</v>
      </c>
      <c r="B571" s="2" t="s">
        <v>6041</v>
      </c>
      <c r="C571" s="178" t="s">
        <v>6449</v>
      </c>
      <c r="D571" s="2" t="s">
        <v>481</v>
      </c>
      <c r="F571" s="2">
        <v>38</v>
      </c>
      <c r="G571" s="2">
        <v>2</v>
      </c>
      <c r="H571" s="2" t="s">
        <v>5667</v>
      </c>
    </row>
    <row r="572" spans="1:8" ht="15.75" hidden="1" customHeight="1">
      <c r="A572" s="2" t="s">
        <v>6024</v>
      </c>
      <c r="B572" s="2" t="s">
        <v>6041</v>
      </c>
      <c r="C572" s="178" t="s">
        <v>6450</v>
      </c>
      <c r="D572" s="2" t="s">
        <v>481</v>
      </c>
      <c r="F572" s="2">
        <v>38</v>
      </c>
      <c r="G572" s="2">
        <v>2</v>
      </c>
      <c r="H572" s="2" t="s">
        <v>5667</v>
      </c>
    </row>
    <row r="573" spans="1:8" ht="15.75" hidden="1" customHeight="1">
      <c r="A573" s="2" t="s">
        <v>6024</v>
      </c>
      <c r="B573" s="2" t="s">
        <v>6041</v>
      </c>
      <c r="C573" s="178" t="s">
        <v>6451</v>
      </c>
      <c r="D573" s="2" t="s">
        <v>481</v>
      </c>
      <c r="F573" s="2">
        <v>38</v>
      </c>
      <c r="G573" s="2">
        <v>2</v>
      </c>
      <c r="H573" s="2" t="s">
        <v>5667</v>
      </c>
    </row>
    <row r="574" spans="1:8" ht="15.75" hidden="1" customHeight="1">
      <c r="A574" s="2" t="s">
        <v>6024</v>
      </c>
      <c r="B574" s="2" t="s">
        <v>6041</v>
      </c>
      <c r="C574" s="178" t="s">
        <v>6452</v>
      </c>
      <c r="D574" s="2" t="s">
        <v>481</v>
      </c>
      <c r="F574" s="2">
        <v>38</v>
      </c>
      <c r="G574" s="2">
        <v>2</v>
      </c>
      <c r="H574" s="2" t="s">
        <v>5667</v>
      </c>
    </row>
    <row r="575" spans="1:8" ht="15.75" hidden="1" customHeight="1">
      <c r="A575" s="2" t="s">
        <v>6024</v>
      </c>
      <c r="B575" s="2" t="s">
        <v>6041</v>
      </c>
      <c r="C575" s="178" t="s">
        <v>6453</v>
      </c>
      <c r="D575" s="2" t="s">
        <v>481</v>
      </c>
      <c r="F575" s="2">
        <v>38</v>
      </c>
      <c r="G575" s="2">
        <v>2</v>
      </c>
      <c r="H575" s="2" t="s">
        <v>5667</v>
      </c>
    </row>
    <row r="576" spans="1:8" ht="15.75" hidden="1" customHeight="1">
      <c r="A576" s="2" t="s">
        <v>6024</v>
      </c>
      <c r="B576" s="2" t="s">
        <v>6041</v>
      </c>
      <c r="C576" s="178" t="s">
        <v>6454</v>
      </c>
      <c r="D576" s="2" t="s">
        <v>481</v>
      </c>
      <c r="F576" s="2">
        <v>38</v>
      </c>
      <c r="G576" s="2">
        <v>2</v>
      </c>
      <c r="H576" s="2" t="s">
        <v>5667</v>
      </c>
    </row>
    <row r="577" spans="1:8" ht="15.75" hidden="1" customHeight="1">
      <c r="A577" s="2" t="s">
        <v>6024</v>
      </c>
      <c r="B577" s="2" t="s">
        <v>6041</v>
      </c>
      <c r="C577" s="178" t="s">
        <v>6455</v>
      </c>
      <c r="D577" s="2" t="s">
        <v>481</v>
      </c>
      <c r="F577" s="2">
        <v>38</v>
      </c>
      <c r="G577" s="2">
        <v>2</v>
      </c>
      <c r="H577" s="2" t="s">
        <v>5667</v>
      </c>
    </row>
    <row r="578" spans="1:8" ht="15.75" hidden="1" customHeight="1">
      <c r="A578" s="2" t="s">
        <v>6024</v>
      </c>
      <c r="B578" s="2" t="s">
        <v>6041</v>
      </c>
      <c r="C578" s="178" t="s">
        <v>6456</v>
      </c>
      <c r="D578" s="2" t="s">
        <v>481</v>
      </c>
      <c r="F578" s="2">
        <v>38</v>
      </c>
      <c r="G578" s="2">
        <v>2</v>
      </c>
      <c r="H578" s="2" t="s">
        <v>5667</v>
      </c>
    </row>
    <row r="579" spans="1:8" ht="15.75" hidden="1" customHeight="1">
      <c r="A579" s="2" t="s">
        <v>6024</v>
      </c>
      <c r="B579" s="2" t="s">
        <v>6041</v>
      </c>
      <c r="C579" s="178" t="s">
        <v>6457</v>
      </c>
      <c r="D579" s="2" t="s">
        <v>481</v>
      </c>
      <c r="F579" s="2">
        <v>38</v>
      </c>
      <c r="G579" s="2">
        <v>2</v>
      </c>
      <c r="H579" s="2" t="s">
        <v>5667</v>
      </c>
    </row>
    <row r="580" spans="1:8" ht="15.75" hidden="1" customHeight="1">
      <c r="A580" s="2" t="s">
        <v>6024</v>
      </c>
      <c r="B580" s="2" t="s">
        <v>6041</v>
      </c>
      <c r="C580" s="178" t="s">
        <v>6458</v>
      </c>
      <c r="D580" s="2" t="s">
        <v>481</v>
      </c>
      <c r="F580" s="2">
        <v>38</v>
      </c>
      <c r="G580" s="2">
        <v>2</v>
      </c>
      <c r="H580" s="2" t="s">
        <v>5667</v>
      </c>
    </row>
    <row r="581" spans="1:8" ht="15.75" hidden="1" customHeight="1">
      <c r="A581" s="2" t="s">
        <v>6024</v>
      </c>
      <c r="B581" s="2" t="s">
        <v>6041</v>
      </c>
      <c r="C581" s="178" t="s">
        <v>6459</v>
      </c>
      <c r="D581" s="2" t="s">
        <v>481</v>
      </c>
      <c r="F581" s="2">
        <v>38</v>
      </c>
      <c r="G581" s="2">
        <v>2</v>
      </c>
      <c r="H581" s="2" t="s">
        <v>5667</v>
      </c>
    </row>
    <row r="582" spans="1:8" ht="15.75" hidden="1" customHeight="1">
      <c r="A582" s="2" t="s">
        <v>6024</v>
      </c>
      <c r="B582" s="2" t="s">
        <v>6041</v>
      </c>
      <c r="C582" s="178" t="s">
        <v>6460</v>
      </c>
      <c r="D582" s="2" t="s">
        <v>481</v>
      </c>
      <c r="F582" s="2">
        <v>38</v>
      </c>
      <c r="G582" s="2">
        <v>2</v>
      </c>
      <c r="H582" s="2" t="s">
        <v>5667</v>
      </c>
    </row>
    <row r="583" spans="1:8" ht="15.75" hidden="1" customHeight="1">
      <c r="A583" s="2" t="s">
        <v>6024</v>
      </c>
      <c r="B583" s="2" t="s">
        <v>6041</v>
      </c>
      <c r="C583" s="178" t="s">
        <v>6461</v>
      </c>
      <c r="D583" s="2" t="s">
        <v>481</v>
      </c>
      <c r="F583" s="2">
        <v>38</v>
      </c>
      <c r="G583" s="2">
        <v>2</v>
      </c>
      <c r="H583" s="2" t="s">
        <v>5667</v>
      </c>
    </row>
    <row r="584" spans="1:8" ht="15.75" hidden="1" customHeight="1">
      <c r="A584" s="2" t="s">
        <v>6024</v>
      </c>
      <c r="B584" s="2" t="s">
        <v>6041</v>
      </c>
      <c r="C584" s="178" t="s">
        <v>6462</v>
      </c>
      <c r="D584" s="2" t="s">
        <v>481</v>
      </c>
      <c r="F584" s="2">
        <v>38</v>
      </c>
      <c r="G584" s="2">
        <v>2</v>
      </c>
      <c r="H584" s="2" t="s">
        <v>5667</v>
      </c>
    </row>
    <row r="585" spans="1:8" ht="15.75" hidden="1" customHeight="1">
      <c r="A585" s="2" t="s">
        <v>6024</v>
      </c>
      <c r="B585" s="2" t="s">
        <v>6041</v>
      </c>
      <c r="C585" s="178" t="s">
        <v>6463</v>
      </c>
      <c r="D585" s="2" t="s">
        <v>481</v>
      </c>
      <c r="F585" s="2">
        <v>38</v>
      </c>
      <c r="G585" s="2">
        <v>2</v>
      </c>
      <c r="H585" s="2" t="s">
        <v>5667</v>
      </c>
    </row>
    <row r="586" spans="1:8" ht="15.75" hidden="1" customHeight="1">
      <c r="A586" s="2" t="s">
        <v>6024</v>
      </c>
      <c r="B586" s="2" t="s">
        <v>6041</v>
      </c>
      <c r="C586" s="178" t="s">
        <v>6464</v>
      </c>
      <c r="D586" s="2" t="s">
        <v>481</v>
      </c>
      <c r="F586" s="2">
        <v>38</v>
      </c>
      <c r="G586" s="2">
        <v>2</v>
      </c>
      <c r="H586" s="2" t="s">
        <v>5667</v>
      </c>
    </row>
    <row r="587" spans="1:8" ht="15.75" hidden="1" customHeight="1">
      <c r="A587" s="2" t="s">
        <v>6024</v>
      </c>
      <c r="B587" s="2" t="s">
        <v>6041</v>
      </c>
      <c r="C587" s="178" t="s">
        <v>6465</v>
      </c>
      <c r="D587" s="2" t="s">
        <v>481</v>
      </c>
      <c r="F587" s="2">
        <v>38</v>
      </c>
      <c r="G587" s="2">
        <v>2</v>
      </c>
      <c r="H587" s="2" t="s">
        <v>5667</v>
      </c>
    </row>
    <row r="588" spans="1:8" ht="15.75" hidden="1" customHeight="1">
      <c r="A588" s="2" t="s">
        <v>6024</v>
      </c>
      <c r="B588" s="2" t="s">
        <v>6041</v>
      </c>
      <c r="C588" s="178" t="s">
        <v>6466</v>
      </c>
      <c r="D588" s="2" t="s">
        <v>481</v>
      </c>
      <c r="F588" s="2">
        <v>38</v>
      </c>
      <c r="G588" s="2">
        <v>2</v>
      </c>
      <c r="H588" s="2" t="s">
        <v>5667</v>
      </c>
    </row>
    <row r="589" spans="1:8" ht="15.75" hidden="1" customHeight="1">
      <c r="A589" s="2" t="s">
        <v>6024</v>
      </c>
      <c r="B589" s="2" t="s">
        <v>6041</v>
      </c>
      <c r="C589" s="178" t="s">
        <v>6467</v>
      </c>
      <c r="D589" s="2" t="s">
        <v>481</v>
      </c>
      <c r="F589" s="2">
        <v>38</v>
      </c>
      <c r="G589" s="2">
        <v>2</v>
      </c>
      <c r="H589" s="2" t="s">
        <v>5667</v>
      </c>
    </row>
    <row r="590" spans="1:8" ht="15.75" hidden="1" customHeight="1">
      <c r="A590" s="2" t="s">
        <v>6024</v>
      </c>
      <c r="B590" s="2" t="s">
        <v>6041</v>
      </c>
      <c r="C590" s="178" t="s">
        <v>6468</v>
      </c>
      <c r="D590" s="2" t="s">
        <v>481</v>
      </c>
      <c r="F590" s="2">
        <v>38</v>
      </c>
      <c r="G590" s="2">
        <v>2</v>
      </c>
      <c r="H590" s="2" t="s">
        <v>5667</v>
      </c>
    </row>
    <row r="591" spans="1:8" ht="15.75" hidden="1" customHeight="1">
      <c r="A591" s="2" t="s">
        <v>6024</v>
      </c>
      <c r="B591" s="2" t="s">
        <v>6041</v>
      </c>
      <c r="C591" s="178" t="s">
        <v>6469</v>
      </c>
      <c r="D591" s="2" t="s">
        <v>481</v>
      </c>
      <c r="F591" s="2">
        <v>38</v>
      </c>
      <c r="G591" s="2">
        <v>2</v>
      </c>
      <c r="H591" s="2" t="s">
        <v>5667</v>
      </c>
    </row>
    <row r="592" spans="1:8" ht="15.75" hidden="1" customHeight="1">
      <c r="A592" s="2" t="s">
        <v>6024</v>
      </c>
      <c r="B592" s="2" t="s">
        <v>6041</v>
      </c>
      <c r="C592" s="178" t="s">
        <v>6470</v>
      </c>
      <c r="D592" s="2" t="s">
        <v>481</v>
      </c>
      <c r="F592" s="2">
        <v>38</v>
      </c>
      <c r="G592" s="2">
        <v>2</v>
      </c>
      <c r="H592" s="2" t="s">
        <v>5667</v>
      </c>
    </row>
    <row r="593" spans="1:8" ht="15.75" hidden="1" customHeight="1">
      <c r="A593" s="2" t="s">
        <v>6024</v>
      </c>
      <c r="B593" s="2" t="s">
        <v>6041</v>
      </c>
      <c r="C593" s="178" t="s">
        <v>6471</v>
      </c>
      <c r="D593" s="2" t="s">
        <v>481</v>
      </c>
      <c r="F593" s="2">
        <v>38</v>
      </c>
      <c r="G593" s="2">
        <v>2</v>
      </c>
      <c r="H593" s="2" t="s">
        <v>5667</v>
      </c>
    </row>
    <row r="594" spans="1:8" ht="15.75" hidden="1" customHeight="1">
      <c r="A594" s="2" t="s">
        <v>6024</v>
      </c>
      <c r="B594" s="2" t="s">
        <v>6041</v>
      </c>
      <c r="C594" s="178" t="s">
        <v>6472</v>
      </c>
      <c r="D594" s="2" t="s">
        <v>481</v>
      </c>
      <c r="F594" s="2">
        <v>38</v>
      </c>
      <c r="G594" s="2">
        <v>2</v>
      </c>
      <c r="H594" s="2" t="s">
        <v>5667</v>
      </c>
    </row>
    <row r="595" spans="1:8" ht="15.75" hidden="1" customHeight="1">
      <c r="A595" s="2" t="s">
        <v>6024</v>
      </c>
      <c r="B595" s="2" t="s">
        <v>6041</v>
      </c>
      <c r="C595" s="178" t="s">
        <v>6473</v>
      </c>
      <c r="D595" s="2" t="s">
        <v>481</v>
      </c>
      <c r="F595" s="2">
        <v>38</v>
      </c>
      <c r="G595" s="2">
        <v>2</v>
      </c>
      <c r="H595" s="2" t="s">
        <v>5667</v>
      </c>
    </row>
    <row r="596" spans="1:8" ht="15.75" hidden="1" customHeight="1">
      <c r="A596" s="2" t="s">
        <v>6024</v>
      </c>
      <c r="B596" s="2" t="s">
        <v>6041</v>
      </c>
      <c r="C596" s="178" t="s">
        <v>6474</v>
      </c>
      <c r="D596" s="2" t="s">
        <v>481</v>
      </c>
      <c r="F596" s="2">
        <v>38</v>
      </c>
      <c r="G596" s="2">
        <v>2</v>
      </c>
      <c r="H596" s="2" t="s">
        <v>5667</v>
      </c>
    </row>
    <row r="597" spans="1:8" ht="15.75" hidden="1" customHeight="1">
      <c r="A597" s="2" t="s">
        <v>6024</v>
      </c>
      <c r="B597" s="2" t="s">
        <v>6041</v>
      </c>
      <c r="C597" s="178" t="s">
        <v>6475</v>
      </c>
      <c r="D597" s="2" t="s">
        <v>481</v>
      </c>
      <c r="F597" s="2">
        <v>38</v>
      </c>
      <c r="G597" s="2">
        <v>2</v>
      </c>
      <c r="H597" s="2" t="s">
        <v>5667</v>
      </c>
    </row>
    <row r="598" spans="1:8" ht="15.75" hidden="1" customHeight="1">
      <c r="A598" s="2" t="s">
        <v>6024</v>
      </c>
      <c r="B598" s="2" t="s">
        <v>6041</v>
      </c>
      <c r="C598" s="178" t="s">
        <v>6112</v>
      </c>
      <c r="D598" s="2" t="s">
        <v>800</v>
      </c>
      <c r="H598" s="2" t="s">
        <v>5665</v>
      </c>
    </row>
    <row r="599" spans="1:8" ht="15.75" hidden="1" customHeight="1">
      <c r="A599" s="2" t="s">
        <v>6024</v>
      </c>
      <c r="B599" s="2" t="s">
        <v>6041</v>
      </c>
      <c r="C599" s="178" t="s">
        <v>6113</v>
      </c>
      <c r="D599" s="2" t="s">
        <v>1796</v>
      </c>
      <c r="E599" s="2">
        <v>100</v>
      </c>
      <c r="H599" s="2" t="s">
        <v>5667</v>
      </c>
    </row>
    <row r="600" spans="1:8" ht="15.75" hidden="1" customHeight="1">
      <c r="A600" s="2" t="s">
        <v>6024</v>
      </c>
      <c r="B600" s="2" t="s">
        <v>6041</v>
      </c>
      <c r="C600" s="178" t="s">
        <v>6114</v>
      </c>
      <c r="D600" s="2" t="s">
        <v>484</v>
      </c>
      <c r="F600" s="2">
        <v>10</v>
      </c>
      <c r="G600" s="2">
        <v>0</v>
      </c>
      <c r="H600" s="2" t="s">
        <v>5667</v>
      </c>
    </row>
    <row r="601" spans="1:8" ht="15.75" hidden="1" customHeight="1">
      <c r="A601" s="2" t="s">
        <v>6024</v>
      </c>
      <c r="B601" s="2" t="s">
        <v>6041</v>
      </c>
      <c r="C601" s="178" t="s">
        <v>6027</v>
      </c>
      <c r="D601" s="2" t="s">
        <v>800</v>
      </c>
      <c r="H601" s="2" t="s">
        <v>5665</v>
      </c>
    </row>
    <row r="602" spans="1:8" ht="15.75" hidden="1" customHeight="1">
      <c r="A602" s="2" t="s">
        <v>6024</v>
      </c>
      <c r="B602" s="2" t="s">
        <v>6041</v>
      </c>
      <c r="C602" s="178" t="s">
        <v>6115</v>
      </c>
      <c r="D602" s="2" t="s">
        <v>1796</v>
      </c>
      <c r="E602" s="2">
        <v>100</v>
      </c>
      <c r="H602" s="2" t="s">
        <v>5667</v>
      </c>
    </row>
    <row r="603" spans="1:8" ht="15.75" hidden="1" customHeight="1">
      <c r="A603" s="2" t="s">
        <v>6024</v>
      </c>
      <c r="B603" s="2" t="s">
        <v>6041</v>
      </c>
      <c r="C603" s="178" t="s">
        <v>6116</v>
      </c>
      <c r="D603" s="2" t="s">
        <v>484</v>
      </c>
      <c r="F603" s="2">
        <v>10</v>
      </c>
      <c r="G603" s="2">
        <v>0</v>
      </c>
      <c r="H603" s="2" t="s">
        <v>5667</v>
      </c>
    </row>
    <row r="604" spans="1:8" ht="15.75" hidden="1" customHeight="1">
      <c r="A604" s="2" t="s">
        <v>6024</v>
      </c>
      <c r="B604" s="2" t="s">
        <v>6041</v>
      </c>
      <c r="C604" s="178" t="s">
        <v>6117</v>
      </c>
      <c r="D604" s="2" t="s">
        <v>1796</v>
      </c>
      <c r="E604" s="2">
        <v>250</v>
      </c>
      <c r="H604" s="2" t="s">
        <v>5667</v>
      </c>
    </row>
    <row r="605" spans="1:8" ht="15.75" hidden="1" customHeight="1">
      <c r="A605" s="2" t="s">
        <v>6024</v>
      </c>
      <c r="B605" s="2" t="s">
        <v>6042</v>
      </c>
      <c r="C605" s="2" t="s">
        <v>325</v>
      </c>
      <c r="D605" s="2" t="s">
        <v>484</v>
      </c>
      <c r="F605" s="2">
        <v>10</v>
      </c>
      <c r="G605" s="2">
        <v>0</v>
      </c>
      <c r="H605" s="2" t="s">
        <v>5665</v>
      </c>
    </row>
    <row r="606" spans="1:8" ht="15.75" hidden="1" customHeight="1">
      <c r="A606" s="2" t="s">
        <v>6024</v>
      </c>
      <c r="B606" s="2" t="s">
        <v>6042</v>
      </c>
      <c r="C606" s="2" t="s">
        <v>6090</v>
      </c>
      <c r="D606" s="2" t="s">
        <v>6118</v>
      </c>
      <c r="H606" s="2" t="s">
        <v>5665</v>
      </c>
    </row>
    <row r="607" spans="1:8" ht="15.75" hidden="1" customHeight="1">
      <c r="A607" s="2" t="s">
        <v>6024</v>
      </c>
      <c r="B607" s="2" t="s">
        <v>6042</v>
      </c>
      <c r="C607" s="2" t="s">
        <v>6092</v>
      </c>
      <c r="D607" s="2" t="s">
        <v>1796</v>
      </c>
      <c r="E607" s="2">
        <v>50</v>
      </c>
      <c r="H607" s="2" t="s">
        <v>5665</v>
      </c>
    </row>
    <row r="608" spans="1:8" ht="15.75" hidden="1" customHeight="1">
      <c r="A608" s="2" t="s">
        <v>6024</v>
      </c>
      <c r="B608" s="2" t="s">
        <v>6042</v>
      </c>
      <c r="C608" s="2" t="s">
        <v>6093</v>
      </c>
      <c r="D608" s="2" t="s">
        <v>484</v>
      </c>
      <c r="F608" s="2">
        <v>10</v>
      </c>
      <c r="G608" s="2">
        <v>0</v>
      </c>
      <c r="H608" s="2" t="s">
        <v>5665</v>
      </c>
    </row>
    <row r="609" spans="1:8" ht="15.75" hidden="1" customHeight="1">
      <c r="A609" s="2" t="s">
        <v>6024</v>
      </c>
      <c r="B609" s="2" t="s">
        <v>6042</v>
      </c>
      <c r="C609" s="2" t="s">
        <v>6094</v>
      </c>
      <c r="D609" s="2" t="s">
        <v>484</v>
      </c>
      <c r="F609" s="2">
        <v>10</v>
      </c>
      <c r="G609" s="2">
        <v>0</v>
      </c>
      <c r="H609" s="2" t="s">
        <v>5665</v>
      </c>
    </row>
    <row r="610" spans="1:8" ht="15.75" hidden="1" customHeight="1">
      <c r="A610" s="2" t="s">
        <v>6024</v>
      </c>
      <c r="B610" s="2" t="s">
        <v>6042</v>
      </c>
      <c r="C610" s="2" t="s">
        <v>6095</v>
      </c>
      <c r="D610" s="2" t="s">
        <v>1796</v>
      </c>
      <c r="E610" s="2">
        <v>50</v>
      </c>
      <c r="H610" s="2" t="s">
        <v>5667</v>
      </c>
    </row>
    <row r="611" spans="1:8" ht="15.75" hidden="1" customHeight="1">
      <c r="A611" s="2" t="s">
        <v>6024</v>
      </c>
      <c r="B611" s="2" t="s">
        <v>6042</v>
      </c>
      <c r="C611" s="2" t="s">
        <v>4306</v>
      </c>
      <c r="D611" s="2" t="s">
        <v>1796</v>
      </c>
      <c r="E611" s="2">
        <v>250</v>
      </c>
      <c r="H611" s="2" t="s">
        <v>5667</v>
      </c>
    </row>
    <row r="612" spans="1:8" ht="15.75" hidden="1" customHeight="1">
      <c r="A612" s="2" t="s">
        <v>6024</v>
      </c>
      <c r="B612" s="2" t="s">
        <v>6042</v>
      </c>
      <c r="C612" s="2" t="s">
        <v>4246</v>
      </c>
      <c r="D612" s="2" t="s">
        <v>1796</v>
      </c>
      <c r="E612" s="2">
        <v>250</v>
      </c>
      <c r="H612" s="2" t="s">
        <v>5665</v>
      </c>
    </row>
    <row r="613" spans="1:8" ht="15.75" hidden="1" customHeight="1">
      <c r="A613" s="2" t="s">
        <v>6024</v>
      </c>
      <c r="B613" s="2" t="s">
        <v>6042</v>
      </c>
      <c r="C613" s="2" t="s">
        <v>6096</v>
      </c>
      <c r="D613" s="2" t="s">
        <v>484</v>
      </c>
      <c r="F613" s="2">
        <v>10</v>
      </c>
      <c r="G613" s="2">
        <v>0</v>
      </c>
      <c r="H613" s="2" t="s">
        <v>5665</v>
      </c>
    </row>
    <row r="614" spans="1:8" ht="15.75" hidden="1" customHeight="1">
      <c r="A614" s="2" t="s">
        <v>6024</v>
      </c>
      <c r="B614" s="2" t="s">
        <v>6042</v>
      </c>
      <c r="C614" s="2" t="s">
        <v>6212</v>
      </c>
      <c r="D614" s="2" t="s">
        <v>800</v>
      </c>
      <c r="H614" s="2" t="s">
        <v>5667</v>
      </c>
    </row>
    <row r="615" spans="1:8" ht="15.75" hidden="1" customHeight="1">
      <c r="A615" s="2" t="s">
        <v>6024</v>
      </c>
      <c r="B615" s="2" t="s">
        <v>6042</v>
      </c>
      <c r="C615" s="2" t="s">
        <v>6476</v>
      </c>
      <c r="D615" s="2" t="s">
        <v>1796</v>
      </c>
      <c r="E615" s="2">
        <v>100</v>
      </c>
      <c r="H615" s="2" t="s">
        <v>5667</v>
      </c>
    </row>
    <row r="616" spans="1:8" ht="15.75" hidden="1" customHeight="1">
      <c r="A616" s="2" t="s">
        <v>6024</v>
      </c>
      <c r="B616" s="2" t="s">
        <v>6042</v>
      </c>
      <c r="C616" s="2" t="s">
        <v>6477</v>
      </c>
      <c r="D616" s="2" t="s">
        <v>1796</v>
      </c>
      <c r="E616" s="2">
        <v>100</v>
      </c>
      <c r="H616" s="2" t="s">
        <v>5667</v>
      </c>
    </row>
    <row r="617" spans="1:8" ht="15.75" hidden="1" customHeight="1">
      <c r="A617" s="2" t="s">
        <v>6024</v>
      </c>
      <c r="B617" s="2" t="s">
        <v>6042</v>
      </c>
      <c r="C617" s="2" t="s">
        <v>6478</v>
      </c>
      <c r="D617" s="2" t="s">
        <v>1796</v>
      </c>
      <c r="E617" s="2">
        <v>100</v>
      </c>
      <c r="H617" s="2" t="s">
        <v>5667</v>
      </c>
    </row>
    <row r="618" spans="1:8" ht="15.75" hidden="1" customHeight="1">
      <c r="A618" s="2" t="s">
        <v>6024</v>
      </c>
      <c r="B618" s="2" t="s">
        <v>6042</v>
      </c>
      <c r="C618" s="2" t="s">
        <v>6479</v>
      </c>
      <c r="D618" s="2" t="s">
        <v>1796</v>
      </c>
      <c r="E618" s="2">
        <v>100</v>
      </c>
      <c r="H618" s="2" t="s">
        <v>5667</v>
      </c>
    </row>
    <row r="619" spans="1:8" ht="15.75" hidden="1" customHeight="1">
      <c r="A619" s="2" t="s">
        <v>6024</v>
      </c>
      <c r="B619" s="2" t="s">
        <v>6042</v>
      </c>
      <c r="C619" s="2" t="s">
        <v>6480</v>
      </c>
      <c r="D619" s="2" t="s">
        <v>481</v>
      </c>
      <c r="F619" s="2">
        <v>38</v>
      </c>
      <c r="G619" s="2">
        <v>2</v>
      </c>
      <c r="H619" s="2" t="s">
        <v>5667</v>
      </c>
    </row>
    <row r="620" spans="1:8" ht="15.75" hidden="1" customHeight="1">
      <c r="A620" s="2" t="s">
        <v>6024</v>
      </c>
      <c r="B620" s="2" t="s">
        <v>6042</v>
      </c>
      <c r="C620" s="2" t="s">
        <v>6481</v>
      </c>
      <c r="D620" s="2" t="s">
        <v>800</v>
      </c>
      <c r="H620" s="2" t="s">
        <v>5667</v>
      </c>
    </row>
    <row r="621" spans="1:8" ht="15.75" hidden="1" customHeight="1">
      <c r="A621" s="2" t="s">
        <v>6024</v>
      </c>
      <c r="B621" s="2" t="s">
        <v>6042</v>
      </c>
      <c r="C621" s="2" t="s">
        <v>6482</v>
      </c>
      <c r="D621" s="2" t="s">
        <v>481</v>
      </c>
      <c r="F621" s="2">
        <v>38</v>
      </c>
      <c r="G621" s="2">
        <v>2</v>
      </c>
      <c r="H621" s="2" t="s">
        <v>5667</v>
      </c>
    </row>
    <row r="622" spans="1:8" ht="15.75" hidden="1" customHeight="1">
      <c r="A622" s="2" t="s">
        <v>6024</v>
      </c>
      <c r="B622" s="2" t="s">
        <v>6042</v>
      </c>
      <c r="C622" s="2" t="s">
        <v>6112</v>
      </c>
      <c r="D622" s="2" t="s">
        <v>800</v>
      </c>
      <c r="H622" s="2" t="s">
        <v>5665</v>
      </c>
    </row>
    <row r="623" spans="1:8" ht="15.75" hidden="1" customHeight="1">
      <c r="A623" s="2" t="s">
        <v>6024</v>
      </c>
      <c r="B623" s="2" t="s">
        <v>6042</v>
      </c>
      <c r="C623" s="2" t="s">
        <v>6113</v>
      </c>
      <c r="D623" s="2" t="s">
        <v>1796</v>
      </c>
      <c r="E623" s="2">
        <v>100</v>
      </c>
      <c r="H623" s="2" t="s">
        <v>5667</v>
      </c>
    </row>
    <row r="624" spans="1:8" ht="15.75" hidden="1" customHeight="1">
      <c r="A624" s="2" t="s">
        <v>6024</v>
      </c>
      <c r="B624" s="2" t="s">
        <v>6042</v>
      </c>
      <c r="C624" s="2" t="s">
        <v>6114</v>
      </c>
      <c r="D624" s="2" t="s">
        <v>484</v>
      </c>
      <c r="F624" s="2">
        <v>10</v>
      </c>
      <c r="G624" s="2">
        <v>0</v>
      </c>
      <c r="H624" s="2" t="s">
        <v>5667</v>
      </c>
    </row>
    <row r="625" spans="1:8" ht="15.75" hidden="1" customHeight="1">
      <c r="A625" s="2" t="s">
        <v>6024</v>
      </c>
      <c r="B625" s="2" t="s">
        <v>6042</v>
      </c>
      <c r="C625" s="2" t="s">
        <v>6027</v>
      </c>
      <c r="D625" s="2" t="s">
        <v>800</v>
      </c>
      <c r="H625" s="2" t="s">
        <v>5665</v>
      </c>
    </row>
    <row r="626" spans="1:8" ht="15.75" hidden="1" customHeight="1">
      <c r="A626" s="2" t="s">
        <v>6024</v>
      </c>
      <c r="B626" s="2" t="s">
        <v>6042</v>
      </c>
      <c r="C626" s="2" t="s">
        <v>6115</v>
      </c>
      <c r="D626" s="2" t="s">
        <v>1796</v>
      </c>
      <c r="E626" s="2">
        <v>100</v>
      </c>
      <c r="H626" s="2" t="s">
        <v>5667</v>
      </c>
    </row>
    <row r="627" spans="1:8" ht="15.75" hidden="1" customHeight="1">
      <c r="A627" s="2" t="s">
        <v>6024</v>
      </c>
      <c r="B627" s="2" t="s">
        <v>6042</v>
      </c>
      <c r="C627" s="2" t="s">
        <v>6116</v>
      </c>
      <c r="D627" s="2" t="s">
        <v>484</v>
      </c>
      <c r="F627" s="2">
        <v>10</v>
      </c>
      <c r="G627" s="2">
        <v>0</v>
      </c>
      <c r="H627" s="2" t="s">
        <v>5667</v>
      </c>
    </row>
    <row r="628" spans="1:8" ht="15.75" hidden="1" customHeight="1">
      <c r="A628" s="2" t="s">
        <v>6024</v>
      </c>
      <c r="B628" s="2" t="s">
        <v>6042</v>
      </c>
      <c r="C628" s="2" t="s">
        <v>6117</v>
      </c>
      <c r="D628" s="2" t="s">
        <v>1796</v>
      </c>
      <c r="E628" s="2">
        <v>250</v>
      </c>
      <c r="H628" s="2" t="s">
        <v>5667</v>
      </c>
    </row>
    <row r="629" spans="1:8" ht="15.75" hidden="1" customHeight="1">
      <c r="A629" s="2" t="s">
        <v>6024</v>
      </c>
      <c r="B629" s="2" t="s">
        <v>6043</v>
      </c>
      <c r="C629" s="2" t="s">
        <v>325</v>
      </c>
      <c r="D629" s="2" t="s">
        <v>484</v>
      </c>
      <c r="F629" s="2">
        <v>10</v>
      </c>
      <c r="G629" s="2">
        <v>0</v>
      </c>
      <c r="H629" s="2" t="s">
        <v>5665</v>
      </c>
    </row>
    <row r="630" spans="1:8" ht="15.75" hidden="1" customHeight="1">
      <c r="A630" s="2" t="s">
        <v>6024</v>
      </c>
      <c r="B630" s="2" t="s">
        <v>6043</v>
      </c>
      <c r="C630" s="2" t="s">
        <v>6090</v>
      </c>
      <c r="D630" s="2" t="s">
        <v>6118</v>
      </c>
      <c r="H630" s="2" t="s">
        <v>5665</v>
      </c>
    </row>
    <row r="631" spans="1:8" ht="15.75" hidden="1" customHeight="1">
      <c r="A631" s="2" t="s">
        <v>6024</v>
      </c>
      <c r="B631" s="2" t="s">
        <v>6043</v>
      </c>
      <c r="C631" s="2" t="s">
        <v>6092</v>
      </c>
      <c r="D631" s="2" t="s">
        <v>1796</v>
      </c>
      <c r="E631" s="2">
        <v>50</v>
      </c>
      <c r="H631" s="2" t="s">
        <v>5665</v>
      </c>
    </row>
    <row r="632" spans="1:8" ht="15.75" hidden="1" customHeight="1">
      <c r="A632" s="2" t="s">
        <v>6024</v>
      </c>
      <c r="B632" s="2" t="s">
        <v>6043</v>
      </c>
      <c r="C632" s="2" t="s">
        <v>6093</v>
      </c>
      <c r="D632" s="2" t="s">
        <v>484</v>
      </c>
      <c r="F632" s="2">
        <v>10</v>
      </c>
      <c r="G632" s="2">
        <v>0</v>
      </c>
      <c r="H632" s="2" t="s">
        <v>5665</v>
      </c>
    </row>
    <row r="633" spans="1:8" ht="15.75" hidden="1" customHeight="1">
      <c r="A633" s="2" t="s">
        <v>6024</v>
      </c>
      <c r="B633" s="2" t="s">
        <v>6043</v>
      </c>
      <c r="C633" s="2" t="s">
        <v>6094</v>
      </c>
      <c r="D633" s="2" t="s">
        <v>484</v>
      </c>
      <c r="F633" s="2">
        <v>10</v>
      </c>
      <c r="G633" s="2">
        <v>0</v>
      </c>
      <c r="H633" s="2" t="s">
        <v>5665</v>
      </c>
    </row>
    <row r="634" spans="1:8" ht="15.75" hidden="1" customHeight="1">
      <c r="A634" s="2" t="s">
        <v>6024</v>
      </c>
      <c r="B634" s="2" t="s">
        <v>6043</v>
      </c>
      <c r="C634" s="2" t="s">
        <v>6095</v>
      </c>
      <c r="D634" s="2" t="s">
        <v>1796</v>
      </c>
      <c r="E634" s="2">
        <v>50</v>
      </c>
      <c r="H634" s="2" t="s">
        <v>5667</v>
      </c>
    </row>
    <row r="635" spans="1:8" ht="15.75" hidden="1" customHeight="1">
      <c r="A635" s="2" t="s">
        <v>6024</v>
      </c>
      <c r="B635" s="2" t="s">
        <v>6043</v>
      </c>
      <c r="C635" s="2" t="s">
        <v>4306</v>
      </c>
      <c r="D635" s="2" t="s">
        <v>1796</v>
      </c>
      <c r="E635" s="2">
        <v>250</v>
      </c>
      <c r="H635" s="2" t="s">
        <v>5667</v>
      </c>
    </row>
    <row r="636" spans="1:8" ht="15.75" hidden="1" customHeight="1">
      <c r="A636" s="2" t="s">
        <v>6024</v>
      </c>
      <c r="B636" s="2" t="s">
        <v>6043</v>
      </c>
      <c r="C636" s="2" t="s">
        <v>4246</v>
      </c>
      <c r="D636" s="2" t="s">
        <v>1796</v>
      </c>
      <c r="E636" s="2">
        <v>250</v>
      </c>
      <c r="H636" s="2" t="s">
        <v>5665</v>
      </c>
    </row>
    <row r="637" spans="1:8" ht="15.75" hidden="1" customHeight="1">
      <c r="A637" s="2" t="s">
        <v>6024</v>
      </c>
      <c r="B637" s="2" t="s">
        <v>6043</v>
      </c>
      <c r="C637" s="2" t="s">
        <v>6096</v>
      </c>
      <c r="D637" s="2" t="s">
        <v>484</v>
      </c>
      <c r="F637" s="2">
        <v>10</v>
      </c>
      <c r="G637" s="2">
        <v>0</v>
      </c>
      <c r="H637" s="2" t="s">
        <v>5665</v>
      </c>
    </row>
    <row r="638" spans="1:8" ht="15.75" hidden="1" customHeight="1">
      <c r="A638" s="2" t="s">
        <v>6024</v>
      </c>
      <c r="B638" s="2" t="s">
        <v>6043</v>
      </c>
      <c r="C638" s="2" t="s">
        <v>6483</v>
      </c>
      <c r="D638" s="2" t="s">
        <v>1796</v>
      </c>
      <c r="E638" s="2">
        <v>15</v>
      </c>
      <c r="H638" s="2" t="s">
        <v>5667</v>
      </c>
    </row>
    <row r="639" spans="1:8" ht="15.75" hidden="1" customHeight="1">
      <c r="A639" s="2" t="s">
        <v>6024</v>
      </c>
      <c r="B639" s="2" t="s">
        <v>6043</v>
      </c>
      <c r="C639" s="2" t="s">
        <v>6484</v>
      </c>
      <c r="D639" s="2" t="s">
        <v>481</v>
      </c>
      <c r="F639" s="2">
        <v>38</v>
      </c>
      <c r="G639" s="2">
        <v>0</v>
      </c>
      <c r="H639" s="2" t="s">
        <v>5667</v>
      </c>
    </row>
    <row r="640" spans="1:8" ht="15.75" hidden="1" customHeight="1">
      <c r="A640" s="2" t="s">
        <v>6024</v>
      </c>
      <c r="B640" s="2" t="s">
        <v>6043</v>
      </c>
      <c r="C640" s="2" t="s">
        <v>6485</v>
      </c>
      <c r="D640" s="2" t="s">
        <v>481</v>
      </c>
      <c r="F640" s="2">
        <v>38</v>
      </c>
      <c r="G640" s="2">
        <v>0</v>
      </c>
      <c r="H640" s="2" t="s">
        <v>5667</v>
      </c>
    </row>
    <row r="641" spans="1:8" ht="15.75" hidden="1" customHeight="1">
      <c r="A641" s="2" t="s">
        <v>6024</v>
      </c>
      <c r="B641" s="2" t="s">
        <v>6043</v>
      </c>
      <c r="C641" s="2" t="s">
        <v>6209</v>
      </c>
      <c r="D641" s="2" t="s">
        <v>800</v>
      </c>
      <c r="H641" s="2" t="s">
        <v>5667</v>
      </c>
    </row>
    <row r="642" spans="1:8" ht="15.75" hidden="1" customHeight="1">
      <c r="A642" s="2" t="s">
        <v>6024</v>
      </c>
      <c r="B642" s="2" t="s">
        <v>6043</v>
      </c>
      <c r="C642" s="2" t="s">
        <v>6112</v>
      </c>
      <c r="D642" s="2" t="s">
        <v>800</v>
      </c>
      <c r="H642" s="2" t="s">
        <v>5665</v>
      </c>
    </row>
    <row r="643" spans="1:8" ht="15.75" hidden="1" customHeight="1">
      <c r="A643" s="2" t="s">
        <v>6024</v>
      </c>
      <c r="B643" s="2" t="s">
        <v>6043</v>
      </c>
      <c r="C643" s="2" t="s">
        <v>6113</v>
      </c>
      <c r="D643" s="2" t="s">
        <v>1796</v>
      </c>
      <c r="E643" s="2">
        <v>100</v>
      </c>
      <c r="H643" s="2" t="s">
        <v>5667</v>
      </c>
    </row>
    <row r="644" spans="1:8" ht="15.75" hidden="1" customHeight="1">
      <c r="A644" s="2" t="s">
        <v>6024</v>
      </c>
      <c r="B644" s="2" t="s">
        <v>6043</v>
      </c>
      <c r="C644" s="2" t="s">
        <v>6114</v>
      </c>
      <c r="D644" s="2" t="s">
        <v>484</v>
      </c>
      <c r="F644" s="2">
        <v>10</v>
      </c>
      <c r="G644" s="2">
        <v>0</v>
      </c>
      <c r="H644" s="2" t="s">
        <v>5667</v>
      </c>
    </row>
    <row r="645" spans="1:8" ht="15.75" hidden="1" customHeight="1">
      <c r="A645" s="2" t="s">
        <v>6024</v>
      </c>
      <c r="B645" s="2" t="s">
        <v>6043</v>
      </c>
      <c r="C645" s="2" t="s">
        <v>6027</v>
      </c>
      <c r="D645" s="2" t="s">
        <v>800</v>
      </c>
      <c r="H645" s="2" t="s">
        <v>5665</v>
      </c>
    </row>
    <row r="646" spans="1:8" ht="15.75" hidden="1" customHeight="1">
      <c r="A646" s="2" t="s">
        <v>6024</v>
      </c>
      <c r="B646" s="2" t="s">
        <v>6043</v>
      </c>
      <c r="C646" s="2" t="s">
        <v>6115</v>
      </c>
      <c r="D646" s="2" t="s">
        <v>1796</v>
      </c>
      <c r="E646" s="2">
        <v>100</v>
      </c>
      <c r="H646" s="2" t="s">
        <v>5667</v>
      </c>
    </row>
    <row r="647" spans="1:8" ht="15.75" hidden="1" customHeight="1">
      <c r="A647" s="2" t="s">
        <v>6024</v>
      </c>
      <c r="B647" s="2" t="s">
        <v>6043</v>
      </c>
      <c r="C647" s="2" t="s">
        <v>6116</v>
      </c>
      <c r="D647" s="2" t="s">
        <v>484</v>
      </c>
      <c r="F647" s="2">
        <v>10</v>
      </c>
      <c r="G647" s="2">
        <v>0</v>
      </c>
      <c r="H647" s="2" t="s">
        <v>5667</v>
      </c>
    </row>
    <row r="648" spans="1:8" ht="15.75" hidden="1" customHeight="1">
      <c r="A648" s="2" t="s">
        <v>6024</v>
      </c>
      <c r="B648" s="2" t="s">
        <v>6043</v>
      </c>
      <c r="C648" s="2" t="s">
        <v>6117</v>
      </c>
      <c r="D648" s="2" t="s">
        <v>1796</v>
      </c>
      <c r="E648" s="2">
        <v>250</v>
      </c>
      <c r="H648" s="2" t="s">
        <v>5667</v>
      </c>
    </row>
    <row r="649" spans="1:8" ht="15.75" hidden="1" customHeight="1">
      <c r="A649" s="2" t="s">
        <v>6024</v>
      </c>
      <c r="B649" s="2" t="s">
        <v>6044</v>
      </c>
      <c r="C649" s="2" t="s">
        <v>325</v>
      </c>
      <c r="D649" s="2" t="s">
        <v>484</v>
      </c>
      <c r="F649" s="2">
        <v>10</v>
      </c>
      <c r="G649" s="2">
        <v>0</v>
      </c>
      <c r="H649" s="2" t="s">
        <v>5665</v>
      </c>
    </row>
    <row r="650" spans="1:8" ht="15.75" hidden="1" customHeight="1">
      <c r="A650" s="2" t="s">
        <v>6024</v>
      </c>
      <c r="B650" s="2" t="s">
        <v>6044</v>
      </c>
      <c r="C650" s="2" t="s">
        <v>6090</v>
      </c>
      <c r="D650" s="2" t="s">
        <v>6118</v>
      </c>
      <c r="H650" s="2" t="s">
        <v>5665</v>
      </c>
    </row>
    <row r="651" spans="1:8" ht="15.75" hidden="1" customHeight="1">
      <c r="A651" s="2" t="s">
        <v>6024</v>
      </c>
      <c r="B651" s="2" t="s">
        <v>6044</v>
      </c>
      <c r="C651" s="2" t="s">
        <v>6092</v>
      </c>
      <c r="D651" s="2" t="s">
        <v>1796</v>
      </c>
      <c r="E651" s="2">
        <v>50</v>
      </c>
      <c r="H651" s="2" t="s">
        <v>5665</v>
      </c>
    </row>
    <row r="652" spans="1:8" ht="15.75" hidden="1" customHeight="1">
      <c r="A652" s="2" t="s">
        <v>6024</v>
      </c>
      <c r="B652" s="2" t="s">
        <v>6044</v>
      </c>
      <c r="C652" s="2" t="s">
        <v>6093</v>
      </c>
      <c r="D652" s="2" t="s">
        <v>484</v>
      </c>
      <c r="F652" s="2">
        <v>10</v>
      </c>
      <c r="G652" s="2">
        <v>0</v>
      </c>
      <c r="H652" s="2" t="s">
        <v>5665</v>
      </c>
    </row>
    <row r="653" spans="1:8" ht="15.75" hidden="1" customHeight="1">
      <c r="A653" s="2" t="s">
        <v>6024</v>
      </c>
      <c r="B653" s="2" t="s">
        <v>6044</v>
      </c>
      <c r="C653" s="2" t="s">
        <v>6094</v>
      </c>
      <c r="D653" s="2" t="s">
        <v>484</v>
      </c>
      <c r="F653" s="2">
        <v>10</v>
      </c>
      <c r="G653" s="2">
        <v>0</v>
      </c>
      <c r="H653" s="2" t="s">
        <v>5665</v>
      </c>
    </row>
    <row r="654" spans="1:8" ht="15.75" hidden="1" customHeight="1">
      <c r="A654" s="2" t="s">
        <v>6024</v>
      </c>
      <c r="B654" s="2" t="s">
        <v>6044</v>
      </c>
      <c r="C654" s="2" t="s">
        <v>6095</v>
      </c>
      <c r="D654" s="2" t="s">
        <v>1796</v>
      </c>
      <c r="E654" s="2">
        <v>50</v>
      </c>
      <c r="H654" s="2" t="s">
        <v>5667</v>
      </c>
    </row>
    <row r="655" spans="1:8" ht="15.75" hidden="1" customHeight="1">
      <c r="A655" s="2" t="s">
        <v>6024</v>
      </c>
      <c r="B655" s="2" t="s">
        <v>6044</v>
      </c>
      <c r="C655" s="2" t="s">
        <v>4306</v>
      </c>
      <c r="D655" s="2" t="s">
        <v>1796</v>
      </c>
      <c r="E655" s="2">
        <v>250</v>
      </c>
      <c r="H655" s="2" t="s">
        <v>5667</v>
      </c>
    </row>
    <row r="656" spans="1:8" ht="15.75" hidden="1" customHeight="1">
      <c r="A656" s="2" t="s">
        <v>6024</v>
      </c>
      <c r="B656" s="2" t="s">
        <v>6044</v>
      </c>
      <c r="C656" s="2" t="s">
        <v>4246</v>
      </c>
      <c r="D656" s="2" t="s">
        <v>1796</v>
      </c>
      <c r="E656" s="2">
        <v>250</v>
      </c>
      <c r="H656" s="2" t="s">
        <v>5665</v>
      </c>
    </row>
    <row r="657" spans="1:26" ht="15.75" hidden="1" customHeight="1">
      <c r="A657" s="2" t="s">
        <v>6024</v>
      </c>
      <c r="B657" s="2" t="s">
        <v>6044</v>
      </c>
      <c r="C657" s="2" t="s">
        <v>6096</v>
      </c>
      <c r="D657" s="2" t="s">
        <v>484</v>
      </c>
      <c r="F657" s="2">
        <v>10</v>
      </c>
      <c r="G657" s="2">
        <v>0</v>
      </c>
      <c r="H657" s="2" t="s">
        <v>5665</v>
      </c>
    </row>
    <row r="658" spans="1:26" ht="15.75" hidden="1" customHeight="1">
      <c r="A658" s="2" t="s">
        <v>6024</v>
      </c>
      <c r="B658" s="2" t="s">
        <v>6044</v>
      </c>
      <c r="C658" s="2" t="s">
        <v>6486</v>
      </c>
      <c r="D658" s="2" t="s">
        <v>1796</v>
      </c>
      <c r="E658" s="2">
        <v>3</v>
      </c>
      <c r="H658" s="2" t="s">
        <v>5667</v>
      </c>
    </row>
    <row r="659" spans="1:26" ht="15.75" hidden="1" customHeight="1">
      <c r="A659" s="2" t="s">
        <v>6024</v>
      </c>
      <c r="B659" s="2" t="s">
        <v>6044</v>
      </c>
      <c r="C659" s="2" t="s">
        <v>6487</v>
      </c>
      <c r="D659" s="2" t="s">
        <v>1796</v>
      </c>
      <c r="E659" s="2">
        <v>4</v>
      </c>
      <c r="H659" s="2" t="s">
        <v>5667</v>
      </c>
    </row>
    <row r="660" spans="1:26" ht="15.75" hidden="1" customHeight="1">
      <c r="A660" s="2" t="s">
        <v>6024</v>
      </c>
      <c r="B660" s="2" t="s">
        <v>6044</v>
      </c>
      <c r="C660" s="2" t="s">
        <v>6488</v>
      </c>
      <c r="D660" s="2" t="s">
        <v>1796</v>
      </c>
      <c r="E660" s="2">
        <v>10</v>
      </c>
      <c r="H660" s="2" t="s">
        <v>5667</v>
      </c>
    </row>
    <row r="661" spans="1:26" ht="15.75" hidden="1" customHeight="1">
      <c r="A661" s="2" t="s">
        <v>6024</v>
      </c>
      <c r="B661" s="2" t="s">
        <v>6044</v>
      </c>
      <c r="C661" s="2" t="s">
        <v>6489</v>
      </c>
      <c r="D661" s="2" t="s">
        <v>1796</v>
      </c>
      <c r="E661" s="2">
        <v>50</v>
      </c>
      <c r="H661" s="2" t="s">
        <v>5667</v>
      </c>
    </row>
    <row r="662" spans="1:26" ht="15.75" hidden="1" customHeight="1">
      <c r="A662" s="2" t="s">
        <v>6024</v>
      </c>
      <c r="B662" s="2" t="s">
        <v>6044</v>
      </c>
      <c r="C662" s="2" t="s">
        <v>6490</v>
      </c>
      <c r="D662" s="2" t="s">
        <v>1796</v>
      </c>
      <c r="E662" s="2">
        <v>7</v>
      </c>
      <c r="H662" s="2" t="s">
        <v>5667</v>
      </c>
    </row>
    <row r="663" spans="1:26" ht="15.75" hidden="1" customHeight="1">
      <c r="A663" s="2" t="s">
        <v>6024</v>
      </c>
      <c r="B663" s="2" t="s">
        <v>6044</v>
      </c>
      <c r="C663" s="2" t="s">
        <v>6491</v>
      </c>
      <c r="D663" s="2" t="s">
        <v>1796</v>
      </c>
      <c r="E663" s="2">
        <v>22</v>
      </c>
      <c r="H663" s="2" t="s">
        <v>5667</v>
      </c>
    </row>
    <row r="664" spans="1:26" ht="15.75" hidden="1" customHeight="1">
      <c r="A664" s="2" t="s">
        <v>6024</v>
      </c>
      <c r="B664" s="2" t="s">
        <v>6044</v>
      </c>
      <c r="C664" s="2" t="s">
        <v>6492</v>
      </c>
      <c r="D664" s="2" t="s">
        <v>1796</v>
      </c>
      <c r="E664" s="2">
        <v>50</v>
      </c>
      <c r="H664" s="2" t="s">
        <v>5667</v>
      </c>
    </row>
    <row r="665" spans="1:26" ht="15.75" hidden="1" customHeight="1">
      <c r="A665" s="2" t="s">
        <v>6024</v>
      </c>
      <c r="B665" s="2" t="s">
        <v>6044</v>
      </c>
      <c r="C665" s="2" t="s">
        <v>6493</v>
      </c>
      <c r="D665" s="2" t="s">
        <v>1796</v>
      </c>
      <c r="E665" s="2">
        <v>3</v>
      </c>
      <c r="H665" s="2" t="s">
        <v>5667</v>
      </c>
    </row>
    <row r="666" spans="1:26" ht="15.75" hidden="1" customHeight="1">
      <c r="A666" s="2" t="s">
        <v>6024</v>
      </c>
      <c r="B666" s="2" t="s">
        <v>6044</v>
      </c>
      <c r="C666" s="2" t="s">
        <v>6494</v>
      </c>
      <c r="D666" s="2" t="s">
        <v>1796</v>
      </c>
      <c r="E666" s="2">
        <v>3</v>
      </c>
      <c r="H666" s="2" t="s">
        <v>5667</v>
      </c>
    </row>
    <row r="667" spans="1:26" ht="15.75" hidden="1" customHeight="1">
      <c r="A667" s="2" t="s">
        <v>6024</v>
      </c>
      <c r="B667" s="2" t="s">
        <v>6044</v>
      </c>
      <c r="C667" s="2" t="s">
        <v>6495</v>
      </c>
      <c r="D667" s="2" t="s">
        <v>481</v>
      </c>
      <c r="F667" s="2">
        <v>38</v>
      </c>
      <c r="G667" s="2">
        <v>3</v>
      </c>
      <c r="H667" s="2" t="s">
        <v>5667</v>
      </c>
    </row>
    <row r="668" spans="1:26" ht="15.75" hidden="1" customHeight="1">
      <c r="A668" s="2" t="s">
        <v>6024</v>
      </c>
      <c r="B668" s="2" t="s">
        <v>6044</v>
      </c>
      <c r="C668" s="2" t="s">
        <v>6496</v>
      </c>
      <c r="D668" s="2" t="s">
        <v>481</v>
      </c>
      <c r="F668" s="2">
        <v>38</v>
      </c>
      <c r="G668" s="2">
        <v>3</v>
      </c>
      <c r="H668" s="2" t="s">
        <v>5667</v>
      </c>
    </row>
    <row r="669" spans="1:26" ht="15.75" hidden="1" customHeight="1">
      <c r="A669" s="2" t="s">
        <v>6024</v>
      </c>
      <c r="B669" s="2" t="s">
        <v>6044</v>
      </c>
      <c r="C669" s="2" t="s">
        <v>6497</v>
      </c>
      <c r="D669" s="2" t="s">
        <v>1796</v>
      </c>
      <c r="E669" s="2">
        <v>10</v>
      </c>
      <c r="H669" s="2" t="s">
        <v>5667</v>
      </c>
      <c r="I669" s="239" t="s">
        <v>6498</v>
      </c>
    </row>
    <row r="670" spans="1:26" ht="15.75" hidden="1" customHeight="1">
      <c r="A670" s="165" t="s">
        <v>6024</v>
      </c>
      <c r="B670" s="165" t="s">
        <v>6044</v>
      </c>
      <c r="C670" s="169" t="s">
        <v>6499</v>
      </c>
      <c r="D670" s="165" t="s">
        <v>481</v>
      </c>
      <c r="E670" s="165"/>
      <c r="F670" s="165"/>
      <c r="G670" s="165"/>
      <c r="H670" s="165" t="s">
        <v>5667</v>
      </c>
      <c r="I670" s="164" t="s">
        <v>2764</v>
      </c>
      <c r="J670" s="165"/>
      <c r="K670" s="165"/>
      <c r="L670" s="165"/>
      <c r="M670" s="165"/>
      <c r="N670" s="165"/>
      <c r="O670" s="165"/>
      <c r="P670" s="165"/>
      <c r="Q670" s="165"/>
      <c r="R670" s="165"/>
      <c r="S670" s="165"/>
      <c r="T670" s="165"/>
      <c r="U670" s="165"/>
      <c r="V670" s="165"/>
      <c r="W670" s="165"/>
      <c r="X670" s="165"/>
      <c r="Y670" s="165"/>
      <c r="Z670" s="165"/>
    </row>
    <row r="671" spans="1:26" ht="15.75" hidden="1" customHeight="1">
      <c r="A671" s="165" t="s">
        <v>6024</v>
      </c>
      <c r="B671" s="165" t="s">
        <v>6044</v>
      </c>
      <c r="C671" s="169" t="s">
        <v>6500</v>
      </c>
      <c r="D671" s="165" t="s">
        <v>481</v>
      </c>
      <c r="E671" s="165"/>
      <c r="F671" s="165"/>
      <c r="G671" s="165"/>
      <c r="H671" s="165" t="s">
        <v>5667</v>
      </c>
      <c r="I671" s="164" t="s">
        <v>2764</v>
      </c>
      <c r="J671" s="165"/>
      <c r="K671" s="165"/>
      <c r="L671" s="165"/>
      <c r="M671" s="165"/>
      <c r="N671" s="165"/>
      <c r="O671" s="165"/>
      <c r="P671" s="165"/>
      <c r="Q671" s="165"/>
      <c r="R671" s="165"/>
      <c r="S671" s="165"/>
      <c r="T671" s="165"/>
      <c r="U671" s="165"/>
      <c r="V671" s="165"/>
      <c r="W671" s="165"/>
      <c r="X671" s="165"/>
      <c r="Y671" s="165"/>
      <c r="Z671" s="165"/>
    </row>
    <row r="672" spans="1:26" ht="15.75" hidden="1" customHeight="1">
      <c r="A672" s="2" t="s">
        <v>6024</v>
      </c>
      <c r="B672" s="2" t="s">
        <v>6044</v>
      </c>
      <c r="C672" s="2" t="s">
        <v>6209</v>
      </c>
      <c r="D672" s="2" t="s">
        <v>800</v>
      </c>
      <c r="H672" s="2" t="s">
        <v>5667</v>
      </c>
    </row>
    <row r="673" spans="1:8" ht="15.75" hidden="1" customHeight="1">
      <c r="A673" s="2" t="s">
        <v>6024</v>
      </c>
      <c r="B673" s="2" t="s">
        <v>6044</v>
      </c>
      <c r="C673" s="2" t="s">
        <v>6112</v>
      </c>
      <c r="D673" s="2" t="s">
        <v>800</v>
      </c>
      <c r="H673" s="2" t="s">
        <v>5665</v>
      </c>
    </row>
    <row r="674" spans="1:8" ht="15.75" hidden="1" customHeight="1">
      <c r="A674" s="2" t="s">
        <v>6024</v>
      </c>
      <c r="B674" s="2" t="s">
        <v>6044</v>
      </c>
      <c r="C674" s="2" t="s">
        <v>6113</v>
      </c>
      <c r="D674" s="2" t="s">
        <v>1796</v>
      </c>
      <c r="E674" s="2">
        <v>100</v>
      </c>
      <c r="H674" s="2" t="s">
        <v>5667</v>
      </c>
    </row>
    <row r="675" spans="1:8" ht="15.75" hidden="1" customHeight="1">
      <c r="A675" s="2" t="s">
        <v>6024</v>
      </c>
      <c r="B675" s="2" t="s">
        <v>6044</v>
      </c>
      <c r="C675" s="2" t="s">
        <v>6114</v>
      </c>
      <c r="D675" s="2" t="s">
        <v>484</v>
      </c>
      <c r="F675" s="2">
        <v>10</v>
      </c>
      <c r="G675" s="2">
        <v>0</v>
      </c>
      <c r="H675" s="2" t="s">
        <v>5667</v>
      </c>
    </row>
    <row r="676" spans="1:8" ht="15.75" hidden="1" customHeight="1">
      <c r="A676" s="2" t="s">
        <v>6024</v>
      </c>
      <c r="B676" s="2" t="s">
        <v>6044</v>
      </c>
      <c r="C676" s="2" t="s">
        <v>6027</v>
      </c>
      <c r="D676" s="2" t="s">
        <v>800</v>
      </c>
      <c r="H676" s="2" t="s">
        <v>5665</v>
      </c>
    </row>
    <row r="677" spans="1:8" ht="15.75" hidden="1" customHeight="1">
      <c r="A677" s="2" t="s">
        <v>6024</v>
      </c>
      <c r="B677" s="2" t="s">
        <v>6044</v>
      </c>
      <c r="C677" s="2" t="s">
        <v>6115</v>
      </c>
      <c r="D677" s="2" t="s">
        <v>1796</v>
      </c>
      <c r="E677" s="2">
        <v>100</v>
      </c>
      <c r="H677" s="2" t="s">
        <v>5667</v>
      </c>
    </row>
    <row r="678" spans="1:8" ht="15.75" hidden="1" customHeight="1">
      <c r="A678" s="2" t="s">
        <v>6024</v>
      </c>
      <c r="B678" s="2" t="s">
        <v>6044</v>
      </c>
      <c r="C678" s="2" t="s">
        <v>6116</v>
      </c>
      <c r="D678" s="2" t="s">
        <v>484</v>
      </c>
      <c r="F678" s="2">
        <v>10</v>
      </c>
      <c r="G678" s="2">
        <v>0</v>
      </c>
      <c r="H678" s="2" t="s">
        <v>5667</v>
      </c>
    </row>
    <row r="679" spans="1:8" ht="15.75" hidden="1" customHeight="1">
      <c r="A679" s="2" t="s">
        <v>6024</v>
      </c>
      <c r="B679" s="2" t="s">
        <v>6044</v>
      </c>
      <c r="C679" s="2" t="s">
        <v>6117</v>
      </c>
      <c r="D679" s="2" t="s">
        <v>1796</v>
      </c>
      <c r="E679" s="2">
        <v>250</v>
      </c>
      <c r="H679" s="2" t="s">
        <v>5667</v>
      </c>
    </row>
    <row r="680" spans="1:8" ht="15.75" hidden="1" customHeight="1">
      <c r="A680" s="2" t="s">
        <v>6024</v>
      </c>
      <c r="B680" s="2" t="s">
        <v>6045</v>
      </c>
      <c r="C680" s="2" t="s">
        <v>325</v>
      </c>
      <c r="D680" s="2" t="s">
        <v>484</v>
      </c>
      <c r="F680" s="2">
        <v>10</v>
      </c>
      <c r="G680" s="2">
        <v>0</v>
      </c>
      <c r="H680" s="2" t="s">
        <v>5665</v>
      </c>
    </row>
    <row r="681" spans="1:8" ht="15.75" hidden="1" customHeight="1">
      <c r="A681" s="2" t="s">
        <v>6024</v>
      </c>
      <c r="B681" s="2" t="s">
        <v>6045</v>
      </c>
      <c r="C681" s="2" t="s">
        <v>6090</v>
      </c>
      <c r="D681" s="2" t="s">
        <v>6118</v>
      </c>
      <c r="H681" s="2" t="s">
        <v>5665</v>
      </c>
    </row>
    <row r="682" spans="1:8" ht="15.75" hidden="1" customHeight="1">
      <c r="A682" s="2" t="s">
        <v>6024</v>
      </c>
      <c r="B682" s="2" t="s">
        <v>6045</v>
      </c>
      <c r="C682" s="2" t="s">
        <v>6092</v>
      </c>
      <c r="D682" s="2" t="s">
        <v>1796</v>
      </c>
      <c r="E682" s="2">
        <v>50</v>
      </c>
      <c r="H682" s="2" t="s">
        <v>5665</v>
      </c>
    </row>
    <row r="683" spans="1:8" ht="15.75" hidden="1" customHeight="1">
      <c r="A683" s="2" t="s">
        <v>6024</v>
      </c>
      <c r="B683" s="2" t="s">
        <v>6045</v>
      </c>
      <c r="C683" s="2" t="s">
        <v>6093</v>
      </c>
      <c r="D683" s="2" t="s">
        <v>484</v>
      </c>
      <c r="F683" s="2">
        <v>10</v>
      </c>
      <c r="G683" s="2">
        <v>0</v>
      </c>
      <c r="H683" s="2" t="s">
        <v>5665</v>
      </c>
    </row>
    <row r="684" spans="1:8" ht="15.75" hidden="1" customHeight="1">
      <c r="A684" s="2" t="s">
        <v>6024</v>
      </c>
      <c r="B684" s="281" t="s">
        <v>6045</v>
      </c>
      <c r="C684" s="2" t="s">
        <v>6094</v>
      </c>
      <c r="D684" s="2" t="s">
        <v>484</v>
      </c>
      <c r="F684" s="2">
        <v>10</v>
      </c>
      <c r="G684" s="2">
        <v>0</v>
      </c>
      <c r="H684" s="2" t="s">
        <v>5665</v>
      </c>
    </row>
    <row r="685" spans="1:8" ht="15.75" hidden="1" customHeight="1">
      <c r="A685" s="2" t="s">
        <v>6024</v>
      </c>
      <c r="B685" s="2" t="s">
        <v>6045</v>
      </c>
      <c r="C685" s="2" t="s">
        <v>6095</v>
      </c>
      <c r="D685" s="2" t="s">
        <v>1796</v>
      </c>
      <c r="E685" s="2">
        <v>50</v>
      </c>
      <c r="H685" s="2" t="s">
        <v>5667</v>
      </c>
    </row>
    <row r="686" spans="1:8" ht="15.75" hidden="1" customHeight="1">
      <c r="A686" s="2" t="s">
        <v>6024</v>
      </c>
      <c r="B686" s="2" t="s">
        <v>6045</v>
      </c>
      <c r="C686" s="2" t="s">
        <v>4306</v>
      </c>
      <c r="D686" s="2" t="s">
        <v>1796</v>
      </c>
      <c r="E686" s="2">
        <v>250</v>
      </c>
      <c r="H686" s="2" t="s">
        <v>5667</v>
      </c>
    </row>
    <row r="687" spans="1:8" ht="15.75" hidden="1" customHeight="1">
      <c r="A687" s="2" t="s">
        <v>6024</v>
      </c>
      <c r="B687" s="2" t="s">
        <v>6045</v>
      </c>
      <c r="C687" s="2" t="s">
        <v>4246</v>
      </c>
      <c r="D687" s="2" t="s">
        <v>1796</v>
      </c>
      <c r="E687" s="2">
        <v>250</v>
      </c>
      <c r="H687" s="2" t="s">
        <v>5665</v>
      </c>
    </row>
    <row r="688" spans="1:8" ht="15.75" hidden="1" customHeight="1">
      <c r="A688" s="2" t="s">
        <v>6024</v>
      </c>
      <c r="B688" s="2" t="s">
        <v>6045</v>
      </c>
      <c r="C688" s="2" t="s">
        <v>6096</v>
      </c>
      <c r="D688" s="2" t="s">
        <v>484</v>
      </c>
      <c r="F688" s="2">
        <v>10</v>
      </c>
      <c r="G688" s="2">
        <v>0</v>
      </c>
      <c r="H688" s="2" t="s">
        <v>5665</v>
      </c>
    </row>
    <row r="689" spans="1:26" ht="15.75" hidden="1" customHeight="1">
      <c r="A689" s="2" t="s">
        <v>6024</v>
      </c>
      <c r="B689" s="2" t="s">
        <v>6045</v>
      </c>
      <c r="C689" s="2" t="s">
        <v>6501</v>
      </c>
      <c r="D689" s="2" t="s">
        <v>1796</v>
      </c>
      <c r="E689" s="2">
        <v>4</v>
      </c>
      <c r="H689" s="2" t="s">
        <v>5667</v>
      </c>
    </row>
    <row r="690" spans="1:26" ht="15.75" hidden="1" customHeight="1">
      <c r="A690" s="2" t="s">
        <v>6024</v>
      </c>
      <c r="B690" s="2" t="s">
        <v>6045</v>
      </c>
      <c r="C690" s="2" t="s">
        <v>6502</v>
      </c>
      <c r="D690" s="2" t="s">
        <v>1796</v>
      </c>
      <c r="E690" s="2">
        <v>3</v>
      </c>
      <c r="H690" s="2" t="s">
        <v>5667</v>
      </c>
    </row>
    <row r="691" spans="1:26" ht="15.75" hidden="1" customHeight="1">
      <c r="A691" s="2" t="s">
        <v>6024</v>
      </c>
      <c r="B691" s="2" t="s">
        <v>6045</v>
      </c>
      <c r="C691" s="2" t="s">
        <v>6491</v>
      </c>
      <c r="D691" s="2" t="s">
        <v>1796</v>
      </c>
      <c r="E691" s="2">
        <v>5</v>
      </c>
      <c r="H691" s="2" t="s">
        <v>5667</v>
      </c>
    </row>
    <row r="692" spans="1:26" ht="15.75" hidden="1" customHeight="1">
      <c r="A692" s="2" t="s">
        <v>6024</v>
      </c>
      <c r="B692" s="2" t="s">
        <v>6045</v>
      </c>
      <c r="C692" s="2" t="s">
        <v>6492</v>
      </c>
      <c r="D692" s="2" t="s">
        <v>1796</v>
      </c>
      <c r="E692" s="2">
        <v>100</v>
      </c>
      <c r="H692" s="2" t="s">
        <v>5667</v>
      </c>
    </row>
    <row r="693" spans="1:26" ht="15.75" hidden="1" customHeight="1">
      <c r="A693" s="2" t="s">
        <v>6024</v>
      </c>
      <c r="B693" s="2" t="s">
        <v>6045</v>
      </c>
      <c r="C693" s="2" t="s">
        <v>6493</v>
      </c>
      <c r="D693" s="2" t="s">
        <v>1796</v>
      </c>
      <c r="E693" s="2">
        <v>3</v>
      </c>
      <c r="H693" s="2" t="s">
        <v>5667</v>
      </c>
    </row>
    <row r="694" spans="1:26" ht="15.75" hidden="1" customHeight="1">
      <c r="A694" s="2" t="s">
        <v>6024</v>
      </c>
      <c r="B694" s="2" t="s">
        <v>6045</v>
      </c>
      <c r="C694" s="2" t="s">
        <v>6503</v>
      </c>
      <c r="D694" s="2" t="s">
        <v>1796</v>
      </c>
      <c r="E694" s="2">
        <v>3</v>
      </c>
      <c r="H694" s="2" t="s">
        <v>5667</v>
      </c>
    </row>
    <row r="695" spans="1:26" ht="15.75" hidden="1" customHeight="1">
      <c r="A695" s="2" t="s">
        <v>6024</v>
      </c>
      <c r="B695" s="283" t="s">
        <v>6045</v>
      </c>
      <c r="C695" s="2" t="s">
        <v>6504</v>
      </c>
      <c r="D695" s="2" t="s">
        <v>481</v>
      </c>
      <c r="F695" s="2">
        <v>38</v>
      </c>
      <c r="G695" s="2">
        <v>4</v>
      </c>
      <c r="H695" s="2" t="s">
        <v>5667</v>
      </c>
    </row>
    <row r="696" spans="1:26" ht="15.75" hidden="1" customHeight="1">
      <c r="A696" s="2" t="s">
        <v>6024</v>
      </c>
      <c r="B696" s="2" t="s">
        <v>6045</v>
      </c>
      <c r="C696" s="2" t="s">
        <v>6505</v>
      </c>
      <c r="D696" s="2" t="s">
        <v>481</v>
      </c>
      <c r="F696" s="2">
        <v>38</v>
      </c>
      <c r="G696" s="2">
        <v>4</v>
      </c>
      <c r="H696" s="2" t="s">
        <v>5667</v>
      </c>
    </row>
    <row r="697" spans="1:26" ht="15.75" hidden="1" customHeight="1">
      <c r="A697" s="165" t="s">
        <v>6024</v>
      </c>
      <c r="B697" s="165" t="s">
        <v>6045</v>
      </c>
      <c r="C697" s="169" t="s">
        <v>6506</v>
      </c>
      <c r="D697" s="165" t="s">
        <v>481</v>
      </c>
      <c r="E697" s="165"/>
      <c r="F697" s="165"/>
      <c r="G697" s="165"/>
      <c r="H697" s="165" t="s">
        <v>5667</v>
      </c>
      <c r="I697" s="164" t="s">
        <v>2764</v>
      </c>
      <c r="J697" s="164"/>
      <c r="K697" s="165"/>
      <c r="L697" s="165"/>
      <c r="M697" s="165"/>
      <c r="N697" s="165"/>
      <c r="O697" s="165"/>
      <c r="P697" s="165"/>
      <c r="Q697" s="165"/>
      <c r="R697" s="165"/>
      <c r="S697" s="165"/>
      <c r="T697" s="165"/>
      <c r="U697" s="165"/>
      <c r="V697" s="165"/>
      <c r="W697" s="165"/>
      <c r="X697" s="165"/>
      <c r="Y697" s="165"/>
      <c r="Z697" s="165"/>
    </row>
    <row r="698" spans="1:26" ht="15.75" hidden="1" customHeight="1">
      <c r="A698" s="165" t="s">
        <v>6024</v>
      </c>
      <c r="B698" s="165" t="s">
        <v>6045</v>
      </c>
      <c r="C698" s="169" t="s">
        <v>6507</v>
      </c>
      <c r="D698" s="165" t="s">
        <v>481</v>
      </c>
      <c r="E698" s="165"/>
      <c r="F698" s="165"/>
      <c r="G698" s="165"/>
      <c r="H698" s="165" t="s">
        <v>5667</v>
      </c>
      <c r="I698" s="164" t="s">
        <v>2764</v>
      </c>
      <c r="J698" s="164"/>
      <c r="K698" s="165"/>
      <c r="L698" s="165"/>
      <c r="M698" s="165"/>
      <c r="N698" s="165"/>
      <c r="O698" s="165"/>
      <c r="P698" s="165"/>
      <c r="Q698" s="165"/>
      <c r="R698" s="165"/>
      <c r="S698" s="165"/>
      <c r="T698" s="165"/>
      <c r="U698" s="165"/>
      <c r="V698" s="165"/>
      <c r="W698" s="165"/>
      <c r="X698" s="165"/>
      <c r="Y698" s="165"/>
      <c r="Z698" s="165"/>
    </row>
    <row r="699" spans="1:26" ht="15.75" hidden="1" customHeight="1">
      <c r="A699" s="165" t="s">
        <v>6024</v>
      </c>
      <c r="B699" s="165" t="s">
        <v>6045</v>
      </c>
      <c r="C699" s="169" t="s">
        <v>6499</v>
      </c>
      <c r="D699" s="165" t="s">
        <v>481</v>
      </c>
      <c r="E699" s="165"/>
      <c r="F699" s="165"/>
      <c r="G699" s="165"/>
      <c r="H699" s="165" t="s">
        <v>5667</v>
      </c>
      <c r="I699" s="164" t="s">
        <v>2764</v>
      </c>
      <c r="J699" s="164"/>
      <c r="K699" s="165"/>
      <c r="L699" s="165"/>
      <c r="M699" s="165"/>
      <c r="N699" s="165"/>
      <c r="O699" s="165"/>
      <c r="P699" s="165"/>
      <c r="Q699" s="165"/>
      <c r="R699" s="165"/>
      <c r="S699" s="165"/>
      <c r="T699" s="165"/>
      <c r="U699" s="165"/>
      <c r="V699" s="165"/>
      <c r="W699" s="165"/>
      <c r="X699" s="165"/>
      <c r="Y699" s="165"/>
      <c r="Z699" s="165"/>
    </row>
    <row r="700" spans="1:26" ht="15.75" hidden="1" customHeight="1">
      <c r="A700" s="165" t="s">
        <v>6024</v>
      </c>
      <c r="B700" s="165" t="s">
        <v>6045</v>
      </c>
      <c r="C700" s="169" t="s">
        <v>6500</v>
      </c>
      <c r="D700" s="165" t="s">
        <v>481</v>
      </c>
      <c r="E700" s="165"/>
      <c r="F700" s="165"/>
      <c r="G700" s="165"/>
      <c r="H700" s="165" t="s">
        <v>5667</v>
      </c>
      <c r="I700" s="164" t="s">
        <v>2764</v>
      </c>
      <c r="J700" s="164"/>
      <c r="K700" s="165"/>
      <c r="L700" s="165"/>
      <c r="M700" s="165"/>
      <c r="N700" s="165"/>
      <c r="O700" s="165"/>
      <c r="P700" s="165"/>
      <c r="Q700" s="165"/>
      <c r="R700" s="165"/>
      <c r="S700" s="165"/>
      <c r="T700" s="165"/>
      <c r="U700" s="165"/>
      <c r="V700" s="165"/>
      <c r="W700" s="165"/>
      <c r="X700" s="165"/>
      <c r="Y700" s="165"/>
      <c r="Z700" s="165"/>
    </row>
    <row r="701" spans="1:26" ht="15.75" hidden="1" customHeight="1">
      <c r="A701" s="2" t="s">
        <v>6024</v>
      </c>
      <c r="B701" s="2" t="s">
        <v>6045</v>
      </c>
      <c r="C701" s="2" t="s">
        <v>6209</v>
      </c>
      <c r="D701" s="2" t="s">
        <v>800</v>
      </c>
      <c r="H701" s="2" t="s">
        <v>5667</v>
      </c>
    </row>
    <row r="702" spans="1:26" ht="15.75" hidden="1" customHeight="1">
      <c r="A702" s="165" t="s">
        <v>6024</v>
      </c>
      <c r="B702" s="165" t="s">
        <v>6045</v>
      </c>
      <c r="C702" s="169" t="s">
        <v>6508</v>
      </c>
      <c r="D702" s="282" t="s">
        <v>1796</v>
      </c>
      <c r="E702" s="165"/>
      <c r="F702" s="165"/>
      <c r="G702" s="165"/>
      <c r="H702" s="165" t="s">
        <v>5667</v>
      </c>
      <c r="I702" s="164" t="s">
        <v>2764</v>
      </c>
      <c r="J702" s="165" t="s">
        <v>800</v>
      </c>
      <c r="K702" s="165"/>
      <c r="L702" s="165"/>
      <c r="M702" s="165"/>
      <c r="N702" s="165"/>
      <c r="O702" s="165"/>
      <c r="P702" s="165"/>
      <c r="Q702" s="165"/>
      <c r="R702" s="165"/>
      <c r="S702" s="165"/>
      <c r="T702" s="165"/>
      <c r="U702" s="165"/>
      <c r="V702" s="165"/>
      <c r="W702" s="165"/>
      <c r="X702" s="165"/>
      <c r="Y702" s="165"/>
      <c r="Z702" s="165"/>
    </row>
    <row r="703" spans="1:26" ht="15.75" hidden="1" customHeight="1">
      <c r="A703" s="165" t="s">
        <v>6024</v>
      </c>
      <c r="B703" s="165" t="s">
        <v>6045</v>
      </c>
      <c r="C703" s="169" t="s">
        <v>6509</v>
      </c>
      <c r="D703" s="282" t="s">
        <v>1796</v>
      </c>
      <c r="E703" s="165"/>
      <c r="F703" s="165"/>
      <c r="G703" s="165"/>
      <c r="H703" s="165" t="s">
        <v>5667</v>
      </c>
      <c r="I703" s="164" t="s">
        <v>2764</v>
      </c>
      <c r="J703" s="165" t="s">
        <v>800</v>
      </c>
      <c r="K703" s="165"/>
      <c r="L703" s="165"/>
      <c r="M703" s="165"/>
      <c r="N703" s="165"/>
      <c r="O703" s="165"/>
      <c r="P703" s="165"/>
      <c r="Q703" s="165"/>
      <c r="R703" s="165"/>
      <c r="S703" s="165"/>
      <c r="T703" s="165"/>
      <c r="U703" s="165"/>
      <c r="V703" s="165"/>
      <c r="W703" s="165"/>
      <c r="X703" s="165"/>
      <c r="Y703" s="165"/>
      <c r="Z703" s="165"/>
    </row>
    <row r="704" spans="1:26" ht="15.75" hidden="1" customHeight="1">
      <c r="A704" s="2" t="s">
        <v>6024</v>
      </c>
      <c r="B704" s="2" t="s">
        <v>6045</v>
      </c>
      <c r="C704" s="2" t="s">
        <v>6112</v>
      </c>
      <c r="D704" s="2" t="s">
        <v>800</v>
      </c>
      <c r="H704" s="2" t="s">
        <v>5665</v>
      </c>
    </row>
    <row r="705" spans="1:8" ht="15.75" hidden="1" customHeight="1">
      <c r="A705" s="2" t="s">
        <v>6024</v>
      </c>
      <c r="B705" s="2" t="s">
        <v>6045</v>
      </c>
      <c r="C705" s="2" t="s">
        <v>6113</v>
      </c>
      <c r="D705" s="2" t="s">
        <v>1796</v>
      </c>
      <c r="E705" s="2">
        <v>100</v>
      </c>
      <c r="H705" s="2" t="s">
        <v>5667</v>
      </c>
    </row>
    <row r="706" spans="1:8" ht="15.75" hidden="1" customHeight="1">
      <c r="A706" s="2" t="s">
        <v>6024</v>
      </c>
      <c r="B706" s="2" t="s">
        <v>6045</v>
      </c>
      <c r="C706" s="2" t="s">
        <v>6114</v>
      </c>
      <c r="D706" s="2" t="s">
        <v>484</v>
      </c>
      <c r="F706" s="2">
        <v>10</v>
      </c>
      <c r="G706" s="2">
        <v>0</v>
      </c>
      <c r="H706" s="2" t="s">
        <v>5667</v>
      </c>
    </row>
    <row r="707" spans="1:8" ht="15.75" hidden="1" customHeight="1">
      <c r="A707" s="2" t="s">
        <v>6024</v>
      </c>
      <c r="B707" s="2" t="s">
        <v>6045</v>
      </c>
      <c r="C707" s="2" t="s">
        <v>6027</v>
      </c>
      <c r="D707" s="2" t="s">
        <v>800</v>
      </c>
      <c r="H707" s="2" t="s">
        <v>5665</v>
      </c>
    </row>
    <row r="708" spans="1:8" ht="15.75" hidden="1" customHeight="1">
      <c r="A708" s="2" t="s">
        <v>6024</v>
      </c>
      <c r="B708" s="2" t="s">
        <v>6045</v>
      </c>
      <c r="C708" s="2" t="s">
        <v>6115</v>
      </c>
      <c r="D708" s="2" t="s">
        <v>1796</v>
      </c>
      <c r="E708" s="2">
        <v>100</v>
      </c>
      <c r="H708" s="2" t="s">
        <v>5667</v>
      </c>
    </row>
    <row r="709" spans="1:8" ht="15.75" hidden="1" customHeight="1">
      <c r="A709" s="2" t="s">
        <v>6024</v>
      </c>
      <c r="B709" s="2" t="s">
        <v>6045</v>
      </c>
      <c r="C709" s="2" t="s">
        <v>6116</v>
      </c>
      <c r="D709" s="2" t="s">
        <v>484</v>
      </c>
      <c r="F709" s="2">
        <v>10</v>
      </c>
      <c r="G709" s="2">
        <v>0</v>
      </c>
      <c r="H709" s="2" t="s">
        <v>5667</v>
      </c>
    </row>
    <row r="710" spans="1:8" ht="15.75" hidden="1" customHeight="1">
      <c r="A710" s="2" t="s">
        <v>6024</v>
      </c>
      <c r="B710" s="2" t="s">
        <v>6045</v>
      </c>
      <c r="C710" s="2" t="s">
        <v>6117</v>
      </c>
      <c r="D710" s="2" t="s">
        <v>1796</v>
      </c>
      <c r="E710" s="2">
        <v>250</v>
      </c>
      <c r="H710" s="2" t="s">
        <v>5667</v>
      </c>
    </row>
    <row r="711" spans="1:8" ht="15.75" hidden="1" customHeight="1">
      <c r="A711" s="2" t="s">
        <v>6024</v>
      </c>
      <c r="B711" s="2" t="s">
        <v>6046</v>
      </c>
      <c r="C711" s="2" t="s">
        <v>325</v>
      </c>
      <c r="D711" s="2" t="s">
        <v>484</v>
      </c>
      <c r="F711" s="2">
        <v>10</v>
      </c>
      <c r="G711" s="2">
        <v>0</v>
      </c>
      <c r="H711" s="2" t="s">
        <v>5665</v>
      </c>
    </row>
    <row r="712" spans="1:8" ht="15.75" hidden="1" customHeight="1">
      <c r="A712" s="2" t="s">
        <v>6024</v>
      </c>
      <c r="B712" s="2" t="s">
        <v>6046</v>
      </c>
      <c r="C712" s="2" t="s">
        <v>6090</v>
      </c>
      <c r="D712" s="2" t="s">
        <v>6118</v>
      </c>
      <c r="H712" s="2" t="s">
        <v>5665</v>
      </c>
    </row>
    <row r="713" spans="1:8" ht="15.75" hidden="1" customHeight="1">
      <c r="A713" s="2" t="s">
        <v>6024</v>
      </c>
      <c r="B713" s="2" t="s">
        <v>6046</v>
      </c>
      <c r="C713" s="2" t="s">
        <v>6092</v>
      </c>
      <c r="D713" s="2" t="s">
        <v>1796</v>
      </c>
      <c r="E713" s="2">
        <v>50</v>
      </c>
      <c r="H713" s="2" t="s">
        <v>5665</v>
      </c>
    </row>
    <row r="714" spans="1:8" ht="15.75" hidden="1" customHeight="1">
      <c r="A714" s="2" t="s">
        <v>6024</v>
      </c>
      <c r="B714" s="2" t="s">
        <v>6046</v>
      </c>
      <c r="C714" s="2" t="s">
        <v>6093</v>
      </c>
      <c r="D714" s="2" t="s">
        <v>484</v>
      </c>
      <c r="F714" s="2">
        <v>10</v>
      </c>
      <c r="G714" s="2">
        <v>0</v>
      </c>
      <c r="H714" s="2" t="s">
        <v>5665</v>
      </c>
    </row>
    <row r="715" spans="1:8" ht="15.75" hidden="1" customHeight="1">
      <c r="A715" s="2" t="s">
        <v>6024</v>
      </c>
      <c r="B715" s="2" t="s">
        <v>6046</v>
      </c>
      <c r="C715" s="2" t="s">
        <v>6094</v>
      </c>
      <c r="D715" s="2" t="s">
        <v>484</v>
      </c>
      <c r="F715" s="2">
        <v>10</v>
      </c>
      <c r="G715" s="2">
        <v>0</v>
      </c>
      <c r="H715" s="2" t="s">
        <v>5665</v>
      </c>
    </row>
    <row r="716" spans="1:8" ht="15.75" hidden="1" customHeight="1">
      <c r="A716" s="2" t="s">
        <v>6024</v>
      </c>
      <c r="B716" s="2" t="s">
        <v>6046</v>
      </c>
      <c r="C716" s="2" t="s">
        <v>6095</v>
      </c>
      <c r="D716" s="2" t="s">
        <v>1796</v>
      </c>
      <c r="E716" s="2">
        <v>50</v>
      </c>
      <c r="H716" s="2" t="s">
        <v>5667</v>
      </c>
    </row>
    <row r="717" spans="1:8" ht="15.75" hidden="1" customHeight="1">
      <c r="A717" s="2" t="s">
        <v>6024</v>
      </c>
      <c r="B717" s="2" t="s">
        <v>6046</v>
      </c>
      <c r="C717" s="2" t="s">
        <v>4306</v>
      </c>
      <c r="D717" s="2" t="s">
        <v>1796</v>
      </c>
      <c r="E717" s="2">
        <v>250</v>
      </c>
      <c r="H717" s="2" t="s">
        <v>5667</v>
      </c>
    </row>
    <row r="718" spans="1:8" ht="15.75" hidden="1" customHeight="1">
      <c r="A718" s="2" t="s">
        <v>6024</v>
      </c>
      <c r="B718" s="2" t="s">
        <v>6046</v>
      </c>
      <c r="C718" s="2" t="s">
        <v>4246</v>
      </c>
      <c r="D718" s="2" t="s">
        <v>1796</v>
      </c>
      <c r="E718" s="2">
        <v>250</v>
      </c>
      <c r="H718" s="2" t="s">
        <v>5665</v>
      </c>
    </row>
    <row r="719" spans="1:8" ht="15.75" hidden="1" customHeight="1">
      <c r="A719" s="2" t="s">
        <v>6024</v>
      </c>
      <c r="B719" s="2" t="s">
        <v>6046</v>
      </c>
      <c r="C719" s="2" t="s">
        <v>6096</v>
      </c>
      <c r="D719" s="2" t="s">
        <v>484</v>
      </c>
      <c r="F719" s="2">
        <v>10</v>
      </c>
      <c r="G719" s="2">
        <v>0</v>
      </c>
      <c r="H719" s="2" t="s">
        <v>5665</v>
      </c>
    </row>
    <row r="720" spans="1:8" ht="15.75" hidden="1" customHeight="1">
      <c r="A720" s="2" t="s">
        <v>6024</v>
      </c>
      <c r="B720" s="2" t="s">
        <v>6046</v>
      </c>
      <c r="C720" s="2" t="s">
        <v>6501</v>
      </c>
      <c r="D720" s="2" t="s">
        <v>1796</v>
      </c>
      <c r="E720" s="2">
        <v>4</v>
      </c>
      <c r="H720" s="2" t="s">
        <v>5667</v>
      </c>
    </row>
    <row r="721" spans="1:26" ht="15.75" hidden="1" customHeight="1">
      <c r="A721" s="2" t="s">
        <v>6024</v>
      </c>
      <c r="B721" s="2" t="s">
        <v>6046</v>
      </c>
      <c r="C721" s="2" t="s">
        <v>6502</v>
      </c>
      <c r="D721" s="2" t="s">
        <v>1796</v>
      </c>
      <c r="E721" s="2">
        <v>3</v>
      </c>
      <c r="H721" s="2" t="s">
        <v>5667</v>
      </c>
    </row>
    <row r="722" spans="1:26" ht="15.75" hidden="1" customHeight="1">
      <c r="A722" s="2" t="s">
        <v>6024</v>
      </c>
      <c r="B722" s="2" t="s">
        <v>6046</v>
      </c>
      <c r="C722" s="2" t="s">
        <v>6493</v>
      </c>
      <c r="D722" s="2" t="s">
        <v>1796</v>
      </c>
      <c r="E722" s="2">
        <v>255</v>
      </c>
      <c r="H722" s="2" t="s">
        <v>5667</v>
      </c>
    </row>
    <row r="723" spans="1:26" ht="15.75" hidden="1" customHeight="1">
      <c r="A723" s="2" t="s">
        <v>6024</v>
      </c>
      <c r="B723" s="2" t="s">
        <v>6046</v>
      </c>
      <c r="C723" s="2" t="s">
        <v>6503</v>
      </c>
      <c r="D723" s="2" t="s">
        <v>1796</v>
      </c>
      <c r="E723" s="2">
        <v>255</v>
      </c>
      <c r="H723" s="2" t="s">
        <v>5667</v>
      </c>
    </row>
    <row r="724" spans="1:26" ht="15.75" hidden="1" customHeight="1">
      <c r="A724" s="2" t="s">
        <v>6024</v>
      </c>
      <c r="B724" s="2" t="s">
        <v>6046</v>
      </c>
      <c r="C724" s="2" t="s">
        <v>6510</v>
      </c>
      <c r="D724" s="2" t="s">
        <v>1796</v>
      </c>
      <c r="E724" s="2">
        <v>50</v>
      </c>
      <c r="H724" s="2" t="s">
        <v>5667</v>
      </c>
    </row>
    <row r="725" spans="1:26" ht="15.75" hidden="1" customHeight="1">
      <c r="A725" s="2" t="s">
        <v>6024</v>
      </c>
      <c r="B725" s="2" t="s">
        <v>6046</v>
      </c>
      <c r="C725" s="2" t="s">
        <v>6504</v>
      </c>
      <c r="D725" s="2" t="s">
        <v>481</v>
      </c>
      <c r="F725" s="2">
        <v>38</v>
      </c>
      <c r="G725" s="2">
        <v>7</v>
      </c>
      <c r="H725" s="2" t="s">
        <v>5667</v>
      </c>
    </row>
    <row r="726" spans="1:26" ht="15.75" hidden="1" customHeight="1">
      <c r="A726" s="2" t="s">
        <v>6024</v>
      </c>
      <c r="B726" s="2" t="s">
        <v>6046</v>
      </c>
      <c r="C726" s="2" t="s">
        <v>6505</v>
      </c>
      <c r="D726" s="2" t="s">
        <v>481</v>
      </c>
      <c r="F726" s="2">
        <v>38</v>
      </c>
      <c r="G726" s="2">
        <v>7</v>
      </c>
      <c r="H726" s="2" t="s">
        <v>5667</v>
      </c>
    </row>
    <row r="727" spans="1:26" ht="15.75" hidden="1" customHeight="1">
      <c r="A727" s="165" t="s">
        <v>6024</v>
      </c>
      <c r="B727" s="165" t="s">
        <v>6046</v>
      </c>
      <c r="C727" s="169" t="s">
        <v>6506</v>
      </c>
      <c r="D727" s="165" t="s">
        <v>481</v>
      </c>
      <c r="E727" s="165"/>
      <c r="F727" s="165"/>
      <c r="G727" s="165"/>
      <c r="H727" s="165" t="s">
        <v>5667</v>
      </c>
      <c r="I727" s="164" t="s">
        <v>6511</v>
      </c>
      <c r="J727" s="164"/>
      <c r="K727" s="165"/>
      <c r="L727" s="165"/>
      <c r="M727" s="165"/>
      <c r="N727" s="165"/>
      <c r="O727" s="165"/>
      <c r="P727" s="165"/>
      <c r="Q727" s="165"/>
      <c r="R727" s="165"/>
      <c r="S727" s="165"/>
      <c r="T727" s="165"/>
      <c r="U727" s="165"/>
      <c r="V727" s="165"/>
      <c r="W727" s="165"/>
      <c r="X727" s="165"/>
      <c r="Y727" s="165"/>
      <c r="Z727" s="165"/>
    </row>
    <row r="728" spans="1:26" ht="15.75" hidden="1" customHeight="1">
      <c r="A728" s="165" t="s">
        <v>6024</v>
      </c>
      <c r="B728" s="165" t="s">
        <v>6046</v>
      </c>
      <c r="C728" s="169" t="s">
        <v>6507</v>
      </c>
      <c r="D728" s="165" t="s">
        <v>481</v>
      </c>
      <c r="E728" s="165"/>
      <c r="F728" s="165"/>
      <c r="G728" s="165"/>
      <c r="H728" s="165" t="s">
        <v>5667</v>
      </c>
      <c r="I728" s="164" t="s">
        <v>6511</v>
      </c>
      <c r="J728" s="164"/>
      <c r="K728" s="165"/>
      <c r="L728" s="165"/>
      <c r="M728" s="165"/>
      <c r="N728" s="165"/>
      <c r="O728" s="165"/>
      <c r="P728" s="165"/>
      <c r="Q728" s="165"/>
      <c r="R728" s="165"/>
      <c r="S728" s="165"/>
      <c r="T728" s="165"/>
      <c r="U728" s="165"/>
      <c r="V728" s="165"/>
      <c r="W728" s="165"/>
      <c r="X728" s="165"/>
      <c r="Y728" s="165"/>
      <c r="Z728" s="165"/>
    </row>
    <row r="729" spans="1:26" ht="15.75" hidden="1" customHeight="1">
      <c r="A729" s="165" t="s">
        <v>6024</v>
      </c>
      <c r="B729" s="165" t="s">
        <v>6046</v>
      </c>
      <c r="C729" s="169" t="s">
        <v>6499</v>
      </c>
      <c r="D729" s="165" t="s">
        <v>481</v>
      </c>
      <c r="E729" s="165"/>
      <c r="F729" s="165"/>
      <c r="G729" s="165"/>
      <c r="H729" s="165" t="s">
        <v>5667</v>
      </c>
      <c r="I729" s="164" t="s">
        <v>6511</v>
      </c>
      <c r="J729" s="164"/>
      <c r="K729" s="165"/>
      <c r="L729" s="165"/>
      <c r="M729" s="165"/>
      <c r="N729" s="165"/>
      <c r="O729" s="165"/>
      <c r="P729" s="165"/>
      <c r="Q729" s="165"/>
      <c r="R729" s="165"/>
      <c r="S729" s="165"/>
      <c r="T729" s="165"/>
      <c r="U729" s="165"/>
      <c r="V729" s="165"/>
      <c r="W729" s="165"/>
      <c r="X729" s="165"/>
      <c r="Y729" s="165"/>
      <c r="Z729" s="165"/>
    </row>
    <row r="730" spans="1:26" ht="15.75" hidden="1" customHeight="1">
      <c r="A730" s="165" t="s">
        <v>6024</v>
      </c>
      <c r="B730" s="165" t="s">
        <v>6046</v>
      </c>
      <c r="C730" s="169" t="s">
        <v>6500</v>
      </c>
      <c r="D730" s="165" t="s">
        <v>481</v>
      </c>
      <c r="E730" s="165"/>
      <c r="F730" s="165"/>
      <c r="G730" s="165"/>
      <c r="H730" s="165" t="s">
        <v>5667</v>
      </c>
      <c r="I730" s="164" t="s">
        <v>6511</v>
      </c>
      <c r="J730" s="164"/>
      <c r="K730" s="165"/>
      <c r="L730" s="165"/>
      <c r="M730" s="165"/>
      <c r="N730" s="165"/>
      <c r="O730" s="165"/>
      <c r="P730" s="165"/>
      <c r="Q730" s="165"/>
      <c r="R730" s="165"/>
      <c r="S730" s="165"/>
      <c r="T730" s="165"/>
      <c r="U730" s="165"/>
      <c r="V730" s="165"/>
      <c r="W730" s="165"/>
      <c r="X730" s="165"/>
      <c r="Y730" s="165"/>
      <c r="Z730" s="165"/>
    </row>
    <row r="731" spans="1:26" ht="15.75" hidden="1" customHeight="1">
      <c r="A731" s="2" t="s">
        <v>6024</v>
      </c>
      <c r="B731" s="2" t="s">
        <v>6046</v>
      </c>
      <c r="C731" s="2" t="s">
        <v>6209</v>
      </c>
      <c r="D731" s="2" t="s">
        <v>800</v>
      </c>
      <c r="H731" s="2" t="s">
        <v>5667</v>
      </c>
    </row>
    <row r="732" spans="1:26" ht="15.75" hidden="1" customHeight="1">
      <c r="A732" s="2" t="s">
        <v>6024</v>
      </c>
      <c r="B732" s="2" t="s">
        <v>6046</v>
      </c>
      <c r="C732" s="2" t="s">
        <v>6112</v>
      </c>
      <c r="D732" s="2" t="s">
        <v>800</v>
      </c>
      <c r="H732" s="2" t="s">
        <v>5665</v>
      </c>
    </row>
    <row r="733" spans="1:26" ht="15.75" hidden="1" customHeight="1">
      <c r="A733" s="2" t="s">
        <v>6024</v>
      </c>
      <c r="B733" s="2" t="s">
        <v>6046</v>
      </c>
      <c r="C733" s="2" t="s">
        <v>6113</v>
      </c>
      <c r="D733" s="2" t="s">
        <v>1796</v>
      </c>
      <c r="E733" s="2">
        <v>100</v>
      </c>
      <c r="H733" s="2" t="s">
        <v>5667</v>
      </c>
    </row>
    <row r="734" spans="1:26" ht="15.75" hidden="1" customHeight="1">
      <c r="A734" s="2" t="s">
        <v>6024</v>
      </c>
      <c r="B734" s="2" t="s">
        <v>6046</v>
      </c>
      <c r="C734" s="2" t="s">
        <v>6114</v>
      </c>
      <c r="D734" s="2" t="s">
        <v>484</v>
      </c>
      <c r="F734" s="2">
        <v>10</v>
      </c>
      <c r="G734" s="2">
        <v>0</v>
      </c>
      <c r="H734" s="2" t="s">
        <v>5667</v>
      </c>
    </row>
    <row r="735" spans="1:26" ht="15.75" hidden="1" customHeight="1">
      <c r="A735" s="2" t="s">
        <v>6024</v>
      </c>
      <c r="B735" s="2" t="s">
        <v>6046</v>
      </c>
      <c r="C735" s="2" t="s">
        <v>6027</v>
      </c>
      <c r="D735" s="2" t="s">
        <v>800</v>
      </c>
      <c r="H735" s="2" t="s">
        <v>5665</v>
      </c>
    </row>
    <row r="736" spans="1:26" ht="15.75" hidden="1" customHeight="1">
      <c r="A736" s="2" t="s">
        <v>6024</v>
      </c>
      <c r="B736" s="2" t="s">
        <v>6046</v>
      </c>
      <c r="C736" s="2" t="s">
        <v>6115</v>
      </c>
      <c r="D736" s="2" t="s">
        <v>1796</v>
      </c>
      <c r="E736" s="2">
        <v>100</v>
      </c>
      <c r="H736" s="2" t="s">
        <v>5667</v>
      </c>
    </row>
    <row r="737" spans="1:8" ht="15.75" hidden="1" customHeight="1">
      <c r="A737" s="2" t="s">
        <v>6024</v>
      </c>
      <c r="B737" s="2" t="s">
        <v>6046</v>
      </c>
      <c r="C737" s="2" t="s">
        <v>6116</v>
      </c>
      <c r="D737" s="2" t="s">
        <v>484</v>
      </c>
      <c r="F737" s="2">
        <v>10</v>
      </c>
      <c r="G737" s="2">
        <v>0</v>
      </c>
      <c r="H737" s="2" t="s">
        <v>5667</v>
      </c>
    </row>
    <row r="738" spans="1:8" ht="15.75" hidden="1" customHeight="1">
      <c r="A738" s="2" t="s">
        <v>6024</v>
      </c>
      <c r="B738" s="2" t="s">
        <v>6046</v>
      </c>
      <c r="C738" s="2" t="s">
        <v>6117</v>
      </c>
      <c r="D738" s="2" t="s">
        <v>1796</v>
      </c>
      <c r="E738" s="2">
        <v>250</v>
      </c>
      <c r="H738" s="2" t="s">
        <v>5667</v>
      </c>
    </row>
    <row r="739" spans="1:8" ht="15.75" hidden="1" customHeight="1">
      <c r="A739" s="2" t="s">
        <v>6024</v>
      </c>
      <c r="B739" s="2" t="s">
        <v>6047</v>
      </c>
      <c r="C739" s="2" t="s">
        <v>325</v>
      </c>
      <c r="D739" s="2" t="s">
        <v>484</v>
      </c>
      <c r="F739" s="2">
        <v>10</v>
      </c>
      <c r="G739" s="2">
        <v>0</v>
      </c>
      <c r="H739" s="2" t="s">
        <v>5665</v>
      </c>
    </row>
    <row r="740" spans="1:8" ht="15.75" hidden="1" customHeight="1">
      <c r="A740" s="2" t="s">
        <v>6024</v>
      </c>
      <c r="B740" s="2" t="s">
        <v>6047</v>
      </c>
      <c r="C740" s="2" t="s">
        <v>6090</v>
      </c>
      <c r="D740" s="2" t="s">
        <v>6118</v>
      </c>
      <c r="H740" s="2" t="s">
        <v>5665</v>
      </c>
    </row>
    <row r="741" spans="1:8" ht="15.75" hidden="1" customHeight="1">
      <c r="A741" s="2" t="s">
        <v>6024</v>
      </c>
      <c r="B741" s="2" t="s">
        <v>6047</v>
      </c>
      <c r="C741" s="2" t="s">
        <v>6092</v>
      </c>
      <c r="D741" s="2" t="s">
        <v>1796</v>
      </c>
      <c r="E741" s="2">
        <v>50</v>
      </c>
      <c r="H741" s="2" t="s">
        <v>5665</v>
      </c>
    </row>
    <row r="742" spans="1:8" ht="15.75" hidden="1" customHeight="1">
      <c r="A742" s="2" t="s">
        <v>6024</v>
      </c>
      <c r="B742" s="2" t="s">
        <v>6047</v>
      </c>
      <c r="C742" s="2" t="s">
        <v>6093</v>
      </c>
      <c r="D742" s="2" t="s">
        <v>484</v>
      </c>
      <c r="F742" s="2">
        <v>10</v>
      </c>
      <c r="G742" s="2">
        <v>0</v>
      </c>
      <c r="H742" s="2" t="s">
        <v>5665</v>
      </c>
    </row>
    <row r="743" spans="1:8" ht="15.75" hidden="1" customHeight="1">
      <c r="A743" s="2" t="s">
        <v>6024</v>
      </c>
      <c r="B743" s="2" t="s">
        <v>6047</v>
      </c>
      <c r="C743" s="2" t="s">
        <v>6094</v>
      </c>
      <c r="D743" s="2" t="s">
        <v>484</v>
      </c>
      <c r="F743" s="2">
        <v>10</v>
      </c>
      <c r="G743" s="2">
        <v>0</v>
      </c>
      <c r="H743" s="2" t="s">
        <v>5665</v>
      </c>
    </row>
    <row r="744" spans="1:8" ht="15.75" hidden="1" customHeight="1">
      <c r="A744" s="2" t="s">
        <v>6024</v>
      </c>
      <c r="B744" s="2" t="s">
        <v>6047</v>
      </c>
      <c r="C744" s="2" t="s">
        <v>6095</v>
      </c>
      <c r="D744" s="2" t="s">
        <v>1796</v>
      </c>
      <c r="E744" s="2">
        <v>50</v>
      </c>
      <c r="H744" s="2" t="s">
        <v>5667</v>
      </c>
    </row>
    <row r="745" spans="1:8" ht="15.75" hidden="1" customHeight="1">
      <c r="A745" s="2" t="s">
        <v>6024</v>
      </c>
      <c r="B745" s="2" t="s">
        <v>6047</v>
      </c>
      <c r="C745" s="2" t="s">
        <v>4306</v>
      </c>
      <c r="D745" s="2" t="s">
        <v>1796</v>
      </c>
      <c r="E745" s="2">
        <v>250</v>
      </c>
      <c r="H745" s="2" t="s">
        <v>5667</v>
      </c>
    </row>
    <row r="746" spans="1:8" ht="15.75" hidden="1" customHeight="1">
      <c r="A746" s="2" t="s">
        <v>6024</v>
      </c>
      <c r="B746" s="2" t="s">
        <v>6047</v>
      </c>
      <c r="C746" s="2" t="s">
        <v>4246</v>
      </c>
      <c r="D746" s="2" t="s">
        <v>1796</v>
      </c>
      <c r="E746" s="2">
        <v>250</v>
      </c>
      <c r="H746" s="2" t="s">
        <v>5665</v>
      </c>
    </row>
    <row r="747" spans="1:8" ht="15.75" hidden="1" customHeight="1">
      <c r="A747" s="2" t="s">
        <v>6024</v>
      </c>
      <c r="B747" s="2" t="s">
        <v>6047</v>
      </c>
      <c r="C747" s="2" t="s">
        <v>6096</v>
      </c>
      <c r="D747" s="2" t="s">
        <v>484</v>
      </c>
      <c r="F747" s="2">
        <v>10</v>
      </c>
      <c r="G747" s="2">
        <v>0</v>
      </c>
      <c r="H747" s="2" t="s">
        <v>5665</v>
      </c>
    </row>
    <row r="748" spans="1:8" ht="15.75" hidden="1" customHeight="1">
      <c r="A748" s="2" t="s">
        <v>6024</v>
      </c>
      <c r="B748" s="2" t="s">
        <v>6047</v>
      </c>
      <c r="C748" s="2" t="s">
        <v>6512</v>
      </c>
      <c r="D748" s="2" t="s">
        <v>800</v>
      </c>
      <c r="H748" s="2" t="s">
        <v>5667</v>
      </c>
    </row>
    <row r="749" spans="1:8" ht="15.75" hidden="1" customHeight="1">
      <c r="A749" s="2" t="s">
        <v>6024</v>
      </c>
      <c r="B749" s="2" t="s">
        <v>6047</v>
      </c>
      <c r="C749" s="2" t="s">
        <v>6513</v>
      </c>
      <c r="D749" s="2" t="s">
        <v>1796</v>
      </c>
      <c r="E749" s="2">
        <v>5</v>
      </c>
      <c r="H749" s="2" t="s">
        <v>5667</v>
      </c>
    </row>
    <row r="750" spans="1:8" ht="15.75" hidden="1" customHeight="1">
      <c r="A750" s="2" t="s">
        <v>6024</v>
      </c>
      <c r="B750" s="2" t="s">
        <v>6047</v>
      </c>
      <c r="C750" s="2" t="s">
        <v>6514</v>
      </c>
      <c r="D750" s="2" t="s">
        <v>1796</v>
      </c>
      <c r="E750" s="2">
        <v>30</v>
      </c>
      <c r="H750" s="2" t="s">
        <v>5667</v>
      </c>
    </row>
    <row r="751" spans="1:8" ht="15.75" hidden="1" customHeight="1">
      <c r="A751" s="2" t="s">
        <v>6024</v>
      </c>
      <c r="B751" s="2" t="s">
        <v>6047</v>
      </c>
      <c r="C751" s="2" t="s">
        <v>1770</v>
      </c>
      <c r="D751" s="2" t="s">
        <v>1796</v>
      </c>
      <c r="E751" s="2">
        <v>3</v>
      </c>
      <c r="H751" s="2" t="s">
        <v>5667</v>
      </c>
    </row>
    <row r="752" spans="1:8" ht="15.75" hidden="1" customHeight="1">
      <c r="A752" s="2" t="s">
        <v>6024</v>
      </c>
      <c r="B752" s="2" t="s">
        <v>6047</v>
      </c>
      <c r="C752" s="2" t="s">
        <v>6515</v>
      </c>
      <c r="D752" s="2" t="s">
        <v>1796</v>
      </c>
      <c r="E752" s="2">
        <v>3</v>
      </c>
      <c r="H752" s="2" t="s">
        <v>5667</v>
      </c>
    </row>
    <row r="753" spans="1:8" ht="15.75" hidden="1" customHeight="1">
      <c r="A753" s="2" t="s">
        <v>6024</v>
      </c>
      <c r="B753" s="2" t="s">
        <v>6047</v>
      </c>
      <c r="C753" s="2" t="s">
        <v>6491</v>
      </c>
      <c r="D753" s="2" t="s">
        <v>1796</v>
      </c>
      <c r="E753" s="2">
        <v>22</v>
      </c>
      <c r="H753" s="2" t="s">
        <v>5667</v>
      </c>
    </row>
    <row r="754" spans="1:8" ht="15.75" hidden="1" customHeight="1">
      <c r="A754" s="2" t="s">
        <v>6024</v>
      </c>
      <c r="B754" s="2" t="s">
        <v>6047</v>
      </c>
      <c r="C754" s="2" t="s">
        <v>6516</v>
      </c>
      <c r="D754" s="2" t="s">
        <v>1796</v>
      </c>
      <c r="E754" s="2">
        <v>10</v>
      </c>
      <c r="H754" s="2" t="s">
        <v>5667</v>
      </c>
    </row>
    <row r="755" spans="1:8" ht="15.75" hidden="1" customHeight="1">
      <c r="A755" s="2" t="s">
        <v>6024</v>
      </c>
      <c r="B755" s="2" t="s">
        <v>6047</v>
      </c>
      <c r="C755" s="2" t="s">
        <v>6517</v>
      </c>
      <c r="D755" s="2" t="s">
        <v>1796</v>
      </c>
      <c r="E755" s="2">
        <v>50</v>
      </c>
      <c r="H755" s="2" t="s">
        <v>5667</v>
      </c>
    </row>
    <row r="756" spans="1:8" ht="15.75" hidden="1" customHeight="1">
      <c r="A756" s="2" t="s">
        <v>6024</v>
      </c>
      <c r="B756" s="2" t="s">
        <v>6047</v>
      </c>
      <c r="C756" s="2" t="s">
        <v>6518</v>
      </c>
      <c r="D756" s="2" t="s">
        <v>1796</v>
      </c>
      <c r="E756" s="2">
        <v>10</v>
      </c>
      <c r="H756" s="2" t="s">
        <v>5667</v>
      </c>
    </row>
    <row r="757" spans="1:8" ht="15.75" hidden="1" customHeight="1">
      <c r="A757" s="2" t="s">
        <v>6024</v>
      </c>
      <c r="B757" s="2" t="s">
        <v>6047</v>
      </c>
      <c r="C757" s="2" t="s">
        <v>6519</v>
      </c>
      <c r="D757" s="2" t="s">
        <v>1796</v>
      </c>
      <c r="E757" s="2">
        <v>50</v>
      </c>
      <c r="H757" s="2" t="s">
        <v>5667</v>
      </c>
    </row>
    <row r="758" spans="1:8" ht="15.75" hidden="1" customHeight="1">
      <c r="A758" s="2" t="s">
        <v>6024</v>
      </c>
      <c r="B758" s="2" t="s">
        <v>6047</v>
      </c>
      <c r="C758" s="2" t="s">
        <v>6495</v>
      </c>
      <c r="D758" s="2" t="s">
        <v>481</v>
      </c>
      <c r="F758" s="2">
        <v>38</v>
      </c>
      <c r="G758" s="2">
        <v>2</v>
      </c>
      <c r="H758" s="2" t="s">
        <v>5667</v>
      </c>
    </row>
    <row r="759" spans="1:8" ht="15.75" hidden="1" customHeight="1">
      <c r="A759" s="2" t="s">
        <v>6024</v>
      </c>
      <c r="B759" s="2" t="s">
        <v>6047</v>
      </c>
      <c r="C759" s="2" t="s">
        <v>6520</v>
      </c>
      <c r="D759" s="2" t="s">
        <v>481</v>
      </c>
      <c r="F759" s="2">
        <v>38</v>
      </c>
      <c r="G759" s="2">
        <v>2</v>
      </c>
      <c r="H759" s="2" t="s">
        <v>5667</v>
      </c>
    </row>
    <row r="760" spans="1:8" ht="15.75" hidden="1" customHeight="1">
      <c r="A760" s="2" t="s">
        <v>6024</v>
      </c>
      <c r="B760" s="2" t="s">
        <v>6047</v>
      </c>
      <c r="C760" s="2" t="s">
        <v>6521</v>
      </c>
      <c r="D760" s="2" t="s">
        <v>481</v>
      </c>
      <c r="F760" s="2">
        <v>38</v>
      </c>
      <c r="G760" s="2">
        <v>2</v>
      </c>
      <c r="H760" s="2" t="s">
        <v>5667</v>
      </c>
    </row>
    <row r="761" spans="1:8" ht="15.75" hidden="1" customHeight="1">
      <c r="A761" s="2" t="s">
        <v>6024</v>
      </c>
      <c r="B761" s="2" t="s">
        <v>6047</v>
      </c>
      <c r="C761" s="2" t="s">
        <v>6497</v>
      </c>
      <c r="D761" s="2" t="s">
        <v>1796</v>
      </c>
      <c r="E761" s="2">
        <v>10</v>
      </c>
      <c r="H761" s="2" t="s">
        <v>5667</v>
      </c>
    </row>
    <row r="762" spans="1:8" ht="15.75" hidden="1" customHeight="1">
      <c r="A762" s="2" t="s">
        <v>6024</v>
      </c>
      <c r="B762" s="2" t="s">
        <v>6047</v>
      </c>
      <c r="C762" s="2" t="s">
        <v>6209</v>
      </c>
      <c r="D762" s="2" t="s">
        <v>800</v>
      </c>
      <c r="H762" s="2" t="s">
        <v>5667</v>
      </c>
    </row>
    <row r="763" spans="1:8" ht="15.75" hidden="1" customHeight="1">
      <c r="A763" s="2" t="s">
        <v>6024</v>
      </c>
      <c r="B763" s="2" t="s">
        <v>6047</v>
      </c>
      <c r="C763" s="2" t="s">
        <v>6112</v>
      </c>
      <c r="D763" s="2" t="s">
        <v>800</v>
      </c>
      <c r="H763" s="2" t="s">
        <v>5665</v>
      </c>
    </row>
    <row r="764" spans="1:8" ht="15.75" hidden="1" customHeight="1">
      <c r="A764" s="2" t="s">
        <v>6024</v>
      </c>
      <c r="B764" s="2" t="s">
        <v>6047</v>
      </c>
      <c r="C764" s="2" t="s">
        <v>6113</v>
      </c>
      <c r="D764" s="2" t="s">
        <v>1796</v>
      </c>
      <c r="E764" s="2">
        <v>100</v>
      </c>
      <c r="H764" s="2" t="s">
        <v>5667</v>
      </c>
    </row>
    <row r="765" spans="1:8" ht="15.75" hidden="1" customHeight="1">
      <c r="A765" s="2" t="s">
        <v>6024</v>
      </c>
      <c r="B765" s="2" t="s">
        <v>6047</v>
      </c>
      <c r="C765" s="2" t="s">
        <v>6114</v>
      </c>
      <c r="D765" s="2" t="s">
        <v>484</v>
      </c>
      <c r="F765" s="2">
        <v>10</v>
      </c>
      <c r="G765" s="2">
        <v>0</v>
      </c>
      <c r="H765" s="2" t="s">
        <v>5667</v>
      </c>
    </row>
    <row r="766" spans="1:8" ht="15.75" hidden="1" customHeight="1">
      <c r="A766" s="2" t="s">
        <v>6024</v>
      </c>
      <c r="B766" s="2" t="s">
        <v>6047</v>
      </c>
      <c r="C766" s="2" t="s">
        <v>6027</v>
      </c>
      <c r="D766" s="2" t="s">
        <v>800</v>
      </c>
      <c r="H766" s="2" t="s">
        <v>5665</v>
      </c>
    </row>
    <row r="767" spans="1:8" ht="15.75" hidden="1" customHeight="1">
      <c r="A767" s="2" t="s">
        <v>6024</v>
      </c>
      <c r="B767" s="2" t="s">
        <v>6047</v>
      </c>
      <c r="C767" s="2" t="s">
        <v>6115</v>
      </c>
      <c r="D767" s="2" t="s">
        <v>1796</v>
      </c>
      <c r="E767" s="2">
        <v>100</v>
      </c>
      <c r="H767" s="2" t="s">
        <v>5667</v>
      </c>
    </row>
    <row r="768" spans="1:8" ht="15.75" hidden="1" customHeight="1">
      <c r="A768" s="2" t="s">
        <v>6024</v>
      </c>
      <c r="B768" s="2" t="s">
        <v>6047</v>
      </c>
      <c r="C768" s="2" t="s">
        <v>6116</v>
      </c>
      <c r="D768" s="2" t="s">
        <v>484</v>
      </c>
      <c r="F768" s="2">
        <v>10</v>
      </c>
      <c r="G768" s="2">
        <v>0</v>
      </c>
      <c r="H768" s="2" t="s">
        <v>5667</v>
      </c>
    </row>
    <row r="769" spans="1:8" ht="15.75" hidden="1" customHeight="1">
      <c r="A769" s="2" t="s">
        <v>6024</v>
      </c>
      <c r="B769" s="2" t="s">
        <v>6047</v>
      </c>
      <c r="C769" s="2" t="s">
        <v>6117</v>
      </c>
      <c r="D769" s="2" t="s">
        <v>1796</v>
      </c>
      <c r="E769" s="2">
        <v>250</v>
      </c>
      <c r="H769" s="2" t="s">
        <v>5667</v>
      </c>
    </row>
    <row r="770" spans="1:8" ht="15.75" hidden="1" customHeight="1">
      <c r="A770" s="2" t="s">
        <v>6024</v>
      </c>
      <c r="B770" s="2" t="s">
        <v>6048</v>
      </c>
      <c r="C770" s="2" t="s">
        <v>325</v>
      </c>
      <c r="D770" s="2" t="s">
        <v>484</v>
      </c>
      <c r="F770" s="2">
        <v>10</v>
      </c>
      <c r="G770" s="2">
        <v>0</v>
      </c>
      <c r="H770" s="2" t="s">
        <v>5665</v>
      </c>
    </row>
    <row r="771" spans="1:8" ht="15.75" hidden="1" customHeight="1">
      <c r="A771" s="2" t="s">
        <v>6024</v>
      </c>
      <c r="B771" s="2" t="s">
        <v>6048</v>
      </c>
      <c r="C771" s="2" t="s">
        <v>6090</v>
      </c>
      <c r="D771" s="2" t="s">
        <v>6118</v>
      </c>
      <c r="H771" s="2" t="s">
        <v>5665</v>
      </c>
    </row>
    <row r="772" spans="1:8" ht="15.75" hidden="1" customHeight="1">
      <c r="A772" s="2" t="s">
        <v>6024</v>
      </c>
      <c r="B772" s="2" t="s">
        <v>6048</v>
      </c>
      <c r="C772" s="2" t="s">
        <v>6092</v>
      </c>
      <c r="D772" s="2" t="s">
        <v>1796</v>
      </c>
      <c r="E772" s="2">
        <v>50</v>
      </c>
      <c r="H772" s="2" t="s">
        <v>5665</v>
      </c>
    </row>
    <row r="773" spans="1:8" ht="15.75" hidden="1" customHeight="1">
      <c r="A773" s="2" t="s">
        <v>6024</v>
      </c>
      <c r="B773" s="2" t="s">
        <v>6048</v>
      </c>
      <c r="C773" s="2" t="s">
        <v>6093</v>
      </c>
      <c r="D773" s="2" t="s">
        <v>484</v>
      </c>
      <c r="F773" s="2">
        <v>10</v>
      </c>
      <c r="G773" s="2">
        <v>0</v>
      </c>
      <c r="H773" s="2" t="s">
        <v>5665</v>
      </c>
    </row>
    <row r="774" spans="1:8" ht="15.75" hidden="1" customHeight="1">
      <c r="A774" s="2" t="s">
        <v>6024</v>
      </c>
      <c r="B774" s="2" t="s">
        <v>6048</v>
      </c>
      <c r="C774" s="2" t="s">
        <v>6094</v>
      </c>
      <c r="D774" s="2" t="s">
        <v>484</v>
      </c>
      <c r="F774" s="2">
        <v>10</v>
      </c>
      <c r="G774" s="2">
        <v>0</v>
      </c>
      <c r="H774" s="2" t="s">
        <v>5665</v>
      </c>
    </row>
    <row r="775" spans="1:8" ht="15.75" hidden="1" customHeight="1">
      <c r="A775" s="2" t="s">
        <v>6024</v>
      </c>
      <c r="B775" s="2" t="s">
        <v>6048</v>
      </c>
      <c r="C775" s="2" t="s">
        <v>6095</v>
      </c>
      <c r="D775" s="2" t="s">
        <v>1796</v>
      </c>
      <c r="E775" s="2">
        <v>50</v>
      </c>
      <c r="H775" s="2" t="s">
        <v>5667</v>
      </c>
    </row>
    <row r="776" spans="1:8" ht="15.75" hidden="1" customHeight="1">
      <c r="A776" s="2" t="s">
        <v>6024</v>
      </c>
      <c r="B776" s="2" t="s">
        <v>6048</v>
      </c>
      <c r="C776" s="2" t="s">
        <v>4306</v>
      </c>
      <c r="D776" s="2" t="s">
        <v>1796</v>
      </c>
      <c r="E776" s="2">
        <v>250</v>
      </c>
      <c r="H776" s="2" t="s">
        <v>5667</v>
      </c>
    </row>
    <row r="777" spans="1:8" ht="15.75" hidden="1" customHeight="1">
      <c r="A777" s="2" t="s">
        <v>6024</v>
      </c>
      <c r="B777" s="2" t="s">
        <v>6048</v>
      </c>
      <c r="C777" s="2" t="s">
        <v>4246</v>
      </c>
      <c r="D777" s="2" t="s">
        <v>1796</v>
      </c>
      <c r="E777" s="2">
        <v>250</v>
      </c>
      <c r="H777" s="2" t="s">
        <v>5665</v>
      </c>
    </row>
    <row r="778" spans="1:8" ht="15.75" hidden="1" customHeight="1">
      <c r="A778" s="2" t="s">
        <v>6024</v>
      </c>
      <c r="B778" s="2" t="s">
        <v>6048</v>
      </c>
      <c r="C778" s="2" t="s">
        <v>6096</v>
      </c>
      <c r="D778" s="2" t="s">
        <v>484</v>
      </c>
      <c r="F778" s="2">
        <v>10</v>
      </c>
      <c r="G778" s="2">
        <v>0</v>
      </c>
      <c r="H778" s="2" t="s">
        <v>5665</v>
      </c>
    </row>
    <row r="779" spans="1:8" ht="15.75" hidden="1" customHeight="1">
      <c r="A779" s="2" t="s">
        <v>6024</v>
      </c>
      <c r="B779" s="2" t="s">
        <v>6048</v>
      </c>
      <c r="C779" s="2" t="s">
        <v>6486</v>
      </c>
      <c r="D779" s="2" t="s">
        <v>1796</v>
      </c>
      <c r="E779" s="2">
        <v>3</v>
      </c>
      <c r="H779" s="2" t="s">
        <v>5667</v>
      </c>
    </row>
    <row r="780" spans="1:8" ht="15.75" hidden="1" customHeight="1">
      <c r="A780" s="2" t="s">
        <v>6024</v>
      </c>
      <c r="B780" s="2" t="s">
        <v>6048</v>
      </c>
      <c r="C780" s="2" t="s">
        <v>6487</v>
      </c>
      <c r="D780" s="2" t="s">
        <v>1796</v>
      </c>
      <c r="E780" s="2">
        <v>4</v>
      </c>
      <c r="H780" s="2" t="s">
        <v>5667</v>
      </c>
    </row>
    <row r="781" spans="1:8" ht="15.75" hidden="1" customHeight="1">
      <c r="A781" s="2" t="s">
        <v>6024</v>
      </c>
      <c r="B781" s="2" t="s">
        <v>6048</v>
      </c>
      <c r="C781" s="2" t="s">
        <v>257</v>
      </c>
      <c r="D781" s="2" t="s">
        <v>1796</v>
      </c>
      <c r="E781" s="2">
        <v>10</v>
      </c>
      <c r="H781" s="2" t="s">
        <v>5667</v>
      </c>
    </row>
    <row r="782" spans="1:8" ht="15.75" hidden="1" customHeight="1">
      <c r="A782" s="2" t="s">
        <v>6024</v>
      </c>
      <c r="B782" s="2" t="s">
        <v>6048</v>
      </c>
      <c r="C782" s="2" t="s">
        <v>6518</v>
      </c>
      <c r="D782" s="2" t="s">
        <v>1796</v>
      </c>
      <c r="E782" s="2">
        <v>10</v>
      </c>
      <c r="H782" s="2" t="s">
        <v>5667</v>
      </c>
    </row>
    <row r="783" spans="1:8" ht="15.75" hidden="1" customHeight="1">
      <c r="A783" s="2" t="s">
        <v>6024</v>
      </c>
      <c r="B783" s="2" t="s">
        <v>6048</v>
      </c>
      <c r="C783" s="2" t="s">
        <v>6490</v>
      </c>
      <c r="D783" s="2" t="s">
        <v>1796</v>
      </c>
      <c r="E783" s="2">
        <v>7</v>
      </c>
      <c r="H783" s="2" t="s">
        <v>5667</v>
      </c>
    </row>
    <row r="784" spans="1:8" ht="15.75" hidden="1" customHeight="1">
      <c r="A784" s="2" t="s">
        <v>6024</v>
      </c>
      <c r="B784" s="2" t="s">
        <v>6048</v>
      </c>
      <c r="C784" s="2" t="s">
        <v>6491</v>
      </c>
      <c r="D784" s="2" t="s">
        <v>1796</v>
      </c>
      <c r="E784" s="2">
        <v>22</v>
      </c>
      <c r="H784" s="2" t="s">
        <v>5667</v>
      </c>
    </row>
    <row r="785" spans="1:8" ht="15.75" hidden="1" customHeight="1">
      <c r="A785" s="2" t="s">
        <v>6024</v>
      </c>
      <c r="B785" s="2" t="s">
        <v>6048</v>
      </c>
      <c r="C785" s="2" t="s">
        <v>6492</v>
      </c>
      <c r="D785" s="2" t="s">
        <v>1796</v>
      </c>
      <c r="E785" s="2">
        <v>50</v>
      </c>
      <c r="H785" s="2" t="s">
        <v>5667</v>
      </c>
    </row>
    <row r="786" spans="1:8" ht="15.75" hidden="1" customHeight="1">
      <c r="A786" s="2" t="s">
        <v>6024</v>
      </c>
      <c r="B786" s="2" t="s">
        <v>6048</v>
      </c>
      <c r="C786" s="2" t="s">
        <v>6493</v>
      </c>
      <c r="D786" s="2" t="s">
        <v>1796</v>
      </c>
      <c r="E786" s="2">
        <v>3</v>
      </c>
      <c r="H786" s="2" t="s">
        <v>5667</v>
      </c>
    </row>
    <row r="787" spans="1:8" ht="15.75" hidden="1" customHeight="1">
      <c r="A787" s="2" t="s">
        <v>6024</v>
      </c>
      <c r="B787" s="2" t="s">
        <v>6048</v>
      </c>
      <c r="C787" s="2" t="s">
        <v>6494</v>
      </c>
      <c r="D787" s="2" t="s">
        <v>1796</v>
      </c>
      <c r="E787" s="2">
        <v>3</v>
      </c>
      <c r="H787" s="2" t="s">
        <v>5667</v>
      </c>
    </row>
    <row r="788" spans="1:8" ht="15.75" hidden="1" customHeight="1">
      <c r="A788" s="2" t="s">
        <v>6024</v>
      </c>
      <c r="B788" s="2" t="s">
        <v>6048</v>
      </c>
      <c r="C788" s="2" t="s">
        <v>6495</v>
      </c>
      <c r="D788" s="2" t="s">
        <v>481</v>
      </c>
      <c r="F788" s="2">
        <v>38</v>
      </c>
      <c r="G788" s="2">
        <v>3</v>
      </c>
      <c r="H788" s="2" t="s">
        <v>5667</v>
      </c>
    </row>
    <row r="789" spans="1:8" ht="15.75" hidden="1" customHeight="1">
      <c r="A789" s="2" t="s">
        <v>6024</v>
      </c>
      <c r="B789" s="2" t="s">
        <v>6048</v>
      </c>
      <c r="C789" s="2" t="s">
        <v>6496</v>
      </c>
      <c r="D789" s="2" t="s">
        <v>481</v>
      </c>
      <c r="F789" s="2">
        <v>38</v>
      </c>
      <c r="G789" s="2">
        <v>3</v>
      </c>
      <c r="H789" s="2" t="s">
        <v>5667</v>
      </c>
    </row>
    <row r="790" spans="1:8" ht="15.75" hidden="1" customHeight="1">
      <c r="A790" s="2" t="s">
        <v>6024</v>
      </c>
      <c r="B790" s="2" t="s">
        <v>6048</v>
      </c>
      <c r="C790" s="2" t="s">
        <v>6497</v>
      </c>
      <c r="D790" s="2" t="s">
        <v>1796</v>
      </c>
      <c r="E790" s="2">
        <v>10</v>
      </c>
      <c r="H790" s="2" t="s">
        <v>5667</v>
      </c>
    </row>
    <row r="791" spans="1:8" ht="15.75" hidden="1" customHeight="1">
      <c r="A791" s="2" t="s">
        <v>6024</v>
      </c>
      <c r="B791" s="2" t="s">
        <v>6048</v>
      </c>
      <c r="C791" s="2" t="s">
        <v>6209</v>
      </c>
      <c r="D791" s="2" t="s">
        <v>800</v>
      </c>
      <c r="H791" s="2" t="s">
        <v>5667</v>
      </c>
    </row>
    <row r="792" spans="1:8" ht="15.75" hidden="1" customHeight="1">
      <c r="A792" s="2" t="s">
        <v>6024</v>
      </c>
      <c r="B792" s="2" t="s">
        <v>6048</v>
      </c>
      <c r="C792" s="2" t="s">
        <v>6112</v>
      </c>
      <c r="D792" s="2" t="s">
        <v>800</v>
      </c>
      <c r="H792" s="2" t="s">
        <v>5665</v>
      </c>
    </row>
    <row r="793" spans="1:8" ht="15.75" hidden="1" customHeight="1">
      <c r="A793" s="2" t="s">
        <v>6024</v>
      </c>
      <c r="B793" s="2" t="s">
        <v>6048</v>
      </c>
      <c r="C793" s="2" t="s">
        <v>6113</v>
      </c>
      <c r="D793" s="2" t="s">
        <v>1796</v>
      </c>
      <c r="E793" s="2">
        <v>100</v>
      </c>
      <c r="H793" s="2" t="s">
        <v>5667</v>
      </c>
    </row>
    <row r="794" spans="1:8" ht="15.75" hidden="1" customHeight="1">
      <c r="A794" s="2" t="s">
        <v>6024</v>
      </c>
      <c r="B794" s="2" t="s">
        <v>6048</v>
      </c>
      <c r="C794" s="2" t="s">
        <v>6114</v>
      </c>
      <c r="D794" s="2" t="s">
        <v>484</v>
      </c>
      <c r="F794" s="2">
        <v>10</v>
      </c>
      <c r="G794" s="2">
        <v>0</v>
      </c>
      <c r="H794" s="2" t="s">
        <v>5667</v>
      </c>
    </row>
    <row r="795" spans="1:8" ht="15.75" hidden="1" customHeight="1">
      <c r="A795" s="2" t="s">
        <v>6024</v>
      </c>
      <c r="B795" s="2" t="s">
        <v>6048</v>
      </c>
      <c r="C795" s="2" t="s">
        <v>6027</v>
      </c>
      <c r="D795" s="2" t="s">
        <v>800</v>
      </c>
      <c r="H795" s="2" t="s">
        <v>5665</v>
      </c>
    </row>
    <row r="796" spans="1:8" ht="15.75" hidden="1" customHeight="1">
      <c r="A796" s="2" t="s">
        <v>6024</v>
      </c>
      <c r="B796" s="2" t="s">
        <v>6048</v>
      </c>
      <c r="C796" s="2" t="s">
        <v>6115</v>
      </c>
      <c r="D796" s="2" t="s">
        <v>1796</v>
      </c>
      <c r="E796" s="2">
        <v>100</v>
      </c>
      <c r="H796" s="2" t="s">
        <v>5667</v>
      </c>
    </row>
    <row r="797" spans="1:8" ht="15.75" hidden="1" customHeight="1">
      <c r="A797" s="2" t="s">
        <v>6024</v>
      </c>
      <c r="B797" s="2" t="s">
        <v>6048</v>
      </c>
      <c r="C797" s="2" t="s">
        <v>6116</v>
      </c>
      <c r="D797" s="2" t="s">
        <v>484</v>
      </c>
      <c r="F797" s="2">
        <v>10</v>
      </c>
      <c r="G797" s="2">
        <v>0</v>
      </c>
      <c r="H797" s="2" t="s">
        <v>5667</v>
      </c>
    </row>
    <row r="798" spans="1:8" ht="15.75" hidden="1" customHeight="1">
      <c r="A798" s="2" t="s">
        <v>6024</v>
      </c>
      <c r="B798" s="2" t="s">
        <v>6048</v>
      </c>
      <c r="C798" s="2" t="s">
        <v>6117</v>
      </c>
      <c r="D798" s="2" t="s">
        <v>1796</v>
      </c>
      <c r="E798" s="2">
        <v>250</v>
      </c>
      <c r="H798" s="2" t="s">
        <v>5667</v>
      </c>
    </row>
    <row r="799" spans="1:8" ht="15.75" hidden="1" customHeight="1">
      <c r="A799" s="2" t="s">
        <v>6024</v>
      </c>
      <c r="B799" s="2" t="s">
        <v>6049</v>
      </c>
      <c r="C799" s="2" t="s">
        <v>325</v>
      </c>
      <c r="D799" s="2" t="s">
        <v>484</v>
      </c>
      <c r="F799" s="2">
        <v>10</v>
      </c>
      <c r="G799" s="2">
        <v>0</v>
      </c>
      <c r="H799" s="2" t="s">
        <v>5665</v>
      </c>
    </row>
    <row r="800" spans="1:8" ht="15.75" hidden="1" customHeight="1">
      <c r="A800" s="2" t="s">
        <v>6024</v>
      </c>
      <c r="B800" s="2" t="s">
        <v>6049</v>
      </c>
      <c r="C800" s="2" t="s">
        <v>6090</v>
      </c>
      <c r="D800" s="2" t="s">
        <v>6118</v>
      </c>
      <c r="H800" s="2" t="s">
        <v>5665</v>
      </c>
    </row>
    <row r="801" spans="1:8" ht="15.75" hidden="1" customHeight="1">
      <c r="A801" s="2" t="s">
        <v>6024</v>
      </c>
      <c r="B801" s="2" t="s">
        <v>6049</v>
      </c>
      <c r="C801" s="2" t="s">
        <v>6092</v>
      </c>
      <c r="D801" s="2" t="s">
        <v>1796</v>
      </c>
      <c r="E801" s="2">
        <v>50</v>
      </c>
      <c r="H801" s="2" t="s">
        <v>5665</v>
      </c>
    </row>
    <row r="802" spans="1:8" ht="15.75" hidden="1" customHeight="1">
      <c r="A802" s="2" t="s">
        <v>6024</v>
      </c>
      <c r="B802" s="2" t="s">
        <v>6049</v>
      </c>
      <c r="C802" s="2" t="s">
        <v>6093</v>
      </c>
      <c r="D802" s="2" t="s">
        <v>484</v>
      </c>
      <c r="F802" s="2">
        <v>10</v>
      </c>
      <c r="G802" s="2">
        <v>0</v>
      </c>
      <c r="H802" s="2" t="s">
        <v>5665</v>
      </c>
    </row>
    <row r="803" spans="1:8" ht="15.75" hidden="1" customHeight="1">
      <c r="A803" s="2" t="s">
        <v>6024</v>
      </c>
      <c r="B803" s="2" t="s">
        <v>6049</v>
      </c>
      <c r="C803" s="2" t="s">
        <v>6094</v>
      </c>
      <c r="D803" s="2" t="s">
        <v>484</v>
      </c>
      <c r="F803" s="2">
        <v>10</v>
      </c>
      <c r="G803" s="2">
        <v>0</v>
      </c>
      <c r="H803" s="2" t="s">
        <v>5665</v>
      </c>
    </row>
    <row r="804" spans="1:8" ht="15.75" hidden="1" customHeight="1">
      <c r="A804" s="2" t="s">
        <v>6024</v>
      </c>
      <c r="B804" s="2" t="s">
        <v>6049</v>
      </c>
      <c r="C804" s="2" t="s">
        <v>6095</v>
      </c>
      <c r="D804" s="2" t="s">
        <v>1796</v>
      </c>
      <c r="E804" s="2">
        <v>50</v>
      </c>
      <c r="H804" s="2" t="s">
        <v>5667</v>
      </c>
    </row>
    <row r="805" spans="1:8" ht="15.75" hidden="1" customHeight="1">
      <c r="A805" s="2" t="s">
        <v>6024</v>
      </c>
      <c r="B805" s="2" t="s">
        <v>6049</v>
      </c>
      <c r="C805" s="2" t="s">
        <v>4306</v>
      </c>
      <c r="D805" s="2" t="s">
        <v>1796</v>
      </c>
      <c r="E805" s="2">
        <v>250</v>
      </c>
      <c r="H805" s="2" t="s">
        <v>5667</v>
      </c>
    </row>
    <row r="806" spans="1:8" ht="15.75" hidden="1" customHeight="1">
      <c r="A806" s="2" t="s">
        <v>6024</v>
      </c>
      <c r="B806" s="2" t="s">
        <v>6049</v>
      </c>
      <c r="C806" s="2" t="s">
        <v>4246</v>
      </c>
      <c r="D806" s="2" t="s">
        <v>1796</v>
      </c>
      <c r="E806" s="2">
        <v>250</v>
      </c>
      <c r="H806" s="2" t="s">
        <v>5665</v>
      </c>
    </row>
    <row r="807" spans="1:8" ht="15.75" hidden="1" customHeight="1">
      <c r="A807" s="2" t="s">
        <v>6024</v>
      </c>
      <c r="B807" s="2" t="s">
        <v>6049</v>
      </c>
      <c r="C807" s="2" t="s">
        <v>6096</v>
      </c>
      <c r="D807" s="2" t="s">
        <v>484</v>
      </c>
      <c r="F807" s="2">
        <v>10</v>
      </c>
      <c r="G807" s="2">
        <v>0</v>
      </c>
      <c r="H807" s="2" t="s">
        <v>5665</v>
      </c>
    </row>
    <row r="808" spans="1:8" ht="15.75" hidden="1" customHeight="1">
      <c r="A808" s="2" t="s">
        <v>6024</v>
      </c>
      <c r="B808" s="2" t="s">
        <v>6049</v>
      </c>
      <c r="C808" s="2" t="s">
        <v>6501</v>
      </c>
      <c r="D808" s="2" t="s">
        <v>1796</v>
      </c>
      <c r="E808" s="2">
        <v>4</v>
      </c>
      <c r="H808" s="2" t="s">
        <v>5667</v>
      </c>
    </row>
    <row r="809" spans="1:8" ht="15.75" hidden="1" customHeight="1">
      <c r="A809" s="2" t="s">
        <v>6024</v>
      </c>
      <c r="B809" s="2" t="s">
        <v>6049</v>
      </c>
      <c r="C809" s="2" t="s">
        <v>6502</v>
      </c>
      <c r="D809" s="2" t="s">
        <v>1796</v>
      </c>
      <c r="E809" s="2">
        <v>3</v>
      </c>
      <c r="H809" s="2" t="s">
        <v>5667</v>
      </c>
    </row>
    <row r="810" spans="1:8" ht="15.75" hidden="1" customHeight="1">
      <c r="A810" s="2" t="s">
        <v>6024</v>
      </c>
      <c r="B810" s="2" t="s">
        <v>6049</v>
      </c>
      <c r="C810" s="2" t="s">
        <v>6512</v>
      </c>
      <c r="D810" s="2" t="s">
        <v>800</v>
      </c>
      <c r="H810" s="2" t="s">
        <v>5667</v>
      </c>
    </row>
    <row r="811" spans="1:8" ht="15.75" hidden="1" customHeight="1">
      <c r="A811" s="2" t="s">
        <v>6024</v>
      </c>
      <c r="B811" s="2" t="s">
        <v>6049</v>
      </c>
      <c r="C811" s="2" t="s">
        <v>6491</v>
      </c>
      <c r="D811" s="2" t="s">
        <v>1796</v>
      </c>
      <c r="E811" s="2">
        <v>5</v>
      </c>
      <c r="H811" s="2" t="s">
        <v>5667</v>
      </c>
    </row>
    <row r="812" spans="1:8" ht="15.75" hidden="1" customHeight="1">
      <c r="A812" s="2" t="s">
        <v>6024</v>
      </c>
      <c r="B812" s="2" t="s">
        <v>6049</v>
      </c>
      <c r="C812" s="2" t="s">
        <v>6492</v>
      </c>
      <c r="D812" s="2" t="s">
        <v>1796</v>
      </c>
      <c r="E812" s="2">
        <v>50</v>
      </c>
      <c r="H812" s="2" t="s">
        <v>5667</v>
      </c>
    </row>
    <row r="813" spans="1:8" ht="15.75" hidden="1" customHeight="1">
      <c r="A813" s="2" t="s">
        <v>6024</v>
      </c>
      <c r="B813" s="2" t="s">
        <v>6049</v>
      </c>
      <c r="C813" s="2" t="s">
        <v>6504</v>
      </c>
      <c r="D813" s="2" t="s">
        <v>481</v>
      </c>
      <c r="F813" s="2">
        <v>38</v>
      </c>
      <c r="G813" s="2">
        <v>7</v>
      </c>
      <c r="H813" s="2" t="s">
        <v>5667</v>
      </c>
    </row>
    <row r="814" spans="1:8" ht="15.75" hidden="1" customHeight="1">
      <c r="A814" s="2" t="s">
        <v>6024</v>
      </c>
      <c r="B814" s="2" t="s">
        <v>6049</v>
      </c>
      <c r="C814" s="2" t="s">
        <v>6522</v>
      </c>
      <c r="D814" s="2" t="s">
        <v>481</v>
      </c>
      <c r="F814" s="2">
        <v>38</v>
      </c>
      <c r="G814" s="2">
        <v>7</v>
      </c>
      <c r="H814" s="2" t="s">
        <v>5667</v>
      </c>
    </row>
    <row r="815" spans="1:8" ht="15.75" hidden="1" customHeight="1">
      <c r="A815" s="2" t="s">
        <v>6024</v>
      </c>
      <c r="B815" s="2" t="s">
        <v>6049</v>
      </c>
      <c r="C815" s="2" t="s">
        <v>6523</v>
      </c>
      <c r="D815" s="2" t="s">
        <v>481</v>
      </c>
      <c r="F815" s="2">
        <v>38</v>
      </c>
      <c r="G815" s="2">
        <v>7</v>
      </c>
      <c r="H815" s="2" t="s">
        <v>5667</v>
      </c>
    </row>
    <row r="816" spans="1:8" ht="15.75" hidden="1" customHeight="1">
      <c r="A816" s="2" t="s">
        <v>6024</v>
      </c>
      <c r="B816" s="2" t="s">
        <v>6049</v>
      </c>
      <c r="C816" s="2" t="s">
        <v>6209</v>
      </c>
      <c r="D816" s="2" t="s">
        <v>800</v>
      </c>
      <c r="H816" s="2" t="s">
        <v>5667</v>
      </c>
    </row>
    <row r="817" spans="1:8" ht="15.75" hidden="1" customHeight="1">
      <c r="A817" s="2" t="s">
        <v>6024</v>
      </c>
      <c r="B817" s="2" t="s">
        <v>6049</v>
      </c>
      <c r="C817" s="2" t="s">
        <v>6112</v>
      </c>
      <c r="D817" s="2" t="s">
        <v>800</v>
      </c>
      <c r="H817" s="2" t="s">
        <v>5665</v>
      </c>
    </row>
    <row r="818" spans="1:8" ht="15.75" hidden="1" customHeight="1">
      <c r="A818" s="2" t="s">
        <v>6024</v>
      </c>
      <c r="B818" s="2" t="s">
        <v>6049</v>
      </c>
      <c r="C818" s="2" t="s">
        <v>6113</v>
      </c>
      <c r="D818" s="2" t="s">
        <v>1796</v>
      </c>
      <c r="E818" s="2">
        <v>100</v>
      </c>
      <c r="H818" s="2" t="s">
        <v>5667</v>
      </c>
    </row>
    <row r="819" spans="1:8" ht="15.75" hidden="1" customHeight="1">
      <c r="A819" s="2" t="s">
        <v>6024</v>
      </c>
      <c r="B819" s="2" t="s">
        <v>6049</v>
      </c>
      <c r="C819" s="2" t="s">
        <v>6114</v>
      </c>
      <c r="D819" s="2" t="s">
        <v>484</v>
      </c>
      <c r="F819" s="2">
        <v>10</v>
      </c>
      <c r="G819" s="2">
        <v>0</v>
      </c>
      <c r="H819" s="2" t="s">
        <v>5667</v>
      </c>
    </row>
    <row r="820" spans="1:8" ht="15.75" hidden="1" customHeight="1">
      <c r="A820" s="2" t="s">
        <v>6024</v>
      </c>
      <c r="B820" s="2" t="s">
        <v>6049</v>
      </c>
      <c r="C820" s="2" t="s">
        <v>6027</v>
      </c>
      <c r="D820" s="2" t="s">
        <v>800</v>
      </c>
      <c r="H820" s="2" t="s">
        <v>5665</v>
      </c>
    </row>
    <row r="821" spans="1:8" ht="15.75" hidden="1" customHeight="1">
      <c r="A821" s="2" t="s">
        <v>6024</v>
      </c>
      <c r="B821" s="2" t="s">
        <v>6049</v>
      </c>
      <c r="C821" s="2" t="s">
        <v>6115</v>
      </c>
      <c r="D821" s="2" t="s">
        <v>1796</v>
      </c>
      <c r="E821" s="2">
        <v>100</v>
      </c>
      <c r="H821" s="2" t="s">
        <v>5667</v>
      </c>
    </row>
    <row r="822" spans="1:8" ht="15.75" hidden="1" customHeight="1">
      <c r="A822" s="2" t="s">
        <v>6024</v>
      </c>
      <c r="B822" s="2" t="s">
        <v>6049</v>
      </c>
      <c r="C822" s="2" t="s">
        <v>6116</v>
      </c>
      <c r="D822" s="2" t="s">
        <v>484</v>
      </c>
      <c r="F822" s="2">
        <v>10</v>
      </c>
      <c r="G822" s="2">
        <v>0</v>
      </c>
      <c r="H822" s="2" t="s">
        <v>5667</v>
      </c>
    </row>
    <row r="823" spans="1:8" ht="15.75" hidden="1" customHeight="1">
      <c r="A823" s="2" t="s">
        <v>6024</v>
      </c>
      <c r="B823" s="2" t="s">
        <v>6049</v>
      </c>
      <c r="C823" s="2" t="s">
        <v>6117</v>
      </c>
      <c r="D823" s="2" t="s">
        <v>1796</v>
      </c>
      <c r="E823" s="2">
        <v>250</v>
      </c>
      <c r="H823" s="2" t="s">
        <v>5667</v>
      </c>
    </row>
    <row r="824" spans="1:8" ht="15.75" hidden="1" customHeight="1">
      <c r="A824" s="2" t="s">
        <v>6024</v>
      </c>
      <c r="B824" s="2" t="s">
        <v>6050</v>
      </c>
      <c r="C824" s="2" t="s">
        <v>325</v>
      </c>
      <c r="D824" s="2" t="s">
        <v>484</v>
      </c>
      <c r="F824" s="2">
        <v>10</v>
      </c>
      <c r="G824" s="2">
        <v>0</v>
      </c>
      <c r="H824" s="2" t="s">
        <v>5665</v>
      </c>
    </row>
    <row r="825" spans="1:8" ht="15.75" hidden="1" customHeight="1">
      <c r="A825" s="2" t="s">
        <v>6024</v>
      </c>
      <c r="B825" s="2" t="s">
        <v>6050</v>
      </c>
      <c r="C825" s="2" t="s">
        <v>6090</v>
      </c>
      <c r="D825" s="2" t="s">
        <v>6118</v>
      </c>
      <c r="H825" s="2" t="s">
        <v>5665</v>
      </c>
    </row>
    <row r="826" spans="1:8" ht="15.75" hidden="1" customHeight="1">
      <c r="A826" s="2" t="s">
        <v>6024</v>
      </c>
      <c r="B826" s="2" t="s">
        <v>6050</v>
      </c>
      <c r="C826" s="2" t="s">
        <v>6092</v>
      </c>
      <c r="D826" s="2" t="s">
        <v>1796</v>
      </c>
      <c r="E826" s="2">
        <v>50</v>
      </c>
      <c r="H826" s="2" t="s">
        <v>5665</v>
      </c>
    </row>
    <row r="827" spans="1:8" ht="15.75" hidden="1" customHeight="1">
      <c r="A827" s="2" t="s">
        <v>6024</v>
      </c>
      <c r="B827" s="2" t="s">
        <v>6050</v>
      </c>
      <c r="C827" s="2" t="s">
        <v>6093</v>
      </c>
      <c r="D827" s="2" t="s">
        <v>484</v>
      </c>
      <c r="F827" s="2">
        <v>10</v>
      </c>
      <c r="G827" s="2">
        <v>0</v>
      </c>
      <c r="H827" s="2" t="s">
        <v>5665</v>
      </c>
    </row>
    <row r="828" spans="1:8" ht="15.75" hidden="1" customHeight="1">
      <c r="A828" s="2" t="s">
        <v>6024</v>
      </c>
      <c r="B828" s="2" t="s">
        <v>6050</v>
      </c>
      <c r="C828" s="2" t="s">
        <v>6094</v>
      </c>
      <c r="D828" s="2" t="s">
        <v>484</v>
      </c>
      <c r="F828" s="2">
        <v>10</v>
      </c>
      <c r="G828" s="2">
        <v>0</v>
      </c>
      <c r="H828" s="2" t="s">
        <v>5665</v>
      </c>
    </row>
    <row r="829" spans="1:8" ht="15.75" hidden="1" customHeight="1">
      <c r="A829" s="2" t="s">
        <v>6024</v>
      </c>
      <c r="B829" s="2" t="s">
        <v>6050</v>
      </c>
      <c r="C829" s="2" t="s">
        <v>6095</v>
      </c>
      <c r="D829" s="2" t="s">
        <v>1796</v>
      </c>
      <c r="E829" s="2">
        <v>50</v>
      </c>
      <c r="H829" s="2" t="s">
        <v>5667</v>
      </c>
    </row>
    <row r="830" spans="1:8" ht="15.75" hidden="1" customHeight="1">
      <c r="A830" s="2" t="s">
        <v>6024</v>
      </c>
      <c r="B830" s="2" t="s">
        <v>6050</v>
      </c>
      <c r="C830" s="2" t="s">
        <v>4306</v>
      </c>
      <c r="D830" s="2" t="s">
        <v>1796</v>
      </c>
      <c r="E830" s="2">
        <v>250</v>
      </c>
      <c r="H830" s="2" t="s">
        <v>5667</v>
      </c>
    </row>
    <row r="831" spans="1:8" ht="15.75" hidden="1" customHeight="1">
      <c r="A831" s="2" t="s">
        <v>6024</v>
      </c>
      <c r="B831" s="2" t="s">
        <v>6050</v>
      </c>
      <c r="C831" s="2" t="s">
        <v>4246</v>
      </c>
      <c r="D831" s="2" t="s">
        <v>1796</v>
      </c>
      <c r="E831" s="2">
        <v>250</v>
      </c>
      <c r="H831" s="2" t="s">
        <v>5665</v>
      </c>
    </row>
    <row r="832" spans="1:8" ht="15.75" hidden="1" customHeight="1">
      <c r="A832" s="2" t="s">
        <v>6024</v>
      </c>
      <c r="B832" s="2" t="s">
        <v>6050</v>
      </c>
      <c r="C832" s="2" t="s">
        <v>6096</v>
      </c>
      <c r="D832" s="2" t="s">
        <v>484</v>
      </c>
      <c r="F832" s="2">
        <v>10</v>
      </c>
      <c r="G832" s="2">
        <v>0</v>
      </c>
      <c r="H832" s="2" t="s">
        <v>5665</v>
      </c>
    </row>
    <row r="833" spans="1:8" ht="15.75" hidden="1" customHeight="1">
      <c r="A833" s="2" t="s">
        <v>6024</v>
      </c>
      <c r="B833" s="2" t="s">
        <v>6050</v>
      </c>
      <c r="C833" s="2" t="s">
        <v>6486</v>
      </c>
      <c r="D833" s="2" t="s">
        <v>1796</v>
      </c>
      <c r="E833" s="2">
        <v>3</v>
      </c>
      <c r="H833" s="2" t="s">
        <v>5667</v>
      </c>
    </row>
    <row r="834" spans="1:8" ht="15.75" hidden="1" customHeight="1">
      <c r="A834" s="2" t="s">
        <v>6024</v>
      </c>
      <c r="B834" s="2" t="s">
        <v>6050</v>
      </c>
      <c r="C834" s="2" t="s">
        <v>6487</v>
      </c>
      <c r="D834" s="2" t="s">
        <v>1796</v>
      </c>
      <c r="E834" s="2">
        <v>4</v>
      </c>
      <c r="H834" s="2" t="s">
        <v>5667</v>
      </c>
    </row>
    <row r="835" spans="1:8" ht="15.75" hidden="1" customHeight="1">
      <c r="A835" s="2" t="s">
        <v>6024</v>
      </c>
      <c r="B835" s="2" t="s">
        <v>6050</v>
      </c>
      <c r="C835" s="2" t="s">
        <v>6524</v>
      </c>
      <c r="D835" s="2" t="s">
        <v>1796</v>
      </c>
      <c r="E835" s="2">
        <v>10</v>
      </c>
      <c r="H835" s="2" t="s">
        <v>5667</v>
      </c>
    </row>
    <row r="836" spans="1:8" ht="15.75" hidden="1" customHeight="1">
      <c r="A836" s="2" t="s">
        <v>6024</v>
      </c>
      <c r="B836" s="2" t="s">
        <v>6050</v>
      </c>
      <c r="C836" s="2" t="s">
        <v>6525</v>
      </c>
      <c r="D836" s="2" t="s">
        <v>1796</v>
      </c>
      <c r="E836" s="2">
        <v>10</v>
      </c>
      <c r="H836" s="2" t="s">
        <v>5667</v>
      </c>
    </row>
    <row r="837" spans="1:8" ht="15.75" hidden="1" customHeight="1">
      <c r="A837" s="2" t="s">
        <v>6024</v>
      </c>
      <c r="B837" s="2" t="s">
        <v>6050</v>
      </c>
      <c r="C837" s="2" t="s">
        <v>6490</v>
      </c>
      <c r="D837" s="2" t="s">
        <v>1796</v>
      </c>
      <c r="E837" s="2">
        <v>7</v>
      </c>
      <c r="H837" s="2" t="s">
        <v>5667</v>
      </c>
    </row>
    <row r="838" spans="1:8" ht="15.75" hidden="1" customHeight="1">
      <c r="A838" s="2" t="s">
        <v>6024</v>
      </c>
      <c r="B838" s="2" t="s">
        <v>6050</v>
      </c>
      <c r="C838" s="2" t="s">
        <v>6491</v>
      </c>
      <c r="D838" s="2" t="s">
        <v>481</v>
      </c>
      <c r="F838" s="2">
        <v>38</v>
      </c>
      <c r="G838" s="2">
        <v>0</v>
      </c>
      <c r="H838" s="2" t="s">
        <v>5667</v>
      </c>
    </row>
    <row r="839" spans="1:8" ht="15.75" hidden="1" customHeight="1">
      <c r="A839" s="2" t="s">
        <v>6024</v>
      </c>
      <c r="B839" s="2" t="s">
        <v>6050</v>
      </c>
      <c r="C839" s="2" t="s">
        <v>6492</v>
      </c>
      <c r="D839" s="2" t="s">
        <v>1796</v>
      </c>
      <c r="E839" s="2">
        <v>50</v>
      </c>
      <c r="H839" s="2" t="s">
        <v>5667</v>
      </c>
    </row>
    <row r="840" spans="1:8" ht="15.75" hidden="1" customHeight="1">
      <c r="A840" s="2" t="s">
        <v>6024</v>
      </c>
      <c r="B840" s="2" t="s">
        <v>6050</v>
      </c>
      <c r="C840" s="2" t="s">
        <v>6493</v>
      </c>
      <c r="D840" s="2" t="s">
        <v>1796</v>
      </c>
      <c r="E840" s="2">
        <v>3</v>
      </c>
      <c r="H840" s="2" t="s">
        <v>5667</v>
      </c>
    </row>
    <row r="841" spans="1:8" ht="15.75" hidden="1" customHeight="1">
      <c r="A841" s="2" t="s">
        <v>6024</v>
      </c>
      <c r="B841" s="2" t="s">
        <v>6050</v>
      </c>
      <c r="C841" s="2" t="s">
        <v>6494</v>
      </c>
      <c r="D841" s="2" t="s">
        <v>1796</v>
      </c>
      <c r="E841" s="2">
        <v>3</v>
      </c>
      <c r="H841" s="2" t="s">
        <v>5667</v>
      </c>
    </row>
    <row r="842" spans="1:8" ht="15.75" hidden="1" customHeight="1">
      <c r="A842" s="2" t="s">
        <v>6024</v>
      </c>
      <c r="B842" s="2" t="s">
        <v>6050</v>
      </c>
      <c r="C842" s="2" t="s">
        <v>6495</v>
      </c>
      <c r="D842" s="2" t="s">
        <v>481</v>
      </c>
      <c r="F842" s="2">
        <v>38</v>
      </c>
      <c r="G842" s="2">
        <v>3</v>
      </c>
      <c r="H842" s="2" t="s">
        <v>5667</v>
      </c>
    </row>
    <row r="843" spans="1:8" ht="15.75" hidden="1" customHeight="1">
      <c r="A843" s="2" t="s">
        <v>6024</v>
      </c>
      <c r="B843" s="2" t="s">
        <v>6050</v>
      </c>
      <c r="C843" s="2" t="s">
        <v>6496</v>
      </c>
      <c r="D843" s="2" t="s">
        <v>481</v>
      </c>
      <c r="F843" s="2">
        <v>38</v>
      </c>
      <c r="G843" s="2">
        <v>3</v>
      </c>
      <c r="H843" s="2" t="s">
        <v>5667</v>
      </c>
    </row>
    <row r="844" spans="1:8" ht="15.75" hidden="1" customHeight="1">
      <c r="A844" s="2" t="s">
        <v>6024</v>
      </c>
      <c r="B844" s="2" t="s">
        <v>6050</v>
      </c>
      <c r="C844" s="2" t="s">
        <v>6497</v>
      </c>
      <c r="D844" s="2" t="s">
        <v>1796</v>
      </c>
      <c r="E844" s="2">
        <v>10</v>
      </c>
      <c r="H844" s="2" t="s">
        <v>5667</v>
      </c>
    </row>
    <row r="845" spans="1:8" ht="15.75" hidden="1" customHeight="1">
      <c r="A845" s="2" t="s">
        <v>6024</v>
      </c>
      <c r="B845" s="2" t="s">
        <v>6050</v>
      </c>
      <c r="C845" s="2" t="s">
        <v>6209</v>
      </c>
      <c r="D845" s="2" t="s">
        <v>800</v>
      </c>
      <c r="H845" s="2" t="s">
        <v>5667</v>
      </c>
    </row>
    <row r="846" spans="1:8" ht="15.75" hidden="1" customHeight="1">
      <c r="A846" s="2" t="s">
        <v>6024</v>
      </c>
      <c r="B846" s="2" t="s">
        <v>6050</v>
      </c>
      <c r="C846" s="2" t="s">
        <v>6112</v>
      </c>
      <c r="D846" s="2" t="s">
        <v>800</v>
      </c>
      <c r="H846" s="2" t="s">
        <v>5665</v>
      </c>
    </row>
    <row r="847" spans="1:8" ht="15.75" hidden="1" customHeight="1">
      <c r="A847" s="2" t="s">
        <v>6024</v>
      </c>
      <c r="B847" s="2" t="s">
        <v>6050</v>
      </c>
      <c r="C847" s="2" t="s">
        <v>6113</v>
      </c>
      <c r="D847" s="2" t="s">
        <v>1796</v>
      </c>
      <c r="E847" s="2">
        <v>100</v>
      </c>
      <c r="H847" s="2" t="s">
        <v>5667</v>
      </c>
    </row>
    <row r="848" spans="1:8" ht="15.75" hidden="1" customHeight="1">
      <c r="A848" s="2" t="s">
        <v>6024</v>
      </c>
      <c r="B848" s="2" t="s">
        <v>6050</v>
      </c>
      <c r="C848" s="2" t="s">
        <v>6114</v>
      </c>
      <c r="D848" s="2" t="s">
        <v>484</v>
      </c>
      <c r="F848" s="2">
        <v>10</v>
      </c>
      <c r="G848" s="2">
        <v>0</v>
      </c>
      <c r="H848" s="2" t="s">
        <v>5667</v>
      </c>
    </row>
    <row r="849" spans="1:8" ht="15.75" hidden="1" customHeight="1">
      <c r="A849" s="2" t="s">
        <v>6024</v>
      </c>
      <c r="B849" s="2" t="s">
        <v>6050</v>
      </c>
      <c r="C849" s="2" t="s">
        <v>6027</v>
      </c>
      <c r="D849" s="2" t="s">
        <v>800</v>
      </c>
      <c r="H849" s="2" t="s">
        <v>5665</v>
      </c>
    </row>
    <row r="850" spans="1:8" ht="15.75" hidden="1" customHeight="1">
      <c r="A850" s="2" t="s">
        <v>6024</v>
      </c>
      <c r="B850" s="2" t="s">
        <v>6050</v>
      </c>
      <c r="C850" s="2" t="s">
        <v>6115</v>
      </c>
      <c r="D850" s="2" t="s">
        <v>1796</v>
      </c>
      <c r="E850" s="2">
        <v>100</v>
      </c>
      <c r="H850" s="2" t="s">
        <v>5667</v>
      </c>
    </row>
    <row r="851" spans="1:8" ht="15.75" hidden="1" customHeight="1">
      <c r="A851" s="2" t="s">
        <v>6024</v>
      </c>
      <c r="B851" s="2" t="s">
        <v>6050</v>
      </c>
      <c r="C851" s="2" t="s">
        <v>6116</v>
      </c>
      <c r="D851" s="2" t="s">
        <v>484</v>
      </c>
      <c r="F851" s="2">
        <v>10</v>
      </c>
      <c r="G851" s="2">
        <v>0</v>
      </c>
      <c r="H851" s="2" t="s">
        <v>5667</v>
      </c>
    </row>
    <row r="852" spans="1:8" ht="15.75" hidden="1" customHeight="1">
      <c r="A852" s="2" t="s">
        <v>6024</v>
      </c>
      <c r="B852" s="2" t="s">
        <v>6050</v>
      </c>
      <c r="C852" s="2" t="s">
        <v>6117</v>
      </c>
      <c r="D852" s="2" t="s">
        <v>1796</v>
      </c>
      <c r="E852" s="2">
        <v>250</v>
      </c>
      <c r="H852" s="2" t="s">
        <v>5667</v>
      </c>
    </row>
    <row r="853" spans="1:8" ht="15.75" hidden="1" customHeight="1">
      <c r="A853" s="2" t="s">
        <v>6024</v>
      </c>
      <c r="B853" s="2" t="s">
        <v>6051</v>
      </c>
      <c r="C853" s="2" t="s">
        <v>325</v>
      </c>
      <c r="D853" s="2" t="s">
        <v>484</v>
      </c>
      <c r="F853" s="2">
        <v>10</v>
      </c>
      <c r="G853" s="2">
        <v>0</v>
      </c>
      <c r="H853" s="2" t="s">
        <v>5665</v>
      </c>
    </row>
    <row r="854" spans="1:8" ht="15.75" hidden="1" customHeight="1">
      <c r="A854" s="2" t="s">
        <v>6024</v>
      </c>
      <c r="B854" s="2" t="s">
        <v>6051</v>
      </c>
      <c r="C854" s="2" t="s">
        <v>6090</v>
      </c>
      <c r="D854" s="2" t="s">
        <v>6118</v>
      </c>
      <c r="H854" s="2" t="s">
        <v>5665</v>
      </c>
    </row>
    <row r="855" spans="1:8" ht="15.75" hidden="1" customHeight="1">
      <c r="A855" s="2" t="s">
        <v>6024</v>
      </c>
      <c r="B855" s="2" t="s">
        <v>6051</v>
      </c>
      <c r="C855" s="2" t="s">
        <v>6092</v>
      </c>
      <c r="D855" s="2" t="s">
        <v>1796</v>
      </c>
      <c r="E855" s="2">
        <v>50</v>
      </c>
      <c r="H855" s="2" t="s">
        <v>5665</v>
      </c>
    </row>
    <row r="856" spans="1:8" ht="15.75" hidden="1" customHeight="1">
      <c r="A856" s="2" t="s">
        <v>6024</v>
      </c>
      <c r="B856" s="2" t="s">
        <v>6051</v>
      </c>
      <c r="C856" s="2" t="s">
        <v>6093</v>
      </c>
      <c r="D856" s="2" t="s">
        <v>484</v>
      </c>
      <c r="F856" s="2">
        <v>10</v>
      </c>
      <c r="G856" s="2">
        <v>0</v>
      </c>
      <c r="H856" s="2" t="s">
        <v>5665</v>
      </c>
    </row>
    <row r="857" spans="1:8" ht="15.75" hidden="1" customHeight="1">
      <c r="A857" s="2" t="s">
        <v>6024</v>
      </c>
      <c r="B857" s="2" t="s">
        <v>6051</v>
      </c>
      <c r="C857" s="2" t="s">
        <v>6094</v>
      </c>
      <c r="D857" s="2" t="s">
        <v>484</v>
      </c>
      <c r="F857" s="2">
        <v>10</v>
      </c>
      <c r="G857" s="2">
        <v>0</v>
      </c>
      <c r="H857" s="2" t="s">
        <v>5665</v>
      </c>
    </row>
    <row r="858" spans="1:8" ht="15.75" hidden="1" customHeight="1">
      <c r="A858" s="2" t="s">
        <v>6024</v>
      </c>
      <c r="B858" s="2" t="s">
        <v>6051</v>
      </c>
      <c r="C858" s="2" t="s">
        <v>6095</v>
      </c>
      <c r="D858" s="2" t="s">
        <v>1796</v>
      </c>
      <c r="E858" s="2">
        <v>50</v>
      </c>
      <c r="H858" s="2" t="s">
        <v>5667</v>
      </c>
    </row>
    <row r="859" spans="1:8" ht="15.75" hidden="1" customHeight="1">
      <c r="A859" s="2" t="s">
        <v>6024</v>
      </c>
      <c r="B859" s="2" t="s">
        <v>6051</v>
      </c>
      <c r="C859" s="2" t="s">
        <v>4306</v>
      </c>
      <c r="D859" s="2" t="s">
        <v>1796</v>
      </c>
      <c r="E859" s="2">
        <v>250</v>
      </c>
      <c r="H859" s="2" t="s">
        <v>5667</v>
      </c>
    </row>
    <row r="860" spans="1:8" ht="15.75" hidden="1" customHeight="1">
      <c r="A860" s="2" t="s">
        <v>6024</v>
      </c>
      <c r="B860" s="2" t="s">
        <v>6051</v>
      </c>
      <c r="C860" s="2" t="s">
        <v>4246</v>
      </c>
      <c r="D860" s="2" t="s">
        <v>1796</v>
      </c>
      <c r="E860" s="2">
        <v>250</v>
      </c>
      <c r="H860" s="2" t="s">
        <v>5665</v>
      </c>
    </row>
    <row r="861" spans="1:8" ht="15.75" hidden="1" customHeight="1">
      <c r="A861" s="2" t="s">
        <v>6024</v>
      </c>
      <c r="B861" s="2" t="s">
        <v>6051</v>
      </c>
      <c r="C861" s="2" t="s">
        <v>6096</v>
      </c>
      <c r="D861" s="2" t="s">
        <v>484</v>
      </c>
      <c r="F861" s="2">
        <v>10</v>
      </c>
      <c r="G861" s="2">
        <v>0</v>
      </c>
      <c r="H861" s="2" t="s">
        <v>5665</v>
      </c>
    </row>
    <row r="862" spans="1:8" ht="15.75" hidden="1" customHeight="1">
      <c r="A862" s="2" t="s">
        <v>6024</v>
      </c>
      <c r="B862" s="2" t="s">
        <v>6051</v>
      </c>
      <c r="C862" s="2" t="s">
        <v>6526</v>
      </c>
      <c r="D862" s="2" t="s">
        <v>1796</v>
      </c>
      <c r="E862" s="2">
        <v>50</v>
      </c>
      <c r="H862" s="2" t="s">
        <v>5667</v>
      </c>
    </row>
    <row r="863" spans="1:8" ht="15.75" hidden="1" customHeight="1">
      <c r="A863" s="2" t="s">
        <v>6024</v>
      </c>
      <c r="B863" s="2" t="s">
        <v>6051</v>
      </c>
      <c r="C863" s="2" t="s">
        <v>6527</v>
      </c>
      <c r="D863" s="2" t="s">
        <v>1796</v>
      </c>
      <c r="E863" s="2">
        <v>50</v>
      </c>
      <c r="H863" s="2" t="s">
        <v>5667</v>
      </c>
    </row>
    <row r="864" spans="1:8" ht="15.75" hidden="1" customHeight="1">
      <c r="A864" s="2" t="s">
        <v>6024</v>
      </c>
      <c r="B864" s="2" t="s">
        <v>6051</v>
      </c>
      <c r="C864" s="2" t="s">
        <v>6528</v>
      </c>
      <c r="D864" s="2" t="s">
        <v>1796</v>
      </c>
      <c r="E864" s="2">
        <v>50</v>
      </c>
      <c r="H864" s="2" t="s">
        <v>5667</v>
      </c>
    </row>
    <row r="865" spans="1:8" ht="15.75" hidden="1" customHeight="1">
      <c r="A865" s="2" t="s">
        <v>6024</v>
      </c>
      <c r="B865" s="2" t="s">
        <v>6051</v>
      </c>
      <c r="C865" s="2" t="s">
        <v>6529</v>
      </c>
      <c r="D865" s="2" t="s">
        <v>1796</v>
      </c>
      <c r="E865" s="2">
        <v>50</v>
      </c>
      <c r="H865" s="2" t="s">
        <v>5667</v>
      </c>
    </row>
    <row r="866" spans="1:8" ht="15.75" hidden="1" customHeight="1">
      <c r="A866" s="2" t="s">
        <v>6024</v>
      </c>
      <c r="B866" s="2" t="s">
        <v>6051</v>
      </c>
      <c r="C866" s="2" t="s">
        <v>6530</v>
      </c>
      <c r="D866" s="2" t="s">
        <v>1796</v>
      </c>
      <c r="E866" s="2">
        <v>50</v>
      </c>
      <c r="H866" s="2" t="s">
        <v>5667</v>
      </c>
    </row>
    <row r="867" spans="1:8" ht="15.75" hidden="1" customHeight="1">
      <c r="A867" s="2" t="s">
        <v>6024</v>
      </c>
      <c r="B867" s="2" t="s">
        <v>6051</v>
      </c>
      <c r="C867" s="2" t="s">
        <v>6531</v>
      </c>
      <c r="D867" s="2" t="s">
        <v>481</v>
      </c>
      <c r="F867" s="2">
        <v>38</v>
      </c>
      <c r="G867" s="2">
        <v>0</v>
      </c>
      <c r="H867" s="2" t="s">
        <v>5667</v>
      </c>
    </row>
    <row r="868" spans="1:8" ht="15.75" hidden="1" customHeight="1">
      <c r="A868" s="2" t="s">
        <v>6024</v>
      </c>
      <c r="B868" s="2" t="s">
        <v>6051</v>
      </c>
      <c r="C868" s="2" t="s">
        <v>6209</v>
      </c>
      <c r="D868" s="2" t="s">
        <v>800</v>
      </c>
      <c r="H868" s="2" t="s">
        <v>5667</v>
      </c>
    </row>
    <row r="869" spans="1:8" ht="15.75" hidden="1" customHeight="1">
      <c r="A869" s="2" t="s">
        <v>6024</v>
      </c>
      <c r="B869" s="2" t="s">
        <v>6051</v>
      </c>
      <c r="C869" s="98" t="s">
        <v>6532</v>
      </c>
      <c r="D869" s="98" t="s">
        <v>1796</v>
      </c>
      <c r="E869" s="98">
        <v>200</v>
      </c>
      <c r="H869" s="2" t="s">
        <v>5667</v>
      </c>
    </row>
    <row r="870" spans="1:8" ht="15.75" hidden="1" customHeight="1">
      <c r="A870" s="2" t="s">
        <v>6024</v>
      </c>
      <c r="B870" s="2" t="s">
        <v>6051</v>
      </c>
      <c r="C870" s="98" t="s">
        <v>6533</v>
      </c>
      <c r="D870" s="98" t="s">
        <v>1796</v>
      </c>
      <c r="E870" s="98">
        <v>200</v>
      </c>
      <c r="H870" s="2" t="s">
        <v>5667</v>
      </c>
    </row>
    <row r="871" spans="1:8" ht="15.75" hidden="1" customHeight="1">
      <c r="A871" s="2" t="s">
        <v>6024</v>
      </c>
      <c r="B871" s="2" t="s">
        <v>6051</v>
      </c>
      <c r="C871" s="98" t="s">
        <v>6534</v>
      </c>
      <c r="D871" s="98" t="s">
        <v>1796</v>
      </c>
      <c r="E871" s="98">
        <v>200</v>
      </c>
      <c r="H871" s="2" t="s">
        <v>5667</v>
      </c>
    </row>
    <row r="872" spans="1:8" ht="15.75" hidden="1" customHeight="1">
      <c r="A872" s="2" t="s">
        <v>6024</v>
      </c>
      <c r="B872" s="2" t="s">
        <v>6051</v>
      </c>
      <c r="C872" s="98" t="s">
        <v>6535</v>
      </c>
      <c r="D872" s="98" t="s">
        <v>1796</v>
      </c>
      <c r="E872" s="98">
        <v>200</v>
      </c>
      <c r="H872" s="2" t="s">
        <v>5667</v>
      </c>
    </row>
    <row r="873" spans="1:8" ht="15.75" hidden="1" customHeight="1">
      <c r="A873" s="2" t="s">
        <v>6024</v>
      </c>
      <c r="B873" s="2" t="s">
        <v>6051</v>
      </c>
      <c r="C873" s="98" t="s">
        <v>6536</v>
      </c>
      <c r="D873" s="98" t="s">
        <v>1796</v>
      </c>
      <c r="E873" s="98">
        <v>200</v>
      </c>
      <c r="H873" s="2" t="s">
        <v>5667</v>
      </c>
    </row>
    <row r="874" spans="1:8" ht="15.75" hidden="1" customHeight="1">
      <c r="A874" s="2" t="s">
        <v>6024</v>
      </c>
      <c r="B874" s="2" t="s">
        <v>6051</v>
      </c>
      <c r="C874" s="98" t="s">
        <v>6537</v>
      </c>
      <c r="D874" s="98" t="s">
        <v>1796</v>
      </c>
      <c r="E874" s="98">
        <v>200</v>
      </c>
      <c r="H874" s="2" t="s">
        <v>5667</v>
      </c>
    </row>
    <row r="875" spans="1:8" ht="15.75" hidden="1" customHeight="1">
      <c r="A875" s="2" t="s">
        <v>6024</v>
      </c>
      <c r="B875" s="2" t="s">
        <v>6051</v>
      </c>
      <c r="C875" s="98" t="s">
        <v>6538</v>
      </c>
      <c r="D875" s="98" t="s">
        <v>1796</v>
      </c>
      <c r="E875" s="98">
        <v>200</v>
      </c>
      <c r="H875" s="2" t="s">
        <v>5667</v>
      </c>
    </row>
    <row r="876" spans="1:8" ht="15.75" hidden="1" customHeight="1">
      <c r="A876" s="2" t="s">
        <v>6024</v>
      </c>
      <c r="B876" s="2" t="s">
        <v>6051</v>
      </c>
      <c r="C876" s="98" t="s">
        <v>6539</v>
      </c>
      <c r="D876" s="98" t="s">
        <v>1796</v>
      </c>
      <c r="E876" s="98">
        <v>100</v>
      </c>
      <c r="H876" s="2" t="s">
        <v>5667</v>
      </c>
    </row>
    <row r="877" spans="1:8" ht="15.75" hidden="1" customHeight="1">
      <c r="A877" s="2" t="s">
        <v>6024</v>
      </c>
      <c r="B877" s="2" t="s">
        <v>6051</v>
      </c>
      <c r="C877" s="2" t="s">
        <v>6112</v>
      </c>
      <c r="D877" s="2" t="s">
        <v>800</v>
      </c>
      <c r="H877" s="2" t="s">
        <v>5665</v>
      </c>
    </row>
    <row r="878" spans="1:8" ht="15.75" hidden="1" customHeight="1">
      <c r="A878" s="2" t="s">
        <v>6024</v>
      </c>
      <c r="B878" s="2" t="s">
        <v>6051</v>
      </c>
      <c r="C878" s="2" t="s">
        <v>6113</v>
      </c>
      <c r="D878" s="2" t="s">
        <v>1796</v>
      </c>
      <c r="E878" s="2">
        <v>100</v>
      </c>
      <c r="H878" s="2" t="s">
        <v>5667</v>
      </c>
    </row>
    <row r="879" spans="1:8" ht="15.75" hidden="1" customHeight="1">
      <c r="A879" s="2" t="s">
        <v>6024</v>
      </c>
      <c r="B879" s="2" t="s">
        <v>6051</v>
      </c>
      <c r="C879" s="2" t="s">
        <v>6114</v>
      </c>
      <c r="D879" s="2" t="s">
        <v>484</v>
      </c>
      <c r="F879" s="2">
        <v>10</v>
      </c>
      <c r="G879" s="2">
        <v>0</v>
      </c>
      <c r="H879" s="2" t="s">
        <v>5667</v>
      </c>
    </row>
    <row r="880" spans="1:8" ht="15.75" hidden="1" customHeight="1">
      <c r="A880" s="2" t="s">
        <v>6024</v>
      </c>
      <c r="B880" s="2" t="s">
        <v>6051</v>
      </c>
      <c r="C880" s="2" t="s">
        <v>6027</v>
      </c>
      <c r="D880" s="2" t="s">
        <v>800</v>
      </c>
      <c r="H880" s="2" t="s">
        <v>5665</v>
      </c>
    </row>
    <row r="881" spans="1:8" ht="15.75" hidden="1" customHeight="1">
      <c r="A881" s="2" t="s">
        <v>6024</v>
      </c>
      <c r="B881" s="2" t="s">
        <v>6051</v>
      </c>
      <c r="C881" s="2" t="s">
        <v>6115</v>
      </c>
      <c r="D881" s="2" t="s">
        <v>1796</v>
      </c>
      <c r="E881" s="2">
        <v>100</v>
      </c>
      <c r="H881" s="2" t="s">
        <v>5667</v>
      </c>
    </row>
    <row r="882" spans="1:8" ht="15.75" hidden="1" customHeight="1">
      <c r="A882" s="2" t="s">
        <v>6024</v>
      </c>
      <c r="B882" s="2" t="s">
        <v>6051</v>
      </c>
      <c r="C882" s="2" t="s">
        <v>6116</v>
      </c>
      <c r="D882" s="2" t="s">
        <v>484</v>
      </c>
      <c r="F882" s="2">
        <v>10</v>
      </c>
      <c r="G882" s="2">
        <v>0</v>
      </c>
      <c r="H882" s="2" t="s">
        <v>5667</v>
      </c>
    </row>
    <row r="883" spans="1:8" ht="15.75" hidden="1" customHeight="1">
      <c r="A883" s="2" t="s">
        <v>6024</v>
      </c>
      <c r="B883" s="2" t="s">
        <v>6051</v>
      </c>
      <c r="C883" s="2" t="s">
        <v>6117</v>
      </c>
      <c r="D883" s="2" t="s">
        <v>1796</v>
      </c>
      <c r="E883" s="2">
        <v>250</v>
      </c>
      <c r="H883" s="2" t="s">
        <v>5667</v>
      </c>
    </row>
    <row r="884" spans="1:8" ht="15.75" hidden="1" customHeight="1">
      <c r="A884" s="2" t="s">
        <v>6024</v>
      </c>
      <c r="B884" s="2" t="s">
        <v>6052</v>
      </c>
      <c r="C884" s="2" t="s">
        <v>325</v>
      </c>
      <c r="D884" s="2" t="s">
        <v>484</v>
      </c>
      <c r="F884" s="2">
        <v>10</v>
      </c>
      <c r="G884" s="2">
        <v>0</v>
      </c>
      <c r="H884" s="2" t="s">
        <v>5665</v>
      </c>
    </row>
    <row r="885" spans="1:8" ht="15.75" hidden="1" customHeight="1">
      <c r="A885" s="2" t="s">
        <v>6024</v>
      </c>
      <c r="B885" s="2" t="s">
        <v>6052</v>
      </c>
      <c r="C885" s="2" t="s">
        <v>6090</v>
      </c>
      <c r="D885" s="2" t="s">
        <v>6118</v>
      </c>
      <c r="H885" s="2" t="s">
        <v>5665</v>
      </c>
    </row>
    <row r="886" spans="1:8" ht="15.75" hidden="1" customHeight="1">
      <c r="A886" s="2" t="s">
        <v>6024</v>
      </c>
      <c r="B886" s="2" t="s">
        <v>6052</v>
      </c>
      <c r="C886" s="2" t="s">
        <v>6092</v>
      </c>
      <c r="D886" s="2" t="s">
        <v>1796</v>
      </c>
      <c r="E886" s="2">
        <v>50</v>
      </c>
      <c r="H886" s="2" t="s">
        <v>5665</v>
      </c>
    </row>
    <row r="887" spans="1:8" ht="15.75" hidden="1" customHeight="1">
      <c r="A887" s="2" t="s">
        <v>6024</v>
      </c>
      <c r="B887" s="2" t="s">
        <v>6052</v>
      </c>
      <c r="C887" s="2" t="s">
        <v>6093</v>
      </c>
      <c r="D887" s="2" t="s">
        <v>484</v>
      </c>
      <c r="F887" s="2">
        <v>10</v>
      </c>
      <c r="G887" s="2">
        <v>0</v>
      </c>
      <c r="H887" s="2" t="s">
        <v>5665</v>
      </c>
    </row>
    <row r="888" spans="1:8" ht="15.75" hidden="1" customHeight="1">
      <c r="A888" s="2" t="s">
        <v>6024</v>
      </c>
      <c r="B888" s="2" t="s">
        <v>6052</v>
      </c>
      <c r="C888" s="2" t="s">
        <v>6094</v>
      </c>
      <c r="D888" s="2" t="s">
        <v>484</v>
      </c>
      <c r="F888" s="2">
        <v>10</v>
      </c>
      <c r="G888" s="2">
        <v>0</v>
      </c>
      <c r="H888" s="2" t="s">
        <v>5665</v>
      </c>
    </row>
    <row r="889" spans="1:8" ht="15.75" hidden="1" customHeight="1">
      <c r="A889" s="2" t="s">
        <v>6024</v>
      </c>
      <c r="B889" s="2" t="s">
        <v>6052</v>
      </c>
      <c r="C889" s="2" t="s">
        <v>6095</v>
      </c>
      <c r="D889" s="2" t="s">
        <v>1796</v>
      </c>
      <c r="E889" s="2">
        <v>50</v>
      </c>
      <c r="H889" s="2" t="s">
        <v>5667</v>
      </c>
    </row>
    <row r="890" spans="1:8" ht="15.75" hidden="1" customHeight="1">
      <c r="A890" s="2" t="s">
        <v>6024</v>
      </c>
      <c r="B890" s="2" t="s">
        <v>6052</v>
      </c>
      <c r="C890" s="2" t="s">
        <v>4306</v>
      </c>
      <c r="D890" s="2" t="s">
        <v>1796</v>
      </c>
      <c r="E890" s="2">
        <v>250</v>
      </c>
      <c r="H890" s="2" t="s">
        <v>5667</v>
      </c>
    </row>
    <row r="891" spans="1:8" ht="15.75" hidden="1" customHeight="1">
      <c r="A891" s="2" t="s">
        <v>6024</v>
      </c>
      <c r="B891" s="2" t="s">
        <v>6052</v>
      </c>
      <c r="C891" s="2" t="s">
        <v>4246</v>
      </c>
      <c r="D891" s="2" t="s">
        <v>1796</v>
      </c>
      <c r="E891" s="2">
        <v>250</v>
      </c>
      <c r="H891" s="2" t="s">
        <v>5665</v>
      </c>
    </row>
    <row r="892" spans="1:8" ht="15.75" hidden="1" customHeight="1">
      <c r="A892" s="2" t="s">
        <v>6024</v>
      </c>
      <c r="B892" s="2" t="s">
        <v>6052</v>
      </c>
      <c r="C892" s="2" t="s">
        <v>6096</v>
      </c>
      <c r="D892" s="2" t="s">
        <v>484</v>
      </c>
      <c r="F892" s="2">
        <v>10</v>
      </c>
      <c r="G892" s="2">
        <v>0</v>
      </c>
      <c r="H892" s="2" t="s">
        <v>5665</v>
      </c>
    </row>
    <row r="893" spans="1:8" ht="15.75" hidden="1" customHeight="1">
      <c r="A893" s="2" t="s">
        <v>6024</v>
      </c>
      <c r="B893" s="2" t="s">
        <v>6052</v>
      </c>
      <c r="C893" s="2" t="s">
        <v>6540</v>
      </c>
      <c r="D893" s="2" t="s">
        <v>481</v>
      </c>
      <c r="F893" s="2">
        <v>38</v>
      </c>
      <c r="G893" s="2">
        <v>0</v>
      </c>
      <c r="H893" s="2" t="s">
        <v>5667</v>
      </c>
    </row>
    <row r="894" spans="1:8" ht="15.75" hidden="1" customHeight="1">
      <c r="A894" s="2" t="s">
        <v>6024</v>
      </c>
      <c r="B894" s="2" t="s">
        <v>6052</v>
      </c>
      <c r="C894" s="2" t="s">
        <v>6541</v>
      </c>
      <c r="D894" s="2" t="s">
        <v>481</v>
      </c>
      <c r="F894" s="2">
        <v>38</v>
      </c>
      <c r="G894" s="2">
        <v>0</v>
      </c>
      <c r="H894" s="2" t="s">
        <v>5667</v>
      </c>
    </row>
    <row r="895" spans="1:8" ht="15.75" hidden="1" customHeight="1">
      <c r="A895" s="2" t="s">
        <v>6024</v>
      </c>
      <c r="B895" s="2" t="s">
        <v>6052</v>
      </c>
      <c r="C895" s="2" t="s">
        <v>6542</v>
      </c>
      <c r="D895" s="2" t="s">
        <v>1796</v>
      </c>
      <c r="E895" s="2">
        <v>100</v>
      </c>
      <c r="H895" s="2" t="s">
        <v>5667</v>
      </c>
    </row>
    <row r="896" spans="1:8" ht="15.75" hidden="1" customHeight="1">
      <c r="A896" s="2" t="s">
        <v>6024</v>
      </c>
      <c r="B896" s="2" t="s">
        <v>6052</v>
      </c>
      <c r="C896" s="2" t="s">
        <v>6543</v>
      </c>
      <c r="D896" s="2" t="s">
        <v>1796</v>
      </c>
      <c r="E896" s="2">
        <v>100</v>
      </c>
      <c r="H896" s="2" t="s">
        <v>5667</v>
      </c>
    </row>
    <row r="897" spans="1:8" ht="15.75" hidden="1" customHeight="1">
      <c r="A897" s="2" t="s">
        <v>6024</v>
      </c>
      <c r="B897" s="2" t="s">
        <v>6052</v>
      </c>
      <c r="C897" s="2" t="s">
        <v>6112</v>
      </c>
      <c r="D897" s="2" t="s">
        <v>800</v>
      </c>
      <c r="H897" s="2" t="s">
        <v>5665</v>
      </c>
    </row>
    <row r="898" spans="1:8" ht="15.75" hidden="1" customHeight="1">
      <c r="A898" s="2" t="s">
        <v>6024</v>
      </c>
      <c r="B898" s="2" t="s">
        <v>6052</v>
      </c>
      <c r="C898" s="2" t="s">
        <v>6113</v>
      </c>
      <c r="D898" s="2" t="s">
        <v>1796</v>
      </c>
      <c r="E898" s="2">
        <v>100</v>
      </c>
      <c r="H898" s="2" t="s">
        <v>5667</v>
      </c>
    </row>
    <row r="899" spans="1:8" ht="15.75" hidden="1" customHeight="1">
      <c r="A899" s="2" t="s">
        <v>6024</v>
      </c>
      <c r="B899" s="2" t="s">
        <v>6052</v>
      </c>
      <c r="C899" s="2" t="s">
        <v>6114</v>
      </c>
      <c r="D899" s="2" t="s">
        <v>484</v>
      </c>
      <c r="F899" s="2">
        <v>10</v>
      </c>
      <c r="G899" s="2">
        <v>0</v>
      </c>
      <c r="H899" s="2" t="s">
        <v>5667</v>
      </c>
    </row>
    <row r="900" spans="1:8" ht="15.75" hidden="1" customHeight="1">
      <c r="A900" s="2" t="s">
        <v>6024</v>
      </c>
      <c r="B900" s="2" t="s">
        <v>6052</v>
      </c>
      <c r="C900" s="2" t="s">
        <v>6027</v>
      </c>
      <c r="D900" s="2" t="s">
        <v>800</v>
      </c>
      <c r="H900" s="2" t="s">
        <v>5665</v>
      </c>
    </row>
    <row r="901" spans="1:8" ht="15.75" hidden="1" customHeight="1">
      <c r="A901" s="2" t="s">
        <v>6024</v>
      </c>
      <c r="B901" s="2" t="s">
        <v>6052</v>
      </c>
      <c r="C901" s="2" t="s">
        <v>6115</v>
      </c>
      <c r="D901" s="2" t="s">
        <v>1796</v>
      </c>
      <c r="E901" s="2">
        <v>100</v>
      </c>
      <c r="H901" s="2" t="s">
        <v>5667</v>
      </c>
    </row>
    <row r="902" spans="1:8" ht="15.75" hidden="1" customHeight="1">
      <c r="A902" s="2" t="s">
        <v>6024</v>
      </c>
      <c r="B902" s="2" t="s">
        <v>6052</v>
      </c>
      <c r="C902" s="2" t="s">
        <v>6116</v>
      </c>
      <c r="D902" s="2" t="s">
        <v>484</v>
      </c>
      <c r="F902" s="2">
        <v>10</v>
      </c>
      <c r="G902" s="2">
        <v>0</v>
      </c>
      <c r="H902" s="2" t="s">
        <v>5667</v>
      </c>
    </row>
    <row r="903" spans="1:8" ht="15.75" hidden="1" customHeight="1">
      <c r="A903" s="2" t="s">
        <v>6024</v>
      </c>
      <c r="B903" s="2" t="s">
        <v>6052</v>
      </c>
      <c r="C903" s="2" t="s">
        <v>6117</v>
      </c>
      <c r="D903" s="2" t="s">
        <v>1796</v>
      </c>
      <c r="E903" s="2">
        <v>250</v>
      </c>
      <c r="H903" s="2" t="s">
        <v>5667</v>
      </c>
    </row>
    <row r="904" spans="1:8" ht="15.75" hidden="1" customHeight="1">
      <c r="A904" s="2" t="s">
        <v>6024</v>
      </c>
      <c r="B904" s="2" t="s">
        <v>6053</v>
      </c>
      <c r="C904" s="2" t="s">
        <v>325</v>
      </c>
      <c r="D904" s="2" t="s">
        <v>484</v>
      </c>
      <c r="F904" s="2">
        <v>10</v>
      </c>
      <c r="G904" s="2">
        <v>0</v>
      </c>
      <c r="H904" s="2" t="s">
        <v>5665</v>
      </c>
    </row>
    <row r="905" spans="1:8" ht="15.75" hidden="1" customHeight="1">
      <c r="A905" s="2" t="s">
        <v>6024</v>
      </c>
      <c r="B905" s="2" t="s">
        <v>6053</v>
      </c>
      <c r="C905" s="2" t="s">
        <v>6090</v>
      </c>
      <c r="D905" s="2" t="s">
        <v>6118</v>
      </c>
      <c r="H905" s="2" t="s">
        <v>5665</v>
      </c>
    </row>
    <row r="906" spans="1:8" ht="15.75" hidden="1" customHeight="1">
      <c r="A906" s="2" t="s">
        <v>6024</v>
      </c>
      <c r="B906" s="2" t="s">
        <v>6053</v>
      </c>
      <c r="C906" s="2" t="s">
        <v>6092</v>
      </c>
      <c r="D906" s="2" t="s">
        <v>1796</v>
      </c>
      <c r="E906" s="2">
        <v>50</v>
      </c>
      <c r="H906" s="2" t="s">
        <v>5665</v>
      </c>
    </row>
    <row r="907" spans="1:8" ht="15.75" hidden="1" customHeight="1">
      <c r="A907" s="2" t="s">
        <v>6024</v>
      </c>
      <c r="B907" s="2" t="s">
        <v>6053</v>
      </c>
      <c r="C907" s="2" t="s">
        <v>6093</v>
      </c>
      <c r="D907" s="2" t="s">
        <v>484</v>
      </c>
      <c r="F907" s="2">
        <v>10</v>
      </c>
      <c r="G907" s="2">
        <v>0</v>
      </c>
      <c r="H907" s="2" t="s">
        <v>5665</v>
      </c>
    </row>
    <row r="908" spans="1:8" ht="15.75" hidden="1" customHeight="1">
      <c r="A908" s="2" t="s">
        <v>6024</v>
      </c>
      <c r="B908" s="2" t="s">
        <v>6053</v>
      </c>
      <c r="C908" s="2" t="s">
        <v>6094</v>
      </c>
      <c r="D908" s="2" t="s">
        <v>484</v>
      </c>
      <c r="F908" s="2">
        <v>10</v>
      </c>
      <c r="G908" s="2">
        <v>0</v>
      </c>
      <c r="H908" s="2" t="s">
        <v>5665</v>
      </c>
    </row>
    <row r="909" spans="1:8" ht="15.75" hidden="1" customHeight="1">
      <c r="A909" s="2" t="s">
        <v>6024</v>
      </c>
      <c r="B909" s="2" t="s">
        <v>6053</v>
      </c>
      <c r="C909" s="2" t="s">
        <v>6095</v>
      </c>
      <c r="D909" s="2" t="s">
        <v>1796</v>
      </c>
      <c r="E909" s="2">
        <v>50</v>
      </c>
      <c r="H909" s="2" t="s">
        <v>5667</v>
      </c>
    </row>
    <row r="910" spans="1:8" ht="15.75" hidden="1" customHeight="1">
      <c r="A910" s="2" t="s">
        <v>6024</v>
      </c>
      <c r="B910" s="2" t="s">
        <v>6053</v>
      </c>
      <c r="C910" s="2" t="s">
        <v>4306</v>
      </c>
      <c r="D910" s="2" t="s">
        <v>1796</v>
      </c>
      <c r="E910" s="2">
        <v>250</v>
      </c>
      <c r="H910" s="2" t="s">
        <v>5667</v>
      </c>
    </row>
    <row r="911" spans="1:8" ht="15.75" hidden="1" customHeight="1">
      <c r="A911" s="2" t="s">
        <v>6024</v>
      </c>
      <c r="B911" s="2" t="s">
        <v>6053</v>
      </c>
      <c r="C911" s="2" t="s">
        <v>4246</v>
      </c>
      <c r="D911" s="2" t="s">
        <v>1796</v>
      </c>
      <c r="E911" s="2">
        <v>250</v>
      </c>
      <c r="H911" s="2" t="s">
        <v>5665</v>
      </c>
    </row>
    <row r="912" spans="1:8" ht="15.75" hidden="1" customHeight="1">
      <c r="A912" s="2" t="s">
        <v>6024</v>
      </c>
      <c r="B912" s="2" t="s">
        <v>6053</v>
      </c>
      <c r="C912" s="2" t="s">
        <v>6096</v>
      </c>
      <c r="D912" s="2" t="s">
        <v>484</v>
      </c>
      <c r="F912" s="2">
        <v>10</v>
      </c>
      <c r="G912" s="2">
        <v>0</v>
      </c>
      <c r="H912" s="2" t="s">
        <v>5665</v>
      </c>
    </row>
    <row r="913" spans="1:8" ht="15.75" hidden="1" customHeight="1">
      <c r="A913" s="2" t="s">
        <v>6024</v>
      </c>
      <c r="B913" s="2" t="s">
        <v>6053</v>
      </c>
      <c r="C913" s="2" t="s">
        <v>6487</v>
      </c>
      <c r="D913" s="2" t="s">
        <v>481</v>
      </c>
      <c r="F913" s="2">
        <v>38</v>
      </c>
      <c r="G913" s="2">
        <v>0</v>
      </c>
      <c r="H913" s="2" t="s">
        <v>5667</v>
      </c>
    </row>
    <row r="914" spans="1:8" ht="15.75" hidden="1" customHeight="1">
      <c r="A914" s="2" t="s">
        <v>6024</v>
      </c>
      <c r="B914" s="2" t="s">
        <v>6053</v>
      </c>
      <c r="C914" s="2" t="s">
        <v>6544</v>
      </c>
      <c r="D914" s="2" t="s">
        <v>1796</v>
      </c>
      <c r="E914" s="2">
        <v>100</v>
      </c>
      <c r="H914" s="2" t="s">
        <v>5667</v>
      </c>
    </row>
    <row r="915" spans="1:8" ht="15.75" hidden="1" customHeight="1">
      <c r="A915" s="2" t="s">
        <v>6024</v>
      </c>
      <c r="B915" s="2" t="s">
        <v>6053</v>
      </c>
      <c r="C915" s="2" t="s">
        <v>6545</v>
      </c>
      <c r="D915" s="2" t="s">
        <v>1796</v>
      </c>
      <c r="E915" s="2">
        <v>100</v>
      </c>
      <c r="H915" s="2" t="s">
        <v>5667</v>
      </c>
    </row>
    <row r="916" spans="1:8" ht="15.75" hidden="1" customHeight="1">
      <c r="A916" s="2" t="s">
        <v>6024</v>
      </c>
      <c r="B916" s="2" t="s">
        <v>6053</v>
      </c>
      <c r="C916" s="2" t="s">
        <v>6546</v>
      </c>
      <c r="D916" s="2" t="s">
        <v>481</v>
      </c>
      <c r="F916" s="2">
        <v>38</v>
      </c>
      <c r="G916" s="2">
        <v>2</v>
      </c>
      <c r="H916" s="2" t="s">
        <v>5667</v>
      </c>
    </row>
    <row r="917" spans="1:8" ht="15.75" hidden="1" customHeight="1">
      <c r="A917" s="2" t="s">
        <v>6024</v>
      </c>
      <c r="B917" s="2" t="s">
        <v>6053</v>
      </c>
      <c r="C917" s="2" t="s">
        <v>6112</v>
      </c>
      <c r="D917" s="2" t="s">
        <v>800</v>
      </c>
      <c r="H917" s="2" t="s">
        <v>5665</v>
      </c>
    </row>
    <row r="918" spans="1:8" ht="15.75" hidden="1" customHeight="1">
      <c r="A918" s="2" t="s">
        <v>6024</v>
      </c>
      <c r="B918" s="2" t="s">
        <v>6053</v>
      </c>
      <c r="C918" s="2" t="s">
        <v>6113</v>
      </c>
      <c r="D918" s="2" t="s">
        <v>1796</v>
      </c>
      <c r="E918" s="2">
        <v>100</v>
      </c>
      <c r="H918" s="2" t="s">
        <v>5667</v>
      </c>
    </row>
    <row r="919" spans="1:8" ht="15.75" hidden="1" customHeight="1">
      <c r="A919" s="2" t="s">
        <v>6024</v>
      </c>
      <c r="B919" s="2" t="s">
        <v>6053</v>
      </c>
      <c r="C919" s="2" t="s">
        <v>6114</v>
      </c>
      <c r="D919" s="2" t="s">
        <v>484</v>
      </c>
      <c r="F919" s="2">
        <v>10</v>
      </c>
      <c r="G919" s="2">
        <v>0</v>
      </c>
      <c r="H919" s="2" t="s">
        <v>5667</v>
      </c>
    </row>
    <row r="920" spans="1:8" ht="15.75" hidden="1" customHeight="1">
      <c r="A920" s="2" t="s">
        <v>6024</v>
      </c>
      <c r="B920" s="2" t="s">
        <v>6053</v>
      </c>
      <c r="C920" s="2" t="s">
        <v>6027</v>
      </c>
      <c r="D920" s="2" t="s">
        <v>800</v>
      </c>
      <c r="H920" s="2" t="s">
        <v>5665</v>
      </c>
    </row>
    <row r="921" spans="1:8" ht="15.75" hidden="1" customHeight="1">
      <c r="A921" s="2" t="s">
        <v>6024</v>
      </c>
      <c r="B921" s="2" t="s">
        <v>6053</v>
      </c>
      <c r="C921" s="2" t="s">
        <v>6115</v>
      </c>
      <c r="D921" s="2" t="s">
        <v>1796</v>
      </c>
      <c r="E921" s="2">
        <v>100</v>
      </c>
      <c r="H921" s="2" t="s">
        <v>5667</v>
      </c>
    </row>
    <row r="922" spans="1:8" ht="15.75" hidden="1" customHeight="1">
      <c r="A922" s="2" t="s">
        <v>6024</v>
      </c>
      <c r="B922" s="2" t="s">
        <v>6053</v>
      </c>
      <c r="C922" s="2" t="s">
        <v>6116</v>
      </c>
      <c r="D922" s="2" t="s">
        <v>484</v>
      </c>
      <c r="F922" s="2">
        <v>10</v>
      </c>
      <c r="G922" s="2">
        <v>0</v>
      </c>
      <c r="H922" s="2" t="s">
        <v>5667</v>
      </c>
    </row>
    <row r="923" spans="1:8" ht="15.75" hidden="1" customHeight="1">
      <c r="A923" s="2" t="s">
        <v>6024</v>
      </c>
      <c r="B923" s="2" t="s">
        <v>6053</v>
      </c>
      <c r="C923" s="2" t="s">
        <v>6117</v>
      </c>
      <c r="D923" s="2" t="s">
        <v>1796</v>
      </c>
      <c r="E923" s="2">
        <v>250</v>
      </c>
      <c r="H923" s="2" t="s">
        <v>5667</v>
      </c>
    </row>
    <row r="924" spans="1:8" ht="15.75" hidden="1" customHeight="1">
      <c r="A924" s="2" t="s">
        <v>6024</v>
      </c>
      <c r="B924" s="2" t="s">
        <v>6054</v>
      </c>
      <c r="C924" s="2" t="s">
        <v>325</v>
      </c>
      <c r="D924" s="2" t="s">
        <v>484</v>
      </c>
      <c r="F924" s="2">
        <v>10</v>
      </c>
      <c r="G924" s="2">
        <v>0</v>
      </c>
      <c r="H924" s="2" t="s">
        <v>5665</v>
      </c>
    </row>
    <row r="925" spans="1:8" ht="15.75" hidden="1" customHeight="1">
      <c r="A925" s="2" t="s">
        <v>6024</v>
      </c>
      <c r="B925" s="2" t="s">
        <v>6054</v>
      </c>
      <c r="C925" s="2" t="s">
        <v>6090</v>
      </c>
      <c r="D925" s="2" t="s">
        <v>6118</v>
      </c>
      <c r="H925" s="2" t="s">
        <v>5665</v>
      </c>
    </row>
    <row r="926" spans="1:8" ht="15.75" hidden="1" customHeight="1">
      <c r="A926" s="2" t="s">
        <v>6024</v>
      </c>
      <c r="B926" s="2" t="s">
        <v>6054</v>
      </c>
      <c r="C926" s="2" t="s">
        <v>6092</v>
      </c>
      <c r="D926" s="2" t="s">
        <v>1796</v>
      </c>
      <c r="E926" s="2">
        <v>50</v>
      </c>
      <c r="H926" s="2" t="s">
        <v>5665</v>
      </c>
    </row>
    <row r="927" spans="1:8" ht="15.75" hidden="1" customHeight="1">
      <c r="A927" s="2" t="s">
        <v>6024</v>
      </c>
      <c r="B927" s="2" t="s">
        <v>6054</v>
      </c>
      <c r="C927" s="2" t="s">
        <v>6093</v>
      </c>
      <c r="D927" s="2" t="s">
        <v>484</v>
      </c>
      <c r="F927" s="2">
        <v>10</v>
      </c>
      <c r="G927" s="2">
        <v>0</v>
      </c>
      <c r="H927" s="2" t="s">
        <v>5665</v>
      </c>
    </row>
    <row r="928" spans="1:8" ht="15.75" hidden="1" customHeight="1">
      <c r="A928" s="2" t="s">
        <v>6024</v>
      </c>
      <c r="B928" s="2" t="s">
        <v>6054</v>
      </c>
      <c r="C928" s="2" t="s">
        <v>6094</v>
      </c>
      <c r="D928" s="2" t="s">
        <v>484</v>
      </c>
      <c r="F928" s="2">
        <v>10</v>
      </c>
      <c r="G928" s="2">
        <v>0</v>
      </c>
      <c r="H928" s="2" t="s">
        <v>5665</v>
      </c>
    </row>
    <row r="929" spans="1:26" ht="15.75" hidden="1" customHeight="1">
      <c r="A929" s="2" t="s">
        <v>6024</v>
      </c>
      <c r="B929" s="2" t="s">
        <v>6054</v>
      </c>
      <c r="C929" s="2" t="s">
        <v>6095</v>
      </c>
      <c r="D929" s="2" t="s">
        <v>1796</v>
      </c>
      <c r="E929" s="2">
        <v>50</v>
      </c>
      <c r="H929" s="2" t="s">
        <v>5667</v>
      </c>
    </row>
    <row r="930" spans="1:26" ht="15.75" hidden="1" customHeight="1">
      <c r="A930" s="2" t="s">
        <v>6024</v>
      </c>
      <c r="B930" s="2" t="s">
        <v>6054</v>
      </c>
      <c r="C930" s="2" t="s">
        <v>4306</v>
      </c>
      <c r="D930" s="2" t="s">
        <v>1796</v>
      </c>
      <c r="E930" s="2">
        <v>250</v>
      </c>
      <c r="H930" s="2" t="s">
        <v>5667</v>
      </c>
    </row>
    <row r="931" spans="1:26" ht="15.75" hidden="1" customHeight="1">
      <c r="A931" s="2" t="s">
        <v>6024</v>
      </c>
      <c r="B931" s="2" t="s">
        <v>6054</v>
      </c>
      <c r="C931" s="2" t="s">
        <v>4246</v>
      </c>
      <c r="D931" s="2" t="s">
        <v>1796</v>
      </c>
      <c r="E931" s="2">
        <v>250</v>
      </c>
      <c r="H931" s="2" t="s">
        <v>5665</v>
      </c>
    </row>
    <row r="932" spans="1:26" ht="15.75" hidden="1" customHeight="1">
      <c r="A932" s="2" t="s">
        <v>6024</v>
      </c>
      <c r="B932" s="2" t="s">
        <v>6054</v>
      </c>
      <c r="C932" s="2" t="s">
        <v>6096</v>
      </c>
      <c r="D932" s="2" t="s">
        <v>484</v>
      </c>
      <c r="F932" s="2">
        <v>10</v>
      </c>
      <c r="G932" s="2">
        <v>0</v>
      </c>
      <c r="H932" s="2" t="s">
        <v>5665</v>
      </c>
    </row>
    <row r="933" spans="1:26" ht="15.75" hidden="1" customHeight="1">
      <c r="A933" s="2" t="s">
        <v>6024</v>
      </c>
      <c r="B933" s="2" t="s">
        <v>6054</v>
      </c>
      <c r="C933" s="2" t="s">
        <v>6501</v>
      </c>
      <c r="D933" s="2" t="s">
        <v>1796</v>
      </c>
      <c r="E933" s="2">
        <v>4</v>
      </c>
      <c r="H933" s="2" t="s">
        <v>5667</v>
      </c>
    </row>
    <row r="934" spans="1:26" ht="15.75" hidden="1" customHeight="1">
      <c r="A934" s="2" t="s">
        <v>6024</v>
      </c>
      <c r="B934" s="2" t="s">
        <v>6054</v>
      </c>
      <c r="C934" s="2" t="s">
        <v>6502</v>
      </c>
      <c r="D934" s="2" t="s">
        <v>1796</v>
      </c>
      <c r="E934" s="2">
        <v>3</v>
      </c>
      <c r="H934" s="2" t="s">
        <v>5667</v>
      </c>
    </row>
    <row r="935" spans="1:26" ht="15.75" hidden="1" customHeight="1">
      <c r="A935" s="2" t="s">
        <v>6024</v>
      </c>
      <c r="B935" s="2" t="s">
        <v>6054</v>
      </c>
      <c r="C935" s="2" t="s">
        <v>6512</v>
      </c>
      <c r="D935" s="2" t="s">
        <v>800</v>
      </c>
      <c r="H935" s="2" t="s">
        <v>5667</v>
      </c>
    </row>
    <row r="936" spans="1:26" ht="15.75" hidden="1" customHeight="1">
      <c r="A936" s="2" t="s">
        <v>6024</v>
      </c>
      <c r="B936" s="2" t="s">
        <v>6054</v>
      </c>
      <c r="C936" s="2" t="s">
        <v>6531</v>
      </c>
      <c r="D936" s="2" t="s">
        <v>1796</v>
      </c>
      <c r="E936" s="2">
        <v>5</v>
      </c>
      <c r="H936" s="2" t="s">
        <v>5667</v>
      </c>
    </row>
    <row r="937" spans="1:26" ht="15.75" hidden="1" customHeight="1">
      <c r="A937" s="2" t="s">
        <v>6024</v>
      </c>
      <c r="B937" s="2" t="s">
        <v>6054</v>
      </c>
      <c r="C937" s="2" t="s">
        <v>6513</v>
      </c>
      <c r="D937" s="2" t="s">
        <v>1796</v>
      </c>
      <c r="E937" s="2">
        <v>50</v>
      </c>
      <c r="H937" s="2" t="s">
        <v>5667</v>
      </c>
    </row>
    <row r="938" spans="1:26" ht="15.75" hidden="1" customHeight="1">
      <c r="A938" s="2" t="s">
        <v>6024</v>
      </c>
      <c r="B938" s="2" t="s">
        <v>6054</v>
      </c>
      <c r="C938" s="2" t="s">
        <v>6547</v>
      </c>
      <c r="D938" s="2" t="s">
        <v>481</v>
      </c>
      <c r="F938" s="2">
        <v>38</v>
      </c>
      <c r="G938" s="2">
        <v>7</v>
      </c>
      <c r="H938" s="2" t="s">
        <v>5667</v>
      </c>
    </row>
    <row r="939" spans="1:26" ht="15.75" hidden="1" customHeight="1">
      <c r="A939" s="2" t="s">
        <v>6024</v>
      </c>
      <c r="B939" s="2" t="s">
        <v>6054</v>
      </c>
      <c r="C939" s="2" t="s">
        <v>6209</v>
      </c>
      <c r="D939" s="2" t="s">
        <v>800</v>
      </c>
      <c r="H939" s="2" t="s">
        <v>5667</v>
      </c>
    </row>
    <row r="940" spans="1:26" ht="15.75" hidden="1" customHeight="1">
      <c r="A940" s="165" t="s">
        <v>6024</v>
      </c>
      <c r="B940" s="165" t="s">
        <v>6054</v>
      </c>
      <c r="C940" s="169" t="s">
        <v>6504</v>
      </c>
      <c r="D940" s="165" t="s">
        <v>481</v>
      </c>
      <c r="E940" s="165"/>
      <c r="F940" s="165"/>
      <c r="G940" s="165"/>
      <c r="H940" s="165" t="s">
        <v>5667</v>
      </c>
      <c r="I940" s="164" t="s">
        <v>2318</v>
      </c>
      <c r="J940" s="165"/>
      <c r="K940" s="165"/>
      <c r="L940" s="165"/>
      <c r="M940" s="165"/>
      <c r="N940" s="165"/>
      <c r="O940" s="165"/>
      <c r="P940" s="165"/>
      <c r="Q940" s="165"/>
      <c r="R940" s="165"/>
      <c r="S940" s="165"/>
      <c r="T940" s="165"/>
      <c r="U940" s="165"/>
      <c r="V940" s="165"/>
      <c r="W940" s="165"/>
      <c r="X940" s="165"/>
      <c r="Y940" s="165"/>
      <c r="Z940" s="165"/>
    </row>
    <row r="941" spans="1:26" ht="15.75" hidden="1" customHeight="1">
      <c r="A941" s="2" t="s">
        <v>6024</v>
      </c>
      <c r="B941" s="2" t="s">
        <v>6054</v>
      </c>
      <c r="C941" s="2" t="s">
        <v>6112</v>
      </c>
      <c r="D941" s="2" t="s">
        <v>800</v>
      </c>
      <c r="H941" s="2" t="s">
        <v>5665</v>
      </c>
    </row>
    <row r="942" spans="1:26" ht="15.75" hidden="1" customHeight="1">
      <c r="A942" s="2" t="s">
        <v>6024</v>
      </c>
      <c r="B942" s="2" t="s">
        <v>6054</v>
      </c>
      <c r="C942" s="2" t="s">
        <v>6113</v>
      </c>
      <c r="D942" s="2" t="s">
        <v>1796</v>
      </c>
      <c r="E942" s="2">
        <v>100</v>
      </c>
      <c r="H942" s="2" t="s">
        <v>5667</v>
      </c>
    </row>
    <row r="943" spans="1:26" ht="15.75" hidden="1" customHeight="1">
      <c r="A943" s="2" t="s">
        <v>6024</v>
      </c>
      <c r="B943" s="2" t="s">
        <v>6054</v>
      </c>
      <c r="C943" s="2" t="s">
        <v>6114</v>
      </c>
      <c r="D943" s="2" t="s">
        <v>484</v>
      </c>
      <c r="F943" s="2">
        <v>10</v>
      </c>
      <c r="G943" s="2">
        <v>0</v>
      </c>
      <c r="H943" s="2" t="s">
        <v>5667</v>
      </c>
    </row>
    <row r="944" spans="1:26" ht="15.75" hidden="1" customHeight="1">
      <c r="A944" s="2" t="s">
        <v>6024</v>
      </c>
      <c r="B944" s="2" t="s">
        <v>6054</v>
      </c>
      <c r="C944" s="2" t="s">
        <v>6027</v>
      </c>
      <c r="D944" s="2" t="s">
        <v>800</v>
      </c>
      <c r="H944" s="2" t="s">
        <v>5665</v>
      </c>
    </row>
    <row r="945" spans="1:8" ht="15.75" hidden="1" customHeight="1">
      <c r="A945" s="2" t="s">
        <v>6024</v>
      </c>
      <c r="B945" s="2" t="s">
        <v>6054</v>
      </c>
      <c r="C945" s="2" t="s">
        <v>6115</v>
      </c>
      <c r="D945" s="2" t="s">
        <v>1796</v>
      </c>
      <c r="E945" s="2">
        <v>100</v>
      </c>
      <c r="H945" s="2" t="s">
        <v>5667</v>
      </c>
    </row>
    <row r="946" spans="1:8" ht="15.75" hidden="1" customHeight="1">
      <c r="A946" s="2" t="s">
        <v>6024</v>
      </c>
      <c r="B946" s="2" t="s">
        <v>6054</v>
      </c>
      <c r="C946" s="2" t="s">
        <v>6116</v>
      </c>
      <c r="D946" s="2" t="s">
        <v>484</v>
      </c>
      <c r="F946" s="2">
        <v>10</v>
      </c>
      <c r="G946" s="2">
        <v>0</v>
      </c>
      <c r="H946" s="2" t="s">
        <v>5667</v>
      </c>
    </row>
    <row r="947" spans="1:8" ht="15.75" hidden="1" customHeight="1">
      <c r="A947" s="2" t="s">
        <v>6024</v>
      </c>
      <c r="B947" s="2" t="s">
        <v>6054</v>
      </c>
      <c r="C947" s="2" t="s">
        <v>6117</v>
      </c>
      <c r="D947" s="2" t="s">
        <v>1796</v>
      </c>
      <c r="E947" s="2">
        <v>250</v>
      </c>
      <c r="H947" s="2" t="s">
        <v>5667</v>
      </c>
    </row>
    <row r="948" spans="1:8" ht="15.75" hidden="1" customHeight="1">
      <c r="A948" s="2" t="s">
        <v>6024</v>
      </c>
      <c r="B948" s="2" t="s">
        <v>6055</v>
      </c>
      <c r="C948" s="2" t="s">
        <v>325</v>
      </c>
      <c r="D948" s="2" t="s">
        <v>484</v>
      </c>
      <c r="F948" s="2">
        <v>10</v>
      </c>
      <c r="G948" s="2">
        <v>0</v>
      </c>
      <c r="H948" s="2" t="s">
        <v>5665</v>
      </c>
    </row>
    <row r="949" spans="1:8" ht="15.75" hidden="1" customHeight="1">
      <c r="A949" s="2" t="s">
        <v>6024</v>
      </c>
      <c r="B949" s="2" t="s">
        <v>6055</v>
      </c>
      <c r="C949" s="2" t="s">
        <v>6090</v>
      </c>
      <c r="D949" s="2" t="s">
        <v>6118</v>
      </c>
      <c r="H949" s="2" t="s">
        <v>5665</v>
      </c>
    </row>
    <row r="950" spans="1:8" ht="15.75" hidden="1" customHeight="1">
      <c r="A950" s="2" t="s">
        <v>6024</v>
      </c>
      <c r="B950" s="2" t="s">
        <v>6055</v>
      </c>
      <c r="C950" s="2" t="s">
        <v>6092</v>
      </c>
      <c r="D950" s="2" t="s">
        <v>1796</v>
      </c>
      <c r="E950" s="2">
        <v>50</v>
      </c>
      <c r="H950" s="2" t="s">
        <v>5665</v>
      </c>
    </row>
    <row r="951" spans="1:8" ht="15.75" hidden="1" customHeight="1">
      <c r="A951" s="2" t="s">
        <v>6024</v>
      </c>
      <c r="B951" s="2" t="s">
        <v>6055</v>
      </c>
      <c r="C951" s="2" t="s">
        <v>6093</v>
      </c>
      <c r="D951" s="2" t="s">
        <v>484</v>
      </c>
      <c r="F951" s="2">
        <v>10</v>
      </c>
      <c r="G951" s="2">
        <v>0</v>
      </c>
      <c r="H951" s="2" t="s">
        <v>5665</v>
      </c>
    </row>
    <row r="952" spans="1:8" ht="15.75" hidden="1" customHeight="1">
      <c r="A952" s="2" t="s">
        <v>6024</v>
      </c>
      <c r="B952" s="2" t="s">
        <v>6055</v>
      </c>
      <c r="C952" s="2" t="s">
        <v>6094</v>
      </c>
      <c r="D952" s="2" t="s">
        <v>484</v>
      </c>
      <c r="F952" s="2">
        <v>10</v>
      </c>
      <c r="G952" s="2">
        <v>0</v>
      </c>
      <c r="H952" s="2" t="s">
        <v>5665</v>
      </c>
    </row>
    <row r="953" spans="1:8" ht="15.75" hidden="1" customHeight="1">
      <c r="A953" s="2" t="s">
        <v>6024</v>
      </c>
      <c r="B953" s="2" t="s">
        <v>6055</v>
      </c>
      <c r="C953" s="2" t="s">
        <v>6095</v>
      </c>
      <c r="D953" s="2" t="s">
        <v>1796</v>
      </c>
      <c r="E953" s="2">
        <v>50</v>
      </c>
      <c r="H953" s="2" t="s">
        <v>5667</v>
      </c>
    </row>
    <row r="954" spans="1:8" ht="15.75" hidden="1" customHeight="1">
      <c r="A954" s="2" t="s">
        <v>6024</v>
      </c>
      <c r="B954" s="2" t="s">
        <v>6055</v>
      </c>
      <c r="C954" s="2" t="s">
        <v>4306</v>
      </c>
      <c r="D954" s="2" t="s">
        <v>1796</v>
      </c>
      <c r="E954" s="2">
        <v>250</v>
      </c>
      <c r="H954" s="2" t="s">
        <v>5667</v>
      </c>
    </row>
    <row r="955" spans="1:8" ht="15.75" hidden="1" customHeight="1">
      <c r="A955" s="2" t="s">
        <v>6024</v>
      </c>
      <c r="B955" s="2" t="s">
        <v>6055</v>
      </c>
      <c r="C955" s="2" t="s">
        <v>4246</v>
      </c>
      <c r="D955" s="2" t="s">
        <v>1796</v>
      </c>
      <c r="E955" s="2">
        <v>250</v>
      </c>
      <c r="H955" s="2" t="s">
        <v>5665</v>
      </c>
    </row>
    <row r="956" spans="1:8" ht="15.75" hidden="1" customHeight="1">
      <c r="A956" s="2" t="s">
        <v>6024</v>
      </c>
      <c r="B956" s="2" t="s">
        <v>6055</v>
      </c>
      <c r="C956" s="2" t="s">
        <v>6096</v>
      </c>
      <c r="D956" s="2" t="s">
        <v>484</v>
      </c>
      <c r="F956" s="2">
        <v>10</v>
      </c>
      <c r="G956" s="2">
        <v>0</v>
      </c>
      <c r="H956" s="2" t="s">
        <v>5665</v>
      </c>
    </row>
    <row r="957" spans="1:8" ht="15.75" hidden="1" customHeight="1">
      <c r="A957" s="2" t="s">
        <v>6024</v>
      </c>
      <c r="B957" s="2" t="s">
        <v>6055</v>
      </c>
      <c r="C957" s="2" t="s">
        <v>6501</v>
      </c>
      <c r="D957" s="2" t="s">
        <v>1796</v>
      </c>
      <c r="E957" s="2">
        <v>4</v>
      </c>
      <c r="H957" s="2" t="s">
        <v>5667</v>
      </c>
    </row>
    <row r="958" spans="1:8" ht="15.75" hidden="1" customHeight="1">
      <c r="A958" s="2" t="s">
        <v>6024</v>
      </c>
      <c r="B958" s="2" t="s">
        <v>6055</v>
      </c>
      <c r="C958" s="2" t="s">
        <v>6502</v>
      </c>
      <c r="D958" s="2" t="s">
        <v>1796</v>
      </c>
      <c r="E958" s="2">
        <v>3</v>
      </c>
      <c r="H958" s="2" t="s">
        <v>5667</v>
      </c>
    </row>
    <row r="959" spans="1:8" ht="15.75" hidden="1" customHeight="1">
      <c r="A959" s="2" t="s">
        <v>6024</v>
      </c>
      <c r="B959" s="2" t="s">
        <v>6055</v>
      </c>
      <c r="C959" s="2" t="s">
        <v>6548</v>
      </c>
      <c r="D959" s="2" t="s">
        <v>1796</v>
      </c>
      <c r="E959" s="2">
        <v>2</v>
      </c>
      <c r="H959" s="2" t="s">
        <v>5667</v>
      </c>
    </row>
    <row r="960" spans="1:8" ht="15.75" hidden="1" customHeight="1">
      <c r="A960" s="2" t="s">
        <v>6024</v>
      </c>
      <c r="B960" s="2" t="s">
        <v>6055</v>
      </c>
      <c r="C960" s="2" t="s">
        <v>6512</v>
      </c>
      <c r="D960" s="2" t="s">
        <v>800</v>
      </c>
      <c r="H960" s="2" t="s">
        <v>5667</v>
      </c>
    </row>
    <row r="961" spans="1:8" ht="15.75" hidden="1" customHeight="1">
      <c r="A961" s="2" t="s">
        <v>6024</v>
      </c>
      <c r="B961" s="2" t="s">
        <v>6055</v>
      </c>
      <c r="C961" s="2" t="s">
        <v>6549</v>
      </c>
      <c r="D961" s="2" t="s">
        <v>1796</v>
      </c>
      <c r="E961" s="2">
        <v>50</v>
      </c>
      <c r="H961" s="2" t="s">
        <v>5667</v>
      </c>
    </row>
    <row r="962" spans="1:8" ht="15.75" hidden="1" customHeight="1">
      <c r="A962" s="2" t="s">
        <v>6024</v>
      </c>
      <c r="B962" s="2" t="s">
        <v>6055</v>
      </c>
      <c r="C962" s="2" t="s">
        <v>6550</v>
      </c>
      <c r="D962" s="2" t="s">
        <v>1796</v>
      </c>
      <c r="E962" s="2">
        <v>50</v>
      </c>
      <c r="H962" s="2" t="s">
        <v>5667</v>
      </c>
    </row>
    <row r="963" spans="1:8" ht="15.75" hidden="1" customHeight="1">
      <c r="A963" s="2" t="s">
        <v>6024</v>
      </c>
      <c r="B963" s="2" t="s">
        <v>6055</v>
      </c>
      <c r="C963" s="2" t="s">
        <v>6551</v>
      </c>
      <c r="D963" s="2" t="s">
        <v>1796</v>
      </c>
      <c r="E963" s="2">
        <v>50</v>
      </c>
      <c r="H963" s="2" t="s">
        <v>5667</v>
      </c>
    </row>
    <row r="964" spans="1:8" ht="15.75" hidden="1" customHeight="1">
      <c r="A964" s="2" t="s">
        <v>6024</v>
      </c>
      <c r="B964" s="2" t="s">
        <v>6055</v>
      </c>
      <c r="C964" s="2" t="s">
        <v>6552</v>
      </c>
      <c r="D964" s="2" t="s">
        <v>1796</v>
      </c>
      <c r="E964" s="2">
        <v>255</v>
      </c>
      <c r="H964" s="2" t="s">
        <v>5667</v>
      </c>
    </row>
    <row r="965" spans="1:8" ht="15.75" hidden="1" customHeight="1">
      <c r="A965" s="2" t="s">
        <v>6024</v>
      </c>
      <c r="B965" s="2" t="s">
        <v>6055</v>
      </c>
      <c r="C965" s="2" t="s">
        <v>6553</v>
      </c>
      <c r="D965" s="2" t="s">
        <v>481</v>
      </c>
      <c r="F965" s="2">
        <v>38</v>
      </c>
      <c r="G965" s="2">
        <v>2</v>
      </c>
      <c r="H965" s="2" t="s">
        <v>5667</v>
      </c>
    </row>
    <row r="966" spans="1:8" ht="15.75" hidden="1" customHeight="1">
      <c r="A966" s="2" t="s">
        <v>6024</v>
      </c>
      <c r="B966" s="2" t="s">
        <v>6055</v>
      </c>
      <c r="C966" s="2" t="s">
        <v>6554</v>
      </c>
      <c r="D966" s="2" t="s">
        <v>481</v>
      </c>
      <c r="F966" s="2">
        <v>38</v>
      </c>
      <c r="G966" s="2">
        <v>2</v>
      </c>
      <c r="H966" s="2" t="s">
        <v>5667</v>
      </c>
    </row>
    <row r="967" spans="1:8" ht="15.75" hidden="1" customHeight="1">
      <c r="A967" s="2" t="s">
        <v>6024</v>
      </c>
      <c r="B967" s="2" t="s">
        <v>6055</v>
      </c>
      <c r="C967" s="2" t="s">
        <v>6555</v>
      </c>
      <c r="D967" s="2" t="s">
        <v>481</v>
      </c>
      <c r="F967" s="2">
        <v>38</v>
      </c>
      <c r="G967" s="2">
        <v>2</v>
      </c>
      <c r="H967" s="2" t="s">
        <v>5667</v>
      </c>
    </row>
    <row r="968" spans="1:8" ht="15.75" hidden="1" customHeight="1">
      <c r="A968" s="2" t="s">
        <v>6024</v>
      </c>
      <c r="B968" s="2" t="s">
        <v>6055</v>
      </c>
      <c r="C968" s="2" t="s">
        <v>6209</v>
      </c>
      <c r="D968" s="2" t="s">
        <v>800</v>
      </c>
      <c r="H968" s="2" t="s">
        <v>5667</v>
      </c>
    </row>
    <row r="969" spans="1:8" ht="15.75" hidden="1" customHeight="1">
      <c r="A969" s="2" t="s">
        <v>6024</v>
      </c>
      <c r="B969" s="2" t="s">
        <v>6055</v>
      </c>
      <c r="C969" s="2" t="s">
        <v>6112</v>
      </c>
      <c r="D969" s="2" t="s">
        <v>800</v>
      </c>
      <c r="H969" s="2" t="s">
        <v>5665</v>
      </c>
    </row>
    <row r="970" spans="1:8" ht="15.75" hidden="1" customHeight="1">
      <c r="A970" s="2" t="s">
        <v>6024</v>
      </c>
      <c r="B970" s="2" t="s">
        <v>6055</v>
      </c>
      <c r="C970" s="2" t="s">
        <v>6113</v>
      </c>
      <c r="D970" s="2" t="s">
        <v>1796</v>
      </c>
      <c r="E970" s="2">
        <v>100</v>
      </c>
      <c r="H970" s="2" t="s">
        <v>5667</v>
      </c>
    </row>
    <row r="971" spans="1:8" ht="15.75" hidden="1" customHeight="1">
      <c r="A971" s="2" t="s">
        <v>6024</v>
      </c>
      <c r="B971" s="2" t="s">
        <v>6055</v>
      </c>
      <c r="C971" s="2" t="s">
        <v>6114</v>
      </c>
      <c r="D971" s="2" t="s">
        <v>484</v>
      </c>
      <c r="F971" s="2">
        <v>10</v>
      </c>
      <c r="G971" s="2">
        <v>0</v>
      </c>
      <c r="H971" s="2" t="s">
        <v>5667</v>
      </c>
    </row>
    <row r="972" spans="1:8" ht="15.75" hidden="1" customHeight="1">
      <c r="A972" s="2" t="s">
        <v>6024</v>
      </c>
      <c r="B972" s="2" t="s">
        <v>6055</v>
      </c>
      <c r="C972" s="2" t="s">
        <v>6027</v>
      </c>
      <c r="D972" s="2" t="s">
        <v>800</v>
      </c>
      <c r="H972" s="2" t="s">
        <v>5665</v>
      </c>
    </row>
    <row r="973" spans="1:8" ht="15.75" hidden="1" customHeight="1">
      <c r="A973" s="2" t="s">
        <v>6024</v>
      </c>
      <c r="B973" s="2" t="s">
        <v>6055</v>
      </c>
      <c r="C973" s="2" t="s">
        <v>6115</v>
      </c>
      <c r="D973" s="2" t="s">
        <v>1796</v>
      </c>
      <c r="E973" s="2">
        <v>100</v>
      </c>
      <c r="H973" s="2" t="s">
        <v>5667</v>
      </c>
    </row>
    <row r="974" spans="1:8" ht="15.75" hidden="1" customHeight="1">
      <c r="A974" s="2" t="s">
        <v>6024</v>
      </c>
      <c r="B974" s="2" t="s">
        <v>6055</v>
      </c>
      <c r="C974" s="2" t="s">
        <v>6116</v>
      </c>
      <c r="D974" s="2" t="s">
        <v>484</v>
      </c>
      <c r="F974" s="2">
        <v>10</v>
      </c>
      <c r="G974" s="2">
        <v>0</v>
      </c>
      <c r="H974" s="2" t="s">
        <v>5667</v>
      </c>
    </row>
    <row r="975" spans="1:8" ht="15.75" hidden="1" customHeight="1">
      <c r="A975" s="2" t="s">
        <v>6024</v>
      </c>
      <c r="B975" s="2" t="s">
        <v>6055</v>
      </c>
      <c r="C975" s="2" t="s">
        <v>6117</v>
      </c>
      <c r="D975" s="2" t="s">
        <v>1796</v>
      </c>
      <c r="E975" s="2">
        <v>250</v>
      </c>
      <c r="H975" s="2" t="s">
        <v>5667</v>
      </c>
    </row>
    <row r="976" spans="1:8" ht="15.75" hidden="1" customHeight="1">
      <c r="A976" s="2" t="s">
        <v>6024</v>
      </c>
      <c r="B976" s="2" t="s">
        <v>6056</v>
      </c>
      <c r="C976" s="2" t="s">
        <v>325</v>
      </c>
      <c r="D976" s="2" t="s">
        <v>484</v>
      </c>
      <c r="F976" s="2">
        <v>10</v>
      </c>
      <c r="G976" s="2">
        <v>0</v>
      </c>
      <c r="H976" s="2" t="s">
        <v>5665</v>
      </c>
    </row>
    <row r="977" spans="1:8" ht="15.75" hidden="1" customHeight="1">
      <c r="A977" s="2" t="s">
        <v>6024</v>
      </c>
      <c r="B977" s="2" t="s">
        <v>6056</v>
      </c>
      <c r="C977" s="2" t="s">
        <v>6090</v>
      </c>
      <c r="D977" s="2" t="s">
        <v>6118</v>
      </c>
      <c r="H977" s="2" t="s">
        <v>5665</v>
      </c>
    </row>
    <row r="978" spans="1:8" ht="15.75" hidden="1" customHeight="1">
      <c r="A978" s="2" t="s">
        <v>6024</v>
      </c>
      <c r="B978" s="2" t="s">
        <v>6056</v>
      </c>
      <c r="C978" s="2" t="s">
        <v>6092</v>
      </c>
      <c r="D978" s="2" t="s">
        <v>1796</v>
      </c>
      <c r="E978" s="2">
        <v>50</v>
      </c>
      <c r="H978" s="2" t="s">
        <v>5665</v>
      </c>
    </row>
    <row r="979" spans="1:8" ht="15.75" hidden="1" customHeight="1">
      <c r="A979" s="2" t="s">
        <v>6024</v>
      </c>
      <c r="B979" s="2" t="s">
        <v>6056</v>
      </c>
      <c r="C979" s="2" t="s">
        <v>6093</v>
      </c>
      <c r="D979" s="2" t="s">
        <v>484</v>
      </c>
      <c r="F979" s="2">
        <v>10</v>
      </c>
      <c r="G979" s="2">
        <v>0</v>
      </c>
      <c r="H979" s="2" t="s">
        <v>5665</v>
      </c>
    </row>
    <row r="980" spans="1:8" ht="15.75" hidden="1" customHeight="1">
      <c r="A980" s="2" t="s">
        <v>6024</v>
      </c>
      <c r="B980" s="2" t="s">
        <v>6056</v>
      </c>
      <c r="C980" s="2" t="s">
        <v>6094</v>
      </c>
      <c r="D980" s="2" t="s">
        <v>484</v>
      </c>
      <c r="F980" s="2">
        <v>10</v>
      </c>
      <c r="G980" s="2">
        <v>0</v>
      </c>
      <c r="H980" s="2" t="s">
        <v>5665</v>
      </c>
    </row>
    <row r="981" spans="1:8" ht="15.75" hidden="1" customHeight="1">
      <c r="A981" s="2" t="s">
        <v>6024</v>
      </c>
      <c r="B981" s="2" t="s">
        <v>6056</v>
      </c>
      <c r="C981" s="2" t="s">
        <v>6095</v>
      </c>
      <c r="D981" s="2" t="s">
        <v>1796</v>
      </c>
      <c r="E981" s="2">
        <v>50</v>
      </c>
      <c r="H981" s="2" t="s">
        <v>5667</v>
      </c>
    </row>
    <row r="982" spans="1:8" ht="15.75" hidden="1" customHeight="1">
      <c r="A982" s="2" t="s">
        <v>6024</v>
      </c>
      <c r="B982" s="2" t="s">
        <v>6056</v>
      </c>
      <c r="C982" s="2" t="s">
        <v>4306</v>
      </c>
      <c r="D982" s="2" t="s">
        <v>1796</v>
      </c>
      <c r="E982" s="2">
        <v>250</v>
      </c>
      <c r="H982" s="2" t="s">
        <v>5667</v>
      </c>
    </row>
    <row r="983" spans="1:8" ht="15.75" hidden="1" customHeight="1">
      <c r="A983" s="2" t="s">
        <v>6024</v>
      </c>
      <c r="B983" s="2" t="s">
        <v>6056</v>
      </c>
      <c r="C983" s="2" t="s">
        <v>4246</v>
      </c>
      <c r="D983" s="2" t="s">
        <v>1796</v>
      </c>
      <c r="E983" s="2">
        <v>250</v>
      </c>
      <c r="H983" s="2" t="s">
        <v>5665</v>
      </c>
    </row>
    <row r="984" spans="1:8" ht="15.75" hidden="1" customHeight="1">
      <c r="A984" s="2" t="s">
        <v>6024</v>
      </c>
      <c r="B984" s="2" t="s">
        <v>6056</v>
      </c>
      <c r="C984" s="2" t="s">
        <v>6096</v>
      </c>
      <c r="D984" s="2" t="s">
        <v>484</v>
      </c>
      <c r="F984" s="2">
        <v>10</v>
      </c>
      <c r="G984" s="2">
        <v>0</v>
      </c>
      <c r="H984" s="2" t="s">
        <v>5665</v>
      </c>
    </row>
    <row r="985" spans="1:8" ht="15.75" hidden="1" customHeight="1">
      <c r="A985" s="2" t="s">
        <v>6024</v>
      </c>
      <c r="B985" s="2" t="s">
        <v>6056</v>
      </c>
      <c r="C985" s="2" t="s">
        <v>6501</v>
      </c>
      <c r="D985" s="2" t="s">
        <v>1796</v>
      </c>
      <c r="E985" s="2">
        <v>4</v>
      </c>
      <c r="H985" s="2" t="s">
        <v>5667</v>
      </c>
    </row>
    <row r="986" spans="1:8" ht="15.75" hidden="1" customHeight="1">
      <c r="A986" s="2" t="s">
        <v>6024</v>
      </c>
      <c r="B986" s="2" t="s">
        <v>6056</v>
      </c>
      <c r="C986" s="2" t="s">
        <v>6502</v>
      </c>
      <c r="D986" s="2" t="s">
        <v>1796</v>
      </c>
      <c r="E986" s="2">
        <v>3</v>
      </c>
      <c r="H986" s="2" t="s">
        <v>5667</v>
      </c>
    </row>
    <row r="987" spans="1:8" ht="15.75" hidden="1" customHeight="1">
      <c r="A987" s="2" t="s">
        <v>6024</v>
      </c>
      <c r="B987" s="2" t="s">
        <v>6056</v>
      </c>
      <c r="C987" s="2" t="s">
        <v>6512</v>
      </c>
      <c r="D987" s="2" t="s">
        <v>800</v>
      </c>
      <c r="H987" s="2" t="s">
        <v>5667</v>
      </c>
    </row>
    <row r="988" spans="1:8" ht="15.75" hidden="1" customHeight="1">
      <c r="A988" s="2" t="s">
        <v>6024</v>
      </c>
      <c r="B988" s="2" t="s">
        <v>6056</v>
      </c>
      <c r="C988" s="2" t="s">
        <v>6549</v>
      </c>
      <c r="D988" s="2" t="s">
        <v>1796</v>
      </c>
      <c r="E988" s="2">
        <v>50</v>
      </c>
      <c r="H988" s="2" t="s">
        <v>5667</v>
      </c>
    </row>
    <row r="989" spans="1:8" ht="15.75" hidden="1" customHeight="1">
      <c r="A989" s="2" t="s">
        <v>6024</v>
      </c>
      <c r="B989" s="2" t="s">
        <v>6056</v>
      </c>
      <c r="C989" s="2" t="s">
        <v>6547</v>
      </c>
      <c r="D989" s="2" t="s">
        <v>481</v>
      </c>
      <c r="F989" s="2">
        <v>38</v>
      </c>
      <c r="G989" s="2">
        <v>4</v>
      </c>
      <c r="H989" s="2" t="s">
        <v>5667</v>
      </c>
    </row>
    <row r="990" spans="1:8" ht="15.75" hidden="1" customHeight="1">
      <c r="A990" s="2" t="s">
        <v>6024</v>
      </c>
      <c r="B990" s="2" t="s">
        <v>6056</v>
      </c>
      <c r="C990" s="2" t="s">
        <v>6209</v>
      </c>
      <c r="D990" s="2" t="s">
        <v>800</v>
      </c>
      <c r="H990" s="2" t="s">
        <v>5667</v>
      </c>
    </row>
    <row r="991" spans="1:8" ht="15.75" hidden="1" customHeight="1">
      <c r="A991" s="2" t="s">
        <v>6024</v>
      </c>
      <c r="B991" s="2" t="s">
        <v>6056</v>
      </c>
      <c r="C991" s="2" t="s">
        <v>6112</v>
      </c>
      <c r="D991" s="2" t="s">
        <v>800</v>
      </c>
      <c r="H991" s="2" t="s">
        <v>5665</v>
      </c>
    </row>
    <row r="992" spans="1:8" ht="15.75" hidden="1" customHeight="1">
      <c r="A992" s="2" t="s">
        <v>6024</v>
      </c>
      <c r="B992" s="2" t="s">
        <v>6056</v>
      </c>
      <c r="C992" s="2" t="s">
        <v>6113</v>
      </c>
      <c r="D992" s="2" t="s">
        <v>1796</v>
      </c>
      <c r="E992" s="2">
        <v>100</v>
      </c>
      <c r="H992" s="2" t="s">
        <v>5667</v>
      </c>
    </row>
    <row r="993" spans="1:8" ht="15.75" hidden="1" customHeight="1">
      <c r="A993" s="2" t="s">
        <v>6024</v>
      </c>
      <c r="B993" s="2" t="s">
        <v>6056</v>
      </c>
      <c r="C993" s="2" t="s">
        <v>6114</v>
      </c>
      <c r="D993" s="2" t="s">
        <v>484</v>
      </c>
      <c r="F993" s="2">
        <v>10</v>
      </c>
      <c r="G993" s="2">
        <v>0</v>
      </c>
      <c r="H993" s="2" t="s">
        <v>5667</v>
      </c>
    </row>
    <row r="994" spans="1:8" ht="15.75" hidden="1" customHeight="1">
      <c r="A994" s="2" t="s">
        <v>6024</v>
      </c>
      <c r="B994" s="2" t="s">
        <v>6056</v>
      </c>
      <c r="C994" s="2" t="s">
        <v>6027</v>
      </c>
      <c r="D994" s="2" t="s">
        <v>800</v>
      </c>
      <c r="H994" s="2" t="s">
        <v>5665</v>
      </c>
    </row>
    <row r="995" spans="1:8" ht="15.75" hidden="1" customHeight="1">
      <c r="A995" s="2" t="s">
        <v>6024</v>
      </c>
      <c r="B995" s="2" t="s">
        <v>6056</v>
      </c>
      <c r="C995" s="2" t="s">
        <v>6115</v>
      </c>
      <c r="D995" s="2" t="s">
        <v>1796</v>
      </c>
      <c r="E995" s="2">
        <v>100</v>
      </c>
      <c r="H995" s="2" t="s">
        <v>5667</v>
      </c>
    </row>
    <row r="996" spans="1:8" ht="15.75" hidden="1" customHeight="1">
      <c r="A996" s="2" t="s">
        <v>6024</v>
      </c>
      <c r="B996" s="2" t="s">
        <v>6056</v>
      </c>
      <c r="C996" s="2" t="s">
        <v>6116</v>
      </c>
      <c r="D996" s="2" t="s">
        <v>484</v>
      </c>
      <c r="F996" s="2">
        <v>10</v>
      </c>
      <c r="G996" s="2">
        <v>0</v>
      </c>
      <c r="H996" s="2" t="s">
        <v>5667</v>
      </c>
    </row>
    <row r="997" spans="1:8" ht="15.75" hidden="1" customHeight="1">
      <c r="A997" s="2" t="s">
        <v>6024</v>
      </c>
      <c r="B997" s="2" t="s">
        <v>6056</v>
      </c>
      <c r="C997" s="2" t="s">
        <v>6117</v>
      </c>
      <c r="D997" s="2" t="s">
        <v>1796</v>
      </c>
      <c r="E997" s="2">
        <v>250</v>
      </c>
      <c r="H997" s="2" t="s">
        <v>5667</v>
      </c>
    </row>
    <row r="998" spans="1:8" ht="15.75" hidden="1" customHeight="1">
      <c r="A998" s="2" t="s">
        <v>6024</v>
      </c>
      <c r="B998" s="2" t="s">
        <v>6057</v>
      </c>
      <c r="C998" s="2" t="s">
        <v>325</v>
      </c>
      <c r="D998" s="2" t="s">
        <v>484</v>
      </c>
      <c r="F998" s="2">
        <v>10</v>
      </c>
      <c r="G998" s="2">
        <v>0</v>
      </c>
      <c r="H998" s="2" t="s">
        <v>5665</v>
      </c>
    </row>
    <row r="999" spans="1:8" ht="15.75" hidden="1" customHeight="1">
      <c r="A999" s="2" t="s">
        <v>6024</v>
      </c>
      <c r="B999" s="2" t="s">
        <v>6057</v>
      </c>
      <c r="C999" s="2" t="s">
        <v>6090</v>
      </c>
      <c r="D999" s="2" t="s">
        <v>6118</v>
      </c>
      <c r="H999" s="2" t="s">
        <v>5665</v>
      </c>
    </row>
    <row r="1000" spans="1:8" ht="15.75" hidden="1" customHeight="1">
      <c r="A1000" s="2" t="s">
        <v>6024</v>
      </c>
      <c r="B1000" s="2" t="s">
        <v>6057</v>
      </c>
      <c r="C1000" s="2" t="s">
        <v>6092</v>
      </c>
      <c r="D1000" s="2" t="s">
        <v>1796</v>
      </c>
      <c r="E1000" s="2">
        <v>50</v>
      </c>
      <c r="H1000" s="2" t="s">
        <v>5665</v>
      </c>
    </row>
    <row r="1001" spans="1:8" ht="15.75" hidden="1" customHeight="1">
      <c r="A1001" s="2" t="s">
        <v>6024</v>
      </c>
      <c r="B1001" s="2" t="s">
        <v>6057</v>
      </c>
      <c r="C1001" s="2" t="s">
        <v>6093</v>
      </c>
      <c r="D1001" s="2" t="s">
        <v>484</v>
      </c>
      <c r="F1001" s="2">
        <v>10</v>
      </c>
      <c r="G1001" s="2">
        <v>0</v>
      </c>
      <c r="H1001" s="2" t="s">
        <v>5665</v>
      </c>
    </row>
    <row r="1002" spans="1:8" ht="15.75" hidden="1" customHeight="1">
      <c r="A1002" s="2" t="s">
        <v>6024</v>
      </c>
      <c r="B1002" s="2" t="s">
        <v>6057</v>
      </c>
      <c r="C1002" s="2" t="s">
        <v>6094</v>
      </c>
      <c r="D1002" s="2" t="s">
        <v>484</v>
      </c>
      <c r="F1002" s="2">
        <v>10</v>
      </c>
      <c r="G1002" s="2">
        <v>0</v>
      </c>
      <c r="H1002" s="2" t="s">
        <v>5665</v>
      </c>
    </row>
    <row r="1003" spans="1:8" ht="15.75" hidden="1" customHeight="1">
      <c r="A1003" s="2" t="s">
        <v>6024</v>
      </c>
      <c r="B1003" s="2" t="s">
        <v>6057</v>
      </c>
      <c r="C1003" s="2" t="s">
        <v>6095</v>
      </c>
      <c r="D1003" s="2" t="s">
        <v>1796</v>
      </c>
      <c r="E1003" s="2">
        <v>50</v>
      </c>
      <c r="H1003" s="2" t="s">
        <v>5667</v>
      </c>
    </row>
    <row r="1004" spans="1:8" ht="15.75" hidden="1" customHeight="1">
      <c r="A1004" s="2" t="s">
        <v>6024</v>
      </c>
      <c r="B1004" s="2" t="s">
        <v>6057</v>
      </c>
      <c r="C1004" s="2" t="s">
        <v>4306</v>
      </c>
      <c r="D1004" s="2" t="s">
        <v>1796</v>
      </c>
      <c r="E1004" s="2">
        <v>250</v>
      </c>
      <c r="H1004" s="2" t="s">
        <v>5667</v>
      </c>
    </row>
    <row r="1005" spans="1:8" ht="15.75" hidden="1" customHeight="1">
      <c r="A1005" s="2" t="s">
        <v>6024</v>
      </c>
      <c r="B1005" s="2" t="s">
        <v>6057</v>
      </c>
      <c r="C1005" s="2" t="s">
        <v>4246</v>
      </c>
      <c r="D1005" s="2" t="s">
        <v>1796</v>
      </c>
      <c r="E1005" s="2">
        <v>250</v>
      </c>
      <c r="H1005" s="2" t="s">
        <v>5665</v>
      </c>
    </row>
    <row r="1006" spans="1:8" ht="15.75" hidden="1" customHeight="1">
      <c r="A1006" s="2" t="s">
        <v>6024</v>
      </c>
      <c r="B1006" s="2" t="s">
        <v>6057</v>
      </c>
      <c r="C1006" s="2" t="s">
        <v>6096</v>
      </c>
      <c r="D1006" s="2" t="s">
        <v>484</v>
      </c>
      <c r="F1006" s="2">
        <v>10</v>
      </c>
      <c r="G1006" s="2">
        <v>0</v>
      </c>
      <c r="H1006" s="2" t="s">
        <v>5665</v>
      </c>
    </row>
    <row r="1007" spans="1:8" ht="15.75" hidden="1" customHeight="1">
      <c r="A1007" s="2" t="s">
        <v>6024</v>
      </c>
      <c r="B1007" s="2" t="s">
        <v>6057</v>
      </c>
      <c r="C1007" s="2" t="s">
        <v>6501</v>
      </c>
      <c r="D1007" s="2" t="s">
        <v>1796</v>
      </c>
      <c r="E1007" s="2">
        <v>4</v>
      </c>
      <c r="H1007" s="2" t="s">
        <v>5667</v>
      </c>
    </row>
    <row r="1008" spans="1:8" ht="15.75" hidden="1" customHeight="1">
      <c r="A1008" s="2" t="s">
        <v>6024</v>
      </c>
      <c r="B1008" s="2" t="s">
        <v>6057</v>
      </c>
      <c r="C1008" s="2" t="s">
        <v>6502</v>
      </c>
      <c r="D1008" s="2" t="s">
        <v>1796</v>
      </c>
      <c r="E1008" s="2">
        <v>3</v>
      </c>
      <c r="H1008" s="2" t="s">
        <v>5667</v>
      </c>
    </row>
    <row r="1009" spans="1:8" ht="15.75" hidden="1" customHeight="1">
      <c r="A1009" s="2" t="s">
        <v>6024</v>
      </c>
      <c r="B1009" s="2" t="s">
        <v>6057</v>
      </c>
      <c r="C1009" s="2" t="s">
        <v>6512</v>
      </c>
      <c r="D1009" s="2" t="s">
        <v>800</v>
      </c>
      <c r="H1009" s="2" t="s">
        <v>5667</v>
      </c>
    </row>
    <row r="1010" spans="1:8" ht="15.75" hidden="1" customHeight="1">
      <c r="A1010" s="2" t="s">
        <v>6024</v>
      </c>
      <c r="B1010" s="2" t="s">
        <v>6057</v>
      </c>
      <c r="C1010" s="2" t="s">
        <v>6491</v>
      </c>
      <c r="D1010" s="2" t="s">
        <v>1796</v>
      </c>
      <c r="E1010" s="2">
        <v>5</v>
      </c>
      <c r="H1010" s="2" t="s">
        <v>5667</v>
      </c>
    </row>
    <row r="1011" spans="1:8" ht="15.75" hidden="1" customHeight="1">
      <c r="A1011" s="2" t="s">
        <v>6024</v>
      </c>
      <c r="B1011" s="2" t="s">
        <v>6057</v>
      </c>
      <c r="C1011" s="2" t="s">
        <v>6556</v>
      </c>
      <c r="D1011" s="2" t="s">
        <v>1796</v>
      </c>
      <c r="E1011" s="2">
        <v>5</v>
      </c>
      <c r="H1011" s="2" t="s">
        <v>5667</v>
      </c>
    </row>
    <row r="1012" spans="1:8" ht="15.75" hidden="1" customHeight="1">
      <c r="A1012" s="2" t="s">
        <v>6024</v>
      </c>
      <c r="B1012" s="2" t="s">
        <v>6057</v>
      </c>
      <c r="C1012" s="2" t="s">
        <v>6492</v>
      </c>
      <c r="D1012" s="2" t="s">
        <v>1796</v>
      </c>
      <c r="E1012" s="2">
        <v>50</v>
      </c>
      <c r="H1012" s="2" t="s">
        <v>5667</v>
      </c>
    </row>
    <row r="1013" spans="1:8" ht="15.75" hidden="1" customHeight="1">
      <c r="A1013" s="2" t="s">
        <v>6024</v>
      </c>
      <c r="B1013" s="2" t="s">
        <v>6057</v>
      </c>
      <c r="C1013" s="2" t="s">
        <v>6547</v>
      </c>
      <c r="D1013" s="2" t="s">
        <v>481</v>
      </c>
      <c r="F1013" s="2">
        <v>38</v>
      </c>
      <c r="G1013" s="2">
        <v>7</v>
      </c>
      <c r="H1013" s="2" t="s">
        <v>5667</v>
      </c>
    </row>
    <row r="1014" spans="1:8" ht="15.75" hidden="1" customHeight="1">
      <c r="A1014" s="2" t="s">
        <v>6024</v>
      </c>
      <c r="B1014" s="2" t="s">
        <v>6057</v>
      </c>
      <c r="C1014" s="2" t="s">
        <v>6209</v>
      </c>
      <c r="D1014" s="2" t="s">
        <v>800</v>
      </c>
      <c r="H1014" s="2" t="s">
        <v>5667</v>
      </c>
    </row>
    <row r="1015" spans="1:8" ht="15.75" hidden="1" customHeight="1">
      <c r="A1015" s="2" t="s">
        <v>6024</v>
      </c>
      <c r="B1015" s="2" t="s">
        <v>6057</v>
      </c>
      <c r="C1015" s="2" t="s">
        <v>6557</v>
      </c>
      <c r="D1015" s="2" t="s">
        <v>481</v>
      </c>
      <c r="F1015" s="2">
        <v>38</v>
      </c>
      <c r="G1015" s="2">
        <v>7</v>
      </c>
      <c r="H1015" s="2" t="s">
        <v>5667</v>
      </c>
    </row>
    <row r="1016" spans="1:8" ht="15.75" hidden="1" customHeight="1">
      <c r="A1016" s="2" t="s">
        <v>6024</v>
      </c>
      <c r="B1016" s="2" t="s">
        <v>6057</v>
      </c>
      <c r="C1016" s="2" t="s">
        <v>6558</v>
      </c>
      <c r="D1016" s="2" t="s">
        <v>481</v>
      </c>
      <c r="F1016" s="2">
        <v>38</v>
      </c>
      <c r="G1016" s="2">
        <v>2</v>
      </c>
      <c r="H1016" s="2" t="s">
        <v>5667</v>
      </c>
    </row>
    <row r="1017" spans="1:8" ht="15.75" hidden="1" customHeight="1">
      <c r="A1017" s="2" t="s">
        <v>6024</v>
      </c>
      <c r="B1017" s="2" t="s">
        <v>6057</v>
      </c>
      <c r="C1017" s="2" t="s">
        <v>6112</v>
      </c>
      <c r="D1017" s="2" t="s">
        <v>800</v>
      </c>
      <c r="H1017" s="2" t="s">
        <v>5665</v>
      </c>
    </row>
    <row r="1018" spans="1:8" ht="15.75" hidden="1" customHeight="1">
      <c r="A1018" s="2" t="s">
        <v>6024</v>
      </c>
      <c r="B1018" s="2" t="s">
        <v>6057</v>
      </c>
      <c r="C1018" s="2" t="s">
        <v>6113</v>
      </c>
      <c r="D1018" s="2" t="s">
        <v>1796</v>
      </c>
      <c r="E1018" s="2">
        <v>100</v>
      </c>
      <c r="H1018" s="2" t="s">
        <v>5667</v>
      </c>
    </row>
    <row r="1019" spans="1:8" ht="15.75" hidden="1" customHeight="1">
      <c r="A1019" s="2" t="s">
        <v>6024</v>
      </c>
      <c r="B1019" s="2" t="s">
        <v>6057</v>
      </c>
      <c r="C1019" s="2" t="s">
        <v>6114</v>
      </c>
      <c r="D1019" s="2" t="s">
        <v>484</v>
      </c>
      <c r="F1019" s="2">
        <v>10</v>
      </c>
      <c r="G1019" s="2">
        <v>0</v>
      </c>
      <c r="H1019" s="2" t="s">
        <v>5667</v>
      </c>
    </row>
    <row r="1020" spans="1:8" ht="15.75" hidden="1" customHeight="1">
      <c r="A1020" s="2" t="s">
        <v>6024</v>
      </c>
      <c r="B1020" s="2" t="s">
        <v>6057</v>
      </c>
      <c r="C1020" s="2" t="s">
        <v>6027</v>
      </c>
      <c r="D1020" s="2" t="s">
        <v>800</v>
      </c>
      <c r="H1020" s="2" t="s">
        <v>5665</v>
      </c>
    </row>
    <row r="1021" spans="1:8" ht="15.75" hidden="1" customHeight="1">
      <c r="A1021" s="2" t="s">
        <v>6024</v>
      </c>
      <c r="B1021" s="2" t="s">
        <v>6057</v>
      </c>
      <c r="C1021" s="2" t="s">
        <v>6115</v>
      </c>
      <c r="D1021" s="2" t="s">
        <v>1796</v>
      </c>
      <c r="E1021" s="2">
        <v>100</v>
      </c>
      <c r="H1021" s="2" t="s">
        <v>5667</v>
      </c>
    </row>
    <row r="1022" spans="1:8" ht="15.75" hidden="1" customHeight="1">
      <c r="A1022" s="2" t="s">
        <v>6024</v>
      </c>
      <c r="B1022" s="2" t="s">
        <v>6057</v>
      </c>
      <c r="C1022" s="2" t="s">
        <v>6116</v>
      </c>
      <c r="D1022" s="2" t="s">
        <v>484</v>
      </c>
      <c r="F1022" s="2">
        <v>10</v>
      </c>
      <c r="G1022" s="2">
        <v>0</v>
      </c>
      <c r="H1022" s="2" t="s">
        <v>5667</v>
      </c>
    </row>
    <row r="1023" spans="1:8" ht="15.75" hidden="1" customHeight="1">
      <c r="A1023" s="2" t="s">
        <v>6024</v>
      </c>
      <c r="B1023" s="2" t="s">
        <v>6057</v>
      </c>
      <c r="C1023" s="2" t="s">
        <v>6117</v>
      </c>
      <c r="D1023" s="2" t="s">
        <v>1796</v>
      </c>
      <c r="E1023" s="2">
        <v>250</v>
      </c>
      <c r="H1023" s="2" t="s">
        <v>5667</v>
      </c>
    </row>
    <row r="1024" spans="1:8" ht="15.75" hidden="1" customHeight="1">
      <c r="A1024" s="2" t="s">
        <v>6024</v>
      </c>
      <c r="B1024" s="2" t="s">
        <v>6058</v>
      </c>
      <c r="C1024" s="2" t="s">
        <v>325</v>
      </c>
      <c r="D1024" s="2" t="s">
        <v>484</v>
      </c>
      <c r="F1024" s="2">
        <v>10</v>
      </c>
      <c r="G1024" s="2">
        <v>0</v>
      </c>
      <c r="H1024" s="2" t="s">
        <v>5665</v>
      </c>
    </row>
    <row r="1025" spans="1:8" ht="15.75" hidden="1" customHeight="1">
      <c r="A1025" s="2" t="s">
        <v>6024</v>
      </c>
      <c r="B1025" s="2" t="s">
        <v>6058</v>
      </c>
      <c r="C1025" s="2" t="s">
        <v>6090</v>
      </c>
      <c r="D1025" s="2" t="s">
        <v>6118</v>
      </c>
      <c r="H1025" s="2" t="s">
        <v>5665</v>
      </c>
    </row>
    <row r="1026" spans="1:8" ht="15.75" hidden="1" customHeight="1">
      <c r="A1026" s="2" t="s">
        <v>6024</v>
      </c>
      <c r="B1026" s="2" t="s">
        <v>6058</v>
      </c>
      <c r="C1026" s="2" t="s">
        <v>6092</v>
      </c>
      <c r="D1026" s="2" t="s">
        <v>1796</v>
      </c>
      <c r="E1026" s="2">
        <v>50</v>
      </c>
      <c r="H1026" s="2" t="s">
        <v>5665</v>
      </c>
    </row>
    <row r="1027" spans="1:8" ht="15.75" hidden="1" customHeight="1">
      <c r="A1027" s="2" t="s">
        <v>6024</v>
      </c>
      <c r="B1027" s="2" t="s">
        <v>6058</v>
      </c>
      <c r="C1027" s="2" t="s">
        <v>6093</v>
      </c>
      <c r="D1027" s="2" t="s">
        <v>484</v>
      </c>
      <c r="F1027" s="2">
        <v>10</v>
      </c>
      <c r="G1027" s="2">
        <v>0</v>
      </c>
      <c r="H1027" s="2" t="s">
        <v>5665</v>
      </c>
    </row>
    <row r="1028" spans="1:8" ht="15.75" hidden="1" customHeight="1">
      <c r="A1028" s="2" t="s">
        <v>6024</v>
      </c>
      <c r="B1028" s="2" t="s">
        <v>6058</v>
      </c>
      <c r="C1028" s="2" t="s">
        <v>6094</v>
      </c>
      <c r="D1028" s="2" t="s">
        <v>484</v>
      </c>
      <c r="F1028" s="2">
        <v>10</v>
      </c>
      <c r="G1028" s="2">
        <v>0</v>
      </c>
      <c r="H1028" s="2" t="s">
        <v>5665</v>
      </c>
    </row>
    <row r="1029" spans="1:8" ht="15.75" hidden="1" customHeight="1">
      <c r="A1029" s="2" t="s">
        <v>6024</v>
      </c>
      <c r="B1029" s="2" t="s">
        <v>6058</v>
      </c>
      <c r="C1029" s="2" t="s">
        <v>6095</v>
      </c>
      <c r="D1029" s="2" t="s">
        <v>1796</v>
      </c>
      <c r="E1029" s="2">
        <v>50</v>
      </c>
      <c r="H1029" s="2" t="s">
        <v>5667</v>
      </c>
    </row>
    <row r="1030" spans="1:8" ht="15.75" hidden="1" customHeight="1">
      <c r="A1030" s="2" t="s">
        <v>6024</v>
      </c>
      <c r="B1030" s="2" t="s">
        <v>6058</v>
      </c>
      <c r="C1030" s="2" t="s">
        <v>4306</v>
      </c>
      <c r="D1030" s="2" t="s">
        <v>1796</v>
      </c>
      <c r="E1030" s="2">
        <v>250</v>
      </c>
      <c r="H1030" s="2" t="s">
        <v>5667</v>
      </c>
    </row>
    <row r="1031" spans="1:8" ht="15.75" hidden="1" customHeight="1">
      <c r="A1031" s="2" t="s">
        <v>6024</v>
      </c>
      <c r="B1031" s="2" t="s">
        <v>6058</v>
      </c>
      <c r="C1031" s="2" t="s">
        <v>4246</v>
      </c>
      <c r="D1031" s="2" t="s">
        <v>1796</v>
      </c>
      <c r="E1031" s="2">
        <v>250</v>
      </c>
      <c r="H1031" s="2" t="s">
        <v>5665</v>
      </c>
    </row>
    <row r="1032" spans="1:8" ht="15.75" hidden="1" customHeight="1">
      <c r="A1032" s="2" t="s">
        <v>6024</v>
      </c>
      <c r="B1032" s="2" t="s">
        <v>6058</v>
      </c>
      <c r="C1032" s="2" t="s">
        <v>6096</v>
      </c>
      <c r="D1032" s="2" t="s">
        <v>484</v>
      </c>
      <c r="F1032" s="2">
        <v>10</v>
      </c>
      <c r="G1032" s="2">
        <v>0</v>
      </c>
      <c r="H1032" s="2" t="s">
        <v>5665</v>
      </c>
    </row>
    <row r="1033" spans="1:8" ht="15.75" hidden="1" customHeight="1">
      <c r="A1033" s="2" t="s">
        <v>6024</v>
      </c>
      <c r="B1033" s="2" t="s">
        <v>6058</v>
      </c>
      <c r="C1033" s="2" t="s">
        <v>6501</v>
      </c>
      <c r="D1033" s="2" t="s">
        <v>1796</v>
      </c>
      <c r="E1033" s="2">
        <v>4</v>
      </c>
      <c r="H1033" s="2" t="s">
        <v>5667</v>
      </c>
    </row>
    <row r="1034" spans="1:8" ht="15.75" hidden="1" customHeight="1">
      <c r="A1034" s="2" t="s">
        <v>6024</v>
      </c>
      <c r="B1034" s="2" t="s">
        <v>6058</v>
      </c>
      <c r="C1034" s="2" t="s">
        <v>6502</v>
      </c>
      <c r="D1034" s="2" t="s">
        <v>1796</v>
      </c>
      <c r="E1034" s="2">
        <v>3</v>
      </c>
      <c r="H1034" s="2" t="s">
        <v>5667</v>
      </c>
    </row>
    <row r="1035" spans="1:8" ht="15.75" hidden="1" customHeight="1">
      <c r="A1035" s="2" t="s">
        <v>6024</v>
      </c>
      <c r="B1035" s="2" t="s">
        <v>6058</v>
      </c>
      <c r="C1035" s="2" t="s">
        <v>6548</v>
      </c>
      <c r="D1035" s="2" t="s">
        <v>1796</v>
      </c>
      <c r="E1035" s="2">
        <v>2</v>
      </c>
      <c r="H1035" s="2" t="s">
        <v>5667</v>
      </c>
    </row>
    <row r="1036" spans="1:8" ht="15.75" hidden="1" customHeight="1">
      <c r="A1036" s="2" t="s">
        <v>6024</v>
      </c>
      <c r="B1036" s="2" t="s">
        <v>6058</v>
      </c>
      <c r="C1036" s="2" t="s">
        <v>6512</v>
      </c>
      <c r="D1036" s="2" t="s">
        <v>800</v>
      </c>
      <c r="H1036" s="2" t="s">
        <v>5667</v>
      </c>
    </row>
    <row r="1037" spans="1:8" ht="15.75" hidden="1" customHeight="1">
      <c r="A1037" s="2" t="s">
        <v>6024</v>
      </c>
      <c r="B1037" s="2" t="s">
        <v>6058</v>
      </c>
      <c r="C1037" s="2" t="s">
        <v>6559</v>
      </c>
      <c r="D1037" s="2" t="s">
        <v>1796</v>
      </c>
      <c r="E1037" s="2">
        <v>50</v>
      </c>
      <c r="H1037" s="2" t="s">
        <v>5667</v>
      </c>
    </row>
    <row r="1038" spans="1:8" ht="15.75" hidden="1" customHeight="1">
      <c r="A1038" s="2" t="s">
        <v>6024</v>
      </c>
      <c r="B1038" s="2" t="s">
        <v>6058</v>
      </c>
      <c r="C1038" s="2" t="s">
        <v>6560</v>
      </c>
      <c r="D1038" s="2" t="s">
        <v>1796</v>
      </c>
      <c r="E1038" s="2">
        <v>50</v>
      </c>
      <c r="H1038" s="2" t="s">
        <v>5667</v>
      </c>
    </row>
    <row r="1039" spans="1:8" ht="15.75" hidden="1" customHeight="1">
      <c r="A1039" s="2" t="s">
        <v>6024</v>
      </c>
      <c r="B1039" s="2" t="s">
        <v>6058</v>
      </c>
      <c r="C1039" s="2" t="s">
        <v>6561</v>
      </c>
      <c r="D1039" s="2" t="s">
        <v>1796</v>
      </c>
      <c r="E1039" s="2">
        <v>50</v>
      </c>
      <c r="H1039" s="2" t="s">
        <v>5667</v>
      </c>
    </row>
    <row r="1040" spans="1:8" ht="15.75" hidden="1" customHeight="1">
      <c r="A1040" s="2" t="s">
        <v>6024</v>
      </c>
      <c r="B1040" s="2" t="s">
        <v>6058</v>
      </c>
      <c r="C1040" s="2" t="s">
        <v>6562</v>
      </c>
      <c r="D1040" s="2" t="s">
        <v>1796</v>
      </c>
      <c r="E1040" s="2">
        <v>255</v>
      </c>
      <c r="H1040" s="2" t="s">
        <v>5667</v>
      </c>
    </row>
    <row r="1041" spans="1:8" ht="15.75" hidden="1" customHeight="1">
      <c r="A1041" s="2" t="s">
        <v>6024</v>
      </c>
      <c r="B1041" s="2" t="s">
        <v>6058</v>
      </c>
      <c r="C1041" s="2" t="s">
        <v>6563</v>
      </c>
      <c r="D1041" s="2" t="s">
        <v>481</v>
      </c>
      <c r="F1041" s="2">
        <v>38</v>
      </c>
      <c r="G1041" s="2">
        <v>2</v>
      </c>
      <c r="H1041" s="2" t="s">
        <v>5667</v>
      </c>
    </row>
    <row r="1042" spans="1:8" ht="15.75" hidden="1" customHeight="1">
      <c r="A1042" s="2" t="s">
        <v>6024</v>
      </c>
      <c r="B1042" s="2" t="s">
        <v>6058</v>
      </c>
      <c r="C1042" s="2" t="s">
        <v>6564</v>
      </c>
      <c r="D1042" s="2" t="s">
        <v>481</v>
      </c>
      <c r="F1042" s="2">
        <v>38</v>
      </c>
      <c r="G1042" s="2">
        <v>2</v>
      </c>
      <c r="H1042" s="2" t="s">
        <v>5667</v>
      </c>
    </row>
    <row r="1043" spans="1:8" ht="15.75" hidden="1" customHeight="1">
      <c r="A1043" s="2" t="s">
        <v>6024</v>
      </c>
      <c r="B1043" s="2" t="s">
        <v>6058</v>
      </c>
      <c r="C1043" s="2" t="s">
        <v>6565</v>
      </c>
      <c r="D1043" s="2" t="s">
        <v>481</v>
      </c>
      <c r="F1043" s="2">
        <v>38</v>
      </c>
      <c r="G1043" s="2">
        <v>2</v>
      </c>
      <c r="H1043" s="2" t="s">
        <v>5667</v>
      </c>
    </row>
    <row r="1044" spans="1:8" ht="15.75" hidden="1" customHeight="1">
      <c r="A1044" s="2" t="s">
        <v>6024</v>
      </c>
      <c r="B1044" s="2" t="s">
        <v>6058</v>
      </c>
      <c r="C1044" s="2" t="s">
        <v>6478</v>
      </c>
      <c r="D1044" s="2" t="s">
        <v>1796</v>
      </c>
      <c r="E1044" s="2">
        <v>100</v>
      </c>
      <c r="H1044" s="2" t="s">
        <v>5667</v>
      </c>
    </row>
    <row r="1045" spans="1:8" ht="15.75" hidden="1" customHeight="1">
      <c r="A1045" s="2" t="s">
        <v>6024</v>
      </c>
      <c r="B1045" s="2" t="s">
        <v>6058</v>
      </c>
      <c r="C1045" s="2" t="s">
        <v>6479</v>
      </c>
      <c r="D1045" s="2" t="s">
        <v>1796</v>
      </c>
      <c r="E1045" s="2">
        <v>100</v>
      </c>
      <c r="H1045" s="2" t="s">
        <v>5667</v>
      </c>
    </row>
    <row r="1046" spans="1:8" ht="15.75" hidden="1" customHeight="1">
      <c r="A1046" s="2" t="s">
        <v>6024</v>
      </c>
      <c r="B1046" s="2" t="s">
        <v>6058</v>
      </c>
      <c r="C1046" s="2" t="s">
        <v>6209</v>
      </c>
      <c r="D1046" s="2" t="s">
        <v>800</v>
      </c>
      <c r="H1046" s="2" t="s">
        <v>5667</v>
      </c>
    </row>
    <row r="1047" spans="1:8" ht="15.75" hidden="1" customHeight="1">
      <c r="A1047" s="2" t="s">
        <v>6024</v>
      </c>
      <c r="B1047" s="2" t="s">
        <v>6058</v>
      </c>
      <c r="C1047" s="2" t="s">
        <v>6112</v>
      </c>
      <c r="D1047" s="2" t="s">
        <v>800</v>
      </c>
      <c r="H1047" s="2" t="s">
        <v>5665</v>
      </c>
    </row>
    <row r="1048" spans="1:8" ht="15.75" hidden="1" customHeight="1">
      <c r="A1048" s="2" t="s">
        <v>6024</v>
      </c>
      <c r="B1048" s="2" t="s">
        <v>6058</v>
      </c>
      <c r="C1048" s="2" t="s">
        <v>6113</v>
      </c>
      <c r="D1048" s="2" t="s">
        <v>1796</v>
      </c>
      <c r="E1048" s="2">
        <v>100</v>
      </c>
      <c r="H1048" s="2" t="s">
        <v>5667</v>
      </c>
    </row>
    <row r="1049" spans="1:8" ht="15.75" hidden="1" customHeight="1">
      <c r="A1049" s="2" t="s">
        <v>6024</v>
      </c>
      <c r="B1049" s="2" t="s">
        <v>6058</v>
      </c>
      <c r="C1049" s="2" t="s">
        <v>6114</v>
      </c>
      <c r="D1049" s="2" t="s">
        <v>484</v>
      </c>
      <c r="F1049" s="2">
        <v>10</v>
      </c>
      <c r="G1049" s="2">
        <v>0</v>
      </c>
      <c r="H1049" s="2" t="s">
        <v>5667</v>
      </c>
    </row>
    <row r="1050" spans="1:8" ht="15.75" hidden="1" customHeight="1">
      <c r="A1050" s="2" t="s">
        <v>6024</v>
      </c>
      <c r="B1050" s="2" t="s">
        <v>6058</v>
      </c>
      <c r="C1050" s="2" t="s">
        <v>6027</v>
      </c>
      <c r="D1050" s="2" t="s">
        <v>800</v>
      </c>
      <c r="H1050" s="2" t="s">
        <v>5665</v>
      </c>
    </row>
    <row r="1051" spans="1:8" ht="15.75" hidden="1" customHeight="1">
      <c r="A1051" s="2" t="s">
        <v>6024</v>
      </c>
      <c r="B1051" s="2" t="s">
        <v>6058</v>
      </c>
      <c r="C1051" s="2" t="s">
        <v>6115</v>
      </c>
      <c r="D1051" s="2" t="s">
        <v>1796</v>
      </c>
      <c r="E1051" s="2">
        <v>100</v>
      </c>
      <c r="H1051" s="2" t="s">
        <v>5667</v>
      </c>
    </row>
    <row r="1052" spans="1:8" ht="15.75" hidden="1" customHeight="1">
      <c r="A1052" s="2" t="s">
        <v>6024</v>
      </c>
      <c r="B1052" s="2" t="s">
        <v>6058</v>
      </c>
      <c r="C1052" s="2" t="s">
        <v>6116</v>
      </c>
      <c r="D1052" s="2" t="s">
        <v>484</v>
      </c>
      <c r="F1052" s="2">
        <v>10</v>
      </c>
      <c r="G1052" s="2">
        <v>0</v>
      </c>
      <c r="H1052" s="2" t="s">
        <v>5667</v>
      </c>
    </row>
    <row r="1053" spans="1:8" ht="15.75" hidden="1" customHeight="1">
      <c r="A1053" s="2" t="s">
        <v>6024</v>
      </c>
      <c r="B1053" s="2" t="s">
        <v>6058</v>
      </c>
      <c r="C1053" s="2" t="s">
        <v>6117</v>
      </c>
      <c r="D1053" s="2" t="s">
        <v>1796</v>
      </c>
      <c r="E1053" s="2">
        <v>250</v>
      </c>
      <c r="H1053" s="2" t="s">
        <v>5667</v>
      </c>
    </row>
    <row r="1054" spans="1:8" ht="15.75" hidden="1" customHeight="1">
      <c r="A1054" s="2" t="s">
        <v>6024</v>
      </c>
      <c r="B1054" s="2" t="s">
        <v>6059</v>
      </c>
      <c r="C1054" s="2" t="s">
        <v>325</v>
      </c>
      <c r="D1054" s="2" t="s">
        <v>484</v>
      </c>
      <c r="F1054" s="2">
        <v>10</v>
      </c>
      <c r="G1054" s="2">
        <v>0</v>
      </c>
      <c r="H1054" s="2" t="s">
        <v>5665</v>
      </c>
    </row>
    <row r="1055" spans="1:8" ht="15.75" hidden="1" customHeight="1">
      <c r="A1055" s="2" t="s">
        <v>6024</v>
      </c>
      <c r="B1055" s="2" t="s">
        <v>6059</v>
      </c>
      <c r="C1055" s="2" t="s">
        <v>6090</v>
      </c>
      <c r="D1055" s="2" t="s">
        <v>6118</v>
      </c>
      <c r="H1055" s="2" t="s">
        <v>5665</v>
      </c>
    </row>
    <row r="1056" spans="1:8" ht="15.75" hidden="1" customHeight="1">
      <c r="A1056" s="2" t="s">
        <v>6024</v>
      </c>
      <c r="B1056" s="2" t="s">
        <v>6059</v>
      </c>
      <c r="C1056" s="2" t="s">
        <v>6092</v>
      </c>
      <c r="D1056" s="2" t="s">
        <v>1796</v>
      </c>
      <c r="E1056" s="2">
        <v>50</v>
      </c>
      <c r="H1056" s="2" t="s">
        <v>5665</v>
      </c>
    </row>
    <row r="1057" spans="1:8" ht="15.75" hidden="1" customHeight="1">
      <c r="A1057" s="2" t="s">
        <v>6024</v>
      </c>
      <c r="B1057" s="2" t="s">
        <v>6059</v>
      </c>
      <c r="C1057" s="2" t="s">
        <v>6093</v>
      </c>
      <c r="D1057" s="2" t="s">
        <v>484</v>
      </c>
      <c r="F1057" s="2">
        <v>10</v>
      </c>
      <c r="G1057" s="2">
        <v>0</v>
      </c>
      <c r="H1057" s="2" t="s">
        <v>5665</v>
      </c>
    </row>
    <row r="1058" spans="1:8" ht="15.75" hidden="1" customHeight="1">
      <c r="A1058" s="2" t="s">
        <v>6024</v>
      </c>
      <c r="B1058" s="2" t="s">
        <v>6059</v>
      </c>
      <c r="C1058" s="2" t="s">
        <v>6094</v>
      </c>
      <c r="D1058" s="2" t="s">
        <v>484</v>
      </c>
      <c r="F1058" s="2">
        <v>10</v>
      </c>
      <c r="G1058" s="2">
        <v>0</v>
      </c>
      <c r="H1058" s="2" t="s">
        <v>5665</v>
      </c>
    </row>
    <row r="1059" spans="1:8" ht="15.75" hidden="1" customHeight="1">
      <c r="A1059" s="2" t="s">
        <v>6024</v>
      </c>
      <c r="B1059" s="2" t="s">
        <v>6059</v>
      </c>
      <c r="C1059" s="2" t="s">
        <v>6095</v>
      </c>
      <c r="D1059" s="2" t="s">
        <v>1796</v>
      </c>
      <c r="E1059" s="2">
        <v>50</v>
      </c>
      <c r="H1059" s="2" t="s">
        <v>5667</v>
      </c>
    </row>
    <row r="1060" spans="1:8" ht="15.75" hidden="1" customHeight="1">
      <c r="A1060" s="2" t="s">
        <v>6024</v>
      </c>
      <c r="B1060" s="2" t="s">
        <v>6059</v>
      </c>
      <c r="C1060" s="2" t="s">
        <v>4306</v>
      </c>
      <c r="D1060" s="2" t="s">
        <v>1796</v>
      </c>
      <c r="E1060" s="2">
        <v>250</v>
      </c>
      <c r="H1060" s="2" t="s">
        <v>5667</v>
      </c>
    </row>
    <row r="1061" spans="1:8" ht="15.75" hidden="1" customHeight="1">
      <c r="A1061" s="2" t="s">
        <v>6024</v>
      </c>
      <c r="B1061" s="2" t="s">
        <v>6059</v>
      </c>
      <c r="C1061" s="2" t="s">
        <v>4246</v>
      </c>
      <c r="D1061" s="2" t="s">
        <v>1796</v>
      </c>
      <c r="E1061" s="2">
        <v>250</v>
      </c>
      <c r="H1061" s="2" t="s">
        <v>5665</v>
      </c>
    </row>
    <row r="1062" spans="1:8" ht="15.75" hidden="1" customHeight="1">
      <c r="A1062" s="2" t="s">
        <v>6024</v>
      </c>
      <c r="B1062" s="2" t="s">
        <v>6059</v>
      </c>
      <c r="C1062" s="2" t="s">
        <v>6096</v>
      </c>
      <c r="D1062" s="2" t="s">
        <v>484</v>
      </c>
      <c r="F1062" s="2">
        <v>10</v>
      </c>
      <c r="G1062" s="2">
        <v>0</v>
      </c>
      <c r="H1062" s="2" t="s">
        <v>5665</v>
      </c>
    </row>
    <row r="1063" spans="1:8" ht="15.75" hidden="1" customHeight="1">
      <c r="A1063" s="2" t="s">
        <v>6024</v>
      </c>
      <c r="B1063" s="2" t="s">
        <v>6059</v>
      </c>
      <c r="C1063" s="2" t="s">
        <v>6501</v>
      </c>
      <c r="D1063" s="2" t="s">
        <v>1796</v>
      </c>
      <c r="E1063" s="2">
        <v>4</v>
      </c>
      <c r="H1063" s="2" t="s">
        <v>5667</v>
      </c>
    </row>
    <row r="1064" spans="1:8" ht="15.75" hidden="1" customHeight="1">
      <c r="A1064" s="2" t="s">
        <v>6024</v>
      </c>
      <c r="B1064" s="2" t="s">
        <v>6059</v>
      </c>
      <c r="C1064" s="2" t="s">
        <v>6502</v>
      </c>
      <c r="D1064" s="2" t="s">
        <v>1796</v>
      </c>
      <c r="E1064" s="2">
        <v>3</v>
      </c>
      <c r="H1064" s="2" t="s">
        <v>5667</v>
      </c>
    </row>
    <row r="1065" spans="1:8" ht="15.75" hidden="1" customHeight="1">
      <c r="A1065" s="2" t="s">
        <v>6024</v>
      </c>
      <c r="B1065" s="2" t="s">
        <v>6059</v>
      </c>
      <c r="C1065" s="2" t="s">
        <v>6512</v>
      </c>
      <c r="D1065" s="2" t="s">
        <v>800</v>
      </c>
      <c r="H1065" s="2" t="s">
        <v>5667</v>
      </c>
    </row>
    <row r="1066" spans="1:8" ht="15.75" hidden="1" customHeight="1">
      <c r="A1066" s="2" t="s">
        <v>6024</v>
      </c>
      <c r="B1066" s="2" t="s">
        <v>6059</v>
      </c>
      <c r="C1066" s="2" t="s">
        <v>6559</v>
      </c>
      <c r="D1066" s="2" t="s">
        <v>1796</v>
      </c>
      <c r="E1066" s="2">
        <v>50</v>
      </c>
      <c r="H1066" s="2" t="s">
        <v>5667</v>
      </c>
    </row>
    <row r="1067" spans="1:8" ht="15.75" hidden="1" customHeight="1">
      <c r="A1067" s="2" t="s">
        <v>6024</v>
      </c>
      <c r="B1067" s="2" t="s">
        <v>6059</v>
      </c>
      <c r="C1067" s="2" t="s">
        <v>6547</v>
      </c>
      <c r="D1067" s="2" t="s">
        <v>481</v>
      </c>
      <c r="F1067" s="2">
        <v>38</v>
      </c>
      <c r="G1067" s="2">
        <v>4</v>
      </c>
      <c r="H1067" s="2" t="s">
        <v>5667</v>
      </c>
    </row>
    <row r="1068" spans="1:8" ht="15.75" hidden="1" customHeight="1">
      <c r="A1068" s="2" t="s">
        <v>6024</v>
      </c>
      <c r="B1068" s="2" t="s">
        <v>6059</v>
      </c>
      <c r="C1068" s="2" t="s">
        <v>6209</v>
      </c>
      <c r="D1068" s="2" t="s">
        <v>800</v>
      </c>
      <c r="H1068" s="2" t="s">
        <v>5667</v>
      </c>
    </row>
    <row r="1069" spans="1:8" ht="15.75" hidden="1" customHeight="1">
      <c r="A1069" s="2" t="s">
        <v>6024</v>
      </c>
      <c r="B1069" s="2" t="s">
        <v>6059</v>
      </c>
      <c r="C1069" s="2" t="s">
        <v>6112</v>
      </c>
      <c r="D1069" s="2" t="s">
        <v>800</v>
      </c>
      <c r="H1069" s="2" t="s">
        <v>5665</v>
      </c>
    </row>
    <row r="1070" spans="1:8" ht="15.75" hidden="1" customHeight="1">
      <c r="A1070" s="2" t="s">
        <v>6024</v>
      </c>
      <c r="B1070" s="2" t="s">
        <v>6059</v>
      </c>
      <c r="C1070" s="2" t="s">
        <v>6113</v>
      </c>
      <c r="D1070" s="2" t="s">
        <v>1796</v>
      </c>
      <c r="E1070" s="2">
        <v>100</v>
      </c>
      <c r="H1070" s="2" t="s">
        <v>5667</v>
      </c>
    </row>
    <row r="1071" spans="1:8" ht="15.75" hidden="1" customHeight="1">
      <c r="A1071" s="2" t="s">
        <v>6024</v>
      </c>
      <c r="B1071" s="2" t="s">
        <v>6059</v>
      </c>
      <c r="C1071" s="2" t="s">
        <v>6114</v>
      </c>
      <c r="D1071" s="2" t="s">
        <v>484</v>
      </c>
      <c r="F1071" s="2">
        <v>10</v>
      </c>
      <c r="G1071" s="2">
        <v>0</v>
      </c>
      <c r="H1071" s="2" t="s">
        <v>5667</v>
      </c>
    </row>
    <row r="1072" spans="1:8" ht="15.75" hidden="1" customHeight="1">
      <c r="A1072" s="2" t="s">
        <v>6024</v>
      </c>
      <c r="B1072" s="2" t="s">
        <v>6059</v>
      </c>
      <c r="C1072" s="2" t="s">
        <v>6027</v>
      </c>
      <c r="D1072" s="2" t="s">
        <v>800</v>
      </c>
      <c r="H1072" s="2" t="s">
        <v>5665</v>
      </c>
    </row>
    <row r="1073" spans="1:8" ht="15.75" hidden="1" customHeight="1">
      <c r="A1073" s="2" t="s">
        <v>6024</v>
      </c>
      <c r="B1073" s="2" t="s">
        <v>6059</v>
      </c>
      <c r="C1073" s="2" t="s">
        <v>6115</v>
      </c>
      <c r="D1073" s="2" t="s">
        <v>1796</v>
      </c>
      <c r="E1073" s="2">
        <v>100</v>
      </c>
      <c r="H1073" s="2" t="s">
        <v>5667</v>
      </c>
    </row>
    <row r="1074" spans="1:8" ht="15.75" hidden="1" customHeight="1">
      <c r="A1074" s="2" t="s">
        <v>6024</v>
      </c>
      <c r="B1074" s="2" t="s">
        <v>6059</v>
      </c>
      <c r="C1074" s="2" t="s">
        <v>6116</v>
      </c>
      <c r="D1074" s="2" t="s">
        <v>484</v>
      </c>
      <c r="F1074" s="2">
        <v>10</v>
      </c>
      <c r="G1074" s="2">
        <v>0</v>
      </c>
      <c r="H1074" s="2" t="s">
        <v>5667</v>
      </c>
    </row>
    <row r="1075" spans="1:8" ht="15.75" hidden="1" customHeight="1">
      <c r="A1075" s="2" t="s">
        <v>6024</v>
      </c>
      <c r="B1075" s="2" t="s">
        <v>6059</v>
      </c>
      <c r="C1075" s="2" t="s">
        <v>6117</v>
      </c>
      <c r="D1075" s="2" t="s">
        <v>1796</v>
      </c>
      <c r="E1075" s="2">
        <v>250</v>
      </c>
      <c r="H1075" s="2" t="s">
        <v>5667</v>
      </c>
    </row>
    <row r="1076" spans="1:8" ht="15.75" hidden="1" customHeight="1">
      <c r="A1076" s="2" t="s">
        <v>6024</v>
      </c>
      <c r="B1076" s="2" t="s">
        <v>6060</v>
      </c>
      <c r="C1076" s="2" t="s">
        <v>325</v>
      </c>
      <c r="D1076" s="2" t="s">
        <v>484</v>
      </c>
      <c r="F1076" s="2">
        <v>10</v>
      </c>
      <c r="G1076" s="2">
        <v>0</v>
      </c>
      <c r="H1076" s="2" t="s">
        <v>5665</v>
      </c>
    </row>
    <row r="1077" spans="1:8" ht="15.75" hidden="1" customHeight="1">
      <c r="A1077" s="2" t="s">
        <v>6024</v>
      </c>
      <c r="B1077" s="2" t="s">
        <v>6060</v>
      </c>
      <c r="C1077" s="2" t="s">
        <v>6090</v>
      </c>
      <c r="D1077" s="2" t="s">
        <v>6118</v>
      </c>
      <c r="H1077" s="2" t="s">
        <v>5665</v>
      </c>
    </row>
    <row r="1078" spans="1:8" ht="15.75" hidden="1" customHeight="1">
      <c r="A1078" s="2" t="s">
        <v>6024</v>
      </c>
      <c r="B1078" s="2" t="s">
        <v>6060</v>
      </c>
      <c r="C1078" s="2" t="s">
        <v>6092</v>
      </c>
      <c r="D1078" s="2" t="s">
        <v>1796</v>
      </c>
      <c r="E1078" s="2">
        <v>50</v>
      </c>
      <c r="H1078" s="2" t="s">
        <v>5665</v>
      </c>
    </row>
    <row r="1079" spans="1:8" ht="15.75" hidden="1" customHeight="1">
      <c r="A1079" s="2" t="s">
        <v>6024</v>
      </c>
      <c r="B1079" s="2" t="s">
        <v>6060</v>
      </c>
      <c r="C1079" s="2" t="s">
        <v>6093</v>
      </c>
      <c r="D1079" s="2" t="s">
        <v>484</v>
      </c>
      <c r="F1079" s="2">
        <v>10</v>
      </c>
      <c r="G1079" s="2">
        <v>0</v>
      </c>
      <c r="H1079" s="2" t="s">
        <v>5665</v>
      </c>
    </row>
    <row r="1080" spans="1:8" ht="15.75" hidden="1" customHeight="1">
      <c r="A1080" s="2" t="s">
        <v>6024</v>
      </c>
      <c r="B1080" s="2" t="s">
        <v>6060</v>
      </c>
      <c r="C1080" s="2" t="s">
        <v>6094</v>
      </c>
      <c r="D1080" s="2" t="s">
        <v>484</v>
      </c>
      <c r="F1080" s="2">
        <v>10</v>
      </c>
      <c r="G1080" s="2">
        <v>0</v>
      </c>
      <c r="H1080" s="2" t="s">
        <v>5665</v>
      </c>
    </row>
    <row r="1081" spans="1:8" ht="15.75" hidden="1" customHeight="1">
      <c r="A1081" s="2" t="s">
        <v>6024</v>
      </c>
      <c r="B1081" s="2" t="s">
        <v>6060</v>
      </c>
      <c r="C1081" s="2" t="s">
        <v>6095</v>
      </c>
      <c r="D1081" s="2" t="s">
        <v>1796</v>
      </c>
      <c r="E1081" s="2">
        <v>50</v>
      </c>
      <c r="H1081" s="2" t="s">
        <v>5667</v>
      </c>
    </row>
    <row r="1082" spans="1:8" ht="15.75" hidden="1" customHeight="1">
      <c r="A1082" s="2" t="s">
        <v>6024</v>
      </c>
      <c r="B1082" s="2" t="s">
        <v>6060</v>
      </c>
      <c r="C1082" s="2" t="s">
        <v>4306</v>
      </c>
      <c r="D1082" s="2" t="s">
        <v>1796</v>
      </c>
      <c r="E1082" s="2">
        <v>250</v>
      </c>
      <c r="H1082" s="2" t="s">
        <v>5667</v>
      </c>
    </row>
    <row r="1083" spans="1:8" ht="15.75" hidden="1" customHeight="1">
      <c r="A1083" s="2" t="s">
        <v>6024</v>
      </c>
      <c r="B1083" s="2" t="s">
        <v>6060</v>
      </c>
      <c r="C1083" s="2" t="s">
        <v>4246</v>
      </c>
      <c r="D1083" s="2" t="s">
        <v>1796</v>
      </c>
      <c r="E1083" s="2">
        <v>250</v>
      </c>
      <c r="H1083" s="2" t="s">
        <v>5665</v>
      </c>
    </row>
    <row r="1084" spans="1:8" ht="15.75" hidden="1" customHeight="1">
      <c r="A1084" s="2" t="s">
        <v>6024</v>
      </c>
      <c r="B1084" s="2" t="s">
        <v>6060</v>
      </c>
      <c r="C1084" s="2" t="s">
        <v>6096</v>
      </c>
      <c r="D1084" s="2" t="s">
        <v>484</v>
      </c>
      <c r="F1084" s="2">
        <v>10</v>
      </c>
      <c r="G1084" s="2">
        <v>0</v>
      </c>
      <c r="H1084" s="2" t="s">
        <v>5665</v>
      </c>
    </row>
    <row r="1085" spans="1:8" ht="15.75" hidden="1" customHeight="1">
      <c r="A1085" s="2" t="s">
        <v>6024</v>
      </c>
      <c r="B1085" s="2" t="s">
        <v>6060</v>
      </c>
      <c r="C1085" s="2" t="s">
        <v>6566</v>
      </c>
      <c r="D1085" s="2" t="s">
        <v>481</v>
      </c>
      <c r="F1085" s="2">
        <v>38</v>
      </c>
      <c r="G1085" s="2">
        <v>0</v>
      </c>
      <c r="H1085" s="2" t="s">
        <v>5667</v>
      </c>
    </row>
    <row r="1086" spans="1:8" ht="15.75" hidden="1" customHeight="1">
      <c r="A1086" s="2" t="s">
        <v>6024</v>
      </c>
      <c r="B1086" s="2" t="s">
        <v>6060</v>
      </c>
      <c r="C1086" s="2" t="s">
        <v>6567</v>
      </c>
      <c r="D1086" s="2" t="s">
        <v>1796</v>
      </c>
      <c r="E1086" s="2">
        <v>10</v>
      </c>
      <c r="H1086" s="2" t="s">
        <v>5667</v>
      </c>
    </row>
    <row r="1087" spans="1:8" ht="15.75" hidden="1" customHeight="1">
      <c r="A1087" s="2" t="s">
        <v>6024</v>
      </c>
      <c r="B1087" s="2" t="s">
        <v>6060</v>
      </c>
      <c r="C1087" s="2" t="s">
        <v>6568</v>
      </c>
      <c r="D1087" s="2" t="s">
        <v>481</v>
      </c>
      <c r="F1087" s="2">
        <v>38</v>
      </c>
      <c r="G1087" s="2">
        <v>3</v>
      </c>
      <c r="H1087" s="2" t="s">
        <v>5667</v>
      </c>
    </row>
    <row r="1088" spans="1:8" ht="15.75" hidden="1" customHeight="1">
      <c r="A1088" s="2" t="s">
        <v>6024</v>
      </c>
      <c r="B1088" s="2" t="s">
        <v>6060</v>
      </c>
      <c r="C1088" s="2" t="s">
        <v>6569</v>
      </c>
      <c r="D1088" s="2" t="s">
        <v>481</v>
      </c>
      <c r="F1088" s="2">
        <v>38</v>
      </c>
      <c r="G1088" s="2">
        <v>3</v>
      </c>
      <c r="H1088" s="2" t="s">
        <v>5667</v>
      </c>
    </row>
    <row r="1089" spans="1:8" ht="15.75" hidden="1" customHeight="1">
      <c r="A1089" s="2" t="s">
        <v>6024</v>
      </c>
      <c r="B1089" s="2" t="s">
        <v>6060</v>
      </c>
      <c r="C1089" s="2" t="s">
        <v>6209</v>
      </c>
      <c r="D1089" s="2" t="s">
        <v>800</v>
      </c>
      <c r="H1089" s="2" t="s">
        <v>5667</v>
      </c>
    </row>
    <row r="1090" spans="1:8" ht="15.75" hidden="1" customHeight="1">
      <c r="A1090" s="2" t="s">
        <v>6024</v>
      </c>
      <c r="B1090" s="2" t="s">
        <v>6060</v>
      </c>
      <c r="C1090" s="2" t="s">
        <v>6112</v>
      </c>
      <c r="D1090" s="2" t="s">
        <v>800</v>
      </c>
      <c r="H1090" s="2" t="s">
        <v>5665</v>
      </c>
    </row>
    <row r="1091" spans="1:8" ht="15.75" hidden="1" customHeight="1">
      <c r="A1091" s="2" t="s">
        <v>6024</v>
      </c>
      <c r="B1091" s="2" t="s">
        <v>6060</v>
      </c>
      <c r="C1091" s="2" t="s">
        <v>6113</v>
      </c>
      <c r="D1091" s="2" t="s">
        <v>1796</v>
      </c>
      <c r="E1091" s="2">
        <v>100</v>
      </c>
      <c r="H1091" s="2" t="s">
        <v>5667</v>
      </c>
    </row>
    <row r="1092" spans="1:8" ht="15.75" hidden="1" customHeight="1">
      <c r="A1092" s="2" t="s">
        <v>6024</v>
      </c>
      <c r="B1092" s="2" t="s">
        <v>6060</v>
      </c>
      <c r="C1092" s="2" t="s">
        <v>6114</v>
      </c>
      <c r="D1092" s="2" t="s">
        <v>484</v>
      </c>
      <c r="F1092" s="2">
        <v>10</v>
      </c>
      <c r="G1092" s="2">
        <v>0</v>
      </c>
      <c r="H1092" s="2" t="s">
        <v>5667</v>
      </c>
    </row>
    <row r="1093" spans="1:8" ht="15.75" hidden="1" customHeight="1">
      <c r="A1093" s="2" t="s">
        <v>6024</v>
      </c>
      <c r="B1093" s="2" t="s">
        <v>6060</v>
      </c>
      <c r="C1093" s="2" t="s">
        <v>6027</v>
      </c>
      <c r="D1093" s="2" t="s">
        <v>800</v>
      </c>
      <c r="H1093" s="2" t="s">
        <v>5665</v>
      </c>
    </row>
    <row r="1094" spans="1:8" ht="15.75" hidden="1" customHeight="1">
      <c r="A1094" s="2" t="s">
        <v>6024</v>
      </c>
      <c r="B1094" s="2" t="s">
        <v>6060</v>
      </c>
      <c r="C1094" s="2" t="s">
        <v>6115</v>
      </c>
      <c r="D1094" s="2" t="s">
        <v>1796</v>
      </c>
      <c r="E1094" s="2">
        <v>100</v>
      </c>
      <c r="H1094" s="2" t="s">
        <v>5667</v>
      </c>
    </row>
    <row r="1095" spans="1:8" ht="15.75" hidden="1" customHeight="1">
      <c r="A1095" s="2" t="s">
        <v>6024</v>
      </c>
      <c r="B1095" s="2" t="s">
        <v>6060</v>
      </c>
      <c r="C1095" s="2" t="s">
        <v>6116</v>
      </c>
      <c r="D1095" s="2" t="s">
        <v>484</v>
      </c>
      <c r="F1095" s="2">
        <v>10</v>
      </c>
      <c r="G1095" s="2">
        <v>0</v>
      </c>
      <c r="H1095" s="2" t="s">
        <v>5667</v>
      </c>
    </row>
    <row r="1096" spans="1:8" ht="15.75" hidden="1" customHeight="1">
      <c r="A1096" s="2" t="s">
        <v>6024</v>
      </c>
      <c r="B1096" s="2" t="s">
        <v>6060</v>
      </c>
      <c r="C1096" s="2" t="s">
        <v>6117</v>
      </c>
      <c r="D1096" s="2" t="s">
        <v>1796</v>
      </c>
      <c r="E1096" s="2">
        <v>250</v>
      </c>
      <c r="H1096" s="2" t="s">
        <v>5667</v>
      </c>
    </row>
    <row r="1097" spans="1:8" ht="15.75" hidden="1" customHeight="1">
      <c r="A1097" s="2" t="s">
        <v>6024</v>
      </c>
      <c r="B1097" s="2" t="s">
        <v>6061</v>
      </c>
      <c r="C1097" s="2" t="s">
        <v>325</v>
      </c>
      <c r="D1097" s="2" t="s">
        <v>484</v>
      </c>
      <c r="F1097" s="2">
        <v>10</v>
      </c>
      <c r="G1097" s="2">
        <v>0</v>
      </c>
      <c r="H1097" s="2" t="s">
        <v>5665</v>
      </c>
    </row>
    <row r="1098" spans="1:8" ht="15.75" hidden="1" customHeight="1">
      <c r="A1098" s="2" t="s">
        <v>6024</v>
      </c>
      <c r="B1098" s="2" t="s">
        <v>6061</v>
      </c>
      <c r="C1098" s="2" t="s">
        <v>6090</v>
      </c>
      <c r="D1098" s="2" t="s">
        <v>6118</v>
      </c>
      <c r="H1098" s="2" t="s">
        <v>5665</v>
      </c>
    </row>
    <row r="1099" spans="1:8" ht="15.75" hidden="1" customHeight="1">
      <c r="A1099" s="2" t="s">
        <v>6024</v>
      </c>
      <c r="B1099" s="2" t="s">
        <v>6061</v>
      </c>
      <c r="C1099" s="2" t="s">
        <v>6092</v>
      </c>
      <c r="D1099" s="2" t="s">
        <v>1796</v>
      </c>
      <c r="E1099" s="2">
        <v>50</v>
      </c>
      <c r="H1099" s="2" t="s">
        <v>5665</v>
      </c>
    </row>
    <row r="1100" spans="1:8" ht="15.75" hidden="1" customHeight="1">
      <c r="A1100" s="2" t="s">
        <v>6024</v>
      </c>
      <c r="B1100" s="2" t="s">
        <v>6061</v>
      </c>
      <c r="C1100" s="2" t="s">
        <v>6093</v>
      </c>
      <c r="D1100" s="2" t="s">
        <v>484</v>
      </c>
      <c r="F1100" s="2">
        <v>10</v>
      </c>
      <c r="G1100" s="2">
        <v>0</v>
      </c>
      <c r="H1100" s="2" t="s">
        <v>5665</v>
      </c>
    </row>
    <row r="1101" spans="1:8" ht="15.75" hidden="1" customHeight="1">
      <c r="A1101" s="2" t="s">
        <v>6024</v>
      </c>
      <c r="B1101" s="2" t="s">
        <v>6061</v>
      </c>
      <c r="C1101" s="2" t="s">
        <v>6094</v>
      </c>
      <c r="D1101" s="2" t="s">
        <v>484</v>
      </c>
      <c r="F1101" s="2">
        <v>10</v>
      </c>
      <c r="G1101" s="2">
        <v>0</v>
      </c>
      <c r="H1101" s="2" t="s">
        <v>5665</v>
      </c>
    </row>
    <row r="1102" spans="1:8" ht="15.75" hidden="1" customHeight="1">
      <c r="A1102" s="2" t="s">
        <v>6024</v>
      </c>
      <c r="B1102" s="2" t="s">
        <v>6061</v>
      </c>
      <c r="C1102" s="2" t="s">
        <v>6095</v>
      </c>
      <c r="D1102" s="2" t="s">
        <v>1796</v>
      </c>
      <c r="E1102" s="2">
        <v>50</v>
      </c>
      <c r="H1102" s="2" t="s">
        <v>5667</v>
      </c>
    </row>
    <row r="1103" spans="1:8" ht="15.75" hidden="1" customHeight="1">
      <c r="A1103" s="2" t="s">
        <v>6024</v>
      </c>
      <c r="B1103" s="2" t="s">
        <v>6061</v>
      </c>
      <c r="C1103" s="2" t="s">
        <v>4306</v>
      </c>
      <c r="D1103" s="2" t="s">
        <v>1796</v>
      </c>
      <c r="E1103" s="2">
        <v>250</v>
      </c>
      <c r="H1103" s="2" t="s">
        <v>5667</v>
      </c>
    </row>
    <row r="1104" spans="1:8" ht="15.75" hidden="1" customHeight="1">
      <c r="A1104" s="2" t="s">
        <v>6024</v>
      </c>
      <c r="B1104" s="2" t="s">
        <v>6061</v>
      </c>
      <c r="C1104" s="2" t="s">
        <v>4246</v>
      </c>
      <c r="D1104" s="2" t="s">
        <v>1796</v>
      </c>
      <c r="E1104" s="2">
        <v>250</v>
      </c>
      <c r="H1104" s="2" t="s">
        <v>5665</v>
      </c>
    </row>
    <row r="1105" spans="1:26" ht="15.75" hidden="1" customHeight="1">
      <c r="A1105" s="2" t="s">
        <v>6024</v>
      </c>
      <c r="B1105" s="2" t="s">
        <v>6061</v>
      </c>
      <c r="C1105" s="2" t="s">
        <v>6491</v>
      </c>
      <c r="D1105" s="2" t="s">
        <v>1796</v>
      </c>
      <c r="E1105" s="2">
        <v>20</v>
      </c>
      <c r="H1105" s="2" t="s">
        <v>5667</v>
      </c>
    </row>
    <row r="1106" spans="1:26" ht="15.75" hidden="1" customHeight="1">
      <c r="A1106" s="2" t="s">
        <v>6024</v>
      </c>
      <c r="B1106" s="2" t="s">
        <v>6061</v>
      </c>
      <c r="C1106" s="2" t="s">
        <v>6096</v>
      </c>
      <c r="D1106" s="2" t="s">
        <v>484</v>
      </c>
      <c r="F1106" s="2">
        <v>10</v>
      </c>
      <c r="G1106" s="2">
        <v>0</v>
      </c>
      <c r="H1106" s="2" t="s">
        <v>5665</v>
      </c>
    </row>
    <row r="1107" spans="1:26" ht="15.75" hidden="1" customHeight="1">
      <c r="A1107" s="2" t="s">
        <v>6024</v>
      </c>
      <c r="B1107" s="2" t="s">
        <v>6061</v>
      </c>
      <c r="C1107" s="2" t="s">
        <v>6570</v>
      </c>
      <c r="D1107" s="2" t="s">
        <v>481</v>
      </c>
      <c r="F1107" s="2">
        <v>38</v>
      </c>
      <c r="G1107" s="2">
        <v>0</v>
      </c>
      <c r="H1107" s="2" t="s">
        <v>5667</v>
      </c>
    </row>
    <row r="1108" spans="1:26" ht="15.75" hidden="1" customHeight="1">
      <c r="A1108" s="2" t="s">
        <v>6024</v>
      </c>
      <c r="B1108" s="2" t="s">
        <v>6061</v>
      </c>
      <c r="C1108" s="2" t="s">
        <v>6571</v>
      </c>
      <c r="D1108" s="2" t="s">
        <v>1796</v>
      </c>
      <c r="E1108" s="2">
        <v>50</v>
      </c>
      <c r="H1108" s="2" t="s">
        <v>5667</v>
      </c>
    </row>
    <row r="1109" spans="1:26" ht="15.75" hidden="1" customHeight="1">
      <c r="A1109" s="2" t="s">
        <v>6024</v>
      </c>
      <c r="B1109" s="2" t="s">
        <v>6061</v>
      </c>
      <c r="C1109" s="2" t="s">
        <v>6572</v>
      </c>
      <c r="D1109" s="2" t="s">
        <v>1796</v>
      </c>
      <c r="E1109" s="2">
        <v>50</v>
      </c>
      <c r="H1109" s="2" t="s">
        <v>5667</v>
      </c>
    </row>
    <row r="1110" spans="1:26" ht="15.75" hidden="1" customHeight="1">
      <c r="A1110" s="2" t="s">
        <v>6024</v>
      </c>
      <c r="B1110" s="2" t="s">
        <v>6061</v>
      </c>
      <c r="C1110" s="2" t="s">
        <v>6573</v>
      </c>
      <c r="D1110" s="2" t="s">
        <v>1796</v>
      </c>
      <c r="E1110" s="2">
        <v>100</v>
      </c>
      <c r="H1110" s="2" t="s">
        <v>5667</v>
      </c>
    </row>
    <row r="1111" spans="1:26" ht="15.75" hidden="1" customHeight="1">
      <c r="A1111" s="2" t="s">
        <v>6024</v>
      </c>
      <c r="B1111" s="2" t="s">
        <v>6061</v>
      </c>
      <c r="C1111" s="2" t="s">
        <v>6574</v>
      </c>
      <c r="D1111" s="2" t="s">
        <v>481</v>
      </c>
      <c r="F1111" s="2">
        <v>38</v>
      </c>
      <c r="G1111" s="2">
        <v>0</v>
      </c>
      <c r="H1111" s="2" t="s">
        <v>5667</v>
      </c>
    </row>
    <row r="1112" spans="1:26" ht="15.75" hidden="1" customHeight="1">
      <c r="A1112" s="2" t="s">
        <v>6024</v>
      </c>
      <c r="B1112" s="2" t="s">
        <v>6061</v>
      </c>
      <c r="C1112" s="2" t="s">
        <v>6508</v>
      </c>
      <c r="D1112" s="2" t="s">
        <v>800</v>
      </c>
      <c r="H1112" s="2" t="s">
        <v>5667</v>
      </c>
    </row>
    <row r="1113" spans="1:26" ht="15.75" hidden="1" customHeight="1">
      <c r="A1113" s="2" t="s">
        <v>6024</v>
      </c>
      <c r="B1113" s="2" t="s">
        <v>6061</v>
      </c>
      <c r="C1113" s="2" t="s">
        <v>6509</v>
      </c>
      <c r="D1113" s="2" t="s">
        <v>800</v>
      </c>
      <c r="H1113" s="2" t="s">
        <v>5667</v>
      </c>
    </row>
    <row r="1114" spans="1:26" ht="15.75" hidden="1" customHeight="1">
      <c r="A1114" s="2" t="s">
        <v>6024</v>
      </c>
      <c r="B1114" s="2" t="s">
        <v>6061</v>
      </c>
      <c r="C1114" s="2" t="s">
        <v>6575</v>
      </c>
      <c r="D1114" s="2" t="s">
        <v>1796</v>
      </c>
      <c r="E1114" s="2">
        <v>50</v>
      </c>
      <c r="H1114" s="2" t="s">
        <v>5667</v>
      </c>
    </row>
    <row r="1115" spans="1:26" ht="15.75" hidden="1" customHeight="1">
      <c r="A1115" s="2" t="s">
        <v>6024</v>
      </c>
      <c r="B1115" s="2" t="s">
        <v>6061</v>
      </c>
      <c r="C1115" s="2" t="s">
        <v>6576</v>
      </c>
      <c r="D1115" s="2" t="s">
        <v>1796</v>
      </c>
      <c r="E1115" s="2">
        <v>50</v>
      </c>
      <c r="H1115" s="2" t="s">
        <v>5667</v>
      </c>
    </row>
    <row r="1116" spans="1:26" ht="15.75" hidden="1" customHeight="1">
      <c r="A1116" s="2" t="s">
        <v>6024</v>
      </c>
      <c r="B1116" s="2" t="s">
        <v>6061</v>
      </c>
      <c r="C1116" s="2" t="s">
        <v>6209</v>
      </c>
      <c r="D1116" s="2" t="s">
        <v>800</v>
      </c>
      <c r="H1116" s="2" t="s">
        <v>5667</v>
      </c>
    </row>
    <row r="1117" spans="1:26" ht="15.75" hidden="1" customHeight="1">
      <c r="A1117" s="165" t="s">
        <v>6024</v>
      </c>
      <c r="B1117" s="165" t="s">
        <v>6061</v>
      </c>
      <c r="C1117" s="169" t="s">
        <v>6577</v>
      </c>
      <c r="D1117" s="169" t="s">
        <v>481</v>
      </c>
      <c r="E1117" s="169">
        <v>17</v>
      </c>
      <c r="F1117" s="169">
        <v>38</v>
      </c>
      <c r="G1117" s="169">
        <v>7</v>
      </c>
      <c r="H1117" s="165" t="s">
        <v>5667</v>
      </c>
      <c r="I1117" s="164" t="s">
        <v>2764</v>
      </c>
      <c r="J1117" s="164"/>
      <c r="K1117" s="165"/>
      <c r="L1117" s="165"/>
      <c r="M1117" s="165"/>
      <c r="N1117" s="165"/>
      <c r="O1117" s="165"/>
      <c r="P1117" s="165"/>
      <c r="Q1117" s="165"/>
      <c r="R1117" s="165"/>
      <c r="S1117" s="165"/>
      <c r="T1117" s="165"/>
      <c r="U1117" s="165"/>
      <c r="V1117" s="165"/>
      <c r="W1117" s="165"/>
      <c r="X1117" s="165"/>
      <c r="Y1117" s="165"/>
      <c r="Z1117" s="165"/>
    </row>
    <row r="1118" spans="1:26" ht="15.75" hidden="1" customHeight="1">
      <c r="A1118" s="165" t="s">
        <v>6024</v>
      </c>
      <c r="B1118" s="165" t="s">
        <v>6061</v>
      </c>
      <c r="C1118" s="169" t="s">
        <v>6578</v>
      </c>
      <c r="D1118" s="169" t="s">
        <v>481</v>
      </c>
      <c r="E1118" s="169">
        <v>17</v>
      </c>
      <c r="F1118" s="169">
        <v>38</v>
      </c>
      <c r="G1118" s="169">
        <v>7</v>
      </c>
      <c r="H1118" s="165" t="s">
        <v>5667</v>
      </c>
      <c r="I1118" s="164" t="s">
        <v>2764</v>
      </c>
      <c r="J1118" s="164"/>
      <c r="K1118" s="165"/>
      <c r="L1118" s="165"/>
      <c r="M1118" s="165"/>
      <c r="N1118" s="165"/>
      <c r="O1118" s="165"/>
      <c r="P1118" s="165"/>
      <c r="Q1118" s="165"/>
      <c r="R1118" s="165"/>
      <c r="S1118" s="165"/>
      <c r="T1118" s="165"/>
      <c r="U1118" s="165"/>
      <c r="V1118" s="165"/>
      <c r="W1118" s="165"/>
      <c r="X1118" s="165"/>
      <c r="Y1118" s="165"/>
      <c r="Z1118" s="165"/>
    </row>
    <row r="1119" spans="1:26" ht="15.75" hidden="1" customHeight="1">
      <c r="A1119" s="165" t="s">
        <v>6024</v>
      </c>
      <c r="B1119" s="165" t="s">
        <v>6061</v>
      </c>
      <c r="C1119" s="169" t="s">
        <v>6579</v>
      </c>
      <c r="D1119" s="169" t="s">
        <v>1796</v>
      </c>
      <c r="E1119" s="169">
        <v>6</v>
      </c>
      <c r="F1119" s="165"/>
      <c r="G1119" s="165"/>
      <c r="H1119" s="165" t="s">
        <v>5667</v>
      </c>
      <c r="I1119" s="164" t="s">
        <v>2764</v>
      </c>
      <c r="J1119" s="164"/>
      <c r="K1119" s="165"/>
      <c r="L1119" s="165"/>
      <c r="M1119" s="165"/>
      <c r="N1119" s="165"/>
      <c r="O1119" s="165"/>
      <c r="P1119" s="165"/>
      <c r="Q1119" s="165"/>
      <c r="R1119" s="165"/>
      <c r="S1119" s="165"/>
      <c r="T1119" s="165"/>
      <c r="U1119" s="165"/>
      <c r="V1119" s="165"/>
      <c r="W1119" s="165"/>
      <c r="X1119" s="165"/>
      <c r="Y1119" s="165"/>
      <c r="Z1119" s="165"/>
    </row>
    <row r="1120" spans="1:26" ht="15.75" hidden="1" customHeight="1">
      <c r="A1120" s="165" t="s">
        <v>6024</v>
      </c>
      <c r="B1120" s="165" t="s">
        <v>6061</v>
      </c>
      <c r="C1120" s="169" t="s">
        <v>6580</v>
      </c>
      <c r="D1120" s="169" t="s">
        <v>1796</v>
      </c>
      <c r="E1120" s="169">
        <v>200</v>
      </c>
      <c r="F1120" s="165"/>
      <c r="G1120" s="165"/>
      <c r="H1120" s="165" t="s">
        <v>5667</v>
      </c>
      <c r="I1120" s="164" t="s">
        <v>2764</v>
      </c>
      <c r="J1120" s="164"/>
      <c r="K1120" s="165"/>
      <c r="L1120" s="165"/>
      <c r="M1120" s="165"/>
      <c r="N1120" s="165"/>
      <c r="O1120" s="165"/>
      <c r="P1120" s="165"/>
      <c r="Q1120" s="165"/>
      <c r="R1120" s="165"/>
      <c r="S1120" s="165"/>
      <c r="T1120" s="165"/>
      <c r="U1120" s="165"/>
      <c r="V1120" s="165"/>
      <c r="W1120" s="165"/>
      <c r="X1120" s="165"/>
      <c r="Y1120" s="165"/>
      <c r="Z1120" s="165"/>
    </row>
    <row r="1121" spans="1:26" ht="15.75" hidden="1" customHeight="1">
      <c r="A1121" s="165" t="s">
        <v>6024</v>
      </c>
      <c r="B1121" s="165" t="s">
        <v>6061</v>
      </c>
      <c r="C1121" s="169" t="s">
        <v>6581</v>
      </c>
      <c r="D1121" s="169" t="s">
        <v>1796</v>
      </c>
      <c r="E1121" s="169">
        <v>200</v>
      </c>
      <c r="F1121" s="165"/>
      <c r="G1121" s="165"/>
      <c r="H1121" s="165" t="s">
        <v>5667</v>
      </c>
      <c r="I1121" s="164" t="s">
        <v>2764</v>
      </c>
      <c r="J1121" s="164"/>
      <c r="K1121" s="165"/>
      <c r="L1121" s="165"/>
      <c r="M1121" s="165"/>
      <c r="N1121" s="165"/>
      <c r="O1121" s="165"/>
      <c r="P1121" s="165"/>
      <c r="Q1121" s="165"/>
      <c r="R1121" s="165"/>
      <c r="S1121" s="165"/>
      <c r="T1121" s="165"/>
      <c r="U1121" s="165"/>
      <c r="V1121" s="165"/>
      <c r="W1121" s="165"/>
      <c r="X1121" s="165"/>
      <c r="Y1121" s="165"/>
      <c r="Z1121" s="165"/>
    </row>
    <row r="1122" spans="1:26" ht="15.75" hidden="1" customHeight="1">
      <c r="A1122" s="165" t="s">
        <v>6024</v>
      </c>
      <c r="B1122" s="165" t="s">
        <v>6061</v>
      </c>
      <c r="C1122" s="169" t="s">
        <v>6582</v>
      </c>
      <c r="D1122" s="169" t="s">
        <v>481</v>
      </c>
      <c r="E1122" s="169">
        <v>17</v>
      </c>
      <c r="F1122" s="169">
        <v>38</v>
      </c>
      <c r="G1122" s="169">
        <v>7</v>
      </c>
      <c r="H1122" s="165" t="s">
        <v>5667</v>
      </c>
      <c r="I1122" s="164" t="s">
        <v>2764</v>
      </c>
      <c r="J1122" s="164"/>
      <c r="K1122" s="165"/>
      <c r="L1122" s="165"/>
      <c r="M1122" s="165"/>
      <c r="N1122" s="165"/>
      <c r="O1122" s="165"/>
      <c r="P1122" s="165"/>
      <c r="Q1122" s="165"/>
      <c r="R1122" s="165"/>
      <c r="S1122" s="165"/>
      <c r="T1122" s="165"/>
      <c r="U1122" s="165"/>
      <c r="V1122" s="165"/>
      <c r="W1122" s="165"/>
      <c r="X1122" s="165"/>
      <c r="Y1122" s="165"/>
      <c r="Z1122" s="165"/>
    </row>
    <row r="1123" spans="1:26" ht="15.75" hidden="1" customHeight="1">
      <c r="A1123" s="165" t="s">
        <v>6024</v>
      </c>
      <c r="B1123" s="165" t="s">
        <v>6061</v>
      </c>
      <c r="C1123" s="169" t="s">
        <v>6583</v>
      </c>
      <c r="D1123" s="169" t="s">
        <v>1796</v>
      </c>
      <c r="E1123" s="169">
        <v>200</v>
      </c>
      <c r="F1123" s="165"/>
      <c r="G1123" s="165"/>
      <c r="H1123" s="165" t="s">
        <v>5667</v>
      </c>
      <c r="I1123" s="164" t="s">
        <v>2764</v>
      </c>
      <c r="J1123" s="164"/>
      <c r="K1123" s="165"/>
      <c r="L1123" s="165"/>
      <c r="M1123" s="165"/>
      <c r="N1123" s="165"/>
      <c r="O1123" s="165"/>
      <c r="P1123" s="165"/>
      <c r="Q1123" s="165"/>
      <c r="R1123" s="165"/>
      <c r="S1123" s="165"/>
      <c r="T1123" s="165"/>
      <c r="U1123" s="165"/>
      <c r="V1123" s="165"/>
      <c r="W1123" s="165"/>
      <c r="X1123" s="165"/>
      <c r="Y1123" s="165"/>
      <c r="Z1123" s="165"/>
    </row>
    <row r="1124" spans="1:26" ht="15.75" hidden="1" customHeight="1">
      <c r="A1124" s="165" t="s">
        <v>6024</v>
      </c>
      <c r="B1124" s="165" t="s">
        <v>6061</v>
      </c>
      <c r="C1124" s="169" t="s">
        <v>6584</v>
      </c>
      <c r="D1124" s="169" t="s">
        <v>1796</v>
      </c>
      <c r="E1124" s="169">
        <v>200</v>
      </c>
      <c r="F1124" s="165"/>
      <c r="G1124" s="165"/>
      <c r="H1124" s="165" t="s">
        <v>5667</v>
      </c>
      <c r="I1124" s="164" t="s">
        <v>2764</v>
      </c>
      <c r="J1124" s="164"/>
      <c r="K1124" s="165"/>
      <c r="L1124" s="165"/>
      <c r="M1124" s="165"/>
      <c r="N1124" s="165"/>
      <c r="O1124" s="165"/>
      <c r="P1124" s="165"/>
      <c r="Q1124" s="165"/>
      <c r="R1124" s="165"/>
      <c r="S1124" s="165"/>
      <c r="T1124" s="165"/>
      <c r="U1124" s="165"/>
      <c r="V1124" s="165"/>
      <c r="W1124" s="165"/>
      <c r="X1124" s="165"/>
      <c r="Y1124" s="165"/>
      <c r="Z1124" s="165"/>
    </row>
    <row r="1125" spans="1:26" ht="15.75" hidden="1" customHeight="1">
      <c r="A1125" s="2" t="s">
        <v>6024</v>
      </c>
      <c r="B1125" s="2" t="s">
        <v>6061</v>
      </c>
      <c r="C1125" s="2" t="s">
        <v>6112</v>
      </c>
      <c r="D1125" s="2" t="s">
        <v>800</v>
      </c>
      <c r="H1125" s="2" t="s">
        <v>5665</v>
      </c>
    </row>
    <row r="1126" spans="1:26" ht="15.75" hidden="1" customHeight="1">
      <c r="A1126" s="2" t="s">
        <v>6024</v>
      </c>
      <c r="B1126" s="2" t="s">
        <v>6061</v>
      </c>
      <c r="C1126" s="2" t="s">
        <v>6113</v>
      </c>
      <c r="D1126" s="2" t="s">
        <v>1796</v>
      </c>
      <c r="E1126" s="2">
        <v>100</v>
      </c>
      <c r="H1126" s="2" t="s">
        <v>5667</v>
      </c>
    </row>
    <row r="1127" spans="1:26" ht="15.75" hidden="1" customHeight="1">
      <c r="A1127" s="2" t="s">
        <v>6024</v>
      </c>
      <c r="B1127" s="2" t="s">
        <v>6061</v>
      </c>
      <c r="C1127" s="2" t="s">
        <v>6114</v>
      </c>
      <c r="D1127" s="2" t="s">
        <v>484</v>
      </c>
      <c r="F1127" s="2">
        <v>10</v>
      </c>
      <c r="G1127" s="2">
        <v>0</v>
      </c>
      <c r="H1127" s="2" t="s">
        <v>5667</v>
      </c>
    </row>
    <row r="1128" spans="1:26" ht="15.75" hidden="1" customHeight="1">
      <c r="A1128" s="2" t="s">
        <v>6024</v>
      </c>
      <c r="B1128" s="2" t="s">
        <v>6061</v>
      </c>
      <c r="C1128" s="2" t="s">
        <v>6027</v>
      </c>
      <c r="D1128" s="2" t="s">
        <v>800</v>
      </c>
      <c r="H1128" s="2" t="s">
        <v>5665</v>
      </c>
    </row>
    <row r="1129" spans="1:26" ht="15.75" hidden="1" customHeight="1">
      <c r="A1129" s="2" t="s">
        <v>6024</v>
      </c>
      <c r="B1129" s="2" t="s">
        <v>6061</v>
      </c>
      <c r="C1129" s="2" t="s">
        <v>6115</v>
      </c>
      <c r="D1129" s="2" t="s">
        <v>1796</v>
      </c>
      <c r="E1129" s="2">
        <v>100</v>
      </c>
      <c r="H1129" s="2" t="s">
        <v>5667</v>
      </c>
    </row>
    <row r="1130" spans="1:26" ht="15.75" hidden="1" customHeight="1">
      <c r="A1130" s="2" t="s">
        <v>6024</v>
      </c>
      <c r="B1130" s="2" t="s">
        <v>6061</v>
      </c>
      <c r="C1130" s="2" t="s">
        <v>6116</v>
      </c>
      <c r="D1130" s="2" t="s">
        <v>484</v>
      </c>
      <c r="F1130" s="2">
        <v>10</v>
      </c>
      <c r="G1130" s="2">
        <v>0</v>
      </c>
      <c r="H1130" s="2" t="s">
        <v>5667</v>
      </c>
    </row>
    <row r="1131" spans="1:26" ht="15.75" hidden="1" customHeight="1">
      <c r="A1131" s="2" t="s">
        <v>6024</v>
      </c>
      <c r="B1131" s="2" t="s">
        <v>6061</v>
      </c>
      <c r="C1131" s="2" t="s">
        <v>6117</v>
      </c>
      <c r="D1131" s="2" t="s">
        <v>1796</v>
      </c>
      <c r="E1131" s="2">
        <v>250</v>
      </c>
      <c r="H1131" s="2" t="s">
        <v>5667</v>
      </c>
    </row>
    <row r="1132" spans="1:26" ht="15.75" hidden="1" customHeight="1">
      <c r="A1132" s="2" t="s">
        <v>6024</v>
      </c>
      <c r="B1132" s="2" t="s">
        <v>6062</v>
      </c>
      <c r="C1132" s="2" t="s">
        <v>325</v>
      </c>
      <c r="D1132" s="2" t="s">
        <v>484</v>
      </c>
      <c r="F1132" s="2">
        <v>10</v>
      </c>
      <c r="G1132" s="2">
        <v>0</v>
      </c>
      <c r="H1132" s="2" t="s">
        <v>5665</v>
      </c>
    </row>
    <row r="1133" spans="1:26" ht="15.75" hidden="1" customHeight="1">
      <c r="A1133" s="2" t="s">
        <v>6024</v>
      </c>
      <c r="B1133" s="2" t="s">
        <v>6062</v>
      </c>
      <c r="C1133" s="2" t="s">
        <v>6090</v>
      </c>
      <c r="D1133" s="2" t="s">
        <v>6118</v>
      </c>
      <c r="H1133" s="2" t="s">
        <v>5665</v>
      </c>
    </row>
    <row r="1134" spans="1:26" ht="15.75" hidden="1" customHeight="1">
      <c r="A1134" s="2" t="s">
        <v>6024</v>
      </c>
      <c r="B1134" s="2" t="s">
        <v>6062</v>
      </c>
      <c r="C1134" s="2" t="s">
        <v>6092</v>
      </c>
      <c r="D1134" s="2" t="s">
        <v>1796</v>
      </c>
      <c r="E1134" s="2">
        <v>50</v>
      </c>
      <c r="H1134" s="2" t="s">
        <v>5665</v>
      </c>
    </row>
    <row r="1135" spans="1:26" ht="15.75" hidden="1" customHeight="1">
      <c r="A1135" s="2" t="s">
        <v>6024</v>
      </c>
      <c r="B1135" s="2" t="s">
        <v>6062</v>
      </c>
      <c r="C1135" s="2" t="s">
        <v>6093</v>
      </c>
      <c r="D1135" s="2" t="s">
        <v>484</v>
      </c>
      <c r="F1135" s="2">
        <v>10</v>
      </c>
      <c r="G1135" s="2">
        <v>0</v>
      </c>
      <c r="H1135" s="2" t="s">
        <v>5665</v>
      </c>
    </row>
    <row r="1136" spans="1:26" ht="15.75" hidden="1" customHeight="1">
      <c r="A1136" s="2" t="s">
        <v>6024</v>
      </c>
      <c r="B1136" s="2" t="s">
        <v>6062</v>
      </c>
      <c r="C1136" s="2" t="s">
        <v>6094</v>
      </c>
      <c r="D1136" s="2" t="s">
        <v>484</v>
      </c>
      <c r="F1136" s="2">
        <v>10</v>
      </c>
      <c r="G1136" s="2">
        <v>0</v>
      </c>
      <c r="H1136" s="2" t="s">
        <v>5665</v>
      </c>
    </row>
    <row r="1137" spans="1:8" ht="15.75" hidden="1" customHeight="1">
      <c r="A1137" s="2" t="s">
        <v>6024</v>
      </c>
      <c r="B1137" s="2" t="s">
        <v>6062</v>
      </c>
      <c r="C1137" s="2" t="s">
        <v>6095</v>
      </c>
      <c r="D1137" s="2" t="s">
        <v>1796</v>
      </c>
      <c r="E1137" s="2">
        <v>50</v>
      </c>
      <c r="H1137" s="2" t="s">
        <v>5667</v>
      </c>
    </row>
    <row r="1138" spans="1:8" ht="15.75" hidden="1" customHeight="1">
      <c r="A1138" s="2" t="s">
        <v>6024</v>
      </c>
      <c r="B1138" s="2" t="s">
        <v>6062</v>
      </c>
      <c r="C1138" s="2" t="s">
        <v>4306</v>
      </c>
      <c r="D1138" s="2" t="s">
        <v>1796</v>
      </c>
      <c r="E1138" s="2">
        <v>250</v>
      </c>
      <c r="H1138" s="2" t="s">
        <v>5667</v>
      </c>
    </row>
    <row r="1139" spans="1:8" ht="15.75" hidden="1" customHeight="1">
      <c r="A1139" s="2" t="s">
        <v>6024</v>
      </c>
      <c r="B1139" s="2" t="s">
        <v>6062</v>
      </c>
      <c r="C1139" s="2" t="s">
        <v>4246</v>
      </c>
      <c r="D1139" s="2" t="s">
        <v>1796</v>
      </c>
      <c r="E1139" s="2">
        <v>250</v>
      </c>
      <c r="H1139" s="2" t="s">
        <v>5665</v>
      </c>
    </row>
    <row r="1140" spans="1:8" ht="15.75" hidden="1" customHeight="1">
      <c r="A1140" s="2" t="s">
        <v>6024</v>
      </c>
      <c r="B1140" s="2" t="s">
        <v>6062</v>
      </c>
      <c r="C1140" s="2" t="s">
        <v>6096</v>
      </c>
      <c r="D1140" s="2" t="s">
        <v>484</v>
      </c>
      <c r="F1140" s="2">
        <v>10</v>
      </c>
      <c r="G1140" s="2">
        <v>0</v>
      </c>
      <c r="H1140" s="2" t="s">
        <v>5665</v>
      </c>
    </row>
    <row r="1141" spans="1:8" ht="15.75" hidden="1" customHeight="1">
      <c r="A1141" s="2" t="s">
        <v>6024</v>
      </c>
      <c r="B1141" s="2" t="s">
        <v>6062</v>
      </c>
      <c r="C1141" s="2" t="s">
        <v>6585</v>
      </c>
      <c r="D1141" s="2" t="s">
        <v>1796</v>
      </c>
      <c r="E1141" s="2">
        <v>50</v>
      </c>
      <c r="H1141" s="2" t="s">
        <v>5667</v>
      </c>
    </row>
    <row r="1142" spans="1:8" ht="15.75" hidden="1" customHeight="1">
      <c r="A1142" s="2" t="s">
        <v>6024</v>
      </c>
      <c r="B1142" s="2" t="s">
        <v>6062</v>
      </c>
      <c r="C1142" s="2" t="s">
        <v>6586</v>
      </c>
      <c r="D1142" s="2" t="s">
        <v>1796</v>
      </c>
      <c r="E1142" s="2">
        <v>50</v>
      </c>
      <c r="H1142" s="2" t="s">
        <v>5667</v>
      </c>
    </row>
    <row r="1143" spans="1:8" ht="15.75" hidden="1" customHeight="1">
      <c r="A1143" s="2" t="s">
        <v>6024</v>
      </c>
      <c r="B1143" s="2" t="s">
        <v>6062</v>
      </c>
      <c r="C1143" s="2" t="s">
        <v>6587</v>
      </c>
      <c r="D1143" s="2" t="s">
        <v>1796</v>
      </c>
      <c r="E1143" s="2">
        <v>50</v>
      </c>
      <c r="H1143" s="2" t="s">
        <v>5667</v>
      </c>
    </row>
    <row r="1144" spans="1:8" ht="15.75" hidden="1" customHeight="1">
      <c r="A1144" s="2" t="s">
        <v>6024</v>
      </c>
      <c r="B1144" s="2" t="s">
        <v>6062</v>
      </c>
      <c r="C1144" s="2" t="s">
        <v>6588</v>
      </c>
      <c r="D1144" s="2" t="s">
        <v>1796</v>
      </c>
      <c r="E1144" s="2">
        <v>255</v>
      </c>
      <c r="H1144" s="2" t="s">
        <v>5667</v>
      </c>
    </row>
    <row r="1145" spans="1:8" ht="15.75" hidden="1" customHeight="1">
      <c r="A1145" s="2" t="s">
        <v>6024</v>
      </c>
      <c r="B1145" s="2" t="s">
        <v>6062</v>
      </c>
      <c r="C1145" s="2" t="s">
        <v>6112</v>
      </c>
      <c r="D1145" s="2" t="s">
        <v>800</v>
      </c>
      <c r="H1145" s="2" t="s">
        <v>5665</v>
      </c>
    </row>
    <row r="1146" spans="1:8" ht="15.75" hidden="1" customHeight="1">
      <c r="A1146" s="2" t="s">
        <v>6024</v>
      </c>
      <c r="B1146" s="2" t="s">
        <v>6062</v>
      </c>
      <c r="C1146" s="2" t="s">
        <v>6113</v>
      </c>
      <c r="D1146" s="2" t="s">
        <v>1796</v>
      </c>
      <c r="E1146" s="2">
        <v>100</v>
      </c>
      <c r="H1146" s="2" t="s">
        <v>5667</v>
      </c>
    </row>
    <row r="1147" spans="1:8" ht="15.75" hidden="1" customHeight="1">
      <c r="A1147" s="2" t="s">
        <v>6024</v>
      </c>
      <c r="B1147" s="2" t="s">
        <v>6062</v>
      </c>
      <c r="C1147" s="2" t="s">
        <v>6114</v>
      </c>
      <c r="D1147" s="2" t="s">
        <v>484</v>
      </c>
      <c r="F1147" s="2">
        <v>10</v>
      </c>
      <c r="G1147" s="2">
        <v>0</v>
      </c>
      <c r="H1147" s="2" t="s">
        <v>5667</v>
      </c>
    </row>
    <row r="1148" spans="1:8" ht="15.75" hidden="1" customHeight="1">
      <c r="A1148" s="2" t="s">
        <v>6024</v>
      </c>
      <c r="B1148" s="2" t="s">
        <v>6062</v>
      </c>
      <c r="C1148" s="2" t="s">
        <v>6027</v>
      </c>
      <c r="D1148" s="2" t="s">
        <v>800</v>
      </c>
      <c r="H1148" s="2" t="s">
        <v>5665</v>
      </c>
    </row>
    <row r="1149" spans="1:8" ht="15.75" hidden="1" customHeight="1">
      <c r="A1149" s="2" t="s">
        <v>6024</v>
      </c>
      <c r="B1149" s="2" t="s">
        <v>6062</v>
      </c>
      <c r="C1149" s="2" t="s">
        <v>6115</v>
      </c>
      <c r="D1149" s="2" t="s">
        <v>1796</v>
      </c>
      <c r="E1149" s="2">
        <v>100</v>
      </c>
      <c r="H1149" s="2" t="s">
        <v>5667</v>
      </c>
    </row>
    <row r="1150" spans="1:8" ht="15.75" hidden="1" customHeight="1">
      <c r="A1150" s="2" t="s">
        <v>6024</v>
      </c>
      <c r="B1150" s="2" t="s">
        <v>6062</v>
      </c>
      <c r="C1150" s="2" t="s">
        <v>6116</v>
      </c>
      <c r="D1150" s="2" t="s">
        <v>484</v>
      </c>
      <c r="F1150" s="2">
        <v>10</v>
      </c>
      <c r="G1150" s="2">
        <v>0</v>
      </c>
      <c r="H1150" s="2" t="s">
        <v>5667</v>
      </c>
    </row>
    <row r="1151" spans="1:8" ht="15.75" hidden="1" customHeight="1">
      <c r="A1151" s="2" t="s">
        <v>6024</v>
      </c>
      <c r="B1151" s="2" t="s">
        <v>6062</v>
      </c>
      <c r="C1151" s="2" t="s">
        <v>6117</v>
      </c>
      <c r="D1151" s="2" t="s">
        <v>1796</v>
      </c>
      <c r="E1151" s="2">
        <v>250</v>
      </c>
      <c r="H1151" s="2" t="s">
        <v>5667</v>
      </c>
    </row>
    <row r="1152" spans="1:8" ht="15.75" hidden="1" customHeight="1">
      <c r="A1152" s="2" t="s">
        <v>6024</v>
      </c>
      <c r="B1152" s="2" t="s">
        <v>6063</v>
      </c>
      <c r="C1152" s="2" t="s">
        <v>325</v>
      </c>
      <c r="D1152" s="2" t="s">
        <v>484</v>
      </c>
      <c r="F1152" s="2">
        <v>10</v>
      </c>
      <c r="G1152" s="2">
        <v>0</v>
      </c>
      <c r="H1152" s="2" t="s">
        <v>5665</v>
      </c>
    </row>
    <row r="1153" spans="1:8" ht="15.75" hidden="1" customHeight="1">
      <c r="A1153" s="2" t="s">
        <v>6024</v>
      </c>
      <c r="B1153" s="2" t="s">
        <v>6063</v>
      </c>
      <c r="C1153" s="2" t="s">
        <v>6090</v>
      </c>
      <c r="D1153" s="2" t="s">
        <v>6118</v>
      </c>
      <c r="H1153" s="2" t="s">
        <v>5665</v>
      </c>
    </row>
    <row r="1154" spans="1:8" ht="15.75" hidden="1" customHeight="1">
      <c r="A1154" s="2" t="s">
        <v>6024</v>
      </c>
      <c r="B1154" s="2" t="s">
        <v>6063</v>
      </c>
      <c r="C1154" s="2" t="s">
        <v>6092</v>
      </c>
      <c r="D1154" s="2" t="s">
        <v>1796</v>
      </c>
      <c r="E1154" s="2">
        <v>50</v>
      </c>
      <c r="H1154" s="2" t="s">
        <v>5665</v>
      </c>
    </row>
    <row r="1155" spans="1:8" ht="15.75" hidden="1" customHeight="1">
      <c r="A1155" s="2" t="s">
        <v>6024</v>
      </c>
      <c r="B1155" s="2" t="s">
        <v>6063</v>
      </c>
      <c r="C1155" s="2" t="s">
        <v>6093</v>
      </c>
      <c r="D1155" s="2" t="s">
        <v>484</v>
      </c>
      <c r="F1155" s="2">
        <v>10</v>
      </c>
      <c r="G1155" s="2">
        <v>0</v>
      </c>
      <c r="H1155" s="2" t="s">
        <v>5665</v>
      </c>
    </row>
    <row r="1156" spans="1:8" ht="15.75" hidden="1" customHeight="1">
      <c r="A1156" s="2" t="s">
        <v>6024</v>
      </c>
      <c r="B1156" s="2" t="s">
        <v>6063</v>
      </c>
      <c r="C1156" s="2" t="s">
        <v>6094</v>
      </c>
      <c r="D1156" s="2" t="s">
        <v>484</v>
      </c>
      <c r="F1156" s="2">
        <v>10</v>
      </c>
      <c r="G1156" s="2">
        <v>0</v>
      </c>
      <c r="H1156" s="2" t="s">
        <v>5665</v>
      </c>
    </row>
    <row r="1157" spans="1:8" ht="15.75" hidden="1" customHeight="1">
      <c r="A1157" s="2" t="s">
        <v>6024</v>
      </c>
      <c r="B1157" s="2" t="s">
        <v>6063</v>
      </c>
      <c r="C1157" s="2" t="s">
        <v>6095</v>
      </c>
      <c r="D1157" s="2" t="s">
        <v>1796</v>
      </c>
      <c r="E1157" s="2">
        <v>50</v>
      </c>
      <c r="H1157" s="2" t="s">
        <v>5667</v>
      </c>
    </row>
    <row r="1158" spans="1:8" ht="15.75" hidden="1" customHeight="1">
      <c r="A1158" s="2" t="s">
        <v>6024</v>
      </c>
      <c r="B1158" s="2" t="s">
        <v>6063</v>
      </c>
      <c r="C1158" s="2" t="s">
        <v>4306</v>
      </c>
      <c r="D1158" s="2" t="s">
        <v>1796</v>
      </c>
      <c r="E1158" s="2">
        <v>250</v>
      </c>
      <c r="H1158" s="2" t="s">
        <v>5667</v>
      </c>
    </row>
    <row r="1159" spans="1:8" ht="15.75" hidden="1" customHeight="1">
      <c r="A1159" s="2" t="s">
        <v>6024</v>
      </c>
      <c r="B1159" s="2" t="s">
        <v>6063</v>
      </c>
      <c r="C1159" s="2" t="s">
        <v>4246</v>
      </c>
      <c r="D1159" s="2" t="s">
        <v>1796</v>
      </c>
      <c r="E1159" s="2">
        <v>250</v>
      </c>
      <c r="H1159" s="2" t="s">
        <v>5665</v>
      </c>
    </row>
    <row r="1160" spans="1:8" ht="15.75" hidden="1" customHeight="1">
      <c r="A1160" s="2" t="s">
        <v>6024</v>
      </c>
      <c r="B1160" s="2" t="s">
        <v>6063</v>
      </c>
      <c r="C1160" s="2" t="s">
        <v>6096</v>
      </c>
      <c r="D1160" s="2" t="s">
        <v>484</v>
      </c>
      <c r="F1160" s="2">
        <v>10</v>
      </c>
      <c r="G1160" s="2">
        <v>0</v>
      </c>
      <c r="H1160" s="2" t="s">
        <v>5665</v>
      </c>
    </row>
    <row r="1161" spans="1:8" ht="15.75" hidden="1" customHeight="1">
      <c r="A1161" s="2" t="s">
        <v>6024</v>
      </c>
      <c r="B1161" s="2" t="s">
        <v>6063</v>
      </c>
      <c r="C1161" s="2" t="s">
        <v>6589</v>
      </c>
      <c r="D1161" s="2" t="s">
        <v>1796</v>
      </c>
      <c r="E1161" s="2">
        <v>20</v>
      </c>
      <c r="H1161" s="2" t="s">
        <v>5667</v>
      </c>
    </row>
    <row r="1162" spans="1:8" ht="15.75" hidden="1" customHeight="1">
      <c r="A1162" s="2" t="s">
        <v>6024</v>
      </c>
      <c r="B1162" s="2" t="s">
        <v>6063</v>
      </c>
      <c r="C1162" s="2" t="s">
        <v>6590</v>
      </c>
      <c r="D1162" s="2" t="s">
        <v>1796</v>
      </c>
      <c r="E1162" s="2">
        <v>20</v>
      </c>
      <c r="H1162" s="2" t="s">
        <v>5667</v>
      </c>
    </row>
    <row r="1163" spans="1:8" ht="15.75" hidden="1" customHeight="1">
      <c r="A1163" s="2" t="s">
        <v>6024</v>
      </c>
      <c r="B1163" s="2" t="s">
        <v>6063</v>
      </c>
      <c r="C1163" s="2" t="s">
        <v>6571</v>
      </c>
      <c r="D1163" s="2" t="s">
        <v>1796</v>
      </c>
      <c r="E1163" s="2">
        <v>20</v>
      </c>
      <c r="H1163" s="2" t="s">
        <v>5667</v>
      </c>
    </row>
    <row r="1164" spans="1:8" ht="15.75" hidden="1" customHeight="1">
      <c r="A1164" s="2" t="s">
        <v>6024</v>
      </c>
      <c r="B1164" s="2" t="s">
        <v>6063</v>
      </c>
      <c r="C1164" s="2" t="s">
        <v>6591</v>
      </c>
      <c r="D1164" s="2" t="s">
        <v>1796</v>
      </c>
      <c r="E1164" s="2">
        <v>50</v>
      </c>
      <c r="H1164" s="2" t="s">
        <v>5667</v>
      </c>
    </row>
    <row r="1165" spans="1:8" ht="15.75" hidden="1" customHeight="1">
      <c r="A1165" s="2" t="s">
        <v>6024</v>
      </c>
      <c r="B1165" s="2" t="s">
        <v>6063</v>
      </c>
      <c r="C1165" s="2" t="s">
        <v>6592</v>
      </c>
      <c r="D1165" s="2" t="s">
        <v>481</v>
      </c>
      <c r="F1165" s="2">
        <v>38</v>
      </c>
      <c r="G1165" s="2">
        <v>0</v>
      </c>
      <c r="H1165" s="2" t="s">
        <v>5667</v>
      </c>
    </row>
    <row r="1166" spans="1:8" ht="15.75" hidden="1" customHeight="1">
      <c r="A1166" s="2" t="s">
        <v>6024</v>
      </c>
      <c r="B1166" s="2" t="s">
        <v>6063</v>
      </c>
      <c r="C1166" s="2" t="s">
        <v>6593</v>
      </c>
      <c r="D1166" s="2" t="s">
        <v>1796</v>
      </c>
      <c r="E1166" s="2">
        <v>255</v>
      </c>
      <c r="H1166" s="2" t="s">
        <v>5667</v>
      </c>
    </row>
    <row r="1167" spans="1:8" ht="15.75" hidden="1" customHeight="1">
      <c r="A1167" s="2" t="s">
        <v>6024</v>
      </c>
      <c r="B1167" s="2" t="s">
        <v>6063</v>
      </c>
      <c r="C1167" s="2" t="s">
        <v>6594</v>
      </c>
      <c r="D1167" s="2" t="s">
        <v>1796</v>
      </c>
      <c r="E1167" s="2">
        <v>4</v>
      </c>
      <c r="H1167" s="2" t="s">
        <v>5667</v>
      </c>
    </row>
    <row r="1168" spans="1:8" ht="15.75" hidden="1" customHeight="1">
      <c r="A1168" s="2" t="s">
        <v>6024</v>
      </c>
      <c r="B1168" s="2" t="s">
        <v>6063</v>
      </c>
      <c r="C1168" s="2" t="s">
        <v>6595</v>
      </c>
      <c r="D1168" s="2" t="s">
        <v>800</v>
      </c>
      <c r="H1168" s="2" t="s">
        <v>5667</v>
      </c>
    </row>
    <row r="1169" spans="1:8" ht="15.75" hidden="1" customHeight="1">
      <c r="A1169" s="2" t="s">
        <v>6024</v>
      </c>
      <c r="B1169" s="2" t="s">
        <v>6063</v>
      </c>
      <c r="C1169" s="2" t="s">
        <v>6596</v>
      </c>
      <c r="D1169" s="2" t="s">
        <v>800</v>
      </c>
      <c r="H1169" s="2" t="s">
        <v>5667</v>
      </c>
    </row>
    <row r="1170" spans="1:8" ht="15.75" hidden="1" customHeight="1">
      <c r="A1170" s="2" t="s">
        <v>6024</v>
      </c>
      <c r="B1170" s="2" t="s">
        <v>6063</v>
      </c>
      <c r="C1170" s="2" t="s">
        <v>6597</v>
      </c>
      <c r="D1170" s="2" t="s">
        <v>1796</v>
      </c>
      <c r="E1170" s="2">
        <v>100</v>
      </c>
      <c r="H1170" s="2" t="s">
        <v>5667</v>
      </c>
    </row>
    <row r="1171" spans="1:8" ht="15.75" hidden="1" customHeight="1">
      <c r="A1171" s="2" t="s">
        <v>6024</v>
      </c>
      <c r="B1171" s="2" t="s">
        <v>6063</v>
      </c>
      <c r="C1171" s="2" t="s">
        <v>6209</v>
      </c>
      <c r="D1171" s="2" t="s">
        <v>800</v>
      </c>
      <c r="H1171" s="2" t="s">
        <v>5667</v>
      </c>
    </row>
    <row r="1172" spans="1:8" ht="15.75" hidden="1" customHeight="1">
      <c r="A1172" s="2" t="s">
        <v>6024</v>
      </c>
      <c r="B1172" s="2" t="s">
        <v>6063</v>
      </c>
      <c r="C1172" s="2" t="s">
        <v>6112</v>
      </c>
      <c r="D1172" s="2" t="s">
        <v>800</v>
      </c>
      <c r="H1172" s="2" t="s">
        <v>5665</v>
      </c>
    </row>
    <row r="1173" spans="1:8" ht="15.75" hidden="1" customHeight="1">
      <c r="A1173" s="2" t="s">
        <v>6024</v>
      </c>
      <c r="B1173" s="2" t="s">
        <v>6063</v>
      </c>
      <c r="C1173" s="2" t="s">
        <v>6113</v>
      </c>
      <c r="D1173" s="2" t="s">
        <v>1796</v>
      </c>
      <c r="E1173" s="2">
        <v>100</v>
      </c>
      <c r="H1173" s="2" t="s">
        <v>5667</v>
      </c>
    </row>
    <row r="1174" spans="1:8" ht="15.75" hidden="1" customHeight="1">
      <c r="A1174" s="2" t="s">
        <v>6024</v>
      </c>
      <c r="B1174" s="2" t="s">
        <v>6063</v>
      </c>
      <c r="C1174" s="2" t="s">
        <v>6114</v>
      </c>
      <c r="D1174" s="2" t="s">
        <v>484</v>
      </c>
      <c r="F1174" s="2">
        <v>10</v>
      </c>
      <c r="G1174" s="2">
        <v>0</v>
      </c>
      <c r="H1174" s="2" t="s">
        <v>5667</v>
      </c>
    </row>
    <row r="1175" spans="1:8" ht="15.75" hidden="1" customHeight="1">
      <c r="A1175" s="2" t="s">
        <v>6024</v>
      </c>
      <c r="B1175" s="2" t="s">
        <v>6063</v>
      </c>
      <c r="C1175" s="2" t="s">
        <v>6027</v>
      </c>
      <c r="D1175" s="2" t="s">
        <v>800</v>
      </c>
      <c r="H1175" s="2" t="s">
        <v>5665</v>
      </c>
    </row>
    <row r="1176" spans="1:8" ht="15.75" hidden="1" customHeight="1">
      <c r="A1176" s="2" t="s">
        <v>6024</v>
      </c>
      <c r="B1176" s="2" t="s">
        <v>6063</v>
      </c>
      <c r="C1176" s="2" t="s">
        <v>6115</v>
      </c>
      <c r="D1176" s="2" t="s">
        <v>1796</v>
      </c>
      <c r="E1176" s="2">
        <v>100</v>
      </c>
      <c r="H1176" s="2" t="s">
        <v>5667</v>
      </c>
    </row>
    <row r="1177" spans="1:8" ht="15.75" hidden="1" customHeight="1">
      <c r="A1177" s="2" t="s">
        <v>6024</v>
      </c>
      <c r="B1177" s="2" t="s">
        <v>6063</v>
      </c>
      <c r="C1177" s="2" t="s">
        <v>6116</v>
      </c>
      <c r="D1177" s="2" t="s">
        <v>484</v>
      </c>
      <c r="F1177" s="2">
        <v>10</v>
      </c>
      <c r="G1177" s="2">
        <v>0</v>
      </c>
      <c r="H1177" s="2" t="s">
        <v>5667</v>
      </c>
    </row>
    <row r="1178" spans="1:8" ht="15.75" hidden="1" customHeight="1">
      <c r="A1178" s="2" t="s">
        <v>6024</v>
      </c>
      <c r="B1178" s="2" t="s">
        <v>6063</v>
      </c>
      <c r="C1178" s="2" t="s">
        <v>6117</v>
      </c>
      <c r="D1178" s="2" t="s">
        <v>1796</v>
      </c>
      <c r="E1178" s="2">
        <v>250</v>
      </c>
      <c r="H1178" s="2" t="s">
        <v>5667</v>
      </c>
    </row>
    <row r="1179" spans="1:8" ht="15.75" hidden="1" customHeight="1">
      <c r="A1179" s="2" t="s">
        <v>6024</v>
      </c>
      <c r="B1179" s="2" t="s">
        <v>6064</v>
      </c>
      <c r="C1179" s="2" t="s">
        <v>325</v>
      </c>
      <c r="D1179" s="2" t="s">
        <v>484</v>
      </c>
      <c r="F1179" s="2">
        <v>10</v>
      </c>
      <c r="G1179" s="2">
        <v>0</v>
      </c>
      <c r="H1179" s="2" t="s">
        <v>5665</v>
      </c>
    </row>
    <row r="1180" spans="1:8" ht="15.75" hidden="1" customHeight="1">
      <c r="A1180" s="2" t="s">
        <v>6024</v>
      </c>
      <c r="B1180" s="2" t="s">
        <v>6064</v>
      </c>
      <c r="C1180" s="2" t="s">
        <v>6090</v>
      </c>
      <c r="D1180" s="2" t="s">
        <v>6118</v>
      </c>
      <c r="H1180" s="2" t="s">
        <v>5665</v>
      </c>
    </row>
    <row r="1181" spans="1:8" ht="15.75" hidden="1" customHeight="1">
      <c r="A1181" s="2" t="s">
        <v>6024</v>
      </c>
      <c r="B1181" s="2" t="s">
        <v>6064</v>
      </c>
      <c r="C1181" s="2" t="s">
        <v>6092</v>
      </c>
      <c r="D1181" s="2" t="s">
        <v>1796</v>
      </c>
      <c r="E1181" s="2">
        <v>50</v>
      </c>
      <c r="H1181" s="2" t="s">
        <v>5665</v>
      </c>
    </row>
    <row r="1182" spans="1:8" ht="15.75" hidden="1" customHeight="1">
      <c r="A1182" s="2" t="s">
        <v>6024</v>
      </c>
      <c r="B1182" s="2" t="s">
        <v>6064</v>
      </c>
      <c r="C1182" s="2" t="s">
        <v>6093</v>
      </c>
      <c r="D1182" s="2" t="s">
        <v>484</v>
      </c>
      <c r="F1182" s="2">
        <v>10</v>
      </c>
      <c r="G1182" s="2">
        <v>0</v>
      </c>
      <c r="H1182" s="2" t="s">
        <v>5665</v>
      </c>
    </row>
    <row r="1183" spans="1:8" ht="15.75" hidden="1" customHeight="1">
      <c r="A1183" s="2" t="s">
        <v>6024</v>
      </c>
      <c r="B1183" s="2" t="s">
        <v>6064</v>
      </c>
      <c r="C1183" s="2" t="s">
        <v>6094</v>
      </c>
      <c r="D1183" s="2" t="s">
        <v>484</v>
      </c>
      <c r="F1183" s="2">
        <v>10</v>
      </c>
      <c r="G1183" s="2">
        <v>0</v>
      </c>
      <c r="H1183" s="2" t="s">
        <v>5665</v>
      </c>
    </row>
    <row r="1184" spans="1:8" ht="15.75" hidden="1" customHeight="1">
      <c r="A1184" s="2" t="s">
        <v>6024</v>
      </c>
      <c r="B1184" s="2" t="s">
        <v>6064</v>
      </c>
      <c r="C1184" s="2" t="s">
        <v>6095</v>
      </c>
      <c r="D1184" s="2" t="s">
        <v>1796</v>
      </c>
      <c r="E1184" s="2">
        <v>50</v>
      </c>
      <c r="H1184" s="2" t="s">
        <v>5667</v>
      </c>
    </row>
    <row r="1185" spans="1:8" ht="15.75" hidden="1" customHeight="1">
      <c r="A1185" s="2" t="s">
        <v>6024</v>
      </c>
      <c r="B1185" s="2" t="s">
        <v>6064</v>
      </c>
      <c r="C1185" s="2" t="s">
        <v>4306</v>
      </c>
      <c r="D1185" s="2" t="s">
        <v>1796</v>
      </c>
      <c r="E1185" s="2">
        <v>250</v>
      </c>
      <c r="H1185" s="2" t="s">
        <v>5667</v>
      </c>
    </row>
    <row r="1186" spans="1:8" ht="15.75" hidden="1" customHeight="1">
      <c r="A1186" s="2" t="s">
        <v>6024</v>
      </c>
      <c r="B1186" s="2" t="s">
        <v>6064</v>
      </c>
      <c r="C1186" s="2" t="s">
        <v>4246</v>
      </c>
      <c r="D1186" s="2" t="s">
        <v>1796</v>
      </c>
      <c r="E1186" s="2">
        <v>250</v>
      </c>
      <c r="H1186" s="2" t="s">
        <v>5665</v>
      </c>
    </row>
    <row r="1187" spans="1:8" ht="15.75" hidden="1" customHeight="1">
      <c r="A1187" s="2" t="s">
        <v>6024</v>
      </c>
      <c r="B1187" s="2" t="s">
        <v>6064</v>
      </c>
      <c r="C1187" s="2" t="s">
        <v>6571</v>
      </c>
      <c r="D1187" s="2" t="s">
        <v>1796</v>
      </c>
      <c r="E1187" s="2">
        <v>50</v>
      </c>
      <c r="H1187" s="2" t="s">
        <v>5667</v>
      </c>
    </row>
    <row r="1188" spans="1:8" ht="15.75" hidden="1" customHeight="1">
      <c r="A1188" s="2" t="s">
        <v>6024</v>
      </c>
      <c r="B1188" s="2" t="s">
        <v>6064</v>
      </c>
      <c r="C1188" s="2" t="s">
        <v>6096</v>
      </c>
      <c r="D1188" s="2" t="s">
        <v>484</v>
      </c>
      <c r="F1188" s="2">
        <v>10</v>
      </c>
      <c r="G1188" s="2">
        <v>0</v>
      </c>
      <c r="H1188" s="2" t="s">
        <v>5665</v>
      </c>
    </row>
    <row r="1189" spans="1:8" ht="15.75" hidden="1" customHeight="1">
      <c r="A1189" s="2" t="s">
        <v>6024</v>
      </c>
      <c r="B1189" s="2" t="s">
        <v>6064</v>
      </c>
      <c r="C1189" s="2" t="s">
        <v>6593</v>
      </c>
      <c r="D1189" s="2" t="s">
        <v>1796</v>
      </c>
      <c r="E1189" s="2">
        <v>100</v>
      </c>
      <c r="H1189" s="2" t="s">
        <v>5667</v>
      </c>
    </row>
    <row r="1190" spans="1:8" ht="15.75" hidden="1" customHeight="1">
      <c r="A1190" s="2" t="s">
        <v>6024</v>
      </c>
      <c r="B1190" s="2" t="s">
        <v>6064</v>
      </c>
      <c r="C1190" s="2" t="s">
        <v>6594</v>
      </c>
      <c r="D1190" s="2" t="s">
        <v>1796</v>
      </c>
      <c r="E1190" s="2">
        <v>4</v>
      </c>
      <c r="H1190" s="2" t="s">
        <v>5667</v>
      </c>
    </row>
    <row r="1191" spans="1:8" ht="15.75" hidden="1" customHeight="1">
      <c r="A1191" s="2" t="s">
        <v>6024</v>
      </c>
      <c r="B1191" s="2" t="s">
        <v>6064</v>
      </c>
      <c r="C1191" s="2" t="s">
        <v>6595</v>
      </c>
      <c r="D1191" s="2" t="s">
        <v>800</v>
      </c>
      <c r="H1191" s="2" t="s">
        <v>5667</v>
      </c>
    </row>
    <row r="1192" spans="1:8" ht="15.75" hidden="1" customHeight="1">
      <c r="A1192" s="2" t="s">
        <v>6024</v>
      </c>
      <c r="B1192" s="2" t="s">
        <v>6064</v>
      </c>
      <c r="C1192" s="2" t="s">
        <v>6596</v>
      </c>
      <c r="D1192" s="2" t="s">
        <v>800</v>
      </c>
      <c r="H1192" s="2" t="s">
        <v>5667</v>
      </c>
    </row>
    <row r="1193" spans="1:8" ht="15.75" hidden="1" customHeight="1">
      <c r="A1193" s="2" t="s">
        <v>6024</v>
      </c>
      <c r="B1193" s="2" t="s">
        <v>6064</v>
      </c>
      <c r="C1193" s="2" t="s">
        <v>6597</v>
      </c>
      <c r="D1193" s="2" t="s">
        <v>1796</v>
      </c>
      <c r="E1193" s="2">
        <v>50</v>
      </c>
      <c r="H1193" s="2" t="s">
        <v>5667</v>
      </c>
    </row>
    <row r="1194" spans="1:8" ht="15.75" hidden="1" customHeight="1">
      <c r="A1194" s="2" t="s">
        <v>6024</v>
      </c>
      <c r="B1194" s="2" t="s">
        <v>6064</v>
      </c>
      <c r="C1194" s="2" t="s">
        <v>6598</v>
      </c>
      <c r="D1194" s="2" t="s">
        <v>481</v>
      </c>
      <c r="F1194" s="2">
        <v>38</v>
      </c>
      <c r="G1194" s="2">
        <v>3</v>
      </c>
      <c r="H1194" s="2" t="s">
        <v>5667</v>
      </c>
    </row>
    <row r="1195" spans="1:8" ht="15.75" hidden="1" customHeight="1">
      <c r="A1195" s="2" t="s">
        <v>6024</v>
      </c>
      <c r="B1195" s="2" t="s">
        <v>6064</v>
      </c>
      <c r="C1195" s="2" t="s">
        <v>6209</v>
      </c>
      <c r="D1195" s="2" t="s">
        <v>800</v>
      </c>
      <c r="H1195" s="2" t="s">
        <v>5667</v>
      </c>
    </row>
    <row r="1196" spans="1:8" ht="15.75" hidden="1" customHeight="1">
      <c r="A1196" s="2" t="s">
        <v>6024</v>
      </c>
      <c r="B1196" s="2" t="s">
        <v>6064</v>
      </c>
      <c r="C1196" s="2" t="s">
        <v>6112</v>
      </c>
      <c r="D1196" s="2" t="s">
        <v>800</v>
      </c>
      <c r="H1196" s="2" t="s">
        <v>5665</v>
      </c>
    </row>
    <row r="1197" spans="1:8" ht="15.75" hidden="1" customHeight="1">
      <c r="A1197" s="2" t="s">
        <v>6024</v>
      </c>
      <c r="B1197" s="2" t="s">
        <v>6064</v>
      </c>
      <c r="C1197" s="2" t="s">
        <v>6113</v>
      </c>
      <c r="D1197" s="2" t="s">
        <v>1796</v>
      </c>
      <c r="E1197" s="2">
        <v>100</v>
      </c>
      <c r="H1197" s="2" t="s">
        <v>5667</v>
      </c>
    </row>
    <row r="1198" spans="1:8" ht="15.75" hidden="1" customHeight="1">
      <c r="A1198" s="2" t="s">
        <v>6024</v>
      </c>
      <c r="B1198" s="2" t="s">
        <v>6064</v>
      </c>
      <c r="C1198" s="2" t="s">
        <v>6114</v>
      </c>
      <c r="D1198" s="2" t="s">
        <v>484</v>
      </c>
      <c r="F1198" s="2">
        <v>10</v>
      </c>
      <c r="G1198" s="2">
        <v>0</v>
      </c>
      <c r="H1198" s="2" t="s">
        <v>5667</v>
      </c>
    </row>
    <row r="1199" spans="1:8" ht="15.75" hidden="1" customHeight="1">
      <c r="A1199" s="2" t="s">
        <v>6024</v>
      </c>
      <c r="B1199" s="2" t="s">
        <v>6064</v>
      </c>
      <c r="C1199" s="2" t="s">
        <v>6027</v>
      </c>
      <c r="D1199" s="2" t="s">
        <v>800</v>
      </c>
      <c r="H1199" s="2" t="s">
        <v>5665</v>
      </c>
    </row>
    <row r="1200" spans="1:8" ht="15.75" hidden="1" customHeight="1">
      <c r="A1200" s="2" t="s">
        <v>6024</v>
      </c>
      <c r="B1200" s="2" t="s">
        <v>6064</v>
      </c>
      <c r="C1200" s="2" t="s">
        <v>6115</v>
      </c>
      <c r="D1200" s="2" t="s">
        <v>1796</v>
      </c>
      <c r="E1200" s="2">
        <v>100</v>
      </c>
      <c r="H1200" s="2" t="s">
        <v>5667</v>
      </c>
    </row>
    <row r="1201" spans="1:8" ht="15.75" hidden="1" customHeight="1">
      <c r="A1201" s="2" t="s">
        <v>6024</v>
      </c>
      <c r="B1201" s="2" t="s">
        <v>6064</v>
      </c>
      <c r="C1201" s="2" t="s">
        <v>6116</v>
      </c>
      <c r="D1201" s="2" t="s">
        <v>484</v>
      </c>
      <c r="F1201" s="2">
        <v>10</v>
      </c>
      <c r="G1201" s="2">
        <v>0</v>
      </c>
      <c r="H1201" s="2" t="s">
        <v>5667</v>
      </c>
    </row>
    <row r="1202" spans="1:8" ht="15.75" hidden="1" customHeight="1">
      <c r="A1202" s="2" t="s">
        <v>6024</v>
      </c>
      <c r="B1202" s="2" t="s">
        <v>6064</v>
      </c>
      <c r="C1202" s="2" t="s">
        <v>6117</v>
      </c>
      <c r="D1202" s="2" t="s">
        <v>1796</v>
      </c>
      <c r="E1202" s="2">
        <v>250</v>
      </c>
      <c r="H1202" s="2" t="s">
        <v>5667</v>
      </c>
    </row>
    <row r="1203" spans="1:8" ht="15.75" hidden="1" customHeight="1">
      <c r="A1203" s="2" t="s">
        <v>6024</v>
      </c>
      <c r="B1203" s="2" t="s">
        <v>6065</v>
      </c>
      <c r="C1203" s="2" t="s">
        <v>325</v>
      </c>
      <c r="D1203" s="2" t="s">
        <v>484</v>
      </c>
      <c r="F1203" s="2">
        <v>10</v>
      </c>
      <c r="G1203" s="2">
        <v>0</v>
      </c>
      <c r="H1203" s="2" t="s">
        <v>5665</v>
      </c>
    </row>
    <row r="1204" spans="1:8" ht="15.75" hidden="1" customHeight="1">
      <c r="A1204" s="2" t="s">
        <v>6024</v>
      </c>
      <c r="B1204" s="2" t="s">
        <v>6065</v>
      </c>
      <c r="C1204" s="2" t="s">
        <v>6090</v>
      </c>
      <c r="D1204" s="2" t="s">
        <v>6118</v>
      </c>
      <c r="H1204" s="2" t="s">
        <v>5665</v>
      </c>
    </row>
    <row r="1205" spans="1:8" ht="15.75" hidden="1" customHeight="1">
      <c r="A1205" s="2" t="s">
        <v>6024</v>
      </c>
      <c r="B1205" s="2" t="s">
        <v>6065</v>
      </c>
      <c r="C1205" s="2" t="s">
        <v>6092</v>
      </c>
      <c r="D1205" s="2" t="s">
        <v>1796</v>
      </c>
      <c r="E1205" s="2">
        <v>50</v>
      </c>
      <c r="H1205" s="2" t="s">
        <v>5665</v>
      </c>
    </row>
    <row r="1206" spans="1:8" ht="15.75" hidden="1" customHeight="1">
      <c r="A1206" s="2" t="s">
        <v>6024</v>
      </c>
      <c r="B1206" s="2" t="s">
        <v>6065</v>
      </c>
      <c r="C1206" s="2" t="s">
        <v>6093</v>
      </c>
      <c r="D1206" s="2" t="s">
        <v>484</v>
      </c>
      <c r="F1206" s="2">
        <v>10</v>
      </c>
      <c r="G1206" s="2">
        <v>0</v>
      </c>
      <c r="H1206" s="2" t="s">
        <v>5665</v>
      </c>
    </row>
    <row r="1207" spans="1:8" ht="15.75" hidden="1" customHeight="1">
      <c r="A1207" s="2" t="s">
        <v>6024</v>
      </c>
      <c r="B1207" s="2" t="s">
        <v>6065</v>
      </c>
      <c r="C1207" s="2" t="s">
        <v>6094</v>
      </c>
      <c r="D1207" s="2" t="s">
        <v>484</v>
      </c>
      <c r="F1207" s="2">
        <v>10</v>
      </c>
      <c r="G1207" s="2">
        <v>0</v>
      </c>
      <c r="H1207" s="2" t="s">
        <v>5665</v>
      </c>
    </row>
    <row r="1208" spans="1:8" ht="15.75" hidden="1" customHeight="1">
      <c r="A1208" s="2" t="s">
        <v>6024</v>
      </c>
      <c r="B1208" s="2" t="s">
        <v>6065</v>
      </c>
      <c r="C1208" s="2" t="s">
        <v>6095</v>
      </c>
      <c r="D1208" s="2" t="s">
        <v>1796</v>
      </c>
      <c r="E1208" s="2">
        <v>50</v>
      </c>
      <c r="H1208" s="2" t="s">
        <v>5667</v>
      </c>
    </row>
    <row r="1209" spans="1:8" ht="15.75" hidden="1" customHeight="1">
      <c r="A1209" s="2" t="s">
        <v>6024</v>
      </c>
      <c r="B1209" s="2" t="s">
        <v>6065</v>
      </c>
      <c r="C1209" s="2" t="s">
        <v>4306</v>
      </c>
      <c r="D1209" s="2" t="s">
        <v>1796</v>
      </c>
      <c r="E1209" s="2">
        <v>250</v>
      </c>
      <c r="H1209" s="2" t="s">
        <v>5667</v>
      </c>
    </row>
    <row r="1210" spans="1:8" ht="15.75" hidden="1" customHeight="1">
      <c r="A1210" s="2" t="s">
        <v>6024</v>
      </c>
      <c r="B1210" s="2" t="s">
        <v>6065</v>
      </c>
      <c r="C1210" s="2" t="s">
        <v>4246</v>
      </c>
      <c r="D1210" s="2" t="s">
        <v>1796</v>
      </c>
      <c r="E1210" s="2">
        <v>250</v>
      </c>
      <c r="H1210" s="2" t="s">
        <v>5665</v>
      </c>
    </row>
    <row r="1211" spans="1:8" ht="15.75" hidden="1" customHeight="1">
      <c r="A1211" s="2" t="s">
        <v>6024</v>
      </c>
      <c r="B1211" s="2" t="s">
        <v>6065</v>
      </c>
      <c r="C1211" s="2" t="s">
        <v>6096</v>
      </c>
      <c r="D1211" s="2" t="s">
        <v>484</v>
      </c>
      <c r="F1211" s="2">
        <v>10</v>
      </c>
      <c r="G1211" s="2">
        <v>0</v>
      </c>
      <c r="H1211" s="2" t="s">
        <v>5665</v>
      </c>
    </row>
    <row r="1212" spans="1:8" ht="15.75" hidden="1" customHeight="1">
      <c r="A1212" s="2" t="s">
        <v>6024</v>
      </c>
      <c r="B1212" s="2" t="s">
        <v>6065</v>
      </c>
      <c r="C1212" s="2" t="s">
        <v>6599</v>
      </c>
      <c r="D1212" s="2" t="s">
        <v>1796</v>
      </c>
      <c r="E1212" s="2">
        <v>50</v>
      </c>
      <c r="H1212" s="2" t="s">
        <v>5667</v>
      </c>
    </row>
    <row r="1213" spans="1:8" ht="15.75" hidden="1" customHeight="1">
      <c r="A1213" s="2" t="s">
        <v>6024</v>
      </c>
      <c r="B1213" s="2" t="s">
        <v>6065</v>
      </c>
      <c r="C1213" s="2" t="s">
        <v>6531</v>
      </c>
      <c r="D1213" s="2" t="s">
        <v>1796</v>
      </c>
      <c r="E1213" s="2">
        <v>22</v>
      </c>
      <c r="H1213" s="2" t="s">
        <v>5667</v>
      </c>
    </row>
    <row r="1214" spans="1:8" ht="15.75" hidden="1" customHeight="1">
      <c r="A1214" s="2" t="s">
        <v>6024</v>
      </c>
      <c r="B1214" s="2" t="s">
        <v>6065</v>
      </c>
      <c r="C1214" s="2" t="s">
        <v>6600</v>
      </c>
      <c r="D1214" s="2" t="s">
        <v>1796</v>
      </c>
      <c r="E1214" s="2">
        <v>10</v>
      </c>
      <c r="H1214" s="2" t="s">
        <v>5667</v>
      </c>
    </row>
    <row r="1215" spans="1:8" ht="15.75" hidden="1" customHeight="1">
      <c r="A1215" s="2" t="s">
        <v>6024</v>
      </c>
      <c r="B1215" s="2" t="s">
        <v>6065</v>
      </c>
      <c r="C1215" s="2" t="s">
        <v>6518</v>
      </c>
      <c r="D1215" s="2" t="s">
        <v>1796</v>
      </c>
      <c r="E1215" s="2">
        <v>9</v>
      </c>
      <c r="H1215" s="2" t="s">
        <v>5667</v>
      </c>
    </row>
    <row r="1216" spans="1:8" ht="15.75" hidden="1" customHeight="1">
      <c r="A1216" s="2" t="s">
        <v>6024</v>
      </c>
      <c r="B1216" s="2" t="s">
        <v>6065</v>
      </c>
      <c r="C1216" s="2" t="s">
        <v>257</v>
      </c>
      <c r="D1216" s="2" t="s">
        <v>1796</v>
      </c>
      <c r="E1216" s="2">
        <v>7</v>
      </c>
      <c r="H1216" s="2" t="s">
        <v>5667</v>
      </c>
    </row>
    <row r="1217" spans="1:8" ht="15.75" hidden="1" customHeight="1">
      <c r="A1217" s="2" t="s">
        <v>6024</v>
      </c>
      <c r="B1217" s="2" t="s">
        <v>6065</v>
      </c>
      <c r="C1217" s="2" t="s">
        <v>6571</v>
      </c>
      <c r="D1217" s="2" t="s">
        <v>1796</v>
      </c>
      <c r="E1217" s="2">
        <v>50</v>
      </c>
      <c r="H1217" s="2" t="s">
        <v>5667</v>
      </c>
    </row>
    <row r="1218" spans="1:8" ht="15.75" hidden="1" customHeight="1">
      <c r="A1218" s="2" t="s">
        <v>6024</v>
      </c>
      <c r="B1218" s="2" t="s">
        <v>6065</v>
      </c>
      <c r="C1218" s="2" t="s">
        <v>6593</v>
      </c>
      <c r="D1218" s="2" t="s">
        <v>1796</v>
      </c>
      <c r="E1218" s="2">
        <v>1000</v>
      </c>
      <c r="H1218" s="2" t="s">
        <v>5667</v>
      </c>
    </row>
    <row r="1219" spans="1:8" ht="15.75" hidden="1" customHeight="1">
      <c r="A1219" s="2" t="s">
        <v>6024</v>
      </c>
      <c r="B1219" s="2" t="s">
        <v>6065</v>
      </c>
      <c r="C1219" s="2" t="s">
        <v>6595</v>
      </c>
      <c r="D1219" s="2" t="s">
        <v>800</v>
      </c>
      <c r="H1219" s="2" t="s">
        <v>5667</v>
      </c>
    </row>
    <row r="1220" spans="1:8" ht="15.75" hidden="1" customHeight="1">
      <c r="A1220" s="2" t="s">
        <v>6024</v>
      </c>
      <c r="B1220" s="2" t="s">
        <v>6065</v>
      </c>
      <c r="C1220" s="2" t="s">
        <v>6596</v>
      </c>
      <c r="D1220" s="2" t="s">
        <v>800</v>
      </c>
      <c r="H1220" s="2" t="s">
        <v>5667</v>
      </c>
    </row>
    <row r="1221" spans="1:8" ht="15.75" hidden="1" customHeight="1">
      <c r="A1221" s="2" t="s">
        <v>6024</v>
      </c>
      <c r="B1221" s="2" t="s">
        <v>6065</v>
      </c>
      <c r="C1221" s="2" t="s">
        <v>6597</v>
      </c>
      <c r="D1221" s="2" t="s">
        <v>1796</v>
      </c>
      <c r="E1221" s="2">
        <v>50</v>
      </c>
      <c r="H1221" s="2" t="s">
        <v>5667</v>
      </c>
    </row>
    <row r="1222" spans="1:8" ht="15.75" hidden="1" customHeight="1">
      <c r="A1222" s="2" t="s">
        <v>6024</v>
      </c>
      <c r="B1222" s="2" t="s">
        <v>6065</v>
      </c>
      <c r="C1222" s="2" t="s">
        <v>6601</v>
      </c>
      <c r="D1222" s="2" t="s">
        <v>481</v>
      </c>
      <c r="F1222" s="2">
        <v>38</v>
      </c>
      <c r="G1222" s="2">
        <v>4</v>
      </c>
      <c r="H1222" s="2" t="s">
        <v>5667</v>
      </c>
    </row>
    <row r="1223" spans="1:8" ht="15.75" hidden="1" customHeight="1">
      <c r="A1223" s="2" t="s">
        <v>6024</v>
      </c>
      <c r="B1223" s="2" t="s">
        <v>6065</v>
      </c>
      <c r="C1223" s="2" t="s">
        <v>6602</v>
      </c>
      <c r="D1223" s="2" t="s">
        <v>481</v>
      </c>
      <c r="F1223" s="2">
        <v>38</v>
      </c>
      <c r="G1223" s="2">
        <v>2</v>
      </c>
      <c r="H1223" s="2" t="s">
        <v>5667</v>
      </c>
    </row>
    <row r="1224" spans="1:8" ht="15.75" hidden="1" customHeight="1">
      <c r="A1224" s="2" t="s">
        <v>6024</v>
      </c>
      <c r="B1224" s="2" t="s">
        <v>6065</v>
      </c>
      <c r="C1224" s="2" t="s">
        <v>6603</v>
      </c>
      <c r="D1224" s="2" t="s">
        <v>481</v>
      </c>
      <c r="F1224" s="2">
        <v>38</v>
      </c>
      <c r="G1224" s="2">
        <v>2</v>
      </c>
      <c r="H1224" s="2" t="s">
        <v>5667</v>
      </c>
    </row>
    <row r="1225" spans="1:8" ht="15.75" hidden="1" customHeight="1">
      <c r="A1225" s="2" t="s">
        <v>6024</v>
      </c>
      <c r="B1225" s="2" t="s">
        <v>6065</v>
      </c>
      <c r="C1225" s="2" t="s">
        <v>6209</v>
      </c>
      <c r="D1225" s="2" t="s">
        <v>800</v>
      </c>
      <c r="H1225" s="2" t="s">
        <v>5667</v>
      </c>
    </row>
    <row r="1226" spans="1:8" ht="15.75" hidden="1" customHeight="1">
      <c r="A1226" s="2" t="s">
        <v>6024</v>
      </c>
      <c r="B1226" s="2" t="s">
        <v>6065</v>
      </c>
      <c r="C1226" s="2" t="s">
        <v>6112</v>
      </c>
      <c r="D1226" s="2" t="s">
        <v>800</v>
      </c>
      <c r="H1226" s="2" t="s">
        <v>5665</v>
      </c>
    </row>
    <row r="1227" spans="1:8" ht="15.75" hidden="1" customHeight="1">
      <c r="A1227" s="2" t="s">
        <v>6024</v>
      </c>
      <c r="B1227" s="2" t="s">
        <v>6065</v>
      </c>
      <c r="C1227" s="2" t="s">
        <v>6113</v>
      </c>
      <c r="D1227" s="2" t="s">
        <v>1796</v>
      </c>
      <c r="E1227" s="2">
        <v>100</v>
      </c>
      <c r="H1227" s="2" t="s">
        <v>5667</v>
      </c>
    </row>
    <row r="1228" spans="1:8" ht="15.75" hidden="1" customHeight="1">
      <c r="A1228" s="2" t="s">
        <v>6024</v>
      </c>
      <c r="B1228" s="2" t="s">
        <v>6065</v>
      </c>
      <c r="C1228" s="2" t="s">
        <v>6114</v>
      </c>
      <c r="D1228" s="2" t="s">
        <v>484</v>
      </c>
      <c r="F1228" s="2">
        <v>10</v>
      </c>
      <c r="G1228" s="2">
        <v>0</v>
      </c>
      <c r="H1228" s="2" t="s">
        <v>5667</v>
      </c>
    </row>
    <row r="1229" spans="1:8" ht="15.75" hidden="1" customHeight="1">
      <c r="A1229" s="2" t="s">
        <v>6024</v>
      </c>
      <c r="B1229" s="2" t="s">
        <v>6065</v>
      </c>
      <c r="C1229" s="2" t="s">
        <v>6027</v>
      </c>
      <c r="D1229" s="2" t="s">
        <v>800</v>
      </c>
      <c r="H1229" s="2" t="s">
        <v>5665</v>
      </c>
    </row>
    <row r="1230" spans="1:8" ht="15.75" hidden="1" customHeight="1">
      <c r="A1230" s="2" t="s">
        <v>6024</v>
      </c>
      <c r="B1230" s="2" t="s">
        <v>6065</v>
      </c>
      <c r="C1230" s="2" t="s">
        <v>6115</v>
      </c>
      <c r="D1230" s="2" t="s">
        <v>1796</v>
      </c>
      <c r="E1230" s="2">
        <v>100</v>
      </c>
      <c r="H1230" s="2" t="s">
        <v>5667</v>
      </c>
    </row>
    <row r="1231" spans="1:8" ht="15.75" hidden="1" customHeight="1">
      <c r="A1231" s="2" t="s">
        <v>6024</v>
      </c>
      <c r="B1231" s="2" t="s">
        <v>6065</v>
      </c>
      <c r="C1231" s="2" t="s">
        <v>6116</v>
      </c>
      <c r="D1231" s="2" t="s">
        <v>484</v>
      </c>
      <c r="F1231" s="2">
        <v>10</v>
      </c>
      <c r="G1231" s="2">
        <v>0</v>
      </c>
      <c r="H1231" s="2" t="s">
        <v>5667</v>
      </c>
    </row>
    <row r="1232" spans="1:8" ht="15.75" hidden="1" customHeight="1">
      <c r="A1232" s="2" t="s">
        <v>6024</v>
      </c>
      <c r="B1232" s="2" t="s">
        <v>6065</v>
      </c>
      <c r="C1232" s="2" t="s">
        <v>6117</v>
      </c>
      <c r="D1232" s="2" t="s">
        <v>1796</v>
      </c>
      <c r="E1232" s="2">
        <v>250</v>
      </c>
      <c r="H1232" s="2" t="s">
        <v>5667</v>
      </c>
    </row>
    <row r="1233" spans="1:8" ht="15.75" hidden="1" customHeight="1">
      <c r="A1233" s="2" t="s">
        <v>6024</v>
      </c>
      <c r="B1233" s="2" t="s">
        <v>6066</v>
      </c>
      <c r="C1233" s="2" t="s">
        <v>325</v>
      </c>
      <c r="D1233" s="2" t="s">
        <v>484</v>
      </c>
      <c r="F1233" s="2">
        <v>10</v>
      </c>
      <c r="G1233" s="2">
        <v>0</v>
      </c>
      <c r="H1233" s="2" t="s">
        <v>5665</v>
      </c>
    </row>
    <row r="1234" spans="1:8" ht="15.75" hidden="1" customHeight="1">
      <c r="A1234" s="2" t="s">
        <v>6024</v>
      </c>
      <c r="B1234" s="2" t="s">
        <v>6066</v>
      </c>
      <c r="C1234" s="2" t="s">
        <v>6090</v>
      </c>
      <c r="D1234" s="2" t="s">
        <v>6118</v>
      </c>
      <c r="H1234" s="2" t="s">
        <v>5665</v>
      </c>
    </row>
    <row r="1235" spans="1:8" ht="15.75" hidden="1" customHeight="1">
      <c r="A1235" s="2" t="s">
        <v>6024</v>
      </c>
      <c r="B1235" s="2" t="s">
        <v>6066</v>
      </c>
      <c r="C1235" s="2" t="s">
        <v>6092</v>
      </c>
      <c r="D1235" s="2" t="s">
        <v>1796</v>
      </c>
      <c r="E1235" s="2">
        <v>50</v>
      </c>
      <c r="H1235" s="2" t="s">
        <v>5665</v>
      </c>
    </row>
    <row r="1236" spans="1:8" ht="15.75" hidden="1" customHeight="1">
      <c r="A1236" s="2" t="s">
        <v>6024</v>
      </c>
      <c r="B1236" s="2" t="s">
        <v>6066</v>
      </c>
      <c r="C1236" s="2" t="s">
        <v>6093</v>
      </c>
      <c r="D1236" s="2" t="s">
        <v>484</v>
      </c>
      <c r="F1236" s="2">
        <v>10</v>
      </c>
      <c r="G1236" s="2">
        <v>0</v>
      </c>
      <c r="H1236" s="2" t="s">
        <v>5665</v>
      </c>
    </row>
    <row r="1237" spans="1:8" ht="15.75" hidden="1" customHeight="1">
      <c r="A1237" s="2" t="s">
        <v>6024</v>
      </c>
      <c r="B1237" s="2" t="s">
        <v>6066</v>
      </c>
      <c r="C1237" s="2" t="s">
        <v>6094</v>
      </c>
      <c r="D1237" s="2" t="s">
        <v>484</v>
      </c>
      <c r="F1237" s="2">
        <v>10</v>
      </c>
      <c r="G1237" s="2">
        <v>0</v>
      </c>
      <c r="H1237" s="2" t="s">
        <v>5665</v>
      </c>
    </row>
    <row r="1238" spans="1:8" ht="15.75" hidden="1" customHeight="1">
      <c r="A1238" s="2" t="s">
        <v>6024</v>
      </c>
      <c r="B1238" s="2" t="s">
        <v>6066</v>
      </c>
      <c r="C1238" s="240" t="s">
        <v>6095</v>
      </c>
      <c r="D1238" s="2" t="s">
        <v>1796</v>
      </c>
      <c r="E1238" s="2">
        <v>50</v>
      </c>
      <c r="H1238" s="2" t="s">
        <v>5667</v>
      </c>
    </row>
    <row r="1239" spans="1:8" ht="15.75" hidden="1" customHeight="1">
      <c r="A1239" s="2" t="s">
        <v>6024</v>
      </c>
      <c r="B1239" s="2" t="s">
        <v>6066</v>
      </c>
      <c r="C1239" s="240" t="s">
        <v>4306</v>
      </c>
      <c r="D1239" s="2" t="s">
        <v>1796</v>
      </c>
      <c r="E1239" s="2">
        <v>250</v>
      </c>
      <c r="H1239" s="2" t="s">
        <v>5667</v>
      </c>
    </row>
    <row r="1240" spans="1:8" ht="15.75" hidden="1" customHeight="1">
      <c r="A1240" s="2" t="s">
        <v>6024</v>
      </c>
      <c r="B1240" s="2" t="s">
        <v>6066</v>
      </c>
      <c r="C1240" s="2" t="s">
        <v>4246</v>
      </c>
      <c r="D1240" s="2" t="s">
        <v>1796</v>
      </c>
      <c r="E1240" s="2">
        <v>250</v>
      </c>
      <c r="H1240" s="2" t="s">
        <v>5665</v>
      </c>
    </row>
    <row r="1241" spans="1:8" ht="15.75" hidden="1" customHeight="1">
      <c r="A1241" s="2" t="s">
        <v>6024</v>
      </c>
      <c r="B1241" s="2" t="s">
        <v>6066</v>
      </c>
      <c r="C1241" s="2" t="s">
        <v>6096</v>
      </c>
      <c r="D1241" s="2" t="s">
        <v>484</v>
      </c>
      <c r="F1241" s="2">
        <v>10</v>
      </c>
      <c r="G1241" s="2">
        <v>0</v>
      </c>
      <c r="H1241" s="2" t="s">
        <v>5665</v>
      </c>
    </row>
    <row r="1242" spans="1:8" ht="15.75" hidden="1" customHeight="1">
      <c r="A1242" s="2" t="s">
        <v>6024</v>
      </c>
      <c r="B1242" s="2" t="s">
        <v>6066</v>
      </c>
      <c r="C1242" s="2" t="s">
        <v>6493</v>
      </c>
      <c r="D1242" s="2" t="s">
        <v>1796</v>
      </c>
      <c r="E1242" s="2">
        <v>50</v>
      </c>
      <c r="H1242" s="2" t="s">
        <v>5667</v>
      </c>
    </row>
    <row r="1243" spans="1:8" ht="15.75" hidden="1" customHeight="1">
      <c r="A1243" s="2" t="s">
        <v>6024</v>
      </c>
      <c r="B1243" s="2" t="s">
        <v>6066</v>
      </c>
      <c r="C1243" s="2" t="s">
        <v>6503</v>
      </c>
      <c r="D1243" s="2" t="s">
        <v>1796</v>
      </c>
      <c r="E1243" s="2">
        <v>50</v>
      </c>
      <c r="H1243" s="2" t="s">
        <v>5667</v>
      </c>
    </row>
    <row r="1244" spans="1:8" ht="15.75" hidden="1" customHeight="1">
      <c r="A1244" s="2" t="s">
        <v>6024</v>
      </c>
      <c r="B1244" s="2" t="s">
        <v>6066</v>
      </c>
      <c r="C1244" s="2" t="s">
        <v>6604</v>
      </c>
      <c r="D1244" s="2" t="s">
        <v>1796</v>
      </c>
      <c r="E1244" s="2">
        <v>50</v>
      </c>
      <c r="H1244" s="2" t="s">
        <v>5667</v>
      </c>
    </row>
    <row r="1245" spans="1:8" ht="15.75" hidden="1" customHeight="1">
      <c r="A1245" s="2" t="s">
        <v>6024</v>
      </c>
      <c r="B1245" s="2" t="s">
        <v>6066</v>
      </c>
      <c r="C1245" s="2" t="s">
        <v>1942</v>
      </c>
      <c r="D1245" s="2" t="s">
        <v>481</v>
      </c>
      <c r="F1245" s="2">
        <v>38</v>
      </c>
      <c r="G1245" s="2">
        <v>0</v>
      </c>
      <c r="H1245" s="2" t="s">
        <v>5667</v>
      </c>
    </row>
    <row r="1246" spans="1:8" ht="15.75" hidden="1" customHeight="1">
      <c r="A1246" s="2" t="s">
        <v>6024</v>
      </c>
      <c r="B1246" s="2" t="s">
        <v>6066</v>
      </c>
      <c r="C1246" s="2" t="s">
        <v>1941</v>
      </c>
      <c r="D1246" s="2" t="s">
        <v>481</v>
      </c>
      <c r="F1246" s="2">
        <v>38</v>
      </c>
      <c r="G1246" s="2">
        <v>0</v>
      </c>
      <c r="H1246" s="2" t="s">
        <v>5667</v>
      </c>
    </row>
    <row r="1247" spans="1:8" ht="15.75" hidden="1" customHeight="1">
      <c r="A1247" s="2" t="s">
        <v>6024</v>
      </c>
      <c r="B1247" s="2" t="s">
        <v>6066</v>
      </c>
      <c r="C1247" s="2" t="s">
        <v>1947</v>
      </c>
      <c r="D1247" s="2" t="s">
        <v>481</v>
      </c>
      <c r="F1247" s="2">
        <v>38</v>
      </c>
      <c r="G1247" s="2">
        <v>7</v>
      </c>
      <c r="H1247" s="2" t="s">
        <v>5667</v>
      </c>
    </row>
    <row r="1248" spans="1:8" ht="15.75" hidden="1" customHeight="1">
      <c r="A1248" s="2" t="s">
        <v>6024</v>
      </c>
      <c r="B1248" s="2" t="s">
        <v>6066</v>
      </c>
      <c r="C1248" s="2" t="s">
        <v>6209</v>
      </c>
      <c r="D1248" s="2" t="s">
        <v>800</v>
      </c>
      <c r="H1248" s="2" t="s">
        <v>5667</v>
      </c>
    </row>
    <row r="1249" spans="1:8" ht="15.75" hidden="1" customHeight="1">
      <c r="A1249" s="2" t="s">
        <v>6024</v>
      </c>
      <c r="B1249" s="2" t="s">
        <v>6066</v>
      </c>
      <c r="C1249" s="2" t="s">
        <v>6112</v>
      </c>
      <c r="D1249" s="2" t="s">
        <v>800</v>
      </c>
      <c r="H1249" s="2" t="s">
        <v>5665</v>
      </c>
    </row>
    <row r="1250" spans="1:8" ht="15.75" hidden="1" customHeight="1">
      <c r="A1250" s="2" t="s">
        <v>6024</v>
      </c>
      <c r="B1250" s="2" t="s">
        <v>6066</v>
      </c>
      <c r="C1250" s="2" t="s">
        <v>6113</v>
      </c>
      <c r="D1250" s="2" t="s">
        <v>1796</v>
      </c>
      <c r="E1250" s="2">
        <v>100</v>
      </c>
      <c r="H1250" s="2" t="s">
        <v>5667</v>
      </c>
    </row>
    <row r="1251" spans="1:8" ht="15.75" hidden="1" customHeight="1">
      <c r="A1251" s="2" t="s">
        <v>6024</v>
      </c>
      <c r="B1251" s="2" t="s">
        <v>6066</v>
      </c>
      <c r="C1251" s="2" t="s">
        <v>6114</v>
      </c>
      <c r="D1251" s="2" t="s">
        <v>484</v>
      </c>
      <c r="F1251" s="2">
        <v>10</v>
      </c>
      <c r="G1251" s="2">
        <v>0</v>
      </c>
      <c r="H1251" s="2" t="s">
        <v>5667</v>
      </c>
    </row>
    <row r="1252" spans="1:8" ht="15.75" hidden="1" customHeight="1">
      <c r="A1252" s="2" t="s">
        <v>6024</v>
      </c>
      <c r="B1252" s="2" t="s">
        <v>6066</v>
      </c>
      <c r="C1252" s="2" t="s">
        <v>6027</v>
      </c>
      <c r="D1252" s="2" t="s">
        <v>800</v>
      </c>
      <c r="H1252" s="2" t="s">
        <v>5665</v>
      </c>
    </row>
    <row r="1253" spans="1:8" ht="15.75" hidden="1" customHeight="1">
      <c r="A1253" s="2" t="s">
        <v>6024</v>
      </c>
      <c r="B1253" s="2" t="s">
        <v>6066</v>
      </c>
      <c r="C1253" s="2" t="s">
        <v>6115</v>
      </c>
      <c r="D1253" s="2" t="s">
        <v>1796</v>
      </c>
      <c r="E1253" s="2">
        <v>100</v>
      </c>
      <c r="H1253" s="2" t="s">
        <v>5667</v>
      </c>
    </row>
    <row r="1254" spans="1:8" ht="15.75" hidden="1" customHeight="1">
      <c r="A1254" s="2" t="s">
        <v>6024</v>
      </c>
      <c r="B1254" s="2" t="s">
        <v>6066</v>
      </c>
      <c r="C1254" s="2" t="s">
        <v>6116</v>
      </c>
      <c r="D1254" s="2" t="s">
        <v>484</v>
      </c>
      <c r="F1254" s="2">
        <v>10</v>
      </c>
      <c r="G1254" s="2">
        <v>0</v>
      </c>
      <c r="H1254" s="2" t="s">
        <v>5667</v>
      </c>
    </row>
    <row r="1255" spans="1:8" ht="15.75" hidden="1" customHeight="1">
      <c r="A1255" s="2" t="s">
        <v>6024</v>
      </c>
      <c r="B1255" s="2" t="s">
        <v>6066</v>
      </c>
      <c r="C1255" s="2" t="s">
        <v>6117</v>
      </c>
      <c r="D1255" s="2" t="s">
        <v>1796</v>
      </c>
      <c r="E1255" s="2">
        <v>250</v>
      </c>
      <c r="H1255" s="2" t="s">
        <v>5667</v>
      </c>
    </row>
    <row r="1256" spans="1:8" ht="15.75" hidden="1" customHeight="1">
      <c r="A1256" s="2" t="s">
        <v>6024</v>
      </c>
      <c r="B1256" s="2" t="s">
        <v>6067</v>
      </c>
      <c r="C1256" s="2" t="s">
        <v>325</v>
      </c>
      <c r="D1256" s="2" t="s">
        <v>484</v>
      </c>
      <c r="F1256" s="2">
        <v>10</v>
      </c>
      <c r="G1256" s="2">
        <v>0</v>
      </c>
      <c r="H1256" s="2" t="s">
        <v>5665</v>
      </c>
    </row>
    <row r="1257" spans="1:8" ht="15.75" hidden="1" customHeight="1">
      <c r="A1257" s="2" t="s">
        <v>6024</v>
      </c>
      <c r="B1257" s="2" t="s">
        <v>6067</v>
      </c>
      <c r="C1257" s="2" t="s">
        <v>6090</v>
      </c>
      <c r="D1257" s="2" t="s">
        <v>6118</v>
      </c>
      <c r="H1257" s="2" t="s">
        <v>5665</v>
      </c>
    </row>
    <row r="1258" spans="1:8" ht="15.75" hidden="1" customHeight="1">
      <c r="A1258" s="2" t="s">
        <v>6024</v>
      </c>
      <c r="B1258" s="2" t="s">
        <v>6067</v>
      </c>
      <c r="C1258" s="2" t="s">
        <v>6092</v>
      </c>
      <c r="D1258" s="2" t="s">
        <v>1796</v>
      </c>
      <c r="E1258" s="2">
        <v>50</v>
      </c>
      <c r="H1258" s="2" t="s">
        <v>5665</v>
      </c>
    </row>
    <row r="1259" spans="1:8" ht="15.75" hidden="1" customHeight="1">
      <c r="A1259" s="2" t="s">
        <v>6024</v>
      </c>
      <c r="B1259" s="2" t="s">
        <v>6067</v>
      </c>
      <c r="C1259" s="2" t="s">
        <v>6093</v>
      </c>
      <c r="D1259" s="2" t="s">
        <v>484</v>
      </c>
      <c r="F1259" s="2">
        <v>10</v>
      </c>
      <c r="G1259" s="2">
        <v>0</v>
      </c>
      <c r="H1259" s="2" t="s">
        <v>5665</v>
      </c>
    </row>
    <row r="1260" spans="1:8" ht="15.75" hidden="1" customHeight="1">
      <c r="A1260" s="2" t="s">
        <v>6024</v>
      </c>
      <c r="B1260" s="2" t="s">
        <v>6067</v>
      </c>
      <c r="C1260" s="2" t="s">
        <v>6094</v>
      </c>
      <c r="D1260" s="2" t="s">
        <v>484</v>
      </c>
      <c r="F1260" s="2">
        <v>10</v>
      </c>
      <c r="G1260" s="2">
        <v>0</v>
      </c>
      <c r="H1260" s="2" t="s">
        <v>5665</v>
      </c>
    </row>
    <row r="1261" spans="1:8" ht="15.75" hidden="1" customHeight="1">
      <c r="A1261" s="2" t="s">
        <v>6024</v>
      </c>
      <c r="B1261" s="2" t="s">
        <v>6067</v>
      </c>
      <c r="C1261" s="2" t="s">
        <v>6095</v>
      </c>
      <c r="D1261" s="2" t="s">
        <v>1796</v>
      </c>
      <c r="E1261" s="2">
        <v>50</v>
      </c>
      <c r="H1261" s="2" t="s">
        <v>5667</v>
      </c>
    </row>
    <row r="1262" spans="1:8" ht="15.75" hidden="1" customHeight="1">
      <c r="A1262" s="2" t="s">
        <v>6024</v>
      </c>
      <c r="B1262" s="2" t="s">
        <v>6067</v>
      </c>
      <c r="C1262" s="2" t="s">
        <v>4306</v>
      </c>
      <c r="D1262" s="2" t="s">
        <v>1796</v>
      </c>
      <c r="E1262" s="2">
        <v>250</v>
      </c>
      <c r="H1262" s="2" t="s">
        <v>5667</v>
      </c>
    </row>
    <row r="1263" spans="1:8" ht="15.75" hidden="1" customHeight="1">
      <c r="A1263" s="2" t="s">
        <v>6024</v>
      </c>
      <c r="B1263" s="2" t="s">
        <v>6067</v>
      </c>
      <c r="C1263" s="2" t="s">
        <v>4246</v>
      </c>
      <c r="D1263" s="2" t="s">
        <v>1796</v>
      </c>
      <c r="E1263" s="2">
        <v>250</v>
      </c>
      <c r="H1263" s="2" t="s">
        <v>5665</v>
      </c>
    </row>
    <row r="1264" spans="1:8" ht="15.75" hidden="1" customHeight="1">
      <c r="A1264" s="2" t="s">
        <v>6024</v>
      </c>
      <c r="B1264" s="2" t="s">
        <v>6067</v>
      </c>
      <c r="C1264" s="2" t="s">
        <v>6096</v>
      </c>
      <c r="D1264" s="2" t="s">
        <v>484</v>
      </c>
      <c r="F1264" s="2">
        <v>10</v>
      </c>
      <c r="G1264" s="2">
        <v>0</v>
      </c>
      <c r="H1264" s="2" t="s">
        <v>5665</v>
      </c>
    </row>
    <row r="1265" spans="1:8" ht="15.75" hidden="1" customHeight="1">
      <c r="A1265" s="2" t="s">
        <v>6024</v>
      </c>
      <c r="B1265" s="2" t="s">
        <v>6067</v>
      </c>
      <c r="C1265" s="2" t="s">
        <v>1938</v>
      </c>
      <c r="D1265" s="2" t="s">
        <v>1796</v>
      </c>
      <c r="E1265" s="2">
        <v>10</v>
      </c>
      <c r="H1265" s="2" t="s">
        <v>5667</v>
      </c>
    </row>
    <row r="1266" spans="1:8" ht="15.75" hidden="1" customHeight="1">
      <c r="A1266" s="2" t="s">
        <v>6024</v>
      </c>
      <c r="B1266" s="2" t="s">
        <v>6067</v>
      </c>
      <c r="C1266" s="2" t="s">
        <v>1948</v>
      </c>
      <c r="D1266" s="2" t="s">
        <v>1796</v>
      </c>
      <c r="E1266" s="2">
        <v>20</v>
      </c>
      <c r="H1266" s="2" t="s">
        <v>5667</v>
      </c>
    </row>
    <row r="1267" spans="1:8" ht="15.75" hidden="1" customHeight="1">
      <c r="A1267" s="2" t="s">
        <v>6024</v>
      </c>
      <c r="B1267" s="2" t="s">
        <v>6067</v>
      </c>
      <c r="C1267" s="2" t="s">
        <v>6604</v>
      </c>
      <c r="D1267" s="2" t="s">
        <v>1796</v>
      </c>
      <c r="E1267" s="2">
        <v>100</v>
      </c>
      <c r="H1267" s="2" t="s">
        <v>5667</v>
      </c>
    </row>
    <row r="1268" spans="1:8" ht="15.75" hidden="1" customHeight="1">
      <c r="A1268" s="2" t="s">
        <v>6024</v>
      </c>
      <c r="B1268" s="2" t="s">
        <v>6067</v>
      </c>
      <c r="C1268" s="2" t="s">
        <v>1942</v>
      </c>
      <c r="D1268" s="2" t="s">
        <v>481</v>
      </c>
      <c r="F1268" s="2">
        <v>38</v>
      </c>
      <c r="G1268" s="2">
        <v>2</v>
      </c>
      <c r="H1268" s="2" t="s">
        <v>5667</v>
      </c>
    </row>
    <row r="1269" spans="1:8" ht="15.75" hidden="1" customHeight="1">
      <c r="A1269" s="2" t="s">
        <v>6024</v>
      </c>
      <c r="B1269" s="2" t="s">
        <v>6067</v>
      </c>
      <c r="C1269" s="2" t="s">
        <v>1941</v>
      </c>
      <c r="D1269" s="2" t="s">
        <v>481</v>
      </c>
      <c r="F1269" s="2">
        <v>38</v>
      </c>
      <c r="G1269" s="2">
        <v>2</v>
      </c>
      <c r="H1269" s="2" t="s">
        <v>5667</v>
      </c>
    </row>
    <row r="1270" spans="1:8" ht="15.75" hidden="1" customHeight="1">
      <c r="A1270" s="2" t="s">
        <v>6024</v>
      </c>
      <c r="B1270" s="2" t="s">
        <v>6067</v>
      </c>
      <c r="C1270" s="2" t="s">
        <v>1947</v>
      </c>
      <c r="D1270" s="2" t="s">
        <v>481</v>
      </c>
      <c r="F1270" s="2">
        <v>38</v>
      </c>
      <c r="G1270" s="2">
        <v>2</v>
      </c>
      <c r="H1270" s="2" t="s">
        <v>5667</v>
      </c>
    </row>
    <row r="1271" spans="1:8" ht="15.75" hidden="1" customHeight="1">
      <c r="A1271" s="2" t="s">
        <v>6024</v>
      </c>
      <c r="B1271" s="2" t="s">
        <v>6067</v>
      </c>
      <c r="C1271" s="2" t="s">
        <v>6209</v>
      </c>
      <c r="D1271" s="2" t="s">
        <v>800</v>
      </c>
      <c r="H1271" s="2" t="s">
        <v>5667</v>
      </c>
    </row>
    <row r="1272" spans="1:8" ht="15.75" hidden="1" customHeight="1">
      <c r="A1272" s="2" t="s">
        <v>6024</v>
      </c>
      <c r="B1272" s="2" t="s">
        <v>6067</v>
      </c>
      <c r="C1272" s="2" t="s">
        <v>6112</v>
      </c>
      <c r="D1272" s="2" t="s">
        <v>800</v>
      </c>
      <c r="H1272" s="2" t="s">
        <v>5665</v>
      </c>
    </row>
    <row r="1273" spans="1:8" ht="15.75" hidden="1" customHeight="1">
      <c r="A1273" s="2" t="s">
        <v>6024</v>
      </c>
      <c r="B1273" s="2" t="s">
        <v>6067</v>
      </c>
      <c r="C1273" s="2" t="s">
        <v>6113</v>
      </c>
      <c r="D1273" s="2" t="s">
        <v>1796</v>
      </c>
      <c r="E1273" s="2">
        <v>100</v>
      </c>
      <c r="H1273" s="2" t="s">
        <v>5667</v>
      </c>
    </row>
    <row r="1274" spans="1:8" ht="15.75" hidden="1" customHeight="1">
      <c r="A1274" s="2" t="s">
        <v>6024</v>
      </c>
      <c r="B1274" s="2" t="s">
        <v>6067</v>
      </c>
      <c r="C1274" s="2" t="s">
        <v>6114</v>
      </c>
      <c r="D1274" s="2" t="s">
        <v>484</v>
      </c>
      <c r="F1274" s="2">
        <v>10</v>
      </c>
      <c r="G1274" s="2">
        <v>0</v>
      </c>
      <c r="H1274" s="2" t="s">
        <v>5667</v>
      </c>
    </row>
    <row r="1275" spans="1:8" ht="15.75" hidden="1" customHeight="1">
      <c r="A1275" s="2" t="s">
        <v>6024</v>
      </c>
      <c r="B1275" s="2" t="s">
        <v>6067</v>
      </c>
      <c r="C1275" s="2" t="s">
        <v>6027</v>
      </c>
      <c r="D1275" s="2" t="s">
        <v>800</v>
      </c>
      <c r="H1275" s="2" t="s">
        <v>5665</v>
      </c>
    </row>
    <row r="1276" spans="1:8" ht="15.75" hidden="1" customHeight="1">
      <c r="A1276" s="2" t="s">
        <v>6024</v>
      </c>
      <c r="B1276" s="2" t="s">
        <v>6067</v>
      </c>
      <c r="C1276" s="2" t="s">
        <v>6115</v>
      </c>
      <c r="D1276" s="2" t="s">
        <v>1796</v>
      </c>
      <c r="E1276" s="2">
        <v>100</v>
      </c>
      <c r="H1276" s="2" t="s">
        <v>5667</v>
      </c>
    </row>
    <row r="1277" spans="1:8" ht="15.75" hidden="1" customHeight="1">
      <c r="A1277" s="2" t="s">
        <v>6024</v>
      </c>
      <c r="B1277" s="2" t="s">
        <v>6067</v>
      </c>
      <c r="C1277" s="2" t="s">
        <v>6116</v>
      </c>
      <c r="D1277" s="2" t="s">
        <v>484</v>
      </c>
      <c r="F1277" s="2">
        <v>10</v>
      </c>
      <c r="G1277" s="2">
        <v>0</v>
      </c>
      <c r="H1277" s="2" t="s">
        <v>5667</v>
      </c>
    </row>
    <row r="1278" spans="1:8" ht="15.75" hidden="1" customHeight="1">
      <c r="A1278" s="2" t="s">
        <v>6024</v>
      </c>
      <c r="B1278" s="2" t="s">
        <v>6067</v>
      </c>
      <c r="C1278" s="2" t="s">
        <v>6117</v>
      </c>
      <c r="D1278" s="2" t="s">
        <v>1796</v>
      </c>
      <c r="E1278" s="2">
        <v>250</v>
      </c>
      <c r="H1278" s="2" t="s">
        <v>5667</v>
      </c>
    </row>
    <row r="1279" spans="1:8" ht="15.75" hidden="1" customHeight="1">
      <c r="A1279" s="2" t="s">
        <v>6024</v>
      </c>
      <c r="B1279" s="2" t="s">
        <v>6068</v>
      </c>
      <c r="C1279" s="2" t="s">
        <v>325</v>
      </c>
      <c r="D1279" s="2" t="s">
        <v>484</v>
      </c>
      <c r="F1279" s="2">
        <v>10</v>
      </c>
      <c r="G1279" s="2">
        <v>0</v>
      </c>
      <c r="H1279" s="2" t="s">
        <v>5665</v>
      </c>
    </row>
    <row r="1280" spans="1:8" ht="15.75" hidden="1" customHeight="1">
      <c r="A1280" s="2" t="s">
        <v>6024</v>
      </c>
      <c r="B1280" s="2" t="s">
        <v>6068</v>
      </c>
      <c r="C1280" s="2" t="s">
        <v>6090</v>
      </c>
      <c r="D1280" s="2" t="s">
        <v>6118</v>
      </c>
      <c r="H1280" s="2" t="s">
        <v>5665</v>
      </c>
    </row>
    <row r="1281" spans="1:8" ht="15.75" hidden="1" customHeight="1">
      <c r="A1281" s="2" t="s">
        <v>6024</v>
      </c>
      <c r="B1281" s="2" t="s">
        <v>6068</v>
      </c>
      <c r="C1281" s="2" t="s">
        <v>6092</v>
      </c>
      <c r="D1281" s="2" t="s">
        <v>1796</v>
      </c>
      <c r="E1281" s="2">
        <v>50</v>
      </c>
      <c r="H1281" s="2" t="s">
        <v>5665</v>
      </c>
    </row>
    <row r="1282" spans="1:8" ht="15.75" hidden="1" customHeight="1">
      <c r="A1282" s="2" t="s">
        <v>6024</v>
      </c>
      <c r="B1282" s="2" t="s">
        <v>6068</v>
      </c>
      <c r="C1282" s="2" t="s">
        <v>6093</v>
      </c>
      <c r="D1282" s="2" t="s">
        <v>484</v>
      </c>
      <c r="F1282" s="2">
        <v>10</v>
      </c>
      <c r="G1282" s="2">
        <v>0</v>
      </c>
      <c r="H1282" s="2" t="s">
        <v>5665</v>
      </c>
    </row>
    <row r="1283" spans="1:8" ht="15.75" hidden="1" customHeight="1">
      <c r="A1283" s="2" t="s">
        <v>6024</v>
      </c>
      <c r="B1283" s="2" t="s">
        <v>6068</v>
      </c>
      <c r="C1283" s="2" t="s">
        <v>6094</v>
      </c>
      <c r="D1283" s="2" t="s">
        <v>484</v>
      </c>
      <c r="F1283" s="2">
        <v>10</v>
      </c>
      <c r="G1283" s="2">
        <v>0</v>
      </c>
      <c r="H1283" s="2" t="s">
        <v>5665</v>
      </c>
    </row>
    <row r="1284" spans="1:8" ht="15.75" hidden="1" customHeight="1">
      <c r="A1284" s="2" t="s">
        <v>6024</v>
      </c>
      <c r="B1284" s="2" t="s">
        <v>6068</v>
      </c>
      <c r="C1284" s="2" t="s">
        <v>6095</v>
      </c>
      <c r="D1284" s="2" t="s">
        <v>1796</v>
      </c>
      <c r="E1284" s="2">
        <v>50</v>
      </c>
      <c r="H1284" s="2" t="s">
        <v>5667</v>
      </c>
    </row>
    <row r="1285" spans="1:8" ht="15.75" hidden="1" customHeight="1">
      <c r="A1285" s="2" t="s">
        <v>6024</v>
      </c>
      <c r="B1285" s="2" t="s">
        <v>6068</v>
      </c>
      <c r="C1285" s="2" t="s">
        <v>4306</v>
      </c>
      <c r="D1285" s="2" t="s">
        <v>1796</v>
      </c>
      <c r="E1285" s="2">
        <v>250</v>
      </c>
      <c r="H1285" s="2" t="s">
        <v>5667</v>
      </c>
    </row>
    <row r="1286" spans="1:8" ht="15.75" hidden="1" customHeight="1">
      <c r="A1286" s="2" t="s">
        <v>6024</v>
      </c>
      <c r="B1286" s="2" t="s">
        <v>6068</v>
      </c>
      <c r="C1286" s="2" t="s">
        <v>4246</v>
      </c>
      <c r="D1286" s="2" t="s">
        <v>1796</v>
      </c>
      <c r="E1286" s="2">
        <v>250</v>
      </c>
      <c r="H1286" s="2" t="s">
        <v>5665</v>
      </c>
    </row>
    <row r="1287" spans="1:8" ht="15.75" hidden="1" customHeight="1">
      <c r="A1287" s="2" t="s">
        <v>6024</v>
      </c>
      <c r="B1287" s="2" t="s">
        <v>6068</v>
      </c>
      <c r="C1287" s="2" t="s">
        <v>6096</v>
      </c>
      <c r="D1287" s="2" t="s">
        <v>484</v>
      </c>
      <c r="F1287" s="2">
        <v>10</v>
      </c>
      <c r="G1287" s="2">
        <v>0</v>
      </c>
      <c r="H1287" s="2" t="s">
        <v>5665</v>
      </c>
    </row>
    <row r="1288" spans="1:8" ht="15.75" hidden="1" customHeight="1">
      <c r="A1288" s="2" t="s">
        <v>6024</v>
      </c>
      <c r="B1288" s="2" t="s">
        <v>6068</v>
      </c>
      <c r="C1288" s="2" t="s">
        <v>6605</v>
      </c>
      <c r="D1288" s="2" t="s">
        <v>1796</v>
      </c>
      <c r="E1288" s="2">
        <v>50</v>
      </c>
      <c r="H1288" s="2" t="s">
        <v>5667</v>
      </c>
    </row>
    <row r="1289" spans="1:8" ht="15.75" hidden="1" customHeight="1">
      <c r="A1289" s="2" t="s">
        <v>6024</v>
      </c>
      <c r="B1289" s="2" t="s">
        <v>6068</v>
      </c>
      <c r="C1289" s="2" t="s">
        <v>6549</v>
      </c>
      <c r="D1289" s="2" t="s">
        <v>1796</v>
      </c>
      <c r="E1289" s="2">
        <v>50</v>
      </c>
      <c r="H1289" s="2" t="s">
        <v>5667</v>
      </c>
    </row>
    <row r="1290" spans="1:8" ht="15.75" hidden="1" customHeight="1">
      <c r="A1290" s="2" t="s">
        <v>6024</v>
      </c>
      <c r="B1290" s="2" t="s">
        <v>6068</v>
      </c>
      <c r="C1290" s="2" t="s">
        <v>6550</v>
      </c>
      <c r="D1290" s="2" t="s">
        <v>1796</v>
      </c>
      <c r="E1290" s="2">
        <v>50</v>
      </c>
      <c r="H1290" s="2" t="s">
        <v>5667</v>
      </c>
    </row>
    <row r="1291" spans="1:8" ht="15.75" hidden="1" customHeight="1">
      <c r="A1291" s="2" t="s">
        <v>6024</v>
      </c>
      <c r="B1291" s="2" t="s">
        <v>6068</v>
      </c>
      <c r="C1291" s="2" t="s">
        <v>6606</v>
      </c>
      <c r="D1291" s="2" t="s">
        <v>1796</v>
      </c>
      <c r="E1291" s="2">
        <v>50</v>
      </c>
      <c r="H1291" s="2" t="s">
        <v>5667</v>
      </c>
    </row>
    <row r="1292" spans="1:8" ht="15.75" hidden="1" customHeight="1">
      <c r="A1292" s="2" t="s">
        <v>6024</v>
      </c>
      <c r="B1292" s="2" t="s">
        <v>6068</v>
      </c>
      <c r="C1292" s="2" t="s">
        <v>6607</v>
      </c>
      <c r="D1292" s="2" t="s">
        <v>1796</v>
      </c>
      <c r="E1292" s="2">
        <v>50</v>
      </c>
      <c r="H1292" s="2" t="s">
        <v>5667</v>
      </c>
    </row>
    <row r="1293" spans="1:8" ht="15.75" hidden="1" customHeight="1">
      <c r="A1293" s="2" t="s">
        <v>6024</v>
      </c>
      <c r="B1293" s="2" t="s">
        <v>6068</v>
      </c>
      <c r="C1293" s="2" t="s">
        <v>6608</v>
      </c>
      <c r="D1293" s="2" t="s">
        <v>1796</v>
      </c>
      <c r="E1293" s="2">
        <v>50</v>
      </c>
      <c r="H1293" s="2" t="s">
        <v>5667</v>
      </c>
    </row>
    <row r="1294" spans="1:8" ht="15.75" hidden="1" customHeight="1">
      <c r="A1294" s="2" t="s">
        <v>6024</v>
      </c>
      <c r="B1294" s="2" t="s">
        <v>6068</v>
      </c>
      <c r="C1294" s="2" t="s">
        <v>6609</v>
      </c>
      <c r="D1294" s="2" t="s">
        <v>1796</v>
      </c>
      <c r="E1294" s="2">
        <v>50</v>
      </c>
      <c r="H1294" s="2" t="s">
        <v>5667</v>
      </c>
    </row>
    <row r="1295" spans="1:8" ht="15.75" hidden="1" customHeight="1">
      <c r="A1295" s="2" t="s">
        <v>6024</v>
      </c>
      <c r="B1295" s="2" t="s">
        <v>6068</v>
      </c>
      <c r="C1295" s="2" t="s">
        <v>6610</v>
      </c>
      <c r="D1295" s="2" t="s">
        <v>1796</v>
      </c>
      <c r="E1295" s="2">
        <v>10</v>
      </c>
      <c r="H1295" s="2" t="s">
        <v>5667</v>
      </c>
    </row>
    <row r="1296" spans="1:8" ht="15.75" hidden="1" customHeight="1">
      <c r="A1296" s="2" t="s">
        <v>6024</v>
      </c>
      <c r="B1296" s="2" t="s">
        <v>6068</v>
      </c>
      <c r="C1296" s="2" t="s">
        <v>6209</v>
      </c>
      <c r="D1296" s="2" t="s">
        <v>800</v>
      </c>
      <c r="H1296" s="2" t="s">
        <v>5667</v>
      </c>
    </row>
    <row r="1297" spans="1:8" ht="15.75" hidden="1" customHeight="1">
      <c r="A1297" s="2" t="s">
        <v>6024</v>
      </c>
      <c r="B1297" s="2" t="s">
        <v>6068</v>
      </c>
      <c r="C1297" s="2" t="s">
        <v>6112</v>
      </c>
      <c r="D1297" s="2" t="s">
        <v>800</v>
      </c>
      <c r="H1297" s="2" t="s">
        <v>5665</v>
      </c>
    </row>
    <row r="1298" spans="1:8" ht="15.75" hidden="1" customHeight="1">
      <c r="A1298" s="2" t="s">
        <v>6024</v>
      </c>
      <c r="B1298" s="2" t="s">
        <v>6068</v>
      </c>
      <c r="C1298" s="2" t="s">
        <v>6113</v>
      </c>
      <c r="D1298" s="2" t="s">
        <v>1796</v>
      </c>
      <c r="E1298" s="2">
        <v>100</v>
      </c>
      <c r="H1298" s="2" t="s">
        <v>5667</v>
      </c>
    </row>
    <row r="1299" spans="1:8" ht="15.75" hidden="1" customHeight="1">
      <c r="A1299" s="2" t="s">
        <v>6024</v>
      </c>
      <c r="B1299" s="2" t="s">
        <v>6068</v>
      </c>
      <c r="C1299" s="2" t="s">
        <v>6114</v>
      </c>
      <c r="D1299" s="2" t="s">
        <v>484</v>
      </c>
      <c r="F1299" s="2">
        <v>10</v>
      </c>
      <c r="G1299" s="2">
        <v>0</v>
      </c>
      <c r="H1299" s="2" t="s">
        <v>5667</v>
      </c>
    </row>
    <row r="1300" spans="1:8" ht="15.75" hidden="1" customHeight="1">
      <c r="A1300" s="2" t="s">
        <v>6024</v>
      </c>
      <c r="B1300" s="2" t="s">
        <v>6068</v>
      </c>
      <c r="C1300" s="2" t="s">
        <v>6027</v>
      </c>
      <c r="D1300" s="2" t="s">
        <v>800</v>
      </c>
      <c r="H1300" s="2" t="s">
        <v>5665</v>
      </c>
    </row>
    <row r="1301" spans="1:8" ht="15.75" hidden="1" customHeight="1">
      <c r="A1301" s="2" t="s">
        <v>6024</v>
      </c>
      <c r="B1301" s="2" t="s">
        <v>6068</v>
      </c>
      <c r="C1301" s="2" t="s">
        <v>6115</v>
      </c>
      <c r="D1301" s="2" t="s">
        <v>1796</v>
      </c>
      <c r="E1301" s="2">
        <v>100</v>
      </c>
      <c r="H1301" s="2" t="s">
        <v>5667</v>
      </c>
    </row>
    <row r="1302" spans="1:8" ht="15.75" hidden="1" customHeight="1">
      <c r="A1302" s="2" t="s">
        <v>6024</v>
      </c>
      <c r="B1302" s="2" t="s">
        <v>6068</v>
      </c>
      <c r="C1302" s="2" t="s">
        <v>6116</v>
      </c>
      <c r="D1302" s="2" t="s">
        <v>484</v>
      </c>
      <c r="F1302" s="2">
        <v>10</v>
      </c>
      <c r="G1302" s="2">
        <v>0</v>
      </c>
      <c r="H1302" s="2" t="s">
        <v>5667</v>
      </c>
    </row>
    <row r="1303" spans="1:8" ht="15.75" hidden="1" customHeight="1">
      <c r="A1303" s="2" t="s">
        <v>6024</v>
      </c>
      <c r="B1303" s="2" t="s">
        <v>6068</v>
      </c>
      <c r="C1303" s="2" t="s">
        <v>6117</v>
      </c>
      <c r="D1303" s="2" t="s">
        <v>1796</v>
      </c>
      <c r="E1303" s="2">
        <v>250</v>
      </c>
      <c r="H1303" s="2" t="s">
        <v>5667</v>
      </c>
    </row>
    <row r="1304" spans="1:8" ht="15.75" hidden="1" customHeight="1">
      <c r="A1304" s="2" t="s">
        <v>6024</v>
      </c>
      <c r="B1304" s="2" t="s">
        <v>6069</v>
      </c>
      <c r="C1304" s="2" t="s">
        <v>325</v>
      </c>
      <c r="D1304" s="2" t="s">
        <v>484</v>
      </c>
      <c r="F1304" s="2">
        <v>10</v>
      </c>
      <c r="G1304" s="2">
        <v>0</v>
      </c>
      <c r="H1304" s="2" t="s">
        <v>5665</v>
      </c>
    </row>
    <row r="1305" spans="1:8" ht="15.75" hidden="1" customHeight="1">
      <c r="A1305" s="2" t="s">
        <v>6024</v>
      </c>
      <c r="B1305" s="2" t="s">
        <v>6069</v>
      </c>
      <c r="C1305" s="2" t="s">
        <v>6090</v>
      </c>
      <c r="D1305" s="2" t="s">
        <v>6118</v>
      </c>
      <c r="H1305" s="2" t="s">
        <v>5665</v>
      </c>
    </row>
    <row r="1306" spans="1:8" ht="15.75" hidden="1" customHeight="1">
      <c r="A1306" s="2" t="s">
        <v>6024</v>
      </c>
      <c r="B1306" s="2" t="s">
        <v>6069</v>
      </c>
      <c r="C1306" s="2" t="s">
        <v>6092</v>
      </c>
      <c r="D1306" s="2" t="s">
        <v>1796</v>
      </c>
      <c r="E1306" s="2">
        <v>50</v>
      </c>
      <c r="H1306" s="2" t="s">
        <v>5665</v>
      </c>
    </row>
    <row r="1307" spans="1:8" ht="15.75" hidden="1" customHeight="1">
      <c r="A1307" s="2" t="s">
        <v>6024</v>
      </c>
      <c r="B1307" s="2" t="s">
        <v>6069</v>
      </c>
      <c r="C1307" s="2" t="s">
        <v>6093</v>
      </c>
      <c r="D1307" s="2" t="s">
        <v>484</v>
      </c>
      <c r="F1307" s="2">
        <v>10</v>
      </c>
      <c r="G1307" s="2">
        <v>0</v>
      </c>
      <c r="H1307" s="2" t="s">
        <v>5665</v>
      </c>
    </row>
    <row r="1308" spans="1:8" ht="15.75" hidden="1" customHeight="1">
      <c r="A1308" s="2" t="s">
        <v>6024</v>
      </c>
      <c r="B1308" s="2" t="s">
        <v>6069</v>
      </c>
      <c r="C1308" s="2" t="s">
        <v>6094</v>
      </c>
      <c r="D1308" s="2" t="s">
        <v>484</v>
      </c>
      <c r="F1308" s="2">
        <v>10</v>
      </c>
      <c r="G1308" s="2">
        <v>0</v>
      </c>
      <c r="H1308" s="2" t="s">
        <v>5665</v>
      </c>
    </row>
    <row r="1309" spans="1:8" ht="15.75" hidden="1" customHeight="1">
      <c r="A1309" s="2" t="s">
        <v>6024</v>
      </c>
      <c r="B1309" s="2" t="s">
        <v>6069</v>
      </c>
      <c r="C1309" s="2" t="s">
        <v>6095</v>
      </c>
      <c r="D1309" s="2" t="s">
        <v>1796</v>
      </c>
      <c r="E1309" s="2">
        <v>50</v>
      </c>
      <c r="H1309" s="2" t="s">
        <v>5667</v>
      </c>
    </row>
    <row r="1310" spans="1:8" ht="15.75" hidden="1" customHeight="1">
      <c r="A1310" s="2" t="s">
        <v>6024</v>
      </c>
      <c r="B1310" s="2" t="s">
        <v>6069</v>
      </c>
      <c r="C1310" s="2" t="s">
        <v>4306</v>
      </c>
      <c r="D1310" s="2" t="s">
        <v>1796</v>
      </c>
      <c r="E1310" s="2">
        <v>250</v>
      </c>
      <c r="H1310" s="2" t="s">
        <v>5667</v>
      </c>
    </row>
    <row r="1311" spans="1:8" ht="15.75" hidden="1" customHeight="1">
      <c r="A1311" s="2" t="s">
        <v>6024</v>
      </c>
      <c r="B1311" s="2" t="s">
        <v>6069</v>
      </c>
      <c r="C1311" s="2" t="s">
        <v>4246</v>
      </c>
      <c r="D1311" s="2" t="s">
        <v>1796</v>
      </c>
      <c r="E1311" s="2">
        <v>250</v>
      </c>
      <c r="H1311" s="2" t="s">
        <v>5665</v>
      </c>
    </row>
    <row r="1312" spans="1:8" ht="15.75" hidden="1" customHeight="1">
      <c r="A1312" s="2" t="s">
        <v>6024</v>
      </c>
      <c r="B1312" s="2" t="s">
        <v>6069</v>
      </c>
      <c r="C1312" s="2" t="s">
        <v>6096</v>
      </c>
      <c r="D1312" s="2" t="s">
        <v>484</v>
      </c>
      <c r="F1312" s="2">
        <v>10</v>
      </c>
      <c r="G1312" s="2">
        <v>0</v>
      </c>
      <c r="H1312" s="2" t="s">
        <v>5665</v>
      </c>
    </row>
    <row r="1313" spans="1:8" ht="15.75" hidden="1" customHeight="1">
      <c r="A1313" s="2" t="s">
        <v>6024</v>
      </c>
      <c r="B1313" s="2" t="s">
        <v>6069</v>
      </c>
      <c r="C1313" s="2" t="s">
        <v>6611</v>
      </c>
      <c r="D1313" s="2" t="s">
        <v>481</v>
      </c>
      <c r="F1313" s="2">
        <v>38</v>
      </c>
      <c r="G1313" s="2">
        <v>0</v>
      </c>
      <c r="H1313" s="2" t="s">
        <v>5667</v>
      </c>
    </row>
    <row r="1314" spans="1:8" ht="15.75" hidden="1" customHeight="1">
      <c r="A1314" s="2" t="s">
        <v>6024</v>
      </c>
      <c r="B1314" s="2" t="s">
        <v>6069</v>
      </c>
      <c r="C1314" s="2" t="s">
        <v>6612</v>
      </c>
      <c r="D1314" s="2" t="s">
        <v>1796</v>
      </c>
      <c r="E1314" s="2">
        <v>50</v>
      </c>
      <c r="H1314" s="2" t="s">
        <v>5667</v>
      </c>
    </row>
    <row r="1315" spans="1:8" ht="15.75" hidden="1" customHeight="1">
      <c r="A1315" s="2" t="s">
        <v>6024</v>
      </c>
      <c r="B1315" s="2" t="s">
        <v>6069</v>
      </c>
      <c r="C1315" s="2" t="s">
        <v>6209</v>
      </c>
      <c r="D1315" s="2" t="s">
        <v>800</v>
      </c>
      <c r="H1315" s="2" t="s">
        <v>5667</v>
      </c>
    </row>
    <row r="1316" spans="1:8" ht="15.75" hidden="1" customHeight="1">
      <c r="A1316" s="2" t="s">
        <v>6024</v>
      </c>
      <c r="B1316" s="2" t="s">
        <v>6069</v>
      </c>
      <c r="C1316" s="2" t="s">
        <v>6112</v>
      </c>
      <c r="D1316" s="2" t="s">
        <v>800</v>
      </c>
      <c r="H1316" s="2" t="s">
        <v>5665</v>
      </c>
    </row>
    <row r="1317" spans="1:8" ht="15.75" hidden="1" customHeight="1">
      <c r="A1317" s="2" t="s">
        <v>6024</v>
      </c>
      <c r="B1317" s="2" t="s">
        <v>6069</v>
      </c>
      <c r="C1317" s="2" t="s">
        <v>6113</v>
      </c>
      <c r="D1317" s="2" t="s">
        <v>1796</v>
      </c>
      <c r="E1317" s="2">
        <v>100</v>
      </c>
      <c r="H1317" s="2" t="s">
        <v>5667</v>
      </c>
    </row>
    <row r="1318" spans="1:8" ht="15.75" hidden="1" customHeight="1">
      <c r="A1318" s="2" t="s">
        <v>6024</v>
      </c>
      <c r="B1318" s="2" t="s">
        <v>6069</v>
      </c>
      <c r="C1318" s="2" t="s">
        <v>6114</v>
      </c>
      <c r="D1318" s="2" t="s">
        <v>484</v>
      </c>
      <c r="F1318" s="2">
        <v>10</v>
      </c>
      <c r="G1318" s="2">
        <v>0</v>
      </c>
      <c r="H1318" s="2" t="s">
        <v>5667</v>
      </c>
    </row>
    <row r="1319" spans="1:8" ht="15.75" hidden="1" customHeight="1">
      <c r="A1319" s="2" t="s">
        <v>6024</v>
      </c>
      <c r="B1319" s="2" t="s">
        <v>6069</v>
      </c>
      <c r="C1319" s="2" t="s">
        <v>6027</v>
      </c>
      <c r="D1319" s="2" t="s">
        <v>800</v>
      </c>
      <c r="H1319" s="2" t="s">
        <v>5665</v>
      </c>
    </row>
    <row r="1320" spans="1:8" ht="15.75" hidden="1" customHeight="1">
      <c r="A1320" s="2" t="s">
        <v>6024</v>
      </c>
      <c r="B1320" s="2" t="s">
        <v>6069</v>
      </c>
      <c r="C1320" s="2" t="s">
        <v>6115</v>
      </c>
      <c r="D1320" s="2" t="s">
        <v>1796</v>
      </c>
      <c r="E1320" s="2">
        <v>100</v>
      </c>
      <c r="H1320" s="2" t="s">
        <v>5667</v>
      </c>
    </row>
    <row r="1321" spans="1:8" ht="15.75" hidden="1" customHeight="1">
      <c r="A1321" s="2" t="s">
        <v>6024</v>
      </c>
      <c r="B1321" s="2" t="s">
        <v>6069</v>
      </c>
      <c r="C1321" s="2" t="s">
        <v>6116</v>
      </c>
      <c r="D1321" s="2" t="s">
        <v>484</v>
      </c>
      <c r="F1321" s="2">
        <v>10</v>
      </c>
      <c r="G1321" s="2">
        <v>0</v>
      </c>
      <c r="H1321" s="2" t="s">
        <v>5667</v>
      </c>
    </row>
    <row r="1322" spans="1:8" ht="15.75" hidden="1" customHeight="1">
      <c r="A1322" s="2" t="s">
        <v>6024</v>
      </c>
      <c r="B1322" s="2" t="s">
        <v>6069</v>
      </c>
      <c r="C1322" s="2" t="s">
        <v>6117</v>
      </c>
      <c r="D1322" s="2" t="s">
        <v>1796</v>
      </c>
      <c r="E1322" s="2">
        <v>250</v>
      </c>
      <c r="H1322" s="2" t="s">
        <v>5667</v>
      </c>
    </row>
    <row r="1323" spans="1:8" ht="15.75" hidden="1" customHeight="1">
      <c r="A1323" s="2" t="s">
        <v>6024</v>
      </c>
      <c r="B1323" s="2" t="s">
        <v>6070</v>
      </c>
      <c r="C1323" s="2" t="s">
        <v>325</v>
      </c>
      <c r="D1323" s="2" t="s">
        <v>484</v>
      </c>
      <c r="F1323" s="2">
        <v>10</v>
      </c>
      <c r="G1323" s="2">
        <v>0</v>
      </c>
      <c r="H1323" s="2" t="s">
        <v>5665</v>
      </c>
    </row>
    <row r="1324" spans="1:8" ht="15.75" hidden="1" customHeight="1">
      <c r="A1324" s="2" t="s">
        <v>6024</v>
      </c>
      <c r="B1324" s="2" t="s">
        <v>6070</v>
      </c>
      <c r="C1324" s="2" t="s">
        <v>6090</v>
      </c>
      <c r="D1324" s="2" t="s">
        <v>6118</v>
      </c>
      <c r="H1324" s="2" t="s">
        <v>5665</v>
      </c>
    </row>
    <row r="1325" spans="1:8" ht="15.75" hidden="1" customHeight="1">
      <c r="A1325" s="2" t="s">
        <v>6024</v>
      </c>
      <c r="B1325" s="2" t="s">
        <v>6070</v>
      </c>
      <c r="C1325" s="2" t="s">
        <v>6092</v>
      </c>
      <c r="D1325" s="2" t="s">
        <v>1796</v>
      </c>
      <c r="E1325" s="2">
        <v>50</v>
      </c>
      <c r="H1325" s="2" t="s">
        <v>5665</v>
      </c>
    </row>
    <row r="1326" spans="1:8" ht="15.75" hidden="1" customHeight="1">
      <c r="A1326" s="2" t="s">
        <v>6024</v>
      </c>
      <c r="B1326" s="2" t="s">
        <v>6070</v>
      </c>
      <c r="C1326" s="2" t="s">
        <v>6093</v>
      </c>
      <c r="D1326" s="2" t="s">
        <v>484</v>
      </c>
      <c r="F1326" s="2">
        <v>10</v>
      </c>
      <c r="G1326" s="2">
        <v>0</v>
      </c>
      <c r="H1326" s="2" t="s">
        <v>5665</v>
      </c>
    </row>
    <row r="1327" spans="1:8" ht="15.75" hidden="1" customHeight="1">
      <c r="A1327" s="2" t="s">
        <v>6024</v>
      </c>
      <c r="B1327" s="2" t="s">
        <v>6070</v>
      </c>
      <c r="C1327" s="2" t="s">
        <v>6094</v>
      </c>
      <c r="D1327" s="2" t="s">
        <v>484</v>
      </c>
      <c r="F1327" s="2">
        <v>10</v>
      </c>
      <c r="G1327" s="2">
        <v>0</v>
      </c>
      <c r="H1327" s="2" t="s">
        <v>5665</v>
      </c>
    </row>
    <row r="1328" spans="1:8" ht="15.75" hidden="1" customHeight="1">
      <c r="A1328" s="2" t="s">
        <v>6024</v>
      </c>
      <c r="B1328" s="2" t="s">
        <v>6070</v>
      </c>
      <c r="C1328" s="2" t="s">
        <v>6095</v>
      </c>
      <c r="D1328" s="2" t="s">
        <v>1796</v>
      </c>
      <c r="E1328" s="2">
        <v>50</v>
      </c>
      <c r="H1328" s="2" t="s">
        <v>5667</v>
      </c>
    </row>
    <row r="1329" spans="1:8" ht="15.75" hidden="1" customHeight="1">
      <c r="A1329" s="2" t="s">
        <v>6024</v>
      </c>
      <c r="B1329" s="2" t="s">
        <v>6070</v>
      </c>
      <c r="C1329" s="2" t="s">
        <v>4306</v>
      </c>
      <c r="D1329" s="2" t="s">
        <v>1796</v>
      </c>
      <c r="E1329" s="2">
        <v>250</v>
      </c>
      <c r="H1329" s="2" t="s">
        <v>5667</v>
      </c>
    </row>
    <row r="1330" spans="1:8" ht="15.75" hidden="1" customHeight="1">
      <c r="A1330" s="2" t="s">
        <v>6024</v>
      </c>
      <c r="B1330" s="2" t="s">
        <v>6070</v>
      </c>
      <c r="C1330" s="2" t="s">
        <v>4246</v>
      </c>
      <c r="D1330" s="2" t="s">
        <v>1796</v>
      </c>
      <c r="E1330" s="2">
        <v>250</v>
      </c>
      <c r="H1330" s="2" t="s">
        <v>5665</v>
      </c>
    </row>
    <row r="1331" spans="1:8" ht="15.75" hidden="1" customHeight="1">
      <c r="A1331" s="2" t="s">
        <v>6024</v>
      </c>
      <c r="B1331" s="2" t="s">
        <v>6070</v>
      </c>
      <c r="C1331" s="2" t="s">
        <v>6096</v>
      </c>
      <c r="D1331" s="2" t="s">
        <v>484</v>
      </c>
      <c r="F1331" s="2">
        <v>10</v>
      </c>
      <c r="G1331" s="2">
        <v>0</v>
      </c>
      <c r="H1331" s="2" t="s">
        <v>5665</v>
      </c>
    </row>
    <row r="1332" spans="1:8" ht="15.75" hidden="1" customHeight="1">
      <c r="A1332" s="2" t="s">
        <v>6024</v>
      </c>
      <c r="B1332" s="2" t="s">
        <v>6070</v>
      </c>
      <c r="C1332" s="2" t="s">
        <v>6491</v>
      </c>
      <c r="D1332" s="2" t="s">
        <v>1796</v>
      </c>
      <c r="E1332" s="2">
        <v>22</v>
      </c>
      <c r="H1332" s="2" t="s">
        <v>5667</v>
      </c>
    </row>
    <row r="1333" spans="1:8" ht="15.75" hidden="1" customHeight="1">
      <c r="A1333" s="2" t="s">
        <v>6024</v>
      </c>
      <c r="B1333" s="2" t="s">
        <v>6070</v>
      </c>
      <c r="C1333" s="2" t="s">
        <v>6556</v>
      </c>
      <c r="D1333" s="2" t="s">
        <v>1796</v>
      </c>
      <c r="E1333" s="2">
        <v>22</v>
      </c>
      <c r="H1333" s="2" t="s">
        <v>5667</v>
      </c>
    </row>
    <row r="1334" spans="1:8" ht="15.75" hidden="1" customHeight="1">
      <c r="A1334" s="2" t="s">
        <v>6024</v>
      </c>
      <c r="B1334" s="2" t="s">
        <v>6070</v>
      </c>
      <c r="C1334" s="2" t="s">
        <v>6613</v>
      </c>
      <c r="D1334" s="2" t="s">
        <v>1796</v>
      </c>
      <c r="E1334" s="2">
        <v>20</v>
      </c>
      <c r="H1334" s="2" t="s">
        <v>5667</v>
      </c>
    </row>
    <row r="1335" spans="1:8" ht="15.75" hidden="1" customHeight="1">
      <c r="A1335" s="2" t="s">
        <v>6024</v>
      </c>
      <c r="B1335" s="2" t="s">
        <v>6070</v>
      </c>
      <c r="C1335" s="2" t="s">
        <v>6209</v>
      </c>
      <c r="D1335" s="2" t="s">
        <v>800</v>
      </c>
      <c r="H1335" s="2" t="s">
        <v>5667</v>
      </c>
    </row>
    <row r="1336" spans="1:8" ht="15.75" hidden="1" customHeight="1">
      <c r="A1336" s="2" t="s">
        <v>6024</v>
      </c>
      <c r="B1336" s="2" t="s">
        <v>6070</v>
      </c>
      <c r="C1336" s="2" t="s">
        <v>6112</v>
      </c>
      <c r="D1336" s="2" t="s">
        <v>800</v>
      </c>
      <c r="H1336" s="2" t="s">
        <v>5665</v>
      </c>
    </row>
    <row r="1337" spans="1:8" ht="15.75" hidden="1" customHeight="1">
      <c r="A1337" s="2" t="s">
        <v>6024</v>
      </c>
      <c r="B1337" s="2" t="s">
        <v>6070</v>
      </c>
      <c r="C1337" s="2" t="s">
        <v>6113</v>
      </c>
      <c r="D1337" s="2" t="s">
        <v>1796</v>
      </c>
      <c r="E1337" s="2">
        <v>100</v>
      </c>
      <c r="H1337" s="2" t="s">
        <v>5667</v>
      </c>
    </row>
    <row r="1338" spans="1:8" ht="15.75" hidden="1" customHeight="1">
      <c r="A1338" s="2" t="s">
        <v>6024</v>
      </c>
      <c r="B1338" s="2" t="s">
        <v>6070</v>
      </c>
      <c r="C1338" s="2" t="s">
        <v>6114</v>
      </c>
      <c r="D1338" s="2" t="s">
        <v>484</v>
      </c>
      <c r="F1338" s="2">
        <v>10</v>
      </c>
      <c r="G1338" s="2">
        <v>0</v>
      </c>
      <c r="H1338" s="2" t="s">
        <v>5667</v>
      </c>
    </row>
    <row r="1339" spans="1:8" ht="15.75" hidden="1" customHeight="1">
      <c r="A1339" s="2" t="s">
        <v>6024</v>
      </c>
      <c r="B1339" s="2" t="s">
        <v>6070</v>
      </c>
      <c r="C1339" s="2" t="s">
        <v>6027</v>
      </c>
      <c r="D1339" s="2" t="s">
        <v>800</v>
      </c>
      <c r="H1339" s="2" t="s">
        <v>5665</v>
      </c>
    </row>
    <row r="1340" spans="1:8" ht="15.75" hidden="1" customHeight="1">
      <c r="A1340" s="2" t="s">
        <v>6024</v>
      </c>
      <c r="B1340" s="2" t="s">
        <v>6070</v>
      </c>
      <c r="C1340" s="2" t="s">
        <v>6115</v>
      </c>
      <c r="D1340" s="2" t="s">
        <v>1796</v>
      </c>
      <c r="E1340" s="2">
        <v>100</v>
      </c>
      <c r="H1340" s="2" t="s">
        <v>5667</v>
      </c>
    </row>
    <row r="1341" spans="1:8" ht="15.75" hidden="1" customHeight="1">
      <c r="A1341" s="2" t="s">
        <v>6024</v>
      </c>
      <c r="B1341" s="2" t="s">
        <v>6070</v>
      </c>
      <c r="C1341" s="2" t="s">
        <v>6116</v>
      </c>
      <c r="D1341" s="2" t="s">
        <v>484</v>
      </c>
      <c r="F1341" s="2">
        <v>10</v>
      </c>
      <c r="G1341" s="2">
        <v>0</v>
      </c>
      <c r="H1341" s="2" t="s">
        <v>5667</v>
      </c>
    </row>
    <row r="1342" spans="1:8" ht="15.75" hidden="1" customHeight="1">
      <c r="A1342" s="2" t="s">
        <v>6024</v>
      </c>
      <c r="B1342" s="2" t="s">
        <v>6070</v>
      </c>
      <c r="C1342" s="2" t="s">
        <v>6117</v>
      </c>
      <c r="D1342" s="2" t="s">
        <v>1796</v>
      </c>
      <c r="E1342" s="2">
        <v>250</v>
      </c>
      <c r="H1342" s="2" t="s">
        <v>5667</v>
      </c>
    </row>
    <row r="1343" spans="1:8" ht="15.75" hidden="1" customHeight="1">
      <c r="A1343" s="2" t="s">
        <v>6024</v>
      </c>
      <c r="B1343" s="2" t="s">
        <v>6071</v>
      </c>
      <c r="C1343" s="2" t="s">
        <v>325</v>
      </c>
      <c r="D1343" s="2" t="s">
        <v>484</v>
      </c>
      <c r="F1343" s="2">
        <v>10</v>
      </c>
      <c r="G1343" s="2">
        <v>0</v>
      </c>
      <c r="H1343" s="2" t="s">
        <v>5665</v>
      </c>
    </row>
    <row r="1344" spans="1:8" ht="15.75" hidden="1" customHeight="1">
      <c r="A1344" s="2" t="s">
        <v>6024</v>
      </c>
      <c r="B1344" s="2" t="s">
        <v>6071</v>
      </c>
      <c r="C1344" s="2" t="s">
        <v>6090</v>
      </c>
      <c r="D1344" s="2" t="s">
        <v>6118</v>
      </c>
      <c r="H1344" s="2" t="s">
        <v>5665</v>
      </c>
    </row>
    <row r="1345" spans="1:8" ht="15.75" hidden="1" customHeight="1">
      <c r="A1345" s="2" t="s">
        <v>6024</v>
      </c>
      <c r="B1345" s="2" t="s">
        <v>6071</v>
      </c>
      <c r="C1345" s="2" t="s">
        <v>6092</v>
      </c>
      <c r="D1345" s="2" t="s">
        <v>1796</v>
      </c>
      <c r="E1345" s="2">
        <v>50</v>
      </c>
      <c r="H1345" s="2" t="s">
        <v>5665</v>
      </c>
    </row>
    <row r="1346" spans="1:8" ht="15.75" hidden="1" customHeight="1">
      <c r="A1346" s="2" t="s">
        <v>6024</v>
      </c>
      <c r="B1346" s="2" t="s">
        <v>6071</v>
      </c>
      <c r="C1346" s="2" t="s">
        <v>6093</v>
      </c>
      <c r="D1346" s="2" t="s">
        <v>484</v>
      </c>
      <c r="F1346" s="2">
        <v>10</v>
      </c>
      <c r="G1346" s="2">
        <v>0</v>
      </c>
      <c r="H1346" s="2" t="s">
        <v>5665</v>
      </c>
    </row>
    <row r="1347" spans="1:8" ht="15.75" hidden="1" customHeight="1">
      <c r="A1347" s="2" t="s">
        <v>6024</v>
      </c>
      <c r="B1347" s="2" t="s">
        <v>6071</v>
      </c>
      <c r="C1347" s="2" t="s">
        <v>6094</v>
      </c>
      <c r="D1347" s="2" t="s">
        <v>484</v>
      </c>
      <c r="F1347" s="2">
        <v>10</v>
      </c>
      <c r="G1347" s="2">
        <v>0</v>
      </c>
      <c r="H1347" s="2" t="s">
        <v>5665</v>
      </c>
    </row>
    <row r="1348" spans="1:8" ht="15.75" hidden="1" customHeight="1">
      <c r="A1348" s="2" t="s">
        <v>6024</v>
      </c>
      <c r="B1348" s="2" t="s">
        <v>6071</v>
      </c>
      <c r="C1348" s="2" t="s">
        <v>6095</v>
      </c>
      <c r="D1348" s="2" t="s">
        <v>1796</v>
      </c>
      <c r="E1348" s="2">
        <v>50</v>
      </c>
      <c r="H1348" s="2" t="s">
        <v>5667</v>
      </c>
    </row>
    <row r="1349" spans="1:8" ht="15.75" hidden="1" customHeight="1">
      <c r="A1349" s="2" t="s">
        <v>6024</v>
      </c>
      <c r="B1349" s="2" t="s">
        <v>6071</v>
      </c>
      <c r="C1349" s="2" t="s">
        <v>4306</v>
      </c>
      <c r="D1349" s="2" t="s">
        <v>1796</v>
      </c>
      <c r="E1349" s="2">
        <v>250</v>
      </c>
      <c r="H1349" s="2" t="s">
        <v>5667</v>
      </c>
    </row>
    <row r="1350" spans="1:8" ht="15.75" hidden="1" customHeight="1">
      <c r="A1350" s="2" t="s">
        <v>6024</v>
      </c>
      <c r="B1350" s="2" t="s">
        <v>6071</v>
      </c>
      <c r="C1350" s="2" t="s">
        <v>4246</v>
      </c>
      <c r="D1350" s="2" t="s">
        <v>1796</v>
      </c>
      <c r="E1350" s="2">
        <v>250</v>
      </c>
      <c r="H1350" s="2" t="s">
        <v>5665</v>
      </c>
    </row>
    <row r="1351" spans="1:8" ht="15.75" hidden="1" customHeight="1">
      <c r="A1351" s="2" t="s">
        <v>6024</v>
      </c>
      <c r="B1351" s="2" t="s">
        <v>6071</v>
      </c>
      <c r="C1351" s="2" t="s">
        <v>6096</v>
      </c>
      <c r="D1351" s="2" t="s">
        <v>484</v>
      </c>
      <c r="F1351" s="2">
        <v>10</v>
      </c>
      <c r="G1351" s="2">
        <v>0</v>
      </c>
      <c r="H1351" s="2" t="s">
        <v>5665</v>
      </c>
    </row>
    <row r="1352" spans="1:8" ht="15.75" hidden="1" customHeight="1">
      <c r="A1352" s="2" t="s">
        <v>6024</v>
      </c>
      <c r="B1352" s="2" t="s">
        <v>6071</v>
      </c>
      <c r="C1352" s="2" t="s">
        <v>6491</v>
      </c>
      <c r="D1352" s="2" t="s">
        <v>1796</v>
      </c>
      <c r="E1352" s="2">
        <v>22</v>
      </c>
      <c r="H1352" s="2" t="s">
        <v>5667</v>
      </c>
    </row>
    <row r="1353" spans="1:8" ht="15.75" hidden="1" customHeight="1">
      <c r="A1353" s="2" t="s">
        <v>6024</v>
      </c>
      <c r="B1353" s="2" t="s">
        <v>6071</v>
      </c>
      <c r="C1353" s="2" t="s">
        <v>6556</v>
      </c>
      <c r="D1353" s="2" t="s">
        <v>1796</v>
      </c>
      <c r="E1353" s="2">
        <v>5</v>
      </c>
      <c r="H1353" s="2" t="s">
        <v>5667</v>
      </c>
    </row>
    <row r="1354" spans="1:8" ht="15.75" hidden="1" customHeight="1">
      <c r="A1354" s="2" t="s">
        <v>6024</v>
      </c>
      <c r="B1354" s="2" t="s">
        <v>6071</v>
      </c>
      <c r="C1354" s="2" t="s">
        <v>6614</v>
      </c>
      <c r="D1354" s="2" t="s">
        <v>1796</v>
      </c>
      <c r="E1354" s="2">
        <v>20</v>
      </c>
      <c r="H1354" s="2" t="s">
        <v>5667</v>
      </c>
    </row>
    <row r="1355" spans="1:8" ht="15.75" hidden="1" customHeight="1">
      <c r="A1355" s="2" t="s">
        <v>6024</v>
      </c>
      <c r="B1355" s="2" t="s">
        <v>6071</v>
      </c>
      <c r="C1355" s="2" t="s">
        <v>6615</v>
      </c>
      <c r="D1355" s="2" t="s">
        <v>1796</v>
      </c>
      <c r="E1355" s="2">
        <v>100</v>
      </c>
      <c r="H1355" s="2" t="s">
        <v>5667</v>
      </c>
    </row>
    <row r="1356" spans="1:8" ht="15.75" hidden="1" customHeight="1">
      <c r="A1356" s="2" t="s">
        <v>6024</v>
      </c>
      <c r="B1356" s="2" t="s">
        <v>6071</v>
      </c>
      <c r="C1356" s="2" t="s">
        <v>6616</v>
      </c>
      <c r="D1356" s="2" t="s">
        <v>1796</v>
      </c>
      <c r="E1356" s="2">
        <v>15</v>
      </c>
      <c r="H1356" s="2" t="s">
        <v>5667</v>
      </c>
    </row>
    <row r="1357" spans="1:8" ht="15.75" hidden="1" customHeight="1">
      <c r="A1357" s="2" t="s">
        <v>6024</v>
      </c>
      <c r="B1357" s="2" t="s">
        <v>6071</v>
      </c>
      <c r="C1357" s="2" t="s">
        <v>6617</v>
      </c>
      <c r="D1357" s="2" t="s">
        <v>1796</v>
      </c>
      <c r="E1357" s="2">
        <v>100</v>
      </c>
      <c r="H1357" s="2" t="s">
        <v>5667</v>
      </c>
    </row>
    <row r="1358" spans="1:8" ht="15.75" hidden="1" customHeight="1">
      <c r="A1358" s="2" t="s">
        <v>6024</v>
      </c>
      <c r="B1358" s="2" t="s">
        <v>6071</v>
      </c>
      <c r="C1358" s="2" t="s">
        <v>6209</v>
      </c>
      <c r="D1358" s="2" t="s">
        <v>800</v>
      </c>
      <c r="H1358" s="2" t="s">
        <v>5667</v>
      </c>
    </row>
    <row r="1359" spans="1:8" ht="15.75" hidden="1" customHeight="1">
      <c r="A1359" s="2" t="s">
        <v>6024</v>
      </c>
      <c r="B1359" s="2" t="s">
        <v>6071</v>
      </c>
      <c r="C1359" s="2" t="s">
        <v>6112</v>
      </c>
      <c r="D1359" s="2" t="s">
        <v>800</v>
      </c>
      <c r="H1359" s="2" t="s">
        <v>5665</v>
      </c>
    </row>
    <row r="1360" spans="1:8" ht="15.75" hidden="1" customHeight="1">
      <c r="A1360" s="2" t="s">
        <v>6024</v>
      </c>
      <c r="B1360" s="2" t="s">
        <v>6071</v>
      </c>
      <c r="C1360" s="2" t="s">
        <v>6113</v>
      </c>
      <c r="D1360" s="2" t="s">
        <v>1796</v>
      </c>
      <c r="E1360" s="2">
        <v>100</v>
      </c>
      <c r="H1360" s="2" t="s">
        <v>5667</v>
      </c>
    </row>
    <row r="1361" spans="1:9" ht="15.75" hidden="1" customHeight="1">
      <c r="A1361" s="2" t="s">
        <v>6024</v>
      </c>
      <c r="B1361" s="2" t="s">
        <v>6071</v>
      </c>
      <c r="C1361" s="2" t="s">
        <v>6114</v>
      </c>
      <c r="D1361" s="2" t="s">
        <v>484</v>
      </c>
      <c r="F1361" s="2">
        <v>10</v>
      </c>
      <c r="G1361" s="2">
        <v>0</v>
      </c>
      <c r="H1361" s="2" t="s">
        <v>5667</v>
      </c>
    </row>
    <row r="1362" spans="1:9" ht="15.75" hidden="1" customHeight="1">
      <c r="A1362" s="2" t="s">
        <v>6024</v>
      </c>
      <c r="B1362" s="2" t="s">
        <v>6071</v>
      </c>
      <c r="C1362" s="2" t="s">
        <v>6027</v>
      </c>
      <c r="D1362" s="2" t="s">
        <v>800</v>
      </c>
      <c r="H1362" s="2" t="s">
        <v>5665</v>
      </c>
    </row>
    <row r="1363" spans="1:9" ht="15.75" hidden="1" customHeight="1">
      <c r="A1363" s="2" t="s">
        <v>6024</v>
      </c>
      <c r="B1363" s="2" t="s">
        <v>6071</v>
      </c>
      <c r="C1363" s="2" t="s">
        <v>6115</v>
      </c>
      <c r="D1363" s="2" t="s">
        <v>1796</v>
      </c>
      <c r="E1363" s="2">
        <v>100</v>
      </c>
      <c r="H1363" s="2" t="s">
        <v>5667</v>
      </c>
    </row>
    <row r="1364" spans="1:9" ht="15.75" hidden="1" customHeight="1">
      <c r="A1364" s="2" t="s">
        <v>6024</v>
      </c>
      <c r="B1364" s="2" t="s">
        <v>6071</v>
      </c>
      <c r="C1364" s="2" t="s">
        <v>6116</v>
      </c>
      <c r="D1364" s="2" t="s">
        <v>484</v>
      </c>
      <c r="F1364" s="2">
        <v>10</v>
      </c>
      <c r="G1364" s="2">
        <v>0</v>
      </c>
      <c r="H1364" s="2" t="s">
        <v>5667</v>
      </c>
    </row>
    <row r="1365" spans="1:9" ht="15.75" hidden="1" customHeight="1">
      <c r="A1365" s="2" t="s">
        <v>6024</v>
      </c>
      <c r="B1365" s="2" t="s">
        <v>6071</v>
      </c>
      <c r="C1365" s="2" t="s">
        <v>6117</v>
      </c>
      <c r="D1365" s="2" t="s">
        <v>1796</v>
      </c>
      <c r="E1365" s="2">
        <v>250</v>
      </c>
      <c r="H1365" s="2" t="s">
        <v>5667</v>
      </c>
    </row>
    <row r="1366" spans="1:9" ht="15.75" hidden="1" customHeight="1">
      <c r="A1366" s="2" t="s">
        <v>6024</v>
      </c>
      <c r="B1366" s="2" t="s">
        <v>6072</v>
      </c>
      <c r="C1366" s="2" t="s">
        <v>325</v>
      </c>
      <c r="D1366" s="2" t="s">
        <v>484</v>
      </c>
      <c r="F1366" s="2">
        <v>10</v>
      </c>
      <c r="G1366" s="2">
        <v>0</v>
      </c>
      <c r="H1366" s="2" t="s">
        <v>5665</v>
      </c>
      <c r="I1366" s="178"/>
    </row>
    <row r="1367" spans="1:9" ht="15.75" hidden="1" customHeight="1">
      <c r="A1367" s="2" t="s">
        <v>6024</v>
      </c>
      <c r="B1367" s="2" t="s">
        <v>6072</v>
      </c>
      <c r="C1367" s="2" t="s">
        <v>6090</v>
      </c>
      <c r="D1367" s="2" t="s">
        <v>6118</v>
      </c>
      <c r="H1367" s="2" t="s">
        <v>5665</v>
      </c>
      <c r="I1367" s="178"/>
    </row>
    <row r="1368" spans="1:9" ht="15.75" hidden="1" customHeight="1">
      <c r="A1368" s="2" t="s">
        <v>6024</v>
      </c>
      <c r="B1368" s="2" t="s">
        <v>6072</v>
      </c>
      <c r="C1368" s="2" t="s">
        <v>6092</v>
      </c>
      <c r="D1368" s="2" t="s">
        <v>1796</v>
      </c>
      <c r="E1368" s="2">
        <v>50</v>
      </c>
      <c r="H1368" s="2" t="s">
        <v>5665</v>
      </c>
      <c r="I1368" s="178"/>
    </row>
    <row r="1369" spans="1:9" ht="15.75" hidden="1" customHeight="1">
      <c r="A1369" s="2" t="s">
        <v>6024</v>
      </c>
      <c r="B1369" s="2" t="s">
        <v>6072</v>
      </c>
      <c r="C1369" s="2" t="s">
        <v>6093</v>
      </c>
      <c r="D1369" s="2" t="s">
        <v>484</v>
      </c>
      <c r="F1369" s="2">
        <v>10</v>
      </c>
      <c r="G1369" s="2">
        <v>0</v>
      </c>
      <c r="H1369" s="2" t="s">
        <v>5665</v>
      </c>
      <c r="I1369" s="178"/>
    </row>
    <row r="1370" spans="1:9" ht="15.75" hidden="1" customHeight="1">
      <c r="A1370" s="2" t="s">
        <v>6024</v>
      </c>
      <c r="B1370" s="2" t="s">
        <v>6072</v>
      </c>
      <c r="C1370" s="2" t="s">
        <v>6094</v>
      </c>
      <c r="D1370" s="2" t="s">
        <v>484</v>
      </c>
      <c r="F1370" s="2">
        <v>10</v>
      </c>
      <c r="G1370" s="2">
        <v>0</v>
      </c>
      <c r="H1370" s="2" t="s">
        <v>5665</v>
      </c>
      <c r="I1370" s="178"/>
    </row>
    <row r="1371" spans="1:9" ht="15.75" hidden="1" customHeight="1">
      <c r="A1371" s="2" t="s">
        <v>6024</v>
      </c>
      <c r="B1371" s="2" t="s">
        <v>6072</v>
      </c>
      <c r="C1371" s="2" t="s">
        <v>6095</v>
      </c>
      <c r="D1371" s="2" t="s">
        <v>1796</v>
      </c>
      <c r="E1371" s="2">
        <v>50</v>
      </c>
      <c r="H1371" s="2" t="s">
        <v>5667</v>
      </c>
      <c r="I1371" s="178"/>
    </row>
    <row r="1372" spans="1:9" ht="15.75" hidden="1" customHeight="1">
      <c r="A1372" s="2" t="s">
        <v>6024</v>
      </c>
      <c r="B1372" s="2" t="s">
        <v>6072</v>
      </c>
      <c r="C1372" s="2" t="s">
        <v>4306</v>
      </c>
      <c r="D1372" s="2" t="s">
        <v>1796</v>
      </c>
      <c r="E1372" s="2">
        <v>250</v>
      </c>
      <c r="H1372" s="2" t="s">
        <v>5667</v>
      </c>
      <c r="I1372" s="178"/>
    </row>
    <row r="1373" spans="1:9" ht="15.75" hidden="1" customHeight="1">
      <c r="A1373" s="2" t="s">
        <v>6024</v>
      </c>
      <c r="B1373" s="2" t="s">
        <v>6072</v>
      </c>
      <c r="C1373" s="2" t="s">
        <v>4246</v>
      </c>
      <c r="D1373" s="2" t="s">
        <v>1796</v>
      </c>
      <c r="E1373" s="2">
        <v>250</v>
      </c>
      <c r="H1373" s="2" t="s">
        <v>5665</v>
      </c>
      <c r="I1373" s="178"/>
    </row>
    <row r="1374" spans="1:9" ht="15.75" hidden="1" customHeight="1">
      <c r="A1374" s="2" t="s">
        <v>6024</v>
      </c>
      <c r="B1374" s="2" t="s">
        <v>6072</v>
      </c>
      <c r="C1374" s="2" t="s">
        <v>6096</v>
      </c>
      <c r="D1374" s="2" t="s">
        <v>484</v>
      </c>
      <c r="F1374" s="2">
        <v>10</v>
      </c>
      <c r="G1374" s="2">
        <v>0</v>
      </c>
      <c r="H1374" s="2" t="s">
        <v>5665</v>
      </c>
      <c r="I1374" s="178"/>
    </row>
    <row r="1375" spans="1:9" ht="15.75" hidden="1" customHeight="1">
      <c r="A1375" s="2" t="s">
        <v>6024</v>
      </c>
      <c r="B1375" s="2" t="s">
        <v>6072</v>
      </c>
      <c r="C1375" s="2" t="s">
        <v>6618</v>
      </c>
      <c r="D1375" s="2" t="s">
        <v>481</v>
      </c>
      <c r="F1375" s="2">
        <v>38</v>
      </c>
      <c r="G1375" s="2">
        <v>0</v>
      </c>
      <c r="H1375" s="2" t="s">
        <v>5667</v>
      </c>
      <c r="I1375" s="178"/>
    </row>
    <row r="1376" spans="1:9" ht="15.75" hidden="1" customHeight="1">
      <c r="A1376" s="2" t="s">
        <v>6024</v>
      </c>
      <c r="B1376" s="2" t="s">
        <v>6072</v>
      </c>
      <c r="C1376" s="2" t="s">
        <v>6491</v>
      </c>
      <c r="D1376" s="2" t="s">
        <v>1796</v>
      </c>
      <c r="E1376" s="2">
        <v>5</v>
      </c>
      <c r="H1376" s="2" t="s">
        <v>5667</v>
      </c>
      <c r="I1376" s="178"/>
    </row>
    <row r="1377" spans="1:9" ht="15.75" hidden="1" customHeight="1">
      <c r="A1377" s="2" t="s">
        <v>6024</v>
      </c>
      <c r="B1377" s="2" t="s">
        <v>6072</v>
      </c>
      <c r="C1377" s="2" t="s">
        <v>6556</v>
      </c>
      <c r="D1377" s="2" t="s">
        <v>1796</v>
      </c>
      <c r="E1377" s="2">
        <v>5</v>
      </c>
      <c r="H1377" s="2" t="s">
        <v>5667</v>
      </c>
      <c r="I1377" s="178"/>
    </row>
    <row r="1378" spans="1:9" ht="15.75" hidden="1" customHeight="1">
      <c r="A1378" s="2" t="s">
        <v>6024</v>
      </c>
      <c r="B1378" s="2" t="s">
        <v>6072</v>
      </c>
      <c r="C1378" s="2" t="s">
        <v>6492</v>
      </c>
      <c r="D1378" s="2" t="s">
        <v>1796</v>
      </c>
      <c r="E1378" s="2">
        <v>50</v>
      </c>
      <c r="H1378" s="2" t="s">
        <v>5667</v>
      </c>
      <c r="I1378" s="178"/>
    </row>
    <row r="1379" spans="1:9" ht="15.75" hidden="1" customHeight="1">
      <c r="A1379" s="2" t="s">
        <v>6024</v>
      </c>
      <c r="B1379" s="2" t="s">
        <v>6072</v>
      </c>
      <c r="C1379" s="2" t="s">
        <v>6619</v>
      </c>
      <c r="D1379" s="2" t="s">
        <v>1796</v>
      </c>
      <c r="E1379" s="2">
        <v>50</v>
      </c>
      <c r="H1379" s="2" t="s">
        <v>5667</v>
      </c>
      <c r="I1379" s="178"/>
    </row>
    <row r="1380" spans="1:9" ht="15.75" hidden="1" customHeight="1">
      <c r="A1380" s="2" t="s">
        <v>6024</v>
      </c>
      <c r="B1380" s="2" t="s">
        <v>6072</v>
      </c>
      <c r="C1380" s="2" t="s">
        <v>6620</v>
      </c>
      <c r="D1380" s="2" t="s">
        <v>1796</v>
      </c>
      <c r="E1380" s="2">
        <v>50</v>
      </c>
      <c r="H1380" s="2" t="s">
        <v>5667</v>
      </c>
      <c r="I1380" s="178"/>
    </row>
    <row r="1381" spans="1:9" ht="15.75" hidden="1" customHeight="1">
      <c r="A1381" s="2" t="s">
        <v>6024</v>
      </c>
      <c r="B1381" s="2" t="s">
        <v>6072</v>
      </c>
      <c r="C1381" s="2" t="s">
        <v>6621</v>
      </c>
      <c r="D1381" s="2" t="s">
        <v>1796</v>
      </c>
      <c r="E1381" s="2">
        <v>5</v>
      </c>
      <c r="H1381" s="2" t="s">
        <v>5667</v>
      </c>
      <c r="I1381" s="178"/>
    </row>
    <row r="1382" spans="1:9" ht="15.75" hidden="1" customHeight="1">
      <c r="A1382" s="2" t="s">
        <v>6024</v>
      </c>
      <c r="B1382" s="2" t="s">
        <v>6072</v>
      </c>
      <c r="C1382" s="2" t="s">
        <v>6622</v>
      </c>
      <c r="D1382" s="2" t="s">
        <v>481</v>
      </c>
      <c r="F1382" s="2">
        <v>38</v>
      </c>
      <c r="G1382" s="2">
        <v>7</v>
      </c>
      <c r="H1382" s="2" t="s">
        <v>5667</v>
      </c>
      <c r="I1382" s="178"/>
    </row>
    <row r="1383" spans="1:9" ht="15.75" hidden="1" customHeight="1">
      <c r="A1383" s="2" t="s">
        <v>6024</v>
      </c>
      <c r="B1383" s="2" t="s">
        <v>6072</v>
      </c>
      <c r="C1383" s="2" t="s">
        <v>6623</v>
      </c>
      <c r="D1383" s="2" t="s">
        <v>1796</v>
      </c>
      <c r="E1383" s="2">
        <v>50</v>
      </c>
      <c r="H1383" s="2" t="s">
        <v>5667</v>
      </c>
      <c r="I1383" s="178"/>
    </row>
    <row r="1384" spans="1:9" ht="15.75" hidden="1" customHeight="1">
      <c r="A1384" s="2" t="s">
        <v>6024</v>
      </c>
      <c r="B1384" s="2" t="s">
        <v>6072</v>
      </c>
      <c r="C1384" s="2" t="s">
        <v>6624</v>
      </c>
      <c r="D1384" s="2" t="s">
        <v>1796</v>
      </c>
      <c r="E1384" s="2">
        <v>50</v>
      </c>
      <c r="H1384" s="2" t="s">
        <v>5667</v>
      </c>
      <c r="I1384" s="178"/>
    </row>
    <row r="1385" spans="1:9" ht="15.75" hidden="1" customHeight="1">
      <c r="A1385" s="2" t="s">
        <v>6024</v>
      </c>
      <c r="B1385" s="2" t="s">
        <v>6072</v>
      </c>
      <c r="C1385" s="2" t="s">
        <v>6625</v>
      </c>
      <c r="D1385" s="2" t="s">
        <v>1796</v>
      </c>
      <c r="E1385" s="2">
        <v>50</v>
      </c>
      <c r="H1385" s="2" t="s">
        <v>5667</v>
      </c>
      <c r="I1385" s="178"/>
    </row>
    <row r="1386" spans="1:9" ht="15.75" hidden="1" customHeight="1">
      <c r="A1386" s="2" t="s">
        <v>6024</v>
      </c>
      <c r="B1386" s="2" t="s">
        <v>6072</v>
      </c>
      <c r="C1386" s="2" t="s">
        <v>6626</v>
      </c>
      <c r="D1386" s="2" t="s">
        <v>1796</v>
      </c>
      <c r="E1386" s="2">
        <v>50</v>
      </c>
      <c r="H1386" s="2" t="s">
        <v>5667</v>
      </c>
      <c r="I1386" s="178"/>
    </row>
    <row r="1387" spans="1:9" ht="15.75" hidden="1" customHeight="1">
      <c r="A1387" s="2" t="s">
        <v>6024</v>
      </c>
      <c r="B1387" s="2" t="s">
        <v>6072</v>
      </c>
      <c r="C1387" s="2" t="s">
        <v>6627</v>
      </c>
      <c r="D1387" s="2" t="s">
        <v>1796</v>
      </c>
      <c r="E1387" s="2">
        <v>3</v>
      </c>
      <c r="H1387" s="2" t="s">
        <v>5667</v>
      </c>
      <c r="I1387" s="178"/>
    </row>
    <row r="1388" spans="1:9" ht="15.75" hidden="1" customHeight="1">
      <c r="A1388" s="2" t="s">
        <v>6024</v>
      </c>
      <c r="B1388" s="2" t="s">
        <v>6072</v>
      </c>
      <c r="C1388" s="2" t="s">
        <v>6628</v>
      </c>
      <c r="D1388" s="2" t="s">
        <v>1796</v>
      </c>
      <c r="E1388" s="2">
        <v>10</v>
      </c>
      <c r="H1388" s="2" t="s">
        <v>5667</v>
      </c>
      <c r="I1388" s="178"/>
    </row>
    <row r="1389" spans="1:9" ht="15.75" hidden="1" customHeight="1">
      <c r="A1389" s="2" t="s">
        <v>6024</v>
      </c>
      <c r="B1389" s="2" t="s">
        <v>6072</v>
      </c>
      <c r="C1389" s="2" t="s">
        <v>6629</v>
      </c>
      <c r="D1389" s="2" t="s">
        <v>1796</v>
      </c>
      <c r="E1389" s="2">
        <v>50</v>
      </c>
      <c r="H1389" s="2" t="s">
        <v>5667</v>
      </c>
      <c r="I1389" s="178"/>
    </row>
    <row r="1390" spans="1:9" ht="15.75" hidden="1" customHeight="1">
      <c r="A1390" s="2" t="s">
        <v>6024</v>
      </c>
      <c r="B1390" s="2" t="s">
        <v>6072</v>
      </c>
      <c r="C1390" s="2" t="s">
        <v>6630</v>
      </c>
      <c r="D1390" s="2" t="s">
        <v>1796</v>
      </c>
      <c r="E1390" s="2">
        <v>50</v>
      </c>
      <c r="H1390" s="2" t="s">
        <v>5667</v>
      </c>
      <c r="I1390" s="178"/>
    </row>
    <row r="1391" spans="1:9" ht="15.75" hidden="1" customHeight="1">
      <c r="A1391" s="2" t="s">
        <v>6024</v>
      </c>
      <c r="B1391" s="2" t="s">
        <v>6072</v>
      </c>
      <c r="C1391" s="2" t="s">
        <v>6631</v>
      </c>
      <c r="D1391" s="2" t="s">
        <v>800</v>
      </c>
      <c r="H1391" s="2" t="s">
        <v>5667</v>
      </c>
      <c r="I1391" s="178"/>
    </row>
    <row r="1392" spans="1:9" ht="15.75" hidden="1" customHeight="1">
      <c r="A1392" s="2" t="s">
        <v>6024</v>
      </c>
      <c r="B1392" s="2" t="s">
        <v>6072</v>
      </c>
      <c r="C1392" s="2" t="s">
        <v>6632</v>
      </c>
      <c r="D1392" s="2" t="s">
        <v>800</v>
      </c>
      <c r="H1392" s="2" t="s">
        <v>5667</v>
      </c>
      <c r="I1392" s="178"/>
    </row>
    <row r="1393" spans="1:9" ht="15.75" hidden="1" customHeight="1">
      <c r="A1393" s="2" t="s">
        <v>6024</v>
      </c>
      <c r="B1393" s="2" t="s">
        <v>6072</v>
      </c>
      <c r="C1393" s="2" t="s">
        <v>6633</v>
      </c>
      <c r="D1393" s="2" t="s">
        <v>1796</v>
      </c>
      <c r="E1393" s="2">
        <v>50</v>
      </c>
      <c r="H1393" s="2" t="s">
        <v>5667</v>
      </c>
      <c r="I1393" s="178"/>
    </row>
    <row r="1394" spans="1:9" ht="15.75" hidden="1" customHeight="1">
      <c r="A1394" s="2" t="s">
        <v>6024</v>
      </c>
      <c r="B1394" s="2" t="s">
        <v>6072</v>
      </c>
      <c r="C1394" s="2" t="s">
        <v>6634</v>
      </c>
      <c r="D1394" s="2" t="s">
        <v>1796</v>
      </c>
      <c r="E1394" s="2">
        <v>50</v>
      </c>
      <c r="H1394" s="2" t="s">
        <v>5667</v>
      </c>
      <c r="I1394" s="178"/>
    </row>
    <row r="1395" spans="1:9" ht="15.75" hidden="1" customHeight="1">
      <c r="A1395" s="2" t="s">
        <v>6024</v>
      </c>
      <c r="B1395" s="2" t="s">
        <v>6072</v>
      </c>
      <c r="C1395" s="2" t="s">
        <v>6635</v>
      </c>
      <c r="D1395" s="2" t="s">
        <v>1796</v>
      </c>
      <c r="E1395" s="2">
        <v>50</v>
      </c>
      <c r="H1395" s="2" t="s">
        <v>5667</v>
      </c>
      <c r="I1395" s="178"/>
    </row>
    <row r="1396" spans="1:9" ht="15.75" hidden="1" customHeight="1">
      <c r="A1396" s="2" t="s">
        <v>6024</v>
      </c>
      <c r="B1396" s="2" t="s">
        <v>6072</v>
      </c>
      <c r="C1396" s="2" t="s">
        <v>6636</v>
      </c>
      <c r="D1396" s="2" t="s">
        <v>1796</v>
      </c>
      <c r="E1396" s="2">
        <v>50</v>
      </c>
      <c r="H1396" s="2" t="s">
        <v>5667</v>
      </c>
      <c r="I1396" s="178"/>
    </row>
    <row r="1397" spans="1:9" ht="15.75" hidden="1" customHeight="1">
      <c r="A1397" s="2" t="s">
        <v>6024</v>
      </c>
      <c r="B1397" s="2" t="s">
        <v>6072</v>
      </c>
      <c r="C1397" s="2" t="s">
        <v>6209</v>
      </c>
      <c r="D1397" s="2" t="s">
        <v>800</v>
      </c>
      <c r="H1397" s="2" t="s">
        <v>5667</v>
      </c>
      <c r="I1397" s="178"/>
    </row>
    <row r="1398" spans="1:9" ht="15.75" hidden="1" customHeight="1">
      <c r="A1398" s="2" t="s">
        <v>6024</v>
      </c>
      <c r="B1398" s="2" t="s">
        <v>6072</v>
      </c>
      <c r="C1398" s="98" t="s">
        <v>6637</v>
      </c>
      <c r="D1398" s="2" t="s">
        <v>481</v>
      </c>
      <c r="F1398" s="2">
        <v>38</v>
      </c>
      <c r="G1398" s="2">
        <v>2</v>
      </c>
      <c r="H1398" s="2" t="s">
        <v>5667</v>
      </c>
      <c r="I1398" s="178"/>
    </row>
    <row r="1399" spans="1:9" ht="15.75" hidden="1" customHeight="1">
      <c r="A1399" s="2" t="s">
        <v>6024</v>
      </c>
      <c r="B1399" s="2" t="s">
        <v>6072</v>
      </c>
      <c r="C1399" s="98" t="s">
        <v>6638</v>
      </c>
      <c r="D1399" s="2" t="s">
        <v>481</v>
      </c>
      <c r="F1399" s="2">
        <v>38</v>
      </c>
      <c r="G1399" s="2">
        <v>2</v>
      </c>
      <c r="H1399" s="2" t="s">
        <v>5667</v>
      </c>
      <c r="I1399" s="178"/>
    </row>
    <row r="1400" spans="1:9" ht="15.75" hidden="1" customHeight="1">
      <c r="A1400" s="2" t="s">
        <v>6024</v>
      </c>
      <c r="B1400" s="2" t="s">
        <v>6072</v>
      </c>
      <c r="C1400" s="98" t="s">
        <v>6639</v>
      </c>
      <c r="D1400" s="2" t="s">
        <v>1796</v>
      </c>
      <c r="E1400" s="2">
        <v>100</v>
      </c>
      <c r="H1400" s="2" t="s">
        <v>5667</v>
      </c>
      <c r="I1400" s="178"/>
    </row>
    <row r="1401" spans="1:9" ht="15.75" hidden="1" customHeight="1">
      <c r="A1401" s="2" t="s">
        <v>6024</v>
      </c>
      <c r="B1401" s="2" t="s">
        <v>6072</v>
      </c>
      <c r="C1401" s="98" t="s">
        <v>6640</v>
      </c>
      <c r="D1401" s="2" t="s">
        <v>1796</v>
      </c>
      <c r="E1401" s="2">
        <v>100</v>
      </c>
      <c r="H1401" s="2" t="s">
        <v>5667</v>
      </c>
      <c r="I1401" s="178"/>
    </row>
    <row r="1402" spans="1:9" ht="15.75" hidden="1" customHeight="1">
      <c r="A1402" s="2" t="s">
        <v>6024</v>
      </c>
      <c r="B1402" s="2" t="s">
        <v>6072</v>
      </c>
      <c r="C1402" s="98" t="s">
        <v>6641</v>
      </c>
      <c r="D1402" s="2" t="s">
        <v>481</v>
      </c>
      <c r="F1402" s="2">
        <v>38</v>
      </c>
      <c r="G1402" s="2">
        <v>0</v>
      </c>
      <c r="H1402" s="2" t="s">
        <v>5667</v>
      </c>
      <c r="I1402" s="178"/>
    </row>
    <row r="1403" spans="1:9" ht="15.75" hidden="1" customHeight="1">
      <c r="A1403" s="2" t="s">
        <v>6024</v>
      </c>
      <c r="B1403" s="2" t="s">
        <v>6072</v>
      </c>
      <c r="C1403" s="2" t="s">
        <v>6642</v>
      </c>
      <c r="D1403" s="2" t="s">
        <v>1796</v>
      </c>
      <c r="E1403" s="2">
        <v>100</v>
      </c>
      <c r="H1403" s="2" t="s">
        <v>5667</v>
      </c>
      <c r="I1403" s="178"/>
    </row>
    <row r="1404" spans="1:9" ht="15.75" hidden="1" customHeight="1">
      <c r="A1404" s="2" t="s">
        <v>6024</v>
      </c>
      <c r="B1404" s="2" t="s">
        <v>6072</v>
      </c>
      <c r="C1404" s="98" t="s">
        <v>6643</v>
      </c>
      <c r="D1404" s="98" t="s">
        <v>1796</v>
      </c>
      <c r="E1404" s="98">
        <v>200</v>
      </c>
      <c r="H1404" s="2" t="s">
        <v>5667</v>
      </c>
      <c r="I1404" s="178"/>
    </row>
    <row r="1405" spans="1:9" ht="15.75" hidden="1" customHeight="1">
      <c r="A1405" s="2" t="s">
        <v>6024</v>
      </c>
      <c r="B1405" s="2" t="s">
        <v>6072</v>
      </c>
      <c r="C1405" s="98" t="s">
        <v>6644</v>
      </c>
      <c r="D1405" s="98" t="s">
        <v>1796</v>
      </c>
      <c r="E1405" s="98">
        <v>200</v>
      </c>
      <c r="H1405" s="2" t="s">
        <v>5667</v>
      </c>
      <c r="I1405" s="178"/>
    </row>
    <row r="1406" spans="1:9" ht="15.75" hidden="1" customHeight="1">
      <c r="A1406" s="2" t="s">
        <v>6024</v>
      </c>
      <c r="B1406" s="2" t="s">
        <v>6072</v>
      </c>
      <c r="C1406" s="98" t="s">
        <v>6645</v>
      </c>
      <c r="D1406" s="98" t="s">
        <v>481</v>
      </c>
      <c r="E1406" s="98">
        <v>17</v>
      </c>
      <c r="F1406" s="98">
        <v>38</v>
      </c>
      <c r="H1406" s="2" t="s">
        <v>5667</v>
      </c>
      <c r="I1406" s="178"/>
    </row>
    <row r="1407" spans="1:9" ht="15.75" hidden="1" customHeight="1">
      <c r="A1407" s="2" t="s">
        <v>6024</v>
      </c>
      <c r="B1407" s="2" t="s">
        <v>6072</v>
      </c>
      <c r="C1407" s="98" t="s">
        <v>6646</v>
      </c>
      <c r="D1407" s="98" t="s">
        <v>1796</v>
      </c>
      <c r="E1407" s="98">
        <v>6</v>
      </c>
      <c r="H1407" s="2" t="s">
        <v>5667</v>
      </c>
      <c r="I1407" s="178"/>
    </row>
    <row r="1408" spans="1:9" ht="15.75" hidden="1" customHeight="1">
      <c r="A1408" s="2" t="s">
        <v>6024</v>
      </c>
      <c r="B1408" s="2" t="s">
        <v>6072</v>
      </c>
      <c r="C1408" s="98" t="s">
        <v>6647</v>
      </c>
      <c r="D1408" s="98" t="s">
        <v>1796</v>
      </c>
      <c r="E1408" s="98">
        <v>6</v>
      </c>
      <c r="H1408" s="2" t="s">
        <v>5667</v>
      </c>
      <c r="I1408" s="178"/>
    </row>
    <row r="1409" spans="1:9" ht="15.75" hidden="1" customHeight="1">
      <c r="A1409" s="2" t="s">
        <v>6024</v>
      </c>
      <c r="B1409" s="2" t="s">
        <v>6072</v>
      </c>
      <c r="C1409" s="98" t="s">
        <v>6648</v>
      </c>
      <c r="D1409" s="98" t="s">
        <v>1796</v>
      </c>
      <c r="E1409" s="98">
        <v>6</v>
      </c>
      <c r="H1409" s="2" t="s">
        <v>5667</v>
      </c>
      <c r="I1409" s="178"/>
    </row>
    <row r="1410" spans="1:9" ht="15.75" hidden="1" customHeight="1">
      <c r="A1410" s="2" t="s">
        <v>6024</v>
      </c>
      <c r="B1410" s="2" t="s">
        <v>6072</v>
      </c>
      <c r="C1410" s="98" t="s">
        <v>6649</v>
      </c>
      <c r="D1410" s="98" t="s">
        <v>1796</v>
      </c>
      <c r="E1410" s="98">
        <v>200</v>
      </c>
      <c r="H1410" s="2" t="s">
        <v>5667</v>
      </c>
      <c r="I1410" s="178"/>
    </row>
    <row r="1411" spans="1:9" ht="15.75" hidden="1" customHeight="1">
      <c r="A1411" s="2" t="s">
        <v>6024</v>
      </c>
      <c r="B1411" s="2" t="s">
        <v>6072</v>
      </c>
      <c r="C1411" s="98" t="s">
        <v>6650</v>
      </c>
      <c r="D1411" s="98" t="s">
        <v>1796</v>
      </c>
      <c r="E1411" s="98">
        <v>200</v>
      </c>
      <c r="H1411" s="2" t="s">
        <v>5667</v>
      </c>
      <c r="I1411" s="178"/>
    </row>
    <row r="1412" spans="1:9" ht="15.75" hidden="1" customHeight="1">
      <c r="A1412" s="2" t="s">
        <v>6024</v>
      </c>
      <c r="B1412" s="2" t="s">
        <v>6072</v>
      </c>
      <c r="C1412" s="2" t="s">
        <v>6112</v>
      </c>
      <c r="D1412" s="2" t="s">
        <v>800</v>
      </c>
      <c r="H1412" s="2" t="s">
        <v>5665</v>
      </c>
      <c r="I1412" s="178"/>
    </row>
    <row r="1413" spans="1:9" ht="15.75" hidden="1" customHeight="1">
      <c r="A1413" s="2" t="s">
        <v>6024</v>
      </c>
      <c r="B1413" s="2" t="s">
        <v>6072</v>
      </c>
      <c r="C1413" s="2" t="s">
        <v>6113</v>
      </c>
      <c r="D1413" s="2" t="s">
        <v>1796</v>
      </c>
      <c r="E1413" s="2">
        <v>100</v>
      </c>
      <c r="H1413" s="2" t="s">
        <v>5667</v>
      </c>
      <c r="I1413" s="178"/>
    </row>
    <row r="1414" spans="1:9" ht="15.75" hidden="1" customHeight="1">
      <c r="A1414" s="2" t="s">
        <v>6024</v>
      </c>
      <c r="B1414" s="2" t="s">
        <v>6072</v>
      </c>
      <c r="C1414" s="2" t="s">
        <v>6114</v>
      </c>
      <c r="D1414" s="2" t="s">
        <v>484</v>
      </c>
      <c r="F1414" s="2">
        <v>10</v>
      </c>
      <c r="G1414" s="2">
        <v>0</v>
      </c>
      <c r="H1414" s="2" t="s">
        <v>5667</v>
      </c>
      <c r="I1414" s="178"/>
    </row>
    <row r="1415" spans="1:9" ht="15.75" hidden="1" customHeight="1">
      <c r="A1415" s="2" t="s">
        <v>6024</v>
      </c>
      <c r="B1415" s="2" t="s">
        <v>6072</v>
      </c>
      <c r="C1415" s="2" t="s">
        <v>6027</v>
      </c>
      <c r="D1415" s="2" t="s">
        <v>800</v>
      </c>
      <c r="H1415" s="2" t="s">
        <v>5665</v>
      </c>
      <c r="I1415" s="178"/>
    </row>
    <row r="1416" spans="1:9" ht="15.75" hidden="1" customHeight="1">
      <c r="A1416" s="2" t="s">
        <v>6024</v>
      </c>
      <c r="B1416" s="2" t="s">
        <v>6072</v>
      </c>
      <c r="C1416" s="2" t="s">
        <v>6115</v>
      </c>
      <c r="D1416" s="2" t="s">
        <v>1796</v>
      </c>
      <c r="E1416" s="2">
        <v>100</v>
      </c>
      <c r="H1416" s="2" t="s">
        <v>5667</v>
      </c>
      <c r="I1416" s="178"/>
    </row>
    <row r="1417" spans="1:9" ht="15.75" hidden="1" customHeight="1">
      <c r="A1417" s="2" t="s">
        <v>6024</v>
      </c>
      <c r="B1417" s="2" t="s">
        <v>6072</v>
      </c>
      <c r="C1417" s="2" t="s">
        <v>6116</v>
      </c>
      <c r="D1417" s="2" t="s">
        <v>484</v>
      </c>
      <c r="F1417" s="2">
        <v>10</v>
      </c>
      <c r="G1417" s="2">
        <v>0</v>
      </c>
      <c r="H1417" s="2" t="s">
        <v>5667</v>
      </c>
      <c r="I1417" s="178"/>
    </row>
    <row r="1418" spans="1:9" ht="15.75" hidden="1" customHeight="1">
      <c r="A1418" s="2" t="s">
        <v>6024</v>
      </c>
      <c r="B1418" s="2" t="s">
        <v>6072</v>
      </c>
      <c r="C1418" s="2" t="s">
        <v>6117</v>
      </c>
      <c r="D1418" s="2" t="s">
        <v>1796</v>
      </c>
      <c r="E1418" s="2">
        <v>250</v>
      </c>
      <c r="H1418" s="2" t="s">
        <v>5667</v>
      </c>
      <c r="I1418" s="178"/>
    </row>
    <row r="1419" spans="1:9" ht="15.75" hidden="1" customHeight="1">
      <c r="A1419" s="2" t="s">
        <v>6024</v>
      </c>
      <c r="B1419" s="2" t="s">
        <v>6073</v>
      </c>
      <c r="C1419" s="2" t="s">
        <v>325</v>
      </c>
      <c r="D1419" s="2" t="s">
        <v>484</v>
      </c>
      <c r="F1419" s="2">
        <v>10</v>
      </c>
      <c r="G1419" s="2">
        <v>0</v>
      </c>
      <c r="H1419" s="2" t="s">
        <v>5665</v>
      </c>
    </row>
    <row r="1420" spans="1:9" ht="15.75" hidden="1" customHeight="1">
      <c r="A1420" s="2" t="s">
        <v>6024</v>
      </c>
      <c r="B1420" s="2" t="s">
        <v>6073</v>
      </c>
      <c r="C1420" s="2" t="s">
        <v>6090</v>
      </c>
      <c r="D1420" s="2" t="s">
        <v>6118</v>
      </c>
      <c r="H1420" s="2" t="s">
        <v>5665</v>
      </c>
    </row>
    <row r="1421" spans="1:9" ht="15.75" hidden="1" customHeight="1">
      <c r="A1421" s="2" t="s">
        <v>6024</v>
      </c>
      <c r="B1421" s="2" t="s">
        <v>6073</v>
      </c>
      <c r="C1421" s="2" t="s">
        <v>6092</v>
      </c>
      <c r="D1421" s="2" t="s">
        <v>1796</v>
      </c>
      <c r="E1421" s="2">
        <v>50</v>
      </c>
      <c r="H1421" s="2" t="s">
        <v>5665</v>
      </c>
    </row>
    <row r="1422" spans="1:9" ht="15.75" hidden="1" customHeight="1">
      <c r="A1422" s="2" t="s">
        <v>6024</v>
      </c>
      <c r="B1422" s="2" t="s">
        <v>6073</v>
      </c>
      <c r="C1422" s="2" t="s">
        <v>6093</v>
      </c>
      <c r="D1422" s="2" t="s">
        <v>484</v>
      </c>
      <c r="F1422" s="2">
        <v>10</v>
      </c>
      <c r="G1422" s="2">
        <v>0</v>
      </c>
      <c r="H1422" s="2" t="s">
        <v>5665</v>
      </c>
    </row>
    <row r="1423" spans="1:9" ht="15.75" hidden="1" customHeight="1">
      <c r="A1423" s="2" t="s">
        <v>6024</v>
      </c>
      <c r="B1423" s="2" t="s">
        <v>6073</v>
      </c>
      <c r="C1423" s="2" t="s">
        <v>6094</v>
      </c>
      <c r="D1423" s="2" t="s">
        <v>484</v>
      </c>
      <c r="F1423" s="2">
        <v>10</v>
      </c>
      <c r="G1423" s="2">
        <v>0</v>
      </c>
      <c r="H1423" s="2" t="s">
        <v>5665</v>
      </c>
    </row>
    <row r="1424" spans="1:9" ht="15.75" hidden="1" customHeight="1">
      <c r="A1424" s="2" t="s">
        <v>6024</v>
      </c>
      <c r="B1424" s="2" t="s">
        <v>6073</v>
      </c>
      <c r="C1424" s="2" t="s">
        <v>6095</v>
      </c>
      <c r="D1424" s="2" t="s">
        <v>1796</v>
      </c>
      <c r="E1424" s="2">
        <v>50</v>
      </c>
      <c r="H1424" s="2" t="s">
        <v>5667</v>
      </c>
    </row>
    <row r="1425" spans="1:9" ht="15.75" hidden="1" customHeight="1">
      <c r="A1425" s="2" t="s">
        <v>6024</v>
      </c>
      <c r="B1425" s="2" t="s">
        <v>6073</v>
      </c>
      <c r="C1425" s="2" t="s">
        <v>4306</v>
      </c>
      <c r="D1425" s="2" t="s">
        <v>1796</v>
      </c>
      <c r="E1425" s="2">
        <v>250</v>
      </c>
      <c r="H1425" s="2" t="s">
        <v>5667</v>
      </c>
    </row>
    <row r="1426" spans="1:9" ht="15.75" hidden="1" customHeight="1">
      <c r="A1426" s="2" t="s">
        <v>6024</v>
      </c>
      <c r="B1426" s="2" t="s">
        <v>6073</v>
      </c>
      <c r="C1426" s="2" t="s">
        <v>4246</v>
      </c>
      <c r="D1426" s="2" t="s">
        <v>1796</v>
      </c>
      <c r="E1426" s="2">
        <v>250</v>
      </c>
      <c r="H1426" s="2" t="s">
        <v>5665</v>
      </c>
    </row>
    <row r="1427" spans="1:9" ht="15.75" hidden="1" customHeight="1">
      <c r="A1427" s="2" t="s">
        <v>6024</v>
      </c>
      <c r="B1427" s="2" t="s">
        <v>6073</v>
      </c>
      <c r="C1427" s="2" t="s">
        <v>6096</v>
      </c>
      <c r="D1427" s="2" t="s">
        <v>484</v>
      </c>
      <c r="F1427" s="2">
        <v>10</v>
      </c>
      <c r="G1427" s="2">
        <v>0</v>
      </c>
      <c r="H1427" s="2" t="s">
        <v>5665</v>
      </c>
    </row>
    <row r="1428" spans="1:9" ht="15.75" hidden="1" customHeight="1">
      <c r="A1428" s="2" t="s">
        <v>6024</v>
      </c>
      <c r="B1428" s="2" t="s">
        <v>6073</v>
      </c>
      <c r="C1428" s="2" t="s">
        <v>6651</v>
      </c>
      <c r="D1428" s="2" t="s">
        <v>1796</v>
      </c>
      <c r="E1428" s="2">
        <v>5</v>
      </c>
      <c r="H1428" s="2" t="s">
        <v>5667</v>
      </c>
    </row>
    <row r="1429" spans="1:9" ht="15.75" hidden="1" customHeight="1">
      <c r="A1429" s="2" t="s">
        <v>6024</v>
      </c>
      <c r="B1429" s="2" t="s">
        <v>6073</v>
      </c>
      <c r="C1429" s="2" t="s">
        <v>6633</v>
      </c>
      <c r="D1429" s="2" t="s">
        <v>1796</v>
      </c>
      <c r="E1429" s="2">
        <v>50</v>
      </c>
      <c r="H1429" s="2" t="s">
        <v>5667</v>
      </c>
    </row>
    <row r="1430" spans="1:9" ht="15.75" hidden="1" customHeight="1">
      <c r="A1430" s="2" t="s">
        <v>6024</v>
      </c>
      <c r="B1430" s="2" t="s">
        <v>6073</v>
      </c>
      <c r="C1430" s="2" t="s">
        <v>6209</v>
      </c>
      <c r="D1430" s="2" t="s">
        <v>800</v>
      </c>
      <c r="H1430" s="2" t="s">
        <v>5667</v>
      </c>
    </row>
    <row r="1431" spans="1:9" ht="15.75" hidden="1" customHeight="1">
      <c r="A1431" s="2" t="s">
        <v>6024</v>
      </c>
      <c r="B1431" s="2" t="s">
        <v>6073</v>
      </c>
      <c r="C1431" s="2" t="s">
        <v>6112</v>
      </c>
      <c r="D1431" s="2" t="s">
        <v>800</v>
      </c>
      <c r="H1431" s="2" t="s">
        <v>5665</v>
      </c>
    </row>
    <row r="1432" spans="1:9" ht="15.75" hidden="1" customHeight="1">
      <c r="A1432" s="2" t="s">
        <v>6024</v>
      </c>
      <c r="B1432" s="2" t="s">
        <v>6073</v>
      </c>
      <c r="C1432" s="2" t="s">
        <v>6113</v>
      </c>
      <c r="D1432" s="2" t="s">
        <v>1796</v>
      </c>
      <c r="E1432" s="2">
        <v>100</v>
      </c>
      <c r="H1432" s="2" t="s">
        <v>5667</v>
      </c>
    </row>
    <row r="1433" spans="1:9" ht="15.75" hidden="1" customHeight="1">
      <c r="A1433" s="2" t="s">
        <v>6024</v>
      </c>
      <c r="B1433" s="2" t="s">
        <v>6073</v>
      </c>
      <c r="C1433" s="2" t="s">
        <v>6114</v>
      </c>
      <c r="D1433" s="2" t="s">
        <v>484</v>
      </c>
      <c r="F1433" s="2">
        <v>10</v>
      </c>
      <c r="G1433" s="2">
        <v>0</v>
      </c>
      <c r="H1433" s="2" t="s">
        <v>5667</v>
      </c>
    </row>
    <row r="1434" spans="1:9" ht="15.75" hidden="1" customHeight="1">
      <c r="A1434" s="2" t="s">
        <v>6024</v>
      </c>
      <c r="B1434" s="2" t="s">
        <v>6073</v>
      </c>
      <c r="C1434" s="2" t="s">
        <v>6027</v>
      </c>
      <c r="D1434" s="2" t="s">
        <v>800</v>
      </c>
      <c r="H1434" s="2" t="s">
        <v>5665</v>
      </c>
    </row>
    <row r="1435" spans="1:9" ht="15.75" hidden="1" customHeight="1">
      <c r="A1435" s="2" t="s">
        <v>6024</v>
      </c>
      <c r="B1435" s="2" t="s">
        <v>6073</v>
      </c>
      <c r="C1435" s="2" t="s">
        <v>6115</v>
      </c>
      <c r="D1435" s="2" t="s">
        <v>1796</v>
      </c>
      <c r="E1435" s="2">
        <v>100</v>
      </c>
      <c r="H1435" s="2" t="s">
        <v>5667</v>
      </c>
    </row>
    <row r="1436" spans="1:9" ht="15.75" hidden="1" customHeight="1">
      <c r="A1436" s="2" t="s">
        <v>6024</v>
      </c>
      <c r="B1436" s="2" t="s">
        <v>6073</v>
      </c>
      <c r="C1436" s="2" t="s">
        <v>6116</v>
      </c>
      <c r="D1436" s="2" t="s">
        <v>484</v>
      </c>
      <c r="F1436" s="2">
        <v>10</v>
      </c>
      <c r="G1436" s="2">
        <v>0</v>
      </c>
      <c r="H1436" s="2" t="s">
        <v>5667</v>
      </c>
    </row>
    <row r="1437" spans="1:9" ht="15.75" hidden="1" customHeight="1">
      <c r="A1437" s="2" t="s">
        <v>6024</v>
      </c>
      <c r="B1437" s="2" t="s">
        <v>6073</v>
      </c>
      <c r="C1437" s="2" t="s">
        <v>6117</v>
      </c>
      <c r="D1437" s="2" t="s">
        <v>1796</v>
      </c>
      <c r="E1437" s="2">
        <v>250</v>
      </c>
      <c r="H1437" s="2" t="s">
        <v>5667</v>
      </c>
    </row>
    <row r="1438" spans="1:9" ht="15.75" hidden="1" customHeight="1">
      <c r="A1438" s="2" t="s">
        <v>6024</v>
      </c>
      <c r="B1438" s="2" t="s">
        <v>6074</v>
      </c>
      <c r="C1438" s="2" t="s">
        <v>325</v>
      </c>
      <c r="D1438" s="2" t="s">
        <v>484</v>
      </c>
      <c r="F1438" s="2">
        <v>10</v>
      </c>
      <c r="G1438" s="2">
        <v>0</v>
      </c>
      <c r="H1438" s="2" t="s">
        <v>5665</v>
      </c>
      <c r="I1438" s="178"/>
    </row>
    <row r="1439" spans="1:9" ht="15.75" hidden="1" customHeight="1">
      <c r="A1439" s="2" t="s">
        <v>6024</v>
      </c>
      <c r="B1439" s="2" t="s">
        <v>6074</v>
      </c>
      <c r="C1439" s="2" t="s">
        <v>6090</v>
      </c>
      <c r="D1439" s="2" t="s">
        <v>6118</v>
      </c>
      <c r="H1439" s="2" t="s">
        <v>5665</v>
      </c>
      <c r="I1439" s="178"/>
    </row>
    <row r="1440" spans="1:9" ht="15.75" hidden="1" customHeight="1">
      <c r="A1440" s="2" t="s">
        <v>6024</v>
      </c>
      <c r="B1440" s="2" t="s">
        <v>6074</v>
      </c>
      <c r="C1440" s="2" t="s">
        <v>6092</v>
      </c>
      <c r="D1440" s="2" t="s">
        <v>1796</v>
      </c>
      <c r="E1440" s="2">
        <v>50</v>
      </c>
      <c r="H1440" s="2" t="s">
        <v>5665</v>
      </c>
      <c r="I1440" s="178"/>
    </row>
    <row r="1441" spans="1:9" ht="15.75" hidden="1" customHeight="1">
      <c r="A1441" s="2" t="s">
        <v>6024</v>
      </c>
      <c r="B1441" s="2" t="s">
        <v>6074</v>
      </c>
      <c r="C1441" s="2" t="s">
        <v>6093</v>
      </c>
      <c r="D1441" s="2" t="s">
        <v>484</v>
      </c>
      <c r="F1441" s="2">
        <v>10</v>
      </c>
      <c r="G1441" s="2">
        <v>0</v>
      </c>
      <c r="H1441" s="2" t="s">
        <v>5665</v>
      </c>
      <c r="I1441" s="178"/>
    </row>
    <row r="1442" spans="1:9" ht="15.75" hidden="1" customHeight="1">
      <c r="A1442" s="2" t="s">
        <v>6024</v>
      </c>
      <c r="B1442" s="2" t="s">
        <v>6074</v>
      </c>
      <c r="C1442" s="2" t="s">
        <v>6094</v>
      </c>
      <c r="D1442" s="2" t="s">
        <v>484</v>
      </c>
      <c r="F1442" s="2">
        <v>10</v>
      </c>
      <c r="G1442" s="2">
        <v>0</v>
      </c>
      <c r="H1442" s="2" t="s">
        <v>5665</v>
      </c>
      <c r="I1442" s="178"/>
    </row>
    <row r="1443" spans="1:9" ht="15.75" hidden="1" customHeight="1">
      <c r="A1443" s="2" t="s">
        <v>6024</v>
      </c>
      <c r="B1443" s="2" t="s">
        <v>6074</v>
      </c>
      <c r="C1443" s="2" t="s">
        <v>6095</v>
      </c>
      <c r="D1443" s="2" t="s">
        <v>1796</v>
      </c>
      <c r="E1443" s="2">
        <v>50</v>
      </c>
      <c r="H1443" s="2" t="s">
        <v>5667</v>
      </c>
      <c r="I1443" s="178"/>
    </row>
    <row r="1444" spans="1:9" ht="15.75" hidden="1" customHeight="1">
      <c r="A1444" s="2" t="s">
        <v>6024</v>
      </c>
      <c r="B1444" s="2" t="s">
        <v>6074</v>
      </c>
      <c r="C1444" s="2" t="s">
        <v>4306</v>
      </c>
      <c r="D1444" s="2" t="s">
        <v>1796</v>
      </c>
      <c r="E1444" s="2">
        <v>250</v>
      </c>
      <c r="H1444" s="2" t="s">
        <v>5667</v>
      </c>
      <c r="I1444" s="178"/>
    </row>
    <row r="1445" spans="1:9" ht="15.75" hidden="1" customHeight="1">
      <c r="A1445" s="2" t="s">
        <v>6024</v>
      </c>
      <c r="B1445" s="2" t="s">
        <v>6074</v>
      </c>
      <c r="C1445" s="2" t="s">
        <v>4246</v>
      </c>
      <c r="D1445" s="2" t="s">
        <v>1796</v>
      </c>
      <c r="E1445" s="2">
        <v>250</v>
      </c>
      <c r="H1445" s="2" t="s">
        <v>5665</v>
      </c>
      <c r="I1445" s="178"/>
    </row>
    <row r="1446" spans="1:9" ht="15.75" hidden="1" customHeight="1">
      <c r="A1446" s="2" t="s">
        <v>6024</v>
      </c>
      <c r="B1446" s="2" t="s">
        <v>6074</v>
      </c>
      <c r="C1446" s="2" t="s">
        <v>6096</v>
      </c>
      <c r="D1446" s="2" t="s">
        <v>484</v>
      </c>
      <c r="F1446" s="2">
        <v>10</v>
      </c>
      <c r="G1446" s="2">
        <v>0</v>
      </c>
      <c r="H1446" s="2" t="s">
        <v>5665</v>
      </c>
      <c r="I1446" s="178"/>
    </row>
    <row r="1447" spans="1:9" ht="15.75" hidden="1" customHeight="1">
      <c r="A1447" s="2" t="s">
        <v>6024</v>
      </c>
      <c r="B1447" s="2" t="s">
        <v>6074</v>
      </c>
      <c r="C1447" s="2" t="s">
        <v>6652</v>
      </c>
      <c r="D1447" s="2" t="s">
        <v>1796</v>
      </c>
      <c r="E1447" s="2">
        <v>100</v>
      </c>
      <c r="H1447" s="2" t="s">
        <v>5667</v>
      </c>
      <c r="I1447" s="178"/>
    </row>
    <row r="1448" spans="1:9" ht="15.75" hidden="1" customHeight="1">
      <c r="A1448" s="2" t="s">
        <v>6024</v>
      </c>
      <c r="B1448" s="2" t="s">
        <v>6074</v>
      </c>
      <c r="C1448" s="2" t="s">
        <v>6559</v>
      </c>
      <c r="D1448" s="2" t="s">
        <v>1796</v>
      </c>
      <c r="E1448" s="2">
        <v>50</v>
      </c>
      <c r="H1448" s="2" t="s">
        <v>5667</v>
      </c>
      <c r="I1448" s="178"/>
    </row>
    <row r="1449" spans="1:9" ht="15.75" hidden="1" customHeight="1">
      <c r="A1449" s="2" t="s">
        <v>6024</v>
      </c>
      <c r="B1449" s="2" t="s">
        <v>6074</v>
      </c>
      <c r="C1449" s="2" t="s">
        <v>6560</v>
      </c>
      <c r="D1449" s="2" t="s">
        <v>1796</v>
      </c>
      <c r="E1449" s="2">
        <v>50</v>
      </c>
      <c r="H1449" s="2" t="s">
        <v>5667</v>
      </c>
      <c r="I1449" s="178"/>
    </row>
    <row r="1450" spans="1:9" ht="15.75" hidden="1" customHeight="1">
      <c r="A1450" s="2" t="s">
        <v>6024</v>
      </c>
      <c r="B1450" s="2" t="s">
        <v>6074</v>
      </c>
      <c r="C1450" s="2" t="s">
        <v>6561</v>
      </c>
      <c r="D1450" s="2" t="s">
        <v>1796</v>
      </c>
      <c r="E1450" s="2">
        <v>50</v>
      </c>
      <c r="H1450" s="2" t="s">
        <v>5667</v>
      </c>
      <c r="I1450" s="178"/>
    </row>
    <row r="1451" spans="1:9" ht="15.75" hidden="1" customHeight="1">
      <c r="A1451" s="2" t="s">
        <v>6024</v>
      </c>
      <c r="B1451" s="2" t="s">
        <v>6074</v>
      </c>
      <c r="C1451" s="2" t="s">
        <v>6653</v>
      </c>
      <c r="D1451" s="2" t="s">
        <v>1796</v>
      </c>
      <c r="E1451" s="2">
        <v>20</v>
      </c>
      <c r="H1451" s="2" t="s">
        <v>5667</v>
      </c>
      <c r="I1451" s="178"/>
    </row>
    <row r="1452" spans="1:9" ht="15.75" hidden="1" customHeight="1">
      <c r="A1452" s="2" t="s">
        <v>6024</v>
      </c>
      <c r="B1452" s="2" t="s">
        <v>6074</v>
      </c>
      <c r="C1452" s="2" t="s">
        <v>6654</v>
      </c>
      <c r="D1452" s="2" t="s">
        <v>1796</v>
      </c>
      <c r="E1452" s="2">
        <v>20</v>
      </c>
      <c r="H1452" s="2" t="s">
        <v>5667</v>
      </c>
      <c r="I1452" s="178"/>
    </row>
    <row r="1453" spans="1:9" ht="15.75" hidden="1" customHeight="1">
      <c r="A1453" s="2" t="s">
        <v>6024</v>
      </c>
      <c r="B1453" s="2" t="s">
        <v>6074</v>
      </c>
      <c r="C1453" s="2" t="s">
        <v>6655</v>
      </c>
      <c r="D1453" s="2" t="s">
        <v>1796</v>
      </c>
      <c r="E1453" s="2">
        <v>255</v>
      </c>
      <c r="H1453" s="2" t="s">
        <v>5667</v>
      </c>
      <c r="I1453" s="178"/>
    </row>
    <row r="1454" spans="1:9" ht="15.75" hidden="1" customHeight="1">
      <c r="A1454" s="2" t="s">
        <v>6024</v>
      </c>
      <c r="B1454" s="2" t="s">
        <v>6074</v>
      </c>
      <c r="C1454" s="2" t="s">
        <v>6656</v>
      </c>
      <c r="D1454" s="2" t="s">
        <v>1796</v>
      </c>
      <c r="E1454" s="2">
        <v>255</v>
      </c>
      <c r="H1454" s="2" t="s">
        <v>5667</v>
      </c>
      <c r="I1454" s="178"/>
    </row>
    <row r="1455" spans="1:9" ht="15.75" hidden="1" customHeight="1">
      <c r="A1455" s="2" t="s">
        <v>6024</v>
      </c>
      <c r="B1455" s="2" t="s">
        <v>6074</v>
      </c>
      <c r="C1455" s="2" t="s">
        <v>6657</v>
      </c>
      <c r="D1455" s="2" t="s">
        <v>1796</v>
      </c>
      <c r="E1455" s="2">
        <v>1</v>
      </c>
      <c r="H1455" s="2" t="s">
        <v>5667</v>
      </c>
      <c r="I1455" s="178"/>
    </row>
    <row r="1456" spans="1:9" ht="15.75" hidden="1" customHeight="1">
      <c r="A1456" s="2" t="s">
        <v>6024</v>
      </c>
      <c r="B1456" s="2" t="s">
        <v>6074</v>
      </c>
      <c r="C1456" s="2" t="s">
        <v>6658</v>
      </c>
      <c r="D1456" s="2" t="s">
        <v>1796</v>
      </c>
      <c r="E1456" s="2">
        <v>15</v>
      </c>
      <c r="H1456" s="2" t="s">
        <v>5667</v>
      </c>
      <c r="I1456" s="178"/>
    </row>
    <row r="1457" spans="1:9" ht="15.75" hidden="1" customHeight="1">
      <c r="A1457" s="2" t="s">
        <v>6024</v>
      </c>
      <c r="B1457" s="2" t="s">
        <v>6074</v>
      </c>
      <c r="C1457" s="2" t="s">
        <v>6659</v>
      </c>
      <c r="D1457" s="2" t="s">
        <v>1796</v>
      </c>
      <c r="E1457" s="2">
        <v>15</v>
      </c>
      <c r="H1457" s="2" t="s">
        <v>5667</v>
      </c>
      <c r="I1457" s="178"/>
    </row>
    <row r="1458" spans="1:9" ht="15.75" hidden="1" customHeight="1">
      <c r="A1458" s="2" t="s">
        <v>6024</v>
      </c>
      <c r="B1458" s="2" t="s">
        <v>6074</v>
      </c>
      <c r="C1458" s="2" t="s">
        <v>6209</v>
      </c>
      <c r="D1458" s="2" t="s">
        <v>800</v>
      </c>
      <c r="H1458" s="2" t="s">
        <v>5667</v>
      </c>
      <c r="I1458" s="178"/>
    </row>
    <row r="1459" spans="1:9" ht="15.75" hidden="1" customHeight="1">
      <c r="A1459" s="2" t="s">
        <v>6024</v>
      </c>
      <c r="B1459" s="2" t="s">
        <v>6074</v>
      </c>
      <c r="C1459" s="2" t="s">
        <v>6154</v>
      </c>
      <c r="D1459" s="2" t="s">
        <v>800</v>
      </c>
      <c r="H1459" s="2" t="s">
        <v>5667</v>
      </c>
      <c r="I1459" s="178"/>
    </row>
    <row r="1460" spans="1:9" ht="15.75" hidden="1" customHeight="1">
      <c r="A1460" s="2" t="s">
        <v>6024</v>
      </c>
      <c r="B1460" s="2" t="s">
        <v>6074</v>
      </c>
      <c r="C1460" s="2" t="s">
        <v>6660</v>
      </c>
      <c r="D1460" s="2" t="s">
        <v>800</v>
      </c>
      <c r="H1460" s="2" t="s">
        <v>5667</v>
      </c>
      <c r="I1460" s="178"/>
    </row>
    <row r="1461" spans="1:9" ht="15.75" hidden="1" customHeight="1">
      <c r="A1461" s="2" t="s">
        <v>6024</v>
      </c>
      <c r="B1461" s="2" t="s">
        <v>6074</v>
      </c>
      <c r="C1461" s="2" t="s">
        <v>6661</v>
      </c>
      <c r="D1461" s="2" t="s">
        <v>800</v>
      </c>
      <c r="H1461" s="2" t="s">
        <v>5667</v>
      </c>
      <c r="I1461" s="178"/>
    </row>
    <row r="1462" spans="1:9" ht="15.75" hidden="1" customHeight="1">
      <c r="A1462" s="2" t="s">
        <v>6024</v>
      </c>
      <c r="B1462" s="2" t="s">
        <v>6074</v>
      </c>
      <c r="C1462" s="2" t="s">
        <v>6662</v>
      </c>
      <c r="D1462" s="2" t="s">
        <v>1796</v>
      </c>
      <c r="E1462" s="2">
        <v>10</v>
      </c>
      <c r="H1462" s="2" t="s">
        <v>5667</v>
      </c>
      <c r="I1462" s="178"/>
    </row>
    <row r="1463" spans="1:9" ht="15.75" hidden="1" customHeight="1">
      <c r="A1463" s="2" t="s">
        <v>6024</v>
      </c>
      <c r="B1463" s="2" t="s">
        <v>6074</v>
      </c>
      <c r="C1463" s="178" t="s">
        <v>6663</v>
      </c>
      <c r="D1463" s="98" t="s">
        <v>481</v>
      </c>
      <c r="E1463" s="98">
        <v>17</v>
      </c>
      <c r="F1463" s="98">
        <v>38</v>
      </c>
      <c r="H1463" s="2" t="s">
        <v>5667</v>
      </c>
      <c r="I1463" s="178"/>
    </row>
    <row r="1464" spans="1:9" ht="15.75" hidden="1" customHeight="1">
      <c r="A1464" s="2" t="s">
        <v>6024</v>
      </c>
      <c r="B1464" s="2" t="s">
        <v>6074</v>
      </c>
      <c r="C1464" s="178" t="s">
        <v>6664</v>
      </c>
      <c r="D1464" s="98" t="s">
        <v>481</v>
      </c>
      <c r="E1464" s="98">
        <v>17</v>
      </c>
      <c r="F1464" s="98">
        <v>38</v>
      </c>
      <c r="H1464" s="2" t="s">
        <v>5667</v>
      </c>
      <c r="I1464" s="178"/>
    </row>
    <row r="1465" spans="1:9" ht="15.75" hidden="1" customHeight="1">
      <c r="A1465" s="2" t="s">
        <v>6024</v>
      </c>
      <c r="B1465" s="2" t="s">
        <v>6074</v>
      </c>
      <c r="C1465" s="178" t="s">
        <v>6665</v>
      </c>
      <c r="D1465" s="98" t="s">
        <v>1796</v>
      </c>
      <c r="E1465" s="98">
        <v>200</v>
      </c>
      <c r="H1465" s="2" t="s">
        <v>5667</v>
      </c>
      <c r="I1465" s="178"/>
    </row>
    <row r="1466" spans="1:9" ht="15.75" hidden="1" customHeight="1">
      <c r="A1466" s="2" t="s">
        <v>6024</v>
      </c>
      <c r="B1466" s="2" t="s">
        <v>6074</v>
      </c>
      <c r="C1466" s="2" t="s">
        <v>6112</v>
      </c>
      <c r="D1466" s="2" t="s">
        <v>800</v>
      </c>
      <c r="H1466" s="2" t="s">
        <v>5665</v>
      </c>
      <c r="I1466" s="178"/>
    </row>
    <row r="1467" spans="1:9" ht="15.75" hidden="1" customHeight="1">
      <c r="A1467" s="2" t="s">
        <v>6024</v>
      </c>
      <c r="B1467" s="2" t="s">
        <v>6074</v>
      </c>
      <c r="C1467" s="2" t="s">
        <v>6113</v>
      </c>
      <c r="D1467" s="2" t="s">
        <v>1796</v>
      </c>
      <c r="E1467" s="2">
        <v>100</v>
      </c>
      <c r="H1467" s="2" t="s">
        <v>5667</v>
      </c>
      <c r="I1467" s="178"/>
    </row>
    <row r="1468" spans="1:9" ht="15.75" hidden="1" customHeight="1">
      <c r="A1468" s="2" t="s">
        <v>6024</v>
      </c>
      <c r="B1468" s="2" t="s">
        <v>6074</v>
      </c>
      <c r="C1468" s="2" t="s">
        <v>6114</v>
      </c>
      <c r="D1468" s="2" t="s">
        <v>484</v>
      </c>
      <c r="F1468" s="2">
        <v>10</v>
      </c>
      <c r="G1468" s="2">
        <v>0</v>
      </c>
      <c r="H1468" s="2" t="s">
        <v>5667</v>
      </c>
      <c r="I1468" s="178"/>
    </row>
    <row r="1469" spans="1:9" ht="15.75" hidden="1" customHeight="1">
      <c r="A1469" s="2" t="s">
        <v>6024</v>
      </c>
      <c r="B1469" s="2" t="s">
        <v>6074</v>
      </c>
      <c r="C1469" s="2" t="s">
        <v>6027</v>
      </c>
      <c r="D1469" s="2" t="s">
        <v>800</v>
      </c>
      <c r="H1469" s="2" t="s">
        <v>5665</v>
      </c>
      <c r="I1469" s="178"/>
    </row>
    <row r="1470" spans="1:9" ht="15.75" hidden="1" customHeight="1">
      <c r="A1470" s="2" t="s">
        <v>6024</v>
      </c>
      <c r="B1470" s="2" t="s">
        <v>6074</v>
      </c>
      <c r="C1470" s="2" t="s">
        <v>6115</v>
      </c>
      <c r="D1470" s="2" t="s">
        <v>1796</v>
      </c>
      <c r="E1470" s="2">
        <v>100</v>
      </c>
      <c r="H1470" s="2" t="s">
        <v>5667</v>
      </c>
      <c r="I1470" s="178"/>
    </row>
    <row r="1471" spans="1:9" ht="15.75" hidden="1" customHeight="1">
      <c r="A1471" s="2" t="s">
        <v>6024</v>
      </c>
      <c r="B1471" s="2" t="s">
        <v>6074</v>
      </c>
      <c r="C1471" s="2" t="s">
        <v>6116</v>
      </c>
      <c r="D1471" s="2" t="s">
        <v>484</v>
      </c>
      <c r="F1471" s="2">
        <v>10</v>
      </c>
      <c r="G1471" s="2">
        <v>0</v>
      </c>
      <c r="H1471" s="2" t="s">
        <v>5667</v>
      </c>
      <c r="I1471" s="178"/>
    </row>
    <row r="1472" spans="1:9" ht="15.75" hidden="1" customHeight="1">
      <c r="A1472" s="2" t="s">
        <v>6024</v>
      </c>
      <c r="B1472" s="2" t="s">
        <v>6074</v>
      </c>
      <c r="C1472" s="2" t="s">
        <v>6117</v>
      </c>
      <c r="D1472" s="2" t="s">
        <v>1796</v>
      </c>
      <c r="E1472" s="2">
        <v>250</v>
      </c>
      <c r="H1472" s="2" t="s">
        <v>5667</v>
      </c>
      <c r="I1472" s="178"/>
    </row>
    <row r="1473" spans="1:9" ht="15.75" hidden="1" customHeight="1">
      <c r="A1473" s="2" t="s">
        <v>6024</v>
      </c>
      <c r="B1473" s="2" t="s">
        <v>6075</v>
      </c>
      <c r="C1473" s="2" t="s">
        <v>325</v>
      </c>
      <c r="D1473" s="2" t="s">
        <v>484</v>
      </c>
      <c r="F1473" s="2">
        <v>10</v>
      </c>
      <c r="G1473" s="2">
        <v>0</v>
      </c>
      <c r="H1473" s="2" t="s">
        <v>5665</v>
      </c>
      <c r="I1473" s="178"/>
    </row>
    <row r="1474" spans="1:9" ht="15.75" hidden="1" customHeight="1">
      <c r="A1474" s="2" t="s">
        <v>6024</v>
      </c>
      <c r="B1474" s="2" t="s">
        <v>6075</v>
      </c>
      <c r="C1474" s="2" t="s">
        <v>6090</v>
      </c>
      <c r="D1474" s="2" t="s">
        <v>6118</v>
      </c>
      <c r="H1474" s="2" t="s">
        <v>5665</v>
      </c>
      <c r="I1474" s="178"/>
    </row>
    <row r="1475" spans="1:9" ht="15.75" hidden="1" customHeight="1">
      <c r="A1475" s="2" t="s">
        <v>6024</v>
      </c>
      <c r="B1475" s="2" t="s">
        <v>6075</v>
      </c>
      <c r="C1475" s="2" t="s">
        <v>6092</v>
      </c>
      <c r="D1475" s="2" t="s">
        <v>1796</v>
      </c>
      <c r="E1475" s="2">
        <v>50</v>
      </c>
      <c r="H1475" s="2" t="s">
        <v>5665</v>
      </c>
      <c r="I1475" s="178"/>
    </row>
    <row r="1476" spans="1:9" ht="15.75" hidden="1" customHeight="1">
      <c r="A1476" s="2" t="s">
        <v>6024</v>
      </c>
      <c r="B1476" s="2" t="s">
        <v>6075</v>
      </c>
      <c r="C1476" s="2" t="s">
        <v>6093</v>
      </c>
      <c r="D1476" s="2" t="s">
        <v>484</v>
      </c>
      <c r="F1476" s="2">
        <v>10</v>
      </c>
      <c r="G1476" s="2">
        <v>0</v>
      </c>
      <c r="H1476" s="2" t="s">
        <v>5665</v>
      </c>
      <c r="I1476" s="178"/>
    </row>
    <row r="1477" spans="1:9" ht="15.75" hidden="1" customHeight="1">
      <c r="A1477" s="2" t="s">
        <v>6024</v>
      </c>
      <c r="B1477" s="2" t="s">
        <v>6075</v>
      </c>
      <c r="C1477" s="2" t="s">
        <v>6094</v>
      </c>
      <c r="D1477" s="2" t="s">
        <v>484</v>
      </c>
      <c r="F1477" s="2">
        <v>10</v>
      </c>
      <c r="G1477" s="2">
        <v>0</v>
      </c>
      <c r="H1477" s="2" t="s">
        <v>5665</v>
      </c>
      <c r="I1477" s="178"/>
    </row>
    <row r="1478" spans="1:9" ht="15.75" hidden="1" customHeight="1">
      <c r="A1478" s="2" t="s">
        <v>6024</v>
      </c>
      <c r="B1478" s="2" t="s">
        <v>6075</v>
      </c>
      <c r="C1478" s="2" t="s">
        <v>6095</v>
      </c>
      <c r="D1478" s="2" t="s">
        <v>1796</v>
      </c>
      <c r="E1478" s="2">
        <v>50</v>
      </c>
      <c r="H1478" s="2" t="s">
        <v>5667</v>
      </c>
      <c r="I1478" s="178"/>
    </row>
    <row r="1479" spans="1:9" ht="15.75" hidden="1" customHeight="1">
      <c r="A1479" s="2" t="s">
        <v>6024</v>
      </c>
      <c r="B1479" s="2" t="s">
        <v>6075</v>
      </c>
      <c r="C1479" s="2" t="s">
        <v>4306</v>
      </c>
      <c r="D1479" s="2" t="s">
        <v>1796</v>
      </c>
      <c r="E1479" s="2">
        <v>250</v>
      </c>
      <c r="H1479" s="2" t="s">
        <v>5667</v>
      </c>
      <c r="I1479" s="178"/>
    </row>
    <row r="1480" spans="1:9" ht="15.75" hidden="1" customHeight="1">
      <c r="A1480" s="2" t="s">
        <v>6024</v>
      </c>
      <c r="B1480" s="2" t="s">
        <v>6075</v>
      </c>
      <c r="C1480" s="2" t="s">
        <v>4246</v>
      </c>
      <c r="D1480" s="2" t="s">
        <v>1796</v>
      </c>
      <c r="E1480" s="2">
        <v>250</v>
      </c>
      <c r="H1480" s="2" t="s">
        <v>5665</v>
      </c>
      <c r="I1480" s="178"/>
    </row>
    <row r="1481" spans="1:9" ht="15.75" hidden="1" customHeight="1">
      <c r="A1481" s="2" t="s">
        <v>6024</v>
      </c>
      <c r="B1481" s="2" t="s">
        <v>6075</v>
      </c>
      <c r="C1481" s="2" t="s">
        <v>6096</v>
      </c>
      <c r="D1481" s="2" t="s">
        <v>484</v>
      </c>
      <c r="F1481" s="2">
        <v>10</v>
      </c>
      <c r="G1481" s="2">
        <v>0</v>
      </c>
      <c r="H1481" s="2" t="s">
        <v>5665</v>
      </c>
      <c r="I1481" s="178"/>
    </row>
    <row r="1482" spans="1:9" ht="15.75" hidden="1" customHeight="1">
      <c r="A1482" s="2" t="s">
        <v>6024</v>
      </c>
      <c r="B1482" s="2" t="s">
        <v>6075</v>
      </c>
      <c r="C1482" s="2" t="s">
        <v>6501</v>
      </c>
      <c r="D1482" s="2" t="s">
        <v>1796</v>
      </c>
      <c r="E1482" s="2">
        <v>4</v>
      </c>
      <c r="H1482" s="2" t="s">
        <v>5667</v>
      </c>
      <c r="I1482" s="178"/>
    </row>
    <row r="1483" spans="1:9" ht="15.75" hidden="1" customHeight="1">
      <c r="A1483" s="2" t="s">
        <v>6024</v>
      </c>
      <c r="B1483" s="2" t="s">
        <v>6075</v>
      </c>
      <c r="C1483" s="2" t="s">
        <v>6502</v>
      </c>
      <c r="D1483" s="2" t="s">
        <v>1796</v>
      </c>
      <c r="E1483" s="2">
        <v>3</v>
      </c>
      <c r="H1483" s="2" t="s">
        <v>5667</v>
      </c>
      <c r="I1483" s="178"/>
    </row>
    <row r="1484" spans="1:9" ht="15.75" hidden="1" customHeight="1">
      <c r="A1484" s="2" t="s">
        <v>6024</v>
      </c>
      <c r="B1484" s="2" t="s">
        <v>6075</v>
      </c>
      <c r="C1484" s="2" t="s">
        <v>6666</v>
      </c>
      <c r="D1484" s="2" t="s">
        <v>481</v>
      </c>
      <c r="F1484" s="2">
        <v>38</v>
      </c>
      <c r="G1484" s="2">
        <v>7</v>
      </c>
      <c r="H1484" s="2" t="s">
        <v>5667</v>
      </c>
      <c r="I1484" s="178"/>
    </row>
    <row r="1485" spans="1:9" ht="15.75" hidden="1" customHeight="1">
      <c r="A1485" s="2" t="s">
        <v>6024</v>
      </c>
      <c r="B1485" s="2" t="s">
        <v>6075</v>
      </c>
      <c r="C1485" s="178" t="s">
        <v>6667</v>
      </c>
      <c r="D1485" s="98" t="s">
        <v>481</v>
      </c>
      <c r="E1485" s="98">
        <v>17</v>
      </c>
      <c r="F1485" s="98">
        <v>38</v>
      </c>
      <c r="H1485" s="2" t="s">
        <v>5667</v>
      </c>
      <c r="I1485" s="178"/>
    </row>
    <row r="1486" spans="1:9" ht="15.75" hidden="1" customHeight="1">
      <c r="A1486" s="2" t="s">
        <v>6024</v>
      </c>
      <c r="B1486" s="2" t="s">
        <v>6075</v>
      </c>
      <c r="C1486" s="2" t="s">
        <v>6209</v>
      </c>
      <c r="D1486" s="2" t="s">
        <v>800</v>
      </c>
      <c r="H1486" s="2" t="s">
        <v>5667</v>
      </c>
      <c r="I1486" s="178"/>
    </row>
    <row r="1487" spans="1:9" ht="15.75" hidden="1" customHeight="1">
      <c r="A1487" s="2" t="s">
        <v>6024</v>
      </c>
      <c r="B1487" s="2" t="s">
        <v>6075</v>
      </c>
      <c r="C1487" s="98" t="s">
        <v>1770</v>
      </c>
      <c r="D1487" s="98" t="s">
        <v>481</v>
      </c>
      <c r="E1487" s="98" t="s">
        <v>6668</v>
      </c>
      <c r="F1487" s="98">
        <v>17</v>
      </c>
      <c r="G1487" s="98">
        <v>38</v>
      </c>
      <c r="H1487" s="2" t="s">
        <v>5667</v>
      </c>
      <c r="I1487" s="178"/>
    </row>
    <row r="1488" spans="1:9" ht="15.75" hidden="1" customHeight="1">
      <c r="A1488" s="2" t="s">
        <v>6024</v>
      </c>
      <c r="B1488" s="2" t="s">
        <v>6075</v>
      </c>
      <c r="C1488" s="98" t="s">
        <v>1787</v>
      </c>
      <c r="D1488" s="98" t="s">
        <v>1796</v>
      </c>
      <c r="E1488" s="98" t="s">
        <v>6668</v>
      </c>
      <c r="F1488" s="98">
        <v>200</v>
      </c>
      <c r="H1488" s="2" t="s">
        <v>5667</v>
      </c>
      <c r="I1488" s="178"/>
    </row>
    <row r="1489" spans="1:9" ht="15.75" hidden="1" customHeight="1">
      <c r="A1489" s="2" t="s">
        <v>6024</v>
      </c>
      <c r="B1489" s="2" t="s">
        <v>6075</v>
      </c>
      <c r="C1489" s="98" t="s">
        <v>6669</v>
      </c>
      <c r="D1489" s="98" t="s">
        <v>1796</v>
      </c>
      <c r="E1489" s="98" t="s">
        <v>6668</v>
      </c>
      <c r="F1489" s="98">
        <v>200</v>
      </c>
      <c r="H1489" s="2" t="s">
        <v>5667</v>
      </c>
      <c r="I1489" s="178"/>
    </row>
    <row r="1490" spans="1:9" ht="15.75" hidden="1" customHeight="1">
      <c r="A1490" s="2" t="s">
        <v>6024</v>
      </c>
      <c r="B1490" s="2" t="s">
        <v>6075</v>
      </c>
      <c r="C1490" s="98" t="s">
        <v>6670</v>
      </c>
      <c r="D1490" s="98" t="s">
        <v>481</v>
      </c>
      <c r="E1490" s="98" t="s">
        <v>6668</v>
      </c>
      <c r="F1490" s="98">
        <v>17</v>
      </c>
      <c r="G1490" s="98">
        <v>38</v>
      </c>
      <c r="H1490" s="2" t="s">
        <v>5667</v>
      </c>
      <c r="I1490" s="178"/>
    </row>
    <row r="1491" spans="1:9" ht="15.75" hidden="1" customHeight="1">
      <c r="A1491" s="2" t="s">
        <v>6024</v>
      </c>
      <c r="B1491" s="2" t="s">
        <v>6075</v>
      </c>
      <c r="C1491" s="98" t="s">
        <v>6671</v>
      </c>
      <c r="D1491" s="98" t="s">
        <v>1796</v>
      </c>
      <c r="E1491" s="98" t="s">
        <v>6668</v>
      </c>
      <c r="F1491" s="98">
        <v>200</v>
      </c>
      <c r="H1491" s="2" t="s">
        <v>5667</v>
      </c>
      <c r="I1491" s="178"/>
    </row>
    <row r="1492" spans="1:9" ht="15.75" hidden="1" customHeight="1">
      <c r="A1492" s="165" t="s">
        <v>6024</v>
      </c>
      <c r="B1492" s="165" t="s">
        <v>6075</v>
      </c>
      <c r="C1492" s="169" t="s">
        <v>6672</v>
      </c>
      <c r="D1492" s="169" t="s">
        <v>484</v>
      </c>
      <c r="E1492" s="165"/>
      <c r="F1492" s="169">
        <v>10</v>
      </c>
      <c r="G1492" s="169">
        <v>0</v>
      </c>
      <c r="H1492" s="169" t="s">
        <v>5667</v>
      </c>
      <c r="I1492" s="168" t="s">
        <v>2764</v>
      </c>
    </row>
    <row r="1493" spans="1:9" ht="15.75" hidden="1" customHeight="1">
      <c r="A1493" s="165" t="s">
        <v>6024</v>
      </c>
      <c r="B1493" s="165" t="s">
        <v>6075</v>
      </c>
      <c r="C1493" s="169" t="s">
        <v>6673</v>
      </c>
      <c r="D1493" s="169" t="s">
        <v>1796</v>
      </c>
      <c r="E1493" s="165"/>
      <c r="F1493" s="169">
        <v>100</v>
      </c>
      <c r="G1493" s="165"/>
      <c r="H1493" s="169" t="s">
        <v>5667</v>
      </c>
      <c r="I1493" s="164" t="s">
        <v>2764</v>
      </c>
    </row>
    <row r="1494" spans="1:9" ht="15.75" hidden="1" customHeight="1">
      <c r="A1494" s="165" t="s">
        <v>6024</v>
      </c>
      <c r="B1494" s="165" t="s">
        <v>6075</v>
      </c>
      <c r="C1494" s="169" t="s">
        <v>6674</v>
      </c>
      <c r="D1494" s="169" t="s">
        <v>1796</v>
      </c>
      <c r="E1494" s="165"/>
      <c r="F1494" s="169">
        <v>10</v>
      </c>
      <c r="G1494" s="165"/>
      <c r="H1494" s="169" t="s">
        <v>5667</v>
      </c>
      <c r="I1494" s="164" t="s">
        <v>2764</v>
      </c>
    </row>
    <row r="1495" spans="1:9" ht="15.75" hidden="1" customHeight="1">
      <c r="A1495" s="165" t="s">
        <v>6024</v>
      </c>
      <c r="B1495" s="165" t="s">
        <v>6075</v>
      </c>
      <c r="C1495" s="169" t="s">
        <v>6675</v>
      </c>
      <c r="D1495" s="169" t="s">
        <v>1796</v>
      </c>
      <c r="E1495" s="165"/>
      <c r="F1495" s="169">
        <v>10</v>
      </c>
      <c r="G1495" s="165"/>
      <c r="H1495" s="169" t="s">
        <v>5667</v>
      </c>
      <c r="I1495" s="164" t="s">
        <v>2764</v>
      </c>
    </row>
    <row r="1496" spans="1:9" ht="15.75" hidden="1" customHeight="1">
      <c r="A1496" s="2" t="s">
        <v>6024</v>
      </c>
      <c r="B1496" s="2" t="s">
        <v>6075</v>
      </c>
      <c r="C1496" s="2" t="s">
        <v>6112</v>
      </c>
      <c r="D1496" s="2" t="s">
        <v>800</v>
      </c>
      <c r="H1496" s="2" t="s">
        <v>5665</v>
      </c>
      <c r="I1496" s="178"/>
    </row>
    <row r="1497" spans="1:9" ht="15.75" hidden="1" customHeight="1">
      <c r="A1497" s="2" t="s">
        <v>6024</v>
      </c>
      <c r="B1497" s="2" t="s">
        <v>6075</v>
      </c>
      <c r="C1497" s="2" t="s">
        <v>6113</v>
      </c>
      <c r="D1497" s="2" t="s">
        <v>1796</v>
      </c>
      <c r="E1497" s="2">
        <v>100</v>
      </c>
      <c r="H1497" s="2" t="s">
        <v>5667</v>
      </c>
      <c r="I1497" s="178"/>
    </row>
    <row r="1498" spans="1:9" ht="15.75" hidden="1" customHeight="1">
      <c r="A1498" s="2" t="s">
        <v>6024</v>
      </c>
      <c r="B1498" s="2" t="s">
        <v>6075</v>
      </c>
      <c r="C1498" s="2" t="s">
        <v>6114</v>
      </c>
      <c r="D1498" s="2" t="s">
        <v>484</v>
      </c>
      <c r="F1498" s="2">
        <v>10</v>
      </c>
      <c r="G1498" s="2">
        <v>0</v>
      </c>
      <c r="H1498" s="2" t="s">
        <v>5667</v>
      </c>
      <c r="I1498" s="178"/>
    </row>
    <row r="1499" spans="1:9" ht="15.75" hidden="1" customHeight="1">
      <c r="A1499" s="2" t="s">
        <v>6024</v>
      </c>
      <c r="B1499" s="2" t="s">
        <v>6075</v>
      </c>
      <c r="C1499" s="2" t="s">
        <v>6027</v>
      </c>
      <c r="D1499" s="2" t="s">
        <v>800</v>
      </c>
      <c r="H1499" s="2" t="s">
        <v>5665</v>
      </c>
      <c r="I1499" s="178"/>
    </row>
    <row r="1500" spans="1:9" ht="15.75" hidden="1" customHeight="1">
      <c r="A1500" s="2" t="s">
        <v>6024</v>
      </c>
      <c r="B1500" s="2" t="s">
        <v>6075</v>
      </c>
      <c r="C1500" s="2" t="s">
        <v>6115</v>
      </c>
      <c r="D1500" s="2" t="s">
        <v>1796</v>
      </c>
      <c r="E1500" s="2">
        <v>100</v>
      </c>
      <c r="H1500" s="2" t="s">
        <v>5667</v>
      </c>
      <c r="I1500" s="178"/>
    </row>
    <row r="1501" spans="1:9" ht="15.75" hidden="1" customHeight="1">
      <c r="A1501" s="2" t="s">
        <v>6024</v>
      </c>
      <c r="B1501" s="2" t="s">
        <v>6075</v>
      </c>
      <c r="C1501" s="2" t="s">
        <v>6116</v>
      </c>
      <c r="D1501" s="2" t="s">
        <v>484</v>
      </c>
      <c r="F1501" s="2">
        <v>10</v>
      </c>
      <c r="G1501" s="2">
        <v>0</v>
      </c>
      <c r="H1501" s="2" t="s">
        <v>5667</v>
      </c>
      <c r="I1501" s="178"/>
    </row>
    <row r="1502" spans="1:9" ht="15.75" hidden="1" customHeight="1">
      <c r="A1502" s="2" t="s">
        <v>6024</v>
      </c>
      <c r="B1502" s="2" t="s">
        <v>6075</v>
      </c>
      <c r="C1502" s="2" t="s">
        <v>6117</v>
      </c>
      <c r="D1502" s="2" t="s">
        <v>1796</v>
      </c>
      <c r="E1502" s="2">
        <v>250</v>
      </c>
      <c r="H1502" s="2" t="s">
        <v>5667</v>
      </c>
      <c r="I1502" s="178"/>
    </row>
    <row r="1503" spans="1:9" ht="15.75" hidden="1" customHeight="1">
      <c r="A1503" s="2" t="s">
        <v>6024</v>
      </c>
      <c r="B1503" s="241" t="s">
        <v>6077</v>
      </c>
      <c r="C1503" s="98" t="s">
        <v>325</v>
      </c>
      <c r="D1503" s="98" t="s">
        <v>484</v>
      </c>
      <c r="E1503" s="98">
        <v>4</v>
      </c>
      <c r="F1503" s="98">
        <v>10</v>
      </c>
      <c r="G1503" s="98">
        <v>0</v>
      </c>
      <c r="H1503" s="2" t="s">
        <v>5665</v>
      </c>
    </row>
    <row r="1504" spans="1:9" ht="15.75" hidden="1" customHeight="1">
      <c r="A1504" s="2" t="s">
        <v>6024</v>
      </c>
      <c r="B1504" s="241" t="s">
        <v>6077</v>
      </c>
      <c r="C1504" s="98" t="s">
        <v>6090</v>
      </c>
      <c r="D1504" s="98" t="s">
        <v>6118</v>
      </c>
      <c r="E1504" s="98">
        <v>16</v>
      </c>
      <c r="H1504" s="2" t="s">
        <v>5665</v>
      </c>
    </row>
    <row r="1505" spans="1:8" ht="15.75" hidden="1" customHeight="1">
      <c r="A1505" s="2" t="s">
        <v>6024</v>
      </c>
      <c r="B1505" s="241" t="s">
        <v>6077</v>
      </c>
      <c r="C1505" s="98" t="s">
        <v>6092</v>
      </c>
      <c r="D1505" s="98" t="s">
        <v>1796</v>
      </c>
      <c r="E1505" s="98">
        <v>100</v>
      </c>
      <c r="H1505" s="2" t="s">
        <v>5665</v>
      </c>
    </row>
    <row r="1506" spans="1:8" ht="15.75" hidden="1" customHeight="1">
      <c r="A1506" s="2" t="s">
        <v>6024</v>
      </c>
      <c r="B1506" s="241" t="s">
        <v>6077</v>
      </c>
      <c r="C1506" s="98" t="s">
        <v>6093</v>
      </c>
      <c r="D1506" s="98" t="s">
        <v>484</v>
      </c>
      <c r="E1506" s="98">
        <v>4</v>
      </c>
      <c r="F1506" s="98">
        <v>10</v>
      </c>
      <c r="G1506" s="98">
        <v>0</v>
      </c>
      <c r="H1506" s="2" t="s">
        <v>5665</v>
      </c>
    </row>
    <row r="1507" spans="1:8" ht="15.75" hidden="1" customHeight="1">
      <c r="A1507" s="2" t="s">
        <v>6024</v>
      </c>
      <c r="B1507" s="241" t="s">
        <v>6077</v>
      </c>
      <c r="C1507" s="98" t="s">
        <v>6094</v>
      </c>
      <c r="D1507" s="98" t="s">
        <v>484</v>
      </c>
      <c r="E1507" s="98">
        <v>4</v>
      </c>
      <c r="F1507" s="98">
        <v>10</v>
      </c>
      <c r="G1507" s="98">
        <v>0</v>
      </c>
      <c r="H1507" s="2" t="s">
        <v>5665</v>
      </c>
    </row>
    <row r="1508" spans="1:8" ht="15.75" hidden="1" customHeight="1">
      <c r="A1508" s="2" t="s">
        <v>6024</v>
      </c>
      <c r="B1508" s="241" t="s">
        <v>6077</v>
      </c>
      <c r="C1508" s="98" t="s">
        <v>6095</v>
      </c>
      <c r="D1508" s="98" t="s">
        <v>1796</v>
      </c>
      <c r="E1508" s="98">
        <v>100</v>
      </c>
      <c r="H1508" s="2" t="s">
        <v>5667</v>
      </c>
    </row>
    <row r="1509" spans="1:8" ht="15.75" hidden="1" customHeight="1">
      <c r="A1509" s="2" t="s">
        <v>6024</v>
      </c>
      <c r="B1509" s="241" t="s">
        <v>6077</v>
      </c>
      <c r="C1509" s="98" t="s">
        <v>4306</v>
      </c>
      <c r="D1509" s="98" t="s">
        <v>1796</v>
      </c>
      <c r="E1509" s="98">
        <v>500</v>
      </c>
      <c r="H1509" s="2" t="s">
        <v>5667</v>
      </c>
    </row>
    <row r="1510" spans="1:8" ht="15.75" hidden="1" customHeight="1">
      <c r="A1510" s="2" t="s">
        <v>6024</v>
      </c>
      <c r="B1510" s="241" t="s">
        <v>6077</v>
      </c>
      <c r="C1510" s="98" t="s">
        <v>4246</v>
      </c>
      <c r="D1510" s="98" t="s">
        <v>1796</v>
      </c>
      <c r="E1510" s="98">
        <v>500</v>
      </c>
      <c r="H1510" s="2" t="s">
        <v>5665</v>
      </c>
    </row>
    <row r="1511" spans="1:8" ht="15.75" hidden="1" customHeight="1">
      <c r="A1511" s="2" t="s">
        <v>6024</v>
      </c>
      <c r="B1511" s="241" t="s">
        <v>6077</v>
      </c>
      <c r="C1511" s="98" t="s">
        <v>6096</v>
      </c>
      <c r="D1511" s="98" t="s">
        <v>484</v>
      </c>
      <c r="E1511" s="98">
        <v>4</v>
      </c>
      <c r="F1511" s="98">
        <v>10</v>
      </c>
      <c r="G1511" s="98">
        <v>0</v>
      </c>
      <c r="H1511" s="2" t="s">
        <v>5665</v>
      </c>
    </row>
    <row r="1512" spans="1:8" ht="15.75" hidden="1" customHeight="1">
      <c r="A1512" s="2" t="s">
        <v>6024</v>
      </c>
      <c r="B1512" s="241" t="s">
        <v>6077</v>
      </c>
      <c r="C1512" s="98" t="s">
        <v>6501</v>
      </c>
      <c r="D1512" s="98" t="s">
        <v>481</v>
      </c>
      <c r="E1512" s="98">
        <v>17</v>
      </c>
      <c r="F1512" s="98">
        <v>38</v>
      </c>
      <c r="G1512" s="98">
        <v>0</v>
      </c>
      <c r="H1512" s="2" t="s">
        <v>5667</v>
      </c>
    </row>
    <row r="1513" spans="1:8" ht="15.75" hidden="1" customHeight="1">
      <c r="A1513" s="2" t="s">
        <v>6024</v>
      </c>
      <c r="B1513" s="241" t="s">
        <v>6077</v>
      </c>
      <c r="C1513" s="98" t="s">
        <v>6502</v>
      </c>
      <c r="D1513" s="98" t="s">
        <v>481</v>
      </c>
      <c r="E1513" s="98">
        <v>17</v>
      </c>
      <c r="F1513" s="98">
        <v>38</v>
      </c>
      <c r="G1513" s="98">
        <v>0</v>
      </c>
      <c r="H1513" s="2" t="s">
        <v>5667</v>
      </c>
    </row>
    <row r="1514" spans="1:8" ht="15.75" hidden="1" customHeight="1">
      <c r="A1514" s="2" t="s">
        <v>6024</v>
      </c>
      <c r="B1514" s="241" t="s">
        <v>6077</v>
      </c>
      <c r="C1514" s="98" t="s">
        <v>1787</v>
      </c>
      <c r="D1514" s="98" t="s">
        <v>1796</v>
      </c>
      <c r="E1514" s="98">
        <v>200</v>
      </c>
      <c r="H1514" s="2" t="s">
        <v>5667</v>
      </c>
    </row>
    <row r="1515" spans="1:8" ht="15.75" hidden="1" customHeight="1">
      <c r="A1515" s="2" t="s">
        <v>6024</v>
      </c>
      <c r="B1515" s="241" t="s">
        <v>6077</v>
      </c>
      <c r="C1515" s="98" t="s">
        <v>6676</v>
      </c>
      <c r="D1515" s="98" t="s">
        <v>481</v>
      </c>
      <c r="E1515" s="98">
        <v>17</v>
      </c>
      <c r="F1515" s="98">
        <v>38</v>
      </c>
      <c r="G1515" s="98">
        <v>0</v>
      </c>
      <c r="H1515" s="2" t="s">
        <v>5667</v>
      </c>
    </row>
    <row r="1516" spans="1:8" ht="15.75" hidden="1" customHeight="1">
      <c r="A1516" s="2" t="s">
        <v>6024</v>
      </c>
      <c r="B1516" s="241" t="s">
        <v>6077</v>
      </c>
      <c r="C1516" s="98" t="s">
        <v>6677</v>
      </c>
      <c r="D1516" s="98" t="s">
        <v>1796</v>
      </c>
      <c r="E1516" s="98">
        <v>200</v>
      </c>
      <c r="H1516" s="2" t="s">
        <v>5667</v>
      </c>
    </row>
    <row r="1517" spans="1:8" ht="15.75" hidden="1" customHeight="1">
      <c r="A1517" s="2" t="s">
        <v>6024</v>
      </c>
      <c r="B1517" s="241" t="s">
        <v>6077</v>
      </c>
      <c r="C1517" s="98" t="s">
        <v>6674</v>
      </c>
      <c r="D1517" s="98" t="s">
        <v>1796</v>
      </c>
      <c r="E1517" s="98">
        <v>200</v>
      </c>
      <c r="H1517" s="2" t="s">
        <v>5667</v>
      </c>
    </row>
    <row r="1518" spans="1:8" ht="15.75" hidden="1" customHeight="1">
      <c r="A1518" s="2" t="s">
        <v>6024</v>
      </c>
      <c r="B1518" s="241" t="s">
        <v>6077</v>
      </c>
      <c r="C1518" s="98" t="s">
        <v>1770</v>
      </c>
      <c r="D1518" s="98" t="s">
        <v>481</v>
      </c>
      <c r="E1518" s="98">
        <v>17</v>
      </c>
      <c r="F1518" s="98">
        <v>38</v>
      </c>
      <c r="G1518" s="98">
        <v>0</v>
      </c>
      <c r="H1518" s="2" t="s">
        <v>5667</v>
      </c>
    </row>
    <row r="1519" spans="1:8" ht="15.75" hidden="1" customHeight="1">
      <c r="A1519" s="2" t="s">
        <v>6024</v>
      </c>
      <c r="B1519" s="241" t="s">
        <v>6077</v>
      </c>
      <c r="C1519" s="98" t="s">
        <v>6678</v>
      </c>
      <c r="D1519" s="98" t="s">
        <v>481</v>
      </c>
      <c r="E1519" s="98">
        <v>17</v>
      </c>
      <c r="F1519" s="98">
        <v>38</v>
      </c>
      <c r="G1519" s="98">
        <v>2</v>
      </c>
      <c r="H1519" s="2" t="s">
        <v>5667</v>
      </c>
    </row>
    <row r="1520" spans="1:8" ht="15.75" hidden="1" customHeight="1">
      <c r="A1520" s="2" t="s">
        <v>6024</v>
      </c>
      <c r="B1520" s="241" t="s">
        <v>6077</v>
      </c>
      <c r="C1520" s="98" t="s">
        <v>6679</v>
      </c>
      <c r="D1520" s="98" t="s">
        <v>481</v>
      </c>
      <c r="E1520" s="98">
        <v>17</v>
      </c>
      <c r="F1520" s="98">
        <v>38</v>
      </c>
      <c r="G1520" s="98">
        <v>2</v>
      </c>
      <c r="H1520" s="2" t="s">
        <v>5667</v>
      </c>
    </row>
    <row r="1521" spans="1:8" ht="15.75" hidden="1" customHeight="1">
      <c r="A1521" s="2" t="s">
        <v>6024</v>
      </c>
      <c r="B1521" s="241" t="s">
        <v>6077</v>
      </c>
      <c r="C1521" s="98" t="s">
        <v>6680</v>
      </c>
      <c r="D1521" s="98" t="s">
        <v>481</v>
      </c>
      <c r="E1521" s="98">
        <v>17</v>
      </c>
      <c r="F1521" s="98">
        <v>38</v>
      </c>
      <c r="G1521" s="98">
        <v>2</v>
      </c>
      <c r="H1521" s="2" t="s">
        <v>5667</v>
      </c>
    </row>
    <row r="1522" spans="1:8" ht="15.75" hidden="1" customHeight="1">
      <c r="A1522" s="2" t="s">
        <v>6024</v>
      </c>
      <c r="B1522" s="241" t="s">
        <v>6077</v>
      </c>
      <c r="C1522" s="98" t="s">
        <v>6681</v>
      </c>
      <c r="D1522" s="98" t="s">
        <v>481</v>
      </c>
      <c r="E1522" s="98">
        <v>17</v>
      </c>
      <c r="F1522" s="98">
        <v>38</v>
      </c>
      <c r="G1522" s="98">
        <v>2</v>
      </c>
      <c r="H1522" s="2" t="s">
        <v>5667</v>
      </c>
    </row>
    <row r="1523" spans="1:8" ht="15.75" hidden="1" customHeight="1">
      <c r="A1523" s="2" t="s">
        <v>6024</v>
      </c>
      <c r="B1523" s="241" t="s">
        <v>6077</v>
      </c>
      <c r="C1523" s="98" t="s">
        <v>6682</v>
      </c>
      <c r="D1523" s="98" t="s">
        <v>481</v>
      </c>
      <c r="E1523" s="98">
        <v>17</v>
      </c>
      <c r="F1523" s="98">
        <v>38</v>
      </c>
      <c r="G1523" s="98">
        <v>2</v>
      </c>
      <c r="H1523" s="2" t="s">
        <v>5667</v>
      </c>
    </row>
    <row r="1524" spans="1:8" ht="15.75" hidden="1" customHeight="1">
      <c r="A1524" s="2" t="s">
        <v>6024</v>
      </c>
      <c r="B1524" s="241" t="s">
        <v>6077</v>
      </c>
      <c r="C1524" s="98" t="s">
        <v>6671</v>
      </c>
      <c r="D1524" s="98" t="s">
        <v>1796</v>
      </c>
      <c r="E1524" s="98">
        <v>200</v>
      </c>
      <c r="H1524" s="2" t="s">
        <v>5667</v>
      </c>
    </row>
    <row r="1525" spans="1:8" ht="15.75" hidden="1" customHeight="1">
      <c r="A1525" s="2" t="s">
        <v>6024</v>
      </c>
      <c r="B1525" s="241" t="s">
        <v>6077</v>
      </c>
      <c r="C1525" s="98" t="s">
        <v>6112</v>
      </c>
      <c r="D1525" s="98" t="s">
        <v>800</v>
      </c>
      <c r="E1525" s="98">
        <v>7</v>
      </c>
      <c r="F1525" s="98">
        <v>23</v>
      </c>
      <c r="G1525" s="98">
        <v>3</v>
      </c>
      <c r="H1525" s="2" t="s">
        <v>5665</v>
      </c>
    </row>
    <row r="1526" spans="1:8" ht="15.75" hidden="1" customHeight="1">
      <c r="A1526" s="2" t="s">
        <v>6024</v>
      </c>
      <c r="B1526" s="241" t="s">
        <v>6077</v>
      </c>
      <c r="C1526" s="98" t="s">
        <v>6113</v>
      </c>
      <c r="D1526" s="98" t="s">
        <v>1796</v>
      </c>
      <c r="E1526" s="98">
        <v>200</v>
      </c>
      <c r="H1526" s="2" t="s">
        <v>5667</v>
      </c>
    </row>
    <row r="1527" spans="1:8" ht="15.75" hidden="1" customHeight="1">
      <c r="A1527" s="2" t="s">
        <v>6024</v>
      </c>
      <c r="B1527" s="241" t="s">
        <v>6077</v>
      </c>
      <c r="C1527" s="98" t="s">
        <v>6114</v>
      </c>
      <c r="D1527" s="98" t="s">
        <v>484</v>
      </c>
      <c r="E1527" s="98">
        <v>4</v>
      </c>
      <c r="F1527" s="98">
        <v>10</v>
      </c>
      <c r="G1527" s="98">
        <v>0</v>
      </c>
      <c r="H1527" s="2" t="s">
        <v>5667</v>
      </c>
    </row>
    <row r="1528" spans="1:8" ht="15.75" hidden="1" customHeight="1">
      <c r="A1528" s="2" t="s">
        <v>6024</v>
      </c>
      <c r="B1528" s="241" t="s">
        <v>6077</v>
      </c>
      <c r="C1528" s="98" t="s">
        <v>6027</v>
      </c>
      <c r="D1528" s="98" t="s">
        <v>800</v>
      </c>
      <c r="E1528" s="98">
        <v>7</v>
      </c>
      <c r="F1528" s="98">
        <v>23</v>
      </c>
      <c r="G1528" s="98">
        <v>3</v>
      </c>
      <c r="H1528" s="2" t="s">
        <v>5665</v>
      </c>
    </row>
    <row r="1529" spans="1:8" ht="15.75" hidden="1" customHeight="1">
      <c r="A1529" s="2" t="s">
        <v>6024</v>
      </c>
      <c r="B1529" s="241" t="s">
        <v>6077</v>
      </c>
      <c r="C1529" s="98" t="s">
        <v>6115</v>
      </c>
      <c r="D1529" s="98" t="s">
        <v>1796</v>
      </c>
      <c r="E1529" s="98">
        <v>200</v>
      </c>
      <c r="H1529" s="2" t="s">
        <v>5667</v>
      </c>
    </row>
    <row r="1530" spans="1:8" ht="15.75" hidden="1" customHeight="1">
      <c r="A1530" s="2" t="s">
        <v>6024</v>
      </c>
      <c r="B1530" s="241" t="s">
        <v>6077</v>
      </c>
      <c r="C1530" s="98" t="s">
        <v>6116</v>
      </c>
      <c r="D1530" s="98" t="s">
        <v>484</v>
      </c>
      <c r="E1530" s="98">
        <v>4</v>
      </c>
      <c r="F1530" s="98">
        <v>10</v>
      </c>
      <c r="G1530" s="98">
        <v>0</v>
      </c>
      <c r="H1530" s="2" t="s">
        <v>5667</v>
      </c>
    </row>
    <row r="1531" spans="1:8" ht="15.75" hidden="1" customHeight="1">
      <c r="A1531" s="2" t="s">
        <v>6024</v>
      </c>
      <c r="B1531" s="241" t="s">
        <v>6077</v>
      </c>
      <c r="C1531" s="98" t="s">
        <v>6117</v>
      </c>
      <c r="D1531" s="98" t="s">
        <v>1796</v>
      </c>
      <c r="E1531" s="98">
        <v>500</v>
      </c>
      <c r="H1531" s="2" t="s">
        <v>5667</v>
      </c>
    </row>
    <row r="1532" spans="1:8" ht="15.75" hidden="1" customHeight="1">
      <c r="A1532" s="2" t="s">
        <v>6024</v>
      </c>
      <c r="B1532" s="98" t="s">
        <v>6078</v>
      </c>
      <c r="C1532" s="241" t="s">
        <v>325</v>
      </c>
      <c r="D1532" s="98" t="s">
        <v>484</v>
      </c>
      <c r="E1532" s="98">
        <v>4</v>
      </c>
      <c r="F1532" s="98">
        <v>10</v>
      </c>
      <c r="G1532" s="98">
        <v>0</v>
      </c>
      <c r="H1532" s="2" t="s">
        <v>5665</v>
      </c>
    </row>
    <row r="1533" spans="1:8" ht="15.75" hidden="1" customHeight="1">
      <c r="A1533" s="2" t="s">
        <v>6024</v>
      </c>
      <c r="B1533" s="98" t="s">
        <v>6078</v>
      </c>
      <c r="C1533" s="241" t="s">
        <v>6090</v>
      </c>
      <c r="D1533" s="98" t="s">
        <v>6118</v>
      </c>
      <c r="E1533" s="98">
        <v>16</v>
      </c>
      <c r="H1533" s="2" t="s">
        <v>5665</v>
      </c>
    </row>
    <row r="1534" spans="1:8" ht="15.75" hidden="1" customHeight="1">
      <c r="A1534" s="2" t="s">
        <v>6024</v>
      </c>
      <c r="B1534" s="98" t="s">
        <v>6078</v>
      </c>
      <c r="C1534" s="241" t="s">
        <v>6092</v>
      </c>
      <c r="D1534" s="98" t="s">
        <v>1796</v>
      </c>
      <c r="E1534" s="98">
        <v>100</v>
      </c>
      <c r="H1534" s="2" t="s">
        <v>5665</v>
      </c>
    </row>
    <row r="1535" spans="1:8" ht="15.75" hidden="1" customHeight="1">
      <c r="A1535" s="2" t="s">
        <v>6024</v>
      </c>
      <c r="B1535" s="98" t="s">
        <v>6078</v>
      </c>
      <c r="C1535" s="241" t="s">
        <v>6093</v>
      </c>
      <c r="D1535" s="98" t="s">
        <v>484</v>
      </c>
      <c r="E1535" s="98">
        <v>4</v>
      </c>
      <c r="F1535" s="98">
        <v>10</v>
      </c>
      <c r="G1535" s="98">
        <v>0</v>
      </c>
      <c r="H1535" s="2" t="s">
        <v>5665</v>
      </c>
    </row>
    <row r="1536" spans="1:8" ht="15.75" hidden="1" customHeight="1">
      <c r="A1536" s="2" t="s">
        <v>6024</v>
      </c>
      <c r="B1536" s="98" t="s">
        <v>6078</v>
      </c>
      <c r="C1536" s="241" t="s">
        <v>6094</v>
      </c>
      <c r="D1536" s="98" t="s">
        <v>484</v>
      </c>
      <c r="E1536" s="98">
        <v>4</v>
      </c>
      <c r="F1536" s="98">
        <v>10</v>
      </c>
      <c r="G1536" s="98">
        <v>0</v>
      </c>
      <c r="H1536" s="2" t="s">
        <v>5665</v>
      </c>
    </row>
    <row r="1537" spans="1:8" ht="15.75" hidden="1" customHeight="1">
      <c r="A1537" s="2" t="s">
        <v>6024</v>
      </c>
      <c r="B1537" s="98" t="s">
        <v>6078</v>
      </c>
      <c r="C1537" s="241" t="s">
        <v>6095</v>
      </c>
      <c r="D1537" s="98" t="s">
        <v>1796</v>
      </c>
      <c r="E1537" s="98">
        <v>100</v>
      </c>
      <c r="H1537" s="2" t="s">
        <v>5667</v>
      </c>
    </row>
    <row r="1538" spans="1:8" ht="15.75" hidden="1" customHeight="1">
      <c r="A1538" s="2" t="s">
        <v>6024</v>
      </c>
      <c r="B1538" s="98" t="s">
        <v>6078</v>
      </c>
      <c r="C1538" s="241" t="s">
        <v>4306</v>
      </c>
      <c r="D1538" s="98" t="s">
        <v>1796</v>
      </c>
      <c r="E1538" s="98">
        <v>500</v>
      </c>
      <c r="H1538" s="2" t="s">
        <v>5667</v>
      </c>
    </row>
    <row r="1539" spans="1:8" ht="15.75" hidden="1" customHeight="1">
      <c r="A1539" s="2" t="s">
        <v>6024</v>
      </c>
      <c r="B1539" s="98" t="s">
        <v>6078</v>
      </c>
      <c r="C1539" s="241" t="s">
        <v>4246</v>
      </c>
      <c r="D1539" s="98" t="s">
        <v>1796</v>
      </c>
      <c r="E1539" s="98">
        <v>500</v>
      </c>
      <c r="H1539" s="2" t="s">
        <v>5665</v>
      </c>
    </row>
    <row r="1540" spans="1:8" ht="15.75" hidden="1" customHeight="1">
      <c r="A1540" s="2" t="s">
        <v>6024</v>
      </c>
      <c r="B1540" s="98" t="s">
        <v>6078</v>
      </c>
      <c r="C1540" s="241" t="s">
        <v>6096</v>
      </c>
      <c r="D1540" s="98" t="s">
        <v>484</v>
      </c>
      <c r="E1540" s="98">
        <v>4</v>
      </c>
      <c r="F1540" s="98">
        <v>10</v>
      </c>
      <c r="G1540" s="98">
        <v>0</v>
      </c>
      <c r="H1540" s="2" t="s">
        <v>5665</v>
      </c>
    </row>
    <row r="1541" spans="1:8" ht="15.75" hidden="1" customHeight="1">
      <c r="A1541" s="2" t="s">
        <v>6024</v>
      </c>
      <c r="B1541" s="98" t="s">
        <v>6078</v>
      </c>
      <c r="C1541" s="241" t="s">
        <v>6556</v>
      </c>
      <c r="D1541" s="98" t="s">
        <v>1796</v>
      </c>
      <c r="E1541" s="98">
        <v>200</v>
      </c>
      <c r="H1541" s="2" t="s">
        <v>5667</v>
      </c>
    </row>
    <row r="1542" spans="1:8" ht="15.75" hidden="1" customHeight="1">
      <c r="A1542" s="2" t="s">
        <v>6024</v>
      </c>
      <c r="B1542" s="98" t="s">
        <v>6078</v>
      </c>
      <c r="C1542" s="241" t="s">
        <v>6492</v>
      </c>
      <c r="D1542" s="98" t="s">
        <v>1796</v>
      </c>
      <c r="E1542" s="98">
        <v>200</v>
      </c>
      <c r="H1542" s="2" t="s">
        <v>5667</v>
      </c>
    </row>
    <row r="1543" spans="1:8" ht="15.75" hidden="1" customHeight="1">
      <c r="A1543" s="2" t="s">
        <v>6024</v>
      </c>
      <c r="B1543" s="98" t="s">
        <v>6078</v>
      </c>
      <c r="C1543" s="241" t="s">
        <v>1770</v>
      </c>
      <c r="D1543" s="98" t="s">
        <v>481</v>
      </c>
      <c r="E1543" s="98">
        <v>17</v>
      </c>
      <c r="F1543" s="98">
        <v>38</v>
      </c>
      <c r="G1543" s="98">
        <v>0</v>
      </c>
      <c r="H1543" s="2" t="s">
        <v>5667</v>
      </c>
    </row>
    <row r="1544" spans="1:8" ht="15.75" hidden="1" customHeight="1">
      <c r="A1544" s="2" t="s">
        <v>6024</v>
      </c>
      <c r="B1544" s="98" t="s">
        <v>6078</v>
      </c>
      <c r="C1544" s="241" t="s">
        <v>6683</v>
      </c>
      <c r="D1544" s="98" t="s">
        <v>481</v>
      </c>
      <c r="E1544" s="98">
        <v>17</v>
      </c>
      <c r="F1544" s="98">
        <v>38</v>
      </c>
      <c r="G1544" s="98">
        <v>0</v>
      </c>
      <c r="H1544" s="2" t="s">
        <v>5667</v>
      </c>
    </row>
    <row r="1545" spans="1:8" ht="15.75" hidden="1" customHeight="1">
      <c r="A1545" s="2" t="s">
        <v>6024</v>
      </c>
      <c r="B1545" s="98" t="s">
        <v>6078</v>
      </c>
      <c r="C1545" s="241" t="s">
        <v>6488</v>
      </c>
      <c r="D1545" s="98" t="s">
        <v>1796</v>
      </c>
      <c r="E1545" s="98">
        <v>200</v>
      </c>
      <c r="H1545" s="2" t="s">
        <v>5667</v>
      </c>
    </row>
    <row r="1546" spans="1:8" ht="15.75" hidden="1" customHeight="1">
      <c r="A1546" s="2" t="s">
        <v>6024</v>
      </c>
      <c r="B1546" s="98" t="s">
        <v>6078</v>
      </c>
      <c r="C1546" s="241" t="s">
        <v>6684</v>
      </c>
      <c r="D1546" s="98" t="s">
        <v>481</v>
      </c>
      <c r="E1546" s="98">
        <v>17</v>
      </c>
      <c r="F1546" s="98">
        <v>38</v>
      </c>
      <c r="G1546" s="98">
        <v>2</v>
      </c>
      <c r="H1546" s="2" t="s">
        <v>5667</v>
      </c>
    </row>
    <row r="1547" spans="1:8" ht="15.75" hidden="1" customHeight="1">
      <c r="A1547" s="2" t="s">
        <v>6024</v>
      </c>
      <c r="B1547" s="98" t="s">
        <v>6078</v>
      </c>
      <c r="C1547" s="241" t="s">
        <v>6685</v>
      </c>
      <c r="D1547" s="98" t="s">
        <v>481</v>
      </c>
      <c r="E1547" s="98">
        <v>17</v>
      </c>
      <c r="F1547" s="98">
        <v>38</v>
      </c>
      <c r="G1547" s="98">
        <v>2</v>
      </c>
      <c r="H1547" s="2" t="s">
        <v>5667</v>
      </c>
    </row>
    <row r="1548" spans="1:8" ht="15.75" hidden="1" customHeight="1">
      <c r="A1548" s="2" t="s">
        <v>6024</v>
      </c>
      <c r="B1548" s="98" t="s">
        <v>6078</v>
      </c>
      <c r="C1548" s="241" t="s">
        <v>6686</v>
      </c>
      <c r="D1548" s="98" t="s">
        <v>481</v>
      </c>
      <c r="E1548" s="98">
        <v>17</v>
      </c>
      <c r="F1548" s="98">
        <v>38</v>
      </c>
      <c r="G1548" s="98">
        <v>2</v>
      </c>
      <c r="H1548" s="2" t="s">
        <v>5667</v>
      </c>
    </row>
    <row r="1549" spans="1:8" ht="15.75" hidden="1" customHeight="1">
      <c r="A1549" s="2" t="s">
        <v>6024</v>
      </c>
      <c r="B1549" s="98" t="s">
        <v>6078</v>
      </c>
      <c r="C1549" s="241" t="s">
        <v>6508</v>
      </c>
      <c r="D1549" s="98" t="s">
        <v>800</v>
      </c>
      <c r="E1549" s="98">
        <v>7</v>
      </c>
      <c r="F1549" s="98">
        <v>23</v>
      </c>
      <c r="G1549" s="98">
        <v>3</v>
      </c>
      <c r="H1549" s="2" t="s">
        <v>5667</v>
      </c>
    </row>
    <row r="1550" spans="1:8" ht="15.75" hidden="1" customHeight="1">
      <c r="A1550" s="2" t="s">
        <v>6024</v>
      </c>
      <c r="B1550" s="98" t="s">
        <v>6078</v>
      </c>
      <c r="C1550" s="241" t="s">
        <v>6509</v>
      </c>
      <c r="D1550" s="98" t="s">
        <v>800</v>
      </c>
      <c r="E1550" s="98">
        <v>7</v>
      </c>
      <c r="F1550" s="98">
        <v>23</v>
      </c>
      <c r="G1550" s="98">
        <v>3</v>
      </c>
      <c r="H1550" s="2" t="s">
        <v>5667</v>
      </c>
    </row>
    <row r="1551" spans="1:8" ht="15.75" hidden="1" customHeight="1">
      <c r="A1551" s="2" t="s">
        <v>6024</v>
      </c>
      <c r="B1551" s="98" t="s">
        <v>6078</v>
      </c>
      <c r="C1551" s="241" t="s">
        <v>6112</v>
      </c>
      <c r="D1551" s="98" t="s">
        <v>800</v>
      </c>
      <c r="E1551" s="98">
        <v>7</v>
      </c>
      <c r="F1551" s="98">
        <v>23</v>
      </c>
      <c r="G1551" s="98">
        <v>3</v>
      </c>
      <c r="H1551" s="2" t="s">
        <v>5665</v>
      </c>
    </row>
    <row r="1552" spans="1:8" ht="15.75" hidden="1" customHeight="1">
      <c r="A1552" s="2" t="s">
        <v>6024</v>
      </c>
      <c r="B1552" s="98" t="s">
        <v>6078</v>
      </c>
      <c r="C1552" s="241" t="s">
        <v>6113</v>
      </c>
      <c r="D1552" s="98" t="s">
        <v>1796</v>
      </c>
      <c r="E1552" s="98">
        <v>200</v>
      </c>
      <c r="H1552" s="2" t="s">
        <v>5667</v>
      </c>
    </row>
    <row r="1553" spans="1:8" ht="15.75" hidden="1" customHeight="1">
      <c r="A1553" s="2" t="s">
        <v>6024</v>
      </c>
      <c r="B1553" s="98" t="s">
        <v>6078</v>
      </c>
      <c r="C1553" s="241" t="s">
        <v>6114</v>
      </c>
      <c r="D1553" s="98" t="s">
        <v>484</v>
      </c>
      <c r="E1553" s="98">
        <v>4</v>
      </c>
      <c r="F1553" s="98">
        <v>10</v>
      </c>
      <c r="G1553" s="98">
        <v>0</v>
      </c>
      <c r="H1553" s="2" t="s">
        <v>5667</v>
      </c>
    </row>
    <row r="1554" spans="1:8" ht="15.75" hidden="1" customHeight="1">
      <c r="A1554" s="2" t="s">
        <v>6024</v>
      </c>
      <c r="B1554" s="98" t="s">
        <v>6078</v>
      </c>
      <c r="C1554" s="241" t="s">
        <v>6027</v>
      </c>
      <c r="D1554" s="98" t="s">
        <v>800</v>
      </c>
      <c r="E1554" s="98">
        <v>7</v>
      </c>
      <c r="F1554" s="98">
        <v>23</v>
      </c>
      <c r="G1554" s="98">
        <v>3</v>
      </c>
      <c r="H1554" s="2" t="s">
        <v>5665</v>
      </c>
    </row>
    <row r="1555" spans="1:8" ht="15.75" hidden="1" customHeight="1">
      <c r="A1555" s="2" t="s">
        <v>6024</v>
      </c>
      <c r="B1555" s="98" t="s">
        <v>6078</v>
      </c>
      <c r="C1555" s="241" t="s">
        <v>6115</v>
      </c>
      <c r="D1555" s="98" t="s">
        <v>1796</v>
      </c>
      <c r="E1555" s="98">
        <v>200</v>
      </c>
      <c r="H1555" s="2" t="s">
        <v>5667</v>
      </c>
    </row>
    <row r="1556" spans="1:8" ht="15.75" hidden="1" customHeight="1">
      <c r="A1556" s="2" t="s">
        <v>6024</v>
      </c>
      <c r="B1556" s="98" t="s">
        <v>6078</v>
      </c>
      <c r="C1556" s="241" t="s">
        <v>6116</v>
      </c>
      <c r="D1556" s="98" t="s">
        <v>484</v>
      </c>
      <c r="E1556" s="98">
        <v>4</v>
      </c>
      <c r="F1556" s="98">
        <v>10</v>
      </c>
      <c r="G1556" s="98">
        <v>0</v>
      </c>
      <c r="H1556" s="2" t="s">
        <v>5667</v>
      </c>
    </row>
    <row r="1557" spans="1:8" ht="15.75" hidden="1" customHeight="1">
      <c r="A1557" s="2" t="s">
        <v>6024</v>
      </c>
      <c r="B1557" s="98" t="s">
        <v>6078</v>
      </c>
      <c r="C1557" s="241" t="s">
        <v>6117</v>
      </c>
      <c r="D1557" s="98" t="s">
        <v>1796</v>
      </c>
      <c r="E1557" s="98">
        <v>500</v>
      </c>
      <c r="H1557" s="2" t="s">
        <v>5667</v>
      </c>
    </row>
    <row r="1558" spans="1:8" ht="15.75" hidden="1" customHeight="1">
      <c r="A1558" s="2" t="s">
        <v>6024</v>
      </c>
      <c r="B1558" s="98" t="s">
        <v>6079</v>
      </c>
      <c r="C1558" s="98" t="s">
        <v>325</v>
      </c>
      <c r="D1558" s="241" t="s">
        <v>484</v>
      </c>
      <c r="E1558" s="98">
        <v>4</v>
      </c>
      <c r="F1558" s="98">
        <v>10</v>
      </c>
      <c r="G1558" s="98">
        <v>0</v>
      </c>
      <c r="H1558" s="2" t="s">
        <v>5665</v>
      </c>
    </row>
    <row r="1559" spans="1:8" ht="15.75" hidden="1" customHeight="1">
      <c r="A1559" s="2" t="s">
        <v>6024</v>
      </c>
      <c r="B1559" s="98" t="s">
        <v>6079</v>
      </c>
      <c r="C1559" s="98" t="s">
        <v>6090</v>
      </c>
      <c r="D1559" s="241" t="s">
        <v>6118</v>
      </c>
      <c r="E1559" s="98">
        <v>16</v>
      </c>
      <c r="H1559" s="2" t="s">
        <v>5665</v>
      </c>
    </row>
    <row r="1560" spans="1:8" ht="15.75" hidden="1" customHeight="1">
      <c r="A1560" s="2" t="s">
        <v>6024</v>
      </c>
      <c r="B1560" s="98" t="s">
        <v>6079</v>
      </c>
      <c r="C1560" s="98" t="s">
        <v>6092</v>
      </c>
      <c r="D1560" s="241" t="s">
        <v>1796</v>
      </c>
      <c r="E1560" s="98">
        <v>100</v>
      </c>
      <c r="H1560" s="2" t="s">
        <v>5665</v>
      </c>
    </row>
    <row r="1561" spans="1:8" ht="15.75" hidden="1" customHeight="1">
      <c r="A1561" s="2" t="s">
        <v>6024</v>
      </c>
      <c r="B1561" s="98" t="s">
        <v>6079</v>
      </c>
      <c r="C1561" s="98" t="s">
        <v>6093</v>
      </c>
      <c r="D1561" s="241" t="s">
        <v>484</v>
      </c>
      <c r="E1561" s="98">
        <v>4</v>
      </c>
      <c r="F1561" s="98">
        <v>10</v>
      </c>
      <c r="G1561" s="98">
        <v>0</v>
      </c>
      <c r="H1561" s="2" t="s">
        <v>5665</v>
      </c>
    </row>
    <row r="1562" spans="1:8" ht="15.75" hidden="1" customHeight="1">
      <c r="A1562" s="2" t="s">
        <v>6024</v>
      </c>
      <c r="B1562" s="98" t="s">
        <v>6079</v>
      </c>
      <c r="C1562" s="98" t="s">
        <v>6094</v>
      </c>
      <c r="D1562" s="241" t="s">
        <v>484</v>
      </c>
      <c r="E1562" s="98">
        <v>4</v>
      </c>
      <c r="F1562" s="98">
        <v>10</v>
      </c>
      <c r="G1562" s="98">
        <v>0</v>
      </c>
      <c r="H1562" s="2" t="s">
        <v>5665</v>
      </c>
    </row>
    <row r="1563" spans="1:8" ht="15.75" hidden="1" customHeight="1">
      <c r="A1563" s="2" t="s">
        <v>6024</v>
      </c>
      <c r="B1563" s="98" t="s">
        <v>6079</v>
      </c>
      <c r="C1563" s="98" t="s">
        <v>6095</v>
      </c>
      <c r="D1563" s="241" t="s">
        <v>1796</v>
      </c>
      <c r="E1563" s="98">
        <v>100</v>
      </c>
      <c r="H1563" s="2" t="s">
        <v>5667</v>
      </c>
    </row>
    <row r="1564" spans="1:8" ht="15.75" hidden="1" customHeight="1">
      <c r="A1564" s="2" t="s">
        <v>6024</v>
      </c>
      <c r="B1564" s="98" t="s">
        <v>6079</v>
      </c>
      <c r="C1564" s="98" t="s">
        <v>4306</v>
      </c>
      <c r="D1564" s="241" t="s">
        <v>1796</v>
      </c>
      <c r="E1564" s="98">
        <v>500</v>
      </c>
      <c r="H1564" s="2" t="s">
        <v>5667</v>
      </c>
    </row>
    <row r="1565" spans="1:8" ht="15.75" hidden="1" customHeight="1">
      <c r="A1565" s="2" t="s">
        <v>6024</v>
      </c>
      <c r="B1565" s="98" t="s">
        <v>6079</v>
      </c>
      <c r="C1565" s="98" t="s">
        <v>4246</v>
      </c>
      <c r="D1565" s="241" t="s">
        <v>1796</v>
      </c>
      <c r="E1565" s="98">
        <v>500</v>
      </c>
      <c r="H1565" s="2" t="s">
        <v>5665</v>
      </c>
    </row>
    <row r="1566" spans="1:8" ht="15.75" hidden="1" customHeight="1">
      <c r="A1566" s="2" t="s">
        <v>6024</v>
      </c>
      <c r="B1566" s="98" t="s">
        <v>6079</v>
      </c>
      <c r="C1566" s="98" t="s">
        <v>6096</v>
      </c>
      <c r="D1566" s="241" t="s">
        <v>484</v>
      </c>
      <c r="E1566" s="98">
        <v>4</v>
      </c>
      <c r="F1566" s="98">
        <v>10</v>
      </c>
      <c r="G1566" s="98">
        <v>0</v>
      </c>
      <c r="H1566" s="2" t="s">
        <v>5665</v>
      </c>
    </row>
    <row r="1567" spans="1:8" ht="15.75" hidden="1" customHeight="1">
      <c r="A1567" s="2" t="s">
        <v>6024</v>
      </c>
      <c r="B1567" s="98" t="s">
        <v>6079</v>
      </c>
      <c r="C1567" s="98" t="s">
        <v>6687</v>
      </c>
      <c r="D1567" s="241" t="s">
        <v>481</v>
      </c>
      <c r="E1567" s="98">
        <v>17</v>
      </c>
      <c r="F1567" s="98">
        <v>38</v>
      </c>
      <c r="G1567" s="98">
        <v>0</v>
      </c>
      <c r="H1567" s="2" t="s">
        <v>5667</v>
      </c>
    </row>
    <row r="1568" spans="1:8" ht="15.75" hidden="1" customHeight="1">
      <c r="A1568" s="2" t="s">
        <v>6024</v>
      </c>
      <c r="B1568" s="98" t="s">
        <v>6079</v>
      </c>
      <c r="C1568" s="98" t="s">
        <v>6688</v>
      </c>
      <c r="D1568" s="241" t="s">
        <v>1796</v>
      </c>
      <c r="E1568" s="98">
        <v>200</v>
      </c>
      <c r="H1568" s="2" t="s">
        <v>5667</v>
      </c>
    </row>
    <row r="1569" spans="1:8" ht="15.75" hidden="1" customHeight="1">
      <c r="A1569" s="2" t="s">
        <v>6024</v>
      </c>
      <c r="B1569" s="98" t="s">
        <v>6079</v>
      </c>
      <c r="C1569" s="98" t="s">
        <v>6689</v>
      </c>
      <c r="D1569" s="241" t="s">
        <v>481</v>
      </c>
      <c r="E1569" s="98">
        <v>17</v>
      </c>
      <c r="F1569" s="98">
        <v>38</v>
      </c>
      <c r="G1569" s="98">
        <v>0</v>
      </c>
      <c r="H1569" s="2" t="s">
        <v>5667</v>
      </c>
    </row>
    <row r="1570" spans="1:8" ht="15.75" hidden="1" customHeight="1">
      <c r="A1570" s="2" t="s">
        <v>6024</v>
      </c>
      <c r="B1570" s="98" t="s">
        <v>6079</v>
      </c>
      <c r="C1570" s="98" t="s">
        <v>6690</v>
      </c>
      <c r="D1570" s="241" t="s">
        <v>1796</v>
      </c>
      <c r="E1570" s="98">
        <v>200</v>
      </c>
      <c r="H1570" s="2" t="s">
        <v>5667</v>
      </c>
    </row>
    <row r="1571" spans="1:8" ht="15.75" hidden="1" customHeight="1">
      <c r="A1571" s="2" t="s">
        <v>6024</v>
      </c>
      <c r="B1571" s="98" t="s">
        <v>6079</v>
      </c>
      <c r="C1571" s="98" t="s">
        <v>6669</v>
      </c>
      <c r="D1571" s="241" t="s">
        <v>481</v>
      </c>
      <c r="E1571" s="98">
        <v>17</v>
      </c>
      <c r="F1571" s="98">
        <v>38</v>
      </c>
      <c r="G1571" s="98">
        <v>0</v>
      </c>
      <c r="H1571" s="2" t="s">
        <v>5667</v>
      </c>
    </row>
    <row r="1572" spans="1:8" ht="15.75" hidden="1" customHeight="1">
      <c r="A1572" s="2" t="s">
        <v>6024</v>
      </c>
      <c r="B1572" s="98" t="s">
        <v>6079</v>
      </c>
      <c r="C1572" s="98" t="s">
        <v>6691</v>
      </c>
      <c r="D1572" s="241" t="s">
        <v>1796</v>
      </c>
      <c r="E1572" s="98">
        <v>200</v>
      </c>
      <c r="H1572" s="2" t="s">
        <v>5667</v>
      </c>
    </row>
    <row r="1573" spans="1:8" ht="15.75" hidden="1" customHeight="1">
      <c r="A1573" s="2" t="s">
        <v>6024</v>
      </c>
      <c r="B1573" s="98" t="s">
        <v>6079</v>
      </c>
      <c r="C1573" s="98" t="s">
        <v>6692</v>
      </c>
      <c r="D1573" s="241" t="s">
        <v>481</v>
      </c>
      <c r="E1573" s="98">
        <v>17</v>
      </c>
      <c r="F1573" s="98">
        <v>38</v>
      </c>
      <c r="G1573" s="98">
        <v>0</v>
      </c>
      <c r="H1573" s="2" t="s">
        <v>5667</v>
      </c>
    </row>
    <row r="1574" spans="1:8" ht="15.75" hidden="1" customHeight="1">
      <c r="A1574" s="2" t="s">
        <v>6024</v>
      </c>
      <c r="B1574" s="98" t="s">
        <v>6079</v>
      </c>
      <c r="C1574" s="98" t="s">
        <v>6693</v>
      </c>
      <c r="D1574" s="241" t="s">
        <v>1796</v>
      </c>
      <c r="E1574" s="98">
        <v>200</v>
      </c>
      <c r="H1574" s="2" t="s">
        <v>5667</v>
      </c>
    </row>
    <row r="1575" spans="1:8" ht="15.75" hidden="1" customHeight="1">
      <c r="A1575" s="2" t="s">
        <v>6024</v>
      </c>
      <c r="B1575" s="98" t="s">
        <v>6079</v>
      </c>
      <c r="C1575" s="98" t="s">
        <v>6694</v>
      </c>
      <c r="D1575" s="241" t="s">
        <v>481</v>
      </c>
      <c r="E1575" s="98">
        <v>17</v>
      </c>
      <c r="F1575" s="98">
        <v>38</v>
      </c>
      <c r="G1575" s="98">
        <v>0</v>
      </c>
      <c r="H1575" s="2" t="s">
        <v>5667</v>
      </c>
    </row>
    <row r="1576" spans="1:8" ht="15.75" hidden="1" customHeight="1">
      <c r="A1576" s="2" t="s">
        <v>6024</v>
      </c>
      <c r="B1576" s="98" t="s">
        <v>6079</v>
      </c>
      <c r="C1576" s="98" t="s">
        <v>6695</v>
      </c>
      <c r="D1576" s="241" t="s">
        <v>1796</v>
      </c>
      <c r="E1576" s="98">
        <v>200</v>
      </c>
      <c r="H1576" s="2" t="s">
        <v>5667</v>
      </c>
    </row>
    <row r="1577" spans="1:8" ht="15.75" hidden="1" customHeight="1">
      <c r="A1577" s="2" t="s">
        <v>6024</v>
      </c>
      <c r="B1577" s="98" t="s">
        <v>6079</v>
      </c>
      <c r="C1577" s="98" t="s">
        <v>6696</v>
      </c>
      <c r="D1577" s="241" t="s">
        <v>481</v>
      </c>
      <c r="E1577" s="98">
        <v>17</v>
      </c>
      <c r="F1577" s="98">
        <v>38</v>
      </c>
      <c r="G1577" s="98">
        <v>0</v>
      </c>
      <c r="H1577" s="2" t="s">
        <v>5667</v>
      </c>
    </row>
    <row r="1578" spans="1:8" ht="15.75" hidden="1" customHeight="1">
      <c r="A1578" s="2" t="s">
        <v>6024</v>
      </c>
      <c r="B1578" s="98" t="s">
        <v>6079</v>
      </c>
      <c r="C1578" s="98" t="s">
        <v>6697</v>
      </c>
      <c r="D1578" s="241" t="s">
        <v>1796</v>
      </c>
      <c r="E1578" s="98">
        <v>200</v>
      </c>
      <c r="H1578" s="2" t="s">
        <v>5667</v>
      </c>
    </row>
    <row r="1579" spans="1:8" ht="15.75" hidden="1" customHeight="1">
      <c r="A1579" s="2" t="s">
        <v>6024</v>
      </c>
      <c r="B1579" s="98" t="s">
        <v>6079</v>
      </c>
      <c r="C1579" s="98" t="s">
        <v>6508</v>
      </c>
      <c r="D1579" s="241" t="s">
        <v>800</v>
      </c>
      <c r="E1579" s="98">
        <v>7</v>
      </c>
      <c r="F1579" s="98">
        <v>23</v>
      </c>
      <c r="G1579" s="98">
        <v>3</v>
      </c>
      <c r="H1579" s="2" t="s">
        <v>5667</v>
      </c>
    </row>
    <row r="1580" spans="1:8" ht="15.75" hidden="1" customHeight="1">
      <c r="A1580" s="2" t="s">
        <v>6024</v>
      </c>
      <c r="B1580" s="98" t="s">
        <v>6079</v>
      </c>
      <c r="C1580" s="98" t="s">
        <v>6509</v>
      </c>
      <c r="D1580" s="241" t="s">
        <v>800</v>
      </c>
      <c r="E1580" s="98">
        <v>7</v>
      </c>
      <c r="F1580" s="98">
        <v>23</v>
      </c>
      <c r="G1580" s="98">
        <v>3</v>
      </c>
      <c r="H1580" s="2" t="s">
        <v>5667</v>
      </c>
    </row>
    <row r="1581" spans="1:8" ht="15.75" hidden="1" customHeight="1">
      <c r="A1581" s="2" t="s">
        <v>6024</v>
      </c>
      <c r="B1581" s="98" t="s">
        <v>6079</v>
      </c>
      <c r="C1581" s="98" t="s">
        <v>6112</v>
      </c>
      <c r="D1581" s="241" t="s">
        <v>800</v>
      </c>
      <c r="E1581" s="98">
        <v>7</v>
      </c>
      <c r="F1581" s="98">
        <v>23</v>
      </c>
      <c r="G1581" s="98">
        <v>3</v>
      </c>
      <c r="H1581" s="2" t="s">
        <v>5665</v>
      </c>
    </row>
    <row r="1582" spans="1:8" ht="15.75" hidden="1" customHeight="1">
      <c r="A1582" s="2" t="s">
        <v>6024</v>
      </c>
      <c r="B1582" s="98" t="s">
        <v>6079</v>
      </c>
      <c r="C1582" s="98" t="s">
        <v>6113</v>
      </c>
      <c r="D1582" s="241" t="s">
        <v>1796</v>
      </c>
      <c r="E1582" s="98">
        <v>200</v>
      </c>
      <c r="H1582" s="2" t="s">
        <v>5667</v>
      </c>
    </row>
    <row r="1583" spans="1:8" ht="15.75" hidden="1" customHeight="1">
      <c r="A1583" s="2" t="s">
        <v>6024</v>
      </c>
      <c r="B1583" s="98" t="s">
        <v>6079</v>
      </c>
      <c r="C1583" s="98" t="s">
        <v>6114</v>
      </c>
      <c r="D1583" s="241" t="s">
        <v>484</v>
      </c>
      <c r="E1583" s="98">
        <v>4</v>
      </c>
      <c r="F1583" s="98">
        <v>10</v>
      </c>
      <c r="G1583" s="98">
        <v>0</v>
      </c>
      <c r="H1583" s="2" t="s">
        <v>5667</v>
      </c>
    </row>
    <row r="1584" spans="1:8" ht="15.75" hidden="1" customHeight="1">
      <c r="A1584" s="2" t="s">
        <v>6024</v>
      </c>
      <c r="B1584" s="98" t="s">
        <v>6079</v>
      </c>
      <c r="C1584" s="98" t="s">
        <v>6027</v>
      </c>
      <c r="D1584" s="241" t="s">
        <v>800</v>
      </c>
      <c r="E1584" s="98">
        <v>7</v>
      </c>
      <c r="F1584" s="98">
        <v>23</v>
      </c>
      <c r="G1584" s="98">
        <v>3</v>
      </c>
      <c r="H1584" s="2" t="s">
        <v>5665</v>
      </c>
    </row>
    <row r="1585" spans="1:8" ht="15.75" hidden="1" customHeight="1">
      <c r="A1585" s="2" t="s">
        <v>6024</v>
      </c>
      <c r="B1585" s="98" t="s">
        <v>6079</v>
      </c>
      <c r="C1585" s="98" t="s">
        <v>6115</v>
      </c>
      <c r="D1585" s="241" t="s">
        <v>1796</v>
      </c>
      <c r="E1585" s="98">
        <v>200</v>
      </c>
      <c r="H1585" s="2" t="s">
        <v>5667</v>
      </c>
    </row>
    <row r="1586" spans="1:8" ht="15.75" hidden="1" customHeight="1">
      <c r="A1586" s="2" t="s">
        <v>6024</v>
      </c>
      <c r="B1586" s="98" t="s">
        <v>6079</v>
      </c>
      <c r="C1586" s="98" t="s">
        <v>6116</v>
      </c>
      <c r="D1586" s="241" t="s">
        <v>484</v>
      </c>
      <c r="E1586" s="98">
        <v>4</v>
      </c>
      <c r="F1586" s="98">
        <v>10</v>
      </c>
      <c r="G1586" s="98">
        <v>0</v>
      </c>
      <c r="H1586" s="2" t="s">
        <v>5667</v>
      </c>
    </row>
    <row r="1587" spans="1:8" ht="15.75" hidden="1" customHeight="1">
      <c r="A1587" s="2" t="s">
        <v>6024</v>
      </c>
      <c r="B1587" s="98" t="s">
        <v>6079</v>
      </c>
      <c r="C1587" s="98" t="s">
        <v>6117</v>
      </c>
      <c r="D1587" s="241" t="s">
        <v>1796</v>
      </c>
      <c r="E1587" s="98">
        <v>500</v>
      </c>
      <c r="H1587" s="2" t="s">
        <v>5667</v>
      </c>
    </row>
    <row r="1588" spans="1:8" ht="15.75" hidden="1" customHeight="1">
      <c r="A1588" s="2" t="s">
        <v>6024</v>
      </c>
      <c r="B1588" s="98" t="s">
        <v>6081</v>
      </c>
      <c r="C1588" s="98" t="s">
        <v>325</v>
      </c>
      <c r="D1588" s="98" t="s">
        <v>484</v>
      </c>
      <c r="E1588" s="98">
        <v>4</v>
      </c>
      <c r="F1588" s="98">
        <v>10</v>
      </c>
      <c r="G1588" s="98">
        <v>0</v>
      </c>
      <c r="H1588" s="2" t="s">
        <v>5665</v>
      </c>
    </row>
    <row r="1589" spans="1:8" ht="15.75" hidden="1" customHeight="1">
      <c r="A1589" s="2" t="s">
        <v>6024</v>
      </c>
      <c r="B1589" s="98" t="s">
        <v>6081</v>
      </c>
      <c r="C1589" s="98" t="s">
        <v>6090</v>
      </c>
      <c r="D1589" s="98" t="s">
        <v>6118</v>
      </c>
      <c r="E1589" s="98">
        <v>16</v>
      </c>
      <c r="H1589" s="2" t="s">
        <v>5665</v>
      </c>
    </row>
    <row r="1590" spans="1:8" ht="15.75" hidden="1" customHeight="1">
      <c r="A1590" s="2" t="s">
        <v>6024</v>
      </c>
      <c r="B1590" s="98" t="s">
        <v>6081</v>
      </c>
      <c r="C1590" s="98" t="s">
        <v>6092</v>
      </c>
      <c r="D1590" s="98" t="s">
        <v>1796</v>
      </c>
      <c r="E1590" s="98">
        <v>100</v>
      </c>
      <c r="H1590" s="2" t="s">
        <v>5665</v>
      </c>
    </row>
    <row r="1591" spans="1:8" ht="15.75" hidden="1" customHeight="1">
      <c r="A1591" s="2" t="s">
        <v>6024</v>
      </c>
      <c r="B1591" s="98" t="s">
        <v>6081</v>
      </c>
      <c r="C1591" s="98" t="s">
        <v>6093</v>
      </c>
      <c r="D1591" s="98" t="s">
        <v>484</v>
      </c>
      <c r="E1591" s="98">
        <v>4</v>
      </c>
      <c r="F1591" s="98">
        <v>10</v>
      </c>
      <c r="G1591" s="98">
        <v>0</v>
      </c>
      <c r="H1591" s="2" t="s">
        <v>5665</v>
      </c>
    </row>
    <row r="1592" spans="1:8" ht="15.75" hidden="1" customHeight="1">
      <c r="A1592" s="2" t="s">
        <v>6024</v>
      </c>
      <c r="B1592" s="98" t="s">
        <v>6081</v>
      </c>
      <c r="C1592" s="98" t="s">
        <v>6094</v>
      </c>
      <c r="D1592" s="98" t="s">
        <v>484</v>
      </c>
      <c r="E1592" s="98">
        <v>4</v>
      </c>
      <c r="F1592" s="98">
        <v>10</v>
      </c>
      <c r="G1592" s="98">
        <v>0</v>
      </c>
      <c r="H1592" s="2" t="s">
        <v>5665</v>
      </c>
    </row>
    <row r="1593" spans="1:8" ht="15.75" hidden="1" customHeight="1">
      <c r="A1593" s="2" t="s">
        <v>6024</v>
      </c>
      <c r="B1593" s="98" t="s">
        <v>6081</v>
      </c>
      <c r="C1593" s="98" t="s">
        <v>6095</v>
      </c>
      <c r="D1593" s="98" t="s">
        <v>1796</v>
      </c>
      <c r="E1593" s="98">
        <v>100</v>
      </c>
      <c r="H1593" s="2" t="s">
        <v>5667</v>
      </c>
    </row>
    <row r="1594" spans="1:8" ht="15.75" hidden="1" customHeight="1">
      <c r="A1594" s="2" t="s">
        <v>6024</v>
      </c>
      <c r="B1594" s="98" t="s">
        <v>6081</v>
      </c>
      <c r="C1594" s="98" t="s">
        <v>4306</v>
      </c>
      <c r="D1594" s="98" t="s">
        <v>1796</v>
      </c>
      <c r="E1594" s="98">
        <v>500</v>
      </c>
      <c r="H1594" s="2" t="s">
        <v>5667</v>
      </c>
    </row>
    <row r="1595" spans="1:8" ht="15.75" hidden="1" customHeight="1">
      <c r="A1595" s="2" t="s">
        <v>6024</v>
      </c>
      <c r="B1595" s="98" t="s">
        <v>6081</v>
      </c>
      <c r="C1595" s="98" t="s">
        <v>4246</v>
      </c>
      <c r="D1595" s="98" t="s">
        <v>1796</v>
      </c>
      <c r="E1595" s="98">
        <v>500</v>
      </c>
      <c r="H1595" s="2" t="s">
        <v>5665</v>
      </c>
    </row>
    <row r="1596" spans="1:8" ht="15.75" hidden="1" customHeight="1">
      <c r="A1596" s="2" t="s">
        <v>6024</v>
      </c>
      <c r="B1596" s="98" t="s">
        <v>6081</v>
      </c>
      <c r="C1596" s="98" t="s">
        <v>6096</v>
      </c>
      <c r="D1596" s="98" t="s">
        <v>484</v>
      </c>
      <c r="E1596" s="98">
        <v>4</v>
      </c>
      <c r="F1596" s="98">
        <v>10</v>
      </c>
      <c r="G1596" s="98">
        <v>0</v>
      </c>
      <c r="H1596" s="2" t="s">
        <v>5665</v>
      </c>
    </row>
    <row r="1597" spans="1:8" ht="15.75" hidden="1" customHeight="1">
      <c r="A1597" s="2" t="s">
        <v>6024</v>
      </c>
      <c r="B1597" s="98" t="s">
        <v>6081</v>
      </c>
      <c r="C1597" s="98" t="s">
        <v>6698</v>
      </c>
      <c r="D1597" s="98" t="s">
        <v>1796</v>
      </c>
      <c r="E1597" s="98">
        <v>200</v>
      </c>
      <c r="H1597" s="2" t="s">
        <v>5667</v>
      </c>
    </row>
    <row r="1598" spans="1:8" ht="15.75" hidden="1" customHeight="1">
      <c r="A1598" s="2" t="s">
        <v>6024</v>
      </c>
      <c r="B1598" s="98" t="s">
        <v>6081</v>
      </c>
      <c r="C1598" s="98" t="s">
        <v>6699</v>
      </c>
      <c r="D1598" s="98" t="s">
        <v>1796</v>
      </c>
      <c r="E1598" s="98">
        <v>200</v>
      </c>
      <c r="H1598" s="2" t="s">
        <v>5667</v>
      </c>
    </row>
    <row r="1599" spans="1:8" ht="15.75" hidden="1" customHeight="1">
      <c r="A1599" s="2" t="s">
        <v>6024</v>
      </c>
      <c r="B1599" s="98" t="s">
        <v>6081</v>
      </c>
      <c r="C1599" s="98" t="s">
        <v>6098</v>
      </c>
      <c r="D1599" s="98" t="s">
        <v>1796</v>
      </c>
      <c r="E1599" s="98">
        <v>200</v>
      </c>
      <c r="H1599" s="2" t="s">
        <v>5667</v>
      </c>
    </row>
    <row r="1600" spans="1:8" ht="15.75" hidden="1" customHeight="1">
      <c r="A1600" s="2" t="s">
        <v>6024</v>
      </c>
      <c r="B1600" s="98" t="s">
        <v>6081</v>
      </c>
      <c r="C1600" s="98" t="s">
        <v>6183</v>
      </c>
      <c r="D1600" s="98" t="s">
        <v>481</v>
      </c>
      <c r="E1600" s="98">
        <v>17</v>
      </c>
      <c r="F1600" s="98">
        <v>38</v>
      </c>
      <c r="G1600" s="98">
        <v>0</v>
      </c>
      <c r="H1600" s="2" t="s">
        <v>5667</v>
      </c>
    </row>
    <row r="1601" spans="1:8" ht="15.75" hidden="1" customHeight="1">
      <c r="A1601" s="2" t="s">
        <v>6024</v>
      </c>
      <c r="B1601" s="98" t="s">
        <v>6081</v>
      </c>
      <c r="C1601" s="98" t="s">
        <v>6700</v>
      </c>
      <c r="D1601" s="98" t="s">
        <v>1796</v>
      </c>
      <c r="E1601" s="98">
        <v>200</v>
      </c>
      <c r="H1601" s="2" t="s">
        <v>5667</v>
      </c>
    </row>
    <row r="1602" spans="1:8" ht="15.75" hidden="1" customHeight="1">
      <c r="A1602" s="2" t="s">
        <v>6024</v>
      </c>
      <c r="B1602" s="98" t="s">
        <v>6081</v>
      </c>
      <c r="C1602" s="98" t="s">
        <v>6206</v>
      </c>
      <c r="D1602" s="98" t="s">
        <v>481</v>
      </c>
      <c r="E1602" s="98">
        <v>17</v>
      </c>
      <c r="F1602" s="98">
        <v>38</v>
      </c>
      <c r="G1602" s="98">
        <v>0</v>
      </c>
      <c r="H1602" s="2" t="s">
        <v>5667</v>
      </c>
    </row>
    <row r="1603" spans="1:8" ht="15.75" hidden="1" customHeight="1">
      <c r="A1603" s="2" t="s">
        <v>6024</v>
      </c>
      <c r="B1603" s="98" t="s">
        <v>6081</v>
      </c>
      <c r="C1603" s="98" t="s">
        <v>6701</v>
      </c>
      <c r="D1603" s="98" t="s">
        <v>1796</v>
      </c>
      <c r="E1603" s="98">
        <v>200</v>
      </c>
      <c r="H1603" s="2" t="s">
        <v>5667</v>
      </c>
    </row>
    <row r="1604" spans="1:8" ht="15.75" hidden="1" customHeight="1">
      <c r="A1604" s="2" t="s">
        <v>6024</v>
      </c>
      <c r="B1604" s="98" t="s">
        <v>6081</v>
      </c>
      <c r="C1604" s="98" t="s">
        <v>4543</v>
      </c>
      <c r="D1604" s="98" t="s">
        <v>1796</v>
      </c>
      <c r="E1604" s="98">
        <v>200</v>
      </c>
      <c r="H1604" s="2" t="s">
        <v>5667</v>
      </c>
    </row>
    <row r="1605" spans="1:8" ht="15.75" hidden="1" customHeight="1">
      <c r="A1605" s="2" t="s">
        <v>6024</v>
      </c>
      <c r="B1605" s="98" t="s">
        <v>6081</v>
      </c>
      <c r="C1605" s="98" t="s">
        <v>6702</v>
      </c>
      <c r="D1605" s="98" t="s">
        <v>1796</v>
      </c>
      <c r="E1605" s="98">
        <v>200</v>
      </c>
      <c r="H1605" s="2" t="s">
        <v>5667</v>
      </c>
    </row>
    <row r="1606" spans="1:8" ht="15.75" hidden="1" customHeight="1">
      <c r="A1606" s="2" t="s">
        <v>6024</v>
      </c>
      <c r="B1606" s="98" t="s">
        <v>6081</v>
      </c>
      <c r="C1606" s="98" t="s">
        <v>6703</v>
      </c>
      <c r="D1606" s="98" t="s">
        <v>1796</v>
      </c>
      <c r="E1606" s="98">
        <v>200</v>
      </c>
      <c r="H1606" s="2" t="s">
        <v>5667</v>
      </c>
    </row>
    <row r="1607" spans="1:8" ht="15.75" hidden="1" customHeight="1">
      <c r="A1607" s="2" t="s">
        <v>6024</v>
      </c>
      <c r="B1607" s="98" t="s">
        <v>6081</v>
      </c>
      <c r="C1607" s="98" t="s">
        <v>6137</v>
      </c>
      <c r="D1607" s="98" t="s">
        <v>1796</v>
      </c>
      <c r="E1607" s="98">
        <v>200</v>
      </c>
      <c r="H1607" s="2" t="s">
        <v>5667</v>
      </c>
    </row>
    <row r="1608" spans="1:8" ht="15.75" hidden="1" customHeight="1">
      <c r="A1608" s="2" t="s">
        <v>6024</v>
      </c>
      <c r="B1608" s="98" t="s">
        <v>6081</v>
      </c>
      <c r="C1608" s="98" t="s">
        <v>6704</v>
      </c>
      <c r="D1608" s="98" t="s">
        <v>1796</v>
      </c>
      <c r="E1608" s="98">
        <v>200</v>
      </c>
      <c r="H1608" s="2" t="s">
        <v>5667</v>
      </c>
    </row>
    <row r="1609" spans="1:8" ht="15.75" hidden="1" customHeight="1">
      <c r="A1609" s="2" t="s">
        <v>6024</v>
      </c>
      <c r="B1609" s="98" t="s">
        <v>6081</v>
      </c>
      <c r="C1609" s="98" t="s">
        <v>6705</v>
      </c>
      <c r="D1609" s="98" t="s">
        <v>481</v>
      </c>
      <c r="E1609" s="98">
        <v>17</v>
      </c>
      <c r="F1609" s="98">
        <v>38</v>
      </c>
      <c r="G1609" s="98">
        <v>0</v>
      </c>
      <c r="H1609" s="2" t="s">
        <v>5667</v>
      </c>
    </row>
    <row r="1610" spans="1:8" ht="15.75" hidden="1" customHeight="1">
      <c r="A1610" s="2" t="s">
        <v>6024</v>
      </c>
      <c r="B1610" s="98" t="s">
        <v>6081</v>
      </c>
      <c r="C1610" s="98" t="s">
        <v>6706</v>
      </c>
      <c r="D1610" s="98" t="s">
        <v>1796</v>
      </c>
      <c r="E1610" s="98">
        <v>200</v>
      </c>
      <c r="H1610" s="2" t="s">
        <v>5667</v>
      </c>
    </row>
    <row r="1611" spans="1:8" ht="15.75" hidden="1" customHeight="1">
      <c r="A1611" s="2" t="s">
        <v>6024</v>
      </c>
      <c r="B1611" s="98" t="s">
        <v>6081</v>
      </c>
      <c r="C1611" s="98" t="s">
        <v>6707</v>
      </c>
      <c r="D1611" s="98" t="s">
        <v>1796</v>
      </c>
      <c r="E1611" s="98">
        <v>200</v>
      </c>
      <c r="H1611" s="2" t="s">
        <v>5667</v>
      </c>
    </row>
    <row r="1612" spans="1:8" ht="15.75" hidden="1" customHeight="1">
      <c r="A1612" s="2" t="s">
        <v>6024</v>
      </c>
      <c r="B1612" s="98" t="s">
        <v>6081</v>
      </c>
      <c r="C1612" s="98" t="s">
        <v>6708</v>
      </c>
      <c r="D1612" s="98" t="s">
        <v>1796</v>
      </c>
      <c r="E1612" s="98">
        <v>200</v>
      </c>
      <c r="H1612" s="2" t="s">
        <v>5667</v>
      </c>
    </row>
    <row r="1613" spans="1:8" ht="15.75" hidden="1" customHeight="1">
      <c r="A1613" s="2" t="s">
        <v>6024</v>
      </c>
      <c r="B1613" s="98" t="s">
        <v>6081</v>
      </c>
      <c r="C1613" s="98" t="s">
        <v>6709</v>
      </c>
      <c r="D1613" s="98" t="s">
        <v>481</v>
      </c>
      <c r="E1613" s="98">
        <v>17</v>
      </c>
      <c r="F1613" s="98">
        <v>38</v>
      </c>
      <c r="G1613" s="98">
        <v>4</v>
      </c>
      <c r="H1613" s="2" t="s">
        <v>5667</v>
      </c>
    </row>
    <row r="1614" spans="1:8" ht="15.75" hidden="1" customHeight="1">
      <c r="A1614" s="2" t="s">
        <v>6024</v>
      </c>
      <c r="B1614" s="98" t="s">
        <v>6081</v>
      </c>
      <c r="C1614" s="98" t="s">
        <v>6710</v>
      </c>
      <c r="D1614" s="98" t="s">
        <v>481</v>
      </c>
      <c r="E1614" s="98">
        <v>17</v>
      </c>
      <c r="F1614" s="98">
        <v>38</v>
      </c>
      <c r="G1614" s="98">
        <v>4</v>
      </c>
      <c r="H1614" s="2" t="s">
        <v>5667</v>
      </c>
    </row>
    <row r="1615" spans="1:8" ht="15.75" hidden="1" customHeight="1">
      <c r="A1615" s="2" t="s">
        <v>6024</v>
      </c>
      <c r="B1615" s="98" t="s">
        <v>6081</v>
      </c>
      <c r="C1615" s="98" t="s">
        <v>6711</v>
      </c>
      <c r="D1615" s="98" t="s">
        <v>481</v>
      </c>
      <c r="E1615" s="98">
        <v>17</v>
      </c>
      <c r="F1615" s="98">
        <v>38</v>
      </c>
      <c r="G1615" s="98">
        <v>4</v>
      </c>
      <c r="H1615" s="2" t="s">
        <v>5667</v>
      </c>
    </row>
    <row r="1616" spans="1:8" ht="15.75" hidden="1" customHeight="1">
      <c r="A1616" s="2" t="s">
        <v>6024</v>
      </c>
      <c r="B1616" s="98" t="s">
        <v>6081</v>
      </c>
      <c r="C1616" s="98" t="s">
        <v>6712</v>
      </c>
      <c r="D1616" s="98" t="s">
        <v>1796</v>
      </c>
      <c r="E1616" s="98">
        <v>200</v>
      </c>
      <c r="H1616" s="2" t="s">
        <v>5667</v>
      </c>
    </row>
    <row r="1617" spans="1:8" ht="15.75" hidden="1" customHeight="1">
      <c r="A1617" s="2" t="s">
        <v>6024</v>
      </c>
      <c r="B1617" s="98" t="s">
        <v>6081</v>
      </c>
      <c r="C1617" s="98" t="s">
        <v>6713</v>
      </c>
      <c r="D1617" s="98" t="s">
        <v>1796</v>
      </c>
      <c r="E1617" s="98">
        <v>200</v>
      </c>
      <c r="H1617" s="2" t="s">
        <v>5667</v>
      </c>
    </row>
    <row r="1618" spans="1:8" ht="15.75" hidden="1" customHeight="1">
      <c r="A1618" s="2" t="s">
        <v>6024</v>
      </c>
      <c r="B1618" s="98" t="s">
        <v>6081</v>
      </c>
      <c r="C1618" s="98" t="s">
        <v>6714</v>
      </c>
      <c r="D1618" s="98" t="s">
        <v>481</v>
      </c>
      <c r="E1618" s="98">
        <v>17</v>
      </c>
      <c r="F1618" s="98">
        <v>38</v>
      </c>
      <c r="G1618" s="98">
        <v>0</v>
      </c>
      <c r="H1618" s="2" t="s">
        <v>5667</v>
      </c>
    </row>
    <row r="1619" spans="1:8" ht="15.75" hidden="1" customHeight="1">
      <c r="A1619" s="2" t="s">
        <v>6024</v>
      </c>
      <c r="B1619" s="98" t="s">
        <v>6081</v>
      </c>
      <c r="C1619" s="98" t="s">
        <v>6715</v>
      </c>
      <c r="D1619" s="98" t="s">
        <v>481</v>
      </c>
      <c r="E1619" s="98">
        <v>17</v>
      </c>
      <c r="F1619" s="98">
        <v>38</v>
      </c>
      <c r="G1619" s="98">
        <v>0</v>
      </c>
      <c r="H1619" s="2" t="s">
        <v>5667</v>
      </c>
    </row>
    <row r="1620" spans="1:8" ht="15.75" hidden="1" customHeight="1">
      <c r="A1620" s="2" t="s">
        <v>6024</v>
      </c>
      <c r="B1620" s="98" t="s">
        <v>6081</v>
      </c>
      <c r="C1620" s="98" t="s">
        <v>6508</v>
      </c>
      <c r="D1620" s="98" t="s">
        <v>1796</v>
      </c>
      <c r="E1620" s="98">
        <v>200</v>
      </c>
      <c r="H1620" s="2" t="s">
        <v>5667</v>
      </c>
    </row>
    <row r="1621" spans="1:8" ht="15.75" hidden="1" customHeight="1">
      <c r="A1621" s="2" t="s">
        <v>6024</v>
      </c>
      <c r="B1621" s="98" t="s">
        <v>6081</v>
      </c>
      <c r="C1621" s="98" t="s">
        <v>6509</v>
      </c>
      <c r="D1621" s="98" t="s">
        <v>1796</v>
      </c>
      <c r="E1621" s="98">
        <v>200</v>
      </c>
      <c r="H1621" s="2" t="s">
        <v>5667</v>
      </c>
    </row>
    <row r="1622" spans="1:8" ht="15.75" hidden="1" customHeight="1">
      <c r="A1622" s="2" t="s">
        <v>6024</v>
      </c>
      <c r="B1622" s="98" t="s">
        <v>6081</v>
      </c>
      <c r="C1622" s="98" t="s">
        <v>1787</v>
      </c>
      <c r="D1622" s="98" t="s">
        <v>1796</v>
      </c>
      <c r="E1622" s="98">
        <v>20</v>
      </c>
      <c r="H1622" s="2" t="s">
        <v>5667</v>
      </c>
    </row>
    <row r="1623" spans="1:8" ht="15.75" hidden="1" customHeight="1">
      <c r="A1623" s="2" t="s">
        <v>6024</v>
      </c>
      <c r="B1623" s="98" t="s">
        <v>6081</v>
      </c>
      <c r="C1623" s="98" t="s">
        <v>6112</v>
      </c>
      <c r="D1623" s="98" t="s">
        <v>800</v>
      </c>
      <c r="E1623" s="98">
        <v>7</v>
      </c>
      <c r="F1623" s="98">
        <v>23</v>
      </c>
      <c r="G1623" s="98">
        <v>3</v>
      </c>
      <c r="H1623" s="2" t="s">
        <v>5665</v>
      </c>
    </row>
    <row r="1624" spans="1:8" ht="15.75" hidden="1" customHeight="1">
      <c r="A1624" s="2" t="s">
        <v>6024</v>
      </c>
      <c r="B1624" s="98" t="s">
        <v>6081</v>
      </c>
      <c r="C1624" s="98" t="s">
        <v>6113</v>
      </c>
      <c r="D1624" s="98" t="s">
        <v>1796</v>
      </c>
      <c r="E1624" s="98">
        <v>200</v>
      </c>
      <c r="H1624" s="2" t="s">
        <v>5667</v>
      </c>
    </row>
    <row r="1625" spans="1:8" ht="15.75" hidden="1" customHeight="1">
      <c r="A1625" s="2" t="s">
        <v>6024</v>
      </c>
      <c r="B1625" s="98" t="s">
        <v>6081</v>
      </c>
      <c r="C1625" s="98" t="s">
        <v>6114</v>
      </c>
      <c r="D1625" s="98" t="s">
        <v>484</v>
      </c>
      <c r="E1625" s="98">
        <v>4</v>
      </c>
      <c r="F1625" s="98">
        <v>10</v>
      </c>
      <c r="G1625" s="98">
        <v>0</v>
      </c>
      <c r="H1625" s="2" t="s">
        <v>5667</v>
      </c>
    </row>
    <row r="1626" spans="1:8" ht="15.75" hidden="1" customHeight="1">
      <c r="A1626" s="2" t="s">
        <v>6024</v>
      </c>
      <c r="B1626" s="98" t="s">
        <v>6081</v>
      </c>
      <c r="C1626" s="98" t="s">
        <v>6027</v>
      </c>
      <c r="D1626" s="98" t="s">
        <v>800</v>
      </c>
      <c r="E1626" s="98">
        <v>7</v>
      </c>
      <c r="F1626" s="98">
        <v>23</v>
      </c>
      <c r="G1626" s="98">
        <v>3</v>
      </c>
      <c r="H1626" s="2" t="s">
        <v>5665</v>
      </c>
    </row>
    <row r="1627" spans="1:8" ht="15.75" hidden="1" customHeight="1">
      <c r="A1627" s="2" t="s">
        <v>6024</v>
      </c>
      <c r="B1627" s="98" t="s">
        <v>6081</v>
      </c>
      <c r="C1627" s="98" t="s">
        <v>6115</v>
      </c>
      <c r="D1627" s="98" t="s">
        <v>1796</v>
      </c>
      <c r="E1627" s="98">
        <v>200</v>
      </c>
      <c r="H1627" s="2" t="s">
        <v>5667</v>
      </c>
    </row>
    <row r="1628" spans="1:8" ht="15.75" hidden="1" customHeight="1">
      <c r="A1628" s="2" t="s">
        <v>6024</v>
      </c>
      <c r="B1628" s="98" t="s">
        <v>6081</v>
      </c>
      <c r="C1628" s="98" t="s">
        <v>6116</v>
      </c>
      <c r="D1628" s="98" t="s">
        <v>484</v>
      </c>
      <c r="E1628" s="98">
        <v>4</v>
      </c>
      <c r="F1628" s="98">
        <v>10</v>
      </c>
      <c r="G1628" s="98">
        <v>0</v>
      </c>
      <c r="H1628" s="2" t="s">
        <v>5667</v>
      </c>
    </row>
    <row r="1629" spans="1:8" ht="15.75" hidden="1" customHeight="1">
      <c r="A1629" s="2" t="s">
        <v>6024</v>
      </c>
      <c r="B1629" s="98" t="s">
        <v>6081</v>
      </c>
      <c r="C1629" s="98" t="s">
        <v>6117</v>
      </c>
      <c r="D1629" s="98" t="s">
        <v>1796</v>
      </c>
      <c r="E1629" s="98">
        <v>500</v>
      </c>
      <c r="H1629" s="2" t="s">
        <v>5667</v>
      </c>
    </row>
    <row r="1630" spans="1:8" ht="15.75" hidden="1" customHeight="1">
      <c r="A1630" s="2" t="s">
        <v>6024</v>
      </c>
      <c r="B1630" s="98" t="s">
        <v>6082</v>
      </c>
      <c r="C1630" s="98" t="s">
        <v>325</v>
      </c>
      <c r="D1630" s="98" t="s">
        <v>484</v>
      </c>
      <c r="E1630" s="98">
        <v>4</v>
      </c>
      <c r="F1630" s="98">
        <v>10</v>
      </c>
      <c r="G1630" s="98">
        <v>0</v>
      </c>
      <c r="H1630" s="2" t="s">
        <v>5665</v>
      </c>
    </row>
    <row r="1631" spans="1:8" ht="15.75" hidden="1" customHeight="1">
      <c r="A1631" s="2" t="s">
        <v>6024</v>
      </c>
      <c r="B1631" s="98" t="s">
        <v>6082</v>
      </c>
      <c r="C1631" s="98" t="s">
        <v>6090</v>
      </c>
      <c r="D1631" s="98" t="s">
        <v>6118</v>
      </c>
      <c r="E1631" s="98">
        <v>16</v>
      </c>
      <c r="H1631" s="2" t="s">
        <v>5665</v>
      </c>
    </row>
    <row r="1632" spans="1:8" ht="15.75" hidden="1" customHeight="1">
      <c r="A1632" s="2" t="s">
        <v>6024</v>
      </c>
      <c r="B1632" s="98" t="s">
        <v>6082</v>
      </c>
      <c r="C1632" s="98" t="s">
        <v>6092</v>
      </c>
      <c r="D1632" s="98" t="s">
        <v>1796</v>
      </c>
      <c r="E1632" s="98">
        <v>100</v>
      </c>
      <c r="H1632" s="2" t="s">
        <v>5665</v>
      </c>
    </row>
    <row r="1633" spans="1:8" ht="15.75" hidden="1" customHeight="1">
      <c r="A1633" s="2" t="s">
        <v>6024</v>
      </c>
      <c r="B1633" s="98" t="s">
        <v>6082</v>
      </c>
      <c r="C1633" s="98" t="s">
        <v>6093</v>
      </c>
      <c r="D1633" s="98" t="s">
        <v>484</v>
      </c>
      <c r="E1633" s="98">
        <v>4</v>
      </c>
      <c r="F1633" s="98">
        <v>10</v>
      </c>
      <c r="G1633" s="98">
        <v>0</v>
      </c>
      <c r="H1633" s="2" t="s">
        <v>5665</v>
      </c>
    </row>
    <row r="1634" spans="1:8" ht="15.75" hidden="1" customHeight="1">
      <c r="A1634" s="2" t="s">
        <v>6024</v>
      </c>
      <c r="B1634" s="98" t="s">
        <v>6082</v>
      </c>
      <c r="C1634" s="98" t="s">
        <v>6094</v>
      </c>
      <c r="D1634" s="98" t="s">
        <v>484</v>
      </c>
      <c r="E1634" s="98">
        <v>4</v>
      </c>
      <c r="F1634" s="98">
        <v>10</v>
      </c>
      <c r="G1634" s="98">
        <v>0</v>
      </c>
      <c r="H1634" s="2" t="s">
        <v>5665</v>
      </c>
    </row>
    <row r="1635" spans="1:8" ht="15.75" hidden="1" customHeight="1">
      <c r="A1635" s="2" t="s">
        <v>6024</v>
      </c>
      <c r="B1635" s="98" t="s">
        <v>6082</v>
      </c>
      <c r="C1635" s="98" t="s">
        <v>6095</v>
      </c>
      <c r="D1635" s="98" t="s">
        <v>1796</v>
      </c>
      <c r="E1635" s="98">
        <v>100</v>
      </c>
      <c r="H1635" s="2" t="s">
        <v>5667</v>
      </c>
    </row>
    <row r="1636" spans="1:8" ht="15.75" hidden="1" customHeight="1">
      <c r="A1636" s="2" t="s">
        <v>6024</v>
      </c>
      <c r="B1636" s="98" t="s">
        <v>6082</v>
      </c>
      <c r="C1636" s="98" t="s">
        <v>4306</v>
      </c>
      <c r="D1636" s="98" t="s">
        <v>1796</v>
      </c>
      <c r="E1636" s="98">
        <v>500</v>
      </c>
      <c r="H1636" s="2" t="s">
        <v>5667</v>
      </c>
    </row>
    <row r="1637" spans="1:8" ht="15.75" hidden="1" customHeight="1">
      <c r="A1637" s="2" t="s">
        <v>6024</v>
      </c>
      <c r="B1637" s="98" t="s">
        <v>6082</v>
      </c>
      <c r="C1637" s="98" t="s">
        <v>4246</v>
      </c>
      <c r="D1637" s="98" t="s">
        <v>1796</v>
      </c>
      <c r="E1637" s="98">
        <v>500</v>
      </c>
      <c r="H1637" s="2" t="s">
        <v>5665</v>
      </c>
    </row>
    <row r="1638" spans="1:8" ht="15.75" hidden="1" customHeight="1">
      <c r="A1638" s="2" t="s">
        <v>6024</v>
      </c>
      <c r="B1638" s="98" t="s">
        <v>6082</v>
      </c>
      <c r="C1638" s="98" t="s">
        <v>6096</v>
      </c>
      <c r="D1638" s="98" t="s">
        <v>484</v>
      </c>
      <c r="E1638" s="98">
        <v>4</v>
      </c>
      <c r="F1638" s="98">
        <v>10</v>
      </c>
      <c r="G1638" s="98">
        <v>0</v>
      </c>
      <c r="H1638" s="2" t="s">
        <v>5665</v>
      </c>
    </row>
    <row r="1639" spans="1:8" ht="15.75" hidden="1" customHeight="1">
      <c r="A1639" s="2" t="s">
        <v>6024</v>
      </c>
      <c r="B1639" s="98" t="s">
        <v>6082</v>
      </c>
      <c r="C1639" s="98" t="s">
        <v>1787</v>
      </c>
      <c r="D1639" s="98" t="s">
        <v>1796</v>
      </c>
      <c r="E1639" s="98">
        <v>6</v>
      </c>
      <c r="H1639" s="2" t="s">
        <v>5667</v>
      </c>
    </row>
    <row r="1640" spans="1:8" ht="15.75" hidden="1" customHeight="1">
      <c r="A1640" s="2" t="s">
        <v>6024</v>
      </c>
      <c r="B1640" s="98" t="s">
        <v>6082</v>
      </c>
      <c r="C1640" s="98" t="s">
        <v>6716</v>
      </c>
      <c r="D1640" s="98" t="s">
        <v>481</v>
      </c>
      <c r="E1640" s="98">
        <v>17</v>
      </c>
      <c r="F1640" s="98">
        <v>38</v>
      </c>
      <c r="G1640" s="98">
        <v>0</v>
      </c>
      <c r="H1640" s="2" t="s">
        <v>5667</v>
      </c>
    </row>
    <row r="1641" spans="1:8" ht="15.75" hidden="1" customHeight="1">
      <c r="A1641" s="2" t="s">
        <v>6024</v>
      </c>
      <c r="B1641" s="98" t="s">
        <v>6082</v>
      </c>
      <c r="C1641" s="98" t="s">
        <v>6717</v>
      </c>
      <c r="D1641" s="98" t="s">
        <v>1796</v>
      </c>
      <c r="E1641" s="98">
        <v>200</v>
      </c>
      <c r="H1641" s="2" t="s">
        <v>5667</v>
      </c>
    </row>
    <row r="1642" spans="1:8" ht="15.75" hidden="1" customHeight="1">
      <c r="A1642" s="2" t="s">
        <v>6024</v>
      </c>
      <c r="B1642" s="98" t="s">
        <v>6082</v>
      </c>
      <c r="C1642" s="98" t="s">
        <v>6718</v>
      </c>
      <c r="D1642" s="98" t="s">
        <v>1796</v>
      </c>
      <c r="E1642" s="98">
        <v>200</v>
      </c>
      <c r="H1642" s="2" t="s">
        <v>5667</v>
      </c>
    </row>
    <row r="1643" spans="1:8" ht="15.75" hidden="1" customHeight="1">
      <c r="A1643" s="2" t="s">
        <v>6024</v>
      </c>
      <c r="B1643" s="98" t="s">
        <v>6082</v>
      </c>
      <c r="C1643" s="98" t="s">
        <v>6719</v>
      </c>
      <c r="D1643" s="98" t="s">
        <v>1796</v>
      </c>
      <c r="E1643" s="98">
        <v>200</v>
      </c>
      <c r="H1643" s="2" t="s">
        <v>5667</v>
      </c>
    </row>
    <row r="1644" spans="1:8" ht="15.75" hidden="1" customHeight="1">
      <c r="A1644" s="2" t="s">
        <v>6024</v>
      </c>
      <c r="B1644" s="98" t="s">
        <v>6082</v>
      </c>
      <c r="C1644" s="98" t="s">
        <v>6720</v>
      </c>
      <c r="D1644" s="98" t="s">
        <v>1796</v>
      </c>
      <c r="E1644" s="98">
        <v>200</v>
      </c>
      <c r="H1644" s="2" t="s">
        <v>5667</v>
      </c>
    </row>
    <row r="1645" spans="1:8" ht="15.75" hidden="1" customHeight="1">
      <c r="A1645" s="2" t="s">
        <v>6024</v>
      </c>
      <c r="B1645" s="98" t="s">
        <v>6082</v>
      </c>
      <c r="C1645" s="98" t="s">
        <v>6721</v>
      </c>
      <c r="D1645" s="98" t="s">
        <v>1796</v>
      </c>
      <c r="E1645" s="98">
        <v>200</v>
      </c>
      <c r="H1645" s="2" t="s">
        <v>5667</v>
      </c>
    </row>
    <row r="1646" spans="1:8" ht="15.75" hidden="1" customHeight="1">
      <c r="A1646" s="2" t="s">
        <v>6024</v>
      </c>
      <c r="B1646" s="98" t="s">
        <v>6082</v>
      </c>
      <c r="C1646" s="98" t="s">
        <v>6722</v>
      </c>
      <c r="D1646" s="98" t="s">
        <v>1796</v>
      </c>
      <c r="E1646" s="98">
        <v>200</v>
      </c>
      <c r="H1646" s="2" t="s">
        <v>5667</v>
      </c>
    </row>
    <row r="1647" spans="1:8" ht="15.75" hidden="1" customHeight="1">
      <c r="A1647" s="2" t="s">
        <v>6024</v>
      </c>
      <c r="B1647" s="98" t="s">
        <v>6082</v>
      </c>
      <c r="C1647" s="98" t="s">
        <v>6723</v>
      </c>
      <c r="D1647" s="98" t="s">
        <v>1796</v>
      </c>
      <c r="E1647" s="98">
        <v>200</v>
      </c>
      <c r="H1647" s="2" t="s">
        <v>5667</v>
      </c>
    </row>
    <row r="1648" spans="1:8" ht="15.75" hidden="1" customHeight="1">
      <c r="A1648" s="2" t="s">
        <v>6024</v>
      </c>
      <c r="B1648" s="98" t="s">
        <v>6082</v>
      </c>
      <c r="C1648" s="98" t="s">
        <v>6724</v>
      </c>
      <c r="D1648" s="98" t="s">
        <v>481</v>
      </c>
      <c r="E1648" s="98">
        <v>17</v>
      </c>
      <c r="F1648" s="98">
        <v>38</v>
      </c>
      <c r="G1648" s="98">
        <v>2</v>
      </c>
      <c r="H1648" s="2" t="s">
        <v>5667</v>
      </c>
    </row>
    <row r="1649" spans="1:8" ht="15.75" hidden="1" customHeight="1">
      <c r="A1649" s="2" t="s">
        <v>6024</v>
      </c>
      <c r="B1649" s="98" t="s">
        <v>6082</v>
      </c>
      <c r="C1649" s="98" t="s">
        <v>6725</v>
      </c>
      <c r="D1649" s="98" t="s">
        <v>481</v>
      </c>
      <c r="E1649" s="98">
        <v>17</v>
      </c>
      <c r="F1649" s="98">
        <v>38</v>
      </c>
      <c r="G1649" s="98">
        <v>2</v>
      </c>
      <c r="H1649" s="2" t="s">
        <v>5667</v>
      </c>
    </row>
    <row r="1650" spans="1:8" ht="15.75" hidden="1" customHeight="1">
      <c r="A1650" s="2" t="s">
        <v>6024</v>
      </c>
      <c r="B1650" s="98" t="s">
        <v>6082</v>
      </c>
      <c r="C1650" s="98" t="s">
        <v>6726</v>
      </c>
      <c r="D1650" s="98" t="s">
        <v>1796</v>
      </c>
      <c r="E1650" s="98">
        <v>200</v>
      </c>
      <c r="H1650" s="2" t="s">
        <v>5667</v>
      </c>
    </row>
    <row r="1651" spans="1:8" ht="15.75" hidden="1" customHeight="1">
      <c r="A1651" s="2" t="s">
        <v>6024</v>
      </c>
      <c r="B1651" s="98" t="s">
        <v>6082</v>
      </c>
      <c r="C1651" s="98" t="s">
        <v>6727</v>
      </c>
      <c r="D1651" s="98" t="s">
        <v>481</v>
      </c>
      <c r="E1651" s="98">
        <v>17</v>
      </c>
      <c r="F1651" s="98">
        <v>38</v>
      </c>
      <c r="G1651" s="98">
        <v>2</v>
      </c>
      <c r="H1651" s="2" t="s">
        <v>5667</v>
      </c>
    </row>
    <row r="1652" spans="1:8" ht="15.75" hidden="1" customHeight="1">
      <c r="A1652" s="2" t="s">
        <v>6024</v>
      </c>
      <c r="B1652" s="98" t="s">
        <v>6082</v>
      </c>
      <c r="C1652" s="98" t="s">
        <v>6728</v>
      </c>
      <c r="D1652" s="98" t="s">
        <v>481</v>
      </c>
      <c r="E1652" s="98">
        <v>17</v>
      </c>
      <c r="F1652" s="98">
        <v>38</v>
      </c>
      <c r="G1652" s="98">
        <v>2</v>
      </c>
      <c r="H1652" s="2" t="s">
        <v>5667</v>
      </c>
    </row>
    <row r="1653" spans="1:8" ht="15.75" hidden="1" customHeight="1">
      <c r="A1653" s="2" t="s">
        <v>6024</v>
      </c>
      <c r="B1653" s="98" t="s">
        <v>6082</v>
      </c>
      <c r="C1653" s="98" t="s">
        <v>6729</v>
      </c>
      <c r="D1653" s="98" t="s">
        <v>1796</v>
      </c>
      <c r="E1653" s="98">
        <v>200</v>
      </c>
      <c r="H1653" s="2" t="s">
        <v>5667</v>
      </c>
    </row>
    <row r="1654" spans="1:8" ht="15.75" hidden="1" customHeight="1">
      <c r="A1654" s="2" t="s">
        <v>6024</v>
      </c>
      <c r="B1654" s="98" t="s">
        <v>6082</v>
      </c>
      <c r="C1654" s="98" t="s">
        <v>6730</v>
      </c>
      <c r="D1654" s="98" t="s">
        <v>1796</v>
      </c>
      <c r="E1654" s="98">
        <v>6</v>
      </c>
      <c r="H1654" s="2" t="s">
        <v>5667</v>
      </c>
    </row>
    <row r="1655" spans="1:8" ht="15.75" hidden="1" customHeight="1">
      <c r="A1655" s="2" t="s">
        <v>6024</v>
      </c>
      <c r="B1655" s="98" t="s">
        <v>6082</v>
      </c>
      <c r="C1655" s="98" t="s">
        <v>6731</v>
      </c>
      <c r="D1655" s="98" t="s">
        <v>1796</v>
      </c>
      <c r="E1655" s="98">
        <v>6</v>
      </c>
      <c r="H1655" s="2" t="s">
        <v>5667</v>
      </c>
    </row>
    <row r="1656" spans="1:8" ht="15.75" hidden="1" customHeight="1">
      <c r="A1656" s="2" t="s">
        <v>6024</v>
      </c>
      <c r="B1656" s="98" t="s">
        <v>6082</v>
      </c>
      <c r="C1656" s="98" t="s">
        <v>6732</v>
      </c>
      <c r="D1656" s="98" t="s">
        <v>1796</v>
      </c>
      <c r="E1656" s="98">
        <v>6</v>
      </c>
      <c r="H1656" s="2" t="s">
        <v>5667</v>
      </c>
    </row>
    <row r="1657" spans="1:8" ht="15.75" hidden="1" customHeight="1">
      <c r="A1657" s="2" t="s">
        <v>6024</v>
      </c>
      <c r="B1657" s="98" t="s">
        <v>6082</v>
      </c>
      <c r="C1657" s="98" t="s">
        <v>6733</v>
      </c>
      <c r="D1657" s="98" t="s">
        <v>1796</v>
      </c>
      <c r="E1657" s="98">
        <v>6</v>
      </c>
      <c r="H1657" s="2" t="s">
        <v>5667</v>
      </c>
    </row>
    <row r="1658" spans="1:8" ht="15.75" hidden="1" customHeight="1">
      <c r="A1658" s="2" t="s">
        <v>6024</v>
      </c>
      <c r="B1658" s="98" t="s">
        <v>6082</v>
      </c>
      <c r="C1658" s="98" t="s">
        <v>6734</v>
      </c>
      <c r="D1658" s="98" t="s">
        <v>1796</v>
      </c>
      <c r="E1658" s="98">
        <v>6</v>
      </c>
      <c r="H1658" s="2" t="s">
        <v>5667</v>
      </c>
    </row>
    <row r="1659" spans="1:8" ht="15.75" hidden="1" customHeight="1">
      <c r="A1659" s="2" t="s">
        <v>6024</v>
      </c>
      <c r="B1659" s="98" t="s">
        <v>6082</v>
      </c>
      <c r="C1659" s="98" t="s">
        <v>6508</v>
      </c>
      <c r="D1659" s="98" t="s">
        <v>800</v>
      </c>
      <c r="E1659" s="98">
        <v>7</v>
      </c>
      <c r="F1659" s="98">
        <v>23</v>
      </c>
      <c r="G1659" s="98">
        <v>3</v>
      </c>
      <c r="H1659" s="2" t="s">
        <v>5667</v>
      </c>
    </row>
    <row r="1660" spans="1:8" ht="15.75" hidden="1" customHeight="1">
      <c r="A1660" s="2" t="s">
        <v>6024</v>
      </c>
      <c r="B1660" s="98" t="s">
        <v>6082</v>
      </c>
      <c r="C1660" s="98" t="s">
        <v>6509</v>
      </c>
      <c r="D1660" s="98" t="s">
        <v>800</v>
      </c>
      <c r="E1660" s="98">
        <v>7</v>
      </c>
      <c r="F1660" s="98">
        <v>23</v>
      </c>
      <c r="G1660" s="98">
        <v>3</v>
      </c>
      <c r="H1660" s="2" t="s">
        <v>5667</v>
      </c>
    </row>
    <row r="1661" spans="1:8" ht="15.75" hidden="1" customHeight="1">
      <c r="A1661" s="2" t="s">
        <v>6024</v>
      </c>
      <c r="B1661" s="98" t="s">
        <v>6082</v>
      </c>
      <c r="C1661" s="98" t="s">
        <v>6735</v>
      </c>
      <c r="D1661" s="98" t="s">
        <v>1796</v>
      </c>
      <c r="E1661" s="98">
        <v>200</v>
      </c>
      <c r="H1661" s="2" t="s">
        <v>5667</v>
      </c>
    </row>
    <row r="1662" spans="1:8" ht="15.75" hidden="1" customHeight="1">
      <c r="A1662" s="2" t="s">
        <v>6024</v>
      </c>
      <c r="B1662" s="98" t="s">
        <v>6082</v>
      </c>
      <c r="C1662" s="98" t="s">
        <v>6112</v>
      </c>
      <c r="D1662" s="98" t="s">
        <v>800</v>
      </c>
      <c r="E1662" s="98">
        <v>7</v>
      </c>
      <c r="F1662" s="98">
        <v>23</v>
      </c>
      <c r="G1662" s="98">
        <v>3</v>
      </c>
      <c r="H1662" s="2" t="s">
        <v>5665</v>
      </c>
    </row>
    <row r="1663" spans="1:8" ht="15.75" hidden="1" customHeight="1">
      <c r="A1663" s="2" t="s">
        <v>6024</v>
      </c>
      <c r="B1663" s="98" t="s">
        <v>6082</v>
      </c>
      <c r="C1663" s="98" t="s">
        <v>6113</v>
      </c>
      <c r="D1663" s="98" t="s">
        <v>1796</v>
      </c>
      <c r="E1663" s="98">
        <v>200</v>
      </c>
      <c r="H1663" s="2" t="s">
        <v>5667</v>
      </c>
    </row>
    <row r="1664" spans="1:8" ht="15.75" hidden="1" customHeight="1">
      <c r="A1664" s="2" t="s">
        <v>6024</v>
      </c>
      <c r="B1664" s="98" t="s">
        <v>6082</v>
      </c>
      <c r="C1664" s="98" t="s">
        <v>6114</v>
      </c>
      <c r="D1664" s="98" t="s">
        <v>484</v>
      </c>
      <c r="E1664" s="98">
        <v>4</v>
      </c>
      <c r="F1664" s="98">
        <v>10</v>
      </c>
      <c r="G1664" s="98">
        <v>0</v>
      </c>
      <c r="H1664" s="2" t="s">
        <v>5667</v>
      </c>
    </row>
    <row r="1665" spans="1:8" ht="15.75" hidden="1" customHeight="1">
      <c r="A1665" s="2" t="s">
        <v>6024</v>
      </c>
      <c r="B1665" s="98" t="s">
        <v>6082</v>
      </c>
      <c r="C1665" s="98" t="s">
        <v>6027</v>
      </c>
      <c r="D1665" s="98" t="s">
        <v>800</v>
      </c>
      <c r="E1665" s="98">
        <v>7</v>
      </c>
      <c r="F1665" s="98">
        <v>23</v>
      </c>
      <c r="G1665" s="98">
        <v>3</v>
      </c>
      <c r="H1665" s="2" t="s">
        <v>5665</v>
      </c>
    </row>
    <row r="1666" spans="1:8" ht="15.75" hidden="1" customHeight="1">
      <c r="A1666" s="2" t="s">
        <v>6024</v>
      </c>
      <c r="B1666" s="98" t="s">
        <v>6082</v>
      </c>
      <c r="C1666" s="98" t="s">
        <v>6115</v>
      </c>
      <c r="D1666" s="98" t="s">
        <v>1796</v>
      </c>
      <c r="E1666" s="98">
        <v>200</v>
      </c>
      <c r="H1666" s="2" t="s">
        <v>5667</v>
      </c>
    </row>
    <row r="1667" spans="1:8" ht="15.75" hidden="1" customHeight="1">
      <c r="A1667" s="2" t="s">
        <v>6024</v>
      </c>
      <c r="B1667" s="98" t="s">
        <v>6082</v>
      </c>
      <c r="C1667" s="98" t="s">
        <v>6116</v>
      </c>
      <c r="D1667" s="98" t="s">
        <v>484</v>
      </c>
      <c r="E1667" s="98">
        <v>4</v>
      </c>
      <c r="F1667" s="98">
        <v>10</v>
      </c>
      <c r="G1667" s="98">
        <v>0</v>
      </c>
      <c r="H1667" s="2" t="s">
        <v>5667</v>
      </c>
    </row>
    <row r="1668" spans="1:8" ht="15.75" hidden="1" customHeight="1">
      <c r="A1668" s="2" t="s">
        <v>6024</v>
      </c>
      <c r="B1668" s="98" t="s">
        <v>6082</v>
      </c>
      <c r="C1668" s="98" t="s">
        <v>6117</v>
      </c>
      <c r="D1668" s="98" t="s">
        <v>1796</v>
      </c>
      <c r="E1668" s="98">
        <v>500</v>
      </c>
      <c r="H1668" s="2" t="s">
        <v>5667</v>
      </c>
    </row>
    <row r="1669" spans="1:8" ht="15.75" hidden="1" customHeight="1">
      <c r="A1669" s="2" t="s">
        <v>6024</v>
      </c>
      <c r="B1669" s="98" t="s">
        <v>6083</v>
      </c>
      <c r="C1669" s="98" t="s">
        <v>325</v>
      </c>
      <c r="D1669" s="98" t="s">
        <v>484</v>
      </c>
      <c r="E1669" s="98">
        <v>4</v>
      </c>
      <c r="F1669" s="98">
        <v>10</v>
      </c>
      <c r="G1669" s="98">
        <v>0</v>
      </c>
      <c r="H1669" s="2" t="s">
        <v>5665</v>
      </c>
    </row>
    <row r="1670" spans="1:8" ht="15.75" hidden="1" customHeight="1">
      <c r="A1670" s="2" t="s">
        <v>6024</v>
      </c>
      <c r="B1670" s="98" t="s">
        <v>6083</v>
      </c>
      <c r="C1670" s="98" t="s">
        <v>6090</v>
      </c>
      <c r="D1670" s="98" t="s">
        <v>6118</v>
      </c>
      <c r="E1670" s="98">
        <v>16</v>
      </c>
      <c r="H1670" s="2" t="s">
        <v>5665</v>
      </c>
    </row>
    <row r="1671" spans="1:8" ht="15.75" hidden="1" customHeight="1">
      <c r="A1671" s="2" t="s">
        <v>6024</v>
      </c>
      <c r="B1671" s="98" t="s">
        <v>6083</v>
      </c>
      <c r="C1671" s="98" t="s">
        <v>6092</v>
      </c>
      <c r="D1671" s="98" t="s">
        <v>1796</v>
      </c>
      <c r="E1671" s="98">
        <v>100</v>
      </c>
      <c r="H1671" s="2" t="s">
        <v>5665</v>
      </c>
    </row>
    <row r="1672" spans="1:8" ht="15.75" hidden="1" customHeight="1">
      <c r="A1672" s="2" t="s">
        <v>6024</v>
      </c>
      <c r="B1672" s="98" t="s">
        <v>6083</v>
      </c>
      <c r="C1672" s="98" t="s">
        <v>6093</v>
      </c>
      <c r="D1672" s="98" t="s">
        <v>484</v>
      </c>
      <c r="E1672" s="98">
        <v>4</v>
      </c>
      <c r="F1672" s="98">
        <v>10</v>
      </c>
      <c r="G1672" s="98">
        <v>0</v>
      </c>
      <c r="H1672" s="2" t="s">
        <v>5665</v>
      </c>
    </row>
    <row r="1673" spans="1:8" ht="15.75" hidden="1" customHeight="1">
      <c r="A1673" s="2" t="s">
        <v>6024</v>
      </c>
      <c r="B1673" s="98" t="s">
        <v>6083</v>
      </c>
      <c r="C1673" s="98" t="s">
        <v>6094</v>
      </c>
      <c r="D1673" s="98" t="s">
        <v>484</v>
      </c>
      <c r="E1673" s="98">
        <v>4</v>
      </c>
      <c r="F1673" s="98">
        <v>10</v>
      </c>
      <c r="G1673" s="98">
        <v>0</v>
      </c>
      <c r="H1673" s="2" t="s">
        <v>5665</v>
      </c>
    </row>
    <row r="1674" spans="1:8" ht="15.75" hidden="1" customHeight="1">
      <c r="A1674" s="2" t="s">
        <v>6024</v>
      </c>
      <c r="B1674" s="98" t="s">
        <v>6083</v>
      </c>
      <c r="C1674" s="98" t="s">
        <v>6095</v>
      </c>
      <c r="D1674" s="98" t="s">
        <v>1796</v>
      </c>
      <c r="E1674" s="98">
        <v>100</v>
      </c>
      <c r="H1674" s="2" t="s">
        <v>5667</v>
      </c>
    </row>
    <row r="1675" spans="1:8" ht="15.75" hidden="1" customHeight="1">
      <c r="A1675" s="2" t="s">
        <v>6024</v>
      </c>
      <c r="B1675" s="98" t="s">
        <v>6083</v>
      </c>
      <c r="C1675" s="98" t="s">
        <v>4306</v>
      </c>
      <c r="D1675" s="98" t="s">
        <v>1796</v>
      </c>
      <c r="E1675" s="98">
        <v>500</v>
      </c>
      <c r="H1675" s="2" t="s">
        <v>5667</v>
      </c>
    </row>
    <row r="1676" spans="1:8" ht="15.75" hidden="1" customHeight="1">
      <c r="A1676" s="2" t="s">
        <v>6024</v>
      </c>
      <c r="B1676" s="98" t="s">
        <v>6083</v>
      </c>
      <c r="C1676" s="98" t="s">
        <v>4246</v>
      </c>
      <c r="D1676" s="98" t="s">
        <v>1796</v>
      </c>
      <c r="E1676" s="98">
        <v>500</v>
      </c>
      <c r="H1676" s="2" t="s">
        <v>5665</v>
      </c>
    </row>
    <row r="1677" spans="1:8" ht="15.75" hidden="1" customHeight="1">
      <c r="A1677" s="2" t="s">
        <v>6024</v>
      </c>
      <c r="B1677" s="98" t="s">
        <v>6083</v>
      </c>
      <c r="C1677" s="98" t="s">
        <v>6096</v>
      </c>
      <c r="D1677" s="98" t="s">
        <v>484</v>
      </c>
      <c r="E1677" s="98">
        <v>4</v>
      </c>
      <c r="F1677" s="98">
        <v>10</v>
      </c>
      <c r="G1677" s="98">
        <v>0</v>
      </c>
      <c r="H1677" s="2" t="s">
        <v>5665</v>
      </c>
    </row>
    <row r="1678" spans="1:8" ht="15.75" hidden="1" customHeight="1">
      <c r="A1678" s="2" t="s">
        <v>6024</v>
      </c>
      <c r="B1678" s="98" t="s">
        <v>6083</v>
      </c>
      <c r="C1678" s="98" t="s">
        <v>6736</v>
      </c>
      <c r="D1678" s="98" t="s">
        <v>1796</v>
      </c>
      <c r="E1678" s="98">
        <v>200</v>
      </c>
      <c r="H1678" s="2" t="s">
        <v>5667</v>
      </c>
    </row>
    <row r="1679" spans="1:8" ht="15.75" hidden="1" customHeight="1">
      <c r="A1679" s="2" t="s">
        <v>6024</v>
      </c>
      <c r="B1679" s="98" t="s">
        <v>6083</v>
      </c>
      <c r="C1679" s="98" t="s">
        <v>6737</v>
      </c>
      <c r="D1679" s="98" t="s">
        <v>1796</v>
      </c>
      <c r="E1679" s="98">
        <v>200</v>
      </c>
      <c r="H1679" s="2" t="s">
        <v>5667</v>
      </c>
    </row>
    <row r="1680" spans="1:8" ht="15.75" hidden="1" customHeight="1">
      <c r="A1680" s="2" t="s">
        <v>6024</v>
      </c>
      <c r="B1680" s="98" t="s">
        <v>6083</v>
      </c>
      <c r="C1680" s="98" t="s">
        <v>6738</v>
      </c>
      <c r="D1680" s="98" t="s">
        <v>1796</v>
      </c>
      <c r="E1680" s="98">
        <v>200</v>
      </c>
      <c r="H1680" s="2" t="s">
        <v>5667</v>
      </c>
    </row>
    <row r="1681" spans="1:9" ht="15.75" hidden="1" customHeight="1">
      <c r="A1681" s="2" t="s">
        <v>6024</v>
      </c>
      <c r="B1681" s="98" t="s">
        <v>6083</v>
      </c>
      <c r="C1681" s="98" t="s">
        <v>6739</v>
      </c>
      <c r="D1681" s="98" t="s">
        <v>1796</v>
      </c>
      <c r="E1681" s="98">
        <v>200</v>
      </c>
      <c r="H1681" s="2" t="s">
        <v>5667</v>
      </c>
    </row>
    <row r="1682" spans="1:9" ht="15.75" hidden="1" customHeight="1">
      <c r="A1682" s="2" t="s">
        <v>6024</v>
      </c>
      <c r="B1682" s="98" t="s">
        <v>6083</v>
      </c>
      <c r="C1682" s="98" t="s">
        <v>6740</v>
      </c>
      <c r="D1682" s="98" t="s">
        <v>1796</v>
      </c>
      <c r="E1682" s="98">
        <v>200</v>
      </c>
      <c r="H1682" s="2" t="s">
        <v>5667</v>
      </c>
    </row>
    <row r="1683" spans="1:9" ht="15.75" hidden="1" customHeight="1">
      <c r="A1683" s="2" t="s">
        <v>6024</v>
      </c>
      <c r="B1683" s="98" t="s">
        <v>6083</v>
      </c>
      <c r="C1683" s="98" t="s">
        <v>6741</v>
      </c>
      <c r="D1683" s="98" t="s">
        <v>1796</v>
      </c>
      <c r="E1683" s="98">
        <v>200</v>
      </c>
      <c r="H1683" s="2" t="s">
        <v>5665</v>
      </c>
    </row>
    <row r="1684" spans="1:9" ht="15.75" hidden="1" customHeight="1">
      <c r="A1684" s="2" t="s">
        <v>6024</v>
      </c>
      <c r="B1684" s="98" t="s">
        <v>6083</v>
      </c>
      <c r="C1684" s="98" t="s">
        <v>6112</v>
      </c>
      <c r="D1684" s="98" t="s">
        <v>800</v>
      </c>
      <c r="E1684" s="98">
        <v>7</v>
      </c>
      <c r="F1684" s="98">
        <v>23</v>
      </c>
      <c r="G1684" s="98">
        <v>3</v>
      </c>
      <c r="H1684" s="98" t="s">
        <v>6668</v>
      </c>
    </row>
    <row r="1685" spans="1:9" ht="15.75" hidden="1" customHeight="1">
      <c r="A1685" s="2" t="s">
        <v>6024</v>
      </c>
      <c r="B1685" s="98" t="s">
        <v>6083</v>
      </c>
      <c r="C1685" s="98" t="s">
        <v>6113</v>
      </c>
      <c r="D1685" s="98" t="s">
        <v>1796</v>
      </c>
      <c r="E1685" s="98">
        <v>200</v>
      </c>
      <c r="H1685" s="2" t="s">
        <v>5667</v>
      </c>
    </row>
    <row r="1686" spans="1:9" ht="15.75" hidden="1" customHeight="1">
      <c r="A1686" s="2" t="s">
        <v>6024</v>
      </c>
      <c r="B1686" s="98" t="s">
        <v>6083</v>
      </c>
      <c r="C1686" s="98" t="s">
        <v>6114</v>
      </c>
      <c r="D1686" s="98" t="s">
        <v>484</v>
      </c>
      <c r="E1686" s="98">
        <v>4</v>
      </c>
      <c r="F1686" s="98">
        <v>10</v>
      </c>
      <c r="G1686" s="98">
        <v>0</v>
      </c>
      <c r="H1686" s="2" t="s">
        <v>5667</v>
      </c>
    </row>
    <row r="1687" spans="1:9" ht="15.75" hidden="1" customHeight="1">
      <c r="A1687" s="2" t="s">
        <v>6024</v>
      </c>
      <c r="B1687" s="98" t="s">
        <v>6083</v>
      </c>
      <c r="C1687" s="98" t="s">
        <v>6027</v>
      </c>
      <c r="D1687" s="98" t="s">
        <v>800</v>
      </c>
      <c r="E1687" s="98">
        <v>7</v>
      </c>
      <c r="F1687" s="98">
        <v>23</v>
      </c>
      <c r="G1687" s="98">
        <v>3</v>
      </c>
      <c r="H1687" s="2" t="s">
        <v>5665</v>
      </c>
    </row>
    <row r="1688" spans="1:9" ht="15.75" hidden="1" customHeight="1">
      <c r="A1688" s="2" t="s">
        <v>6024</v>
      </c>
      <c r="B1688" s="98" t="s">
        <v>6083</v>
      </c>
      <c r="C1688" s="98" t="s">
        <v>6115</v>
      </c>
      <c r="D1688" s="98" t="s">
        <v>1796</v>
      </c>
      <c r="E1688" s="98">
        <v>200</v>
      </c>
      <c r="H1688" s="2" t="s">
        <v>5667</v>
      </c>
    </row>
    <row r="1689" spans="1:9" ht="15.75" hidden="1" customHeight="1">
      <c r="A1689" s="2" t="s">
        <v>6024</v>
      </c>
      <c r="B1689" s="98" t="s">
        <v>6083</v>
      </c>
      <c r="C1689" s="98" t="s">
        <v>6116</v>
      </c>
      <c r="D1689" s="98" t="s">
        <v>484</v>
      </c>
      <c r="E1689" s="98">
        <v>4</v>
      </c>
      <c r="F1689" s="98">
        <v>10</v>
      </c>
      <c r="G1689" s="98">
        <v>0</v>
      </c>
      <c r="H1689" s="2" t="s">
        <v>5667</v>
      </c>
    </row>
    <row r="1690" spans="1:9" ht="15.75" hidden="1" customHeight="1">
      <c r="A1690" s="2" t="s">
        <v>6024</v>
      </c>
      <c r="B1690" s="98" t="s">
        <v>6083</v>
      </c>
      <c r="C1690" s="98" t="s">
        <v>6117</v>
      </c>
      <c r="D1690" s="98" t="s">
        <v>1796</v>
      </c>
      <c r="E1690" s="98">
        <v>500</v>
      </c>
      <c r="H1690" s="2" t="s">
        <v>5667</v>
      </c>
    </row>
    <row r="1691" spans="1:9" ht="15.75" hidden="1" customHeight="1">
      <c r="A1691" s="2" t="s">
        <v>6024</v>
      </c>
      <c r="B1691" s="98" t="s">
        <v>6087</v>
      </c>
      <c r="C1691" s="98" t="s">
        <v>325</v>
      </c>
      <c r="D1691" s="98" t="s">
        <v>484</v>
      </c>
      <c r="E1691" s="98">
        <v>4</v>
      </c>
      <c r="F1691" s="98">
        <v>10</v>
      </c>
      <c r="G1691" s="98">
        <v>0</v>
      </c>
      <c r="H1691" s="2" t="s">
        <v>5665</v>
      </c>
    </row>
    <row r="1692" spans="1:9" ht="15.75" hidden="1" customHeight="1">
      <c r="A1692" s="2" t="s">
        <v>6024</v>
      </c>
      <c r="B1692" s="98" t="s">
        <v>6087</v>
      </c>
      <c r="C1692" s="98" t="s">
        <v>6090</v>
      </c>
      <c r="D1692" s="98" t="s">
        <v>6118</v>
      </c>
      <c r="E1692" s="98">
        <v>16</v>
      </c>
      <c r="H1692" s="2" t="s">
        <v>5665</v>
      </c>
    </row>
    <row r="1693" spans="1:9" ht="15.75" hidden="1" customHeight="1">
      <c r="A1693" s="2" t="s">
        <v>6024</v>
      </c>
      <c r="B1693" s="98" t="s">
        <v>6087</v>
      </c>
      <c r="C1693" s="98" t="s">
        <v>6092</v>
      </c>
      <c r="D1693" s="98" t="s">
        <v>1796</v>
      </c>
      <c r="E1693" s="98">
        <v>100</v>
      </c>
      <c r="H1693" s="2" t="s">
        <v>5665</v>
      </c>
    </row>
    <row r="1694" spans="1:9" ht="15.75" hidden="1" customHeight="1">
      <c r="A1694" s="2" t="s">
        <v>6024</v>
      </c>
      <c r="B1694" s="98" t="s">
        <v>6087</v>
      </c>
      <c r="C1694" s="98" t="s">
        <v>6093</v>
      </c>
      <c r="D1694" s="98" t="s">
        <v>484</v>
      </c>
      <c r="E1694" s="98">
        <v>4</v>
      </c>
      <c r="F1694" s="98">
        <v>10</v>
      </c>
      <c r="G1694" s="98">
        <v>0</v>
      </c>
      <c r="H1694" s="2" t="s">
        <v>5665</v>
      </c>
    </row>
    <row r="1695" spans="1:9" ht="15.75" hidden="1" customHeight="1">
      <c r="A1695" s="2" t="s">
        <v>6024</v>
      </c>
      <c r="B1695" s="98" t="s">
        <v>6087</v>
      </c>
      <c r="C1695" s="98" t="s">
        <v>6094</v>
      </c>
      <c r="D1695" s="98" t="s">
        <v>484</v>
      </c>
      <c r="E1695" s="98">
        <v>4</v>
      </c>
      <c r="F1695" s="98">
        <v>10</v>
      </c>
      <c r="G1695" s="98">
        <v>0</v>
      </c>
      <c r="H1695" s="2" t="s">
        <v>5665</v>
      </c>
    </row>
    <row r="1696" spans="1:9" ht="15.75" hidden="1" customHeight="1">
      <c r="A1696" s="133" t="s">
        <v>6024</v>
      </c>
      <c r="B1696" s="133" t="s">
        <v>6087</v>
      </c>
      <c r="C1696" s="242" t="s">
        <v>6095</v>
      </c>
      <c r="D1696" s="2" t="s">
        <v>1796</v>
      </c>
      <c r="E1696" s="2">
        <v>50</v>
      </c>
      <c r="H1696" s="2" t="s">
        <v>5667</v>
      </c>
      <c r="I1696" s="98" t="s">
        <v>6742</v>
      </c>
    </row>
    <row r="1697" spans="1:26" ht="15.75" hidden="1" customHeight="1">
      <c r="A1697" s="133" t="s">
        <v>6024</v>
      </c>
      <c r="B1697" s="133" t="s">
        <v>6087</v>
      </c>
      <c r="C1697" s="242" t="s">
        <v>4306</v>
      </c>
      <c r="D1697" s="2" t="s">
        <v>1796</v>
      </c>
      <c r="E1697" s="2">
        <v>250</v>
      </c>
      <c r="H1697" s="2" t="s">
        <v>5667</v>
      </c>
      <c r="I1697" s="98" t="s">
        <v>6742</v>
      </c>
    </row>
    <row r="1698" spans="1:26" ht="15.75" hidden="1" customHeight="1">
      <c r="A1698" s="2" t="s">
        <v>6024</v>
      </c>
      <c r="B1698" s="98" t="s">
        <v>6087</v>
      </c>
      <c r="C1698" s="98" t="s">
        <v>4246</v>
      </c>
      <c r="D1698" s="98" t="s">
        <v>1796</v>
      </c>
      <c r="E1698" s="98">
        <v>500</v>
      </c>
      <c r="H1698" s="2" t="s">
        <v>5665</v>
      </c>
    </row>
    <row r="1699" spans="1:26" ht="15.75" hidden="1" customHeight="1">
      <c r="A1699" s="2" t="s">
        <v>6024</v>
      </c>
      <c r="B1699" s="98" t="s">
        <v>6087</v>
      </c>
      <c r="C1699" s="98" t="s">
        <v>6096</v>
      </c>
      <c r="D1699" s="98" t="s">
        <v>484</v>
      </c>
      <c r="E1699" s="98">
        <v>4</v>
      </c>
      <c r="F1699" s="98">
        <v>10</v>
      </c>
      <c r="G1699" s="98">
        <v>0</v>
      </c>
      <c r="H1699" s="2" t="s">
        <v>5665</v>
      </c>
    </row>
    <row r="1700" spans="1:26" ht="15.75" hidden="1" customHeight="1">
      <c r="A1700" s="2" t="s">
        <v>6024</v>
      </c>
      <c r="B1700" s="98" t="s">
        <v>6087</v>
      </c>
      <c r="C1700" s="98" t="s">
        <v>6743</v>
      </c>
      <c r="D1700" s="98" t="s">
        <v>481</v>
      </c>
      <c r="E1700" s="98">
        <v>17</v>
      </c>
      <c r="F1700" s="98">
        <v>38</v>
      </c>
      <c r="G1700" s="98">
        <v>0</v>
      </c>
      <c r="H1700" s="2" t="s">
        <v>5667</v>
      </c>
    </row>
    <row r="1701" spans="1:26" ht="15.75" hidden="1" customHeight="1">
      <c r="A1701" s="2" t="s">
        <v>6024</v>
      </c>
      <c r="B1701" s="98" t="s">
        <v>6087</v>
      </c>
      <c r="C1701" s="98" t="s">
        <v>6744</v>
      </c>
      <c r="D1701" s="98" t="s">
        <v>1796</v>
      </c>
      <c r="E1701" s="98">
        <v>200</v>
      </c>
      <c r="H1701" s="2" t="s">
        <v>5667</v>
      </c>
    </row>
    <row r="1702" spans="1:26" ht="15.75" hidden="1" customHeight="1">
      <c r="A1702" s="2" t="s">
        <v>6024</v>
      </c>
      <c r="B1702" s="98" t="s">
        <v>6087</v>
      </c>
      <c r="C1702" s="98" t="s">
        <v>6745</v>
      </c>
      <c r="D1702" s="98" t="s">
        <v>481</v>
      </c>
      <c r="E1702" s="98">
        <v>17</v>
      </c>
      <c r="F1702" s="98">
        <v>38</v>
      </c>
      <c r="G1702" s="98">
        <v>4</v>
      </c>
      <c r="H1702" s="2" t="s">
        <v>5667</v>
      </c>
    </row>
    <row r="1703" spans="1:26" ht="15.75" hidden="1" customHeight="1">
      <c r="A1703" s="2" t="s">
        <v>6024</v>
      </c>
      <c r="B1703" s="98" t="s">
        <v>6087</v>
      </c>
      <c r="C1703" s="98" t="s">
        <v>6746</v>
      </c>
      <c r="D1703" s="98" t="s">
        <v>481</v>
      </c>
      <c r="E1703" s="98">
        <v>17</v>
      </c>
      <c r="F1703" s="98">
        <v>38</v>
      </c>
      <c r="G1703" s="98">
        <v>4</v>
      </c>
      <c r="H1703" s="2" t="s">
        <v>5667</v>
      </c>
    </row>
    <row r="1704" spans="1:26" ht="15.75" hidden="1" customHeight="1">
      <c r="A1704" s="2" t="s">
        <v>6024</v>
      </c>
      <c r="B1704" s="98" t="s">
        <v>6087</v>
      </c>
      <c r="C1704" s="98" t="s">
        <v>6112</v>
      </c>
      <c r="D1704" s="98" t="s">
        <v>800</v>
      </c>
      <c r="E1704" s="98">
        <v>7</v>
      </c>
      <c r="F1704" s="98">
        <v>23</v>
      </c>
      <c r="G1704" s="98">
        <v>3</v>
      </c>
      <c r="H1704" s="2" t="s">
        <v>5665</v>
      </c>
    </row>
    <row r="1705" spans="1:26" ht="15.75" hidden="1" customHeight="1">
      <c r="A1705" s="2" t="s">
        <v>6024</v>
      </c>
      <c r="B1705" s="98" t="s">
        <v>6087</v>
      </c>
      <c r="C1705" s="98" t="s">
        <v>6113</v>
      </c>
      <c r="D1705" s="98" t="s">
        <v>1796</v>
      </c>
      <c r="E1705" s="98">
        <v>200</v>
      </c>
      <c r="H1705" s="2" t="s">
        <v>5667</v>
      </c>
    </row>
    <row r="1706" spans="1:26" ht="15.75" hidden="1" customHeight="1">
      <c r="A1706" s="2" t="s">
        <v>6024</v>
      </c>
      <c r="B1706" s="98" t="s">
        <v>6087</v>
      </c>
      <c r="C1706" s="98" t="s">
        <v>6114</v>
      </c>
      <c r="D1706" s="98" t="s">
        <v>484</v>
      </c>
      <c r="E1706" s="98">
        <v>4</v>
      </c>
      <c r="F1706" s="98">
        <v>10</v>
      </c>
      <c r="G1706" s="98">
        <v>0</v>
      </c>
      <c r="H1706" s="2" t="s">
        <v>5667</v>
      </c>
    </row>
    <row r="1707" spans="1:26" ht="15.75" hidden="1" customHeight="1">
      <c r="A1707" s="2" t="s">
        <v>6024</v>
      </c>
      <c r="B1707" s="98" t="s">
        <v>6087</v>
      </c>
      <c r="C1707" s="98" t="s">
        <v>6027</v>
      </c>
      <c r="D1707" s="98" t="s">
        <v>800</v>
      </c>
      <c r="E1707" s="98">
        <v>7</v>
      </c>
      <c r="F1707" s="98">
        <v>23</v>
      </c>
      <c r="G1707" s="98">
        <v>3</v>
      </c>
      <c r="H1707" s="2" t="s">
        <v>5665</v>
      </c>
    </row>
    <row r="1708" spans="1:26" ht="15.75" hidden="1" customHeight="1">
      <c r="A1708" s="2" t="s">
        <v>6024</v>
      </c>
      <c r="B1708" s="98" t="s">
        <v>6087</v>
      </c>
      <c r="C1708" s="98" t="s">
        <v>6115</v>
      </c>
      <c r="D1708" s="98" t="s">
        <v>1796</v>
      </c>
      <c r="E1708" s="98">
        <v>200</v>
      </c>
      <c r="H1708" s="2" t="s">
        <v>5667</v>
      </c>
    </row>
    <row r="1709" spans="1:26" ht="15.75" hidden="1" customHeight="1">
      <c r="A1709" s="2" t="s">
        <v>6024</v>
      </c>
      <c r="B1709" s="98" t="s">
        <v>6087</v>
      </c>
      <c r="C1709" s="98" t="s">
        <v>6116</v>
      </c>
      <c r="D1709" s="98" t="s">
        <v>484</v>
      </c>
      <c r="E1709" s="98">
        <v>4</v>
      </c>
      <c r="F1709" s="98">
        <v>10</v>
      </c>
      <c r="G1709" s="98">
        <v>0</v>
      </c>
      <c r="H1709" s="2" t="s">
        <v>5667</v>
      </c>
    </row>
    <row r="1710" spans="1:26" ht="15.75" hidden="1" customHeight="1">
      <c r="A1710" s="2" t="s">
        <v>6024</v>
      </c>
      <c r="B1710" s="98" t="s">
        <v>6087</v>
      </c>
      <c r="C1710" s="98" t="s">
        <v>6117</v>
      </c>
      <c r="D1710" s="98" t="s">
        <v>1796</v>
      </c>
      <c r="E1710" s="98">
        <v>500</v>
      </c>
      <c r="H1710" s="2" t="s">
        <v>5667</v>
      </c>
    </row>
    <row r="1711" spans="1:26" ht="15.75" hidden="1" customHeight="1">
      <c r="A1711" s="165" t="s">
        <v>6024</v>
      </c>
      <c r="B1711" s="169" t="s">
        <v>6080</v>
      </c>
      <c r="C1711" s="169" t="s">
        <v>325</v>
      </c>
      <c r="D1711" s="169" t="s">
        <v>484</v>
      </c>
      <c r="E1711" s="169">
        <v>4</v>
      </c>
      <c r="F1711" s="169">
        <v>10</v>
      </c>
      <c r="G1711" s="169">
        <v>0</v>
      </c>
      <c r="H1711" s="169" t="s">
        <v>6668</v>
      </c>
      <c r="I1711" s="164" t="s">
        <v>2318</v>
      </c>
      <c r="J1711" s="164"/>
      <c r="K1711" s="165"/>
      <c r="L1711" s="165"/>
      <c r="M1711" s="165"/>
      <c r="N1711" s="165"/>
      <c r="O1711" s="165"/>
      <c r="P1711" s="165"/>
      <c r="Q1711" s="165"/>
      <c r="R1711" s="165"/>
      <c r="S1711" s="165"/>
      <c r="T1711" s="165"/>
      <c r="U1711" s="165"/>
      <c r="V1711" s="165"/>
      <c r="W1711" s="165"/>
      <c r="X1711" s="165"/>
      <c r="Y1711" s="165"/>
      <c r="Z1711" s="165"/>
    </row>
    <row r="1712" spans="1:26" ht="15.75" hidden="1" customHeight="1">
      <c r="A1712" s="165" t="s">
        <v>6024</v>
      </c>
      <c r="B1712" s="169" t="s">
        <v>6080</v>
      </c>
      <c r="C1712" s="169" t="s">
        <v>6090</v>
      </c>
      <c r="D1712" s="169" t="s">
        <v>6118</v>
      </c>
      <c r="E1712" s="169">
        <v>16</v>
      </c>
      <c r="F1712" s="165"/>
      <c r="G1712" s="165"/>
      <c r="H1712" s="169" t="s">
        <v>6668</v>
      </c>
      <c r="I1712" s="164" t="s">
        <v>2318</v>
      </c>
      <c r="J1712" s="164"/>
      <c r="K1712" s="165"/>
      <c r="L1712" s="165"/>
      <c r="M1712" s="165"/>
      <c r="N1712" s="165"/>
      <c r="O1712" s="165"/>
      <c r="P1712" s="165"/>
      <c r="Q1712" s="165"/>
      <c r="R1712" s="165"/>
      <c r="S1712" s="165"/>
      <c r="T1712" s="165"/>
      <c r="U1712" s="165"/>
      <c r="V1712" s="165"/>
      <c r="W1712" s="165"/>
      <c r="X1712" s="165"/>
      <c r="Y1712" s="165"/>
      <c r="Z1712" s="165"/>
    </row>
    <row r="1713" spans="1:26" ht="15.75" hidden="1" customHeight="1">
      <c r="A1713" s="165" t="s">
        <v>6024</v>
      </c>
      <c r="B1713" s="169" t="s">
        <v>6080</v>
      </c>
      <c r="C1713" s="169" t="s">
        <v>6092</v>
      </c>
      <c r="D1713" s="169" t="s">
        <v>1796</v>
      </c>
      <c r="E1713" s="169">
        <v>100</v>
      </c>
      <c r="F1713" s="165"/>
      <c r="G1713" s="165"/>
      <c r="H1713" s="169" t="s">
        <v>6668</v>
      </c>
      <c r="I1713" s="164" t="s">
        <v>2318</v>
      </c>
      <c r="J1713" s="164"/>
      <c r="K1713" s="165"/>
      <c r="L1713" s="165"/>
      <c r="M1713" s="165"/>
      <c r="N1713" s="165"/>
      <c r="O1713" s="165"/>
      <c r="P1713" s="165"/>
      <c r="Q1713" s="165"/>
      <c r="R1713" s="165"/>
      <c r="S1713" s="165"/>
      <c r="T1713" s="165"/>
      <c r="U1713" s="165"/>
      <c r="V1713" s="165"/>
      <c r="W1713" s="165"/>
      <c r="X1713" s="165"/>
      <c r="Y1713" s="165"/>
      <c r="Z1713" s="165"/>
    </row>
    <row r="1714" spans="1:26" ht="15.75" hidden="1" customHeight="1">
      <c r="A1714" s="165" t="s">
        <v>6024</v>
      </c>
      <c r="B1714" s="169" t="s">
        <v>6080</v>
      </c>
      <c r="C1714" s="169" t="s">
        <v>6093</v>
      </c>
      <c r="D1714" s="169" t="s">
        <v>484</v>
      </c>
      <c r="E1714" s="169">
        <v>4</v>
      </c>
      <c r="F1714" s="169">
        <v>10</v>
      </c>
      <c r="G1714" s="169">
        <v>0</v>
      </c>
      <c r="H1714" s="169" t="s">
        <v>6668</v>
      </c>
      <c r="I1714" s="164" t="s">
        <v>2318</v>
      </c>
      <c r="J1714" s="164"/>
      <c r="K1714" s="165"/>
      <c r="L1714" s="165"/>
      <c r="M1714" s="165"/>
      <c r="N1714" s="165"/>
      <c r="O1714" s="165"/>
      <c r="P1714" s="165"/>
      <c r="Q1714" s="165"/>
      <c r="R1714" s="165"/>
      <c r="S1714" s="165"/>
      <c r="T1714" s="165"/>
      <c r="U1714" s="165"/>
      <c r="V1714" s="165"/>
      <c r="W1714" s="165"/>
      <c r="X1714" s="165"/>
      <c r="Y1714" s="165"/>
      <c r="Z1714" s="165"/>
    </row>
    <row r="1715" spans="1:26" ht="15.75" hidden="1" customHeight="1">
      <c r="A1715" s="165" t="s">
        <v>6024</v>
      </c>
      <c r="B1715" s="169" t="s">
        <v>6080</v>
      </c>
      <c r="C1715" s="169" t="s">
        <v>6094</v>
      </c>
      <c r="D1715" s="169" t="s">
        <v>484</v>
      </c>
      <c r="E1715" s="169">
        <v>4</v>
      </c>
      <c r="F1715" s="169">
        <v>10</v>
      </c>
      <c r="G1715" s="169">
        <v>0</v>
      </c>
      <c r="H1715" s="169" t="s">
        <v>6668</v>
      </c>
      <c r="I1715" s="164" t="s">
        <v>2318</v>
      </c>
      <c r="J1715" s="164"/>
      <c r="K1715" s="165"/>
      <c r="L1715" s="165"/>
      <c r="M1715" s="165"/>
      <c r="N1715" s="165"/>
      <c r="O1715" s="165"/>
      <c r="P1715" s="165"/>
      <c r="Q1715" s="165"/>
      <c r="R1715" s="165"/>
      <c r="S1715" s="165"/>
      <c r="T1715" s="165"/>
      <c r="U1715" s="165"/>
      <c r="V1715" s="165"/>
      <c r="W1715" s="165"/>
      <c r="X1715" s="165"/>
      <c r="Y1715" s="165"/>
      <c r="Z1715" s="165"/>
    </row>
    <row r="1716" spans="1:26" ht="15.75" hidden="1" customHeight="1">
      <c r="A1716" s="165" t="s">
        <v>6024</v>
      </c>
      <c r="B1716" s="169" t="s">
        <v>6080</v>
      </c>
      <c r="C1716" s="169" t="s">
        <v>6095</v>
      </c>
      <c r="D1716" s="169" t="s">
        <v>1796</v>
      </c>
      <c r="E1716" s="169">
        <v>100</v>
      </c>
      <c r="F1716" s="165"/>
      <c r="G1716" s="165"/>
      <c r="H1716" s="169" t="s">
        <v>6747</v>
      </c>
      <c r="I1716" s="164" t="s">
        <v>2764</v>
      </c>
      <c r="J1716" s="164"/>
      <c r="K1716" s="165"/>
      <c r="L1716" s="165"/>
      <c r="M1716" s="165"/>
      <c r="N1716" s="165"/>
      <c r="O1716" s="165"/>
      <c r="P1716" s="165"/>
      <c r="Q1716" s="165"/>
      <c r="R1716" s="165"/>
      <c r="S1716" s="165"/>
      <c r="T1716" s="165"/>
      <c r="U1716" s="165"/>
      <c r="V1716" s="165"/>
      <c r="W1716" s="165"/>
      <c r="X1716" s="165"/>
      <c r="Y1716" s="165"/>
      <c r="Z1716" s="165"/>
    </row>
    <row r="1717" spans="1:26" ht="15.75" hidden="1" customHeight="1">
      <c r="A1717" s="165" t="s">
        <v>6024</v>
      </c>
      <c r="B1717" s="169" t="s">
        <v>6080</v>
      </c>
      <c r="C1717" s="169" t="s">
        <v>4306</v>
      </c>
      <c r="D1717" s="169" t="s">
        <v>1796</v>
      </c>
      <c r="E1717" s="169">
        <v>500</v>
      </c>
      <c r="F1717" s="165"/>
      <c r="G1717" s="165"/>
      <c r="H1717" s="169" t="s">
        <v>6747</v>
      </c>
      <c r="I1717" s="164" t="s">
        <v>2764</v>
      </c>
      <c r="J1717" s="164"/>
      <c r="K1717" s="165"/>
      <c r="L1717" s="165"/>
      <c r="M1717" s="165"/>
      <c r="N1717" s="165"/>
      <c r="O1717" s="165"/>
      <c r="P1717" s="165"/>
      <c r="Q1717" s="165"/>
      <c r="R1717" s="165"/>
      <c r="S1717" s="165"/>
      <c r="T1717" s="165"/>
      <c r="U1717" s="165"/>
      <c r="V1717" s="165"/>
      <c r="W1717" s="165"/>
      <c r="X1717" s="165"/>
      <c r="Y1717" s="165"/>
      <c r="Z1717" s="165"/>
    </row>
    <row r="1718" spans="1:26" ht="15.75" hidden="1" customHeight="1">
      <c r="A1718" s="165" t="s">
        <v>6024</v>
      </c>
      <c r="B1718" s="169" t="s">
        <v>6080</v>
      </c>
      <c r="C1718" s="169" t="s">
        <v>4246</v>
      </c>
      <c r="D1718" s="169" t="s">
        <v>1796</v>
      </c>
      <c r="E1718" s="169">
        <v>500</v>
      </c>
      <c r="F1718" s="165"/>
      <c r="G1718" s="165"/>
      <c r="H1718" s="169" t="s">
        <v>6668</v>
      </c>
      <c r="I1718" s="164" t="s">
        <v>2318</v>
      </c>
      <c r="J1718" s="164"/>
      <c r="K1718" s="165"/>
      <c r="L1718" s="165"/>
      <c r="M1718" s="165"/>
      <c r="N1718" s="165"/>
      <c r="O1718" s="165"/>
      <c r="P1718" s="165"/>
      <c r="Q1718" s="165"/>
      <c r="R1718" s="165"/>
      <c r="S1718" s="165"/>
      <c r="T1718" s="165"/>
      <c r="U1718" s="165"/>
      <c r="V1718" s="165"/>
      <c r="W1718" s="165"/>
      <c r="X1718" s="165"/>
      <c r="Y1718" s="165"/>
      <c r="Z1718" s="165"/>
    </row>
    <row r="1719" spans="1:26" ht="15.75" hidden="1" customHeight="1">
      <c r="A1719" s="165" t="s">
        <v>6024</v>
      </c>
      <c r="B1719" s="169" t="s">
        <v>6080</v>
      </c>
      <c r="C1719" s="169" t="s">
        <v>6096</v>
      </c>
      <c r="D1719" s="169" t="s">
        <v>484</v>
      </c>
      <c r="E1719" s="169">
        <v>4</v>
      </c>
      <c r="F1719" s="169">
        <v>10</v>
      </c>
      <c r="G1719" s="169">
        <v>0</v>
      </c>
      <c r="H1719" s="169" t="s">
        <v>6668</v>
      </c>
      <c r="I1719" s="164" t="s">
        <v>2318</v>
      </c>
      <c r="J1719" s="164"/>
      <c r="K1719" s="165"/>
      <c r="L1719" s="165"/>
      <c r="M1719" s="165"/>
      <c r="N1719" s="165"/>
      <c r="O1719" s="165"/>
      <c r="P1719" s="165"/>
      <c r="Q1719" s="165"/>
      <c r="R1719" s="165"/>
      <c r="S1719" s="165"/>
      <c r="T1719" s="165"/>
      <c r="U1719" s="165"/>
      <c r="V1719" s="165"/>
      <c r="W1719" s="165"/>
      <c r="X1719" s="165"/>
      <c r="Y1719" s="165"/>
      <c r="Z1719" s="165"/>
    </row>
    <row r="1720" spans="1:26" ht="15.75" hidden="1" customHeight="1">
      <c r="A1720" s="165" t="s">
        <v>6024</v>
      </c>
      <c r="B1720" s="169" t="s">
        <v>6080</v>
      </c>
      <c r="C1720" s="169" t="s">
        <v>6748</v>
      </c>
      <c r="D1720" s="169" t="s">
        <v>1796</v>
      </c>
      <c r="E1720" s="169">
        <v>200</v>
      </c>
      <c r="F1720" s="165"/>
      <c r="G1720" s="165"/>
      <c r="H1720" s="169" t="s">
        <v>6747</v>
      </c>
      <c r="I1720" s="164" t="s">
        <v>2318</v>
      </c>
      <c r="J1720" s="164"/>
      <c r="K1720" s="165"/>
      <c r="L1720" s="165"/>
      <c r="M1720" s="165"/>
      <c r="N1720" s="165"/>
      <c r="O1720" s="165"/>
      <c r="P1720" s="165"/>
      <c r="Q1720" s="165"/>
      <c r="R1720" s="165"/>
      <c r="S1720" s="165"/>
      <c r="T1720" s="165"/>
      <c r="U1720" s="165"/>
      <c r="V1720" s="165"/>
      <c r="W1720" s="165"/>
      <c r="X1720" s="165"/>
      <c r="Y1720" s="165"/>
      <c r="Z1720" s="165"/>
    </row>
    <row r="1721" spans="1:26" ht="15.75" hidden="1" customHeight="1">
      <c r="A1721" s="165" t="s">
        <v>6024</v>
      </c>
      <c r="B1721" s="169" t="s">
        <v>6080</v>
      </c>
      <c r="C1721" s="169" t="s">
        <v>6749</v>
      </c>
      <c r="D1721" s="169" t="s">
        <v>1796</v>
      </c>
      <c r="E1721" s="169">
        <v>200</v>
      </c>
      <c r="F1721" s="165"/>
      <c r="G1721" s="165"/>
      <c r="H1721" s="169" t="s">
        <v>6747</v>
      </c>
      <c r="I1721" s="164" t="s">
        <v>2318</v>
      </c>
      <c r="J1721" s="164"/>
      <c r="K1721" s="165"/>
      <c r="L1721" s="165"/>
      <c r="M1721" s="165"/>
      <c r="N1721" s="165"/>
      <c r="O1721" s="165"/>
      <c r="P1721" s="165"/>
      <c r="Q1721" s="165"/>
      <c r="R1721" s="165"/>
      <c r="S1721" s="165"/>
      <c r="T1721" s="165"/>
      <c r="U1721" s="165"/>
      <c r="V1721" s="165"/>
      <c r="W1721" s="165"/>
      <c r="X1721" s="165"/>
      <c r="Y1721" s="165"/>
      <c r="Z1721" s="165"/>
    </row>
    <row r="1722" spans="1:26" ht="15.75" hidden="1" customHeight="1">
      <c r="A1722" s="165" t="s">
        <v>6024</v>
      </c>
      <c r="B1722" s="169" t="s">
        <v>6080</v>
      </c>
      <c r="C1722" s="169" t="s">
        <v>1787</v>
      </c>
      <c r="D1722" s="169" t="s">
        <v>1796</v>
      </c>
      <c r="E1722" s="169">
        <v>200</v>
      </c>
      <c r="F1722" s="165"/>
      <c r="G1722" s="165"/>
      <c r="H1722" s="169" t="s">
        <v>6747</v>
      </c>
      <c r="I1722" s="164" t="s">
        <v>2318</v>
      </c>
      <c r="J1722" s="164"/>
      <c r="K1722" s="165"/>
      <c r="L1722" s="165"/>
      <c r="M1722" s="165"/>
      <c r="N1722" s="165"/>
      <c r="O1722" s="165"/>
      <c r="P1722" s="165"/>
      <c r="Q1722" s="165"/>
      <c r="R1722" s="165"/>
      <c r="S1722" s="165"/>
      <c r="T1722" s="165"/>
      <c r="U1722" s="165"/>
      <c r="V1722" s="165"/>
      <c r="W1722" s="165"/>
      <c r="X1722" s="165"/>
      <c r="Y1722" s="165"/>
      <c r="Z1722" s="165"/>
    </row>
    <row r="1723" spans="1:26" ht="15.75" hidden="1" customHeight="1">
      <c r="A1723" s="165" t="s">
        <v>6024</v>
      </c>
      <c r="B1723" s="169" t="s">
        <v>6080</v>
      </c>
      <c r="C1723" s="169" t="s">
        <v>6750</v>
      </c>
      <c r="D1723" s="169" t="s">
        <v>1796</v>
      </c>
      <c r="E1723" s="169">
        <v>200</v>
      </c>
      <c r="F1723" s="165"/>
      <c r="G1723" s="165"/>
      <c r="H1723" s="169" t="s">
        <v>6747</v>
      </c>
      <c r="I1723" s="164" t="s">
        <v>2318</v>
      </c>
      <c r="J1723" s="164"/>
      <c r="K1723" s="165"/>
      <c r="L1723" s="165"/>
      <c r="M1723" s="165"/>
      <c r="N1723" s="165"/>
      <c r="O1723" s="165"/>
      <c r="P1723" s="165"/>
      <c r="Q1723" s="165"/>
      <c r="R1723" s="165"/>
      <c r="S1723" s="165"/>
      <c r="T1723" s="165"/>
      <c r="U1723" s="165"/>
      <c r="V1723" s="165"/>
      <c r="W1723" s="165"/>
      <c r="X1723" s="165"/>
      <c r="Y1723" s="165"/>
      <c r="Z1723" s="165"/>
    </row>
    <row r="1724" spans="1:26" ht="15.75" hidden="1" customHeight="1">
      <c r="A1724" s="165" t="s">
        <v>6024</v>
      </c>
      <c r="B1724" s="169" t="s">
        <v>6080</v>
      </c>
      <c r="C1724" s="169" t="s">
        <v>6618</v>
      </c>
      <c r="D1724" s="169" t="s">
        <v>1796</v>
      </c>
      <c r="E1724" s="169">
        <v>200</v>
      </c>
      <c r="F1724" s="165"/>
      <c r="G1724" s="165"/>
      <c r="H1724" s="169" t="s">
        <v>6747</v>
      </c>
      <c r="I1724" s="164" t="s">
        <v>2318</v>
      </c>
      <c r="J1724" s="164"/>
      <c r="K1724" s="165"/>
      <c r="L1724" s="165"/>
      <c r="M1724" s="165"/>
      <c r="N1724" s="165"/>
      <c r="O1724" s="165"/>
      <c r="P1724" s="165"/>
      <c r="Q1724" s="165"/>
      <c r="R1724" s="165"/>
      <c r="S1724" s="165"/>
      <c r="T1724" s="165"/>
      <c r="U1724" s="165"/>
      <c r="V1724" s="165"/>
      <c r="W1724" s="165"/>
      <c r="X1724" s="165"/>
      <c r="Y1724" s="165"/>
      <c r="Z1724" s="165"/>
    </row>
    <row r="1725" spans="1:26" ht="15.75" hidden="1" customHeight="1">
      <c r="A1725" s="165" t="s">
        <v>6024</v>
      </c>
      <c r="B1725" s="169" t="s">
        <v>6080</v>
      </c>
      <c r="C1725" s="169" t="s">
        <v>6751</v>
      </c>
      <c r="D1725" s="169" t="s">
        <v>1796</v>
      </c>
      <c r="E1725" s="169">
        <v>200</v>
      </c>
      <c r="F1725" s="165"/>
      <c r="G1725" s="165"/>
      <c r="H1725" s="169" t="s">
        <v>6747</v>
      </c>
      <c r="I1725" s="164" t="s">
        <v>2764</v>
      </c>
      <c r="J1725" s="164"/>
      <c r="K1725" s="165"/>
      <c r="L1725" s="165"/>
      <c r="M1725" s="165"/>
      <c r="N1725" s="165"/>
      <c r="O1725" s="165"/>
      <c r="P1725" s="165"/>
      <c r="Q1725" s="165"/>
      <c r="R1725" s="165"/>
      <c r="S1725" s="165"/>
      <c r="T1725" s="165"/>
      <c r="U1725" s="165"/>
      <c r="V1725" s="165"/>
      <c r="W1725" s="165"/>
      <c r="X1725" s="165"/>
      <c r="Y1725" s="165"/>
      <c r="Z1725" s="165"/>
    </row>
    <row r="1726" spans="1:26" ht="15.75" hidden="1" customHeight="1">
      <c r="A1726" s="165" t="s">
        <v>6024</v>
      </c>
      <c r="B1726" s="169" t="s">
        <v>6080</v>
      </c>
      <c r="C1726" s="169" t="s">
        <v>6752</v>
      </c>
      <c r="D1726" s="169" t="s">
        <v>1796</v>
      </c>
      <c r="E1726" s="169">
        <v>200</v>
      </c>
      <c r="F1726" s="165"/>
      <c r="G1726" s="165"/>
      <c r="H1726" s="169" t="s">
        <v>6747</v>
      </c>
      <c r="I1726" s="164" t="s">
        <v>2764</v>
      </c>
      <c r="J1726" s="164"/>
      <c r="K1726" s="165"/>
      <c r="L1726" s="165"/>
      <c r="M1726" s="165"/>
      <c r="N1726" s="165"/>
      <c r="O1726" s="165"/>
      <c r="P1726" s="165"/>
      <c r="Q1726" s="165"/>
      <c r="R1726" s="165"/>
      <c r="S1726" s="165"/>
      <c r="T1726" s="165"/>
      <c r="U1726" s="165"/>
      <c r="V1726" s="165"/>
      <c r="W1726" s="165"/>
      <c r="X1726" s="165"/>
      <c r="Y1726" s="165"/>
      <c r="Z1726" s="165"/>
    </row>
    <row r="1727" spans="1:26" ht="15.75" hidden="1" customHeight="1">
      <c r="A1727" s="165" t="s">
        <v>6024</v>
      </c>
      <c r="B1727" s="169" t="s">
        <v>6080</v>
      </c>
      <c r="C1727" s="169" t="s">
        <v>6508</v>
      </c>
      <c r="D1727" s="284" t="s">
        <v>1796</v>
      </c>
      <c r="E1727" s="169">
        <v>7</v>
      </c>
      <c r="F1727" s="169">
        <v>23</v>
      </c>
      <c r="G1727" s="169">
        <v>3</v>
      </c>
      <c r="H1727" s="169" t="s">
        <v>6747</v>
      </c>
      <c r="I1727" s="164" t="s">
        <v>2318</v>
      </c>
      <c r="J1727" s="169" t="s">
        <v>800</v>
      </c>
      <c r="K1727" s="165"/>
      <c r="L1727" s="165"/>
      <c r="M1727" s="165"/>
      <c r="N1727" s="165"/>
      <c r="O1727" s="165"/>
      <c r="P1727" s="165"/>
      <c r="Q1727" s="165"/>
      <c r="R1727" s="165"/>
      <c r="S1727" s="165"/>
      <c r="T1727" s="165"/>
      <c r="U1727" s="165"/>
      <c r="V1727" s="165"/>
      <c r="W1727" s="165"/>
      <c r="X1727" s="165"/>
      <c r="Y1727" s="165"/>
      <c r="Z1727" s="165"/>
    </row>
    <row r="1728" spans="1:26" ht="15.75" hidden="1" customHeight="1">
      <c r="A1728" s="165" t="s">
        <v>6024</v>
      </c>
      <c r="B1728" s="169" t="s">
        <v>6080</v>
      </c>
      <c r="C1728" s="169" t="s">
        <v>6509</v>
      </c>
      <c r="D1728" s="284" t="s">
        <v>1796</v>
      </c>
      <c r="E1728" s="169">
        <v>7</v>
      </c>
      <c r="F1728" s="169">
        <v>23</v>
      </c>
      <c r="G1728" s="169">
        <v>3</v>
      </c>
      <c r="H1728" s="169" t="s">
        <v>6747</v>
      </c>
      <c r="I1728" s="164" t="s">
        <v>2318</v>
      </c>
      <c r="J1728" s="169" t="s">
        <v>800</v>
      </c>
      <c r="K1728" s="165"/>
      <c r="L1728" s="165"/>
      <c r="M1728" s="165"/>
      <c r="N1728" s="165"/>
      <c r="O1728" s="165"/>
      <c r="P1728" s="165"/>
      <c r="Q1728" s="165"/>
      <c r="R1728" s="165"/>
      <c r="S1728" s="165"/>
      <c r="T1728" s="165"/>
      <c r="U1728" s="165"/>
      <c r="V1728" s="165"/>
      <c r="W1728" s="165"/>
      <c r="X1728" s="165"/>
      <c r="Y1728" s="165"/>
      <c r="Z1728" s="165"/>
    </row>
    <row r="1729" spans="1:26" ht="15.75" hidden="1" customHeight="1">
      <c r="A1729" s="165" t="s">
        <v>6024</v>
      </c>
      <c r="B1729" s="169" t="s">
        <v>6080</v>
      </c>
      <c r="C1729" s="169" t="s">
        <v>6753</v>
      </c>
      <c r="D1729" s="169" t="s">
        <v>1796</v>
      </c>
      <c r="E1729" s="169">
        <v>20</v>
      </c>
      <c r="F1729" s="165"/>
      <c r="G1729" s="165"/>
      <c r="H1729" s="169" t="s">
        <v>6747</v>
      </c>
      <c r="I1729" s="164" t="s">
        <v>2764</v>
      </c>
      <c r="J1729" s="169"/>
      <c r="K1729" s="165"/>
      <c r="L1729" s="165"/>
      <c r="M1729" s="165"/>
      <c r="N1729" s="165"/>
      <c r="O1729" s="165"/>
      <c r="P1729" s="165"/>
      <c r="Q1729" s="165"/>
      <c r="R1729" s="165"/>
      <c r="S1729" s="165"/>
      <c r="T1729" s="165"/>
      <c r="U1729" s="165"/>
      <c r="V1729" s="165"/>
      <c r="W1729" s="165"/>
      <c r="X1729" s="165"/>
      <c r="Y1729" s="165"/>
      <c r="Z1729" s="165"/>
    </row>
    <row r="1730" spans="1:26" ht="15.75" hidden="1" customHeight="1">
      <c r="A1730" s="165" t="s">
        <v>6024</v>
      </c>
      <c r="B1730" s="169" t="s">
        <v>6080</v>
      </c>
      <c r="C1730" s="169" t="s">
        <v>5158</v>
      </c>
      <c r="D1730" s="169" t="s">
        <v>1796</v>
      </c>
      <c r="E1730" s="169">
        <v>40</v>
      </c>
      <c r="F1730" s="165"/>
      <c r="G1730" s="165"/>
      <c r="H1730" s="169" t="s">
        <v>6747</v>
      </c>
      <c r="I1730" s="164" t="s">
        <v>2764</v>
      </c>
      <c r="J1730" s="169"/>
      <c r="K1730" s="165"/>
      <c r="L1730" s="165"/>
      <c r="M1730" s="165"/>
      <c r="N1730" s="165"/>
      <c r="O1730" s="165"/>
      <c r="P1730" s="165"/>
      <c r="Q1730" s="165"/>
      <c r="R1730" s="165"/>
      <c r="S1730" s="165"/>
      <c r="T1730" s="165"/>
      <c r="U1730" s="165"/>
      <c r="V1730" s="165"/>
      <c r="W1730" s="165"/>
      <c r="X1730" s="165"/>
      <c r="Y1730" s="165"/>
      <c r="Z1730" s="165"/>
    </row>
    <row r="1731" spans="1:26" ht="15.75" hidden="1" customHeight="1">
      <c r="A1731" s="165" t="s">
        <v>6024</v>
      </c>
      <c r="B1731" s="169" t="s">
        <v>6080</v>
      </c>
      <c r="C1731" s="169" t="s">
        <v>6112</v>
      </c>
      <c r="D1731" s="284" t="s">
        <v>1796</v>
      </c>
      <c r="E1731" s="169">
        <v>7</v>
      </c>
      <c r="F1731" s="169">
        <v>23</v>
      </c>
      <c r="G1731" s="169">
        <v>3</v>
      </c>
      <c r="H1731" s="169" t="s">
        <v>6668</v>
      </c>
      <c r="I1731" s="164" t="s">
        <v>2318</v>
      </c>
      <c r="J1731" s="169"/>
      <c r="K1731" s="165"/>
      <c r="L1731" s="165"/>
      <c r="M1731" s="165"/>
      <c r="N1731" s="165"/>
      <c r="O1731" s="165"/>
      <c r="P1731" s="165"/>
      <c r="Q1731" s="165"/>
      <c r="R1731" s="165"/>
      <c r="S1731" s="165"/>
      <c r="T1731" s="165"/>
      <c r="U1731" s="165"/>
      <c r="V1731" s="165"/>
      <c r="W1731" s="165"/>
      <c r="X1731" s="165"/>
      <c r="Y1731" s="165"/>
      <c r="Z1731" s="165"/>
    </row>
    <row r="1732" spans="1:26" ht="15.75" hidden="1" customHeight="1">
      <c r="A1732" s="165" t="s">
        <v>6024</v>
      </c>
      <c r="B1732" s="169" t="s">
        <v>6080</v>
      </c>
      <c r="C1732" s="169" t="s">
        <v>6113</v>
      </c>
      <c r="D1732" s="169" t="s">
        <v>1796</v>
      </c>
      <c r="E1732" s="169">
        <v>200</v>
      </c>
      <c r="F1732" s="165"/>
      <c r="G1732" s="165"/>
      <c r="H1732" s="169" t="s">
        <v>6747</v>
      </c>
      <c r="I1732" s="164" t="s">
        <v>2318</v>
      </c>
      <c r="J1732" s="169"/>
      <c r="K1732" s="165"/>
      <c r="L1732" s="165"/>
      <c r="M1732" s="165"/>
      <c r="N1732" s="165"/>
      <c r="O1732" s="165"/>
      <c r="P1732" s="165"/>
      <c r="Q1732" s="165"/>
      <c r="R1732" s="165"/>
      <c r="S1732" s="165"/>
      <c r="T1732" s="165"/>
      <c r="U1732" s="165"/>
      <c r="V1732" s="165"/>
      <c r="W1732" s="165"/>
      <c r="X1732" s="165"/>
      <c r="Y1732" s="165"/>
      <c r="Z1732" s="165"/>
    </row>
    <row r="1733" spans="1:26" ht="15.75" hidden="1" customHeight="1">
      <c r="A1733" s="165" t="s">
        <v>6024</v>
      </c>
      <c r="B1733" s="169" t="s">
        <v>6080</v>
      </c>
      <c r="C1733" s="169" t="s">
        <v>6114</v>
      </c>
      <c r="D1733" s="169" t="s">
        <v>484</v>
      </c>
      <c r="E1733" s="169">
        <v>4</v>
      </c>
      <c r="F1733" s="169">
        <v>10</v>
      </c>
      <c r="G1733" s="169">
        <v>0</v>
      </c>
      <c r="H1733" s="169" t="s">
        <v>6747</v>
      </c>
      <c r="I1733" s="164" t="s">
        <v>2318</v>
      </c>
      <c r="J1733" s="169"/>
      <c r="K1733" s="165"/>
      <c r="L1733" s="165"/>
      <c r="M1733" s="165"/>
      <c r="N1733" s="165"/>
      <c r="O1733" s="165"/>
      <c r="P1733" s="165"/>
      <c r="Q1733" s="165"/>
      <c r="R1733" s="165"/>
      <c r="S1733" s="165"/>
      <c r="T1733" s="165"/>
      <c r="U1733" s="165"/>
      <c r="V1733" s="165"/>
      <c r="W1733" s="165"/>
      <c r="X1733" s="165"/>
      <c r="Y1733" s="165"/>
      <c r="Z1733" s="165"/>
    </row>
    <row r="1734" spans="1:26" ht="15.75" hidden="1" customHeight="1">
      <c r="A1734" s="165" t="s">
        <v>6024</v>
      </c>
      <c r="B1734" s="169" t="s">
        <v>6080</v>
      </c>
      <c r="C1734" s="169" t="s">
        <v>6027</v>
      </c>
      <c r="D1734" s="284" t="s">
        <v>1796</v>
      </c>
      <c r="E1734" s="169">
        <v>7</v>
      </c>
      <c r="F1734" s="169">
        <v>23</v>
      </c>
      <c r="G1734" s="169">
        <v>3</v>
      </c>
      <c r="H1734" s="169" t="s">
        <v>6668</v>
      </c>
      <c r="I1734" s="164" t="s">
        <v>2318</v>
      </c>
      <c r="J1734" s="169" t="s">
        <v>800</v>
      </c>
      <c r="K1734" s="165"/>
      <c r="L1734" s="165"/>
      <c r="M1734" s="165"/>
      <c r="N1734" s="165"/>
      <c r="O1734" s="165"/>
      <c r="P1734" s="165"/>
      <c r="Q1734" s="165"/>
      <c r="R1734" s="165"/>
      <c r="S1734" s="165"/>
      <c r="T1734" s="165"/>
      <c r="U1734" s="165"/>
      <c r="V1734" s="165"/>
      <c r="W1734" s="165"/>
      <c r="X1734" s="165"/>
      <c r="Y1734" s="165"/>
      <c r="Z1734" s="165"/>
    </row>
    <row r="1735" spans="1:26" ht="15.75" hidden="1" customHeight="1">
      <c r="A1735" s="165" t="s">
        <v>6024</v>
      </c>
      <c r="B1735" s="169" t="s">
        <v>6080</v>
      </c>
      <c r="C1735" s="169" t="s">
        <v>6115</v>
      </c>
      <c r="D1735" s="169" t="s">
        <v>1796</v>
      </c>
      <c r="E1735" s="169">
        <v>200</v>
      </c>
      <c r="F1735" s="165"/>
      <c r="G1735" s="165"/>
      <c r="H1735" s="169" t="s">
        <v>6747</v>
      </c>
      <c r="I1735" s="164" t="s">
        <v>2318</v>
      </c>
      <c r="J1735" s="164"/>
      <c r="K1735" s="165"/>
      <c r="L1735" s="165"/>
      <c r="M1735" s="165"/>
      <c r="N1735" s="165"/>
      <c r="O1735" s="165"/>
      <c r="P1735" s="165"/>
      <c r="Q1735" s="165"/>
      <c r="R1735" s="165"/>
      <c r="S1735" s="165"/>
      <c r="T1735" s="165"/>
      <c r="U1735" s="165"/>
      <c r="V1735" s="165"/>
      <c r="W1735" s="165"/>
      <c r="X1735" s="165"/>
      <c r="Y1735" s="165"/>
      <c r="Z1735" s="165"/>
    </row>
    <row r="1736" spans="1:26" ht="15.75" hidden="1" customHeight="1">
      <c r="A1736" s="165" t="s">
        <v>6024</v>
      </c>
      <c r="B1736" s="169" t="s">
        <v>6080</v>
      </c>
      <c r="C1736" s="169" t="s">
        <v>6116</v>
      </c>
      <c r="D1736" s="169" t="s">
        <v>484</v>
      </c>
      <c r="E1736" s="169">
        <v>4</v>
      </c>
      <c r="F1736" s="169">
        <v>10</v>
      </c>
      <c r="G1736" s="169">
        <v>0</v>
      </c>
      <c r="H1736" s="169" t="s">
        <v>6747</v>
      </c>
      <c r="I1736" s="164" t="s">
        <v>2318</v>
      </c>
      <c r="J1736" s="164"/>
      <c r="K1736" s="165"/>
      <c r="L1736" s="165"/>
      <c r="M1736" s="165"/>
      <c r="N1736" s="165"/>
      <c r="O1736" s="165"/>
      <c r="P1736" s="165"/>
      <c r="Q1736" s="165"/>
      <c r="R1736" s="165"/>
      <c r="S1736" s="165"/>
      <c r="T1736" s="165"/>
      <c r="U1736" s="165"/>
      <c r="V1736" s="165"/>
      <c r="W1736" s="165"/>
      <c r="X1736" s="165"/>
      <c r="Y1736" s="165"/>
      <c r="Z1736" s="165"/>
    </row>
    <row r="1737" spans="1:26" ht="15.75" hidden="1" customHeight="1">
      <c r="A1737" s="165" t="s">
        <v>6024</v>
      </c>
      <c r="B1737" s="169" t="s">
        <v>6080</v>
      </c>
      <c r="C1737" s="169" t="s">
        <v>6117</v>
      </c>
      <c r="D1737" s="169" t="s">
        <v>1796</v>
      </c>
      <c r="E1737" s="169">
        <v>500</v>
      </c>
      <c r="F1737" s="165"/>
      <c r="G1737" s="165"/>
      <c r="H1737" s="169" t="s">
        <v>6747</v>
      </c>
      <c r="I1737" s="164" t="s">
        <v>2318</v>
      </c>
      <c r="J1737" s="164"/>
      <c r="K1737" s="165"/>
      <c r="L1737" s="165"/>
      <c r="M1737" s="165"/>
      <c r="N1737" s="165"/>
      <c r="O1737" s="165"/>
      <c r="P1737" s="165"/>
      <c r="Q1737" s="165"/>
      <c r="R1737" s="165"/>
      <c r="S1737" s="165"/>
      <c r="T1737" s="165"/>
      <c r="U1737" s="165"/>
      <c r="V1737" s="165"/>
      <c r="W1737" s="165"/>
      <c r="X1737" s="165"/>
      <c r="Y1737" s="165"/>
      <c r="Z1737" s="165"/>
    </row>
    <row r="1738" spans="1:26" ht="15.75" hidden="1" customHeight="1">
      <c r="A1738" s="165" t="s">
        <v>6024</v>
      </c>
      <c r="B1738" s="169" t="s">
        <v>6084</v>
      </c>
      <c r="C1738" s="169" t="s">
        <v>325</v>
      </c>
      <c r="D1738" s="169" t="s">
        <v>484</v>
      </c>
      <c r="E1738" s="169">
        <v>4</v>
      </c>
      <c r="F1738" s="169">
        <v>10</v>
      </c>
      <c r="G1738" s="169">
        <v>0</v>
      </c>
      <c r="H1738" s="169" t="s">
        <v>6668</v>
      </c>
      <c r="I1738" s="164" t="s">
        <v>2318</v>
      </c>
      <c r="J1738" s="164"/>
      <c r="K1738" s="165"/>
      <c r="L1738" s="165"/>
      <c r="M1738" s="165"/>
      <c r="N1738" s="165"/>
      <c r="O1738" s="165"/>
      <c r="P1738" s="165"/>
      <c r="Q1738" s="165"/>
      <c r="R1738" s="165"/>
      <c r="S1738" s="165"/>
      <c r="T1738" s="165"/>
      <c r="U1738" s="165"/>
      <c r="V1738" s="165"/>
      <c r="W1738" s="165"/>
      <c r="X1738" s="165"/>
      <c r="Y1738" s="165"/>
      <c r="Z1738" s="165"/>
    </row>
    <row r="1739" spans="1:26" ht="15.75" hidden="1" customHeight="1">
      <c r="A1739" s="165" t="s">
        <v>6024</v>
      </c>
      <c r="B1739" s="169" t="s">
        <v>6084</v>
      </c>
      <c r="C1739" s="169" t="s">
        <v>6090</v>
      </c>
      <c r="D1739" s="169" t="s">
        <v>6118</v>
      </c>
      <c r="E1739" s="169">
        <v>16</v>
      </c>
      <c r="F1739" s="165"/>
      <c r="G1739" s="165"/>
      <c r="H1739" s="169" t="s">
        <v>6668</v>
      </c>
      <c r="I1739" s="164" t="s">
        <v>2318</v>
      </c>
      <c r="J1739" s="164"/>
      <c r="K1739" s="165"/>
      <c r="L1739" s="165"/>
      <c r="M1739" s="165"/>
      <c r="N1739" s="165"/>
      <c r="O1739" s="165"/>
      <c r="P1739" s="165"/>
      <c r="Q1739" s="165"/>
      <c r="R1739" s="165"/>
      <c r="S1739" s="165"/>
      <c r="T1739" s="165"/>
      <c r="U1739" s="165"/>
      <c r="V1739" s="165"/>
      <c r="W1739" s="165"/>
      <c r="X1739" s="165"/>
      <c r="Y1739" s="165"/>
      <c r="Z1739" s="165"/>
    </row>
    <row r="1740" spans="1:26" ht="15.75" hidden="1" customHeight="1">
      <c r="A1740" s="165" t="s">
        <v>6024</v>
      </c>
      <c r="B1740" s="169" t="s">
        <v>6084</v>
      </c>
      <c r="C1740" s="169" t="s">
        <v>6092</v>
      </c>
      <c r="D1740" s="169" t="s">
        <v>1796</v>
      </c>
      <c r="E1740" s="169">
        <v>100</v>
      </c>
      <c r="F1740" s="165"/>
      <c r="G1740" s="165"/>
      <c r="H1740" s="169" t="s">
        <v>6668</v>
      </c>
      <c r="I1740" s="164" t="s">
        <v>2318</v>
      </c>
      <c r="J1740" s="164"/>
      <c r="K1740" s="165"/>
      <c r="L1740" s="165"/>
      <c r="M1740" s="165"/>
      <c r="N1740" s="165"/>
      <c r="O1740" s="165"/>
      <c r="P1740" s="165"/>
      <c r="Q1740" s="165"/>
      <c r="R1740" s="165"/>
      <c r="S1740" s="165"/>
      <c r="T1740" s="165"/>
      <c r="U1740" s="165"/>
      <c r="V1740" s="165"/>
      <c r="W1740" s="165"/>
      <c r="X1740" s="165"/>
      <c r="Y1740" s="165"/>
      <c r="Z1740" s="165"/>
    </row>
    <row r="1741" spans="1:26" ht="15.75" hidden="1" customHeight="1">
      <c r="A1741" s="165" t="s">
        <v>6024</v>
      </c>
      <c r="B1741" s="169" t="s">
        <v>6084</v>
      </c>
      <c r="C1741" s="169" t="s">
        <v>6093</v>
      </c>
      <c r="D1741" s="169" t="s">
        <v>484</v>
      </c>
      <c r="E1741" s="169">
        <v>4</v>
      </c>
      <c r="F1741" s="169">
        <v>10</v>
      </c>
      <c r="G1741" s="169">
        <v>0</v>
      </c>
      <c r="H1741" s="169" t="s">
        <v>6668</v>
      </c>
      <c r="I1741" s="164" t="s">
        <v>2318</v>
      </c>
      <c r="J1741" s="164"/>
      <c r="K1741" s="165"/>
      <c r="L1741" s="165"/>
      <c r="M1741" s="165"/>
      <c r="N1741" s="165"/>
      <c r="O1741" s="165"/>
      <c r="P1741" s="165"/>
      <c r="Q1741" s="165"/>
      <c r="R1741" s="165"/>
      <c r="S1741" s="165"/>
      <c r="T1741" s="165"/>
      <c r="U1741" s="165"/>
      <c r="V1741" s="165"/>
      <c r="W1741" s="165"/>
      <c r="X1741" s="165"/>
      <c r="Y1741" s="165"/>
      <c r="Z1741" s="165"/>
    </row>
    <row r="1742" spans="1:26" ht="15.75" hidden="1" customHeight="1">
      <c r="A1742" s="165" t="s">
        <v>6024</v>
      </c>
      <c r="B1742" s="169" t="s">
        <v>6084</v>
      </c>
      <c r="C1742" s="169" t="s">
        <v>6094</v>
      </c>
      <c r="D1742" s="169" t="s">
        <v>484</v>
      </c>
      <c r="E1742" s="169">
        <v>4</v>
      </c>
      <c r="F1742" s="169">
        <v>10</v>
      </c>
      <c r="G1742" s="169">
        <v>0</v>
      </c>
      <c r="H1742" s="169" t="s">
        <v>6668</v>
      </c>
      <c r="I1742" s="164" t="s">
        <v>2318</v>
      </c>
      <c r="J1742" s="164"/>
      <c r="K1742" s="165"/>
      <c r="L1742" s="165"/>
      <c r="M1742" s="165"/>
      <c r="N1742" s="165"/>
      <c r="O1742" s="165"/>
      <c r="P1742" s="165"/>
      <c r="Q1742" s="165"/>
      <c r="R1742" s="165"/>
      <c r="S1742" s="165"/>
      <c r="T1742" s="165"/>
      <c r="U1742" s="165"/>
      <c r="V1742" s="165"/>
      <c r="W1742" s="165"/>
      <c r="X1742" s="165"/>
      <c r="Y1742" s="165"/>
      <c r="Z1742" s="165"/>
    </row>
    <row r="1743" spans="1:26" ht="15.75" hidden="1" customHeight="1">
      <c r="A1743" s="165" t="s">
        <v>6024</v>
      </c>
      <c r="B1743" s="169" t="s">
        <v>6084</v>
      </c>
      <c r="C1743" s="169" t="s">
        <v>6095</v>
      </c>
      <c r="D1743" s="169" t="s">
        <v>1796</v>
      </c>
      <c r="E1743" s="169">
        <v>100</v>
      </c>
      <c r="F1743" s="165"/>
      <c r="G1743" s="165"/>
      <c r="H1743" s="169" t="s">
        <v>6747</v>
      </c>
      <c r="I1743" s="164" t="s">
        <v>2764</v>
      </c>
      <c r="J1743" s="164"/>
      <c r="K1743" s="165"/>
      <c r="L1743" s="165"/>
      <c r="M1743" s="165"/>
      <c r="N1743" s="165"/>
      <c r="O1743" s="165"/>
      <c r="P1743" s="165"/>
      <c r="Q1743" s="165"/>
      <c r="R1743" s="165"/>
      <c r="S1743" s="165"/>
      <c r="T1743" s="165"/>
      <c r="U1743" s="165"/>
      <c r="V1743" s="165"/>
      <c r="W1743" s="165"/>
      <c r="X1743" s="165"/>
      <c r="Y1743" s="165"/>
      <c r="Z1743" s="165"/>
    </row>
    <row r="1744" spans="1:26" ht="15.75" hidden="1" customHeight="1">
      <c r="A1744" s="165" t="s">
        <v>6024</v>
      </c>
      <c r="B1744" s="169" t="s">
        <v>6084</v>
      </c>
      <c r="C1744" s="169" t="s">
        <v>4306</v>
      </c>
      <c r="D1744" s="169" t="s">
        <v>1796</v>
      </c>
      <c r="E1744" s="169">
        <v>500</v>
      </c>
      <c r="F1744" s="165"/>
      <c r="G1744" s="165"/>
      <c r="H1744" s="169" t="s">
        <v>6747</v>
      </c>
      <c r="I1744" s="164" t="s">
        <v>2764</v>
      </c>
      <c r="J1744" s="164"/>
      <c r="K1744" s="165"/>
      <c r="L1744" s="165"/>
      <c r="M1744" s="165"/>
      <c r="N1744" s="165"/>
      <c r="O1744" s="165"/>
      <c r="P1744" s="165"/>
      <c r="Q1744" s="165"/>
      <c r="R1744" s="165"/>
      <c r="S1744" s="165"/>
      <c r="T1744" s="165"/>
      <c r="U1744" s="165"/>
      <c r="V1744" s="165"/>
      <c r="W1744" s="165"/>
      <c r="X1744" s="165"/>
      <c r="Y1744" s="165"/>
      <c r="Z1744" s="165"/>
    </row>
    <row r="1745" spans="1:26" ht="15.75" hidden="1" customHeight="1">
      <c r="A1745" s="165" t="s">
        <v>6024</v>
      </c>
      <c r="B1745" s="169" t="s">
        <v>6084</v>
      </c>
      <c r="C1745" s="169" t="s">
        <v>4246</v>
      </c>
      <c r="D1745" s="169" t="s">
        <v>1796</v>
      </c>
      <c r="E1745" s="169">
        <v>500</v>
      </c>
      <c r="F1745" s="165"/>
      <c r="G1745" s="165"/>
      <c r="H1745" s="169" t="s">
        <v>6668</v>
      </c>
      <c r="I1745" s="164" t="s">
        <v>2318</v>
      </c>
      <c r="J1745" s="164"/>
      <c r="K1745" s="165"/>
      <c r="L1745" s="165"/>
      <c r="M1745" s="165"/>
      <c r="N1745" s="165"/>
      <c r="O1745" s="165"/>
      <c r="P1745" s="165"/>
      <c r="Q1745" s="165"/>
      <c r="R1745" s="165"/>
      <c r="S1745" s="165"/>
      <c r="T1745" s="165"/>
      <c r="U1745" s="165"/>
      <c r="V1745" s="165"/>
      <c r="W1745" s="165"/>
      <c r="X1745" s="165"/>
      <c r="Y1745" s="165"/>
      <c r="Z1745" s="165"/>
    </row>
    <row r="1746" spans="1:26" ht="15.75" hidden="1" customHeight="1">
      <c r="A1746" s="165" t="s">
        <v>6024</v>
      </c>
      <c r="B1746" s="169" t="s">
        <v>6084</v>
      </c>
      <c r="C1746" s="169" t="s">
        <v>6096</v>
      </c>
      <c r="D1746" s="169" t="s">
        <v>484</v>
      </c>
      <c r="E1746" s="169">
        <v>4</v>
      </c>
      <c r="F1746" s="169">
        <v>10</v>
      </c>
      <c r="G1746" s="169">
        <v>0</v>
      </c>
      <c r="H1746" s="169" t="s">
        <v>6668</v>
      </c>
      <c r="I1746" s="164" t="s">
        <v>2318</v>
      </c>
      <c r="J1746" s="164"/>
      <c r="K1746" s="165"/>
      <c r="L1746" s="165"/>
      <c r="M1746" s="165"/>
      <c r="N1746" s="165"/>
      <c r="O1746" s="165"/>
      <c r="P1746" s="165"/>
      <c r="Q1746" s="165"/>
      <c r="R1746" s="165"/>
      <c r="S1746" s="165"/>
      <c r="T1746" s="165"/>
      <c r="U1746" s="165"/>
      <c r="V1746" s="165"/>
      <c r="W1746" s="165"/>
      <c r="X1746" s="165"/>
      <c r="Y1746" s="165"/>
      <c r="Z1746" s="165"/>
    </row>
    <row r="1747" spans="1:26" ht="15.75" hidden="1" customHeight="1">
      <c r="A1747" s="165" t="s">
        <v>6024</v>
      </c>
      <c r="B1747" s="169" t="s">
        <v>6084</v>
      </c>
      <c r="C1747" s="169" t="s">
        <v>6754</v>
      </c>
      <c r="D1747" s="169" t="s">
        <v>1796</v>
      </c>
      <c r="E1747" s="169">
        <v>2</v>
      </c>
      <c r="F1747" s="165"/>
      <c r="G1747" s="165"/>
      <c r="H1747" s="169" t="s">
        <v>6747</v>
      </c>
      <c r="I1747" s="164" t="s">
        <v>2318</v>
      </c>
      <c r="J1747" s="164"/>
      <c r="K1747" s="165"/>
      <c r="L1747" s="165"/>
      <c r="M1747" s="165"/>
      <c r="N1747" s="165"/>
      <c r="O1747" s="165"/>
      <c r="P1747" s="165"/>
      <c r="Q1747" s="165"/>
      <c r="R1747" s="165"/>
      <c r="S1747" s="165"/>
      <c r="T1747" s="165"/>
      <c r="U1747" s="165"/>
      <c r="V1747" s="165"/>
      <c r="W1747" s="165"/>
      <c r="X1747" s="165"/>
      <c r="Y1747" s="165"/>
      <c r="Z1747" s="165"/>
    </row>
    <row r="1748" spans="1:26" ht="15.75" hidden="1" customHeight="1">
      <c r="A1748" s="165" t="s">
        <v>6024</v>
      </c>
      <c r="B1748" s="169" t="s">
        <v>6084</v>
      </c>
      <c r="C1748" s="169" t="s">
        <v>6755</v>
      </c>
      <c r="D1748" s="169" t="s">
        <v>1796</v>
      </c>
      <c r="E1748" s="169">
        <v>100</v>
      </c>
      <c r="F1748" s="165"/>
      <c r="G1748" s="165"/>
      <c r="H1748" s="169" t="s">
        <v>6747</v>
      </c>
      <c r="I1748" s="164" t="s">
        <v>2318</v>
      </c>
      <c r="J1748" s="164"/>
      <c r="K1748" s="165"/>
      <c r="L1748" s="165"/>
      <c r="M1748" s="165"/>
      <c r="N1748" s="165"/>
      <c r="O1748" s="165"/>
      <c r="P1748" s="165"/>
      <c r="Q1748" s="165"/>
      <c r="R1748" s="165"/>
      <c r="S1748" s="165"/>
      <c r="T1748" s="165"/>
      <c r="U1748" s="165"/>
      <c r="V1748" s="165"/>
      <c r="W1748" s="165"/>
      <c r="X1748" s="165"/>
      <c r="Y1748" s="165"/>
      <c r="Z1748" s="165"/>
    </row>
    <row r="1749" spans="1:26" ht="15.75" hidden="1" customHeight="1">
      <c r="A1749" s="165" t="s">
        <v>6024</v>
      </c>
      <c r="B1749" s="169" t="s">
        <v>6084</v>
      </c>
      <c r="C1749" s="169" t="s">
        <v>6209</v>
      </c>
      <c r="D1749" s="284" t="s">
        <v>477</v>
      </c>
      <c r="E1749" s="169">
        <v>7</v>
      </c>
      <c r="F1749" s="169">
        <v>23</v>
      </c>
      <c r="G1749" s="169">
        <v>3</v>
      </c>
      <c r="H1749" s="169" t="s">
        <v>6747</v>
      </c>
      <c r="I1749" s="164" t="s">
        <v>2318</v>
      </c>
      <c r="J1749" s="169" t="s">
        <v>800</v>
      </c>
      <c r="K1749" s="165"/>
      <c r="L1749" s="165"/>
      <c r="M1749" s="165"/>
      <c r="N1749" s="165"/>
      <c r="O1749" s="165"/>
      <c r="P1749" s="165"/>
      <c r="Q1749" s="165"/>
      <c r="R1749" s="165"/>
      <c r="S1749" s="165"/>
      <c r="T1749" s="165"/>
      <c r="U1749" s="165"/>
      <c r="V1749" s="165"/>
      <c r="W1749" s="165"/>
      <c r="X1749" s="165"/>
      <c r="Y1749" s="165"/>
      <c r="Z1749" s="165"/>
    </row>
    <row r="1750" spans="1:26" ht="15.75" hidden="1" customHeight="1">
      <c r="A1750" s="165" t="s">
        <v>6024</v>
      </c>
      <c r="B1750" s="169" t="s">
        <v>6084</v>
      </c>
      <c r="C1750" s="169" t="s">
        <v>6112</v>
      </c>
      <c r="D1750" s="284" t="s">
        <v>477</v>
      </c>
      <c r="E1750" s="169">
        <v>7</v>
      </c>
      <c r="F1750" s="169">
        <v>23</v>
      </c>
      <c r="G1750" s="169">
        <v>3</v>
      </c>
      <c r="H1750" s="169" t="s">
        <v>6668</v>
      </c>
      <c r="I1750" s="164" t="s">
        <v>2318</v>
      </c>
      <c r="J1750" s="169" t="s">
        <v>800</v>
      </c>
      <c r="K1750" s="165"/>
      <c r="L1750" s="165"/>
      <c r="M1750" s="165"/>
      <c r="N1750" s="165"/>
      <c r="O1750" s="165"/>
      <c r="P1750" s="165"/>
      <c r="Q1750" s="165"/>
      <c r="R1750" s="165"/>
      <c r="S1750" s="165"/>
      <c r="T1750" s="165"/>
      <c r="U1750" s="165"/>
      <c r="V1750" s="165"/>
      <c r="W1750" s="165"/>
      <c r="X1750" s="165"/>
      <c r="Y1750" s="165"/>
      <c r="Z1750" s="165"/>
    </row>
    <row r="1751" spans="1:26" ht="15.75" hidden="1" customHeight="1">
      <c r="A1751" s="165" t="s">
        <v>6024</v>
      </c>
      <c r="B1751" s="169" t="s">
        <v>6084</v>
      </c>
      <c r="C1751" s="169" t="s">
        <v>6113</v>
      </c>
      <c r="D1751" s="169" t="s">
        <v>1796</v>
      </c>
      <c r="E1751" s="169">
        <v>200</v>
      </c>
      <c r="F1751" s="165"/>
      <c r="G1751" s="165"/>
      <c r="H1751" s="169" t="s">
        <v>6747</v>
      </c>
      <c r="I1751" s="164" t="s">
        <v>2318</v>
      </c>
      <c r="J1751" s="169"/>
      <c r="K1751" s="165"/>
      <c r="L1751" s="165"/>
      <c r="M1751" s="165"/>
      <c r="N1751" s="165"/>
      <c r="O1751" s="165"/>
      <c r="P1751" s="165"/>
      <c r="Q1751" s="165"/>
      <c r="R1751" s="165"/>
      <c r="S1751" s="165"/>
      <c r="T1751" s="165"/>
      <c r="U1751" s="165"/>
      <c r="V1751" s="165"/>
      <c r="W1751" s="165"/>
      <c r="X1751" s="165"/>
      <c r="Y1751" s="165"/>
      <c r="Z1751" s="165"/>
    </row>
    <row r="1752" spans="1:26" ht="15.75" hidden="1" customHeight="1">
      <c r="A1752" s="165" t="s">
        <v>6024</v>
      </c>
      <c r="B1752" s="169" t="s">
        <v>6084</v>
      </c>
      <c r="C1752" s="169" t="s">
        <v>6114</v>
      </c>
      <c r="D1752" s="169" t="s">
        <v>484</v>
      </c>
      <c r="E1752" s="169">
        <v>4</v>
      </c>
      <c r="F1752" s="169">
        <v>10</v>
      </c>
      <c r="G1752" s="169">
        <v>0</v>
      </c>
      <c r="H1752" s="169" t="s">
        <v>6747</v>
      </c>
      <c r="I1752" s="164" t="s">
        <v>2318</v>
      </c>
      <c r="J1752" s="169"/>
      <c r="K1752" s="165"/>
      <c r="L1752" s="165"/>
      <c r="M1752" s="165"/>
      <c r="N1752" s="165"/>
      <c r="O1752" s="165"/>
      <c r="P1752" s="165"/>
      <c r="Q1752" s="165"/>
      <c r="R1752" s="165"/>
      <c r="S1752" s="165"/>
      <c r="T1752" s="165"/>
      <c r="U1752" s="165"/>
      <c r="V1752" s="165"/>
      <c r="W1752" s="165"/>
      <c r="X1752" s="165"/>
      <c r="Y1752" s="165"/>
      <c r="Z1752" s="165"/>
    </row>
    <row r="1753" spans="1:26" ht="15.75" hidden="1" customHeight="1">
      <c r="A1753" s="165" t="s">
        <v>6024</v>
      </c>
      <c r="B1753" s="169" t="s">
        <v>6084</v>
      </c>
      <c r="C1753" s="169" t="s">
        <v>6027</v>
      </c>
      <c r="D1753" s="284" t="s">
        <v>477</v>
      </c>
      <c r="E1753" s="169">
        <v>7</v>
      </c>
      <c r="F1753" s="169">
        <v>23</v>
      </c>
      <c r="G1753" s="169">
        <v>3</v>
      </c>
      <c r="H1753" s="169" t="s">
        <v>6668</v>
      </c>
      <c r="I1753" s="164" t="s">
        <v>2318</v>
      </c>
      <c r="J1753" s="169" t="s">
        <v>800</v>
      </c>
      <c r="K1753" s="165"/>
      <c r="L1753" s="165"/>
      <c r="M1753" s="165"/>
      <c r="N1753" s="165"/>
      <c r="O1753" s="165"/>
      <c r="P1753" s="165"/>
      <c r="Q1753" s="165"/>
      <c r="R1753" s="165"/>
      <c r="S1753" s="165"/>
      <c r="T1753" s="165"/>
      <c r="U1753" s="165"/>
      <c r="V1753" s="165"/>
      <c r="W1753" s="165"/>
      <c r="X1753" s="165"/>
      <c r="Y1753" s="165"/>
      <c r="Z1753" s="165"/>
    </row>
    <row r="1754" spans="1:26" ht="15.75" hidden="1" customHeight="1">
      <c r="A1754" s="165" t="s">
        <v>6024</v>
      </c>
      <c r="B1754" s="169" t="s">
        <v>6084</v>
      </c>
      <c r="C1754" s="169" t="s">
        <v>6115</v>
      </c>
      <c r="D1754" s="169" t="s">
        <v>1796</v>
      </c>
      <c r="E1754" s="169">
        <v>200</v>
      </c>
      <c r="F1754" s="165"/>
      <c r="G1754" s="165"/>
      <c r="H1754" s="169" t="s">
        <v>6747</v>
      </c>
      <c r="I1754" s="164" t="s">
        <v>2318</v>
      </c>
      <c r="J1754" s="164"/>
      <c r="K1754" s="165"/>
      <c r="L1754" s="165"/>
      <c r="M1754" s="165"/>
      <c r="N1754" s="165"/>
      <c r="O1754" s="165"/>
      <c r="P1754" s="165"/>
      <c r="Q1754" s="165"/>
      <c r="R1754" s="165"/>
      <c r="S1754" s="165"/>
      <c r="T1754" s="165"/>
      <c r="U1754" s="165"/>
      <c r="V1754" s="165"/>
      <c r="W1754" s="165"/>
      <c r="X1754" s="165"/>
      <c r="Y1754" s="165"/>
      <c r="Z1754" s="165"/>
    </row>
    <row r="1755" spans="1:26" ht="15.75" hidden="1" customHeight="1">
      <c r="A1755" s="165" t="s">
        <v>6024</v>
      </c>
      <c r="B1755" s="169" t="s">
        <v>6084</v>
      </c>
      <c r="C1755" s="169" t="s">
        <v>6116</v>
      </c>
      <c r="D1755" s="169" t="s">
        <v>484</v>
      </c>
      <c r="E1755" s="169">
        <v>4</v>
      </c>
      <c r="F1755" s="169">
        <v>10</v>
      </c>
      <c r="G1755" s="169">
        <v>0</v>
      </c>
      <c r="H1755" s="169" t="s">
        <v>6747</v>
      </c>
      <c r="I1755" s="164" t="s">
        <v>2318</v>
      </c>
      <c r="J1755" s="164"/>
      <c r="K1755" s="165"/>
      <c r="L1755" s="165"/>
      <c r="M1755" s="165"/>
      <c r="N1755" s="165"/>
      <c r="O1755" s="165"/>
      <c r="P1755" s="165"/>
      <c r="Q1755" s="165"/>
      <c r="R1755" s="165"/>
      <c r="S1755" s="165"/>
      <c r="T1755" s="165"/>
      <c r="U1755" s="165"/>
      <c r="V1755" s="165"/>
      <c r="W1755" s="165"/>
      <c r="X1755" s="165"/>
      <c r="Y1755" s="165"/>
      <c r="Z1755" s="165"/>
    </row>
    <row r="1756" spans="1:26" ht="15.75" hidden="1" customHeight="1">
      <c r="A1756" s="165" t="s">
        <v>6024</v>
      </c>
      <c r="B1756" s="169" t="s">
        <v>6084</v>
      </c>
      <c r="C1756" s="169" t="s">
        <v>6117</v>
      </c>
      <c r="D1756" s="169" t="s">
        <v>1796</v>
      </c>
      <c r="E1756" s="169">
        <v>500</v>
      </c>
      <c r="F1756" s="165"/>
      <c r="G1756" s="165"/>
      <c r="H1756" s="169" t="s">
        <v>6747</v>
      </c>
      <c r="I1756" s="164" t="s">
        <v>2318</v>
      </c>
      <c r="J1756" s="164"/>
      <c r="K1756" s="165"/>
      <c r="L1756" s="165"/>
      <c r="M1756" s="165"/>
      <c r="N1756" s="165"/>
      <c r="O1756" s="165"/>
      <c r="P1756" s="165"/>
      <c r="Q1756" s="165"/>
      <c r="R1756" s="165"/>
      <c r="S1756" s="165"/>
      <c r="T1756" s="165"/>
      <c r="U1756" s="165"/>
      <c r="V1756" s="165"/>
      <c r="W1756" s="165"/>
      <c r="X1756" s="165"/>
      <c r="Y1756" s="165"/>
      <c r="Z1756" s="165"/>
    </row>
    <row r="1757" spans="1:26" ht="15.75" hidden="1" customHeight="1">
      <c r="A1757" s="165" t="s">
        <v>6024</v>
      </c>
      <c r="B1757" s="169" t="s">
        <v>6076</v>
      </c>
      <c r="C1757" s="169" t="s">
        <v>325</v>
      </c>
      <c r="D1757" s="169" t="s">
        <v>484</v>
      </c>
      <c r="E1757" s="169">
        <v>4</v>
      </c>
      <c r="F1757" s="169">
        <v>10</v>
      </c>
      <c r="G1757" s="169">
        <v>0</v>
      </c>
      <c r="H1757" s="169" t="s">
        <v>6668</v>
      </c>
      <c r="I1757" s="164" t="s">
        <v>2318</v>
      </c>
      <c r="J1757" s="164"/>
      <c r="K1757" s="165"/>
      <c r="L1757" s="165"/>
      <c r="M1757" s="165"/>
      <c r="N1757" s="165"/>
      <c r="O1757" s="165"/>
      <c r="P1757" s="165"/>
      <c r="Q1757" s="165"/>
      <c r="R1757" s="165"/>
      <c r="S1757" s="165"/>
      <c r="T1757" s="165"/>
      <c r="U1757" s="165"/>
      <c r="V1757" s="165"/>
      <c r="W1757" s="165"/>
      <c r="X1757" s="165"/>
      <c r="Y1757" s="165"/>
      <c r="Z1757" s="165"/>
    </row>
    <row r="1758" spans="1:26" ht="15.75" hidden="1" customHeight="1">
      <c r="A1758" s="165" t="s">
        <v>6024</v>
      </c>
      <c r="B1758" s="169" t="s">
        <v>6076</v>
      </c>
      <c r="C1758" s="169" t="s">
        <v>6090</v>
      </c>
      <c r="D1758" s="169" t="s">
        <v>6118</v>
      </c>
      <c r="E1758" s="169">
        <v>16</v>
      </c>
      <c r="F1758" s="165"/>
      <c r="G1758" s="165"/>
      <c r="H1758" s="169" t="s">
        <v>6668</v>
      </c>
      <c r="I1758" s="164" t="s">
        <v>2318</v>
      </c>
      <c r="J1758" s="164"/>
      <c r="K1758" s="165"/>
      <c r="L1758" s="165"/>
      <c r="M1758" s="165"/>
      <c r="N1758" s="165"/>
      <c r="O1758" s="165"/>
      <c r="P1758" s="165"/>
      <c r="Q1758" s="165"/>
      <c r="R1758" s="165"/>
      <c r="S1758" s="165"/>
      <c r="T1758" s="165"/>
      <c r="U1758" s="165"/>
      <c r="V1758" s="165"/>
      <c r="W1758" s="165"/>
      <c r="X1758" s="165"/>
      <c r="Y1758" s="165"/>
      <c r="Z1758" s="165"/>
    </row>
    <row r="1759" spans="1:26" ht="15.75" hidden="1" customHeight="1">
      <c r="A1759" s="165" t="s">
        <v>6024</v>
      </c>
      <c r="B1759" s="169" t="s">
        <v>6076</v>
      </c>
      <c r="C1759" s="169" t="s">
        <v>6092</v>
      </c>
      <c r="D1759" s="169" t="s">
        <v>1796</v>
      </c>
      <c r="E1759" s="169">
        <v>100</v>
      </c>
      <c r="F1759" s="165"/>
      <c r="G1759" s="165"/>
      <c r="H1759" s="169" t="s">
        <v>6668</v>
      </c>
      <c r="I1759" s="164" t="s">
        <v>2318</v>
      </c>
      <c r="J1759" s="164"/>
      <c r="K1759" s="165"/>
      <c r="L1759" s="165"/>
      <c r="M1759" s="165"/>
      <c r="N1759" s="165"/>
      <c r="O1759" s="165"/>
      <c r="P1759" s="165"/>
      <c r="Q1759" s="165"/>
      <c r="R1759" s="165"/>
      <c r="S1759" s="165"/>
      <c r="T1759" s="165"/>
      <c r="U1759" s="165"/>
      <c r="V1759" s="165"/>
      <c r="W1759" s="165"/>
      <c r="X1759" s="165"/>
      <c r="Y1759" s="165"/>
      <c r="Z1759" s="165"/>
    </row>
    <row r="1760" spans="1:26" ht="15.75" hidden="1" customHeight="1">
      <c r="A1760" s="165" t="s">
        <v>6024</v>
      </c>
      <c r="B1760" s="169" t="s">
        <v>6076</v>
      </c>
      <c r="C1760" s="169" t="s">
        <v>6093</v>
      </c>
      <c r="D1760" s="169" t="s">
        <v>484</v>
      </c>
      <c r="E1760" s="169">
        <v>4</v>
      </c>
      <c r="F1760" s="169">
        <v>10</v>
      </c>
      <c r="G1760" s="169">
        <v>0</v>
      </c>
      <c r="H1760" s="169" t="s">
        <v>6668</v>
      </c>
      <c r="I1760" s="164" t="s">
        <v>2318</v>
      </c>
      <c r="J1760" s="164"/>
      <c r="K1760" s="165"/>
      <c r="L1760" s="165"/>
      <c r="M1760" s="165"/>
      <c r="N1760" s="165"/>
      <c r="O1760" s="165"/>
      <c r="P1760" s="165"/>
      <c r="Q1760" s="165"/>
      <c r="R1760" s="165"/>
      <c r="S1760" s="165"/>
      <c r="T1760" s="165"/>
      <c r="U1760" s="165"/>
      <c r="V1760" s="165"/>
      <c r="W1760" s="165"/>
      <c r="X1760" s="165"/>
      <c r="Y1760" s="165"/>
      <c r="Z1760" s="165"/>
    </row>
    <row r="1761" spans="1:26" ht="15.75" hidden="1" customHeight="1">
      <c r="A1761" s="165" t="s">
        <v>6024</v>
      </c>
      <c r="B1761" s="169" t="s">
        <v>6076</v>
      </c>
      <c r="C1761" s="169" t="s">
        <v>6094</v>
      </c>
      <c r="D1761" s="169" t="s">
        <v>484</v>
      </c>
      <c r="E1761" s="169">
        <v>4</v>
      </c>
      <c r="F1761" s="169">
        <v>10</v>
      </c>
      <c r="G1761" s="169">
        <v>0</v>
      </c>
      <c r="H1761" s="169" t="s">
        <v>6668</v>
      </c>
      <c r="I1761" s="164" t="s">
        <v>2318</v>
      </c>
      <c r="J1761" s="164"/>
      <c r="K1761" s="165"/>
      <c r="L1761" s="165"/>
      <c r="M1761" s="165"/>
      <c r="N1761" s="165"/>
      <c r="O1761" s="165"/>
      <c r="P1761" s="165"/>
      <c r="Q1761" s="165"/>
      <c r="R1761" s="165"/>
      <c r="S1761" s="165"/>
      <c r="T1761" s="165"/>
      <c r="U1761" s="165"/>
      <c r="V1761" s="165"/>
      <c r="W1761" s="165"/>
      <c r="X1761" s="165"/>
      <c r="Y1761" s="165"/>
      <c r="Z1761" s="165"/>
    </row>
    <row r="1762" spans="1:26" ht="15.75" hidden="1" customHeight="1">
      <c r="A1762" s="165" t="s">
        <v>6024</v>
      </c>
      <c r="B1762" s="169" t="s">
        <v>6076</v>
      </c>
      <c r="C1762" s="169" t="s">
        <v>6095</v>
      </c>
      <c r="D1762" s="169" t="s">
        <v>1796</v>
      </c>
      <c r="E1762" s="169">
        <v>100</v>
      </c>
      <c r="F1762" s="165"/>
      <c r="G1762" s="165"/>
      <c r="H1762" s="169" t="s">
        <v>6668</v>
      </c>
      <c r="I1762" s="164" t="s">
        <v>2764</v>
      </c>
      <c r="J1762" s="164"/>
      <c r="K1762" s="165"/>
      <c r="L1762" s="165"/>
      <c r="M1762" s="165"/>
      <c r="N1762" s="165"/>
      <c r="O1762" s="165"/>
      <c r="P1762" s="165"/>
      <c r="Q1762" s="165"/>
      <c r="R1762" s="165"/>
      <c r="S1762" s="165"/>
      <c r="T1762" s="165"/>
      <c r="U1762" s="165"/>
      <c r="V1762" s="165"/>
      <c r="W1762" s="165"/>
      <c r="X1762" s="165"/>
      <c r="Y1762" s="165"/>
      <c r="Z1762" s="165"/>
    </row>
    <row r="1763" spans="1:26" ht="15.75" hidden="1" customHeight="1">
      <c r="A1763" s="165" t="s">
        <v>6024</v>
      </c>
      <c r="B1763" s="169" t="s">
        <v>6076</v>
      </c>
      <c r="C1763" s="169" t="s">
        <v>4306</v>
      </c>
      <c r="D1763" s="169" t="s">
        <v>1796</v>
      </c>
      <c r="E1763" s="169">
        <v>500</v>
      </c>
      <c r="F1763" s="165"/>
      <c r="G1763" s="165"/>
      <c r="H1763" s="169" t="s">
        <v>6668</v>
      </c>
      <c r="I1763" s="164" t="s">
        <v>2764</v>
      </c>
      <c r="J1763" s="164"/>
      <c r="K1763" s="165"/>
      <c r="L1763" s="165"/>
      <c r="M1763" s="165"/>
      <c r="N1763" s="165"/>
      <c r="O1763" s="165"/>
      <c r="P1763" s="165"/>
      <c r="Q1763" s="165"/>
      <c r="R1763" s="165"/>
      <c r="S1763" s="165"/>
      <c r="T1763" s="165"/>
      <c r="U1763" s="165"/>
      <c r="V1763" s="165"/>
      <c r="W1763" s="165"/>
      <c r="X1763" s="165"/>
      <c r="Y1763" s="165"/>
      <c r="Z1763" s="165"/>
    </row>
    <row r="1764" spans="1:26" ht="15.75" hidden="1" customHeight="1">
      <c r="A1764" s="165" t="s">
        <v>6024</v>
      </c>
      <c r="B1764" s="169" t="s">
        <v>6076</v>
      </c>
      <c r="C1764" s="169" t="s">
        <v>4246</v>
      </c>
      <c r="D1764" s="169" t="s">
        <v>1796</v>
      </c>
      <c r="E1764" s="169">
        <v>500</v>
      </c>
      <c r="F1764" s="165"/>
      <c r="G1764" s="165"/>
      <c r="H1764" s="169" t="s">
        <v>6668</v>
      </c>
      <c r="I1764" s="164" t="s">
        <v>2318</v>
      </c>
      <c r="J1764" s="164"/>
      <c r="K1764" s="165"/>
      <c r="L1764" s="165"/>
      <c r="M1764" s="165"/>
      <c r="N1764" s="165"/>
      <c r="O1764" s="165"/>
      <c r="P1764" s="165"/>
      <c r="Q1764" s="165"/>
      <c r="R1764" s="165"/>
      <c r="S1764" s="165"/>
      <c r="T1764" s="165"/>
      <c r="U1764" s="165"/>
      <c r="V1764" s="165"/>
      <c r="W1764" s="165"/>
      <c r="X1764" s="165"/>
      <c r="Y1764" s="165"/>
      <c r="Z1764" s="165"/>
    </row>
    <row r="1765" spans="1:26" ht="15.75" hidden="1" customHeight="1">
      <c r="A1765" s="165" t="s">
        <v>6024</v>
      </c>
      <c r="B1765" s="169" t="s">
        <v>6076</v>
      </c>
      <c r="C1765" s="169" t="s">
        <v>6096</v>
      </c>
      <c r="D1765" s="169" t="s">
        <v>484</v>
      </c>
      <c r="E1765" s="169">
        <v>4</v>
      </c>
      <c r="F1765" s="169">
        <v>10</v>
      </c>
      <c r="G1765" s="169">
        <v>0</v>
      </c>
      <c r="H1765" s="169" t="s">
        <v>6668</v>
      </c>
      <c r="I1765" s="164" t="s">
        <v>2318</v>
      </c>
      <c r="J1765" s="164"/>
      <c r="K1765" s="165"/>
      <c r="L1765" s="165"/>
      <c r="M1765" s="165"/>
      <c r="N1765" s="165"/>
      <c r="O1765" s="165"/>
      <c r="P1765" s="165"/>
      <c r="Q1765" s="165"/>
      <c r="R1765" s="165"/>
      <c r="S1765" s="165"/>
      <c r="T1765" s="165"/>
      <c r="U1765" s="165"/>
      <c r="V1765" s="165"/>
      <c r="W1765" s="165"/>
      <c r="X1765" s="165"/>
      <c r="Y1765" s="165"/>
      <c r="Z1765" s="165"/>
    </row>
    <row r="1766" spans="1:26" ht="15.75" hidden="1" customHeight="1">
      <c r="A1766" s="165" t="s">
        <v>6024</v>
      </c>
      <c r="B1766" s="169" t="s">
        <v>6076</v>
      </c>
      <c r="C1766" s="169" t="s">
        <v>6483</v>
      </c>
      <c r="D1766" s="169" t="s">
        <v>1796</v>
      </c>
      <c r="E1766" s="169">
        <v>30</v>
      </c>
      <c r="F1766" s="165"/>
      <c r="G1766" s="165"/>
      <c r="H1766" s="169" t="s">
        <v>6668</v>
      </c>
      <c r="I1766" s="164" t="s">
        <v>2318</v>
      </c>
      <c r="J1766" s="164"/>
      <c r="K1766" s="165"/>
      <c r="L1766" s="165"/>
      <c r="M1766" s="165"/>
      <c r="N1766" s="165"/>
      <c r="O1766" s="165"/>
      <c r="P1766" s="165"/>
      <c r="Q1766" s="165"/>
      <c r="R1766" s="165"/>
      <c r="S1766" s="165"/>
      <c r="T1766" s="165"/>
      <c r="U1766" s="165"/>
      <c r="V1766" s="165"/>
      <c r="W1766" s="165"/>
      <c r="X1766" s="165"/>
      <c r="Y1766" s="165"/>
      <c r="Z1766" s="165"/>
    </row>
    <row r="1767" spans="1:26" ht="15.75" hidden="1" customHeight="1">
      <c r="A1767" s="165" t="s">
        <v>6024</v>
      </c>
      <c r="B1767" s="169" t="s">
        <v>6076</v>
      </c>
      <c r="C1767" s="169" t="s">
        <v>6484</v>
      </c>
      <c r="D1767" s="169" t="s">
        <v>481</v>
      </c>
      <c r="E1767" s="169">
        <v>17</v>
      </c>
      <c r="F1767" s="169">
        <v>38</v>
      </c>
      <c r="G1767" s="169">
        <v>0</v>
      </c>
      <c r="H1767" s="169" t="s">
        <v>6668</v>
      </c>
      <c r="I1767" s="164" t="s">
        <v>2318</v>
      </c>
      <c r="J1767" s="164"/>
      <c r="K1767" s="165"/>
      <c r="L1767" s="165"/>
      <c r="M1767" s="165"/>
      <c r="N1767" s="165"/>
      <c r="O1767" s="165"/>
      <c r="P1767" s="165"/>
      <c r="Q1767" s="165"/>
      <c r="R1767" s="165"/>
      <c r="S1767" s="165"/>
      <c r="T1767" s="165"/>
      <c r="U1767" s="165"/>
      <c r="V1767" s="165"/>
      <c r="W1767" s="165"/>
      <c r="X1767" s="165"/>
      <c r="Y1767" s="165"/>
      <c r="Z1767" s="165"/>
    </row>
    <row r="1768" spans="1:26" ht="15.75" hidden="1" customHeight="1">
      <c r="A1768" s="165" t="s">
        <v>6024</v>
      </c>
      <c r="B1768" s="169" t="s">
        <v>6076</v>
      </c>
      <c r="C1768" s="169" t="s">
        <v>6485</v>
      </c>
      <c r="D1768" s="169" t="s">
        <v>481</v>
      </c>
      <c r="E1768" s="169">
        <v>17</v>
      </c>
      <c r="F1768" s="169">
        <v>38</v>
      </c>
      <c r="G1768" s="169">
        <v>0</v>
      </c>
      <c r="H1768" s="169" t="s">
        <v>6668</v>
      </c>
      <c r="I1768" s="164" t="s">
        <v>2318</v>
      </c>
      <c r="J1768" s="164"/>
      <c r="K1768" s="165"/>
      <c r="L1768" s="165"/>
      <c r="M1768" s="165"/>
      <c r="N1768" s="165"/>
      <c r="O1768" s="165"/>
      <c r="P1768" s="165"/>
      <c r="Q1768" s="165"/>
      <c r="R1768" s="165"/>
      <c r="S1768" s="165"/>
      <c r="T1768" s="165"/>
      <c r="U1768" s="165"/>
      <c r="V1768" s="165"/>
      <c r="W1768" s="165"/>
      <c r="X1768" s="165"/>
      <c r="Y1768" s="165"/>
      <c r="Z1768" s="165"/>
    </row>
    <row r="1769" spans="1:26" ht="15.75" hidden="1" customHeight="1">
      <c r="A1769" s="165" t="s">
        <v>6024</v>
      </c>
      <c r="B1769" s="169" t="s">
        <v>6076</v>
      </c>
      <c r="C1769" s="169" t="s">
        <v>6209</v>
      </c>
      <c r="D1769" s="284" t="s">
        <v>1796</v>
      </c>
      <c r="E1769" s="169">
        <v>7</v>
      </c>
      <c r="F1769" s="169">
        <v>23</v>
      </c>
      <c r="G1769" s="169">
        <v>3</v>
      </c>
      <c r="H1769" s="169" t="s">
        <v>6668</v>
      </c>
      <c r="I1769" s="164" t="s">
        <v>2318</v>
      </c>
      <c r="J1769" s="169" t="s">
        <v>800</v>
      </c>
      <c r="K1769" s="165"/>
      <c r="L1769" s="165"/>
      <c r="M1769" s="165"/>
      <c r="N1769" s="165"/>
      <c r="O1769" s="165"/>
      <c r="P1769" s="165"/>
      <c r="Q1769" s="165"/>
      <c r="R1769" s="165"/>
      <c r="S1769" s="165"/>
      <c r="T1769" s="165"/>
      <c r="U1769" s="165"/>
      <c r="V1769" s="165"/>
      <c r="W1769" s="165"/>
      <c r="X1769" s="165"/>
      <c r="Y1769" s="165"/>
      <c r="Z1769" s="165"/>
    </row>
    <row r="1770" spans="1:26" ht="15.75" hidden="1" customHeight="1">
      <c r="A1770" s="165" t="s">
        <v>6024</v>
      </c>
      <c r="B1770" s="169" t="s">
        <v>6076</v>
      </c>
      <c r="C1770" s="169" t="s">
        <v>6112</v>
      </c>
      <c r="D1770" s="284" t="s">
        <v>1796</v>
      </c>
      <c r="E1770" s="169">
        <v>7</v>
      </c>
      <c r="F1770" s="169">
        <v>23</v>
      </c>
      <c r="G1770" s="169">
        <v>3</v>
      </c>
      <c r="H1770" s="169" t="s">
        <v>6668</v>
      </c>
      <c r="I1770" s="164" t="s">
        <v>2318</v>
      </c>
      <c r="J1770" s="169" t="s">
        <v>800</v>
      </c>
      <c r="K1770" s="165"/>
      <c r="L1770" s="165"/>
      <c r="M1770" s="165"/>
      <c r="N1770" s="165"/>
      <c r="O1770" s="165"/>
      <c r="P1770" s="165"/>
      <c r="Q1770" s="165"/>
      <c r="R1770" s="165"/>
      <c r="S1770" s="165"/>
      <c r="T1770" s="165"/>
      <c r="U1770" s="165"/>
      <c r="V1770" s="165"/>
      <c r="W1770" s="165"/>
      <c r="X1770" s="165"/>
      <c r="Y1770" s="165"/>
      <c r="Z1770" s="165"/>
    </row>
    <row r="1771" spans="1:26" ht="15.75" hidden="1" customHeight="1">
      <c r="A1771" s="165" t="s">
        <v>6024</v>
      </c>
      <c r="B1771" s="169" t="s">
        <v>6076</v>
      </c>
      <c r="C1771" s="169" t="s">
        <v>6113</v>
      </c>
      <c r="D1771" s="169" t="s">
        <v>1796</v>
      </c>
      <c r="E1771" s="169">
        <v>200</v>
      </c>
      <c r="F1771" s="165"/>
      <c r="G1771" s="165"/>
      <c r="H1771" s="169" t="s">
        <v>6668</v>
      </c>
      <c r="I1771" s="164" t="s">
        <v>2318</v>
      </c>
      <c r="J1771" s="169"/>
      <c r="K1771" s="165"/>
      <c r="L1771" s="165"/>
      <c r="M1771" s="165"/>
      <c r="N1771" s="165"/>
      <c r="O1771" s="165"/>
      <c r="P1771" s="165"/>
      <c r="Q1771" s="165"/>
      <c r="R1771" s="165"/>
      <c r="S1771" s="165"/>
      <c r="T1771" s="165"/>
      <c r="U1771" s="165"/>
      <c r="V1771" s="165"/>
      <c r="W1771" s="165"/>
      <c r="X1771" s="165"/>
      <c r="Y1771" s="165"/>
      <c r="Z1771" s="165"/>
    </row>
    <row r="1772" spans="1:26" ht="15.75" hidden="1" customHeight="1">
      <c r="A1772" s="165" t="s">
        <v>6024</v>
      </c>
      <c r="B1772" s="169" t="s">
        <v>6076</v>
      </c>
      <c r="C1772" s="169" t="s">
        <v>6114</v>
      </c>
      <c r="D1772" s="169" t="s">
        <v>484</v>
      </c>
      <c r="E1772" s="169">
        <v>4</v>
      </c>
      <c r="F1772" s="169">
        <v>10</v>
      </c>
      <c r="G1772" s="169">
        <v>0</v>
      </c>
      <c r="H1772" s="169" t="s">
        <v>6668</v>
      </c>
      <c r="I1772" s="164" t="s">
        <v>2318</v>
      </c>
      <c r="J1772" s="169"/>
      <c r="K1772" s="165"/>
      <c r="L1772" s="165"/>
      <c r="M1772" s="165"/>
      <c r="N1772" s="165"/>
      <c r="O1772" s="165"/>
      <c r="P1772" s="165"/>
      <c r="Q1772" s="165"/>
      <c r="R1772" s="165"/>
      <c r="S1772" s="165"/>
      <c r="T1772" s="165"/>
      <c r="U1772" s="165"/>
      <c r="V1772" s="165"/>
      <c r="W1772" s="165"/>
      <c r="X1772" s="165"/>
      <c r="Y1772" s="165"/>
      <c r="Z1772" s="165"/>
    </row>
    <row r="1773" spans="1:26" ht="15.75" hidden="1" customHeight="1">
      <c r="A1773" s="165" t="s">
        <v>6024</v>
      </c>
      <c r="B1773" s="169" t="s">
        <v>6076</v>
      </c>
      <c r="C1773" s="169" t="s">
        <v>6027</v>
      </c>
      <c r="D1773" s="284" t="s">
        <v>1796</v>
      </c>
      <c r="E1773" s="169">
        <v>7</v>
      </c>
      <c r="F1773" s="169">
        <v>23</v>
      </c>
      <c r="G1773" s="169">
        <v>3</v>
      </c>
      <c r="H1773" s="169" t="s">
        <v>6668</v>
      </c>
      <c r="I1773" s="164" t="s">
        <v>2318</v>
      </c>
      <c r="J1773" s="169" t="s">
        <v>800</v>
      </c>
      <c r="K1773" s="165"/>
      <c r="L1773" s="165"/>
      <c r="M1773" s="165"/>
      <c r="N1773" s="165"/>
      <c r="O1773" s="165"/>
      <c r="P1773" s="165"/>
      <c r="Q1773" s="165"/>
      <c r="R1773" s="165"/>
      <c r="S1773" s="165"/>
      <c r="T1773" s="165"/>
      <c r="U1773" s="165"/>
      <c r="V1773" s="165"/>
      <c r="W1773" s="165"/>
      <c r="X1773" s="165"/>
      <c r="Y1773" s="165"/>
      <c r="Z1773" s="165"/>
    </row>
    <row r="1774" spans="1:26" ht="15.75" hidden="1" customHeight="1">
      <c r="A1774" s="165" t="s">
        <v>6024</v>
      </c>
      <c r="B1774" s="169" t="s">
        <v>6076</v>
      </c>
      <c r="C1774" s="169" t="s">
        <v>6115</v>
      </c>
      <c r="D1774" s="169" t="s">
        <v>1796</v>
      </c>
      <c r="E1774" s="169">
        <v>200</v>
      </c>
      <c r="F1774" s="165"/>
      <c r="G1774" s="165"/>
      <c r="H1774" s="169" t="s">
        <v>6668</v>
      </c>
      <c r="I1774" s="164" t="s">
        <v>2318</v>
      </c>
      <c r="J1774" s="164"/>
      <c r="K1774" s="165"/>
      <c r="L1774" s="165"/>
      <c r="M1774" s="165"/>
      <c r="N1774" s="165"/>
      <c r="O1774" s="165"/>
      <c r="P1774" s="165"/>
      <c r="Q1774" s="165"/>
      <c r="R1774" s="165"/>
      <c r="S1774" s="165"/>
      <c r="T1774" s="165"/>
      <c r="U1774" s="165"/>
      <c r="V1774" s="165"/>
      <c r="W1774" s="165"/>
      <c r="X1774" s="165"/>
      <c r="Y1774" s="165"/>
      <c r="Z1774" s="165"/>
    </row>
    <row r="1775" spans="1:26" ht="15.75" hidden="1" customHeight="1">
      <c r="A1775" s="165" t="s">
        <v>6024</v>
      </c>
      <c r="B1775" s="169" t="s">
        <v>6076</v>
      </c>
      <c r="C1775" s="169" t="s">
        <v>6116</v>
      </c>
      <c r="D1775" s="169" t="s">
        <v>484</v>
      </c>
      <c r="E1775" s="169">
        <v>4</v>
      </c>
      <c r="F1775" s="169">
        <v>10</v>
      </c>
      <c r="G1775" s="169">
        <v>0</v>
      </c>
      <c r="H1775" s="169" t="s">
        <v>6668</v>
      </c>
      <c r="I1775" s="164" t="s">
        <v>2318</v>
      </c>
      <c r="J1775" s="164"/>
      <c r="K1775" s="165"/>
      <c r="L1775" s="165"/>
      <c r="M1775" s="165"/>
      <c r="N1775" s="165"/>
      <c r="O1775" s="165"/>
      <c r="P1775" s="165"/>
      <c r="Q1775" s="165"/>
      <c r="R1775" s="165"/>
      <c r="S1775" s="165"/>
      <c r="T1775" s="165"/>
      <c r="U1775" s="165"/>
      <c r="V1775" s="165"/>
      <c r="W1775" s="165"/>
      <c r="X1775" s="165"/>
      <c r="Y1775" s="165"/>
      <c r="Z1775" s="165"/>
    </row>
    <row r="1776" spans="1:26" ht="15.75" hidden="1" customHeight="1">
      <c r="A1776" s="165" t="s">
        <v>6024</v>
      </c>
      <c r="B1776" s="169" t="s">
        <v>6076</v>
      </c>
      <c r="C1776" s="169" t="s">
        <v>6117</v>
      </c>
      <c r="D1776" s="169" t="s">
        <v>1796</v>
      </c>
      <c r="E1776" s="169">
        <v>500</v>
      </c>
      <c r="F1776" s="165"/>
      <c r="G1776" s="165"/>
      <c r="H1776" s="169" t="s">
        <v>6668</v>
      </c>
      <c r="I1776" s="164" t="s">
        <v>2318</v>
      </c>
      <c r="J1776" s="164"/>
      <c r="K1776" s="165"/>
      <c r="L1776" s="165"/>
      <c r="M1776" s="165"/>
      <c r="N1776" s="165"/>
      <c r="O1776" s="165"/>
      <c r="P1776" s="165"/>
      <c r="Q1776" s="165"/>
      <c r="R1776" s="165"/>
      <c r="S1776" s="165"/>
      <c r="T1776" s="165"/>
      <c r="U1776" s="165"/>
      <c r="V1776" s="165"/>
      <c r="W1776" s="165"/>
      <c r="X1776" s="165"/>
      <c r="Y1776" s="165"/>
      <c r="Z1776" s="165"/>
    </row>
    <row r="1777" spans="1:26" ht="15.75" customHeight="1">
      <c r="A1777" s="165" t="s">
        <v>6024</v>
      </c>
      <c r="B1777" s="169" t="s">
        <v>6085</v>
      </c>
      <c r="C1777" s="169" t="s">
        <v>325</v>
      </c>
      <c r="D1777" s="169" t="s">
        <v>484</v>
      </c>
      <c r="E1777" s="169">
        <v>4</v>
      </c>
      <c r="F1777" s="169">
        <v>10</v>
      </c>
      <c r="G1777" s="169">
        <v>0</v>
      </c>
      <c r="H1777" s="169" t="s">
        <v>6668</v>
      </c>
      <c r="I1777" s="164" t="s">
        <v>2318</v>
      </c>
      <c r="J1777" s="164"/>
      <c r="K1777" s="165"/>
      <c r="L1777" s="165"/>
      <c r="M1777" s="165"/>
      <c r="N1777" s="165"/>
      <c r="O1777" s="165"/>
      <c r="P1777" s="165"/>
      <c r="Q1777" s="165"/>
      <c r="R1777" s="165"/>
      <c r="S1777" s="165"/>
      <c r="T1777" s="165"/>
      <c r="U1777" s="165"/>
      <c r="V1777" s="165"/>
      <c r="W1777" s="165"/>
      <c r="X1777" s="165"/>
      <c r="Y1777" s="165"/>
      <c r="Z1777" s="165"/>
    </row>
    <row r="1778" spans="1:26" ht="15.75" customHeight="1">
      <c r="A1778" s="165" t="s">
        <v>6024</v>
      </c>
      <c r="B1778" s="169" t="s">
        <v>6085</v>
      </c>
      <c r="C1778" s="169" t="s">
        <v>6090</v>
      </c>
      <c r="D1778" s="169" t="s">
        <v>6118</v>
      </c>
      <c r="E1778" s="169">
        <v>16</v>
      </c>
      <c r="F1778" s="165"/>
      <c r="G1778" s="165"/>
      <c r="H1778" s="169" t="s">
        <v>6668</v>
      </c>
      <c r="I1778" s="164" t="s">
        <v>2318</v>
      </c>
      <c r="J1778" s="164"/>
      <c r="K1778" s="165"/>
      <c r="L1778" s="165"/>
      <c r="M1778" s="165"/>
      <c r="N1778" s="165"/>
      <c r="O1778" s="165"/>
      <c r="P1778" s="165"/>
      <c r="Q1778" s="165"/>
      <c r="R1778" s="165"/>
      <c r="S1778" s="165"/>
      <c r="T1778" s="165"/>
      <c r="U1778" s="165"/>
      <c r="V1778" s="165"/>
      <c r="W1778" s="165"/>
      <c r="X1778" s="165"/>
      <c r="Y1778" s="165"/>
      <c r="Z1778" s="165"/>
    </row>
    <row r="1779" spans="1:26" ht="15.75" customHeight="1">
      <c r="A1779" s="165" t="s">
        <v>6024</v>
      </c>
      <c r="B1779" s="169" t="s">
        <v>6085</v>
      </c>
      <c r="C1779" s="169" t="s">
        <v>6092</v>
      </c>
      <c r="D1779" s="169" t="s">
        <v>1796</v>
      </c>
      <c r="E1779" s="169">
        <v>100</v>
      </c>
      <c r="F1779" s="165"/>
      <c r="G1779" s="165"/>
      <c r="H1779" s="169" t="s">
        <v>6668</v>
      </c>
      <c r="I1779" s="164" t="s">
        <v>2318</v>
      </c>
      <c r="J1779" s="164"/>
      <c r="K1779" s="165"/>
      <c r="L1779" s="165"/>
      <c r="M1779" s="165"/>
      <c r="N1779" s="165"/>
      <c r="O1779" s="165"/>
      <c r="P1779" s="165"/>
      <c r="Q1779" s="165"/>
      <c r="R1779" s="165"/>
      <c r="S1779" s="165"/>
      <c r="T1779" s="165"/>
      <c r="U1779" s="165"/>
      <c r="V1779" s="165"/>
      <c r="W1779" s="165"/>
      <c r="X1779" s="165"/>
      <c r="Y1779" s="165"/>
      <c r="Z1779" s="165"/>
    </row>
    <row r="1780" spans="1:26" ht="15.75" customHeight="1">
      <c r="A1780" s="165" t="s">
        <v>6024</v>
      </c>
      <c r="B1780" s="169" t="s">
        <v>6085</v>
      </c>
      <c r="C1780" s="169" t="s">
        <v>6093</v>
      </c>
      <c r="D1780" s="169" t="s">
        <v>484</v>
      </c>
      <c r="E1780" s="169">
        <v>4</v>
      </c>
      <c r="F1780" s="169">
        <v>10</v>
      </c>
      <c r="G1780" s="169">
        <v>0</v>
      </c>
      <c r="H1780" s="169" t="s">
        <v>6668</v>
      </c>
      <c r="I1780" s="164" t="s">
        <v>2318</v>
      </c>
      <c r="J1780" s="164"/>
      <c r="K1780" s="165"/>
      <c r="L1780" s="165"/>
      <c r="M1780" s="165"/>
      <c r="N1780" s="165"/>
      <c r="O1780" s="165"/>
      <c r="P1780" s="165"/>
      <c r="Q1780" s="165"/>
      <c r="R1780" s="165"/>
      <c r="S1780" s="165"/>
      <c r="T1780" s="165"/>
      <c r="U1780" s="165"/>
      <c r="V1780" s="165"/>
      <c r="W1780" s="165"/>
      <c r="X1780" s="165"/>
      <c r="Y1780" s="165"/>
      <c r="Z1780" s="165"/>
    </row>
    <row r="1781" spans="1:26" ht="15.75" customHeight="1">
      <c r="A1781" s="165" t="s">
        <v>6024</v>
      </c>
      <c r="B1781" s="169" t="s">
        <v>6085</v>
      </c>
      <c r="C1781" s="169" t="s">
        <v>6094</v>
      </c>
      <c r="D1781" s="169" t="s">
        <v>484</v>
      </c>
      <c r="E1781" s="169">
        <v>4</v>
      </c>
      <c r="F1781" s="169">
        <v>10</v>
      </c>
      <c r="G1781" s="169">
        <v>0</v>
      </c>
      <c r="H1781" s="169" t="s">
        <v>6668</v>
      </c>
      <c r="I1781" s="164" t="s">
        <v>2318</v>
      </c>
      <c r="J1781" s="164"/>
      <c r="K1781" s="165"/>
      <c r="L1781" s="165"/>
      <c r="M1781" s="165"/>
      <c r="N1781" s="165"/>
      <c r="O1781" s="165"/>
      <c r="P1781" s="165"/>
      <c r="Q1781" s="165"/>
      <c r="R1781" s="165"/>
      <c r="S1781" s="165"/>
      <c r="T1781" s="165"/>
      <c r="U1781" s="165"/>
      <c r="V1781" s="165"/>
      <c r="W1781" s="165"/>
      <c r="X1781" s="165"/>
      <c r="Y1781" s="165"/>
      <c r="Z1781" s="165"/>
    </row>
    <row r="1782" spans="1:26" ht="15.75" customHeight="1">
      <c r="A1782" s="165" t="s">
        <v>6024</v>
      </c>
      <c r="B1782" s="169" t="s">
        <v>6085</v>
      </c>
      <c r="C1782" s="169" t="s">
        <v>6095</v>
      </c>
      <c r="D1782" s="169" t="s">
        <v>1796</v>
      </c>
      <c r="E1782" s="169">
        <v>100</v>
      </c>
      <c r="F1782" s="165"/>
      <c r="G1782" s="165"/>
      <c r="H1782" s="169" t="s">
        <v>6668</v>
      </c>
      <c r="I1782" s="164" t="s">
        <v>2764</v>
      </c>
      <c r="J1782" s="164"/>
      <c r="K1782" s="165"/>
      <c r="L1782" s="165"/>
      <c r="M1782" s="165"/>
      <c r="N1782" s="165"/>
      <c r="O1782" s="165"/>
      <c r="P1782" s="165"/>
      <c r="Q1782" s="165"/>
      <c r="R1782" s="165"/>
      <c r="S1782" s="165"/>
      <c r="T1782" s="165"/>
      <c r="U1782" s="165"/>
      <c r="V1782" s="165"/>
      <c r="W1782" s="165"/>
      <c r="X1782" s="165"/>
      <c r="Y1782" s="165"/>
      <c r="Z1782" s="165"/>
    </row>
    <row r="1783" spans="1:26" ht="15.75" customHeight="1">
      <c r="A1783" s="165" t="s">
        <v>6024</v>
      </c>
      <c r="B1783" s="169" t="s">
        <v>6085</v>
      </c>
      <c r="C1783" s="169" t="s">
        <v>4306</v>
      </c>
      <c r="D1783" s="169" t="s">
        <v>1796</v>
      </c>
      <c r="E1783" s="169">
        <v>500</v>
      </c>
      <c r="F1783" s="165"/>
      <c r="G1783" s="165"/>
      <c r="H1783" s="169" t="s">
        <v>6668</v>
      </c>
      <c r="I1783" s="164" t="s">
        <v>2764</v>
      </c>
      <c r="J1783" s="164"/>
      <c r="K1783" s="165"/>
      <c r="L1783" s="165"/>
      <c r="M1783" s="165"/>
      <c r="N1783" s="165"/>
      <c r="O1783" s="165"/>
      <c r="P1783" s="165"/>
      <c r="Q1783" s="165"/>
      <c r="R1783" s="165"/>
      <c r="S1783" s="165"/>
      <c r="T1783" s="165"/>
      <c r="U1783" s="165"/>
      <c r="V1783" s="165"/>
      <c r="W1783" s="165"/>
      <c r="X1783" s="165"/>
      <c r="Y1783" s="165"/>
      <c r="Z1783" s="165"/>
    </row>
    <row r="1784" spans="1:26" ht="15.75" customHeight="1">
      <c r="A1784" s="165" t="s">
        <v>6024</v>
      </c>
      <c r="B1784" s="169" t="s">
        <v>6085</v>
      </c>
      <c r="C1784" s="169" t="s">
        <v>4246</v>
      </c>
      <c r="D1784" s="169" t="s">
        <v>1796</v>
      </c>
      <c r="E1784" s="169">
        <v>500</v>
      </c>
      <c r="F1784" s="165"/>
      <c r="G1784" s="165"/>
      <c r="H1784" s="169" t="s">
        <v>6668</v>
      </c>
      <c r="I1784" s="164" t="s">
        <v>2318</v>
      </c>
      <c r="J1784" s="164"/>
      <c r="K1784" s="165"/>
      <c r="L1784" s="165"/>
      <c r="M1784" s="165"/>
      <c r="N1784" s="165"/>
      <c r="O1784" s="165"/>
      <c r="P1784" s="165"/>
      <c r="Q1784" s="165"/>
      <c r="R1784" s="165"/>
      <c r="S1784" s="165"/>
      <c r="T1784" s="165"/>
      <c r="U1784" s="165"/>
      <c r="V1784" s="165"/>
      <c r="W1784" s="165"/>
      <c r="X1784" s="165"/>
      <c r="Y1784" s="165"/>
      <c r="Z1784" s="165"/>
    </row>
    <row r="1785" spans="1:26" ht="15.75" customHeight="1">
      <c r="A1785" s="165" t="s">
        <v>6024</v>
      </c>
      <c r="B1785" s="169" t="s">
        <v>6085</v>
      </c>
      <c r="C1785" s="169" t="s">
        <v>6096</v>
      </c>
      <c r="D1785" s="169" t="s">
        <v>484</v>
      </c>
      <c r="E1785" s="169">
        <v>4</v>
      </c>
      <c r="F1785" s="169">
        <v>10</v>
      </c>
      <c r="G1785" s="169">
        <v>0</v>
      </c>
      <c r="H1785" s="169" t="s">
        <v>6668</v>
      </c>
      <c r="I1785" s="164" t="s">
        <v>2318</v>
      </c>
      <c r="J1785" s="164"/>
      <c r="K1785" s="165"/>
      <c r="L1785" s="165"/>
      <c r="M1785" s="165"/>
      <c r="N1785" s="165"/>
      <c r="O1785" s="165"/>
      <c r="P1785" s="165"/>
      <c r="Q1785" s="165"/>
      <c r="R1785" s="165"/>
      <c r="S1785" s="165"/>
      <c r="T1785" s="165"/>
      <c r="U1785" s="165"/>
      <c r="V1785" s="165"/>
      <c r="W1785" s="165"/>
      <c r="X1785" s="165"/>
      <c r="Y1785" s="165"/>
      <c r="Z1785" s="165"/>
    </row>
    <row r="1786" spans="1:26" ht="15.75" customHeight="1">
      <c r="A1786" s="165" t="s">
        <v>6024</v>
      </c>
      <c r="B1786" s="169" t="s">
        <v>6085</v>
      </c>
      <c r="C1786" s="169" t="s">
        <v>6756</v>
      </c>
      <c r="D1786" s="169" t="s">
        <v>1796</v>
      </c>
      <c r="E1786" s="169">
        <v>200</v>
      </c>
      <c r="F1786" s="165"/>
      <c r="G1786" s="165"/>
      <c r="H1786" s="169" t="s">
        <v>6668</v>
      </c>
      <c r="I1786" s="164" t="s">
        <v>2318</v>
      </c>
      <c r="J1786" s="164"/>
      <c r="K1786" s="165"/>
      <c r="L1786" s="165"/>
      <c r="M1786" s="165"/>
      <c r="N1786" s="165"/>
      <c r="O1786" s="165"/>
      <c r="P1786" s="165"/>
      <c r="Q1786" s="165"/>
      <c r="R1786" s="165"/>
      <c r="S1786" s="165"/>
      <c r="T1786" s="165"/>
      <c r="U1786" s="165"/>
      <c r="V1786" s="165"/>
      <c r="W1786" s="165"/>
      <c r="X1786" s="165"/>
      <c r="Y1786" s="165"/>
      <c r="Z1786" s="165"/>
    </row>
    <row r="1787" spans="1:26" ht="15.75" customHeight="1">
      <c r="A1787" s="165" t="s">
        <v>6024</v>
      </c>
      <c r="B1787" s="169" t="s">
        <v>6085</v>
      </c>
      <c r="C1787" s="169" t="s">
        <v>6757</v>
      </c>
      <c r="D1787" s="169" t="s">
        <v>1796</v>
      </c>
      <c r="E1787" s="169">
        <v>200</v>
      </c>
      <c r="F1787" s="165"/>
      <c r="G1787" s="165"/>
      <c r="H1787" s="169" t="s">
        <v>6668</v>
      </c>
      <c r="I1787" s="164" t="s">
        <v>2318</v>
      </c>
      <c r="J1787" s="164"/>
      <c r="K1787" s="165"/>
      <c r="L1787" s="165"/>
      <c r="M1787" s="165"/>
      <c r="N1787" s="165"/>
      <c r="O1787" s="165"/>
      <c r="P1787" s="165"/>
      <c r="Q1787" s="165"/>
      <c r="R1787" s="165"/>
      <c r="S1787" s="165"/>
      <c r="T1787" s="165"/>
      <c r="U1787" s="165"/>
      <c r="V1787" s="165"/>
      <c r="W1787" s="165"/>
      <c r="X1787" s="165"/>
      <c r="Y1787" s="165"/>
      <c r="Z1787" s="165"/>
    </row>
    <row r="1788" spans="1:26" ht="15.75" customHeight="1">
      <c r="A1788" s="165" t="s">
        <v>6024</v>
      </c>
      <c r="B1788" s="169" t="s">
        <v>6085</v>
      </c>
      <c r="C1788" s="169" t="s">
        <v>6758</v>
      </c>
      <c r="D1788" s="169" t="s">
        <v>1796</v>
      </c>
      <c r="E1788" s="169">
        <v>200</v>
      </c>
      <c r="F1788" s="165"/>
      <c r="G1788" s="165"/>
      <c r="H1788" s="169" t="s">
        <v>6668</v>
      </c>
      <c r="I1788" s="164" t="s">
        <v>2318</v>
      </c>
      <c r="J1788" s="164"/>
      <c r="K1788" s="165"/>
      <c r="L1788" s="165"/>
      <c r="M1788" s="165"/>
      <c r="N1788" s="165"/>
      <c r="O1788" s="165"/>
      <c r="P1788" s="165"/>
      <c r="Q1788" s="165"/>
      <c r="R1788" s="165"/>
      <c r="S1788" s="165"/>
      <c r="T1788" s="165"/>
      <c r="U1788" s="165"/>
      <c r="V1788" s="165"/>
      <c r="W1788" s="165"/>
      <c r="X1788" s="165"/>
      <c r="Y1788" s="165"/>
      <c r="Z1788" s="165"/>
    </row>
    <row r="1789" spans="1:26" ht="15.75" customHeight="1">
      <c r="A1789" s="165" t="s">
        <v>6024</v>
      </c>
      <c r="B1789" s="169" t="s">
        <v>6085</v>
      </c>
      <c r="C1789" s="169" t="s">
        <v>6112</v>
      </c>
      <c r="D1789" s="284" t="s">
        <v>1796</v>
      </c>
      <c r="E1789" s="169">
        <v>7</v>
      </c>
      <c r="F1789" s="169">
        <v>23</v>
      </c>
      <c r="G1789" s="169">
        <v>3</v>
      </c>
      <c r="H1789" s="169" t="s">
        <v>6668</v>
      </c>
      <c r="I1789" s="164" t="s">
        <v>2318</v>
      </c>
      <c r="J1789" s="169" t="s">
        <v>800</v>
      </c>
      <c r="K1789" s="165"/>
      <c r="L1789" s="165"/>
      <c r="M1789" s="165"/>
      <c r="N1789" s="165"/>
      <c r="O1789" s="165"/>
      <c r="P1789" s="165"/>
      <c r="Q1789" s="165"/>
      <c r="R1789" s="165"/>
      <c r="S1789" s="165"/>
      <c r="T1789" s="165"/>
      <c r="U1789" s="165"/>
      <c r="V1789" s="165"/>
      <c r="W1789" s="165"/>
      <c r="X1789" s="165"/>
      <c r="Y1789" s="165"/>
      <c r="Z1789" s="165"/>
    </row>
    <row r="1790" spans="1:26" ht="15.75" customHeight="1">
      <c r="A1790" s="165" t="s">
        <v>6024</v>
      </c>
      <c r="B1790" s="169" t="s">
        <v>6085</v>
      </c>
      <c r="C1790" s="169" t="s">
        <v>6113</v>
      </c>
      <c r="D1790" s="169" t="s">
        <v>1796</v>
      </c>
      <c r="E1790" s="169">
        <v>200</v>
      </c>
      <c r="F1790" s="165"/>
      <c r="G1790" s="165"/>
      <c r="H1790" s="169" t="s">
        <v>6668</v>
      </c>
      <c r="I1790" s="164" t="s">
        <v>2318</v>
      </c>
      <c r="J1790" s="169"/>
      <c r="K1790" s="165"/>
      <c r="L1790" s="165"/>
      <c r="M1790" s="165"/>
      <c r="N1790" s="165"/>
      <c r="O1790" s="165"/>
      <c r="P1790" s="165"/>
      <c r="Q1790" s="165"/>
      <c r="R1790" s="165"/>
      <c r="S1790" s="165"/>
      <c r="T1790" s="165"/>
      <c r="U1790" s="165"/>
      <c r="V1790" s="165"/>
      <c r="W1790" s="165"/>
      <c r="X1790" s="165"/>
      <c r="Y1790" s="165"/>
      <c r="Z1790" s="165"/>
    </row>
    <row r="1791" spans="1:26" ht="15.75" customHeight="1">
      <c r="A1791" s="165" t="s">
        <v>6024</v>
      </c>
      <c r="B1791" s="169" t="s">
        <v>6085</v>
      </c>
      <c r="C1791" s="169" t="s">
        <v>6114</v>
      </c>
      <c r="D1791" s="169" t="s">
        <v>484</v>
      </c>
      <c r="E1791" s="169">
        <v>4</v>
      </c>
      <c r="F1791" s="169">
        <v>10</v>
      </c>
      <c r="G1791" s="169">
        <v>0</v>
      </c>
      <c r="H1791" s="169" t="s">
        <v>6668</v>
      </c>
      <c r="I1791" s="164" t="s">
        <v>2318</v>
      </c>
      <c r="J1791" s="169"/>
      <c r="K1791" s="165"/>
      <c r="L1791" s="165"/>
      <c r="M1791" s="165"/>
      <c r="N1791" s="165"/>
      <c r="O1791" s="165"/>
      <c r="P1791" s="165"/>
      <c r="Q1791" s="165"/>
      <c r="R1791" s="165"/>
      <c r="S1791" s="165"/>
      <c r="T1791" s="165"/>
      <c r="U1791" s="165"/>
      <c r="V1791" s="165"/>
      <c r="W1791" s="165"/>
      <c r="X1791" s="165"/>
      <c r="Y1791" s="165"/>
      <c r="Z1791" s="165"/>
    </row>
    <row r="1792" spans="1:26" ht="15.75" customHeight="1">
      <c r="A1792" s="165" t="s">
        <v>6024</v>
      </c>
      <c r="B1792" s="169" t="s">
        <v>6085</v>
      </c>
      <c r="C1792" s="169" t="s">
        <v>6027</v>
      </c>
      <c r="D1792" s="284" t="s">
        <v>1796</v>
      </c>
      <c r="E1792" s="169">
        <v>7</v>
      </c>
      <c r="F1792" s="169">
        <v>23</v>
      </c>
      <c r="G1792" s="169">
        <v>3</v>
      </c>
      <c r="H1792" s="169" t="s">
        <v>6668</v>
      </c>
      <c r="I1792" s="164" t="s">
        <v>2318</v>
      </c>
      <c r="J1792" s="169" t="s">
        <v>800</v>
      </c>
      <c r="K1792" s="165"/>
      <c r="L1792" s="165"/>
      <c r="M1792" s="165"/>
      <c r="N1792" s="165"/>
      <c r="O1792" s="165"/>
      <c r="P1792" s="165"/>
      <c r="Q1792" s="165"/>
      <c r="R1792" s="165"/>
      <c r="S1792" s="165"/>
      <c r="T1792" s="165"/>
      <c r="U1792" s="165"/>
      <c r="V1792" s="165"/>
      <c r="W1792" s="165"/>
      <c r="X1792" s="165"/>
      <c r="Y1792" s="165"/>
      <c r="Z1792" s="165"/>
    </row>
    <row r="1793" spans="1:26" ht="15.75" customHeight="1">
      <c r="A1793" s="165" t="s">
        <v>6024</v>
      </c>
      <c r="B1793" s="169" t="s">
        <v>6085</v>
      </c>
      <c r="C1793" s="169" t="s">
        <v>6115</v>
      </c>
      <c r="D1793" s="169" t="s">
        <v>1796</v>
      </c>
      <c r="E1793" s="169">
        <v>200</v>
      </c>
      <c r="F1793" s="165"/>
      <c r="G1793" s="165"/>
      <c r="H1793" s="169" t="s">
        <v>6668</v>
      </c>
      <c r="I1793" s="164" t="s">
        <v>2318</v>
      </c>
      <c r="J1793" s="164"/>
      <c r="K1793" s="165"/>
      <c r="L1793" s="165"/>
      <c r="M1793" s="165"/>
      <c r="N1793" s="165"/>
      <c r="O1793" s="165"/>
      <c r="P1793" s="165"/>
      <c r="Q1793" s="165"/>
      <c r="R1793" s="165"/>
      <c r="S1793" s="165"/>
      <c r="T1793" s="165"/>
      <c r="U1793" s="165"/>
      <c r="V1793" s="165"/>
      <c r="W1793" s="165"/>
      <c r="X1793" s="165"/>
      <c r="Y1793" s="165"/>
      <c r="Z1793" s="165"/>
    </row>
    <row r="1794" spans="1:26" ht="15.75" customHeight="1">
      <c r="A1794" s="165" t="s">
        <v>6024</v>
      </c>
      <c r="B1794" s="169" t="s">
        <v>6085</v>
      </c>
      <c r="C1794" s="169" t="s">
        <v>6116</v>
      </c>
      <c r="D1794" s="169" t="s">
        <v>484</v>
      </c>
      <c r="E1794" s="169">
        <v>4</v>
      </c>
      <c r="F1794" s="169">
        <v>10</v>
      </c>
      <c r="G1794" s="169">
        <v>0</v>
      </c>
      <c r="H1794" s="169" t="s">
        <v>6668</v>
      </c>
      <c r="I1794" s="164" t="s">
        <v>2318</v>
      </c>
      <c r="J1794" s="164"/>
      <c r="K1794" s="165"/>
      <c r="L1794" s="165"/>
      <c r="M1794" s="165"/>
      <c r="N1794" s="165"/>
      <c r="O1794" s="165"/>
      <c r="P1794" s="165"/>
      <c r="Q1794" s="165"/>
      <c r="R1794" s="165"/>
      <c r="S1794" s="165"/>
      <c r="T1794" s="165"/>
      <c r="U1794" s="165"/>
      <c r="V1794" s="165"/>
      <c r="W1794" s="165"/>
      <c r="X1794" s="165"/>
      <c r="Y1794" s="165"/>
      <c r="Z1794" s="165"/>
    </row>
    <row r="1795" spans="1:26" ht="15.75" customHeight="1">
      <c r="A1795" s="165" t="s">
        <v>6024</v>
      </c>
      <c r="B1795" s="169" t="s">
        <v>6085</v>
      </c>
      <c r="C1795" s="169" t="s">
        <v>6117</v>
      </c>
      <c r="D1795" s="169" t="s">
        <v>1796</v>
      </c>
      <c r="E1795" s="169">
        <v>500</v>
      </c>
      <c r="F1795" s="165"/>
      <c r="G1795" s="165"/>
      <c r="H1795" s="169" t="s">
        <v>6668</v>
      </c>
      <c r="I1795" s="164" t="s">
        <v>2318</v>
      </c>
      <c r="J1795" s="164"/>
      <c r="K1795" s="165"/>
      <c r="L1795" s="165"/>
      <c r="M1795" s="165"/>
      <c r="N1795" s="165"/>
      <c r="O1795" s="165"/>
      <c r="P1795" s="165"/>
      <c r="Q1795" s="165"/>
      <c r="R1795" s="165"/>
      <c r="S1795" s="165"/>
      <c r="T1795" s="165"/>
      <c r="U1795" s="165"/>
      <c r="V1795" s="165"/>
      <c r="W1795" s="165"/>
      <c r="X1795" s="165"/>
      <c r="Y1795" s="165"/>
      <c r="Z1795" s="165"/>
    </row>
    <row r="1796" spans="1:26" ht="15.75" hidden="1" customHeight="1">
      <c r="A1796" s="165" t="s">
        <v>6024</v>
      </c>
      <c r="B1796" s="169" t="s">
        <v>6086</v>
      </c>
      <c r="C1796" s="169" t="s">
        <v>325</v>
      </c>
      <c r="D1796" s="169" t="s">
        <v>484</v>
      </c>
      <c r="E1796" s="169">
        <v>4</v>
      </c>
      <c r="F1796" s="169">
        <v>10</v>
      </c>
      <c r="G1796" s="169">
        <v>0</v>
      </c>
      <c r="H1796" s="169" t="s">
        <v>6668</v>
      </c>
      <c r="I1796" s="164" t="s">
        <v>2318</v>
      </c>
      <c r="J1796" s="164"/>
      <c r="K1796" s="165"/>
      <c r="L1796" s="165"/>
      <c r="M1796" s="165"/>
      <c r="N1796" s="165"/>
      <c r="O1796" s="165"/>
      <c r="P1796" s="165"/>
      <c r="Q1796" s="165"/>
      <c r="R1796" s="165"/>
      <c r="S1796" s="165"/>
      <c r="T1796" s="165"/>
      <c r="U1796" s="165"/>
      <c r="V1796" s="165"/>
      <c r="W1796" s="165"/>
      <c r="X1796" s="165"/>
      <c r="Y1796" s="165"/>
      <c r="Z1796" s="165"/>
    </row>
    <row r="1797" spans="1:26" ht="15.75" hidden="1" customHeight="1">
      <c r="A1797" s="165" t="s">
        <v>6024</v>
      </c>
      <c r="B1797" s="169" t="s">
        <v>6086</v>
      </c>
      <c r="C1797" s="169" t="s">
        <v>6090</v>
      </c>
      <c r="D1797" s="169" t="s">
        <v>6118</v>
      </c>
      <c r="E1797" s="169">
        <v>16</v>
      </c>
      <c r="F1797" s="165"/>
      <c r="G1797" s="165"/>
      <c r="H1797" s="169" t="s">
        <v>6668</v>
      </c>
      <c r="I1797" s="164" t="s">
        <v>2318</v>
      </c>
      <c r="J1797" s="164"/>
      <c r="K1797" s="165"/>
      <c r="L1797" s="165"/>
      <c r="M1797" s="165"/>
      <c r="N1797" s="165"/>
      <c r="O1797" s="165"/>
      <c r="P1797" s="165"/>
      <c r="Q1797" s="165"/>
      <c r="R1797" s="165"/>
      <c r="S1797" s="165"/>
      <c r="T1797" s="165"/>
      <c r="U1797" s="165"/>
      <c r="V1797" s="165"/>
      <c r="W1797" s="165"/>
      <c r="X1797" s="165"/>
      <c r="Y1797" s="165"/>
      <c r="Z1797" s="165"/>
    </row>
    <row r="1798" spans="1:26" ht="15.75" hidden="1" customHeight="1">
      <c r="A1798" s="165" t="s">
        <v>6024</v>
      </c>
      <c r="B1798" s="169" t="s">
        <v>6086</v>
      </c>
      <c r="C1798" s="169" t="s">
        <v>6092</v>
      </c>
      <c r="D1798" s="169" t="s">
        <v>1796</v>
      </c>
      <c r="E1798" s="169">
        <v>100</v>
      </c>
      <c r="F1798" s="165"/>
      <c r="G1798" s="165"/>
      <c r="H1798" s="169" t="s">
        <v>6668</v>
      </c>
      <c r="I1798" s="164" t="s">
        <v>2318</v>
      </c>
      <c r="J1798" s="164"/>
      <c r="K1798" s="165"/>
      <c r="L1798" s="165"/>
      <c r="M1798" s="165"/>
      <c r="N1798" s="165"/>
      <c r="O1798" s="165"/>
      <c r="P1798" s="165"/>
      <c r="Q1798" s="165"/>
      <c r="R1798" s="165"/>
      <c r="S1798" s="165"/>
      <c r="T1798" s="165"/>
      <c r="U1798" s="165"/>
      <c r="V1798" s="165"/>
      <c r="W1798" s="165"/>
      <c r="X1798" s="165"/>
      <c r="Y1798" s="165"/>
      <c r="Z1798" s="165"/>
    </row>
    <row r="1799" spans="1:26" ht="15.75" hidden="1" customHeight="1">
      <c r="A1799" s="165" t="s">
        <v>6024</v>
      </c>
      <c r="B1799" s="169" t="s">
        <v>6086</v>
      </c>
      <c r="C1799" s="169" t="s">
        <v>6093</v>
      </c>
      <c r="D1799" s="169" t="s">
        <v>484</v>
      </c>
      <c r="E1799" s="169">
        <v>4</v>
      </c>
      <c r="F1799" s="169">
        <v>10</v>
      </c>
      <c r="G1799" s="169">
        <v>0</v>
      </c>
      <c r="H1799" s="169" t="s">
        <v>6668</v>
      </c>
      <c r="I1799" s="164" t="s">
        <v>2318</v>
      </c>
      <c r="J1799" s="164"/>
      <c r="K1799" s="165"/>
      <c r="L1799" s="165"/>
      <c r="M1799" s="165"/>
      <c r="N1799" s="165"/>
      <c r="O1799" s="165"/>
      <c r="P1799" s="165"/>
      <c r="Q1799" s="165"/>
      <c r="R1799" s="165"/>
      <c r="S1799" s="165"/>
      <c r="T1799" s="165"/>
      <c r="U1799" s="165"/>
      <c r="V1799" s="165"/>
      <c r="W1799" s="165"/>
      <c r="X1799" s="165"/>
      <c r="Y1799" s="165"/>
      <c r="Z1799" s="165"/>
    </row>
    <row r="1800" spans="1:26" ht="15.75" hidden="1" customHeight="1">
      <c r="A1800" s="165" t="s">
        <v>6024</v>
      </c>
      <c r="B1800" s="169" t="s">
        <v>6086</v>
      </c>
      <c r="C1800" s="169" t="s">
        <v>6094</v>
      </c>
      <c r="D1800" s="169" t="s">
        <v>484</v>
      </c>
      <c r="E1800" s="169">
        <v>4</v>
      </c>
      <c r="F1800" s="169">
        <v>10</v>
      </c>
      <c r="G1800" s="169">
        <v>0</v>
      </c>
      <c r="H1800" s="169" t="s">
        <v>6668</v>
      </c>
      <c r="I1800" s="164" t="s">
        <v>2318</v>
      </c>
      <c r="J1800" s="164"/>
      <c r="K1800" s="165"/>
      <c r="L1800" s="165"/>
      <c r="M1800" s="165"/>
      <c r="N1800" s="165"/>
      <c r="O1800" s="165"/>
      <c r="P1800" s="165"/>
      <c r="Q1800" s="165"/>
      <c r="R1800" s="165"/>
      <c r="S1800" s="165"/>
      <c r="T1800" s="165"/>
      <c r="U1800" s="165"/>
      <c r="V1800" s="165"/>
      <c r="W1800" s="165"/>
      <c r="X1800" s="165"/>
      <c r="Y1800" s="165"/>
      <c r="Z1800" s="165"/>
    </row>
    <row r="1801" spans="1:26" ht="15.75" hidden="1" customHeight="1">
      <c r="A1801" s="165" t="s">
        <v>6024</v>
      </c>
      <c r="B1801" s="169" t="s">
        <v>6086</v>
      </c>
      <c r="C1801" s="169" t="s">
        <v>6095</v>
      </c>
      <c r="D1801" s="169" t="s">
        <v>1796</v>
      </c>
      <c r="E1801" s="169">
        <v>100</v>
      </c>
      <c r="F1801" s="165"/>
      <c r="G1801" s="165"/>
      <c r="H1801" s="169" t="s">
        <v>6668</v>
      </c>
      <c r="I1801" s="164" t="s">
        <v>2764</v>
      </c>
      <c r="J1801" s="164"/>
      <c r="K1801" s="165"/>
      <c r="L1801" s="165"/>
      <c r="M1801" s="165"/>
      <c r="N1801" s="165"/>
      <c r="O1801" s="165"/>
      <c r="P1801" s="165"/>
      <c r="Q1801" s="165"/>
      <c r="R1801" s="165"/>
      <c r="S1801" s="165"/>
      <c r="T1801" s="165"/>
      <c r="U1801" s="165"/>
      <c r="V1801" s="165"/>
      <c r="W1801" s="165"/>
      <c r="X1801" s="165"/>
      <c r="Y1801" s="165"/>
      <c r="Z1801" s="165"/>
    </row>
    <row r="1802" spans="1:26" ht="15.75" hidden="1" customHeight="1">
      <c r="A1802" s="165" t="s">
        <v>6024</v>
      </c>
      <c r="B1802" s="169" t="s">
        <v>6086</v>
      </c>
      <c r="C1802" s="169" t="s">
        <v>4306</v>
      </c>
      <c r="D1802" s="169" t="s">
        <v>1796</v>
      </c>
      <c r="E1802" s="169">
        <v>500</v>
      </c>
      <c r="F1802" s="165"/>
      <c r="G1802" s="165"/>
      <c r="H1802" s="169" t="s">
        <v>6668</v>
      </c>
      <c r="I1802" s="164" t="s">
        <v>2764</v>
      </c>
      <c r="J1802" s="164"/>
      <c r="K1802" s="165"/>
      <c r="L1802" s="165"/>
      <c r="M1802" s="165"/>
      <c r="N1802" s="165"/>
      <c r="O1802" s="165"/>
      <c r="P1802" s="165"/>
      <c r="Q1802" s="165"/>
      <c r="R1802" s="165"/>
      <c r="S1802" s="165"/>
      <c r="T1802" s="165"/>
      <c r="U1802" s="165"/>
      <c r="V1802" s="165"/>
      <c r="W1802" s="165"/>
      <c r="X1802" s="165"/>
      <c r="Y1802" s="165"/>
      <c r="Z1802" s="165"/>
    </row>
    <row r="1803" spans="1:26" ht="15.75" hidden="1" customHeight="1">
      <c r="A1803" s="165" t="s">
        <v>6024</v>
      </c>
      <c r="B1803" s="169" t="s">
        <v>6086</v>
      </c>
      <c r="C1803" s="169" t="s">
        <v>4246</v>
      </c>
      <c r="D1803" s="169" t="s">
        <v>1796</v>
      </c>
      <c r="E1803" s="169">
        <v>500</v>
      </c>
      <c r="F1803" s="165"/>
      <c r="G1803" s="165"/>
      <c r="H1803" s="169" t="s">
        <v>6668</v>
      </c>
      <c r="I1803" s="164" t="s">
        <v>2318</v>
      </c>
      <c r="J1803" s="164"/>
      <c r="K1803" s="165"/>
      <c r="L1803" s="165"/>
      <c r="M1803" s="165"/>
      <c r="N1803" s="165"/>
      <c r="O1803" s="165"/>
      <c r="P1803" s="165"/>
      <c r="Q1803" s="165"/>
      <c r="R1803" s="165"/>
      <c r="S1803" s="165"/>
      <c r="T1803" s="165"/>
      <c r="U1803" s="165"/>
      <c r="V1803" s="165"/>
      <c r="W1803" s="165"/>
      <c r="X1803" s="165"/>
      <c r="Y1803" s="165"/>
      <c r="Z1803" s="165"/>
    </row>
    <row r="1804" spans="1:26" ht="15.75" hidden="1" customHeight="1">
      <c r="A1804" s="165" t="s">
        <v>6024</v>
      </c>
      <c r="B1804" s="169" t="s">
        <v>6086</v>
      </c>
      <c r="C1804" s="169" t="s">
        <v>6096</v>
      </c>
      <c r="D1804" s="169" t="s">
        <v>484</v>
      </c>
      <c r="E1804" s="169">
        <v>4</v>
      </c>
      <c r="F1804" s="169">
        <v>10</v>
      </c>
      <c r="G1804" s="169">
        <v>0</v>
      </c>
      <c r="H1804" s="169" t="s">
        <v>6668</v>
      </c>
      <c r="I1804" s="164" t="s">
        <v>2318</v>
      </c>
      <c r="J1804" s="164"/>
      <c r="K1804" s="165"/>
      <c r="L1804" s="165"/>
      <c r="M1804" s="165"/>
      <c r="N1804" s="165"/>
      <c r="O1804" s="165"/>
      <c r="P1804" s="165"/>
      <c r="Q1804" s="165"/>
      <c r="R1804" s="165"/>
      <c r="S1804" s="165"/>
      <c r="T1804" s="165"/>
      <c r="U1804" s="165"/>
      <c r="V1804" s="165"/>
      <c r="W1804" s="165"/>
      <c r="X1804" s="165"/>
      <c r="Y1804" s="165"/>
      <c r="Z1804" s="165"/>
    </row>
    <row r="1805" spans="1:26" ht="15.75" hidden="1" customHeight="1">
      <c r="A1805" s="165" t="s">
        <v>6024</v>
      </c>
      <c r="B1805" s="169" t="s">
        <v>6086</v>
      </c>
      <c r="C1805" s="169" t="s">
        <v>6759</v>
      </c>
      <c r="D1805" s="169" t="s">
        <v>1796</v>
      </c>
      <c r="E1805" s="169">
        <v>200</v>
      </c>
      <c r="F1805" s="165"/>
      <c r="G1805" s="165"/>
      <c r="H1805" s="169" t="s">
        <v>6668</v>
      </c>
      <c r="I1805" s="164" t="s">
        <v>2318</v>
      </c>
      <c r="J1805" s="164"/>
      <c r="K1805" s="165"/>
      <c r="L1805" s="165"/>
      <c r="M1805" s="165"/>
      <c r="N1805" s="165"/>
      <c r="O1805" s="165"/>
      <c r="P1805" s="165"/>
      <c r="Q1805" s="165"/>
      <c r="R1805" s="165"/>
      <c r="S1805" s="165"/>
      <c r="T1805" s="165"/>
      <c r="U1805" s="165"/>
      <c r="V1805" s="165"/>
      <c r="W1805" s="165"/>
      <c r="X1805" s="165"/>
      <c r="Y1805" s="165"/>
      <c r="Z1805" s="165"/>
    </row>
    <row r="1806" spans="1:26" ht="15.75" hidden="1" customHeight="1">
      <c r="A1806" s="165" t="s">
        <v>6024</v>
      </c>
      <c r="B1806" s="169" t="s">
        <v>6086</v>
      </c>
      <c r="C1806" s="169" t="s">
        <v>6760</v>
      </c>
      <c r="D1806" s="169" t="s">
        <v>1796</v>
      </c>
      <c r="E1806" s="169">
        <v>200</v>
      </c>
      <c r="F1806" s="165"/>
      <c r="G1806" s="165"/>
      <c r="H1806" s="169" t="s">
        <v>6668</v>
      </c>
      <c r="I1806" s="164" t="s">
        <v>2318</v>
      </c>
      <c r="J1806" s="164"/>
      <c r="K1806" s="165"/>
      <c r="L1806" s="165"/>
      <c r="M1806" s="165"/>
      <c r="N1806" s="165"/>
      <c r="O1806" s="165"/>
      <c r="P1806" s="165"/>
      <c r="Q1806" s="165"/>
      <c r="R1806" s="165"/>
      <c r="S1806" s="165"/>
      <c r="T1806" s="165"/>
      <c r="U1806" s="165"/>
      <c r="V1806" s="165"/>
      <c r="W1806" s="165"/>
      <c r="X1806" s="165"/>
      <c r="Y1806" s="165"/>
      <c r="Z1806" s="165"/>
    </row>
    <row r="1807" spans="1:26" ht="15.75" hidden="1" customHeight="1">
      <c r="A1807" s="165" t="s">
        <v>6024</v>
      </c>
      <c r="B1807" s="169" t="s">
        <v>6086</v>
      </c>
      <c r="C1807" s="169" t="s">
        <v>6112</v>
      </c>
      <c r="D1807" s="284" t="s">
        <v>477</v>
      </c>
      <c r="E1807" s="169">
        <v>7</v>
      </c>
      <c r="F1807" s="169">
        <v>23</v>
      </c>
      <c r="G1807" s="169">
        <v>3</v>
      </c>
      <c r="H1807" s="169" t="s">
        <v>6668</v>
      </c>
      <c r="I1807" s="164" t="s">
        <v>2318</v>
      </c>
      <c r="J1807" s="169" t="s">
        <v>800</v>
      </c>
      <c r="K1807" s="165"/>
      <c r="L1807" s="165"/>
      <c r="M1807" s="165"/>
      <c r="N1807" s="165"/>
      <c r="O1807" s="165"/>
      <c r="P1807" s="165"/>
      <c r="Q1807" s="165"/>
      <c r="R1807" s="165"/>
      <c r="S1807" s="165"/>
      <c r="T1807" s="165"/>
      <c r="U1807" s="165"/>
      <c r="V1807" s="165"/>
      <c r="W1807" s="165"/>
      <c r="X1807" s="165"/>
      <c r="Y1807" s="165"/>
      <c r="Z1807" s="165"/>
    </row>
    <row r="1808" spans="1:26" ht="15.75" hidden="1" customHeight="1">
      <c r="A1808" s="165" t="s">
        <v>6024</v>
      </c>
      <c r="B1808" s="169" t="s">
        <v>6086</v>
      </c>
      <c r="C1808" s="169" t="s">
        <v>6113</v>
      </c>
      <c r="D1808" s="169" t="s">
        <v>1796</v>
      </c>
      <c r="E1808" s="169">
        <v>200</v>
      </c>
      <c r="F1808" s="165"/>
      <c r="G1808" s="165"/>
      <c r="H1808" s="169" t="s">
        <v>6668</v>
      </c>
      <c r="I1808" s="164" t="s">
        <v>2318</v>
      </c>
      <c r="J1808" s="169"/>
      <c r="K1808" s="165"/>
      <c r="L1808" s="165"/>
      <c r="M1808" s="165"/>
      <c r="N1808" s="165"/>
      <c r="O1808" s="165"/>
      <c r="P1808" s="165"/>
      <c r="Q1808" s="165"/>
      <c r="R1808" s="165"/>
      <c r="S1808" s="165"/>
      <c r="T1808" s="165"/>
      <c r="U1808" s="165"/>
      <c r="V1808" s="165"/>
      <c r="W1808" s="165"/>
      <c r="X1808" s="165"/>
      <c r="Y1808" s="165"/>
      <c r="Z1808" s="165"/>
    </row>
    <row r="1809" spans="1:26" ht="15.75" hidden="1" customHeight="1">
      <c r="A1809" s="165" t="s">
        <v>6024</v>
      </c>
      <c r="B1809" s="169" t="s">
        <v>6086</v>
      </c>
      <c r="C1809" s="169" t="s">
        <v>6114</v>
      </c>
      <c r="D1809" s="169" t="s">
        <v>484</v>
      </c>
      <c r="E1809" s="169">
        <v>4</v>
      </c>
      <c r="F1809" s="169">
        <v>10</v>
      </c>
      <c r="G1809" s="169">
        <v>0</v>
      </c>
      <c r="H1809" s="169" t="s">
        <v>6668</v>
      </c>
      <c r="I1809" s="164" t="s">
        <v>2318</v>
      </c>
      <c r="J1809" s="169"/>
      <c r="K1809" s="165"/>
      <c r="L1809" s="165"/>
      <c r="M1809" s="165"/>
      <c r="N1809" s="165"/>
      <c r="O1809" s="165"/>
      <c r="P1809" s="165"/>
      <c r="Q1809" s="165"/>
      <c r="R1809" s="165"/>
      <c r="S1809" s="165"/>
      <c r="T1809" s="165"/>
      <c r="U1809" s="165"/>
      <c r="V1809" s="165"/>
      <c r="W1809" s="165"/>
      <c r="X1809" s="165"/>
      <c r="Y1809" s="165"/>
      <c r="Z1809" s="165"/>
    </row>
    <row r="1810" spans="1:26" ht="15.75" hidden="1" customHeight="1">
      <c r="A1810" s="165" t="s">
        <v>6024</v>
      </c>
      <c r="B1810" s="169" t="s">
        <v>6086</v>
      </c>
      <c r="C1810" s="169" t="s">
        <v>6027</v>
      </c>
      <c r="D1810" s="284" t="s">
        <v>477</v>
      </c>
      <c r="E1810" s="169">
        <v>7</v>
      </c>
      <c r="F1810" s="169">
        <v>23</v>
      </c>
      <c r="G1810" s="169">
        <v>3</v>
      </c>
      <c r="H1810" s="169" t="s">
        <v>6668</v>
      </c>
      <c r="I1810" s="164" t="s">
        <v>2318</v>
      </c>
      <c r="J1810" s="169" t="s">
        <v>800</v>
      </c>
      <c r="K1810" s="165"/>
      <c r="L1810" s="165"/>
      <c r="M1810" s="165"/>
      <c r="N1810" s="165"/>
      <c r="O1810" s="165"/>
      <c r="P1810" s="165"/>
      <c r="Q1810" s="165"/>
      <c r="R1810" s="165"/>
      <c r="S1810" s="165"/>
      <c r="T1810" s="165"/>
      <c r="U1810" s="165"/>
      <c r="V1810" s="165"/>
      <c r="W1810" s="165"/>
      <c r="X1810" s="165"/>
      <c r="Y1810" s="165"/>
      <c r="Z1810" s="165"/>
    </row>
    <row r="1811" spans="1:26" ht="15.75" hidden="1" customHeight="1">
      <c r="A1811" s="165" t="s">
        <v>6024</v>
      </c>
      <c r="B1811" s="169" t="s">
        <v>6086</v>
      </c>
      <c r="C1811" s="169" t="s">
        <v>6115</v>
      </c>
      <c r="D1811" s="169" t="s">
        <v>1796</v>
      </c>
      <c r="E1811" s="169">
        <v>200</v>
      </c>
      <c r="F1811" s="165"/>
      <c r="G1811" s="165"/>
      <c r="H1811" s="169" t="s">
        <v>6668</v>
      </c>
      <c r="I1811" s="164" t="s">
        <v>2318</v>
      </c>
      <c r="J1811" s="164"/>
      <c r="K1811" s="165"/>
      <c r="L1811" s="165"/>
      <c r="M1811" s="165"/>
      <c r="N1811" s="165"/>
      <c r="O1811" s="165"/>
      <c r="P1811" s="165"/>
      <c r="Q1811" s="165"/>
      <c r="R1811" s="165"/>
      <c r="S1811" s="165"/>
      <c r="T1811" s="165"/>
      <c r="U1811" s="165"/>
      <c r="V1811" s="165"/>
      <c r="W1811" s="165"/>
      <c r="X1811" s="165"/>
      <c r="Y1811" s="165"/>
      <c r="Z1811" s="165"/>
    </row>
    <row r="1812" spans="1:26" ht="15.75" hidden="1" customHeight="1">
      <c r="A1812" s="165" t="s">
        <v>6024</v>
      </c>
      <c r="B1812" s="169" t="s">
        <v>6086</v>
      </c>
      <c r="C1812" s="169" t="s">
        <v>6116</v>
      </c>
      <c r="D1812" s="169" t="s">
        <v>484</v>
      </c>
      <c r="E1812" s="169">
        <v>4</v>
      </c>
      <c r="F1812" s="169">
        <v>10</v>
      </c>
      <c r="G1812" s="169">
        <v>0</v>
      </c>
      <c r="H1812" s="169" t="s">
        <v>6668</v>
      </c>
      <c r="I1812" s="164" t="s">
        <v>2318</v>
      </c>
      <c r="J1812" s="164"/>
      <c r="K1812" s="165"/>
      <c r="L1812" s="165"/>
      <c r="M1812" s="165"/>
      <c r="N1812" s="165"/>
      <c r="O1812" s="165"/>
      <c r="P1812" s="165"/>
      <c r="Q1812" s="165"/>
      <c r="R1812" s="165"/>
      <c r="S1812" s="165"/>
      <c r="T1812" s="165"/>
      <c r="U1812" s="165"/>
      <c r="V1812" s="165"/>
      <c r="W1812" s="165"/>
      <c r="X1812" s="165"/>
      <c r="Y1812" s="165"/>
      <c r="Z1812" s="165"/>
    </row>
    <row r="1813" spans="1:26" ht="15.75" hidden="1" customHeight="1">
      <c r="A1813" s="165" t="s">
        <v>6024</v>
      </c>
      <c r="B1813" s="169" t="s">
        <v>6086</v>
      </c>
      <c r="C1813" s="169" t="s">
        <v>6117</v>
      </c>
      <c r="D1813" s="169" t="s">
        <v>1796</v>
      </c>
      <c r="E1813" s="169">
        <v>500</v>
      </c>
      <c r="F1813" s="165"/>
      <c r="G1813" s="165"/>
      <c r="H1813" s="169" t="s">
        <v>6668</v>
      </c>
      <c r="I1813" s="164" t="s">
        <v>2318</v>
      </c>
      <c r="J1813" s="164"/>
      <c r="K1813" s="165"/>
      <c r="L1813" s="165"/>
      <c r="M1813" s="165"/>
      <c r="N1813" s="165"/>
      <c r="O1813" s="165"/>
      <c r="P1813" s="165"/>
      <c r="Q1813" s="165"/>
      <c r="R1813" s="165"/>
      <c r="S1813" s="165"/>
      <c r="T1813" s="165"/>
      <c r="U1813" s="165"/>
      <c r="V1813" s="165"/>
      <c r="W1813" s="165"/>
      <c r="X1813" s="165"/>
      <c r="Y1813" s="165"/>
      <c r="Z1813" s="165"/>
    </row>
    <row r="1814" spans="1:26" ht="15.75" customHeight="1">
      <c r="B1814" s="98"/>
      <c r="C1814" s="98"/>
      <c r="D1814" s="98"/>
      <c r="E1814" s="98"/>
    </row>
    <row r="1815" spans="1:26" ht="15.75" customHeight="1">
      <c r="B1815" s="98"/>
      <c r="C1815" s="98"/>
      <c r="D1815" s="98"/>
      <c r="E1815" s="98"/>
    </row>
    <row r="1816" spans="1:26" ht="15.75" customHeight="1">
      <c r="B1816" s="98"/>
      <c r="C1816" s="98"/>
      <c r="D1816" s="98"/>
      <c r="E1816" s="98"/>
    </row>
    <row r="1817" spans="1:26" ht="15.75" customHeight="1">
      <c r="B1817" s="98"/>
      <c r="C1817" s="98"/>
      <c r="D1817" s="98"/>
      <c r="E1817" s="98"/>
    </row>
    <row r="1818" spans="1:26" ht="15.75" customHeight="1">
      <c r="B1818" s="98"/>
      <c r="C1818" s="98"/>
      <c r="D1818" s="98"/>
      <c r="E1818" s="98"/>
    </row>
    <row r="1819" spans="1:26" ht="15.75" customHeight="1">
      <c r="B1819" s="98"/>
      <c r="C1819" s="98"/>
      <c r="D1819" s="98"/>
      <c r="E1819" s="98"/>
    </row>
    <row r="1820" spans="1:26" ht="15.75" customHeight="1">
      <c r="B1820" s="98"/>
      <c r="C1820" s="98"/>
      <c r="D1820" s="98"/>
      <c r="E1820" s="98"/>
    </row>
    <row r="1821" spans="1:26" ht="15.75" customHeight="1">
      <c r="B1821" s="98"/>
      <c r="C1821" s="98"/>
      <c r="D1821" s="98"/>
      <c r="E1821" s="98"/>
    </row>
    <row r="1822" spans="1:26" ht="15.75" customHeight="1">
      <c r="B1822" s="98"/>
      <c r="C1822" s="98"/>
      <c r="D1822" s="98"/>
      <c r="E1822" s="98"/>
    </row>
    <row r="1823" spans="1:26" ht="15.75" customHeight="1">
      <c r="B1823" s="98"/>
      <c r="C1823" s="98"/>
      <c r="D1823" s="98"/>
      <c r="E1823" s="98"/>
    </row>
    <row r="1824" spans="1:26" ht="15.75" customHeight="1">
      <c r="B1824" s="98"/>
      <c r="C1824" s="98"/>
      <c r="D1824" s="98"/>
      <c r="E1824" s="98"/>
    </row>
    <row r="1825" spans="2:5" ht="15.75" customHeight="1">
      <c r="B1825" s="98"/>
      <c r="C1825" s="98"/>
      <c r="D1825" s="98"/>
      <c r="E1825" s="98"/>
    </row>
    <row r="1826" spans="2:5" ht="15.75" customHeight="1">
      <c r="B1826" s="98"/>
      <c r="C1826" s="98"/>
      <c r="D1826" s="98"/>
      <c r="E1826" s="98"/>
    </row>
    <row r="1827" spans="2:5" ht="15.75" customHeight="1">
      <c r="B1827" s="98"/>
      <c r="C1827" s="98"/>
      <c r="D1827" s="98"/>
      <c r="E1827" s="98"/>
    </row>
    <row r="1828" spans="2:5" ht="15.75" customHeight="1">
      <c r="B1828" s="98"/>
      <c r="C1828" s="98"/>
      <c r="D1828" s="98"/>
      <c r="E1828" s="98"/>
    </row>
    <row r="1829" spans="2:5" ht="15.75" customHeight="1">
      <c r="B1829" s="98"/>
      <c r="C1829" s="98"/>
      <c r="D1829" s="98"/>
      <c r="E1829" s="98"/>
    </row>
    <row r="1830" spans="2:5" ht="15.75" customHeight="1">
      <c r="B1830" s="98"/>
      <c r="C1830" s="98"/>
      <c r="D1830" s="98"/>
      <c r="E1830" s="98"/>
    </row>
    <row r="1831" spans="2:5" ht="15.75" customHeight="1">
      <c r="B1831" s="98"/>
      <c r="C1831" s="98"/>
      <c r="D1831" s="98"/>
      <c r="E1831" s="98"/>
    </row>
    <row r="1832" spans="2:5" ht="15.75" customHeight="1">
      <c r="B1832" s="98"/>
      <c r="C1832" s="98"/>
      <c r="D1832" s="98"/>
      <c r="E1832" s="98"/>
    </row>
    <row r="1833" spans="2:5" ht="15.75" customHeight="1">
      <c r="B1833" s="98"/>
      <c r="C1833" s="98"/>
      <c r="D1833" s="98"/>
      <c r="E1833" s="98"/>
    </row>
    <row r="1834" spans="2:5" ht="15.75" customHeight="1">
      <c r="B1834" s="98"/>
      <c r="C1834" s="98"/>
      <c r="D1834" s="98"/>
      <c r="E1834" s="98"/>
    </row>
    <row r="1835" spans="2:5" ht="15.75" customHeight="1">
      <c r="B1835" s="98"/>
      <c r="C1835" s="98"/>
      <c r="D1835" s="98"/>
      <c r="E1835" s="98"/>
    </row>
    <row r="1836" spans="2:5" ht="15.75" customHeight="1">
      <c r="B1836" s="98"/>
      <c r="C1836" s="98"/>
      <c r="D1836" s="98"/>
      <c r="E1836" s="98"/>
    </row>
    <row r="1837" spans="2:5" ht="15.75" customHeight="1">
      <c r="B1837" s="98"/>
      <c r="C1837" s="98"/>
      <c r="D1837" s="98"/>
      <c r="E1837" s="98"/>
    </row>
    <row r="1838" spans="2:5" ht="15.75" customHeight="1">
      <c r="B1838" s="98"/>
      <c r="C1838" s="98"/>
      <c r="D1838" s="98"/>
      <c r="E1838" s="98"/>
    </row>
    <row r="1839" spans="2:5" ht="15.75" customHeight="1">
      <c r="B1839" s="98"/>
      <c r="C1839" s="98"/>
      <c r="D1839" s="98"/>
      <c r="E1839" s="98"/>
    </row>
    <row r="1840" spans="2:5" ht="15.75" customHeight="1">
      <c r="B1840" s="98"/>
      <c r="C1840" s="98"/>
      <c r="D1840" s="98"/>
      <c r="E1840" s="98"/>
    </row>
    <row r="1841" spans="2:5" ht="15.75" customHeight="1">
      <c r="B1841" s="98"/>
      <c r="C1841" s="98"/>
      <c r="D1841" s="98"/>
      <c r="E1841" s="98"/>
    </row>
    <row r="1842" spans="2:5" ht="15.75" customHeight="1">
      <c r="B1842" s="98"/>
      <c r="C1842" s="98"/>
      <c r="D1842" s="98"/>
      <c r="E1842" s="98"/>
    </row>
    <row r="1843" spans="2:5" ht="15.75" customHeight="1">
      <c r="B1843" s="98"/>
      <c r="C1843" s="98"/>
      <c r="D1843" s="98"/>
      <c r="E1843" s="98"/>
    </row>
    <row r="1844" spans="2:5" ht="15.75" customHeight="1">
      <c r="B1844" s="98"/>
      <c r="C1844" s="98"/>
      <c r="D1844" s="98"/>
      <c r="E1844" s="98"/>
    </row>
    <row r="1845" spans="2:5" ht="15.75" customHeight="1">
      <c r="B1845" s="98"/>
      <c r="C1845" s="98"/>
      <c r="D1845" s="98"/>
      <c r="E1845" s="98"/>
    </row>
    <row r="1846" spans="2:5" ht="15.75" customHeight="1">
      <c r="B1846" s="98"/>
      <c r="C1846" s="98"/>
      <c r="D1846" s="98"/>
      <c r="E1846" s="98"/>
    </row>
    <row r="1847" spans="2:5" ht="15.75" customHeight="1">
      <c r="B1847" s="98"/>
      <c r="C1847" s="98"/>
      <c r="D1847" s="98"/>
      <c r="E1847" s="98"/>
    </row>
    <row r="1848" spans="2:5" ht="15.75" customHeight="1">
      <c r="B1848" s="98"/>
      <c r="C1848" s="98"/>
      <c r="D1848" s="98"/>
      <c r="E1848" s="98"/>
    </row>
    <row r="1849" spans="2:5" ht="15.75" customHeight="1">
      <c r="B1849" s="98"/>
      <c r="C1849" s="98"/>
      <c r="D1849" s="98"/>
      <c r="E1849" s="98"/>
    </row>
    <row r="1850" spans="2:5" ht="15.75" customHeight="1">
      <c r="B1850" s="98"/>
      <c r="C1850" s="98"/>
      <c r="D1850" s="98"/>
      <c r="E1850" s="98"/>
    </row>
    <row r="1851" spans="2:5" ht="15.75" customHeight="1">
      <c r="B1851" s="98"/>
      <c r="C1851" s="98"/>
      <c r="D1851" s="98"/>
      <c r="E1851" s="98"/>
    </row>
    <row r="1852" spans="2:5" ht="15.75" customHeight="1">
      <c r="B1852" s="98"/>
      <c r="C1852" s="98"/>
      <c r="D1852" s="98"/>
      <c r="E1852" s="98"/>
    </row>
    <row r="1853" spans="2:5" ht="15.75" customHeight="1">
      <c r="B1853" s="98"/>
      <c r="C1853" s="98"/>
      <c r="D1853" s="98"/>
      <c r="E1853" s="98"/>
    </row>
    <row r="1854" spans="2:5" ht="15.75" customHeight="1">
      <c r="B1854" s="98"/>
      <c r="C1854" s="98"/>
      <c r="D1854" s="98"/>
      <c r="E1854" s="98"/>
    </row>
    <row r="1855" spans="2:5" ht="15.75" customHeight="1">
      <c r="B1855" s="98"/>
      <c r="C1855" s="98"/>
      <c r="D1855" s="98"/>
      <c r="E1855" s="98"/>
    </row>
    <row r="1856" spans="2:5" ht="15.75" customHeight="1">
      <c r="B1856" s="98"/>
      <c r="C1856" s="98"/>
      <c r="D1856" s="98"/>
      <c r="E1856" s="98"/>
    </row>
    <row r="1857" spans="2:5" ht="15.75" customHeight="1">
      <c r="B1857" s="98"/>
      <c r="C1857" s="98"/>
      <c r="D1857" s="98"/>
      <c r="E1857" s="98"/>
    </row>
    <row r="1858" spans="2:5" ht="15.75" customHeight="1">
      <c r="B1858" s="98"/>
      <c r="C1858" s="98"/>
      <c r="D1858" s="98"/>
      <c r="E1858" s="98"/>
    </row>
    <row r="1859" spans="2:5" ht="15.75" customHeight="1">
      <c r="B1859" s="98"/>
      <c r="C1859" s="98"/>
      <c r="D1859" s="98"/>
      <c r="E1859" s="98"/>
    </row>
    <row r="1860" spans="2:5" ht="15.75" customHeight="1">
      <c r="B1860" s="98"/>
      <c r="C1860" s="98"/>
      <c r="D1860" s="98"/>
      <c r="E1860" s="98"/>
    </row>
    <row r="1861" spans="2:5" ht="15.75" customHeight="1">
      <c r="B1861" s="98"/>
      <c r="C1861" s="98"/>
      <c r="D1861" s="98"/>
      <c r="E1861" s="98"/>
    </row>
    <row r="1862" spans="2:5" ht="15.75" customHeight="1">
      <c r="B1862" s="98"/>
      <c r="C1862" s="98"/>
      <c r="D1862" s="98"/>
      <c r="E1862" s="98"/>
    </row>
    <row r="1863" spans="2:5" ht="15.75" customHeight="1">
      <c r="B1863" s="98"/>
      <c r="C1863" s="98"/>
      <c r="D1863" s="98"/>
      <c r="E1863" s="98"/>
    </row>
    <row r="1864" spans="2:5" ht="15.75" customHeight="1">
      <c r="B1864" s="98"/>
      <c r="C1864" s="98"/>
      <c r="D1864" s="98"/>
      <c r="E1864" s="98"/>
    </row>
    <row r="1865" spans="2:5" ht="15.75" customHeight="1">
      <c r="B1865" s="98"/>
      <c r="C1865" s="98"/>
      <c r="D1865" s="98"/>
      <c r="E1865" s="98"/>
    </row>
    <row r="1866" spans="2:5" ht="15.75" customHeight="1">
      <c r="B1866" s="98"/>
      <c r="C1866" s="98"/>
      <c r="D1866" s="98"/>
      <c r="E1866" s="98"/>
    </row>
    <row r="1867" spans="2:5" ht="15.75" customHeight="1">
      <c r="B1867" s="98"/>
      <c r="C1867" s="98"/>
      <c r="D1867" s="98"/>
      <c r="E1867" s="98"/>
    </row>
    <row r="1868" spans="2:5" ht="15.75" customHeight="1">
      <c r="B1868" s="98"/>
      <c r="C1868" s="98"/>
      <c r="D1868" s="98"/>
      <c r="E1868" s="98"/>
    </row>
    <row r="1869" spans="2:5" ht="15.75" customHeight="1">
      <c r="B1869" s="98"/>
      <c r="C1869" s="98"/>
      <c r="D1869" s="98"/>
      <c r="E1869" s="98"/>
    </row>
    <row r="1870" spans="2:5" ht="15.75" customHeight="1">
      <c r="B1870" s="98"/>
      <c r="C1870" s="98"/>
      <c r="D1870" s="98"/>
      <c r="E1870" s="98"/>
    </row>
    <row r="1871" spans="2:5" ht="15.75" customHeight="1">
      <c r="B1871" s="98"/>
      <c r="C1871" s="98"/>
      <c r="D1871" s="98"/>
      <c r="E1871" s="98"/>
    </row>
    <row r="1872" spans="2:5" ht="15.75" customHeight="1">
      <c r="B1872" s="98"/>
      <c r="C1872" s="98"/>
      <c r="D1872" s="98"/>
      <c r="E1872" s="98"/>
    </row>
    <row r="1873" spans="2:5" ht="15.75" customHeight="1">
      <c r="B1873" s="98"/>
      <c r="C1873" s="98"/>
      <c r="D1873" s="98"/>
      <c r="E1873" s="98"/>
    </row>
    <row r="1874" spans="2:5" ht="15.75" customHeight="1">
      <c r="B1874" s="98"/>
      <c r="C1874" s="98"/>
      <c r="D1874" s="98"/>
      <c r="E1874" s="98"/>
    </row>
    <row r="1875" spans="2:5" ht="15.75" customHeight="1">
      <c r="B1875" s="98"/>
      <c r="C1875" s="98"/>
      <c r="D1875" s="98"/>
      <c r="E1875" s="98"/>
    </row>
    <row r="1876" spans="2:5" ht="15.75" customHeight="1">
      <c r="B1876" s="98"/>
      <c r="C1876" s="98"/>
      <c r="D1876" s="98"/>
      <c r="E1876" s="98"/>
    </row>
    <row r="1877" spans="2:5" ht="15.75" customHeight="1">
      <c r="B1877" s="98"/>
      <c r="C1877" s="98"/>
      <c r="D1877" s="98"/>
      <c r="E1877" s="98"/>
    </row>
    <row r="1878" spans="2:5" ht="15.75" customHeight="1">
      <c r="B1878" s="98"/>
      <c r="C1878" s="98"/>
      <c r="D1878" s="98"/>
      <c r="E1878" s="98"/>
    </row>
    <row r="1879" spans="2:5" ht="15.75" customHeight="1">
      <c r="B1879" s="98"/>
      <c r="C1879" s="98"/>
      <c r="D1879" s="98"/>
      <c r="E1879" s="98"/>
    </row>
    <row r="1880" spans="2:5" ht="15.75" customHeight="1">
      <c r="B1880" s="98"/>
      <c r="C1880" s="98"/>
      <c r="D1880" s="98"/>
      <c r="E1880" s="98"/>
    </row>
    <row r="1881" spans="2:5" ht="15.75" customHeight="1">
      <c r="B1881" s="98"/>
      <c r="C1881" s="98"/>
      <c r="D1881" s="98"/>
      <c r="E1881" s="98"/>
    </row>
    <row r="1882" spans="2:5" ht="15.75" customHeight="1">
      <c r="B1882" s="98"/>
      <c r="C1882" s="98"/>
      <c r="D1882" s="98"/>
      <c r="E1882" s="98"/>
    </row>
    <row r="1883" spans="2:5" ht="15.75" customHeight="1">
      <c r="B1883" s="98"/>
      <c r="C1883" s="98"/>
      <c r="D1883" s="98"/>
      <c r="E1883" s="98"/>
    </row>
    <row r="1884" spans="2:5" ht="15.75" customHeight="1">
      <c r="B1884" s="98"/>
      <c r="C1884" s="98"/>
      <c r="D1884" s="98"/>
      <c r="E1884" s="98"/>
    </row>
    <row r="1885" spans="2:5" ht="15.75" customHeight="1">
      <c r="B1885" s="98"/>
      <c r="C1885" s="98"/>
      <c r="D1885" s="98"/>
      <c r="E1885" s="98"/>
    </row>
    <row r="1886" spans="2:5" ht="15.75" customHeight="1">
      <c r="B1886" s="98"/>
      <c r="C1886" s="98"/>
      <c r="D1886" s="98"/>
      <c r="E1886" s="98"/>
    </row>
    <row r="1887" spans="2:5" ht="15.75" customHeight="1">
      <c r="B1887" s="98"/>
      <c r="C1887" s="98"/>
      <c r="D1887" s="98"/>
      <c r="E1887" s="98"/>
    </row>
    <row r="1888" spans="2:5" ht="15.75" customHeight="1">
      <c r="B1888" s="98"/>
      <c r="C1888" s="98"/>
      <c r="D1888" s="98"/>
      <c r="E1888" s="98"/>
    </row>
    <row r="1889" spans="2:5" ht="15.75" customHeight="1">
      <c r="B1889" s="98"/>
      <c r="C1889" s="98"/>
      <c r="D1889" s="98"/>
      <c r="E1889" s="98"/>
    </row>
    <row r="1890" spans="2:5" ht="15.75" customHeight="1">
      <c r="B1890" s="98"/>
      <c r="C1890" s="98"/>
      <c r="D1890" s="98"/>
      <c r="E1890" s="98"/>
    </row>
    <row r="1891" spans="2:5" ht="15.75" customHeight="1">
      <c r="B1891" s="98"/>
      <c r="C1891" s="98"/>
      <c r="D1891" s="98"/>
      <c r="E1891" s="98"/>
    </row>
    <row r="1892" spans="2:5" ht="15.75" customHeight="1">
      <c r="B1892" s="98"/>
      <c r="C1892" s="98"/>
      <c r="D1892" s="98"/>
      <c r="E1892" s="98"/>
    </row>
    <row r="1893" spans="2:5" ht="15.75" customHeight="1">
      <c r="B1893" s="98"/>
      <c r="C1893" s="98"/>
      <c r="D1893" s="98"/>
      <c r="E1893" s="98"/>
    </row>
    <row r="1894" spans="2:5" ht="15.75" customHeight="1">
      <c r="B1894" s="98"/>
      <c r="C1894" s="98"/>
      <c r="D1894" s="98"/>
      <c r="E1894" s="98"/>
    </row>
    <row r="1895" spans="2:5" ht="15.75" customHeight="1">
      <c r="B1895" s="98"/>
      <c r="C1895" s="98"/>
      <c r="D1895" s="98"/>
      <c r="E1895" s="98"/>
    </row>
    <row r="1896" spans="2:5" ht="15.75" customHeight="1">
      <c r="B1896" s="98"/>
      <c r="C1896" s="98"/>
      <c r="D1896" s="98"/>
      <c r="E1896" s="98"/>
    </row>
    <row r="1897" spans="2:5" ht="15.75" customHeight="1">
      <c r="B1897" s="98"/>
      <c r="C1897" s="98"/>
      <c r="D1897" s="98"/>
      <c r="E1897" s="98"/>
    </row>
    <row r="1898" spans="2:5" ht="15.75" customHeight="1">
      <c r="B1898" s="98"/>
      <c r="C1898" s="98"/>
      <c r="D1898" s="98"/>
      <c r="E1898" s="98"/>
    </row>
    <row r="1899" spans="2:5" ht="15.75" customHeight="1">
      <c r="B1899" s="98"/>
      <c r="C1899" s="98"/>
      <c r="D1899" s="98"/>
      <c r="E1899" s="98"/>
    </row>
    <row r="1900" spans="2:5" ht="15.75" customHeight="1">
      <c r="B1900" s="98"/>
      <c r="C1900" s="98"/>
      <c r="D1900" s="98"/>
      <c r="E1900" s="98"/>
    </row>
    <row r="1901" spans="2:5" ht="15.75" customHeight="1">
      <c r="B1901" s="98"/>
      <c r="C1901" s="98"/>
      <c r="D1901" s="98"/>
      <c r="E1901" s="98"/>
    </row>
    <row r="1902" spans="2:5" ht="15.75" customHeight="1">
      <c r="B1902" s="98"/>
      <c r="C1902" s="98"/>
      <c r="D1902" s="98"/>
      <c r="E1902" s="98"/>
    </row>
    <row r="1903" spans="2:5" ht="15.75" customHeight="1">
      <c r="B1903" s="98"/>
      <c r="C1903" s="98"/>
      <c r="D1903" s="98"/>
      <c r="E1903" s="98"/>
    </row>
    <row r="1904" spans="2:5" ht="15.75" customHeight="1">
      <c r="B1904" s="98"/>
      <c r="C1904" s="98"/>
      <c r="D1904" s="98"/>
      <c r="E1904" s="98"/>
    </row>
    <row r="1905" spans="2:5" ht="15.75" customHeight="1">
      <c r="B1905" s="98"/>
      <c r="C1905" s="98"/>
      <c r="D1905" s="98"/>
      <c r="E1905" s="98"/>
    </row>
    <row r="1906" spans="2:5" ht="15.75" customHeight="1">
      <c r="B1906" s="98"/>
      <c r="C1906" s="98"/>
      <c r="D1906" s="98"/>
      <c r="E1906" s="98"/>
    </row>
    <row r="1907" spans="2:5" ht="15.75" customHeight="1">
      <c r="B1907" s="98"/>
      <c r="C1907" s="98"/>
      <c r="D1907" s="98"/>
      <c r="E1907" s="98"/>
    </row>
    <row r="1908" spans="2:5" ht="15.75" customHeight="1">
      <c r="B1908" s="98"/>
      <c r="C1908" s="98"/>
      <c r="D1908" s="98"/>
      <c r="E1908" s="98"/>
    </row>
    <row r="1909" spans="2:5" ht="15.75" customHeight="1">
      <c r="B1909" s="98"/>
      <c r="C1909" s="98"/>
      <c r="D1909" s="98"/>
      <c r="E1909" s="98"/>
    </row>
    <row r="1910" spans="2:5" ht="15.75" customHeight="1">
      <c r="B1910" s="98"/>
      <c r="C1910" s="98"/>
      <c r="D1910" s="98"/>
      <c r="E1910" s="98"/>
    </row>
    <row r="1911" spans="2:5" ht="15.75" customHeight="1">
      <c r="B1911" s="98"/>
      <c r="C1911" s="98"/>
      <c r="D1911" s="98"/>
      <c r="E1911" s="98"/>
    </row>
    <row r="1912" spans="2:5" ht="15.75" customHeight="1">
      <c r="B1912" s="98"/>
      <c r="C1912" s="98"/>
      <c r="D1912" s="98"/>
      <c r="E1912" s="98"/>
    </row>
    <row r="1913" spans="2:5" ht="15.75" customHeight="1">
      <c r="B1913" s="98"/>
      <c r="C1913" s="98"/>
      <c r="D1913" s="98"/>
      <c r="E1913" s="98"/>
    </row>
    <row r="1914" spans="2:5" ht="15.75" customHeight="1">
      <c r="B1914" s="98"/>
      <c r="C1914" s="98"/>
      <c r="D1914" s="98"/>
      <c r="E1914" s="98"/>
    </row>
    <row r="1915" spans="2:5" ht="15.75" customHeight="1">
      <c r="B1915" s="98"/>
      <c r="C1915" s="98"/>
      <c r="D1915" s="98"/>
      <c r="E1915" s="98"/>
    </row>
    <row r="1916" spans="2:5" ht="15.75" customHeight="1">
      <c r="B1916" s="98"/>
      <c r="C1916" s="98"/>
      <c r="D1916" s="98"/>
      <c r="E1916" s="98"/>
    </row>
    <row r="1917" spans="2:5" ht="15.75" customHeight="1">
      <c r="B1917" s="98"/>
      <c r="C1917" s="98"/>
      <c r="D1917" s="98"/>
      <c r="E1917" s="98"/>
    </row>
    <row r="1918" spans="2:5" ht="15.75" customHeight="1">
      <c r="B1918" s="98"/>
      <c r="C1918" s="98"/>
      <c r="D1918" s="98"/>
      <c r="E1918" s="98"/>
    </row>
    <row r="1919" spans="2:5" ht="15.75" customHeight="1">
      <c r="B1919" s="98"/>
      <c r="C1919" s="98"/>
      <c r="D1919" s="98"/>
      <c r="E1919" s="98"/>
    </row>
    <row r="1920" spans="2:5" ht="15.75" customHeight="1">
      <c r="B1920" s="98"/>
      <c r="C1920" s="98"/>
      <c r="D1920" s="98"/>
      <c r="E1920" s="98"/>
    </row>
    <row r="1921" spans="2:5" ht="15.75" customHeight="1">
      <c r="B1921" s="98"/>
      <c r="C1921" s="98"/>
      <c r="D1921" s="98"/>
      <c r="E1921" s="98"/>
    </row>
    <row r="1922" spans="2:5" ht="15.75" customHeight="1">
      <c r="B1922" s="98"/>
      <c r="C1922" s="98"/>
      <c r="D1922" s="98"/>
      <c r="E1922" s="98"/>
    </row>
    <row r="1923" spans="2:5" ht="15.75" customHeight="1">
      <c r="B1923" s="98"/>
      <c r="C1923" s="98"/>
      <c r="D1923" s="98"/>
      <c r="E1923" s="98"/>
    </row>
    <row r="1924" spans="2:5" ht="15.75" customHeight="1">
      <c r="B1924" s="98"/>
      <c r="C1924" s="98"/>
      <c r="D1924" s="98"/>
      <c r="E1924" s="98"/>
    </row>
    <row r="1925" spans="2:5" ht="15.75" customHeight="1">
      <c r="B1925" s="98"/>
      <c r="C1925" s="98"/>
      <c r="D1925" s="98"/>
      <c r="E1925" s="98"/>
    </row>
    <row r="1926" spans="2:5" ht="15.75" customHeight="1">
      <c r="B1926" s="98"/>
      <c r="C1926" s="98"/>
      <c r="D1926" s="98"/>
      <c r="E1926" s="98"/>
    </row>
    <row r="1927" spans="2:5" ht="15.75" customHeight="1">
      <c r="B1927" s="98"/>
      <c r="C1927" s="98"/>
      <c r="D1927" s="98"/>
      <c r="E1927" s="98"/>
    </row>
    <row r="1928" spans="2:5" ht="15.75" customHeight="1">
      <c r="B1928" s="98"/>
      <c r="C1928" s="98"/>
      <c r="D1928" s="98"/>
      <c r="E1928" s="98"/>
    </row>
    <row r="1929" spans="2:5" ht="15.75" customHeight="1">
      <c r="B1929" s="98"/>
      <c r="C1929" s="98"/>
      <c r="D1929" s="98"/>
      <c r="E1929" s="98"/>
    </row>
    <row r="1930" spans="2:5" ht="15.75" customHeight="1">
      <c r="B1930" s="98"/>
      <c r="C1930" s="98"/>
      <c r="D1930" s="98"/>
      <c r="E1930" s="98"/>
    </row>
    <row r="1931" spans="2:5" ht="15.75" customHeight="1">
      <c r="B1931" s="98"/>
      <c r="C1931" s="98"/>
      <c r="D1931" s="98"/>
      <c r="E1931" s="98"/>
    </row>
    <row r="1932" spans="2:5" ht="15.75" customHeight="1">
      <c r="B1932" s="98"/>
      <c r="C1932" s="98"/>
      <c r="D1932" s="98"/>
      <c r="E1932" s="98"/>
    </row>
    <row r="1933" spans="2:5" ht="15.75" customHeight="1">
      <c r="B1933" s="98"/>
      <c r="C1933" s="98"/>
      <c r="D1933" s="98"/>
      <c r="E1933" s="98"/>
    </row>
    <row r="1934" spans="2:5" ht="15.75" customHeight="1">
      <c r="B1934" s="98"/>
      <c r="C1934" s="98"/>
      <c r="D1934" s="98"/>
      <c r="E1934" s="98"/>
    </row>
    <row r="1935" spans="2:5" ht="15.75" customHeight="1">
      <c r="B1935" s="98"/>
      <c r="C1935" s="98"/>
      <c r="D1935" s="98"/>
      <c r="E1935" s="98"/>
    </row>
    <row r="1936" spans="2:5" ht="15.75" customHeight="1">
      <c r="B1936" s="98"/>
      <c r="C1936" s="98"/>
      <c r="D1936" s="98"/>
      <c r="E1936" s="98"/>
    </row>
    <row r="1937" spans="2:5" ht="15.75" customHeight="1">
      <c r="B1937" s="98"/>
      <c r="C1937" s="98"/>
      <c r="D1937" s="98"/>
      <c r="E1937" s="98"/>
    </row>
    <row r="1938" spans="2:5" ht="15.75" customHeight="1">
      <c r="B1938" s="98"/>
      <c r="C1938" s="98"/>
      <c r="D1938" s="98"/>
      <c r="E1938" s="98"/>
    </row>
    <row r="1939" spans="2:5" ht="15.75" customHeight="1">
      <c r="B1939" s="98"/>
      <c r="C1939" s="98"/>
      <c r="D1939" s="98"/>
      <c r="E1939" s="98"/>
    </row>
    <row r="1940" spans="2:5" ht="15.75" customHeight="1">
      <c r="B1940" s="98"/>
      <c r="C1940" s="98"/>
      <c r="D1940" s="98"/>
      <c r="E1940" s="98"/>
    </row>
    <row r="1941" spans="2:5" ht="15.75" customHeight="1">
      <c r="B1941" s="98"/>
      <c r="C1941" s="98"/>
      <c r="D1941" s="98"/>
      <c r="E1941" s="98"/>
    </row>
    <row r="1942" spans="2:5" ht="15.75" customHeight="1">
      <c r="B1942" s="98"/>
      <c r="C1942" s="98"/>
      <c r="D1942" s="98"/>
      <c r="E1942" s="98"/>
    </row>
    <row r="1943" spans="2:5" ht="15.75" customHeight="1">
      <c r="B1943" s="98"/>
      <c r="C1943" s="98"/>
      <c r="D1943" s="98"/>
      <c r="E1943" s="98"/>
    </row>
    <row r="1944" spans="2:5" ht="15.75" customHeight="1">
      <c r="B1944" s="98"/>
      <c r="C1944" s="98"/>
      <c r="D1944" s="98"/>
      <c r="E1944" s="98"/>
    </row>
    <row r="1945" spans="2:5" ht="15.75" customHeight="1">
      <c r="B1945" s="98"/>
      <c r="C1945" s="98"/>
      <c r="D1945" s="98"/>
      <c r="E1945" s="98"/>
    </row>
    <row r="1946" spans="2:5" ht="15.75" customHeight="1">
      <c r="B1946" s="98"/>
      <c r="C1946" s="98"/>
      <c r="D1946" s="98"/>
      <c r="E1946" s="98"/>
    </row>
    <row r="1947" spans="2:5" ht="15.75" customHeight="1">
      <c r="B1947" s="98"/>
      <c r="C1947" s="98"/>
      <c r="D1947" s="98"/>
      <c r="E1947" s="98"/>
    </row>
    <row r="1948" spans="2:5" ht="15.75" customHeight="1">
      <c r="B1948" s="98"/>
      <c r="C1948" s="98"/>
      <c r="D1948" s="98"/>
      <c r="E1948" s="98"/>
    </row>
    <row r="1949" spans="2:5" ht="15.75" customHeight="1">
      <c r="B1949" s="98"/>
      <c r="C1949" s="98"/>
      <c r="D1949" s="98"/>
      <c r="E1949" s="98"/>
    </row>
    <row r="1950" spans="2:5" ht="15.75" customHeight="1">
      <c r="B1950" s="98"/>
      <c r="C1950" s="98"/>
      <c r="D1950" s="98"/>
      <c r="E1950" s="98"/>
    </row>
    <row r="1951" spans="2:5" ht="15.75" customHeight="1">
      <c r="B1951" s="98"/>
      <c r="C1951" s="98"/>
      <c r="D1951" s="98"/>
      <c r="E1951" s="98"/>
    </row>
    <row r="1952" spans="2:5" ht="15.75" customHeight="1">
      <c r="B1952" s="98"/>
      <c r="C1952" s="98"/>
      <c r="D1952" s="98"/>
      <c r="E1952" s="98"/>
    </row>
    <row r="1953" spans="2:5" ht="15.75" customHeight="1">
      <c r="B1953" s="98"/>
      <c r="C1953" s="98"/>
      <c r="D1953" s="98"/>
      <c r="E1953" s="98"/>
    </row>
    <row r="1954" spans="2:5" ht="15.75" customHeight="1">
      <c r="B1954" s="98"/>
      <c r="C1954" s="98"/>
      <c r="D1954" s="98"/>
      <c r="E1954" s="98"/>
    </row>
    <row r="1955" spans="2:5" ht="15.75" customHeight="1">
      <c r="B1955" s="98"/>
      <c r="C1955" s="98"/>
      <c r="D1955" s="98"/>
      <c r="E1955" s="98"/>
    </row>
    <row r="1956" spans="2:5" ht="15.75" customHeight="1">
      <c r="B1956" s="98"/>
      <c r="C1956" s="98"/>
      <c r="D1956" s="98"/>
      <c r="E1956" s="98"/>
    </row>
    <row r="1957" spans="2:5" ht="15.75" customHeight="1">
      <c r="B1957" s="98"/>
      <c r="C1957" s="98"/>
      <c r="D1957" s="98"/>
      <c r="E1957" s="98"/>
    </row>
    <row r="1958" spans="2:5" ht="15.75" customHeight="1">
      <c r="B1958" s="98"/>
      <c r="C1958" s="98"/>
      <c r="D1958" s="98"/>
      <c r="E1958" s="98"/>
    </row>
    <row r="1959" spans="2:5" ht="15.75" customHeight="1">
      <c r="B1959" s="98"/>
      <c r="C1959" s="98"/>
      <c r="D1959" s="98"/>
      <c r="E1959" s="98"/>
    </row>
    <row r="1960" spans="2:5" ht="15.75" customHeight="1">
      <c r="B1960" s="98"/>
      <c r="C1960" s="98"/>
      <c r="D1960" s="98"/>
      <c r="E1960" s="98"/>
    </row>
    <row r="1961" spans="2:5" ht="15.75" customHeight="1">
      <c r="B1961" s="98"/>
      <c r="C1961" s="98"/>
      <c r="D1961" s="98"/>
      <c r="E1961" s="98"/>
    </row>
    <row r="1962" spans="2:5" ht="15.75" customHeight="1">
      <c r="B1962" s="98"/>
      <c r="C1962" s="98"/>
      <c r="D1962" s="98"/>
      <c r="E1962" s="98"/>
    </row>
    <row r="1963" spans="2:5" ht="15.75" customHeight="1">
      <c r="B1963" s="98"/>
      <c r="C1963" s="98"/>
      <c r="D1963" s="98"/>
      <c r="E1963" s="98"/>
    </row>
    <row r="1964" spans="2:5" ht="15.75" customHeight="1">
      <c r="B1964" s="98"/>
      <c r="C1964" s="98"/>
      <c r="D1964" s="98"/>
      <c r="E1964" s="98"/>
    </row>
    <row r="1965" spans="2:5" ht="15.75" customHeight="1">
      <c r="B1965" s="98"/>
      <c r="C1965" s="98"/>
      <c r="D1965" s="98"/>
      <c r="E1965" s="98"/>
    </row>
    <row r="1966" spans="2:5" ht="15.75" customHeight="1">
      <c r="B1966" s="98"/>
      <c r="C1966" s="98"/>
      <c r="D1966" s="98"/>
      <c r="E1966" s="98"/>
    </row>
    <row r="1967" spans="2:5" ht="15.75" customHeight="1">
      <c r="B1967" s="98"/>
      <c r="C1967" s="98"/>
      <c r="D1967" s="98"/>
      <c r="E1967" s="98"/>
    </row>
    <row r="1968" spans="2:5" ht="15.75" customHeight="1">
      <c r="B1968" s="98"/>
      <c r="C1968" s="98"/>
      <c r="D1968" s="98"/>
      <c r="E1968" s="98"/>
    </row>
    <row r="1969" spans="2:5" ht="15.75" customHeight="1">
      <c r="B1969" s="98"/>
      <c r="C1969" s="98"/>
      <c r="D1969" s="98"/>
      <c r="E1969" s="98"/>
    </row>
    <row r="1970" spans="2:5" ht="15.75" customHeight="1">
      <c r="B1970" s="98"/>
      <c r="C1970" s="98"/>
      <c r="D1970" s="98"/>
      <c r="E1970" s="98"/>
    </row>
    <row r="1971" spans="2:5" ht="15.75" customHeight="1">
      <c r="B1971" s="98"/>
      <c r="C1971" s="98"/>
      <c r="D1971" s="98"/>
      <c r="E1971" s="98"/>
    </row>
    <row r="1972" spans="2:5" ht="15.75" customHeight="1">
      <c r="B1972" s="98"/>
      <c r="C1972" s="98"/>
      <c r="D1972" s="98"/>
      <c r="E1972" s="98"/>
    </row>
    <row r="1973" spans="2:5" ht="15.75" customHeight="1">
      <c r="B1973" s="98"/>
      <c r="C1973" s="98"/>
      <c r="D1973" s="98"/>
      <c r="E1973" s="98"/>
    </row>
    <row r="1974" spans="2:5" ht="15.75" customHeight="1">
      <c r="B1974" s="98"/>
      <c r="C1974" s="98"/>
      <c r="D1974" s="98"/>
      <c r="E1974" s="98"/>
    </row>
    <row r="1975" spans="2:5" ht="15.75" customHeight="1">
      <c r="B1975" s="98"/>
      <c r="C1975" s="98"/>
      <c r="D1975" s="98"/>
      <c r="E1975" s="98"/>
    </row>
    <row r="1976" spans="2:5" ht="15.75" customHeight="1">
      <c r="B1976" s="98"/>
      <c r="C1976" s="98"/>
      <c r="D1976" s="98"/>
      <c r="E1976" s="98"/>
    </row>
    <row r="1977" spans="2:5" ht="15.75" customHeight="1">
      <c r="B1977" s="98"/>
      <c r="C1977" s="98"/>
      <c r="D1977" s="98"/>
      <c r="E1977" s="98"/>
    </row>
    <row r="1978" spans="2:5" ht="15.75" customHeight="1">
      <c r="B1978" s="98"/>
      <c r="C1978" s="98"/>
      <c r="D1978" s="98"/>
      <c r="E1978" s="98"/>
    </row>
    <row r="1979" spans="2:5" ht="15.75" customHeight="1">
      <c r="B1979" s="98"/>
      <c r="C1979" s="98"/>
      <c r="D1979" s="98"/>
      <c r="E1979" s="98"/>
    </row>
    <row r="1980" spans="2:5" ht="15.75" customHeight="1">
      <c r="B1980" s="98"/>
      <c r="C1980" s="98"/>
      <c r="D1980" s="98"/>
      <c r="E1980" s="98"/>
    </row>
    <row r="1981" spans="2:5" ht="15.75" customHeight="1">
      <c r="B1981" s="98"/>
      <c r="C1981" s="98"/>
      <c r="D1981" s="98"/>
      <c r="E1981" s="98"/>
    </row>
    <row r="1982" spans="2:5" ht="15.75" customHeight="1">
      <c r="B1982" s="98"/>
      <c r="C1982" s="98"/>
      <c r="D1982" s="98"/>
      <c r="E1982" s="98"/>
    </row>
    <row r="1983" spans="2:5" ht="15.75" customHeight="1">
      <c r="B1983" s="98"/>
      <c r="C1983" s="98"/>
      <c r="D1983" s="98"/>
      <c r="E1983" s="98"/>
    </row>
    <row r="1984" spans="2:5" ht="15.75" customHeight="1">
      <c r="B1984" s="98"/>
      <c r="C1984" s="98"/>
      <c r="D1984" s="98"/>
      <c r="E1984" s="98"/>
    </row>
    <row r="1985" spans="2:5" ht="15.75" customHeight="1">
      <c r="B1985" s="98"/>
      <c r="C1985" s="98"/>
      <c r="D1985" s="98"/>
      <c r="E1985" s="98"/>
    </row>
    <row r="1986" spans="2:5" ht="15.75" customHeight="1">
      <c r="B1986" s="98"/>
      <c r="C1986" s="98"/>
      <c r="D1986" s="98"/>
      <c r="E1986" s="98"/>
    </row>
    <row r="1987" spans="2:5" ht="15.75" customHeight="1">
      <c r="B1987" s="98"/>
      <c r="C1987" s="98"/>
      <c r="D1987" s="98"/>
      <c r="E1987" s="98"/>
    </row>
    <row r="1988" spans="2:5" ht="15.75" customHeight="1">
      <c r="B1988" s="98"/>
      <c r="C1988" s="98"/>
      <c r="D1988" s="98"/>
      <c r="E1988" s="98"/>
    </row>
    <row r="1989" spans="2:5" ht="15.75" customHeight="1">
      <c r="B1989" s="98"/>
      <c r="C1989" s="98"/>
      <c r="D1989" s="98"/>
      <c r="E1989" s="98"/>
    </row>
    <row r="1990" spans="2:5" ht="15.75" customHeight="1">
      <c r="B1990" s="98"/>
      <c r="C1990" s="98"/>
      <c r="D1990" s="98"/>
      <c r="E1990" s="98"/>
    </row>
    <row r="1991" spans="2:5" ht="15.75" customHeight="1">
      <c r="B1991" s="98"/>
      <c r="C1991" s="98"/>
      <c r="D1991" s="98"/>
      <c r="E1991" s="98"/>
    </row>
    <row r="1992" spans="2:5" ht="15.75" customHeight="1">
      <c r="B1992" s="98"/>
      <c r="C1992" s="98"/>
      <c r="D1992" s="98"/>
      <c r="E1992" s="98"/>
    </row>
    <row r="1993" spans="2:5" ht="15.75" customHeight="1">
      <c r="B1993" s="98"/>
      <c r="C1993" s="98"/>
      <c r="D1993" s="98"/>
      <c r="E1993" s="98"/>
    </row>
    <row r="1994" spans="2:5" ht="15.75" customHeight="1">
      <c r="B1994" s="98"/>
      <c r="C1994" s="98"/>
      <c r="D1994" s="98"/>
      <c r="E1994" s="98"/>
    </row>
    <row r="1995" spans="2:5" ht="15.75" customHeight="1">
      <c r="B1995" s="98"/>
      <c r="C1995" s="98"/>
      <c r="D1995" s="98"/>
      <c r="E1995" s="98"/>
    </row>
    <row r="1996" spans="2:5" ht="15.75" customHeight="1">
      <c r="B1996" s="98"/>
      <c r="C1996" s="98"/>
      <c r="D1996" s="98"/>
      <c r="E1996" s="98"/>
    </row>
    <row r="1997" spans="2:5" ht="15.75" customHeight="1">
      <c r="B1997" s="98"/>
      <c r="C1997" s="98"/>
      <c r="D1997" s="98"/>
      <c r="E1997" s="98"/>
    </row>
    <row r="1998" spans="2:5" ht="15.75" customHeight="1">
      <c r="B1998" s="98"/>
      <c r="C1998" s="98"/>
      <c r="D1998" s="98"/>
      <c r="E1998" s="98"/>
    </row>
    <row r="1999" spans="2:5" ht="15.75" customHeight="1">
      <c r="B1999" s="98"/>
      <c r="C1999" s="98"/>
      <c r="D1999" s="98"/>
      <c r="E1999" s="98"/>
    </row>
    <row r="2000" spans="2:5" ht="15.75" customHeight="1">
      <c r="B2000" s="98"/>
      <c r="C2000" s="98"/>
      <c r="D2000" s="98"/>
      <c r="E2000" s="98"/>
    </row>
    <row r="2001" spans="2:5" ht="15.75" customHeight="1">
      <c r="B2001" s="98"/>
      <c r="C2001" s="98"/>
      <c r="D2001" s="98"/>
      <c r="E2001" s="98"/>
    </row>
    <row r="2002" spans="2:5" ht="15.75" customHeight="1">
      <c r="B2002" s="98"/>
      <c r="C2002" s="98"/>
      <c r="D2002" s="98"/>
      <c r="E2002" s="98"/>
    </row>
    <row r="2003" spans="2:5" ht="15.75" customHeight="1">
      <c r="B2003" s="98"/>
      <c r="C2003" s="98"/>
      <c r="D2003" s="98"/>
      <c r="E2003" s="98"/>
    </row>
    <row r="2004" spans="2:5" ht="15.75" customHeight="1">
      <c r="B2004" s="98"/>
      <c r="C2004" s="98"/>
      <c r="D2004" s="98"/>
      <c r="E2004" s="98"/>
    </row>
    <row r="2005" spans="2:5" ht="15.75" customHeight="1">
      <c r="B2005" s="98"/>
      <c r="C2005" s="98"/>
      <c r="D2005" s="98"/>
      <c r="E2005" s="98"/>
    </row>
    <row r="2006" spans="2:5" ht="15.75" customHeight="1">
      <c r="B2006" s="98"/>
      <c r="C2006" s="98"/>
      <c r="D2006" s="98"/>
      <c r="E2006" s="98"/>
    </row>
    <row r="2007" spans="2:5" ht="15.75" customHeight="1">
      <c r="B2007" s="98"/>
      <c r="C2007" s="98"/>
      <c r="D2007" s="98"/>
      <c r="E2007" s="98"/>
    </row>
    <row r="2008" spans="2:5" ht="15.75" customHeight="1">
      <c r="B2008" s="98"/>
      <c r="C2008" s="98"/>
      <c r="D2008" s="98"/>
      <c r="E2008" s="98"/>
    </row>
    <row r="2009" spans="2:5" ht="15.75" customHeight="1">
      <c r="B2009" s="98"/>
      <c r="C2009" s="98"/>
      <c r="D2009" s="98"/>
      <c r="E2009" s="98"/>
    </row>
    <row r="2010" spans="2:5" ht="15.75" customHeight="1">
      <c r="B2010" s="98"/>
      <c r="C2010" s="98"/>
      <c r="D2010" s="98"/>
      <c r="E2010" s="98"/>
    </row>
    <row r="2011" spans="2:5" ht="15.75" customHeight="1">
      <c r="B2011" s="98"/>
      <c r="C2011" s="98"/>
      <c r="D2011" s="98"/>
      <c r="E2011" s="98"/>
    </row>
    <row r="2012" spans="2:5" ht="15.75" customHeight="1">
      <c r="B2012" s="98"/>
      <c r="C2012" s="98"/>
      <c r="D2012" s="98"/>
      <c r="E2012" s="98"/>
    </row>
    <row r="2013" spans="2:5" ht="15.75" customHeight="1">
      <c r="B2013" s="98"/>
      <c r="C2013" s="98"/>
      <c r="D2013" s="98"/>
      <c r="E2013" s="98"/>
    </row>
    <row r="2014" spans="2:5" ht="15.75" customHeight="1">
      <c r="B2014" s="98"/>
      <c r="C2014" s="98"/>
      <c r="D2014" s="98"/>
      <c r="E2014" s="98"/>
    </row>
    <row r="2015" spans="2:5" ht="15.75" customHeight="1">
      <c r="B2015" s="98"/>
      <c r="C2015" s="98"/>
      <c r="D2015" s="98"/>
      <c r="E2015" s="98"/>
    </row>
    <row r="2016" spans="2:5" ht="15.75" customHeight="1">
      <c r="B2016" s="98"/>
      <c r="C2016" s="98"/>
      <c r="D2016" s="98"/>
      <c r="E2016" s="98"/>
    </row>
    <row r="2017" spans="2:5" ht="15.75" customHeight="1">
      <c r="B2017" s="98"/>
      <c r="C2017" s="98"/>
      <c r="D2017" s="98"/>
      <c r="E2017" s="98"/>
    </row>
    <row r="2018" spans="2:5" ht="15.75" customHeight="1">
      <c r="B2018" s="98"/>
      <c r="C2018" s="98"/>
      <c r="D2018" s="98"/>
      <c r="E2018" s="98"/>
    </row>
    <row r="2019" spans="2:5" ht="15.75" customHeight="1">
      <c r="B2019" s="98"/>
      <c r="C2019" s="98"/>
      <c r="D2019" s="98"/>
      <c r="E2019" s="98"/>
    </row>
    <row r="2020" spans="2:5" ht="15.75" customHeight="1">
      <c r="B2020" s="98"/>
      <c r="C2020" s="98"/>
      <c r="D2020" s="98"/>
      <c r="E2020" s="98"/>
    </row>
    <row r="2021" spans="2:5" ht="15.75" customHeight="1">
      <c r="B2021" s="98"/>
      <c r="C2021" s="98"/>
      <c r="D2021" s="98"/>
      <c r="E2021" s="98"/>
    </row>
    <row r="2022" spans="2:5" ht="15.75" customHeight="1">
      <c r="B2022" s="98"/>
      <c r="C2022" s="98"/>
      <c r="D2022" s="98"/>
      <c r="E2022" s="98"/>
    </row>
    <row r="2023" spans="2:5" ht="15.75" customHeight="1">
      <c r="B2023" s="98"/>
      <c r="C2023" s="98"/>
      <c r="D2023" s="98"/>
      <c r="E2023" s="98"/>
    </row>
    <row r="2024" spans="2:5" ht="15.75" customHeight="1">
      <c r="B2024" s="98"/>
      <c r="C2024" s="98"/>
      <c r="D2024" s="98"/>
      <c r="E2024" s="98"/>
    </row>
    <row r="2025" spans="2:5" ht="15.75" customHeight="1">
      <c r="B2025" s="98"/>
      <c r="C2025" s="98"/>
      <c r="D2025" s="98"/>
      <c r="E2025" s="98"/>
    </row>
    <row r="2026" spans="2:5" ht="15.75" customHeight="1">
      <c r="B2026" s="98"/>
      <c r="C2026" s="98"/>
      <c r="D2026" s="98"/>
      <c r="E2026" s="98"/>
    </row>
    <row r="2027" spans="2:5" ht="15.75" customHeight="1">
      <c r="B2027" s="98"/>
      <c r="C2027" s="98"/>
      <c r="D2027" s="98"/>
      <c r="E2027" s="98"/>
    </row>
    <row r="2028" spans="2:5" ht="15.75" customHeight="1">
      <c r="B2028" s="98"/>
      <c r="C2028" s="98"/>
      <c r="D2028" s="98"/>
      <c r="E2028" s="98"/>
    </row>
    <row r="2029" spans="2:5" ht="15.75" customHeight="1">
      <c r="B2029" s="98"/>
      <c r="C2029" s="98"/>
      <c r="D2029" s="98"/>
      <c r="E2029" s="98"/>
    </row>
    <row r="2030" spans="2:5" ht="15.75" customHeight="1">
      <c r="B2030" s="98"/>
      <c r="C2030" s="98"/>
      <c r="D2030" s="98"/>
      <c r="E2030" s="98"/>
    </row>
    <row r="2031" spans="2:5" ht="15.75" customHeight="1">
      <c r="B2031" s="98"/>
      <c r="C2031" s="98"/>
      <c r="D2031" s="98"/>
      <c r="E2031" s="98"/>
    </row>
    <row r="2032" spans="2:5" ht="15.75" customHeight="1">
      <c r="B2032" s="98"/>
      <c r="C2032" s="98"/>
      <c r="D2032" s="98"/>
      <c r="E2032" s="98"/>
    </row>
    <row r="2033" spans="2:5" ht="15.75" customHeight="1">
      <c r="B2033" s="98"/>
      <c r="C2033" s="98"/>
      <c r="D2033" s="98"/>
      <c r="E2033" s="98"/>
    </row>
    <row r="2034" spans="2:5" ht="15.75" customHeight="1">
      <c r="B2034" s="98"/>
      <c r="C2034" s="98"/>
      <c r="D2034" s="98"/>
      <c r="E2034" s="98"/>
    </row>
    <row r="2035" spans="2:5" ht="15.75" customHeight="1">
      <c r="B2035" s="98"/>
      <c r="C2035" s="98"/>
      <c r="D2035" s="98"/>
      <c r="E2035" s="98"/>
    </row>
    <row r="2036" spans="2:5" ht="15.75" customHeight="1">
      <c r="B2036" s="98"/>
      <c r="C2036" s="98"/>
      <c r="D2036" s="98"/>
      <c r="E2036" s="98"/>
    </row>
    <row r="2037" spans="2:5" ht="15.75" customHeight="1">
      <c r="B2037" s="98"/>
      <c r="C2037" s="98"/>
      <c r="D2037" s="98"/>
      <c r="E2037" s="98"/>
    </row>
    <row r="2038" spans="2:5" ht="15.75" customHeight="1">
      <c r="B2038" s="98"/>
      <c r="C2038" s="98"/>
      <c r="D2038" s="98"/>
      <c r="E2038" s="98"/>
    </row>
    <row r="2039" spans="2:5" ht="15.75" customHeight="1">
      <c r="B2039" s="98"/>
      <c r="C2039" s="98"/>
      <c r="D2039" s="98"/>
      <c r="E2039" s="98"/>
    </row>
    <row r="2040" spans="2:5" ht="15.75" customHeight="1">
      <c r="B2040" s="98"/>
      <c r="C2040" s="98"/>
      <c r="D2040" s="98"/>
      <c r="E2040" s="98"/>
    </row>
    <row r="2041" spans="2:5" ht="15.75" customHeight="1">
      <c r="B2041" s="98"/>
      <c r="C2041" s="98"/>
      <c r="D2041" s="98"/>
      <c r="E2041" s="98"/>
    </row>
    <row r="2042" spans="2:5" ht="15.75" customHeight="1">
      <c r="B2042" s="98"/>
      <c r="C2042" s="98"/>
      <c r="D2042" s="98"/>
      <c r="E2042" s="98"/>
    </row>
    <row r="2043" spans="2:5" ht="15.75" customHeight="1">
      <c r="B2043" s="98"/>
      <c r="C2043" s="98"/>
      <c r="D2043" s="98"/>
      <c r="E2043" s="98"/>
    </row>
    <row r="2044" spans="2:5" ht="15.75" customHeight="1">
      <c r="B2044" s="98"/>
      <c r="C2044" s="98"/>
      <c r="D2044" s="98"/>
      <c r="E2044" s="98"/>
    </row>
    <row r="2045" spans="2:5" ht="15.75" customHeight="1">
      <c r="B2045" s="98"/>
      <c r="C2045" s="98"/>
      <c r="D2045" s="98"/>
      <c r="E2045" s="98"/>
    </row>
    <row r="2046" spans="2:5" ht="15.75" customHeight="1">
      <c r="B2046" s="98"/>
      <c r="C2046" s="98"/>
      <c r="D2046" s="98"/>
      <c r="E2046" s="98"/>
    </row>
    <row r="2047" spans="2:5" ht="15.75" customHeight="1">
      <c r="B2047" s="98"/>
      <c r="C2047" s="98"/>
      <c r="D2047" s="98"/>
      <c r="E2047" s="98"/>
    </row>
    <row r="2048" spans="2:5" ht="15.75" customHeight="1">
      <c r="B2048" s="98"/>
      <c r="C2048" s="98"/>
      <c r="D2048" s="98"/>
      <c r="E2048" s="98"/>
    </row>
    <row r="2049" spans="2:5" ht="15.75" customHeight="1">
      <c r="B2049" s="98"/>
      <c r="C2049" s="98"/>
      <c r="D2049" s="98"/>
      <c r="E2049" s="98"/>
    </row>
    <row r="2050" spans="2:5" ht="15.75" customHeight="1">
      <c r="B2050" s="98"/>
      <c r="C2050" s="98"/>
      <c r="D2050" s="98"/>
      <c r="E2050" s="98"/>
    </row>
    <row r="2051" spans="2:5" ht="15.75" customHeight="1">
      <c r="B2051" s="98"/>
      <c r="C2051" s="98"/>
      <c r="D2051" s="98"/>
      <c r="E2051" s="98"/>
    </row>
    <row r="2052" spans="2:5" ht="15.75" customHeight="1">
      <c r="B2052" s="98"/>
      <c r="C2052" s="98"/>
      <c r="D2052" s="98"/>
      <c r="E2052" s="98"/>
    </row>
    <row r="2053" spans="2:5" ht="15.75" customHeight="1">
      <c r="B2053" s="98"/>
      <c r="C2053" s="98"/>
      <c r="D2053" s="98"/>
      <c r="E2053" s="98"/>
    </row>
    <row r="2054" spans="2:5" ht="15.75" customHeight="1">
      <c r="B2054" s="98"/>
      <c r="C2054" s="98"/>
      <c r="D2054" s="98"/>
      <c r="E2054" s="98"/>
    </row>
    <row r="2055" spans="2:5" ht="15.75" customHeight="1">
      <c r="B2055" s="98"/>
      <c r="C2055" s="98"/>
      <c r="D2055" s="98"/>
      <c r="E2055" s="98"/>
    </row>
    <row r="2056" spans="2:5" ht="15.75" customHeight="1">
      <c r="B2056" s="98"/>
      <c r="C2056" s="98"/>
      <c r="D2056" s="98"/>
      <c r="E2056" s="98"/>
    </row>
    <row r="2057" spans="2:5" ht="15.75" customHeight="1">
      <c r="B2057" s="98"/>
      <c r="C2057" s="98"/>
      <c r="D2057" s="98"/>
      <c r="E2057" s="98"/>
    </row>
    <row r="2058" spans="2:5" ht="15.75" customHeight="1">
      <c r="B2058" s="98"/>
      <c r="C2058" s="98"/>
      <c r="D2058" s="98"/>
      <c r="E2058" s="98"/>
    </row>
    <row r="2059" spans="2:5" ht="15.75" customHeight="1">
      <c r="B2059" s="98"/>
      <c r="C2059" s="98"/>
      <c r="D2059" s="98"/>
      <c r="E2059" s="98"/>
    </row>
    <row r="2060" spans="2:5" ht="15.75" customHeight="1">
      <c r="B2060" s="98"/>
      <c r="C2060" s="98"/>
      <c r="D2060" s="98"/>
      <c r="E2060" s="98"/>
    </row>
    <row r="2061" spans="2:5" ht="15.75" customHeight="1">
      <c r="B2061" s="98"/>
      <c r="C2061" s="98"/>
      <c r="D2061" s="98"/>
      <c r="E2061" s="98"/>
    </row>
    <row r="2062" spans="2:5" ht="15.75" customHeight="1">
      <c r="B2062" s="98"/>
      <c r="C2062" s="98"/>
      <c r="D2062" s="98"/>
      <c r="E2062" s="98"/>
    </row>
    <row r="2063" spans="2:5" ht="15.75" customHeight="1">
      <c r="B2063" s="98"/>
      <c r="C2063" s="98"/>
      <c r="D2063" s="98"/>
      <c r="E2063" s="98"/>
    </row>
    <row r="2064" spans="2:5" ht="15.75" customHeight="1">
      <c r="B2064" s="98"/>
      <c r="C2064" s="98"/>
      <c r="D2064" s="98"/>
      <c r="E2064" s="98"/>
    </row>
    <row r="2065" spans="2:5" ht="15.75" customHeight="1">
      <c r="B2065" s="98"/>
      <c r="C2065" s="98"/>
      <c r="D2065" s="98"/>
      <c r="E2065" s="98"/>
    </row>
    <row r="2066" spans="2:5" ht="15.75" customHeight="1">
      <c r="B2066" s="98"/>
      <c r="C2066" s="98"/>
      <c r="D2066" s="98"/>
      <c r="E2066" s="98"/>
    </row>
    <row r="2067" spans="2:5" ht="15.75" customHeight="1">
      <c r="B2067" s="98"/>
      <c r="C2067" s="98"/>
      <c r="D2067" s="98"/>
      <c r="E2067" s="98"/>
    </row>
    <row r="2068" spans="2:5" ht="15.75" customHeight="1">
      <c r="B2068" s="98"/>
      <c r="C2068" s="98"/>
      <c r="D2068" s="98"/>
      <c r="E2068" s="98"/>
    </row>
    <row r="2069" spans="2:5" ht="15.75" customHeight="1">
      <c r="B2069" s="98"/>
      <c r="C2069" s="98"/>
      <c r="D2069" s="98"/>
      <c r="E2069" s="98"/>
    </row>
    <row r="2070" spans="2:5" ht="15.75" customHeight="1">
      <c r="B2070" s="98"/>
      <c r="C2070" s="98"/>
      <c r="D2070" s="98"/>
      <c r="E2070" s="98"/>
    </row>
    <row r="2071" spans="2:5" ht="15.75" customHeight="1">
      <c r="B2071" s="98"/>
      <c r="C2071" s="98"/>
      <c r="D2071" s="98"/>
      <c r="E2071" s="98"/>
    </row>
    <row r="2072" spans="2:5" ht="15.75" customHeight="1">
      <c r="B2072" s="98"/>
      <c r="C2072" s="98"/>
      <c r="D2072" s="98"/>
      <c r="E2072" s="98"/>
    </row>
    <row r="2073" spans="2:5" ht="15.75" customHeight="1">
      <c r="B2073" s="98"/>
      <c r="C2073" s="98"/>
      <c r="D2073" s="98"/>
      <c r="E2073" s="98"/>
    </row>
    <row r="2074" spans="2:5" ht="15.75" customHeight="1">
      <c r="B2074" s="98"/>
      <c r="C2074" s="98"/>
      <c r="D2074" s="98"/>
      <c r="E2074" s="98"/>
    </row>
    <row r="2075" spans="2:5" ht="15.75" customHeight="1">
      <c r="B2075" s="98"/>
      <c r="C2075" s="98"/>
      <c r="D2075" s="98"/>
      <c r="E2075" s="98"/>
    </row>
    <row r="2076" spans="2:5" ht="15.75" customHeight="1">
      <c r="B2076" s="98"/>
      <c r="C2076" s="98"/>
      <c r="D2076" s="98"/>
      <c r="E2076" s="98"/>
    </row>
    <row r="2077" spans="2:5" ht="15.75" customHeight="1">
      <c r="B2077" s="98"/>
      <c r="C2077" s="98"/>
      <c r="D2077" s="98"/>
      <c r="E2077" s="98"/>
    </row>
    <row r="2078" spans="2:5" ht="15.75" customHeight="1">
      <c r="B2078" s="98"/>
      <c r="C2078" s="98"/>
      <c r="D2078" s="98"/>
      <c r="E2078" s="98"/>
    </row>
    <row r="2079" spans="2:5" ht="15.75" customHeight="1">
      <c r="B2079" s="98"/>
      <c r="C2079" s="98"/>
      <c r="D2079" s="98"/>
      <c r="E2079" s="98"/>
    </row>
    <row r="2080" spans="2:5" ht="15.75" customHeight="1">
      <c r="B2080" s="98"/>
      <c r="C2080" s="98"/>
      <c r="D2080" s="98"/>
      <c r="E2080" s="98"/>
    </row>
    <row r="2081" spans="2:5" ht="15.75" customHeight="1">
      <c r="B2081" s="98"/>
      <c r="C2081" s="98"/>
      <c r="D2081" s="98"/>
      <c r="E2081" s="98"/>
    </row>
    <row r="2082" spans="2:5" ht="15.75" customHeight="1">
      <c r="B2082" s="98"/>
      <c r="C2082" s="98"/>
      <c r="D2082" s="98"/>
      <c r="E2082" s="98"/>
    </row>
    <row r="2083" spans="2:5" ht="15.75" customHeight="1">
      <c r="B2083" s="98"/>
      <c r="C2083" s="98"/>
      <c r="D2083" s="98"/>
      <c r="E2083" s="98"/>
    </row>
    <row r="2084" spans="2:5" ht="15.75" customHeight="1">
      <c r="B2084" s="98"/>
      <c r="C2084" s="98"/>
      <c r="D2084" s="98"/>
      <c r="E2084" s="98"/>
    </row>
    <row r="2085" spans="2:5" ht="15.75" customHeight="1">
      <c r="B2085" s="98"/>
      <c r="C2085" s="98"/>
      <c r="D2085" s="98"/>
      <c r="E2085" s="98"/>
    </row>
    <row r="2086" spans="2:5" ht="15.75" customHeight="1">
      <c r="B2086" s="98"/>
      <c r="C2086" s="98"/>
      <c r="D2086" s="98"/>
      <c r="E2086" s="98"/>
    </row>
    <row r="2087" spans="2:5" ht="15.75" customHeight="1">
      <c r="B2087" s="98"/>
      <c r="C2087" s="98"/>
      <c r="D2087" s="98"/>
      <c r="E2087" s="98"/>
    </row>
    <row r="2088" spans="2:5" ht="15.75" customHeight="1">
      <c r="B2088" s="98"/>
      <c r="C2088" s="98"/>
      <c r="D2088" s="98"/>
      <c r="E2088" s="98"/>
    </row>
    <row r="2089" spans="2:5" ht="15.75" customHeight="1">
      <c r="B2089" s="98"/>
      <c r="C2089" s="98"/>
      <c r="D2089" s="98"/>
      <c r="E2089" s="98"/>
    </row>
    <row r="2090" spans="2:5" ht="15.75" customHeight="1">
      <c r="B2090" s="98"/>
      <c r="C2090" s="98"/>
      <c r="D2090" s="98"/>
      <c r="E2090" s="98"/>
    </row>
    <row r="2091" spans="2:5" ht="15.75" customHeight="1">
      <c r="B2091" s="98"/>
      <c r="C2091" s="98"/>
      <c r="D2091" s="98"/>
      <c r="E2091" s="98"/>
    </row>
    <row r="2092" spans="2:5" ht="15.75" customHeight="1">
      <c r="B2092" s="98"/>
      <c r="C2092" s="98"/>
      <c r="D2092" s="98"/>
      <c r="E2092" s="98"/>
    </row>
    <row r="2093" spans="2:5" ht="15.75" customHeight="1">
      <c r="B2093" s="98"/>
      <c r="C2093" s="98"/>
      <c r="D2093" s="98"/>
      <c r="E2093" s="98"/>
    </row>
    <row r="2094" spans="2:5" ht="15.75" customHeight="1">
      <c r="B2094" s="98"/>
      <c r="C2094" s="98"/>
      <c r="D2094" s="98"/>
      <c r="E2094" s="98"/>
    </row>
    <row r="2095" spans="2:5" ht="15.75" customHeight="1">
      <c r="B2095" s="98"/>
      <c r="C2095" s="98"/>
      <c r="D2095" s="98"/>
      <c r="E2095" s="98"/>
    </row>
    <row r="2096" spans="2:5" ht="15.75" customHeight="1">
      <c r="B2096" s="98"/>
      <c r="C2096" s="98"/>
      <c r="D2096" s="98"/>
      <c r="E2096" s="98"/>
    </row>
    <row r="2097" spans="2:5" ht="15.75" customHeight="1">
      <c r="B2097" s="98"/>
      <c r="C2097" s="98"/>
      <c r="D2097" s="98"/>
      <c r="E2097" s="98"/>
    </row>
    <row r="2098" spans="2:5" ht="15.75" customHeight="1">
      <c r="B2098" s="98"/>
      <c r="C2098" s="98"/>
      <c r="D2098" s="98"/>
      <c r="E2098" s="98"/>
    </row>
    <row r="2099" spans="2:5" ht="15.75" customHeight="1">
      <c r="B2099" s="98"/>
      <c r="C2099" s="98"/>
      <c r="D2099" s="98"/>
      <c r="E2099" s="98"/>
    </row>
    <row r="2100" spans="2:5" ht="15.75" customHeight="1">
      <c r="B2100" s="98"/>
      <c r="C2100" s="98"/>
      <c r="D2100" s="98"/>
      <c r="E2100" s="98"/>
    </row>
    <row r="2101" spans="2:5" ht="15.75" customHeight="1">
      <c r="B2101" s="98"/>
      <c r="C2101" s="98"/>
      <c r="D2101" s="98"/>
      <c r="E2101" s="98"/>
    </row>
    <row r="2102" spans="2:5" ht="15.75" customHeight="1">
      <c r="B2102" s="98"/>
      <c r="C2102" s="98"/>
      <c r="D2102" s="98"/>
      <c r="E2102" s="98"/>
    </row>
    <row r="2103" spans="2:5" ht="15.75" customHeight="1">
      <c r="B2103" s="98"/>
      <c r="C2103" s="98"/>
      <c r="D2103" s="98"/>
      <c r="E2103" s="98"/>
    </row>
    <row r="2104" spans="2:5" ht="15.75" customHeight="1">
      <c r="B2104" s="98"/>
      <c r="C2104" s="98"/>
      <c r="D2104" s="98"/>
      <c r="E2104" s="98"/>
    </row>
    <row r="2105" spans="2:5" ht="15.75" customHeight="1">
      <c r="B2105" s="98"/>
      <c r="C2105" s="98"/>
      <c r="D2105" s="98"/>
      <c r="E2105" s="98"/>
    </row>
    <row r="2106" spans="2:5" ht="15.75" customHeight="1">
      <c r="B2106" s="98"/>
      <c r="C2106" s="98"/>
      <c r="D2106" s="98"/>
      <c r="E2106" s="98"/>
    </row>
    <row r="2107" spans="2:5" ht="15.75" customHeight="1">
      <c r="B2107" s="98"/>
      <c r="C2107" s="98"/>
      <c r="D2107" s="98"/>
      <c r="E2107" s="98"/>
    </row>
    <row r="2108" spans="2:5" ht="15.75" customHeight="1">
      <c r="B2108" s="98"/>
      <c r="C2108" s="98"/>
      <c r="D2108" s="98"/>
      <c r="E2108" s="98"/>
    </row>
    <row r="2109" spans="2:5" ht="15.75" customHeight="1">
      <c r="B2109" s="98"/>
      <c r="C2109" s="98"/>
      <c r="D2109" s="98"/>
      <c r="E2109" s="98"/>
    </row>
    <row r="2110" spans="2:5" ht="15.75" customHeight="1">
      <c r="B2110" s="98"/>
      <c r="C2110" s="98"/>
      <c r="D2110" s="98"/>
      <c r="E2110" s="98"/>
    </row>
    <row r="2111" spans="2:5" ht="15.75" customHeight="1">
      <c r="B2111" s="98"/>
      <c r="C2111" s="98"/>
      <c r="D2111" s="98"/>
      <c r="E2111" s="98"/>
    </row>
    <row r="2112" spans="2:5" ht="15.75" customHeight="1">
      <c r="B2112" s="98"/>
      <c r="C2112" s="98"/>
      <c r="D2112" s="98"/>
      <c r="E2112" s="98"/>
    </row>
    <row r="2113" spans="2:5" ht="15.75" customHeight="1">
      <c r="B2113" s="98"/>
      <c r="C2113" s="98"/>
      <c r="D2113" s="98"/>
      <c r="E2113" s="98"/>
    </row>
    <row r="2114" spans="2:5" ht="15.75" customHeight="1">
      <c r="B2114" s="98"/>
      <c r="C2114" s="98"/>
      <c r="D2114" s="98"/>
      <c r="E2114" s="98"/>
    </row>
    <row r="2115" spans="2:5" ht="15.75" customHeight="1">
      <c r="B2115" s="98"/>
      <c r="C2115" s="98"/>
      <c r="D2115" s="98"/>
      <c r="E2115" s="98"/>
    </row>
    <row r="2116" spans="2:5" ht="15.75" customHeight="1">
      <c r="B2116" s="98"/>
      <c r="C2116" s="98"/>
      <c r="D2116" s="98"/>
      <c r="E2116" s="98"/>
    </row>
    <row r="2117" spans="2:5" ht="15.75" customHeight="1">
      <c r="B2117" s="98"/>
      <c r="C2117" s="98"/>
      <c r="D2117" s="98"/>
      <c r="E2117" s="98"/>
    </row>
    <row r="2118" spans="2:5" ht="15.75" customHeight="1">
      <c r="B2118" s="98"/>
      <c r="C2118" s="98"/>
      <c r="D2118" s="98"/>
      <c r="E2118" s="98"/>
    </row>
    <row r="2119" spans="2:5" ht="15.75" customHeight="1">
      <c r="B2119" s="98"/>
      <c r="C2119" s="98"/>
      <c r="D2119" s="98"/>
      <c r="E2119" s="98"/>
    </row>
    <row r="2120" spans="2:5" ht="15.75" customHeight="1">
      <c r="B2120" s="98"/>
      <c r="C2120" s="98"/>
      <c r="D2120" s="98"/>
      <c r="E2120" s="98"/>
    </row>
    <row r="2121" spans="2:5" ht="15.75" customHeight="1">
      <c r="B2121" s="98"/>
      <c r="C2121" s="98"/>
      <c r="D2121" s="98"/>
      <c r="E2121" s="98"/>
    </row>
    <row r="2122" spans="2:5" ht="15.75" customHeight="1">
      <c r="B2122" s="98"/>
      <c r="C2122" s="98"/>
      <c r="D2122" s="98"/>
      <c r="E2122" s="98"/>
    </row>
    <row r="2123" spans="2:5" ht="15.75" customHeight="1">
      <c r="B2123" s="98"/>
      <c r="C2123" s="98"/>
      <c r="D2123" s="98"/>
      <c r="E2123" s="98"/>
    </row>
    <row r="2124" spans="2:5" ht="15.75" customHeight="1">
      <c r="B2124" s="98"/>
      <c r="C2124" s="98"/>
      <c r="D2124" s="98"/>
      <c r="E2124" s="98"/>
    </row>
    <row r="2125" spans="2:5" ht="15.75" customHeight="1">
      <c r="B2125" s="98"/>
      <c r="C2125" s="98"/>
      <c r="D2125" s="98"/>
      <c r="E2125" s="98"/>
    </row>
    <row r="2126" spans="2:5" ht="15.75" customHeight="1">
      <c r="B2126" s="98"/>
      <c r="C2126" s="98"/>
      <c r="D2126" s="98"/>
      <c r="E2126" s="98"/>
    </row>
    <row r="2127" spans="2:5" ht="15.75" customHeight="1">
      <c r="B2127" s="98"/>
      <c r="C2127" s="98"/>
      <c r="D2127" s="98"/>
      <c r="E2127" s="98"/>
    </row>
    <row r="2128" spans="2:5" ht="15.75" customHeight="1">
      <c r="B2128" s="98"/>
      <c r="C2128" s="98"/>
      <c r="D2128" s="98"/>
      <c r="E2128" s="98"/>
    </row>
    <row r="2129" spans="2:5" ht="15.75" customHeight="1">
      <c r="B2129" s="98"/>
      <c r="C2129" s="98"/>
      <c r="D2129" s="98"/>
      <c r="E2129" s="98"/>
    </row>
    <row r="2130" spans="2:5" ht="15.75" customHeight="1">
      <c r="B2130" s="98"/>
      <c r="C2130" s="98"/>
      <c r="D2130" s="98"/>
      <c r="E2130" s="98"/>
    </row>
    <row r="2131" spans="2:5" ht="15.75" customHeight="1">
      <c r="B2131" s="98"/>
      <c r="C2131" s="98"/>
      <c r="D2131" s="98"/>
      <c r="E2131" s="98"/>
    </row>
    <row r="2132" spans="2:5" ht="15.75" customHeight="1">
      <c r="B2132" s="98"/>
      <c r="C2132" s="98"/>
      <c r="D2132" s="98"/>
      <c r="E2132" s="98"/>
    </row>
    <row r="2133" spans="2:5" ht="15.75" customHeight="1">
      <c r="B2133" s="98"/>
      <c r="C2133" s="98"/>
      <c r="D2133" s="98"/>
      <c r="E2133" s="98"/>
    </row>
    <row r="2134" spans="2:5" ht="15.75" customHeight="1">
      <c r="B2134" s="98"/>
      <c r="C2134" s="98"/>
      <c r="D2134" s="98"/>
      <c r="E2134" s="98"/>
    </row>
    <row r="2135" spans="2:5" ht="15.75" customHeight="1">
      <c r="B2135" s="98"/>
      <c r="C2135" s="98"/>
      <c r="D2135" s="98"/>
      <c r="E2135" s="98"/>
    </row>
    <row r="2136" spans="2:5" ht="15.75" customHeight="1">
      <c r="B2136" s="98"/>
      <c r="C2136" s="98"/>
      <c r="D2136" s="98"/>
      <c r="E2136" s="98"/>
    </row>
    <row r="2137" spans="2:5" ht="15.75" customHeight="1">
      <c r="B2137" s="98"/>
      <c r="C2137" s="98"/>
      <c r="D2137" s="98"/>
      <c r="E2137" s="98"/>
    </row>
    <row r="2138" spans="2:5" ht="15.75" customHeight="1">
      <c r="B2138" s="98"/>
      <c r="C2138" s="98"/>
      <c r="D2138" s="98"/>
      <c r="E2138" s="98"/>
    </row>
    <row r="2139" spans="2:5" ht="15.75" customHeight="1">
      <c r="B2139" s="98"/>
      <c r="C2139" s="98"/>
      <c r="D2139" s="98"/>
      <c r="E2139" s="98"/>
    </row>
    <row r="2140" spans="2:5" ht="15.75" customHeight="1">
      <c r="B2140" s="98"/>
      <c r="C2140" s="98"/>
      <c r="D2140" s="98"/>
      <c r="E2140" s="98"/>
    </row>
    <row r="2141" spans="2:5" ht="15.75" customHeight="1">
      <c r="B2141" s="98"/>
      <c r="C2141" s="98"/>
      <c r="D2141" s="98"/>
      <c r="E2141" s="98"/>
    </row>
    <row r="2142" spans="2:5" ht="15.75" customHeight="1">
      <c r="B2142" s="98"/>
      <c r="C2142" s="98"/>
      <c r="D2142" s="98"/>
      <c r="E2142" s="98"/>
    </row>
    <row r="2143" spans="2:5" ht="15.75" customHeight="1">
      <c r="B2143" s="98"/>
      <c r="C2143" s="98"/>
      <c r="D2143" s="98"/>
      <c r="E2143" s="98"/>
    </row>
    <row r="2144" spans="2:5" ht="15.75" customHeight="1">
      <c r="B2144" s="98"/>
      <c r="C2144" s="98"/>
      <c r="D2144" s="98"/>
      <c r="E2144" s="98"/>
    </row>
    <row r="2145" spans="2:5" ht="15.75" customHeight="1">
      <c r="B2145" s="98"/>
      <c r="C2145" s="98"/>
      <c r="D2145" s="98"/>
      <c r="E2145" s="98"/>
    </row>
    <row r="2146" spans="2:5" ht="15.75" customHeight="1">
      <c r="B2146" s="98"/>
      <c r="C2146" s="98"/>
      <c r="D2146" s="98"/>
      <c r="E2146" s="98"/>
    </row>
    <row r="2147" spans="2:5" ht="15.75" customHeight="1">
      <c r="B2147" s="98"/>
      <c r="C2147" s="98"/>
      <c r="D2147" s="98"/>
      <c r="E2147" s="98"/>
    </row>
    <row r="2148" spans="2:5" ht="15.75" customHeight="1">
      <c r="B2148" s="98"/>
      <c r="C2148" s="98"/>
      <c r="D2148" s="98"/>
      <c r="E2148" s="98"/>
    </row>
    <row r="2149" spans="2:5" ht="15.75" customHeight="1">
      <c r="B2149" s="98"/>
      <c r="C2149" s="98"/>
      <c r="D2149" s="98"/>
      <c r="E2149" s="98"/>
    </row>
    <row r="2150" spans="2:5" ht="15.75" customHeight="1">
      <c r="B2150" s="98"/>
      <c r="C2150" s="98"/>
      <c r="D2150" s="98"/>
      <c r="E2150" s="98"/>
    </row>
    <row r="2151" spans="2:5" ht="15.75" customHeight="1">
      <c r="B2151" s="98"/>
      <c r="C2151" s="98"/>
      <c r="D2151" s="98"/>
      <c r="E2151" s="98"/>
    </row>
    <row r="2152" spans="2:5" ht="15.75" customHeight="1">
      <c r="B2152" s="98"/>
      <c r="C2152" s="98"/>
      <c r="D2152" s="98"/>
      <c r="E2152" s="98"/>
    </row>
    <row r="2153" spans="2:5" ht="15.75" customHeight="1">
      <c r="B2153" s="98"/>
      <c r="C2153" s="98"/>
      <c r="D2153" s="98"/>
      <c r="E2153" s="98"/>
    </row>
    <row r="2154" spans="2:5" ht="15.75" customHeight="1">
      <c r="B2154" s="98"/>
      <c r="C2154" s="98"/>
      <c r="D2154" s="98"/>
      <c r="E2154" s="98"/>
    </row>
    <row r="2155" spans="2:5" ht="15.75" customHeight="1">
      <c r="B2155" s="98"/>
      <c r="C2155" s="98"/>
      <c r="D2155" s="98"/>
      <c r="E2155" s="98"/>
    </row>
    <row r="2156" spans="2:5" ht="15.75" customHeight="1">
      <c r="B2156" s="98"/>
      <c r="C2156" s="98"/>
      <c r="D2156" s="98"/>
      <c r="E2156" s="98"/>
    </row>
    <row r="2157" spans="2:5" ht="15.75" customHeight="1">
      <c r="B2157" s="98"/>
      <c r="C2157" s="98"/>
      <c r="D2157" s="98"/>
      <c r="E2157" s="98"/>
    </row>
    <row r="2158" spans="2:5" ht="15.75" customHeight="1">
      <c r="B2158" s="98"/>
      <c r="C2158" s="98"/>
      <c r="D2158" s="98"/>
      <c r="E2158" s="98"/>
    </row>
    <row r="2159" spans="2:5" ht="15.75" customHeight="1">
      <c r="B2159" s="98"/>
      <c r="C2159" s="98"/>
      <c r="D2159" s="98"/>
      <c r="E2159" s="98"/>
    </row>
    <row r="2160" spans="2:5" ht="15.75" customHeight="1">
      <c r="B2160" s="98"/>
      <c r="C2160" s="98"/>
      <c r="D2160" s="98"/>
      <c r="E2160" s="98"/>
    </row>
    <row r="2161" spans="2:5" ht="15.75" customHeight="1">
      <c r="B2161" s="98"/>
      <c r="C2161" s="98"/>
      <c r="D2161" s="98"/>
      <c r="E2161" s="98"/>
    </row>
    <row r="2162" spans="2:5" ht="15.75" customHeight="1">
      <c r="B2162" s="98"/>
      <c r="C2162" s="98"/>
      <c r="D2162" s="98"/>
      <c r="E2162" s="98"/>
    </row>
    <row r="2163" spans="2:5" ht="15.75" customHeight="1">
      <c r="B2163" s="98"/>
      <c r="C2163" s="98"/>
      <c r="D2163" s="98"/>
      <c r="E2163" s="98"/>
    </row>
    <row r="2164" spans="2:5" ht="15.75" customHeight="1">
      <c r="B2164" s="98"/>
      <c r="C2164" s="98"/>
      <c r="D2164" s="98"/>
      <c r="E2164" s="98"/>
    </row>
    <row r="2165" spans="2:5" ht="15.75" customHeight="1">
      <c r="B2165" s="98"/>
      <c r="C2165" s="98"/>
      <c r="D2165" s="98"/>
      <c r="E2165" s="98"/>
    </row>
    <row r="2166" spans="2:5" ht="15.75" customHeight="1">
      <c r="B2166" s="98"/>
      <c r="C2166" s="98"/>
      <c r="D2166" s="98"/>
      <c r="E2166" s="98"/>
    </row>
    <row r="2167" spans="2:5" ht="15.75" customHeight="1">
      <c r="B2167" s="98"/>
      <c r="C2167" s="98"/>
      <c r="D2167" s="98"/>
      <c r="E2167" s="98"/>
    </row>
    <row r="2168" spans="2:5" ht="15.75" customHeight="1">
      <c r="B2168" s="98"/>
      <c r="C2168" s="98"/>
      <c r="D2168" s="98"/>
      <c r="E2168" s="98"/>
    </row>
    <row r="2169" spans="2:5" ht="15.75" customHeight="1">
      <c r="B2169" s="98"/>
      <c r="C2169" s="98"/>
      <c r="D2169" s="98"/>
      <c r="E2169" s="98"/>
    </row>
    <row r="2170" spans="2:5" ht="15.75" customHeight="1">
      <c r="B2170" s="98"/>
      <c r="C2170" s="98"/>
      <c r="D2170" s="98"/>
      <c r="E2170" s="98"/>
    </row>
    <row r="2171" spans="2:5" ht="15.75" customHeight="1">
      <c r="B2171" s="98"/>
      <c r="C2171" s="98"/>
      <c r="D2171" s="98"/>
      <c r="E2171" s="98"/>
    </row>
    <row r="2172" spans="2:5" ht="15.75" customHeight="1">
      <c r="B2172" s="98"/>
      <c r="C2172" s="98"/>
      <c r="D2172" s="98"/>
      <c r="E2172" s="98"/>
    </row>
    <row r="2173" spans="2:5" ht="15.75" customHeight="1">
      <c r="B2173" s="98"/>
      <c r="C2173" s="98"/>
      <c r="D2173" s="98"/>
      <c r="E2173" s="98"/>
    </row>
    <row r="2174" spans="2:5" ht="15.75" customHeight="1">
      <c r="B2174" s="98"/>
      <c r="C2174" s="98"/>
      <c r="D2174" s="98"/>
      <c r="E2174" s="98"/>
    </row>
    <row r="2175" spans="2:5" ht="15.75" customHeight="1">
      <c r="B2175" s="98"/>
      <c r="C2175" s="98"/>
      <c r="D2175" s="98"/>
      <c r="E2175" s="98"/>
    </row>
    <row r="2176" spans="2:5" ht="15.75" customHeight="1">
      <c r="B2176" s="98"/>
      <c r="C2176" s="98"/>
      <c r="D2176" s="98"/>
      <c r="E2176" s="98"/>
    </row>
    <row r="2177" spans="2:5" ht="15.75" customHeight="1">
      <c r="B2177" s="98"/>
      <c r="C2177" s="98"/>
      <c r="D2177" s="98"/>
      <c r="E2177" s="98"/>
    </row>
    <row r="2178" spans="2:5" ht="15.75" customHeight="1">
      <c r="B2178" s="98"/>
      <c r="C2178" s="98"/>
      <c r="D2178" s="98"/>
      <c r="E2178" s="98"/>
    </row>
    <row r="2179" spans="2:5" ht="15.75" customHeight="1">
      <c r="B2179" s="98"/>
      <c r="C2179" s="98"/>
      <c r="D2179" s="98"/>
      <c r="E2179" s="98"/>
    </row>
    <row r="2180" spans="2:5" ht="15.75" customHeight="1">
      <c r="B2180" s="98"/>
      <c r="C2180" s="98"/>
      <c r="D2180" s="98"/>
      <c r="E2180" s="98"/>
    </row>
    <row r="2181" spans="2:5" ht="15.75" customHeight="1">
      <c r="B2181" s="98"/>
      <c r="C2181" s="98"/>
      <c r="D2181" s="98"/>
      <c r="E2181" s="98"/>
    </row>
    <row r="2182" spans="2:5" ht="15.75" customHeight="1">
      <c r="B2182" s="98"/>
      <c r="C2182" s="98"/>
      <c r="D2182" s="98"/>
      <c r="E2182" s="98"/>
    </row>
    <row r="2183" spans="2:5" ht="15.75" customHeight="1">
      <c r="B2183" s="98"/>
      <c r="C2183" s="98"/>
      <c r="D2183" s="98"/>
      <c r="E2183" s="98"/>
    </row>
    <row r="2184" spans="2:5" ht="15.75" customHeight="1">
      <c r="B2184" s="98"/>
      <c r="C2184" s="98"/>
      <c r="D2184" s="98"/>
      <c r="E2184" s="98"/>
    </row>
    <row r="2185" spans="2:5" ht="15.75" customHeight="1">
      <c r="B2185" s="98"/>
      <c r="C2185" s="98"/>
      <c r="D2185" s="98"/>
      <c r="E2185" s="98"/>
    </row>
    <row r="2186" spans="2:5" ht="15.75" customHeight="1">
      <c r="B2186" s="98"/>
      <c r="C2186" s="98"/>
      <c r="D2186" s="98"/>
      <c r="E2186" s="98"/>
    </row>
    <row r="2187" spans="2:5" ht="15.75" customHeight="1">
      <c r="B2187" s="98"/>
      <c r="C2187" s="98"/>
      <c r="D2187" s="98"/>
      <c r="E2187" s="98"/>
    </row>
    <row r="2188" spans="2:5" ht="15.75" customHeight="1">
      <c r="B2188" s="98"/>
      <c r="C2188" s="98"/>
      <c r="D2188" s="98"/>
      <c r="E2188" s="98"/>
    </row>
    <row r="2189" spans="2:5" ht="15.75" customHeight="1">
      <c r="B2189" s="98"/>
      <c r="C2189" s="98"/>
      <c r="D2189" s="98"/>
      <c r="E2189" s="98"/>
    </row>
    <row r="2190" spans="2:5" ht="15.75" customHeight="1">
      <c r="B2190" s="98"/>
      <c r="C2190" s="98"/>
      <c r="D2190" s="98"/>
      <c r="E2190" s="98"/>
    </row>
    <row r="2191" spans="2:5" ht="15.75" customHeight="1">
      <c r="B2191" s="98"/>
      <c r="C2191" s="98"/>
      <c r="D2191" s="98"/>
      <c r="E2191" s="98"/>
    </row>
    <row r="2192" spans="2:5" ht="15.75" customHeight="1">
      <c r="B2192" s="98"/>
      <c r="C2192" s="98"/>
      <c r="D2192" s="98"/>
      <c r="E2192" s="98"/>
    </row>
    <row r="2193" spans="2:5" ht="15.75" customHeight="1">
      <c r="B2193" s="98"/>
      <c r="C2193" s="98"/>
      <c r="D2193" s="98"/>
      <c r="E2193" s="98"/>
    </row>
    <row r="2194" spans="2:5" ht="15.75" customHeight="1">
      <c r="B2194" s="98"/>
      <c r="C2194" s="98"/>
      <c r="D2194" s="98"/>
      <c r="E2194" s="98"/>
    </row>
    <row r="2195" spans="2:5" ht="15.75" customHeight="1">
      <c r="B2195" s="98"/>
      <c r="C2195" s="98"/>
      <c r="D2195" s="98"/>
      <c r="E2195" s="98"/>
    </row>
    <row r="2196" spans="2:5" ht="15.75" customHeight="1">
      <c r="B2196" s="98"/>
      <c r="C2196" s="98"/>
      <c r="D2196" s="98"/>
      <c r="E2196" s="98"/>
    </row>
    <row r="2197" spans="2:5" ht="15.75" customHeight="1">
      <c r="B2197" s="98"/>
      <c r="C2197" s="98"/>
      <c r="D2197" s="98"/>
      <c r="E2197" s="98"/>
    </row>
    <row r="2198" spans="2:5" ht="15.75" customHeight="1">
      <c r="B2198" s="98"/>
      <c r="C2198" s="98"/>
      <c r="D2198" s="98"/>
      <c r="E2198" s="98"/>
    </row>
    <row r="2199" spans="2:5" ht="15.75" customHeight="1">
      <c r="B2199" s="98"/>
      <c r="C2199" s="98"/>
      <c r="D2199" s="98"/>
      <c r="E2199" s="98"/>
    </row>
    <row r="2200" spans="2:5" ht="15.75" customHeight="1">
      <c r="B2200" s="98"/>
      <c r="C2200" s="98"/>
      <c r="D2200" s="98"/>
      <c r="E2200" s="98"/>
    </row>
    <row r="2201" spans="2:5" ht="15.75" customHeight="1">
      <c r="B2201" s="98"/>
      <c r="C2201" s="98"/>
      <c r="D2201" s="98"/>
      <c r="E2201" s="98"/>
    </row>
    <row r="2202" spans="2:5" ht="15.75" customHeight="1">
      <c r="B2202" s="98"/>
      <c r="C2202" s="98"/>
      <c r="D2202" s="98"/>
      <c r="E2202" s="98"/>
    </row>
    <row r="2203" spans="2:5" ht="15.75" customHeight="1">
      <c r="B2203" s="98"/>
      <c r="C2203" s="98"/>
      <c r="D2203" s="98"/>
      <c r="E2203" s="98"/>
    </row>
    <row r="2204" spans="2:5" ht="15.75" customHeight="1">
      <c r="B2204" s="98"/>
      <c r="C2204" s="98"/>
      <c r="D2204" s="98"/>
      <c r="E2204" s="98"/>
    </row>
    <row r="2205" spans="2:5" ht="15.75" customHeight="1">
      <c r="B2205" s="98"/>
      <c r="C2205" s="98"/>
      <c r="D2205" s="98"/>
      <c r="E2205" s="98"/>
    </row>
    <row r="2206" spans="2:5" ht="15.75" customHeight="1">
      <c r="B2206" s="98"/>
      <c r="C2206" s="98"/>
      <c r="D2206" s="98"/>
      <c r="E2206" s="98"/>
    </row>
    <row r="2207" spans="2:5" ht="15.75" customHeight="1">
      <c r="B2207" s="98"/>
      <c r="C2207" s="98"/>
      <c r="D2207" s="98"/>
      <c r="E2207" s="98"/>
    </row>
    <row r="2208" spans="2:5" ht="15.75" customHeight="1">
      <c r="B2208" s="98"/>
      <c r="C2208" s="98"/>
      <c r="D2208" s="98"/>
      <c r="E2208" s="98"/>
    </row>
    <row r="2209" spans="2:5" ht="15.75" customHeight="1">
      <c r="B2209" s="98"/>
      <c r="C2209" s="98"/>
      <c r="D2209" s="98"/>
      <c r="E2209" s="98"/>
    </row>
    <row r="2210" spans="2:5" ht="15.75" customHeight="1">
      <c r="B2210" s="98"/>
      <c r="C2210" s="98"/>
      <c r="D2210" s="98"/>
      <c r="E2210" s="98"/>
    </row>
    <row r="2211" spans="2:5" ht="15.75" customHeight="1">
      <c r="B2211" s="98"/>
      <c r="C2211" s="98"/>
      <c r="D2211" s="98"/>
      <c r="E2211" s="98"/>
    </row>
    <row r="2212" spans="2:5" ht="15.75" customHeight="1">
      <c r="B2212" s="98"/>
      <c r="C2212" s="98"/>
      <c r="D2212" s="98"/>
      <c r="E2212" s="98"/>
    </row>
    <row r="2213" spans="2:5" ht="15.75" customHeight="1">
      <c r="B2213" s="98"/>
      <c r="C2213" s="98"/>
      <c r="D2213" s="98"/>
      <c r="E2213" s="98"/>
    </row>
    <row r="2214" spans="2:5" ht="15.75" customHeight="1">
      <c r="B2214" s="98"/>
      <c r="C2214" s="98"/>
      <c r="D2214" s="98"/>
      <c r="E2214" s="98"/>
    </row>
    <row r="2215" spans="2:5" ht="15.75" customHeight="1">
      <c r="B2215" s="98"/>
      <c r="C2215" s="98"/>
      <c r="D2215" s="98"/>
      <c r="E2215" s="98"/>
    </row>
    <row r="2216" spans="2:5" ht="15.75" customHeight="1">
      <c r="B2216" s="98"/>
      <c r="C2216" s="98"/>
      <c r="D2216" s="98"/>
      <c r="E2216" s="98"/>
    </row>
    <row r="2217" spans="2:5" ht="15.75" customHeight="1">
      <c r="B2217" s="98"/>
      <c r="C2217" s="98"/>
      <c r="D2217" s="98"/>
      <c r="E2217" s="98"/>
    </row>
    <row r="2218" spans="2:5" ht="15.75" customHeight="1">
      <c r="B2218" s="98"/>
      <c r="C2218" s="98"/>
      <c r="D2218" s="98"/>
      <c r="E2218" s="98"/>
    </row>
    <row r="2219" spans="2:5" ht="15.75" customHeight="1">
      <c r="B2219" s="98"/>
      <c r="C2219" s="98"/>
      <c r="D2219" s="98"/>
      <c r="E2219" s="98"/>
    </row>
    <row r="2220" spans="2:5" ht="15.75" customHeight="1">
      <c r="B2220" s="98"/>
      <c r="C2220" s="98"/>
      <c r="D2220" s="98"/>
      <c r="E2220" s="98"/>
    </row>
    <row r="2221" spans="2:5" ht="15.75" customHeight="1">
      <c r="B2221" s="98"/>
      <c r="C2221" s="98"/>
      <c r="D2221" s="98"/>
      <c r="E2221" s="98"/>
    </row>
    <row r="2222" spans="2:5" ht="15.75" customHeight="1">
      <c r="B2222" s="98"/>
      <c r="C2222" s="98"/>
      <c r="D2222" s="98"/>
      <c r="E2222" s="98"/>
    </row>
    <row r="2223" spans="2:5" ht="15.75" customHeight="1">
      <c r="B2223" s="98"/>
      <c r="C2223" s="98"/>
      <c r="D2223" s="98"/>
      <c r="E2223" s="98"/>
    </row>
    <row r="2224" spans="2:5" ht="15.75" customHeight="1">
      <c r="B2224" s="98"/>
      <c r="C2224" s="98"/>
      <c r="D2224" s="98"/>
      <c r="E2224" s="98"/>
    </row>
    <row r="2225" spans="2:5" ht="15.75" customHeight="1">
      <c r="B2225" s="98"/>
      <c r="C2225" s="98"/>
      <c r="D2225" s="98"/>
      <c r="E2225" s="98"/>
    </row>
    <row r="2226" spans="2:5" ht="15.75" customHeight="1">
      <c r="B2226" s="98"/>
      <c r="C2226" s="98"/>
      <c r="D2226" s="98"/>
      <c r="E2226" s="98"/>
    </row>
    <row r="2227" spans="2:5" ht="15.75" customHeight="1">
      <c r="B2227" s="98"/>
      <c r="C2227" s="98"/>
      <c r="D2227" s="98"/>
      <c r="E2227" s="98"/>
    </row>
    <row r="2228" spans="2:5" ht="15.75" customHeight="1">
      <c r="B2228" s="98"/>
      <c r="C2228" s="98"/>
      <c r="D2228" s="98"/>
      <c r="E2228" s="98"/>
    </row>
    <row r="2229" spans="2:5" ht="15.75" customHeight="1">
      <c r="B2229" s="98"/>
      <c r="C2229" s="98"/>
      <c r="D2229" s="98"/>
      <c r="E2229" s="98"/>
    </row>
    <row r="2230" spans="2:5" ht="15.75" customHeight="1">
      <c r="B2230" s="98"/>
      <c r="C2230" s="98"/>
      <c r="D2230" s="98"/>
      <c r="E2230" s="98"/>
    </row>
    <row r="2231" spans="2:5" ht="15.75" customHeight="1">
      <c r="B2231" s="98"/>
      <c r="C2231" s="98"/>
      <c r="D2231" s="98"/>
      <c r="E2231" s="98"/>
    </row>
    <row r="2232" spans="2:5" ht="15.75" customHeight="1">
      <c r="B2232" s="98"/>
      <c r="C2232" s="98"/>
      <c r="D2232" s="98"/>
      <c r="E2232" s="98"/>
    </row>
    <row r="2233" spans="2:5" ht="15.75" customHeight="1">
      <c r="B2233" s="98"/>
      <c r="C2233" s="98"/>
      <c r="D2233" s="98"/>
      <c r="E2233" s="98"/>
    </row>
    <row r="2234" spans="2:5" ht="15.75" customHeight="1">
      <c r="B2234" s="98"/>
      <c r="C2234" s="98"/>
      <c r="D2234" s="98"/>
      <c r="E2234" s="98"/>
    </row>
    <row r="2235" spans="2:5" ht="15.75" customHeight="1">
      <c r="B2235" s="98"/>
      <c r="C2235" s="98"/>
      <c r="D2235" s="98"/>
      <c r="E2235" s="98"/>
    </row>
    <row r="2236" spans="2:5" ht="15.75" customHeight="1">
      <c r="B2236" s="98"/>
      <c r="C2236" s="98"/>
      <c r="D2236" s="98"/>
      <c r="E2236" s="98"/>
    </row>
    <row r="2237" spans="2:5" ht="15.75" customHeight="1">
      <c r="B2237" s="98"/>
      <c r="C2237" s="98"/>
      <c r="D2237" s="98"/>
      <c r="E2237" s="98"/>
    </row>
    <row r="2238" spans="2:5" ht="15.75" customHeight="1">
      <c r="B2238" s="98"/>
      <c r="C2238" s="98"/>
      <c r="D2238" s="98"/>
      <c r="E2238" s="98"/>
    </row>
    <row r="2239" spans="2:5" ht="15.75" customHeight="1">
      <c r="B2239" s="98"/>
      <c r="C2239" s="98"/>
      <c r="D2239" s="98"/>
      <c r="E2239" s="98"/>
    </row>
    <row r="2240" spans="2:5" ht="15.75" customHeight="1">
      <c r="B2240" s="98"/>
      <c r="C2240" s="98"/>
      <c r="D2240" s="98"/>
      <c r="E2240" s="98"/>
    </row>
    <row r="2241" spans="2:5" ht="15.75" customHeight="1">
      <c r="B2241" s="98"/>
      <c r="C2241" s="98"/>
      <c r="D2241" s="98"/>
      <c r="E2241" s="98"/>
    </row>
    <row r="2242" spans="2:5" ht="15.75" customHeight="1">
      <c r="B2242" s="98"/>
      <c r="C2242" s="98"/>
      <c r="D2242" s="98"/>
      <c r="E2242" s="98"/>
    </row>
    <row r="2243" spans="2:5" ht="15.75" customHeight="1">
      <c r="B2243" s="98"/>
      <c r="C2243" s="98"/>
      <c r="D2243" s="98"/>
      <c r="E2243" s="98"/>
    </row>
    <row r="2244" spans="2:5" ht="15.75" customHeight="1">
      <c r="B2244" s="98"/>
      <c r="C2244" s="98"/>
      <c r="D2244" s="98"/>
      <c r="E2244" s="98"/>
    </row>
    <row r="2245" spans="2:5" ht="15.75" customHeight="1">
      <c r="B2245" s="98"/>
      <c r="C2245" s="98"/>
      <c r="D2245" s="98"/>
      <c r="E2245" s="98"/>
    </row>
    <row r="2246" spans="2:5" ht="15.75" customHeight="1">
      <c r="B2246" s="98"/>
      <c r="C2246" s="98"/>
      <c r="D2246" s="98"/>
      <c r="E2246" s="98"/>
    </row>
    <row r="2247" spans="2:5" ht="15.75" customHeight="1">
      <c r="B2247" s="98"/>
      <c r="C2247" s="98"/>
      <c r="D2247" s="98"/>
      <c r="E2247" s="98"/>
    </row>
    <row r="2248" spans="2:5" ht="15.75" customHeight="1">
      <c r="B2248" s="98"/>
      <c r="C2248" s="98"/>
      <c r="D2248" s="98"/>
      <c r="E2248" s="98"/>
    </row>
    <row r="2249" spans="2:5" ht="15.75" customHeight="1">
      <c r="B2249" s="98"/>
      <c r="C2249" s="98"/>
      <c r="D2249" s="98"/>
      <c r="E2249" s="98"/>
    </row>
    <row r="2250" spans="2:5" ht="15.75" customHeight="1">
      <c r="B2250" s="98"/>
      <c r="C2250" s="98"/>
      <c r="D2250" s="98"/>
      <c r="E2250" s="98"/>
    </row>
    <row r="2251" spans="2:5" ht="15.75" customHeight="1">
      <c r="B2251" s="98"/>
      <c r="C2251" s="98"/>
      <c r="D2251" s="98"/>
      <c r="E2251" s="98"/>
    </row>
    <row r="2252" spans="2:5" ht="15.75" customHeight="1">
      <c r="B2252" s="98"/>
      <c r="C2252" s="98"/>
      <c r="D2252" s="98"/>
      <c r="E2252" s="98"/>
    </row>
    <row r="2253" spans="2:5" ht="15.75" customHeight="1">
      <c r="B2253" s="98"/>
      <c r="C2253" s="98"/>
      <c r="D2253" s="98"/>
      <c r="E2253" s="98"/>
    </row>
    <row r="2254" spans="2:5" ht="15.75" customHeight="1">
      <c r="B2254" s="98"/>
      <c r="C2254" s="98"/>
      <c r="D2254" s="98"/>
      <c r="E2254" s="98"/>
    </row>
    <row r="2255" spans="2:5" ht="15.75" customHeight="1">
      <c r="B2255" s="98"/>
      <c r="C2255" s="98"/>
      <c r="D2255" s="98"/>
      <c r="E2255" s="98"/>
    </row>
    <row r="2256" spans="2:5" ht="15.75" customHeight="1">
      <c r="B2256" s="98"/>
      <c r="C2256" s="98"/>
      <c r="D2256" s="98"/>
      <c r="E2256" s="98"/>
    </row>
    <row r="2257" spans="2:5" ht="15.75" customHeight="1">
      <c r="B2257" s="98"/>
      <c r="C2257" s="98"/>
      <c r="D2257" s="98"/>
      <c r="E2257" s="98"/>
    </row>
    <row r="2258" spans="2:5" ht="15.75" customHeight="1">
      <c r="B2258" s="98"/>
      <c r="C2258" s="98"/>
      <c r="D2258" s="98"/>
      <c r="E2258" s="98"/>
    </row>
    <row r="2259" spans="2:5" ht="15.75" customHeight="1">
      <c r="B2259" s="98"/>
      <c r="C2259" s="98"/>
      <c r="D2259" s="98"/>
      <c r="E2259" s="98"/>
    </row>
    <row r="2260" spans="2:5" ht="15.75" customHeight="1">
      <c r="B2260" s="98"/>
      <c r="C2260" s="98"/>
      <c r="D2260" s="98"/>
      <c r="E2260" s="98"/>
    </row>
    <row r="2261" spans="2:5" ht="15.75" customHeight="1">
      <c r="B2261" s="98"/>
      <c r="C2261" s="98"/>
      <c r="D2261" s="98"/>
      <c r="E2261" s="98"/>
    </row>
    <row r="2262" spans="2:5" ht="15.75" customHeight="1">
      <c r="B2262" s="98"/>
      <c r="C2262" s="98"/>
      <c r="D2262" s="98"/>
      <c r="E2262" s="98"/>
    </row>
    <row r="2263" spans="2:5" ht="15.75" customHeight="1">
      <c r="B2263" s="98"/>
      <c r="C2263" s="98"/>
      <c r="D2263" s="98"/>
      <c r="E2263" s="98"/>
    </row>
    <row r="2264" spans="2:5" ht="15.75" customHeight="1">
      <c r="B2264" s="98"/>
      <c r="C2264" s="98"/>
      <c r="D2264" s="98"/>
      <c r="E2264" s="98"/>
    </row>
    <row r="2265" spans="2:5" ht="15.75" customHeight="1">
      <c r="B2265" s="98"/>
      <c r="C2265" s="98"/>
      <c r="D2265" s="98"/>
      <c r="E2265" s="98"/>
    </row>
    <row r="2266" spans="2:5" ht="15.75" customHeight="1">
      <c r="B2266" s="98"/>
      <c r="C2266" s="98"/>
      <c r="D2266" s="98"/>
      <c r="E2266" s="98"/>
    </row>
    <row r="2267" spans="2:5" ht="15.75" customHeight="1">
      <c r="B2267" s="98"/>
      <c r="C2267" s="98"/>
      <c r="D2267" s="98"/>
      <c r="E2267" s="98"/>
    </row>
    <row r="2268" spans="2:5" ht="15.75" customHeight="1">
      <c r="B2268" s="98"/>
      <c r="C2268" s="98"/>
      <c r="D2268" s="98"/>
      <c r="E2268" s="98"/>
    </row>
    <row r="2269" spans="2:5" ht="15.75" customHeight="1">
      <c r="B2269" s="98"/>
      <c r="C2269" s="98"/>
      <c r="D2269" s="98"/>
      <c r="E2269" s="98"/>
    </row>
    <row r="2270" spans="2:5" ht="15.75" customHeight="1">
      <c r="B2270" s="98"/>
      <c r="C2270" s="98"/>
      <c r="D2270" s="98"/>
      <c r="E2270" s="98"/>
    </row>
    <row r="2271" spans="2:5" ht="15.75" customHeight="1">
      <c r="B2271" s="98"/>
      <c r="C2271" s="98"/>
      <c r="D2271" s="98"/>
      <c r="E2271" s="98"/>
    </row>
    <row r="2272" spans="2:5" ht="15.75" customHeight="1">
      <c r="B2272" s="98"/>
      <c r="C2272" s="98"/>
      <c r="D2272" s="98"/>
      <c r="E2272" s="98"/>
    </row>
    <row r="2273" spans="2:5" ht="15.75" customHeight="1">
      <c r="B2273" s="98"/>
      <c r="C2273" s="98"/>
      <c r="D2273" s="98"/>
      <c r="E2273" s="98"/>
    </row>
    <row r="2274" spans="2:5" ht="15.75" customHeight="1">
      <c r="B2274" s="98"/>
      <c r="C2274" s="98"/>
      <c r="D2274" s="98"/>
      <c r="E2274" s="98"/>
    </row>
    <row r="2275" spans="2:5" ht="15.75" customHeight="1">
      <c r="B2275" s="98"/>
      <c r="C2275" s="98"/>
      <c r="D2275" s="98"/>
      <c r="E2275" s="98"/>
    </row>
    <row r="2276" spans="2:5" ht="15.75" customHeight="1">
      <c r="B2276" s="98"/>
      <c r="C2276" s="98"/>
      <c r="D2276" s="98"/>
      <c r="E2276" s="98"/>
    </row>
    <row r="2277" spans="2:5" ht="15.75" customHeight="1">
      <c r="B2277" s="98"/>
      <c r="C2277" s="98"/>
      <c r="D2277" s="98"/>
      <c r="E2277" s="98"/>
    </row>
    <row r="2278" spans="2:5" ht="15.75" customHeight="1">
      <c r="B2278" s="98"/>
      <c r="C2278" s="98"/>
      <c r="D2278" s="98"/>
      <c r="E2278" s="98"/>
    </row>
    <row r="2279" spans="2:5" ht="15.75" customHeight="1">
      <c r="B2279" s="98"/>
      <c r="C2279" s="98"/>
      <c r="D2279" s="98"/>
      <c r="E2279" s="98"/>
    </row>
    <row r="2280" spans="2:5" ht="15.75" customHeight="1">
      <c r="B2280" s="98"/>
      <c r="C2280" s="98"/>
      <c r="D2280" s="98"/>
      <c r="E2280" s="98"/>
    </row>
    <row r="2281" spans="2:5" ht="15.75" customHeight="1">
      <c r="B2281" s="98"/>
      <c r="C2281" s="98"/>
      <c r="D2281" s="98"/>
      <c r="E2281" s="98"/>
    </row>
    <row r="2282" spans="2:5" ht="15.75" customHeight="1">
      <c r="B2282" s="98"/>
      <c r="C2282" s="98"/>
      <c r="D2282" s="98"/>
      <c r="E2282" s="98"/>
    </row>
    <row r="2283" spans="2:5" ht="15.75" customHeight="1">
      <c r="B2283" s="98"/>
      <c r="C2283" s="98"/>
      <c r="D2283" s="98"/>
      <c r="E2283" s="98"/>
    </row>
    <row r="2284" spans="2:5" ht="15.75" customHeight="1">
      <c r="B2284" s="98"/>
      <c r="C2284" s="98"/>
      <c r="D2284" s="98"/>
      <c r="E2284" s="98"/>
    </row>
    <row r="2285" spans="2:5" ht="15.75" customHeight="1">
      <c r="B2285" s="98"/>
      <c r="C2285" s="98"/>
      <c r="D2285" s="98"/>
      <c r="E2285" s="98"/>
    </row>
    <row r="2286" spans="2:5" ht="15.75" customHeight="1">
      <c r="B2286" s="98"/>
      <c r="C2286" s="98"/>
      <c r="D2286" s="98"/>
      <c r="E2286" s="98"/>
    </row>
    <row r="2287" spans="2:5" ht="15.75" customHeight="1">
      <c r="B2287" s="98"/>
      <c r="C2287" s="98"/>
      <c r="D2287" s="98"/>
      <c r="E2287" s="98"/>
    </row>
    <row r="2288" spans="2:5" ht="15.75" customHeight="1">
      <c r="B2288" s="98"/>
      <c r="C2288" s="98"/>
      <c r="D2288" s="98"/>
      <c r="E2288" s="98"/>
    </row>
    <row r="2289" spans="2:5" ht="15.75" customHeight="1">
      <c r="B2289" s="98"/>
      <c r="C2289" s="98"/>
      <c r="D2289" s="98"/>
      <c r="E2289" s="98"/>
    </row>
    <row r="2290" spans="2:5" ht="15.75" customHeight="1">
      <c r="B2290" s="98"/>
      <c r="C2290" s="98"/>
      <c r="D2290" s="98"/>
      <c r="E2290" s="98"/>
    </row>
    <row r="2291" spans="2:5" ht="15.75" customHeight="1">
      <c r="B2291" s="98"/>
      <c r="C2291" s="98"/>
      <c r="D2291" s="98"/>
      <c r="E2291" s="98"/>
    </row>
    <row r="2292" spans="2:5" ht="15.75" customHeight="1">
      <c r="B2292" s="98"/>
      <c r="C2292" s="98"/>
      <c r="D2292" s="98"/>
      <c r="E2292" s="98"/>
    </row>
    <row r="2293" spans="2:5" ht="15.75" customHeight="1">
      <c r="B2293" s="98"/>
      <c r="C2293" s="98"/>
      <c r="D2293" s="98"/>
      <c r="E2293" s="98"/>
    </row>
    <row r="2294" spans="2:5" ht="15.75" customHeight="1">
      <c r="B2294" s="98"/>
      <c r="C2294" s="98"/>
      <c r="D2294" s="98"/>
      <c r="E2294" s="98"/>
    </row>
    <row r="2295" spans="2:5" ht="15.75" customHeight="1">
      <c r="B2295" s="98"/>
      <c r="C2295" s="98"/>
      <c r="D2295" s="98"/>
      <c r="E2295" s="98"/>
    </row>
    <row r="2296" spans="2:5" ht="15.75" customHeight="1">
      <c r="B2296" s="98"/>
      <c r="C2296" s="98"/>
      <c r="D2296" s="98"/>
      <c r="E2296" s="98"/>
    </row>
    <row r="2297" spans="2:5" ht="15.75" customHeight="1">
      <c r="B2297" s="98"/>
      <c r="C2297" s="98"/>
      <c r="D2297" s="98"/>
      <c r="E2297" s="98"/>
    </row>
    <row r="2298" spans="2:5" ht="15.75" customHeight="1">
      <c r="B2298" s="98"/>
      <c r="C2298" s="98"/>
      <c r="D2298" s="98"/>
      <c r="E2298" s="98"/>
    </row>
    <row r="2299" spans="2:5" ht="15.75" customHeight="1">
      <c r="B2299" s="98"/>
      <c r="C2299" s="98"/>
      <c r="D2299" s="98"/>
      <c r="E2299" s="98"/>
    </row>
    <row r="2300" spans="2:5" ht="15.75" customHeight="1">
      <c r="B2300" s="98"/>
      <c r="C2300" s="98"/>
      <c r="D2300" s="98"/>
      <c r="E2300" s="98"/>
    </row>
    <row r="2301" spans="2:5" ht="15.75" customHeight="1">
      <c r="B2301" s="98"/>
      <c r="C2301" s="98"/>
      <c r="D2301" s="98"/>
      <c r="E2301" s="98"/>
    </row>
    <row r="2302" spans="2:5" ht="15.75" customHeight="1">
      <c r="B2302" s="98"/>
      <c r="C2302" s="98"/>
      <c r="D2302" s="98"/>
      <c r="E2302" s="98"/>
    </row>
    <row r="2303" spans="2:5" ht="15.75" customHeight="1">
      <c r="B2303" s="98"/>
      <c r="C2303" s="98"/>
      <c r="D2303" s="98"/>
      <c r="E2303" s="98"/>
    </row>
    <row r="2304" spans="2:5" ht="15.75" customHeight="1">
      <c r="B2304" s="98"/>
      <c r="C2304" s="98"/>
      <c r="D2304" s="98"/>
      <c r="E2304" s="98"/>
    </row>
    <row r="2305" spans="2:5" ht="15.75" customHeight="1">
      <c r="B2305" s="98"/>
      <c r="C2305" s="98"/>
      <c r="D2305" s="98"/>
      <c r="E2305" s="98"/>
    </row>
    <row r="2306" spans="2:5" ht="15.75" customHeight="1">
      <c r="B2306" s="98"/>
      <c r="C2306" s="98"/>
      <c r="D2306" s="98"/>
      <c r="E2306" s="98"/>
    </row>
    <row r="2307" spans="2:5" ht="15.75" customHeight="1">
      <c r="B2307" s="98"/>
      <c r="C2307" s="98"/>
      <c r="D2307" s="98"/>
      <c r="E2307" s="98"/>
    </row>
    <row r="2308" spans="2:5" ht="15.75" customHeight="1">
      <c r="B2308" s="98"/>
      <c r="C2308" s="98"/>
      <c r="D2308" s="98"/>
      <c r="E2308" s="98"/>
    </row>
    <row r="2309" spans="2:5" ht="15.75" customHeight="1">
      <c r="B2309" s="98"/>
      <c r="C2309" s="98"/>
      <c r="D2309" s="98"/>
      <c r="E2309" s="98"/>
    </row>
    <row r="2310" spans="2:5" ht="15.75" customHeight="1">
      <c r="B2310" s="98"/>
      <c r="C2310" s="98"/>
      <c r="D2310" s="98"/>
      <c r="E2310" s="98"/>
    </row>
    <row r="2311" spans="2:5" ht="15.75" customHeight="1">
      <c r="B2311" s="98"/>
      <c r="C2311" s="98"/>
      <c r="D2311" s="98"/>
      <c r="E2311" s="98"/>
    </row>
    <row r="2312" spans="2:5" ht="15.75" customHeight="1">
      <c r="B2312" s="98"/>
      <c r="C2312" s="98"/>
      <c r="D2312" s="98"/>
      <c r="E2312" s="98"/>
    </row>
    <row r="2313" spans="2:5" ht="15.75" customHeight="1">
      <c r="B2313" s="98"/>
      <c r="C2313" s="98"/>
      <c r="D2313" s="98"/>
      <c r="E2313" s="98"/>
    </row>
    <row r="2314" spans="2:5" ht="15.75" customHeight="1">
      <c r="B2314" s="98"/>
      <c r="C2314" s="98"/>
      <c r="D2314" s="98"/>
      <c r="E2314" s="98"/>
    </row>
    <row r="2315" spans="2:5" ht="15.75" customHeight="1">
      <c r="B2315" s="98"/>
      <c r="C2315" s="98"/>
      <c r="D2315" s="98"/>
      <c r="E2315" s="98"/>
    </row>
    <row r="2316" spans="2:5" ht="15.75" customHeight="1">
      <c r="B2316" s="98"/>
      <c r="C2316" s="98"/>
      <c r="D2316" s="98"/>
      <c r="E2316" s="98"/>
    </row>
    <row r="2317" spans="2:5" ht="15.75" customHeight="1">
      <c r="B2317" s="98"/>
      <c r="C2317" s="98"/>
      <c r="D2317" s="98"/>
      <c r="E2317" s="98"/>
    </row>
    <row r="2318" spans="2:5" ht="15.75" customHeight="1">
      <c r="B2318" s="98"/>
      <c r="C2318" s="98"/>
      <c r="D2318" s="98"/>
      <c r="E2318" s="98"/>
    </row>
    <row r="2319" spans="2:5" ht="15.75" customHeight="1">
      <c r="B2319" s="98"/>
      <c r="C2319" s="98"/>
      <c r="D2319" s="98"/>
      <c r="E2319" s="98"/>
    </row>
    <row r="2320" spans="2:5" ht="15.75" customHeight="1">
      <c r="B2320" s="98"/>
      <c r="C2320" s="98"/>
      <c r="D2320" s="98"/>
      <c r="E2320" s="98"/>
    </row>
    <row r="2321" spans="2:5" ht="15.75" customHeight="1">
      <c r="B2321" s="98"/>
      <c r="C2321" s="98"/>
      <c r="D2321" s="98"/>
      <c r="E2321" s="98"/>
    </row>
    <row r="2322" spans="2:5" ht="15.75" customHeight="1">
      <c r="B2322" s="98"/>
      <c r="C2322" s="98"/>
      <c r="D2322" s="98"/>
      <c r="E2322" s="98"/>
    </row>
    <row r="2323" spans="2:5" ht="15.75" customHeight="1">
      <c r="B2323" s="98"/>
      <c r="C2323" s="98"/>
      <c r="D2323" s="98"/>
      <c r="E2323" s="98"/>
    </row>
    <row r="2324" spans="2:5" ht="15.75" customHeight="1">
      <c r="B2324" s="98"/>
      <c r="C2324" s="98"/>
      <c r="D2324" s="98"/>
      <c r="E2324" s="98"/>
    </row>
    <row r="2325" spans="2:5" ht="15.75" customHeight="1">
      <c r="B2325" s="98"/>
      <c r="C2325" s="98"/>
      <c r="D2325" s="98"/>
      <c r="E2325" s="98"/>
    </row>
    <row r="2326" spans="2:5" ht="15.75" customHeight="1">
      <c r="B2326" s="98"/>
      <c r="C2326" s="98"/>
      <c r="D2326" s="98"/>
      <c r="E2326" s="98"/>
    </row>
    <row r="2327" spans="2:5" ht="15.75" customHeight="1">
      <c r="B2327" s="98"/>
      <c r="C2327" s="98"/>
      <c r="D2327" s="98"/>
      <c r="E2327" s="98"/>
    </row>
    <row r="2328" spans="2:5" ht="15.75" customHeight="1">
      <c r="B2328" s="98"/>
      <c r="C2328" s="98"/>
      <c r="D2328" s="98"/>
      <c r="E2328" s="98"/>
    </row>
    <row r="2329" spans="2:5" ht="15.75" customHeight="1">
      <c r="B2329" s="98"/>
      <c r="C2329" s="98"/>
      <c r="D2329" s="98"/>
      <c r="E2329" s="98"/>
    </row>
    <row r="2330" spans="2:5" ht="15.75" customHeight="1">
      <c r="B2330" s="98"/>
      <c r="C2330" s="98"/>
      <c r="D2330" s="98"/>
      <c r="E2330" s="98"/>
    </row>
    <row r="2331" spans="2:5" ht="15.75" customHeight="1">
      <c r="B2331" s="98"/>
      <c r="C2331" s="98"/>
      <c r="D2331" s="98"/>
      <c r="E2331" s="98"/>
    </row>
    <row r="2332" spans="2:5" ht="15.75" customHeight="1">
      <c r="B2332" s="98"/>
      <c r="C2332" s="98"/>
      <c r="D2332" s="98"/>
      <c r="E2332" s="98"/>
    </row>
    <row r="2333" spans="2:5" ht="15.75" customHeight="1">
      <c r="B2333" s="98"/>
      <c r="C2333" s="98"/>
      <c r="D2333" s="98"/>
      <c r="E2333" s="98"/>
    </row>
    <row r="2334" spans="2:5" ht="15.75" customHeight="1">
      <c r="B2334" s="98"/>
      <c r="C2334" s="98"/>
      <c r="D2334" s="98"/>
      <c r="E2334" s="98"/>
    </row>
    <row r="2335" spans="2:5" ht="15.75" customHeight="1">
      <c r="B2335" s="98"/>
      <c r="C2335" s="98"/>
      <c r="D2335" s="98"/>
      <c r="E2335" s="98"/>
    </row>
    <row r="2336" spans="2:5" ht="15.75" customHeight="1">
      <c r="B2336" s="98"/>
      <c r="C2336" s="98"/>
      <c r="D2336" s="98"/>
      <c r="E2336" s="98"/>
    </row>
    <row r="2337" spans="2:5" ht="15.75" customHeight="1">
      <c r="B2337" s="98"/>
      <c r="C2337" s="98"/>
      <c r="D2337" s="98"/>
      <c r="E2337" s="98"/>
    </row>
    <row r="2338" spans="2:5" ht="15.75" customHeight="1">
      <c r="B2338" s="98"/>
      <c r="C2338" s="98"/>
      <c r="D2338" s="98"/>
      <c r="E2338" s="98"/>
    </row>
    <row r="2339" spans="2:5" ht="15.75" customHeight="1">
      <c r="B2339" s="98"/>
      <c r="C2339" s="98"/>
      <c r="D2339" s="98"/>
      <c r="E2339" s="98"/>
    </row>
    <row r="2340" spans="2:5" ht="15.75" customHeight="1">
      <c r="B2340" s="98"/>
      <c r="C2340" s="98"/>
      <c r="D2340" s="98"/>
      <c r="E2340" s="98"/>
    </row>
    <row r="2341" spans="2:5" ht="15.75" customHeight="1">
      <c r="B2341" s="98"/>
      <c r="C2341" s="98"/>
      <c r="D2341" s="98"/>
      <c r="E2341" s="98"/>
    </row>
    <row r="2342" spans="2:5" ht="15.75" customHeight="1">
      <c r="B2342" s="98"/>
      <c r="C2342" s="98"/>
      <c r="D2342" s="98"/>
      <c r="E2342" s="98"/>
    </row>
    <row r="2343" spans="2:5" ht="15.75" customHeight="1">
      <c r="B2343" s="98"/>
      <c r="C2343" s="98"/>
      <c r="D2343" s="98"/>
      <c r="E2343" s="98"/>
    </row>
    <row r="2344" spans="2:5" ht="15.75" customHeight="1">
      <c r="B2344" s="98"/>
      <c r="C2344" s="98"/>
      <c r="D2344" s="98"/>
      <c r="E2344" s="98"/>
    </row>
    <row r="2345" spans="2:5" ht="15.75" customHeight="1">
      <c r="B2345" s="98"/>
      <c r="C2345" s="98"/>
      <c r="D2345" s="98"/>
      <c r="E2345" s="98"/>
    </row>
    <row r="2346" spans="2:5" ht="15.75" customHeight="1">
      <c r="B2346" s="98"/>
      <c r="C2346" s="98"/>
      <c r="D2346" s="98"/>
      <c r="E2346" s="98"/>
    </row>
    <row r="2347" spans="2:5" ht="15.75" customHeight="1">
      <c r="B2347" s="98"/>
      <c r="C2347" s="98"/>
      <c r="D2347" s="98"/>
      <c r="E2347" s="98"/>
    </row>
    <row r="2348" spans="2:5" ht="15.75" customHeight="1">
      <c r="B2348" s="98"/>
      <c r="C2348" s="98"/>
      <c r="D2348" s="98"/>
      <c r="E2348" s="98"/>
    </row>
    <row r="2349" spans="2:5" ht="15.75" customHeight="1">
      <c r="B2349" s="98"/>
      <c r="C2349" s="98"/>
      <c r="D2349" s="98"/>
      <c r="E2349" s="98"/>
    </row>
    <row r="2350" spans="2:5" ht="15.75" customHeight="1">
      <c r="B2350" s="98"/>
      <c r="C2350" s="98"/>
      <c r="D2350" s="98"/>
      <c r="E2350" s="98"/>
    </row>
    <row r="2351" spans="2:5" ht="15.75" customHeight="1">
      <c r="B2351" s="98"/>
      <c r="C2351" s="98"/>
      <c r="D2351" s="98"/>
      <c r="E2351" s="98"/>
    </row>
    <row r="2352" spans="2:5" ht="15.75" customHeight="1">
      <c r="B2352" s="98"/>
      <c r="C2352" s="98"/>
      <c r="D2352" s="98"/>
      <c r="E2352" s="98"/>
    </row>
    <row r="2353" spans="2:5" ht="15.75" customHeight="1">
      <c r="B2353" s="98"/>
      <c r="C2353" s="98"/>
      <c r="D2353" s="98"/>
      <c r="E2353" s="98"/>
    </row>
    <row r="2354" spans="2:5" ht="15.75" customHeight="1">
      <c r="B2354" s="98"/>
      <c r="C2354" s="98"/>
      <c r="D2354" s="98"/>
      <c r="E2354" s="98"/>
    </row>
    <row r="2355" spans="2:5" ht="15.75" customHeight="1">
      <c r="B2355" s="98"/>
      <c r="C2355" s="98"/>
      <c r="D2355" s="98"/>
      <c r="E2355" s="98"/>
    </row>
    <row r="2356" spans="2:5" ht="15.75" customHeight="1">
      <c r="B2356" s="98"/>
      <c r="C2356" s="98"/>
      <c r="D2356" s="98"/>
      <c r="E2356" s="98"/>
    </row>
    <row r="2357" spans="2:5" ht="15.75" customHeight="1">
      <c r="B2357" s="98"/>
      <c r="C2357" s="98"/>
      <c r="D2357" s="98"/>
      <c r="E2357" s="98"/>
    </row>
    <row r="2358" spans="2:5" ht="15.75" customHeight="1">
      <c r="B2358" s="98"/>
      <c r="C2358" s="98"/>
      <c r="D2358" s="98"/>
      <c r="E2358" s="98"/>
    </row>
    <row r="2359" spans="2:5" ht="15.75" customHeight="1">
      <c r="B2359" s="98"/>
      <c r="C2359" s="98"/>
      <c r="D2359" s="98"/>
      <c r="E2359" s="98"/>
    </row>
    <row r="2360" spans="2:5" ht="15.75" customHeight="1">
      <c r="B2360" s="98"/>
      <c r="C2360" s="98"/>
      <c r="D2360" s="98"/>
      <c r="E2360" s="98"/>
    </row>
    <row r="2361" spans="2:5" ht="15.75" customHeight="1">
      <c r="B2361" s="98"/>
      <c r="C2361" s="98"/>
      <c r="D2361" s="98"/>
      <c r="E2361" s="98"/>
    </row>
    <row r="2362" spans="2:5" ht="15.75" customHeight="1">
      <c r="B2362" s="98"/>
      <c r="C2362" s="98"/>
      <c r="D2362" s="98"/>
      <c r="E2362" s="98"/>
    </row>
    <row r="2363" spans="2:5" ht="15.75" customHeight="1">
      <c r="B2363" s="98"/>
      <c r="C2363" s="98"/>
      <c r="D2363" s="98"/>
      <c r="E2363" s="98"/>
    </row>
    <row r="2364" spans="2:5" ht="15.75" customHeight="1">
      <c r="B2364" s="98"/>
      <c r="C2364" s="98"/>
      <c r="D2364" s="98"/>
      <c r="E2364" s="98"/>
    </row>
    <row r="2365" spans="2:5" ht="15.75" customHeight="1">
      <c r="B2365" s="98"/>
      <c r="C2365" s="98"/>
      <c r="D2365" s="98"/>
      <c r="E2365" s="98"/>
    </row>
    <row r="2366" spans="2:5" ht="15.75" customHeight="1">
      <c r="B2366" s="98"/>
      <c r="C2366" s="98"/>
      <c r="D2366" s="98"/>
      <c r="E2366" s="98"/>
    </row>
    <row r="2367" spans="2:5" ht="15.75" customHeight="1">
      <c r="B2367" s="98"/>
      <c r="C2367" s="98"/>
      <c r="D2367" s="98"/>
      <c r="E2367" s="98"/>
    </row>
    <row r="2368" spans="2:5" ht="15.75" customHeight="1">
      <c r="B2368" s="98"/>
      <c r="C2368" s="98"/>
      <c r="D2368" s="98"/>
      <c r="E2368" s="98"/>
    </row>
    <row r="2369" spans="2:5" ht="15.75" customHeight="1">
      <c r="B2369" s="98"/>
      <c r="C2369" s="98"/>
      <c r="D2369" s="98"/>
      <c r="E2369" s="98"/>
    </row>
    <row r="2370" spans="2:5" ht="15.75" customHeight="1">
      <c r="B2370" s="98"/>
      <c r="C2370" s="98"/>
      <c r="D2370" s="98"/>
      <c r="E2370" s="98"/>
    </row>
    <row r="2371" spans="2:5" ht="15.75" customHeight="1">
      <c r="B2371" s="98"/>
      <c r="C2371" s="98"/>
      <c r="D2371" s="98"/>
      <c r="E2371" s="98"/>
    </row>
    <row r="2372" spans="2:5" ht="15.75" customHeight="1">
      <c r="B2372" s="98"/>
      <c r="C2372" s="98"/>
      <c r="D2372" s="98"/>
      <c r="E2372" s="98"/>
    </row>
    <row r="2373" spans="2:5" ht="15.75" customHeight="1">
      <c r="B2373" s="98"/>
      <c r="C2373" s="98"/>
      <c r="D2373" s="98"/>
      <c r="E2373" s="98"/>
    </row>
    <row r="2374" spans="2:5" ht="15.75" customHeight="1">
      <c r="B2374" s="98"/>
      <c r="C2374" s="98"/>
      <c r="D2374" s="98"/>
      <c r="E2374" s="98"/>
    </row>
    <row r="2375" spans="2:5" ht="15.75" customHeight="1">
      <c r="B2375" s="98"/>
      <c r="C2375" s="98"/>
      <c r="D2375" s="98"/>
      <c r="E2375" s="98"/>
    </row>
    <row r="2376" spans="2:5" ht="15.75" customHeight="1">
      <c r="B2376" s="98"/>
      <c r="C2376" s="98"/>
      <c r="D2376" s="98"/>
      <c r="E2376" s="98"/>
    </row>
    <row r="2377" spans="2:5" ht="15.75" customHeight="1">
      <c r="B2377" s="98"/>
      <c r="C2377" s="98"/>
      <c r="D2377" s="98"/>
      <c r="E2377" s="98"/>
    </row>
    <row r="2378" spans="2:5" ht="15.75" customHeight="1">
      <c r="B2378" s="98"/>
      <c r="C2378" s="98"/>
      <c r="D2378" s="98"/>
      <c r="E2378" s="98"/>
    </row>
    <row r="2379" spans="2:5" ht="15.75" customHeight="1">
      <c r="B2379" s="98"/>
      <c r="C2379" s="98"/>
      <c r="D2379" s="98"/>
      <c r="E2379" s="98"/>
    </row>
    <row r="2380" spans="2:5" ht="15.75" customHeight="1">
      <c r="B2380" s="98"/>
      <c r="C2380" s="98"/>
      <c r="D2380" s="98"/>
      <c r="E2380" s="98"/>
    </row>
    <row r="2381" spans="2:5" ht="15.75" customHeight="1">
      <c r="B2381" s="98"/>
      <c r="C2381" s="98"/>
      <c r="D2381" s="98"/>
      <c r="E2381" s="98"/>
    </row>
    <row r="2382" spans="2:5" ht="15.75" customHeight="1">
      <c r="B2382" s="98"/>
      <c r="C2382" s="98"/>
      <c r="D2382" s="98"/>
      <c r="E2382" s="98"/>
    </row>
    <row r="2383" spans="2:5" ht="15.75" customHeight="1">
      <c r="B2383" s="98"/>
      <c r="C2383" s="98"/>
      <c r="D2383" s="98"/>
      <c r="E2383" s="98"/>
    </row>
    <row r="2384" spans="2:5" ht="15.75" customHeight="1">
      <c r="B2384" s="98"/>
      <c r="C2384" s="98"/>
      <c r="D2384" s="98"/>
      <c r="E2384" s="98"/>
    </row>
    <row r="2385" spans="2:5" ht="15.75" customHeight="1">
      <c r="B2385" s="98"/>
      <c r="C2385" s="98"/>
      <c r="D2385" s="98"/>
      <c r="E2385" s="98"/>
    </row>
    <row r="2386" spans="2:5" ht="15.75" customHeight="1">
      <c r="B2386" s="98"/>
      <c r="C2386" s="98"/>
      <c r="D2386" s="98"/>
      <c r="E2386" s="98"/>
    </row>
    <row r="2387" spans="2:5" ht="15.75" customHeight="1">
      <c r="B2387" s="98"/>
      <c r="C2387" s="98"/>
      <c r="D2387" s="98"/>
      <c r="E2387" s="98"/>
    </row>
    <row r="2388" spans="2:5" ht="15.75" customHeight="1">
      <c r="B2388" s="98"/>
      <c r="C2388" s="98"/>
      <c r="D2388" s="98"/>
      <c r="E2388" s="98"/>
    </row>
    <row r="2389" spans="2:5" ht="15.75" customHeight="1">
      <c r="B2389" s="98"/>
      <c r="C2389" s="98"/>
      <c r="D2389" s="98"/>
      <c r="E2389" s="98"/>
    </row>
    <row r="2390" spans="2:5" ht="15.75" customHeight="1">
      <c r="B2390" s="98"/>
      <c r="C2390" s="98"/>
      <c r="D2390" s="98"/>
      <c r="E2390" s="98"/>
    </row>
    <row r="2391" spans="2:5" ht="15.75" customHeight="1">
      <c r="B2391" s="98"/>
      <c r="C2391" s="98"/>
      <c r="D2391" s="98"/>
      <c r="E2391" s="98"/>
    </row>
    <row r="2392" spans="2:5" ht="15.75" customHeight="1">
      <c r="B2392" s="98"/>
      <c r="C2392" s="98"/>
      <c r="D2392" s="98"/>
      <c r="E2392" s="98"/>
    </row>
    <row r="2393" spans="2:5" ht="15.75" customHeight="1">
      <c r="B2393" s="98"/>
      <c r="C2393" s="98"/>
      <c r="D2393" s="98"/>
      <c r="E2393" s="98"/>
    </row>
    <row r="2394" spans="2:5" ht="15.75" customHeight="1">
      <c r="B2394" s="98"/>
      <c r="C2394" s="98"/>
      <c r="D2394" s="98"/>
      <c r="E2394" s="98"/>
    </row>
    <row r="2395" spans="2:5" ht="15.75" customHeight="1">
      <c r="B2395" s="98"/>
      <c r="C2395" s="98"/>
      <c r="D2395" s="98"/>
      <c r="E2395" s="98"/>
    </row>
    <row r="2396" spans="2:5" ht="15.75" customHeight="1">
      <c r="B2396" s="98"/>
      <c r="C2396" s="98"/>
      <c r="D2396" s="98"/>
      <c r="E2396" s="98"/>
    </row>
    <row r="2397" spans="2:5" ht="15.75" customHeight="1">
      <c r="B2397" s="98"/>
      <c r="C2397" s="98"/>
      <c r="D2397" s="98"/>
      <c r="E2397" s="98"/>
    </row>
    <row r="2398" spans="2:5" ht="15.75" customHeight="1">
      <c r="B2398" s="98"/>
      <c r="C2398" s="98"/>
      <c r="D2398" s="98"/>
      <c r="E2398" s="98"/>
    </row>
    <row r="2399" spans="2:5" ht="15.75" customHeight="1">
      <c r="B2399" s="98"/>
      <c r="C2399" s="98"/>
      <c r="D2399" s="98"/>
      <c r="E2399" s="98"/>
    </row>
    <row r="2400" spans="2:5" ht="15.75" customHeight="1">
      <c r="B2400" s="98"/>
      <c r="C2400" s="98"/>
      <c r="D2400" s="98"/>
      <c r="E2400" s="98"/>
    </row>
    <row r="2401" spans="2:5" ht="15.75" customHeight="1">
      <c r="B2401" s="98"/>
      <c r="C2401" s="98"/>
      <c r="D2401" s="98"/>
      <c r="E2401" s="98"/>
    </row>
    <row r="2402" spans="2:5" ht="15.75" customHeight="1">
      <c r="B2402" s="98"/>
      <c r="C2402" s="98"/>
      <c r="D2402" s="98"/>
      <c r="E2402" s="98"/>
    </row>
    <row r="2403" spans="2:5" ht="15.75" customHeight="1">
      <c r="B2403" s="98"/>
      <c r="C2403" s="98"/>
      <c r="D2403" s="98"/>
      <c r="E2403" s="98"/>
    </row>
    <row r="2404" spans="2:5" ht="15.75" customHeight="1">
      <c r="B2404" s="98"/>
      <c r="C2404" s="98"/>
      <c r="D2404" s="98"/>
      <c r="E2404" s="98"/>
    </row>
    <row r="2405" spans="2:5" ht="15.75" customHeight="1">
      <c r="B2405" s="98"/>
      <c r="C2405" s="98"/>
      <c r="D2405" s="98"/>
      <c r="E2405" s="98"/>
    </row>
    <row r="2406" spans="2:5" ht="15.75" customHeight="1">
      <c r="B2406" s="98"/>
      <c r="C2406" s="98"/>
      <c r="D2406" s="98"/>
      <c r="E2406" s="98"/>
    </row>
    <row r="2407" spans="2:5" ht="15.75" customHeight="1">
      <c r="B2407" s="98"/>
      <c r="C2407" s="98"/>
      <c r="D2407" s="98"/>
      <c r="E2407" s="98"/>
    </row>
    <row r="2408" spans="2:5" ht="15.75" customHeight="1">
      <c r="B2408" s="98"/>
      <c r="C2408" s="98"/>
      <c r="D2408" s="98"/>
      <c r="E2408" s="98"/>
    </row>
    <row r="2409" spans="2:5" ht="15.75" customHeight="1">
      <c r="B2409" s="98"/>
      <c r="C2409" s="98"/>
      <c r="D2409" s="98"/>
      <c r="E2409" s="98"/>
    </row>
    <row r="2410" spans="2:5" ht="15.75" customHeight="1">
      <c r="B2410" s="98"/>
      <c r="C2410" s="98"/>
      <c r="D2410" s="98"/>
      <c r="E2410" s="98"/>
    </row>
    <row r="2411" spans="2:5" ht="15.75" customHeight="1">
      <c r="B2411" s="98"/>
      <c r="C2411" s="98"/>
      <c r="D2411" s="98"/>
      <c r="E2411" s="98"/>
    </row>
    <row r="2412" spans="2:5" ht="15.75" customHeight="1">
      <c r="B2412" s="98"/>
      <c r="C2412" s="98"/>
      <c r="D2412" s="98"/>
      <c r="E2412" s="98"/>
    </row>
    <row r="2413" spans="2:5" ht="15.75" customHeight="1">
      <c r="B2413" s="98"/>
      <c r="C2413" s="98"/>
      <c r="D2413" s="98"/>
      <c r="E2413" s="98"/>
    </row>
    <row r="2414" spans="2:5" ht="15.75" customHeight="1">
      <c r="B2414" s="98"/>
      <c r="C2414" s="98"/>
      <c r="D2414" s="98"/>
      <c r="E2414" s="98"/>
    </row>
    <row r="2415" spans="2:5" ht="15.75" customHeight="1">
      <c r="B2415" s="98"/>
      <c r="C2415" s="98"/>
      <c r="D2415" s="98"/>
      <c r="E2415" s="98"/>
    </row>
    <row r="2416" spans="2:5" ht="15.75" customHeight="1">
      <c r="B2416" s="98"/>
      <c r="C2416" s="98"/>
      <c r="D2416" s="98"/>
      <c r="E2416" s="98"/>
    </row>
    <row r="2417" spans="2:5" ht="15.75" customHeight="1">
      <c r="B2417" s="98"/>
      <c r="C2417" s="98"/>
      <c r="D2417" s="98"/>
      <c r="E2417" s="98"/>
    </row>
    <row r="2418" spans="2:5" ht="15.75" customHeight="1">
      <c r="B2418" s="98"/>
      <c r="C2418" s="98"/>
      <c r="D2418" s="98"/>
      <c r="E2418" s="98"/>
    </row>
    <row r="2419" spans="2:5" ht="15.75" customHeight="1">
      <c r="B2419" s="98"/>
      <c r="C2419" s="98"/>
      <c r="D2419" s="98"/>
      <c r="E2419" s="98"/>
    </row>
    <row r="2420" spans="2:5" ht="15.75" customHeight="1">
      <c r="B2420" s="98"/>
      <c r="C2420" s="98"/>
      <c r="D2420" s="98"/>
      <c r="E2420" s="98"/>
    </row>
    <row r="2421" spans="2:5" ht="15.75" customHeight="1">
      <c r="B2421" s="98"/>
      <c r="C2421" s="98"/>
      <c r="D2421" s="98"/>
      <c r="E2421" s="98"/>
    </row>
    <row r="2422" spans="2:5" ht="15.75" customHeight="1">
      <c r="B2422" s="98"/>
      <c r="C2422" s="98"/>
      <c r="D2422" s="98"/>
      <c r="E2422" s="98"/>
    </row>
    <row r="2423" spans="2:5" ht="15.75" customHeight="1">
      <c r="B2423" s="98"/>
      <c r="C2423" s="98"/>
      <c r="D2423" s="98"/>
      <c r="E2423" s="98"/>
    </row>
    <row r="2424" spans="2:5" ht="15.75" customHeight="1">
      <c r="B2424" s="98"/>
      <c r="C2424" s="98"/>
      <c r="D2424" s="98"/>
      <c r="E2424" s="98"/>
    </row>
    <row r="2425" spans="2:5" ht="15.75" customHeight="1">
      <c r="B2425" s="98"/>
      <c r="C2425" s="98"/>
      <c r="D2425" s="98"/>
      <c r="E2425" s="98"/>
    </row>
    <row r="2426" spans="2:5" ht="15.75" customHeight="1">
      <c r="B2426" s="98"/>
      <c r="C2426" s="98"/>
      <c r="D2426" s="98"/>
      <c r="E2426" s="98"/>
    </row>
    <row r="2427" spans="2:5" ht="15.75" customHeight="1">
      <c r="B2427" s="98"/>
      <c r="C2427" s="98"/>
      <c r="D2427" s="98"/>
      <c r="E2427" s="98"/>
    </row>
    <row r="2428" spans="2:5" ht="15.75" customHeight="1">
      <c r="B2428" s="98"/>
      <c r="C2428" s="98"/>
      <c r="D2428" s="98"/>
      <c r="E2428" s="98"/>
    </row>
    <row r="2429" spans="2:5" ht="15.75" customHeight="1">
      <c r="B2429" s="98"/>
      <c r="C2429" s="98"/>
      <c r="D2429" s="98"/>
      <c r="E2429" s="98"/>
    </row>
    <row r="2430" spans="2:5" ht="15.75" customHeight="1">
      <c r="B2430" s="98"/>
      <c r="C2430" s="98"/>
      <c r="D2430" s="98"/>
      <c r="E2430" s="98"/>
    </row>
    <row r="2431" spans="2:5" ht="15.75" customHeight="1">
      <c r="B2431" s="98"/>
      <c r="C2431" s="98"/>
      <c r="D2431" s="98"/>
      <c r="E2431" s="98"/>
    </row>
    <row r="2432" spans="2:5" ht="15.75" customHeight="1">
      <c r="B2432" s="98"/>
      <c r="C2432" s="98"/>
      <c r="D2432" s="98"/>
      <c r="E2432" s="98"/>
    </row>
    <row r="2433" spans="2:5" ht="15.75" customHeight="1">
      <c r="B2433" s="98"/>
      <c r="C2433" s="98"/>
      <c r="D2433" s="98"/>
      <c r="E2433" s="98"/>
    </row>
    <row r="2434" spans="2:5" ht="15.75" customHeight="1">
      <c r="B2434" s="98"/>
      <c r="C2434" s="98"/>
      <c r="D2434" s="98"/>
      <c r="E2434" s="98"/>
    </row>
    <row r="2435" spans="2:5" ht="15.75" customHeight="1">
      <c r="B2435" s="98"/>
      <c r="C2435" s="98"/>
      <c r="D2435" s="98"/>
      <c r="E2435" s="98"/>
    </row>
    <row r="2436" spans="2:5" ht="15.75" customHeight="1">
      <c r="B2436" s="98"/>
      <c r="C2436" s="98"/>
      <c r="D2436" s="98"/>
      <c r="E2436" s="98"/>
    </row>
    <row r="2437" spans="2:5" ht="15.75" customHeight="1">
      <c r="B2437" s="98"/>
      <c r="C2437" s="98"/>
      <c r="D2437" s="98"/>
      <c r="E2437" s="98"/>
    </row>
    <row r="2438" spans="2:5" ht="15.75" customHeight="1">
      <c r="B2438" s="98"/>
      <c r="C2438" s="98"/>
      <c r="D2438" s="98"/>
      <c r="E2438" s="98"/>
    </row>
    <row r="2439" spans="2:5" ht="15.75" customHeight="1">
      <c r="B2439" s="98"/>
      <c r="C2439" s="98"/>
      <c r="D2439" s="98"/>
      <c r="E2439" s="98"/>
    </row>
    <row r="2440" spans="2:5" ht="15.75" customHeight="1">
      <c r="B2440" s="98"/>
      <c r="C2440" s="98"/>
      <c r="D2440" s="98"/>
      <c r="E2440" s="98"/>
    </row>
    <row r="2441" spans="2:5" ht="15.75" customHeight="1">
      <c r="B2441" s="98"/>
      <c r="C2441" s="98"/>
      <c r="D2441" s="98"/>
      <c r="E2441" s="98"/>
    </row>
    <row r="2442" spans="2:5" ht="15.75" customHeight="1">
      <c r="B2442" s="98"/>
      <c r="C2442" s="98"/>
      <c r="D2442" s="98"/>
      <c r="E2442" s="98"/>
    </row>
    <row r="2443" spans="2:5" ht="15.75" customHeight="1">
      <c r="B2443" s="98"/>
      <c r="C2443" s="98"/>
      <c r="D2443" s="98"/>
      <c r="E2443" s="98"/>
    </row>
    <row r="2444" spans="2:5" ht="15.75" customHeight="1">
      <c r="B2444" s="98"/>
      <c r="C2444" s="98"/>
      <c r="D2444" s="98"/>
      <c r="E2444" s="98"/>
    </row>
    <row r="2445" spans="2:5" ht="15.75" customHeight="1">
      <c r="B2445" s="98"/>
      <c r="C2445" s="98"/>
      <c r="D2445" s="98"/>
      <c r="E2445" s="98"/>
    </row>
    <row r="2446" spans="2:5" ht="15.75" customHeight="1">
      <c r="B2446" s="98"/>
      <c r="C2446" s="98"/>
      <c r="D2446" s="98"/>
      <c r="E2446" s="98"/>
    </row>
    <row r="2447" spans="2:5" ht="15.75" customHeight="1">
      <c r="B2447" s="98"/>
      <c r="C2447" s="98"/>
      <c r="D2447" s="98"/>
      <c r="E2447" s="98"/>
    </row>
    <row r="2448" spans="2:5" ht="15.75" customHeight="1">
      <c r="B2448" s="98"/>
      <c r="C2448" s="98"/>
      <c r="D2448" s="98"/>
      <c r="E2448" s="98"/>
    </row>
    <row r="2449" spans="2:5" ht="15.75" customHeight="1">
      <c r="B2449" s="98"/>
      <c r="C2449" s="98"/>
      <c r="D2449" s="98"/>
      <c r="E2449" s="98"/>
    </row>
    <row r="2450" spans="2:5" ht="15.75" customHeight="1">
      <c r="B2450" s="98"/>
      <c r="C2450" s="98"/>
      <c r="D2450" s="98"/>
      <c r="E2450" s="98"/>
    </row>
    <row r="2451" spans="2:5" ht="15.75" customHeight="1">
      <c r="B2451" s="98"/>
      <c r="C2451" s="98"/>
      <c r="D2451" s="98"/>
      <c r="E2451" s="98"/>
    </row>
    <row r="2452" spans="2:5" ht="15.75" customHeight="1">
      <c r="B2452" s="98"/>
      <c r="C2452" s="98"/>
      <c r="D2452" s="98"/>
      <c r="E2452" s="98"/>
    </row>
    <row r="2453" spans="2:5" ht="15.75" customHeight="1">
      <c r="B2453" s="98"/>
      <c r="C2453" s="98"/>
      <c r="D2453" s="98"/>
      <c r="E2453" s="98"/>
    </row>
    <row r="2454" spans="2:5" ht="15.75" customHeight="1">
      <c r="B2454" s="98"/>
      <c r="C2454" s="98"/>
      <c r="D2454" s="98"/>
      <c r="E2454" s="98"/>
    </row>
    <row r="2455" spans="2:5" ht="15.75" customHeight="1">
      <c r="B2455" s="98"/>
      <c r="C2455" s="98"/>
      <c r="D2455" s="98"/>
      <c r="E2455" s="98"/>
    </row>
    <row r="2456" spans="2:5" ht="15.75" customHeight="1">
      <c r="B2456" s="98"/>
      <c r="C2456" s="98"/>
      <c r="D2456" s="98"/>
      <c r="E2456" s="98"/>
    </row>
    <row r="2457" spans="2:5" ht="15.75" customHeight="1">
      <c r="B2457" s="98"/>
      <c r="C2457" s="98"/>
      <c r="D2457" s="98"/>
      <c r="E2457" s="98"/>
    </row>
    <row r="2458" spans="2:5" ht="15.75" customHeight="1">
      <c r="B2458" s="98"/>
      <c r="C2458" s="98"/>
      <c r="D2458" s="98"/>
      <c r="E2458" s="98"/>
    </row>
    <row r="2459" spans="2:5" ht="15.75" customHeight="1">
      <c r="B2459" s="98"/>
      <c r="C2459" s="98"/>
      <c r="D2459" s="98"/>
      <c r="E2459" s="98"/>
    </row>
    <row r="2460" spans="2:5" ht="15.75" customHeight="1">
      <c r="B2460" s="98"/>
      <c r="C2460" s="98"/>
      <c r="D2460" s="98"/>
      <c r="E2460" s="98"/>
    </row>
    <row r="2461" spans="2:5" ht="15.75" customHeight="1">
      <c r="B2461" s="98"/>
      <c r="C2461" s="98"/>
      <c r="D2461" s="98"/>
      <c r="E2461" s="98"/>
    </row>
    <row r="2462" spans="2:5" ht="15.75" customHeight="1">
      <c r="B2462" s="98"/>
      <c r="C2462" s="98"/>
      <c r="D2462" s="98"/>
      <c r="E2462" s="98"/>
    </row>
    <row r="2463" spans="2:5" ht="15.75" customHeight="1">
      <c r="B2463" s="98"/>
      <c r="C2463" s="98"/>
      <c r="D2463" s="98"/>
      <c r="E2463" s="98"/>
    </row>
    <row r="2464" spans="2:5" ht="15.75" customHeight="1">
      <c r="B2464" s="98"/>
      <c r="C2464" s="98"/>
      <c r="D2464" s="98"/>
      <c r="E2464" s="98"/>
    </row>
    <row r="2465" spans="2:5" ht="15.75" customHeight="1">
      <c r="B2465" s="98"/>
      <c r="C2465" s="98"/>
      <c r="D2465" s="98"/>
      <c r="E2465" s="98"/>
    </row>
    <row r="2466" spans="2:5" ht="15.75" customHeight="1">
      <c r="B2466" s="98"/>
      <c r="C2466" s="98"/>
      <c r="D2466" s="98"/>
      <c r="E2466" s="98"/>
    </row>
    <row r="2467" spans="2:5" ht="15.75" customHeight="1">
      <c r="B2467" s="98"/>
      <c r="C2467" s="98"/>
      <c r="D2467" s="98"/>
      <c r="E2467" s="98"/>
    </row>
    <row r="2468" spans="2:5" ht="15.75" customHeight="1">
      <c r="B2468" s="98"/>
      <c r="C2468" s="98"/>
      <c r="D2468" s="98"/>
      <c r="E2468" s="98"/>
    </row>
    <row r="2469" spans="2:5" ht="15.75" customHeight="1">
      <c r="B2469" s="98"/>
      <c r="C2469" s="98"/>
      <c r="D2469" s="98"/>
      <c r="E2469" s="98"/>
    </row>
    <row r="2470" spans="2:5" ht="15.75" customHeight="1">
      <c r="B2470" s="98"/>
      <c r="C2470" s="98"/>
      <c r="D2470" s="98"/>
      <c r="E2470" s="98"/>
    </row>
    <row r="2471" spans="2:5" ht="15.75" customHeight="1">
      <c r="B2471" s="98"/>
      <c r="C2471" s="98"/>
      <c r="D2471" s="98"/>
      <c r="E2471" s="98"/>
    </row>
    <row r="2472" spans="2:5" ht="15.75" customHeight="1">
      <c r="B2472" s="98"/>
      <c r="C2472" s="98"/>
      <c r="D2472" s="98"/>
      <c r="E2472" s="98"/>
    </row>
    <row r="2473" spans="2:5" ht="15.75" customHeight="1">
      <c r="B2473" s="98"/>
      <c r="C2473" s="98"/>
      <c r="D2473" s="98"/>
      <c r="E2473" s="98"/>
    </row>
    <row r="2474" spans="2:5" ht="15.75" customHeight="1">
      <c r="B2474" s="98"/>
      <c r="C2474" s="98"/>
      <c r="D2474" s="98"/>
      <c r="E2474" s="98"/>
    </row>
    <row r="2475" spans="2:5" ht="15.75" customHeight="1">
      <c r="B2475" s="98"/>
      <c r="C2475" s="98"/>
      <c r="D2475" s="98"/>
      <c r="E2475" s="98"/>
    </row>
    <row r="2476" spans="2:5" ht="15.75" customHeight="1">
      <c r="B2476" s="98"/>
      <c r="C2476" s="98"/>
      <c r="D2476" s="98"/>
      <c r="E2476" s="98"/>
    </row>
    <row r="2477" spans="2:5" ht="15.75" customHeight="1">
      <c r="B2477" s="98"/>
      <c r="C2477" s="98"/>
      <c r="D2477" s="98"/>
      <c r="E2477" s="98"/>
    </row>
    <row r="2478" spans="2:5" ht="15.75" customHeight="1">
      <c r="B2478" s="98"/>
      <c r="C2478" s="98"/>
      <c r="D2478" s="98"/>
      <c r="E2478" s="98"/>
    </row>
    <row r="2479" spans="2:5" ht="15.75" customHeight="1">
      <c r="B2479" s="98"/>
      <c r="C2479" s="98"/>
      <c r="D2479" s="98"/>
      <c r="E2479" s="98"/>
    </row>
    <row r="2480" spans="2:5" ht="15.75" customHeight="1">
      <c r="B2480" s="98"/>
      <c r="C2480" s="98"/>
      <c r="D2480" s="98"/>
      <c r="E2480" s="98"/>
    </row>
    <row r="2481" spans="2:5" ht="15.75" customHeight="1">
      <c r="B2481" s="98"/>
      <c r="C2481" s="98"/>
      <c r="D2481" s="98"/>
      <c r="E2481" s="98"/>
    </row>
    <row r="2482" spans="2:5" ht="15.75" customHeight="1">
      <c r="B2482" s="98"/>
      <c r="C2482" s="98"/>
      <c r="D2482" s="98"/>
      <c r="E2482" s="98"/>
    </row>
    <row r="2483" spans="2:5" ht="15.75" customHeight="1">
      <c r="B2483" s="98"/>
      <c r="C2483" s="98"/>
      <c r="D2483" s="98"/>
      <c r="E2483" s="98"/>
    </row>
    <row r="2484" spans="2:5" ht="15.75" customHeight="1">
      <c r="B2484" s="98"/>
      <c r="C2484" s="98"/>
      <c r="D2484" s="98"/>
      <c r="E2484" s="98"/>
    </row>
    <row r="2485" spans="2:5" ht="15.75" customHeight="1">
      <c r="B2485" s="98"/>
      <c r="C2485" s="98"/>
      <c r="D2485" s="98"/>
      <c r="E2485" s="98"/>
    </row>
    <row r="2486" spans="2:5" ht="15.75" customHeight="1">
      <c r="B2486" s="98"/>
      <c r="C2486" s="98"/>
      <c r="D2486" s="98"/>
      <c r="E2486" s="98"/>
    </row>
    <row r="2487" spans="2:5" ht="15.75" customHeight="1">
      <c r="B2487" s="98"/>
      <c r="C2487" s="98"/>
      <c r="D2487" s="98"/>
      <c r="E2487" s="98"/>
    </row>
    <row r="2488" spans="2:5" ht="15.75" customHeight="1">
      <c r="B2488" s="98"/>
      <c r="C2488" s="98"/>
      <c r="D2488" s="98"/>
      <c r="E2488" s="98"/>
    </row>
    <row r="2489" spans="2:5" ht="15.75" customHeight="1">
      <c r="B2489" s="98"/>
      <c r="C2489" s="98"/>
      <c r="D2489" s="98"/>
      <c r="E2489" s="98"/>
    </row>
    <row r="2490" spans="2:5" ht="15.75" customHeight="1">
      <c r="B2490" s="98"/>
      <c r="C2490" s="98"/>
      <c r="D2490" s="98"/>
      <c r="E2490" s="98"/>
    </row>
    <row r="2491" spans="2:5" ht="15.75" customHeight="1">
      <c r="B2491" s="98"/>
      <c r="C2491" s="98"/>
      <c r="D2491" s="98"/>
      <c r="E2491" s="98"/>
    </row>
    <row r="2492" spans="2:5" ht="15.75" customHeight="1">
      <c r="B2492" s="98"/>
      <c r="C2492" s="98"/>
      <c r="D2492" s="98"/>
      <c r="E2492" s="98"/>
    </row>
    <row r="2493" spans="2:5" ht="15.75" customHeight="1">
      <c r="B2493" s="98"/>
      <c r="C2493" s="98"/>
      <c r="D2493" s="98"/>
      <c r="E2493" s="98"/>
    </row>
    <row r="2494" spans="2:5" ht="15.75" customHeight="1">
      <c r="B2494" s="98"/>
      <c r="C2494" s="98"/>
      <c r="D2494" s="98"/>
      <c r="E2494" s="98"/>
    </row>
    <row r="2495" spans="2:5" ht="15.75" customHeight="1">
      <c r="B2495" s="98"/>
      <c r="C2495" s="98"/>
      <c r="D2495" s="98"/>
      <c r="E2495" s="98"/>
    </row>
    <row r="2496" spans="2:5" ht="15.75" customHeight="1">
      <c r="B2496" s="98"/>
      <c r="C2496" s="98"/>
      <c r="D2496" s="98"/>
      <c r="E2496" s="98"/>
    </row>
    <row r="2497" spans="2:5" ht="15.75" customHeight="1">
      <c r="B2497" s="98"/>
      <c r="C2497" s="98"/>
      <c r="D2497" s="98"/>
      <c r="E2497" s="98"/>
    </row>
    <row r="2498" spans="2:5" ht="15.75" customHeight="1">
      <c r="B2498" s="98"/>
      <c r="C2498" s="98"/>
      <c r="D2498" s="98"/>
      <c r="E2498" s="98"/>
    </row>
    <row r="2499" spans="2:5" ht="15.75" customHeight="1">
      <c r="B2499" s="98"/>
      <c r="C2499" s="98"/>
      <c r="D2499" s="98"/>
      <c r="E2499" s="98"/>
    </row>
    <row r="2500" spans="2:5" ht="15.75" customHeight="1">
      <c r="B2500" s="98"/>
      <c r="C2500" s="98"/>
      <c r="D2500" s="98"/>
      <c r="E2500" s="98"/>
    </row>
    <row r="2501" spans="2:5" ht="15.75" customHeight="1">
      <c r="B2501" s="98"/>
      <c r="C2501" s="98"/>
      <c r="D2501" s="98"/>
      <c r="E2501" s="98"/>
    </row>
    <row r="2502" spans="2:5" ht="15.75" customHeight="1">
      <c r="B2502" s="98"/>
      <c r="C2502" s="98"/>
      <c r="D2502" s="98"/>
      <c r="E2502" s="98"/>
    </row>
    <row r="2503" spans="2:5" ht="15.75" customHeight="1">
      <c r="B2503" s="98"/>
      <c r="C2503" s="98"/>
      <c r="D2503" s="98"/>
      <c r="E2503" s="98"/>
    </row>
    <row r="2504" spans="2:5" ht="15.75" customHeight="1">
      <c r="B2504" s="98"/>
      <c r="C2504" s="98"/>
      <c r="D2504" s="98"/>
      <c r="E2504" s="98"/>
    </row>
    <row r="2505" spans="2:5" ht="15.75" customHeight="1">
      <c r="B2505" s="98"/>
      <c r="C2505" s="98"/>
      <c r="D2505" s="98"/>
      <c r="E2505" s="98"/>
    </row>
    <row r="2506" spans="2:5" ht="15.75" customHeight="1">
      <c r="B2506" s="98"/>
      <c r="C2506" s="98"/>
      <c r="D2506" s="98"/>
      <c r="E2506" s="98"/>
    </row>
    <row r="2507" spans="2:5" ht="15.75" customHeight="1">
      <c r="B2507" s="98"/>
      <c r="C2507" s="98"/>
      <c r="D2507" s="98"/>
      <c r="E2507" s="98"/>
    </row>
    <row r="2508" spans="2:5" ht="15.75" customHeight="1">
      <c r="B2508" s="98"/>
      <c r="C2508" s="98"/>
      <c r="D2508" s="98"/>
      <c r="E2508" s="98"/>
    </row>
    <row r="2509" spans="2:5" ht="15.75" customHeight="1">
      <c r="B2509" s="98"/>
      <c r="C2509" s="98"/>
      <c r="D2509" s="98"/>
      <c r="E2509" s="98"/>
    </row>
    <row r="2510" spans="2:5" ht="15.75" customHeight="1">
      <c r="B2510" s="98"/>
      <c r="C2510" s="98"/>
      <c r="D2510" s="98"/>
      <c r="E2510" s="98"/>
    </row>
    <row r="2511" spans="2:5" ht="15.75" customHeight="1">
      <c r="B2511" s="98"/>
      <c r="C2511" s="98"/>
      <c r="D2511" s="98"/>
      <c r="E2511" s="98"/>
    </row>
    <row r="2512" spans="2:5" ht="15.75" customHeight="1">
      <c r="B2512" s="98"/>
      <c r="C2512" s="98"/>
      <c r="D2512" s="98"/>
      <c r="E2512" s="98"/>
    </row>
    <row r="2513" spans="2:5" ht="15.75" customHeight="1">
      <c r="B2513" s="98"/>
      <c r="C2513" s="98"/>
      <c r="D2513" s="98"/>
      <c r="E2513" s="98"/>
    </row>
    <row r="2514" spans="2:5" ht="15.75" customHeight="1">
      <c r="B2514" s="98"/>
      <c r="C2514" s="98"/>
      <c r="D2514" s="98"/>
      <c r="E2514" s="98"/>
    </row>
    <row r="2515" spans="2:5" ht="15.75" customHeight="1">
      <c r="B2515" s="98"/>
      <c r="C2515" s="98"/>
      <c r="D2515" s="98"/>
      <c r="E2515" s="98"/>
    </row>
    <row r="2516" spans="2:5" ht="15.75" customHeight="1">
      <c r="B2516" s="98"/>
      <c r="C2516" s="98"/>
      <c r="D2516" s="98"/>
      <c r="E2516" s="98"/>
    </row>
    <row r="2517" spans="2:5" ht="15.75" customHeight="1">
      <c r="B2517" s="98"/>
      <c r="C2517" s="98"/>
      <c r="D2517" s="98"/>
      <c r="E2517" s="98"/>
    </row>
    <row r="2518" spans="2:5" ht="15.75" customHeight="1">
      <c r="B2518" s="98"/>
      <c r="C2518" s="98"/>
      <c r="D2518" s="98"/>
      <c r="E2518" s="98"/>
    </row>
    <row r="2519" spans="2:5" ht="15.75" customHeight="1">
      <c r="B2519" s="98"/>
      <c r="C2519" s="98"/>
      <c r="D2519" s="98"/>
      <c r="E2519" s="98"/>
    </row>
    <row r="2520" spans="2:5" ht="15.75" customHeight="1">
      <c r="B2520" s="98"/>
      <c r="C2520" s="98"/>
      <c r="D2520" s="98"/>
      <c r="E2520" s="98"/>
    </row>
    <row r="2521" spans="2:5" ht="15.75" customHeight="1">
      <c r="B2521" s="98"/>
      <c r="C2521" s="98"/>
      <c r="D2521" s="98"/>
      <c r="E2521" s="98"/>
    </row>
    <row r="2522" spans="2:5" ht="15.75" customHeight="1">
      <c r="B2522" s="98"/>
      <c r="C2522" s="98"/>
      <c r="D2522" s="98"/>
      <c r="E2522" s="98"/>
    </row>
    <row r="2523" spans="2:5" ht="15.75" customHeight="1">
      <c r="B2523" s="98"/>
      <c r="C2523" s="98"/>
      <c r="D2523" s="98"/>
      <c r="E2523" s="98"/>
    </row>
    <row r="2524" spans="2:5" ht="15.75" customHeight="1">
      <c r="B2524" s="98"/>
      <c r="C2524" s="98"/>
      <c r="D2524" s="98"/>
      <c r="E2524" s="98"/>
    </row>
    <row r="2525" spans="2:5" ht="15.75" customHeight="1">
      <c r="B2525" s="98"/>
      <c r="C2525" s="98"/>
      <c r="D2525" s="98"/>
      <c r="E2525" s="98"/>
    </row>
    <row r="2526" spans="2:5" ht="15.75" customHeight="1">
      <c r="B2526" s="98"/>
      <c r="C2526" s="98"/>
      <c r="D2526" s="98"/>
      <c r="E2526" s="98"/>
    </row>
    <row r="2527" spans="2:5" ht="15.75" customHeight="1">
      <c r="B2527" s="98"/>
      <c r="C2527" s="98"/>
      <c r="D2527" s="98"/>
      <c r="E2527" s="98"/>
    </row>
    <row r="2528" spans="2:5" ht="15.75" customHeight="1">
      <c r="B2528" s="98"/>
      <c r="C2528" s="98"/>
      <c r="D2528" s="98"/>
      <c r="E2528" s="98"/>
    </row>
    <row r="2529" spans="2:5" ht="15.75" customHeight="1">
      <c r="B2529" s="98"/>
      <c r="C2529" s="98"/>
      <c r="D2529" s="98"/>
      <c r="E2529" s="98"/>
    </row>
    <row r="2530" spans="2:5" ht="15.75" customHeight="1">
      <c r="B2530" s="98"/>
      <c r="C2530" s="98"/>
      <c r="D2530" s="98"/>
      <c r="E2530" s="98"/>
    </row>
    <row r="2531" spans="2:5" ht="15.75" customHeight="1">
      <c r="B2531" s="98"/>
      <c r="C2531" s="98"/>
      <c r="D2531" s="98"/>
      <c r="E2531" s="98"/>
    </row>
    <row r="2532" spans="2:5" ht="15.75" customHeight="1">
      <c r="B2532" s="98"/>
      <c r="C2532" s="98"/>
      <c r="D2532" s="98"/>
      <c r="E2532" s="98"/>
    </row>
    <row r="2533" spans="2:5" ht="15.75" customHeight="1">
      <c r="B2533" s="98"/>
      <c r="C2533" s="98"/>
      <c r="D2533" s="98"/>
      <c r="E2533" s="98"/>
    </row>
    <row r="2534" spans="2:5" ht="15.75" customHeight="1">
      <c r="B2534" s="98"/>
      <c r="C2534" s="98"/>
      <c r="D2534" s="98"/>
      <c r="E2534" s="98"/>
    </row>
    <row r="2535" spans="2:5" ht="15.75" customHeight="1">
      <c r="B2535" s="98"/>
      <c r="C2535" s="98"/>
      <c r="D2535" s="98"/>
      <c r="E2535" s="98"/>
    </row>
    <row r="2536" spans="2:5" ht="15.75" customHeight="1">
      <c r="B2536" s="98"/>
      <c r="C2536" s="98"/>
      <c r="D2536" s="98"/>
      <c r="E2536" s="98"/>
    </row>
    <row r="2537" spans="2:5" ht="15.75" customHeight="1">
      <c r="B2537" s="98"/>
      <c r="C2537" s="98"/>
      <c r="D2537" s="98"/>
      <c r="E2537" s="98"/>
    </row>
    <row r="2538" spans="2:5" ht="15.75" customHeight="1">
      <c r="B2538" s="98"/>
      <c r="C2538" s="98"/>
      <c r="D2538" s="98"/>
      <c r="E2538" s="98"/>
    </row>
    <row r="2539" spans="2:5" ht="15.75" customHeight="1">
      <c r="B2539" s="98"/>
      <c r="C2539" s="98"/>
      <c r="D2539" s="98"/>
      <c r="E2539" s="98"/>
    </row>
    <row r="2540" spans="2:5" ht="15.75" customHeight="1">
      <c r="B2540" s="98"/>
      <c r="C2540" s="98"/>
      <c r="D2540" s="98"/>
      <c r="E2540" s="98"/>
    </row>
    <row r="2541" spans="2:5" ht="15.75" customHeight="1">
      <c r="B2541" s="98"/>
      <c r="C2541" s="98"/>
      <c r="D2541" s="98"/>
      <c r="E2541" s="98"/>
    </row>
    <row r="2542" spans="2:5" ht="15.75" customHeight="1">
      <c r="B2542" s="98"/>
      <c r="C2542" s="98"/>
      <c r="D2542" s="98"/>
      <c r="E2542" s="98"/>
    </row>
    <row r="2543" spans="2:5" ht="15.75" customHeight="1">
      <c r="B2543" s="98"/>
      <c r="C2543" s="98"/>
      <c r="D2543" s="98"/>
      <c r="E2543" s="98"/>
    </row>
    <row r="2544" spans="2:5" ht="15.75" customHeight="1">
      <c r="B2544" s="98"/>
      <c r="C2544" s="98"/>
      <c r="D2544" s="98"/>
      <c r="E2544" s="98"/>
    </row>
    <row r="2545" spans="2:5" ht="15.75" customHeight="1">
      <c r="B2545" s="98"/>
      <c r="C2545" s="98"/>
      <c r="D2545" s="98"/>
      <c r="E2545" s="98"/>
    </row>
    <row r="2546" spans="2:5" ht="15.75" customHeight="1">
      <c r="B2546" s="98"/>
      <c r="C2546" s="98"/>
      <c r="D2546" s="98"/>
      <c r="E2546" s="98"/>
    </row>
    <row r="2547" spans="2:5" ht="15.75" customHeight="1">
      <c r="B2547" s="98"/>
      <c r="C2547" s="98"/>
      <c r="D2547" s="98"/>
      <c r="E2547" s="98"/>
    </row>
    <row r="2548" spans="2:5" ht="15.75" customHeight="1">
      <c r="B2548" s="98"/>
      <c r="C2548" s="98"/>
      <c r="D2548" s="98"/>
      <c r="E2548" s="98"/>
    </row>
    <row r="2549" spans="2:5" ht="15.75" customHeight="1">
      <c r="B2549" s="98"/>
      <c r="C2549" s="98"/>
      <c r="D2549" s="98"/>
      <c r="E2549" s="98"/>
    </row>
    <row r="2550" spans="2:5" ht="15.75" customHeight="1">
      <c r="B2550" s="98"/>
      <c r="C2550" s="98"/>
      <c r="D2550" s="98"/>
      <c r="E2550" s="98"/>
    </row>
    <row r="2551" spans="2:5" ht="15.75" customHeight="1">
      <c r="B2551" s="98"/>
      <c r="C2551" s="98"/>
      <c r="D2551" s="98"/>
      <c r="E2551" s="98"/>
    </row>
    <row r="2552" spans="2:5" ht="15.75" customHeight="1">
      <c r="B2552" s="98"/>
      <c r="C2552" s="98"/>
      <c r="D2552" s="98"/>
      <c r="E2552" s="98"/>
    </row>
    <row r="2553" spans="2:5" ht="15.75" customHeight="1">
      <c r="B2553" s="98"/>
      <c r="C2553" s="98"/>
      <c r="D2553" s="98"/>
      <c r="E2553" s="98"/>
    </row>
    <row r="2554" spans="2:5" ht="15.75" customHeight="1">
      <c r="B2554" s="98"/>
      <c r="C2554" s="98"/>
      <c r="D2554" s="98"/>
      <c r="E2554" s="98"/>
    </row>
    <row r="2555" spans="2:5" ht="15.75" customHeight="1">
      <c r="B2555" s="98"/>
      <c r="C2555" s="98"/>
      <c r="D2555" s="98"/>
      <c r="E2555" s="98"/>
    </row>
    <row r="2556" spans="2:5" ht="15.75" customHeight="1">
      <c r="B2556" s="98"/>
      <c r="C2556" s="98"/>
      <c r="D2556" s="98"/>
      <c r="E2556" s="98"/>
    </row>
    <row r="2557" spans="2:5" ht="15.75" customHeight="1">
      <c r="B2557" s="98"/>
      <c r="C2557" s="98"/>
      <c r="D2557" s="98"/>
      <c r="E2557" s="98"/>
    </row>
    <row r="2558" spans="2:5" ht="15.75" customHeight="1">
      <c r="B2558" s="98"/>
      <c r="C2558" s="98"/>
      <c r="D2558" s="98"/>
      <c r="E2558" s="98"/>
    </row>
    <row r="2559" spans="2:5" ht="15.75" customHeight="1">
      <c r="B2559" s="98"/>
      <c r="C2559" s="98"/>
      <c r="D2559" s="98"/>
      <c r="E2559" s="98"/>
    </row>
    <row r="2560" spans="2:5" ht="15.75" customHeight="1">
      <c r="B2560" s="98"/>
      <c r="C2560" s="98"/>
      <c r="D2560" s="98"/>
      <c r="E2560" s="98"/>
    </row>
    <row r="2561" spans="2:5" ht="15.75" customHeight="1">
      <c r="B2561" s="98"/>
      <c r="C2561" s="98"/>
      <c r="D2561" s="98"/>
      <c r="E2561" s="98"/>
    </row>
    <row r="2562" spans="2:5" ht="15.75" customHeight="1">
      <c r="B2562" s="98"/>
      <c r="C2562" s="98"/>
      <c r="D2562" s="98"/>
      <c r="E2562" s="98"/>
    </row>
    <row r="2563" spans="2:5" ht="15.75" customHeight="1">
      <c r="B2563" s="98"/>
      <c r="C2563" s="98"/>
      <c r="D2563" s="98"/>
      <c r="E2563" s="98"/>
    </row>
    <row r="2564" spans="2:5" ht="15.75" customHeight="1">
      <c r="B2564" s="98"/>
      <c r="C2564" s="98"/>
      <c r="D2564" s="98"/>
      <c r="E2564" s="98"/>
    </row>
    <row r="2565" spans="2:5" ht="15.75" customHeight="1">
      <c r="B2565" s="98"/>
      <c r="C2565" s="98"/>
      <c r="D2565" s="98"/>
      <c r="E2565" s="98"/>
    </row>
    <row r="2566" spans="2:5" ht="15.75" customHeight="1">
      <c r="B2566" s="98"/>
      <c r="C2566" s="98"/>
      <c r="D2566" s="98"/>
      <c r="E2566" s="98"/>
    </row>
    <row r="2567" spans="2:5" ht="15.75" customHeight="1">
      <c r="B2567" s="98"/>
      <c r="C2567" s="98"/>
      <c r="D2567" s="98"/>
      <c r="E2567" s="98"/>
    </row>
    <row r="2568" spans="2:5" ht="15.75" customHeight="1">
      <c r="B2568" s="98"/>
      <c r="C2568" s="98"/>
      <c r="D2568" s="98"/>
      <c r="E2568" s="98"/>
    </row>
    <row r="2569" spans="2:5" ht="15.75" customHeight="1">
      <c r="B2569" s="98"/>
      <c r="C2569" s="98"/>
      <c r="D2569" s="98"/>
      <c r="E2569" s="98"/>
    </row>
    <row r="2570" spans="2:5" ht="15.75" customHeight="1">
      <c r="B2570" s="98"/>
      <c r="C2570" s="98"/>
      <c r="D2570" s="98"/>
      <c r="E2570" s="98"/>
    </row>
    <row r="2571" spans="2:5" ht="15.75" customHeight="1">
      <c r="B2571" s="98"/>
      <c r="C2571" s="98"/>
      <c r="D2571" s="98"/>
      <c r="E2571" s="98"/>
    </row>
    <row r="2572" spans="2:5" ht="15.75" customHeight="1">
      <c r="B2572" s="98"/>
      <c r="C2572" s="98"/>
      <c r="D2572" s="98"/>
      <c r="E2572" s="98"/>
    </row>
    <row r="2573" spans="2:5" ht="15.75" customHeight="1">
      <c r="B2573" s="98"/>
      <c r="C2573" s="98"/>
      <c r="D2573" s="98"/>
      <c r="E2573" s="98"/>
    </row>
    <row r="2574" spans="2:5" ht="15.75" customHeight="1">
      <c r="B2574" s="98"/>
      <c r="C2574" s="98"/>
      <c r="D2574" s="98"/>
      <c r="E2574" s="98"/>
    </row>
    <row r="2575" spans="2:5" ht="15.75" customHeight="1">
      <c r="B2575" s="98"/>
      <c r="C2575" s="98"/>
      <c r="D2575" s="98"/>
      <c r="E2575" s="98"/>
    </row>
    <row r="2576" spans="2:5" ht="15.75" customHeight="1">
      <c r="B2576" s="98"/>
      <c r="C2576" s="98"/>
      <c r="D2576" s="98"/>
      <c r="E2576" s="98"/>
    </row>
    <row r="2577" spans="2:5" ht="15.75" customHeight="1">
      <c r="B2577" s="98"/>
      <c r="C2577" s="98"/>
      <c r="D2577" s="98"/>
      <c r="E2577" s="98"/>
    </row>
    <row r="2578" spans="2:5" ht="15.75" customHeight="1">
      <c r="B2578" s="98"/>
      <c r="C2578" s="98"/>
      <c r="D2578" s="98"/>
      <c r="E2578" s="98"/>
    </row>
    <row r="2579" spans="2:5" ht="15.75" customHeight="1">
      <c r="B2579" s="98"/>
      <c r="C2579" s="98"/>
      <c r="D2579" s="98"/>
      <c r="E2579" s="98"/>
    </row>
    <row r="2580" spans="2:5" ht="15.75" customHeight="1">
      <c r="B2580" s="98"/>
      <c r="C2580" s="98"/>
      <c r="D2580" s="98"/>
      <c r="E2580" s="98"/>
    </row>
    <row r="2581" spans="2:5" ht="15.75" customHeight="1">
      <c r="B2581" s="98"/>
      <c r="C2581" s="98"/>
      <c r="D2581" s="98"/>
      <c r="E2581" s="98"/>
    </row>
    <row r="2582" spans="2:5" ht="15.75" customHeight="1">
      <c r="B2582" s="98"/>
      <c r="C2582" s="98"/>
      <c r="D2582" s="98"/>
      <c r="E2582" s="98"/>
    </row>
    <row r="2583" spans="2:5" ht="15.75" customHeight="1">
      <c r="B2583" s="98"/>
      <c r="C2583" s="98"/>
      <c r="D2583" s="98"/>
      <c r="E2583" s="98"/>
    </row>
    <row r="2584" spans="2:5" ht="15.75" customHeight="1">
      <c r="B2584" s="98"/>
      <c r="C2584" s="98"/>
      <c r="D2584" s="98"/>
      <c r="E2584" s="98"/>
    </row>
    <row r="2585" spans="2:5" ht="15.75" customHeight="1">
      <c r="B2585" s="98"/>
      <c r="C2585" s="98"/>
      <c r="D2585" s="98"/>
      <c r="E2585" s="98"/>
    </row>
    <row r="2586" spans="2:5" ht="15.75" customHeight="1">
      <c r="B2586" s="98"/>
      <c r="C2586" s="98"/>
      <c r="D2586" s="98"/>
      <c r="E2586" s="98"/>
    </row>
    <row r="2587" spans="2:5" ht="15.75" customHeight="1">
      <c r="B2587" s="98"/>
      <c r="C2587" s="98"/>
      <c r="D2587" s="98"/>
      <c r="E2587" s="98"/>
    </row>
    <row r="2588" spans="2:5" ht="15.75" customHeight="1">
      <c r="B2588" s="98"/>
      <c r="C2588" s="98"/>
      <c r="D2588" s="98"/>
      <c r="E2588" s="98"/>
    </row>
    <row r="2589" spans="2:5" ht="15.75" customHeight="1">
      <c r="B2589" s="98"/>
      <c r="C2589" s="98"/>
      <c r="D2589" s="98"/>
      <c r="E2589" s="98"/>
    </row>
    <row r="2590" spans="2:5" ht="15.75" customHeight="1">
      <c r="B2590" s="98"/>
      <c r="C2590" s="98"/>
      <c r="D2590" s="98"/>
      <c r="E2590" s="98"/>
    </row>
    <row r="2591" spans="2:5" ht="15.75" customHeight="1">
      <c r="B2591" s="98"/>
      <c r="C2591" s="98"/>
      <c r="D2591" s="98"/>
      <c r="E2591" s="98"/>
    </row>
    <row r="2592" spans="2:5" ht="15.75" customHeight="1">
      <c r="B2592" s="98"/>
      <c r="C2592" s="98"/>
      <c r="D2592" s="98"/>
      <c r="E2592" s="98"/>
    </row>
    <row r="2593" spans="2:5" ht="15.75" customHeight="1">
      <c r="B2593" s="98"/>
      <c r="C2593" s="98"/>
      <c r="D2593" s="98"/>
      <c r="E2593" s="98"/>
    </row>
    <row r="2594" spans="2:5" ht="15.75" customHeight="1">
      <c r="B2594" s="98"/>
      <c r="C2594" s="98"/>
      <c r="D2594" s="98"/>
      <c r="E2594" s="98"/>
    </row>
    <row r="2595" spans="2:5" ht="15.75" customHeight="1">
      <c r="B2595" s="98"/>
      <c r="C2595" s="98"/>
      <c r="D2595" s="98"/>
      <c r="E2595" s="98"/>
    </row>
    <row r="2596" spans="2:5" ht="15.75" customHeight="1">
      <c r="B2596" s="98"/>
      <c r="C2596" s="98"/>
      <c r="D2596" s="98"/>
      <c r="E2596" s="98"/>
    </row>
    <row r="2597" spans="2:5" ht="15.75" customHeight="1">
      <c r="B2597" s="98"/>
      <c r="C2597" s="98"/>
      <c r="D2597" s="98"/>
      <c r="E2597" s="98"/>
    </row>
    <row r="2598" spans="2:5" ht="15.75" customHeight="1">
      <c r="B2598" s="98"/>
      <c r="C2598" s="98"/>
      <c r="D2598" s="98"/>
      <c r="E2598" s="98"/>
    </row>
    <row r="2599" spans="2:5" ht="15.75" customHeight="1">
      <c r="B2599" s="98"/>
      <c r="C2599" s="98"/>
      <c r="D2599" s="98"/>
      <c r="E2599" s="98"/>
    </row>
    <row r="2600" spans="2:5" ht="15.75" customHeight="1">
      <c r="B2600" s="98"/>
      <c r="C2600" s="98"/>
      <c r="D2600" s="98"/>
      <c r="E2600" s="98"/>
    </row>
    <row r="2601" spans="2:5" ht="15.75" customHeight="1">
      <c r="B2601" s="98"/>
      <c r="C2601" s="98"/>
      <c r="D2601" s="98"/>
      <c r="E2601" s="98"/>
    </row>
    <row r="2602" spans="2:5" ht="15.75" customHeight="1">
      <c r="B2602" s="98"/>
      <c r="C2602" s="98"/>
      <c r="D2602" s="98"/>
      <c r="E2602" s="98"/>
    </row>
    <row r="2603" spans="2:5" ht="15.75" customHeight="1">
      <c r="B2603" s="98"/>
      <c r="C2603" s="98"/>
      <c r="D2603" s="98"/>
      <c r="E2603" s="98"/>
    </row>
    <row r="2604" spans="2:5" ht="15.75" customHeight="1">
      <c r="B2604" s="98"/>
      <c r="C2604" s="98"/>
      <c r="D2604" s="98"/>
      <c r="E2604" s="98"/>
    </row>
    <row r="2605" spans="2:5" ht="15.75" customHeight="1">
      <c r="B2605" s="98"/>
      <c r="C2605" s="98"/>
      <c r="D2605" s="98"/>
      <c r="E2605" s="98"/>
    </row>
    <row r="2606" spans="2:5" ht="15.75" customHeight="1">
      <c r="B2606" s="98"/>
      <c r="C2606" s="98"/>
      <c r="D2606" s="98"/>
      <c r="E2606" s="98"/>
    </row>
    <row r="2607" spans="2:5" ht="15.75" customHeight="1">
      <c r="B2607" s="98"/>
      <c r="C2607" s="98"/>
      <c r="D2607" s="98"/>
      <c r="E2607" s="98"/>
    </row>
    <row r="2608" spans="2:5" ht="15.75" customHeight="1">
      <c r="B2608" s="98"/>
      <c r="C2608" s="98"/>
      <c r="D2608" s="98"/>
      <c r="E2608" s="98"/>
    </row>
    <row r="2609" spans="2:5" ht="15.75" customHeight="1">
      <c r="B2609" s="98"/>
      <c r="C2609" s="98"/>
      <c r="D2609" s="98"/>
      <c r="E2609" s="98"/>
    </row>
    <row r="2610" spans="2:5" ht="15.75" customHeight="1">
      <c r="B2610" s="98"/>
      <c r="C2610" s="98"/>
      <c r="D2610" s="98"/>
      <c r="E2610" s="98"/>
    </row>
    <row r="2611" spans="2:5" ht="15.75" customHeight="1">
      <c r="B2611" s="98"/>
      <c r="C2611" s="98"/>
      <c r="D2611" s="98"/>
      <c r="E2611" s="98"/>
    </row>
    <row r="2612" spans="2:5" ht="15.75" customHeight="1">
      <c r="B2612" s="98"/>
      <c r="C2612" s="98"/>
      <c r="D2612" s="98"/>
      <c r="E2612" s="98"/>
    </row>
    <row r="2613" spans="2:5" ht="15.75" customHeight="1">
      <c r="B2613" s="98"/>
      <c r="C2613" s="98"/>
      <c r="D2613" s="98"/>
      <c r="E2613" s="98"/>
    </row>
    <row r="2614" spans="2:5" ht="15.75" customHeight="1">
      <c r="B2614" s="98"/>
      <c r="C2614" s="98"/>
      <c r="D2614" s="98"/>
      <c r="E2614" s="98"/>
    </row>
    <row r="2615" spans="2:5" ht="15.75" customHeight="1">
      <c r="B2615" s="98"/>
      <c r="C2615" s="98"/>
      <c r="D2615" s="98"/>
      <c r="E2615" s="98"/>
    </row>
    <row r="2616" spans="2:5" ht="15.75" customHeight="1">
      <c r="B2616" s="98"/>
      <c r="C2616" s="98"/>
      <c r="D2616" s="98"/>
      <c r="E2616" s="98"/>
    </row>
    <row r="2617" spans="2:5" ht="15.75" customHeight="1">
      <c r="B2617" s="98"/>
      <c r="C2617" s="98"/>
      <c r="D2617" s="98"/>
      <c r="E2617" s="98"/>
    </row>
    <row r="2618" spans="2:5" ht="15.75" customHeight="1">
      <c r="B2618" s="98"/>
      <c r="C2618" s="98"/>
      <c r="D2618" s="98"/>
      <c r="E2618" s="98"/>
    </row>
    <row r="2619" spans="2:5" ht="15.75" customHeight="1">
      <c r="B2619" s="98"/>
      <c r="C2619" s="98"/>
      <c r="D2619" s="98"/>
      <c r="E2619" s="98"/>
    </row>
    <row r="2620" spans="2:5" ht="15.75" customHeight="1">
      <c r="B2620" s="98"/>
      <c r="C2620" s="98"/>
      <c r="D2620" s="98"/>
      <c r="E2620" s="98"/>
    </row>
    <row r="2621" spans="2:5" ht="15.75" customHeight="1">
      <c r="B2621" s="98"/>
      <c r="C2621" s="98"/>
      <c r="D2621" s="98"/>
      <c r="E2621" s="98"/>
    </row>
    <row r="2622" spans="2:5" ht="15.75" customHeight="1">
      <c r="B2622" s="98"/>
      <c r="C2622" s="98"/>
      <c r="D2622" s="98"/>
      <c r="E2622" s="98"/>
    </row>
    <row r="2623" spans="2:5" ht="15.75" customHeight="1">
      <c r="B2623" s="98"/>
      <c r="C2623" s="98"/>
      <c r="D2623" s="98"/>
      <c r="E2623" s="98"/>
    </row>
    <row r="2624" spans="2:5" ht="15.75" customHeight="1">
      <c r="B2624" s="98"/>
      <c r="C2624" s="98"/>
      <c r="D2624" s="98"/>
      <c r="E2624" s="98"/>
    </row>
    <row r="2625" spans="2:5" ht="15.75" customHeight="1">
      <c r="B2625" s="98"/>
      <c r="C2625" s="98"/>
      <c r="D2625" s="98"/>
      <c r="E2625" s="98"/>
    </row>
    <row r="2626" spans="2:5" ht="15.75" customHeight="1">
      <c r="B2626" s="98"/>
      <c r="C2626" s="98"/>
      <c r="D2626" s="98"/>
      <c r="E2626" s="98"/>
    </row>
    <row r="2627" spans="2:5" ht="15.75" customHeight="1">
      <c r="B2627" s="98"/>
      <c r="C2627" s="98"/>
      <c r="D2627" s="98"/>
      <c r="E2627" s="98"/>
    </row>
    <row r="2628" spans="2:5" ht="15.75" customHeight="1">
      <c r="B2628" s="98"/>
      <c r="C2628" s="98"/>
      <c r="D2628" s="98"/>
      <c r="E2628" s="98"/>
    </row>
    <row r="2629" spans="2:5" ht="15.75" customHeight="1">
      <c r="B2629" s="98"/>
      <c r="C2629" s="98"/>
      <c r="D2629" s="98"/>
      <c r="E2629" s="98"/>
    </row>
    <row r="2630" spans="2:5" ht="15.75" customHeight="1">
      <c r="B2630" s="98"/>
      <c r="C2630" s="98"/>
      <c r="D2630" s="98"/>
      <c r="E2630" s="98"/>
    </row>
    <row r="2631" spans="2:5" ht="15.75" customHeight="1">
      <c r="B2631" s="98"/>
      <c r="C2631" s="98"/>
      <c r="D2631" s="98"/>
      <c r="E2631" s="98"/>
    </row>
    <row r="2632" spans="2:5" ht="15.75" customHeight="1">
      <c r="B2632" s="98"/>
      <c r="C2632" s="98"/>
      <c r="D2632" s="98"/>
      <c r="E2632" s="98"/>
    </row>
    <row r="2633" spans="2:5" ht="15.75" customHeight="1">
      <c r="B2633" s="98"/>
      <c r="C2633" s="98"/>
      <c r="D2633" s="98"/>
      <c r="E2633" s="98"/>
    </row>
    <row r="2634" spans="2:5" ht="15.75" customHeight="1">
      <c r="B2634" s="98"/>
      <c r="C2634" s="98"/>
      <c r="D2634" s="98"/>
      <c r="E2634" s="98"/>
    </row>
    <row r="2635" spans="2:5" ht="15.75" customHeight="1">
      <c r="B2635" s="98"/>
      <c r="C2635" s="98"/>
      <c r="D2635" s="98"/>
      <c r="E2635" s="98"/>
    </row>
    <row r="2636" spans="2:5" ht="15.75" customHeight="1">
      <c r="B2636" s="98"/>
      <c r="C2636" s="98"/>
      <c r="D2636" s="98"/>
      <c r="E2636" s="98"/>
    </row>
    <row r="2637" spans="2:5" ht="15.75" customHeight="1">
      <c r="B2637" s="98"/>
      <c r="C2637" s="98"/>
      <c r="D2637" s="98"/>
      <c r="E2637" s="98"/>
    </row>
    <row r="2638" spans="2:5" ht="15.75" customHeight="1">
      <c r="B2638" s="98"/>
      <c r="C2638" s="98"/>
      <c r="D2638" s="98"/>
      <c r="E2638" s="98"/>
    </row>
    <row r="2639" spans="2:5" ht="15.75" customHeight="1">
      <c r="B2639" s="98"/>
      <c r="C2639" s="98"/>
      <c r="D2639" s="98"/>
      <c r="E2639" s="98"/>
    </row>
    <row r="2640" spans="2:5" ht="15.75" customHeight="1">
      <c r="B2640" s="98"/>
      <c r="C2640" s="98"/>
      <c r="D2640" s="98"/>
      <c r="E2640" s="98"/>
    </row>
    <row r="2641" spans="2:5" ht="15.75" customHeight="1">
      <c r="B2641" s="98"/>
      <c r="C2641" s="98"/>
      <c r="D2641" s="98"/>
      <c r="E2641" s="98"/>
    </row>
    <row r="2642" spans="2:5" ht="15.75" customHeight="1">
      <c r="B2642" s="98"/>
      <c r="C2642" s="98"/>
      <c r="D2642" s="98"/>
      <c r="E2642" s="98"/>
    </row>
    <row r="2643" spans="2:5" ht="15.75" customHeight="1">
      <c r="B2643" s="98"/>
      <c r="C2643" s="98"/>
      <c r="D2643" s="98"/>
      <c r="E2643" s="98"/>
    </row>
    <row r="2644" spans="2:5" ht="15.75" customHeight="1">
      <c r="B2644" s="98"/>
      <c r="C2644" s="98"/>
      <c r="D2644" s="98"/>
      <c r="E2644" s="98"/>
    </row>
    <row r="2645" spans="2:5" ht="15.75" customHeight="1">
      <c r="B2645" s="98"/>
      <c r="C2645" s="98"/>
      <c r="D2645" s="98"/>
      <c r="E2645" s="98"/>
    </row>
    <row r="2646" spans="2:5" ht="15.75" customHeight="1">
      <c r="B2646" s="98"/>
      <c r="C2646" s="98"/>
      <c r="D2646" s="98"/>
      <c r="E2646" s="98"/>
    </row>
    <row r="2647" spans="2:5" ht="15.75" customHeight="1">
      <c r="B2647" s="98"/>
      <c r="C2647" s="98"/>
      <c r="D2647" s="98"/>
      <c r="E2647" s="98"/>
    </row>
    <row r="2648" spans="2:5" ht="15.75" customHeight="1">
      <c r="B2648" s="98"/>
      <c r="C2648" s="98"/>
      <c r="D2648" s="98"/>
      <c r="E2648" s="98"/>
    </row>
    <row r="2649" spans="2:5" ht="15.75" customHeight="1">
      <c r="B2649" s="98"/>
      <c r="C2649" s="98"/>
      <c r="D2649" s="98"/>
      <c r="E2649" s="98"/>
    </row>
    <row r="2650" spans="2:5" ht="15.75" customHeight="1">
      <c r="B2650" s="98"/>
      <c r="C2650" s="98"/>
      <c r="D2650" s="98"/>
      <c r="E2650" s="98"/>
    </row>
    <row r="2651" spans="2:5" ht="15.75" customHeight="1">
      <c r="B2651" s="98"/>
      <c r="C2651" s="98"/>
      <c r="D2651" s="98"/>
      <c r="E2651" s="98"/>
    </row>
    <row r="2652" spans="2:5" ht="15.75" customHeight="1">
      <c r="B2652" s="98"/>
      <c r="C2652" s="98"/>
      <c r="D2652" s="98"/>
      <c r="E2652" s="98"/>
    </row>
    <row r="2653" spans="2:5" ht="15.75" customHeight="1">
      <c r="B2653" s="98"/>
      <c r="C2653" s="98"/>
      <c r="D2653" s="98"/>
      <c r="E2653" s="98"/>
    </row>
    <row r="2654" spans="2:5" ht="15.75" customHeight="1">
      <c r="B2654" s="98"/>
      <c r="C2654" s="98"/>
      <c r="D2654" s="98"/>
      <c r="E2654" s="98"/>
    </row>
    <row r="2655" spans="2:5" ht="15.75" customHeight="1">
      <c r="B2655" s="98"/>
      <c r="C2655" s="98"/>
      <c r="D2655" s="98"/>
      <c r="E2655" s="98"/>
    </row>
    <row r="2656" spans="2:5" ht="15.75" customHeight="1">
      <c r="B2656" s="98"/>
      <c r="C2656" s="98"/>
      <c r="D2656" s="98"/>
      <c r="E2656" s="98"/>
    </row>
    <row r="2657" spans="2:5" ht="15.75" customHeight="1">
      <c r="B2657" s="98"/>
      <c r="C2657" s="98"/>
      <c r="D2657" s="98"/>
      <c r="E2657" s="98"/>
    </row>
    <row r="2658" spans="2:5" ht="15.75" customHeight="1">
      <c r="B2658" s="98"/>
      <c r="C2658" s="98"/>
      <c r="D2658" s="98"/>
      <c r="E2658" s="98"/>
    </row>
    <row r="2659" spans="2:5" ht="15.75" customHeight="1">
      <c r="B2659" s="98"/>
      <c r="C2659" s="98"/>
      <c r="D2659" s="98"/>
      <c r="E2659" s="98"/>
    </row>
    <row r="2660" spans="2:5" ht="15.75" customHeight="1">
      <c r="B2660" s="98"/>
      <c r="C2660" s="98"/>
      <c r="D2660" s="98"/>
      <c r="E2660" s="98"/>
    </row>
    <row r="2661" spans="2:5" ht="15.75" customHeight="1">
      <c r="B2661" s="98"/>
      <c r="C2661" s="98"/>
      <c r="D2661" s="98"/>
      <c r="E2661" s="98"/>
    </row>
    <row r="2662" spans="2:5" ht="15.75" customHeight="1">
      <c r="B2662" s="98"/>
      <c r="C2662" s="98"/>
      <c r="D2662" s="98"/>
      <c r="E2662" s="98"/>
    </row>
    <row r="2663" spans="2:5" ht="15.75" customHeight="1">
      <c r="B2663" s="98"/>
      <c r="C2663" s="98"/>
      <c r="D2663" s="98"/>
      <c r="E2663" s="98"/>
    </row>
    <row r="2664" spans="2:5" ht="15.75" customHeight="1">
      <c r="B2664" s="98"/>
      <c r="C2664" s="98"/>
      <c r="D2664" s="98"/>
      <c r="E2664" s="98"/>
    </row>
    <row r="2665" spans="2:5" ht="15.75" customHeight="1">
      <c r="B2665" s="98"/>
      <c r="C2665" s="98"/>
      <c r="D2665" s="98"/>
      <c r="E2665" s="98"/>
    </row>
    <row r="2666" spans="2:5" ht="15.75" customHeight="1">
      <c r="B2666" s="98"/>
      <c r="C2666" s="98"/>
      <c r="D2666" s="98"/>
      <c r="E2666" s="98"/>
    </row>
    <row r="2667" spans="2:5" ht="15.75" customHeight="1">
      <c r="B2667" s="98"/>
      <c r="C2667" s="98"/>
      <c r="D2667" s="98"/>
      <c r="E2667" s="98"/>
    </row>
    <row r="2668" spans="2:5" ht="15.75" customHeight="1">
      <c r="B2668" s="98"/>
      <c r="C2668" s="98"/>
      <c r="D2668" s="98"/>
      <c r="E2668" s="98"/>
    </row>
    <row r="2669" spans="2:5" ht="15.75" customHeight="1">
      <c r="B2669" s="98"/>
      <c r="C2669" s="98"/>
      <c r="D2669" s="98"/>
      <c r="E2669" s="98"/>
    </row>
    <row r="2670" spans="2:5" ht="15.75" customHeight="1">
      <c r="B2670" s="98"/>
      <c r="C2670" s="98"/>
      <c r="D2670" s="98"/>
      <c r="E2670" s="98"/>
    </row>
    <row r="2671" spans="2:5" ht="15.75" customHeight="1">
      <c r="B2671" s="98"/>
      <c r="C2671" s="98"/>
      <c r="D2671" s="98"/>
      <c r="E2671" s="98"/>
    </row>
    <row r="2672" spans="2:5" ht="15.75" customHeight="1">
      <c r="B2672" s="98"/>
      <c r="C2672" s="98"/>
      <c r="D2672" s="98"/>
      <c r="E2672" s="98"/>
    </row>
    <row r="2673" spans="2:5" ht="15.75" customHeight="1">
      <c r="B2673" s="98"/>
      <c r="C2673" s="98"/>
      <c r="D2673" s="98"/>
      <c r="E2673" s="98"/>
    </row>
    <row r="2674" spans="2:5" ht="15.75" customHeight="1">
      <c r="B2674" s="98"/>
      <c r="C2674" s="98"/>
      <c r="D2674" s="98"/>
      <c r="E2674" s="98"/>
    </row>
    <row r="2675" spans="2:5" ht="15.75" customHeight="1">
      <c r="B2675" s="98"/>
      <c r="C2675" s="98"/>
      <c r="D2675" s="98"/>
      <c r="E2675" s="98"/>
    </row>
    <row r="2676" spans="2:5" ht="15.75" customHeight="1">
      <c r="B2676" s="98"/>
      <c r="C2676" s="98"/>
      <c r="D2676" s="98"/>
      <c r="E2676" s="98"/>
    </row>
    <row r="2677" spans="2:5" ht="15.75" customHeight="1">
      <c r="B2677" s="98"/>
      <c r="C2677" s="98"/>
      <c r="D2677" s="98"/>
      <c r="E2677" s="98"/>
    </row>
    <row r="2678" spans="2:5" ht="15.75" customHeight="1">
      <c r="B2678" s="98"/>
      <c r="C2678" s="98"/>
      <c r="D2678" s="98"/>
      <c r="E2678" s="98"/>
    </row>
    <row r="2679" spans="2:5" ht="15.75" customHeight="1">
      <c r="B2679" s="98"/>
      <c r="C2679" s="98"/>
      <c r="D2679" s="98"/>
      <c r="E2679" s="98"/>
    </row>
    <row r="2680" spans="2:5" ht="15.75" customHeight="1">
      <c r="B2680" s="98"/>
      <c r="C2680" s="98"/>
      <c r="D2680" s="98"/>
      <c r="E2680" s="98"/>
    </row>
    <row r="2681" spans="2:5" ht="15.75" customHeight="1">
      <c r="B2681" s="98"/>
      <c r="C2681" s="98"/>
      <c r="D2681" s="98"/>
      <c r="E2681" s="98"/>
    </row>
    <row r="2682" spans="2:5" ht="15.75" customHeight="1">
      <c r="B2682" s="98"/>
      <c r="C2682" s="98"/>
      <c r="D2682" s="98"/>
      <c r="E2682" s="98"/>
    </row>
    <row r="2683" spans="2:5" ht="15.75" customHeight="1">
      <c r="B2683" s="98"/>
      <c r="C2683" s="98"/>
      <c r="D2683" s="98"/>
      <c r="E2683" s="98"/>
    </row>
    <row r="2684" spans="2:5" ht="15.75" customHeight="1">
      <c r="B2684" s="98"/>
      <c r="C2684" s="98"/>
      <c r="D2684" s="98"/>
      <c r="E2684" s="98"/>
    </row>
    <row r="2685" spans="2:5" ht="15.75" customHeight="1">
      <c r="B2685" s="98"/>
      <c r="C2685" s="98"/>
      <c r="D2685" s="98"/>
      <c r="E2685" s="98"/>
    </row>
    <row r="2686" spans="2:5" ht="15.75" customHeight="1">
      <c r="B2686" s="98"/>
      <c r="C2686" s="98"/>
      <c r="D2686" s="98"/>
      <c r="E2686" s="98"/>
    </row>
    <row r="2687" spans="2:5" ht="15.75" customHeight="1">
      <c r="B2687" s="98"/>
      <c r="C2687" s="98"/>
      <c r="D2687" s="98"/>
      <c r="E2687" s="98"/>
    </row>
    <row r="2688" spans="2:5" ht="15.75" customHeight="1">
      <c r="B2688" s="98"/>
      <c r="C2688" s="98"/>
      <c r="D2688" s="98"/>
      <c r="E2688" s="98"/>
    </row>
    <row r="2689" spans="2:5" ht="15.75" customHeight="1">
      <c r="B2689" s="98"/>
      <c r="C2689" s="98"/>
      <c r="D2689" s="98"/>
      <c r="E2689" s="98"/>
    </row>
    <row r="2690" spans="2:5" ht="15.75" customHeight="1">
      <c r="B2690" s="98"/>
      <c r="C2690" s="98"/>
      <c r="D2690" s="98"/>
      <c r="E2690" s="98"/>
    </row>
    <row r="2691" spans="2:5" ht="15.75" customHeight="1">
      <c r="B2691" s="98"/>
      <c r="C2691" s="98"/>
      <c r="D2691" s="98"/>
      <c r="E2691" s="98"/>
    </row>
    <row r="2692" spans="2:5" ht="15.75" customHeight="1">
      <c r="B2692" s="98"/>
      <c r="C2692" s="98"/>
      <c r="D2692" s="98"/>
      <c r="E2692" s="98"/>
    </row>
    <row r="2693" spans="2:5" ht="15.75" customHeight="1">
      <c r="B2693" s="98"/>
      <c r="C2693" s="98"/>
      <c r="D2693" s="98"/>
      <c r="E2693" s="98"/>
    </row>
    <row r="2694" spans="2:5" ht="15.75" customHeight="1">
      <c r="B2694" s="98"/>
      <c r="C2694" s="98"/>
      <c r="D2694" s="98"/>
      <c r="E2694" s="98"/>
    </row>
    <row r="2695" spans="2:5" ht="15.75" customHeight="1">
      <c r="B2695" s="98"/>
      <c r="C2695" s="98"/>
      <c r="D2695" s="98"/>
      <c r="E2695" s="98"/>
    </row>
    <row r="2696" spans="2:5" ht="15.75" customHeight="1">
      <c r="B2696" s="98"/>
      <c r="C2696" s="98"/>
      <c r="D2696" s="98"/>
      <c r="E2696" s="98"/>
    </row>
    <row r="2697" spans="2:5" ht="15.75" customHeight="1">
      <c r="B2697" s="98"/>
      <c r="C2697" s="98"/>
      <c r="D2697" s="98"/>
      <c r="E2697" s="98"/>
    </row>
    <row r="2698" spans="2:5" ht="15.75" customHeight="1">
      <c r="B2698" s="98"/>
      <c r="C2698" s="98"/>
      <c r="D2698" s="98"/>
      <c r="E2698" s="98"/>
    </row>
    <row r="2699" spans="2:5" ht="15.75" customHeight="1">
      <c r="B2699" s="98"/>
      <c r="C2699" s="98"/>
      <c r="D2699" s="98"/>
      <c r="E2699" s="98"/>
    </row>
    <row r="2700" spans="2:5" ht="15.75" customHeight="1">
      <c r="B2700" s="98"/>
      <c r="C2700" s="98"/>
      <c r="D2700" s="98"/>
      <c r="E2700" s="98"/>
    </row>
    <row r="2701" spans="2:5" ht="15.75" customHeight="1">
      <c r="B2701" s="98"/>
      <c r="C2701" s="98"/>
      <c r="D2701" s="98"/>
      <c r="E2701" s="98"/>
    </row>
    <row r="2702" spans="2:5" ht="15.75" customHeight="1">
      <c r="B2702" s="98"/>
      <c r="C2702" s="98"/>
      <c r="D2702" s="98"/>
      <c r="E2702" s="98"/>
    </row>
    <row r="2703" spans="2:5" ht="15.75" customHeight="1">
      <c r="B2703" s="98"/>
      <c r="C2703" s="98"/>
      <c r="D2703" s="98"/>
      <c r="E2703" s="98"/>
    </row>
    <row r="2704" spans="2:5" ht="15.75" customHeight="1">
      <c r="B2704" s="98"/>
      <c r="C2704" s="98"/>
      <c r="D2704" s="98"/>
      <c r="E2704" s="98"/>
    </row>
    <row r="2705" spans="2:5" ht="15.75" customHeight="1">
      <c r="B2705" s="98"/>
      <c r="C2705" s="98"/>
      <c r="D2705" s="98"/>
      <c r="E2705" s="98"/>
    </row>
    <row r="2706" spans="2:5" ht="15.75" customHeight="1">
      <c r="B2706" s="98"/>
      <c r="C2706" s="98"/>
      <c r="D2706" s="98"/>
      <c r="E2706" s="98"/>
    </row>
    <row r="2707" spans="2:5" ht="15.75" customHeight="1">
      <c r="B2707" s="98"/>
      <c r="C2707" s="98"/>
      <c r="D2707" s="98"/>
      <c r="E2707" s="98"/>
    </row>
    <row r="2708" spans="2:5" ht="15.75" customHeight="1">
      <c r="B2708" s="98"/>
      <c r="C2708" s="98"/>
      <c r="D2708" s="98"/>
      <c r="E2708" s="98"/>
    </row>
    <row r="2709" spans="2:5" ht="15.75" customHeight="1">
      <c r="B2709" s="98"/>
      <c r="C2709" s="98"/>
      <c r="D2709" s="98"/>
      <c r="E2709" s="98"/>
    </row>
    <row r="2710" spans="2:5" ht="15.75" customHeight="1">
      <c r="B2710" s="98"/>
    </row>
  </sheetData>
  <autoFilter ref="A1:H1813" xr:uid="{00000000-0001-0000-0D00-000000000000}">
    <filterColumn colId="1">
      <filters>
        <filter val="V_WEXCEL_COMPANY_DS"/>
      </filters>
    </filterColumn>
  </autoFilter>
  <customSheetViews>
    <customSheetView guid="{D2464F85-EDE4-4567-AE99-72086A9419EC}" filter="1" showAutoFilter="1">
      <pageMargins left="0.7" right="0.7" top="0.75" bottom="0.75" header="0.3" footer="0.3"/>
      <autoFilter ref="A1:H1813" xr:uid="{44C239CB-18E9-BE45-AC05-6B7C1FBFEC09}">
        <filterColumn colId="1">
          <filters>
            <filter val="V_WEXCEL_COMPANY_DS"/>
            <filter val="V_WEXCEL_DATASOURCE_DS"/>
            <filter val="V_WEXCEL_DTYPE_DS"/>
            <filter val="W_EXCEL_AGING_DS"/>
          </filters>
        </filterColumn>
      </autoFilter>
    </customSheetView>
  </customSheetViews>
  <pageMargins left="0.7" right="0.7" top="0.75" bottom="0.75" header="0" footer="0"/>
  <pageSetup orientation="landscape"/>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O1000"/>
  <sheetViews>
    <sheetView workbookViewId="0"/>
  </sheetViews>
  <sheetFormatPr baseColWidth="10" defaultColWidth="12.6640625" defaultRowHeight="15" customHeight="1"/>
  <cols>
    <col min="1" max="1" width="13.6640625" customWidth="1"/>
    <col min="2" max="2" width="16.6640625" customWidth="1"/>
    <col min="3" max="3" width="36" customWidth="1"/>
    <col min="4" max="4" width="7.83203125" customWidth="1"/>
    <col min="5" max="5" width="5.33203125" customWidth="1"/>
    <col min="6" max="7" width="10.1640625" customWidth="1"/>
    <col min="8" max="8" width="9.1640625" customWidth="1"/>
    <col min="9" max="10" width="7.6640625" customWidth="1"/>
    <col min="11" max="11" width="15.1640625" customWidth="1"/>
    <col min="12" max="12" width="11.83203125" customWidth="1"/>
    <col min="13" max="13" width="13.1640625" customWidth="1"/>
    <col min="14" max="14" width="18" customWidth="1"/>
    <col min="15" max="15" width="16.1640625" customWidth="1"/>
    <col min="16" max="26" width="7.6640625" customWidth="1"/>
  </cols>
  <sheetData>
    <row r="1" spans="1:15">
      <c r="A1" s="214" t="s">
        <v>154</v>
      </c>
      <c r="B1" s="214" t="s">
        <v>155</v>
      </c>
      <c r="C1" s="214" t="s">
        <v>156</v>
      </c>
      <c r="D1" s="214" t="s">
        <v>157</v>
      </c>
      <c r="E1" s="214" t="s">
        <v>158</v>
      </c>
      <c r="F1" s="214" t="s">
        <v>159</v>
      </c>
      <c r="G1" s="214" t="s">
        <v>160</v>
      </c>
      <c r="H1" s="214" t="s">
        <v>161</v>
      </c>
      <c r="I1" s="214" t="s">
        <v>162</v>
      </c>
      <c r="J1" s="215" t="s">
        <v>163</v>
      </c>
      <c r="K1" s="176" t="s">
        <v>165</v>
      </c>
      <c r="L1" s="176" t="s">
        <v>3632</v>
      </c>
      <c r="M1" s="103" t="s">
        <v>166</v>
      </c>
      <c r="N1" s="104" t="s">
        <v>167</v>
      </c>
      <c r="O1" s="105" t="s">
        <v>168</v>
      </c>
    </row>
    <row r="2" spans="1:15">
      <c r="A2" s="133" t="s">
        <v>5</v>
      </c>
      <c r="B2" s="133" t="s">
        <v>6761</v>
      </c>
      <c r="C2" s="133" t="s">
        <v>6762</v>
      </c>
      <c r="D2" s="158">
        <v>2934067</v>
      </c>
      <c r="E2" s="133" t="s">
        <v>171</v>
      </c>
      <c r="F2" s="133" t="s">
        <v>6763</v>
      </c>
      <c r="G2" s="133" t="s">
        <v>6764</v>
      </c>
      <c r="H2" s="133" t="s">
        <v>6765</v>
      </c>
      <c r="I2" s="133" t="s">
        <v>6766</v>
      </c>
      <c r="J2" s="243"/>
      <c r="K2" s="177" t="s">
        <v>59</v>
      </c>
      <c r="L2" s="189"/>
      <c r="M2" s="98" t="s">
        <v>6767</v>
      </c>
      <c r="N2" s="98" t="s">
        <v>2228</v>
      </c>
      <c r="O2" s="208" t="s">
        <v>176</v>
      </c>
    </row>
    <row r="3" spans="1:15">
      <c r="A3" s="133" t="s">
        <v>5</v>
      </c>
      <c r="B3" s="133" t="s">
        <v>6761</v>
      </c>
      <c r="C3" s="133" t="s">
        <v>6768</v>
      </c>
      <c r="D3" s="158">
        <v>464102</v>
      </c>
      <c r="E3" s="133" t="s">
        <v>171</v>
      </c>
      <c r="F3" s="133" t="s">
        <v>6769</v>
      </c>
      <c r="G3" s="133" t="s">
        <v>6770</v>
      </c>
      <c r="H3" s="133" t="s">
        <v>6771</v>
      </c>
      <c r="I3" s="133" t="s">
        <v>6772</v>
      </c>
      <c r="J3" s="243"/>
      <c r="K3" s="177" t="s">
        <v>59</v>
      </c>
      <c r="L3" s="189"/>
      <c r="M3" s="98" t="s">
        <v>6773</v>
      </c>
      <c r="N3" s="98" t="s">
        <v>2228</v>
      </c>
      <c r="O3" s="208" t="s">
        <v>176</v>
      </c>
    </row>
    <row r="4" spans="1:15">
      <c r="A4" s="133" t="s">
        <v>5</v>
      </c>
      <c r="B4" s="133" t="s">
        <v>6774</v>
      </c>
      <c r="C4" s="133" t="s">
        <v>6775</v>
      </c>
      <c r="D4" s="158">
        <v>177192</v>
      </c>
      <c r="E4" s="133" t="s">
        <v>171</v>
      </c>
      <c r="F4" s="133" t="s">
        <v>6776</v>
      </c>
      <c r="G4" s="133" t="s">
        <v>6777</v>
      </c>
      <c r="H4" s="133" t="s">
        <v>6778</v>
      </c>
      <c r="I4" s="133" t="s">
        <v>6779</v>
      </c>
      <c r="J4" s="243"/>
      <c r="K4" s="177" t="s">
        <v>59</v>
      </c>
      <c r="L4" s="189"/>
      <c r="M4" s="98" t="s">
        <v>6780</v>
      </c>
      <c r="N4" s="98" t="s">
        <v>2228</v>
      </c>
      <c r="O4" s="208" t="s">
        <v>176</v>
      </c>
    </row>
    <row r="5" spans="1:15">
      <c r="A5" s="133" t="s">
        <v>5</v>
      </c>
      <c r="B5" s="133" t="s">
        <v>6774</v>
      </c>
      <c r="C5" s="133" t="s">
        <v>6781</v>
      </c>
      <c r="D5" s="158">
        <v>27144</v>
      </c>
      <c r="E5" s="133" t="s">
        <v>171</v>
      </c>
      <c r="F5" s="133" t="s">
        <v>6782</v>
      </c>
      <c r="G5" s="133" t="s">
        <v>6783</v>
      </c>
      <c r="H5" s="133" t="s">
        <v>6784</v>
      </c>
      <c r="I5" s="133" t="s">
        <v>4164</v>
      </c>
      <c r="J5" s="243"/>
      <c r="K5" s="177" t="s">
        <v>59</v>
      </c>
      <c r="L5" s="189"/>
      <c r="M5" s="98" t="s">
        <v>6785</v>
      </c>
      <c r="N5" s="98" t="s">
        <v>2228</v>
      </c>
      <c r="O5" s="208" t="s">
        <v>176</v>
      </c>
    </row>
    <row r="6" spans="1:15">
      <c r="A6" s="133" t="s">
        <v>5</v>
      </c>
      <c r="B6" s="133" t="s">
        <v>6786</v>
      </c>
      <c r="C6" s="133" t="s">
        <v>6787</v>
      </c>
      <c r="D6" s="158">
        <v>16609</v>
      </c>
      <c r="E6" s="133" t="s">
        <v>171</v>
      </c>
      <c r="F6" s="133" t="s">
        <v>6788</v>
      </c>
      <c r="G6" s="133" t="s">
        <v>6789</v>
      </c>
      <c r="H6" s="133" t="s">
        <v>6790</v>
      </c>
      <c r="I6" s="133" t="s">
        <v>4171</v>
      </c>
      <c r="J6" s="243"/>
      <c r="K6" s="177" t="s">
        <v>59</v>
      </c>
      <c r="L6" s="189"/>
      <c r="M6" s="98" t="s">
        <v>6791</v>
      </c>
      <c r="N6" s="98" t="s">
        <v>2228</v>
      </c>
      <c r="O6" s="208" t="s">
        <v>176</v>
      </c>
    </row>
    <row r="7" spans="1:15">
      <c r="A7" s="133" t="s">
        <v>5</v>
      </c>
      <c r="B7" s="133" t="s">
        <v>6786</v>
      </c>
      <c r="C7" s="133" t="s">
        <v>6792</v>
      </c>
      <c r="D7" s="158">
        <v>11039</v>
      </c>
      <c r="E7" s="133" t="s">
        <v>171</v>
      </c>
      <c r="F7" s="133" t="s">
        <v>6793</v>
      </c>
      <c r="G7" s="133" t="s">
        <v>6794</v>
      </c>
      <c r="H7" s="133" t="s">
        <v>6795</v>
      </c>
      <c r="I7" s="133" t="s">
        <v>6796</v>
      </c>
      <c r="J7" s="243"/>
      <c r="K7" s="177" t="s">
        <v>59</v>
      </c>
      <c r="L7" s="189"/>
      <c r="M7" s="98" t="s">
        <v>6797</v>
      </c>
      <c r="N7" s="98" t="s">
        <v>2228</v>
      </c>
      <c r="O7" s="208" t="s">
        <v>176</v>
      </c>
    </row>
    <row r="8" spans="1:15">
      <c r="A8" s="133" t="s">
        <v>5</v>
      </c>
      <c r="B8" s="133" t="s">
        <v>6774</v>
      </c>
      <c r="C8" s="133" t="s">
        <v>6798</v>
      </c>
      <c r="D8" s="158">
        <v>4966</v>
      </c>
      <c r="E8" s="133" t="s">
        <v>171</v>
      </c>
      <c r="F8" s="133" t="s">
        <v>6799</v>
      </c>
      <c r="G8" s="133" t="s">
        <v>6800</v>
      </c>
      <c r="H8" s="133" t="s">
        <v>6801</v>
      </c>
      <c r="I8" s="133" t="s">
        <v>6802</v>
      </c>
      <c r="J8" s="243"/>
      <c r="K8" s="177" t="s">
        <v>59</v>
      </c>
      <c r="L8" s="189"/>
      <c r="M8" s="98" t="s">
        <v>6803</v>
      </c>
      <c r="N8" s="98" t="s">
        <v>2228</v>
      </c>
      <c r="O8" s="208" t="s">
        <v>176</v>
      </c>
    </row>
    <row r="9" spans="1:15">
      <c r="A9" s="133" t="s">
        <v>5</v>
      </c>
      <c r="B9" s="133" t="s">
        <v>6774</v>
      </c>
      <c r="C9" s="133" t="s">
        <v>6804</v>
      </c>
      <c r="D9" s="158">
        <v>3707</v>
      </c>
      <c r="E9" s="133" t="s">
        <v>171</v>
      </c>
      <c r="F9" s="133" t="s">
        <v>6805</v>
      </c>
      <c r="G9" s="133" t="s">
        <v>6806</v>
      </c>
      <c r="H9" s="133" t="s">
        <v>4104</v>
      </c>
      <c r="I9" s="133" t="s">
        <v>4103</v>
      </c>
      <c r="J9" s="243"/>
      <c r="K9" s="177" t="s">
        <v>59</v>
      </c>
      <c r="L9" s="189"/>
      <c r="M9" s="98" t="s">
        <v>6807</v>
      </c>
      <c r="N9" s="98" t="s">
        <v>2228</v>
      </c>
      <c r="O9" s="208" t="s">
        <v>176</v>
      </c>
    </row>
    <row r="10" spans="1:15">
      <c r="K10" s="217"/>
      <c r="L10" s="189"/>
    </row>
    <row r="11" spans="1:15">
      <c r="K11" s="217"/>
      <c r="L11" s="189"/>
    </row>
    <row r="12" spans="1:15">
      <c r="K12" s="217"/>
      <c r="L12" s="189"/>
    </row>
    <row r="13" spans="1:15">
      <c r="K13" s="217"/>
      <c r="L13" s="189"/>
    </row>
    <row r="14" spans="1:15">
      <c r="K14" s="217"/>
      <c r="L14" s="189"/>
    </row>
    <row r="15" spans="1:15">
      <c r="K15" s="217"/>
      <c r="L15" s="189"/>
    </row>
    <row r="16" spans="1:15">
      <c r="K16" s="217"/>
      <c r="L16" s="189"/>
    </row>
    <row r="17" spans="11:12">
      <c r="K17" s="217"/>
      <c r="L17" s="189"/>
    </row>
    <row r="18" spans="11:12">
      <c r="K18" s="217"/>
      <c r="L18" s="189"/>
    </row>
    <row r="19" spans="11:12">
      <c r="K19" s="217"/>
      <c r="L19" s="189"/>
    </row>
    <row r="20" spans="11:12">
      <c r="K20" s="217"/>
      <c r="L20" s="189"/>
    </row>
    <row r="21" spans="11:12" ht="15.75" customHeight="1">
      <c r="K21" s="217"/>
      <c r="L21" s="189"/>
    </row>
    <row r="22" spans="11:12" ht="15.75" customHeight="1">
      <c r="K22" s="217"/>
      <c r="L22" s="189"/>
    </row>
    <row r="23" spans="11:12" ht="15.75" customHeight="1">
      <c r="K23" s="217"/>
      <c r="L23" s="189"/>
    </row>
    <row r="24" spans="11:12" ht="15.75" customHeight="1">
      <c r="K24" s="217"/>
      <c r="L24" s="189"/>
    </row>
    <row r="25" spans="11:12" ht="15.75" customHeight="1">
      <c r="K25" s="217"/>
      <c r="L25" s="189"/>
    </row>
    <row r="26" spans="11:12" ht="15.75" customHeight="1">
      <c r="K26" s="217"/>
      <c r="L26" s="189"/>
    </row>
    <row r="27" spans="11:12" ht="15.75" customHeight="1">
      <c r="K27" s="217"/>
      <c r="L27" s="189"/>
    </row>
    <row r="28" spans="11:12" ht="15.75" customHeight="1">
      <c r="K28" s="217"/>
      <c r="L28" s="189"/>
    </row>
    <row r="29" spans="11:12" ht="15.75" customHeight="1">
      <c r="K29" s="217"/>
      <c r="L29" s="189"/>
    </row>
    <row r="30" spans="11:12" ht="15.75" customHeight="1">
      <c r="K30" s="217"/>
      <c r="L30" s="189"/>
    </row>
    <row r="31" spans="11:12" ht="15.75" customHeight="1">
      <c r="K31" s="217"/>
      <c r="L31" s="189"/>
    </row>
    <row r="32" spans="11:12" ht="15.75" customHeight="1">
      <c r="K32" s="217"/>
      <c r="L32" s="189"/>
    </row>
    <row r="33" spans="11:12" ht="15.75" customHeight="1">
      <c r="K33" s="217"/>
      <c r="L33" s="189"/>
    </row>
    <row r="34" spans="11:12" ht="15.75" customHeight="1">
      <c r="K34" s="217"/>
      <c r="L34" s="189"/>
    </row>
    <row r="35" spans="11:12" ht="15.75" customHeight="1">
      <c r="K35" s="217"/>
      <c r="L35" s="189"/>
    </row>
    <row r="36" spans="11:12" ht="15.75" customHeight="1">
      <c r="K36" s="217"/>
      <c r="L36" s="189"/>
    </row>
    <row r="37" spans="11:12" ht="15.75" customHeight="1">
      <c r="K37" s="217"/>
      <c r="L37" s="189"/>
    </row>
    <row r="38" spans="11:12" ht="15.75" customHeight="1">
      <c r="K38" s="217"/>
      <c r="L38" s="189"/>
    </row>
    <row r="39" spans="11:12" ht="15.75" customHeight="1">
      <c r="K39" s="217"/>
      <c r="L39" s="189"/>
    </row>
    <row r="40" spans="11:12" ht="15.75" customHeight="1">
      <c r="K40" s="217"/>
      <c r="L40" s="189"/>
    </row>
    <row r="41" spans="11:12" ht="15.75" customHeight="1">
      <c r="K41" s="217"/>
      <c r="L41" s="189"/>
    </row>
    <row r="42" spans="11:12" ht="15.75" customHeight="1">
      <c r="K42" s="217"/>
      <c r="L42" s="189"/>
    </row>
    <row r="43" spans="11:12" ht="15.75" customHeight="1">
      <c r="K43" s="217"/>
      <c r="L43" s="189"/>
    </row>
    <row r="44" spans="11:12" ht="15.75" customHeight="1">
      <c r="K44" s="217"/>
      <c r="L44" s="189"/>
    </row>
    <row r="45" spans="11:12" ht="15.75" customHeight="1">
      <c r="K45" s="217"/>
      <c r="L45" s="189"/>
    </row>
    <row r="46" spans="11:12" ht="15.75" customHeight="1">
      <c r="K46" s="217"/>
      <c r="L46" s="189"/>
    </row>
    <row r="47" spans="11:12" ht="15.75" customHeight="1">
      <c r="K47" s="217"/>
      <c r="L47" s="189"/>
    </row>
    <row r="48" spans="11:12" ht="15.75" customHeight="1">
      <c r="K48" s="217"/>
      <c r="L48" s="189"/>
    </row>
    <row r="49" spans="11:12" ht="15.75" customHeight="1">
      <c r="K49" s="217"/>
      <c r="L49" s="189"/>
    </row>
    <row r="50" spans="11:12" ht="15.75" customHeight="1">
      <c r="K50" s="217"/>
      <c r="L50" s="189"/>
    </row>
    <row r="51" spans="11:12" ht="15.75" customHeight="1">
      <c r="K51" s="217"/>
      <c r="L51" s="189"/>
    </row>
    <row r="52" spans="11:12" ht="15.75" customHeight="1">
      <c r="K52" s="217"/>
      <c r="L52" s="189"/>
    </row>
    <row r="53" spans="11:12" ht="15.75" customHeight="1">
      <c r="K53" s="217"/>
      <c r="L53" s="189"/>
    </row>
    <row r="54" spans="11:12" ht="15.75" customHeight="1">
      <c r="K54" s="217"/>
      <c r="L54" s="189"/>
    </row>
    <row r="55" spans="11:12" ht="15.75" customHeight="1">
      <c r="K55" s="217"/>
      <c r="L55" s="189"/>
    </row>
    <row r="56" spans="11:12" ht="15.75" customHeight="1">
      <c r="K56" s="217"/>
      <c r="L56" s="189"/>
    </row>
    <row r="57" spans="11:12" ht="15.75" customHeight="1">
      <c r="K57" s="217"/>
      <c r="L57" s="189"/>
    </row>
    <row r="58" spans="11:12" ht="15.75" customHeight="1">
      <c r="K58" s="217"/>
      <c r="L58" s="189"/>
    </row>
    <row r="59" spans="11:12" ht="15.75" customHeight="1">
      <c r="K59" s="217"/>
      <c r="L59" s="189"/>
    </row>
    <row r="60" spans="11:12" ht="15.75" customHeight="1">
      <c r="K60" s="217"/>
      <c r="L60" s="189"/>
    </row>
    <row r="61" spans="11:12" ht="15.75" customHeight="1">
      <c r="K61" s="217"/>
      <c r="L61" s="189"/>
    </row>
    <row r="62" spans="11:12" ht="15.75" customHeight="1">
      <c r="K62" s="217"/>
      <c r="L62" s="189"/>
    </row>
    <row r="63" spans="11:12" ht="15.75" customHeight="1">
      <c r="K63" s="217"/>
      <c r="L63" s="189"/>
    </row>
    <row r="64" spans="11:12" ht="15.75" customHeight="1">
      <c r="K64" s="217"/>
      <c r="L64" s="189"/>
    </row>
    <row r="65" spans="11:12" ht="15.75" customHeight="1">
      <c r="K65" s="217"/>
      <c r="L65" s="189"/>
    </row>
    <row r="66" spans="11:12" ht="15.75" customHeight="1">
      <c r="K66" s="217"/>
      <c r="L66" s="189"/>
    </row>
    <row r="67" spans="11:12" ht="15.75" customHeight="1">
      <c r="K67" s="217"/>
      <c r="L67" s="189"/>
    </row>
    <row r="68" spans="11:12" ht="15.75" customHeight="1">
      <c r="K68" s="217"/>
      <c r="L68" s="189"/>
    </row>
    <row r="69" spans="11:12" ht="15.75" customHeight="1">
      <c r="K69" s="217"/>
      <c r="L69" s="189"/>
    </row>
    <row r="70" spans="11:12" ht="15.75" customHeight="1">
      <c r="K70" s="217"/>
      <c r="L70" s="189"/>
    </row>
    <row r="71" spans="11:12" ht="15.75" customHeight="1">
      <c r="K71" s="217"/>
      <c r="L71" s="189"/>
    </row>
    <row r="72" spans="11:12" ht="15.75" customHeight="1">
      <c r="K72" s="217"/>
      <c r="L72" s="189"/>
    </row>
    <row r="73" spans="11:12" ht="15.75" customHeight="1">
      <c r="K73" s="217"/>
      <c r="L73" s="189"/>
    </row>
    <row r="74" spans="11:12" ht="15.75" customHeight="1">
      <c r="K74" s="217"/>
      <c r="L74" s="189"/>
    </row>
    <row r="75" spans="11:12" ht="15.75" customHeight="1">
      <c r="K75" s="217"/>
      <c r="L75" s="189"/>
    </row>
    <row r="76" spans="11:12" ht="15.75" customHeight="1">
      <c r="K76" s="217"/>
      <c r="L76" s="189"/>
    </row>
    <row r="77" spans="11:12" ht="15.75" customHeight="1">
      <c r="K77" s="217"/>
      <c r="L77" s="189"/>
    </row>
    <row r="78" spans="11:12" ht="15.75" customHeight="1">
      <c r="K78" s="217"/>
      <c r="L78" s="189"/>
    </row>
    <row r="79" spans="11:12" ht="15.75" customHeight="1">
      <c r="K79" s="217"/>
      <c r="L79" s="189"/>
    </row>
    <row r="80" spans="11:12" ht="15.75" customHeight="1">
      <c r="K80" s="217"/>
      <c r="L80" s="189"/>
    </row>
    <row r="81" spans="11:12" ht="15.75" customHeight="1">
      <c r="K81" s="217"/>
      <c r="L81" s="189"/>
    </row>
    <row r="82" spans="11:12" ht="15.75" customHeight="1">
      <c r="K82" s="217"/>
      <c r="L82" s="189"/>
    </row>
    <row r="83" spans="11:12" ht="15.75" customHeight="1">
      <c r="K83" s="217"/>
      <c r="L83" s="189"/>
    </row>
    <row r="84" spans="11:12" ht="15.75" customHeight="1">
      <c r="K84" s="217"/>
      <c r="L84" s="189"/>
    </row>
    <row r="85" spans="11:12" ht="15.75" customHeight="1">
      <c r="K85" s="217"/>
      <c r="L85" s="189"/>
    </row>
    <row r="86" spans="11:12" ht="15.75" customHeight="1">
      <c r="K86" s="217"/>
      <c r="L86" s="189"/>
    </row>
    <row r="87" spans="11:12" ht="15.75" customHeight="1">
      <c r="K87" s="217"/>
      <c r="L87" s="189"/>
    </row>
    <row r="88" spans="11:12" ht="15.75" customHeight="1">
      <c r="K88" s="217"/>
      <c r="L88" s="189"/>
    </row>
    <row r="89" spans="11:12" ht="15.75" customHeight="1">
      <c r="K89" s="217"/>
      <c r="L89" s="189"/>
    </row>
    <row r="90" spans="11:12" ht="15.75" customHeight="1">
      <c r="K90" s="217"/>
      <c r="L90" s="189"/>
    </row>
    <row r="91" spans="11:12" ht="15.75" customHeight="1">
      <c r="K91" s="217"/>
      <c r="L91" s="189"/>
    </row>
    <row r="92" spans="11:12" ht="15.75" customHeight="1">
      <c r="K92" s="217"/>
      <c r="L92" s="189"/>
    </row>
    <row r="93" spans="11:12" ht="15.75" customHeight="1">
      <c r="K93" s="217"/>
      <c r="L93" s="189"/>
    </row>
    <row r="94" spans="11:12" ht="15.75" customHeight="1">
      <c r="K94" s="217"/>
      <c r="L94" s="189"/>
    </row>
    <row r="95" spans="11:12" ht="15.75" customHeight="1">
      <c r="K95" s="217"/>
      <c r="L95" s="189"/>
    </row>
    <row r="96" spans="11:12" ht="15.75" customHeight="1">
      <c r="K96" s="217"/>
      <c r="L96" s="189"/>
    </row>
    <row r="97" spans="11:12" ht="15.75" customHeight="1">
      <c r="K97" s="217"/>
      <c r="L97" s="189"/>
    </row>
    <row r="98" spans="11:12" ht="15.75" customHeight="1">
      <c r="K98" s="217"/>
      <c r="L98" s="189"/>
    </row>
    <row r="99" spans="11:12" ht="15.75" customHeight="1">
      <c r="K99" s="217"/>
      <c r="L99" s="189"/>
    </row>
    <row r="100" spans="11:12" ht="15.75" customHeight="1">
      <c r="K100" s="217"/>
      <c r="L100" s="189"/>
    </row>
    <row r="101" spans="11:12" ht="15.75" customHeight="1">
      <c r="K101" s="217"/>
      <c r="L101" s="189"/>
    </row>
    <row r="102" spans="11:12" ht="15.75" customHeight="1">
      <c r="K102" s="217"/>
      <c r="L102" s="189"/>
    </row>
    <row r="103" spans="11:12" ht="15.75" customHeight="1">
      <c r="K103" s="217"/>
      <c r="L103" s="189"/>
    </row>
    <row r="104" spans="11:12" ht="15.75" customHeight="1">
      <c r="K104" s="217"/>
      <c r="L104" s="189"/>
    </row>
    <row r="105" spans="11:12" ht="15.75" customHeight="1">
      <c r="K105" s="217"/>
      <c r="L105" s="189"/>
    </row>
    <row r="106" spans="11:12" ht="15.75" customHeight="1">
      <c r="K106" s="217"/>
      <c r="L106" s="189"/>
    </row>
    <row r="107" spans="11:12" ht="15.75" customHeight="1">
      <c r="K107" s="217"/>
      <c r="L107" s="189"/>
    </row>
    <row r="108" spans="11:12" ht="15.75" customHeight="1">
      <c r="K108" s="217"/>
      <c r="L108" s="189"/>
    </row>
    <row r="109" spans="11:12" ht="15.75" customHeight="1">
      <c r="K109" s="217"/>
      <c r="L109" s="189"/>
    </row>
    <row r="110" spans="11:12" ht="15.75" customHeight="1">
      <c r="K110" s="189"/>
      <c r="L110" s="189"/>
    </row>
    <row r="111" spans="11:12" ht="15.75" customHeight="1">
      <c r="K111" s="189"/>
      <c r="L111" s="189"/>
    </row>
    <row r="112" spans="11:12" ht="15.75" customHeight="1">
      <c r="K112" s="189"/>
      <c r="L112" s="189"/>
    </row>
    <row r="113" spans="11:12" ht="15.75" customHeight="1">
      <c r="K113" s="189"/>
      <c r="L113" s="189"/>
    </row>
    <row r="114" spans="11:12" ht="15.75" customHeight="1">
      <c r="K114" s="189"/>
      <c r="L114" s="189"/>
    </row>
    <row r="115" spans="11:12" ht="15.75" customHeight="1">
      <c r="K115" s="189"/>
      <c r="L115" s="189"/>
    </row>
    <row r="116" spans="11:12" ht="15.75" customHeight="1">
      <c r="K116" s="189"/>
      <c r="L116" s="189"/>
    </row>
    <row r="117" spans="11:12" ht="15.75" customHeight="1">
      <c r="K117" s="189"/>
      <c r="L117" s="189"/>
    </row>
    <row r="118" spans="11:12" ht="15.75" customHeight="1">
      <c r="K118" s="189"/>
      <c r="L118" s="189"/>
    </row>
    <row r="119" spans="11:12" ht="15.75" customHeight="1">
      <c r="K119" s="189"/>
      <c r="L119" s="189"/>
    </row>
    <row r="120" spans="11:12" ht="15.75" customHeight="1">
      <c r="K120" s="189"/>
      <c r="L120" s="189"/>
    </row>
    <row r="121" spans="11:12" ht="15.75" customHeight="1">
      <c r="K121" s="189"/>
      <c r="L121" s="189"/>
    </row>
    <row r="122" spans="11:12" ht="15.75" customHeight="1">
      <c r="K122" s="189"/>
      <c r="L122" s="189"/>
    </row>
    <row r="123" spans="11:12" ht="15.75" customHeight="1">
      <c r="K123" s="189"/>
      <c r="L123" s="189"/>
    </row>
    <row r="124" spans="11:12" ht="15.75" customHeight="1">
      <c r="K124" s="189"/>
      <c r="L124" s="189"/>
    </row>
    <row r="125" spans="11:12" ht="15.75" customHeight="1">
      <c r="K125" s="189"/>
      <c r="L125" s="189"/>
    </row>
    <row r="126" spans="11:12" ht="15.75" customHeight="1">
      <c r="K126" s="189"/>
      <c r="L126" s="189"/>
    </row>
    <row r="127" spans="11:12" ht="15.75" customHeight="1">
      <c r="K127" s="189"/>
      <c r="L127" s="189"/>
    </row>
    <row r="128" spans="11:12" ht="15.75" customHeight="1">
      <c r="K128" s="189"/>
      <c r="L128" s="189"/>
    </row>
    <row r="129" spans="11:12" ht="15.75" customHeight="1">
      <c r="K129" s="189"/>
      <c r="L129" s="189"/>
    </row>
    <row r="130" spans="11:12" ht="15.75" customHeight="1">
      <c r="K130" s="189"/>
      <c r="L130" s="189"/>
    </row>
    <row r="131" spans="11:12" ht="15.75" customHeight="1">
      <c r="K131" s="189"/>
      <c r="L131" s="189"/>
    </row>
    <row r="132" spans="11:12" ht="15.75" customHeight="1">
      <c r="K132" s="189"/>
      <c r="L132" s="189"/>
    </row>
    <row r="133" spans="11:12" ht="15.75" customHeight="1">
      <c r="K133" s="189"/>
      <c r="L133" s="189"/>
    </row>
    <row r="134" spans="11:12" ht="15.75" customHeight="1">
      <c r="K134" s="189"/>
      <c r="L134" s="189"/>
    </row>
    <row r="135" spans="11:12" ht="15.75" customHeight="1">
      <c r="K135" s="189"/>
      <c r="L135" s="189"/>
    </row>
    <row r="136" spans="11:12" ht="15.75" customHeight="1">
      <c r="K136" s="189"/>
      <c r="L136" s="189"/>
    </row>
    <row r="137" spans="11:12" ht="15.75" customHeight="1">
      <c r="K137" s="189"/>
      <c r="L137" s="189"/>
    </row>
    <row r="138" spans="11:12" ht="15.75" customHeight="1">
      <c r="K138" s="189"/>
      <c r="L138" s="189"/>
    </row>
    <row r="139" spans="11:12" ht="15.75" customHeight="1">
      <c r="K139" s="189"/>
      <c r="L139" s="189"/>
    </row>
    <row r="140" spans="11:12" ht="15.75" customHeight="1">
      <c r="K140" s="189"/>
      <c r="L140" s="189"/>
    </row>
    <row r="141" spans="11:12" ht="15.75" customHeight="1">
      <c r="K141" s="189"/>
      <c r="L141" s="189"/>
    </row>
    <row r="142" spans="11:12" ht="15.75" customHeight="1">
      <c r="K142" s="189"/>
      <c r="L142" s="189"/>
    </row>
    <row r="143" spans="11:12" ht="15.75" customHeight="1">
      <c r="K143" s="189"/>
      <c r="L143" s="189"/>
    </row>
    <row r="144" spans="11:12" ht="15.75" customHeight="1">
      <c r="K144" s="189"/>
      <c r="L144" s="189"/>
    </row>
    <row r="145" spans="11:12" ht="15.75" customHeight="1">
      <c r="K145" s="189"/>
      <c r="L145" s="189"/>
    </row>
    <row r="146" spans="11:12" ht="15.75" customHeight="1">
      <c r="K146" s="189"/>
      <c r="L146" s="189"/>
    </row>
    <row r="147" spans="11:12" ht="15.75" customHeight="1">
      <c r="K147" s="189"/>
      <c r="L147" s="189"/>
    </row>
    <row r="148" spans="11:12" ht="15.75" customHeight="1">
      <c r="K148" s="189"/>
      <c r="L148" s="189"/>
    </row>
    <row r="149" spans="11:12" ht="15.75" customHeight="1">
      <c r="K149" s="189"/>
      <c r="L149" s="189"/>
    </row>
    <row r="150" spans="11:12" ht="15.75" customHeight="1">
      <c r="K150" s="189"/>
      <c r="L150" s="189"/>
    </row>
    <row r="151" spans="11:12" ht="15.75" customHeight="1">
      <c r="K151" s="189"/>
      <c r="L151" s="189"/>
    </row>
    <row r="152" spans="11:12" ht="15.75" customHeight="1">
      <c r="K152" s="189"/>
      <c r="L152" s="189"/>
    </row>
    <row r="153" spans="11:12" ht="15.75" customHeight="1">
      <c r="K153" s="189"/>
      <c r="L153" s="189"/>
    </row>
    <row r="154" spans="11:12" ht="15.75" customHeight="1">
      <c r="K154" s="189"/>
      <c r="L154" s="189"/>
    </row>
    <row r="155" spans="11:12" ht="15.75" customHeight="1">
      <c r="K155" s="189"/>
      <c r="L155" s="189"/>
    </row>
    <row r="156" spans="11:12" ht="15.75" customHeight="1">
      <c r="K156" s="189"/>
      <c r="L156" s="189"/>
    </row>
    <row r="157" spans="11:12" ht="15.75" customHeight="1">
      <c r="K157" s="189"/>
      <c r="L157" s="189"/>
    </row>
    <row r="158" spans="11:12" ht="15.75" customHeight="1">
      <c r="K158" s="189"/>
      <c r="L158" s="189"/>
    </row>
    <row r="159" spans="11:12" ht="15.75" customHeight="1">
      <c r="K159" s="189"/>
      <c r="L159" s="189"/>
    </row>
    <row r="160" spans="11:12" ht="15.75" customHeight="1">
      <c r="K160" s="189"/>
      <c r="L160" s="189"/>
    </row>
    <row r="161" spans="11:12" ht="15.75" customHeight="1">
      <c r="K161" s="189"/>
      <c r="L161" s="189"/>
    </row>
    <row r="162" spans="11:12" ht="15.75" customHeight="1">
      <c r="K162" s="189"/>
      <c r="L162" s="189"/>
    </row>
    <row r="163" spans="11:12" ht="15.75" customHeight="1">
      <c r="K163" s="189"/>
      <c r="L163" s="189"/>
    </row>
    <row r="164" spans="11:12" ht="15.75" customHeight="1">
      <c r="K164" s="189"/>
      <c r="L164" s="189"/>
    </row>
    <row r="165" spans="11:12" ht="15.75" customHeight="1">
      <c r="K165" s="189"/>
      <c r="L165" s="189"/>
    </row>
    <row r="166" spans="11:12" ht="15.75" customHeight="1">
      <c r="K166" s="189"/>
      <c r="L166" s="189"/>
    </row>
    <row r="167" spans="11:12" ht="15.75" customHeight="1">
      <c r="K167" s="189"/>
      <c r="L167" s="189"/>
    </row>
    <row r="168" spans="11:12" ht="15.75" customHeight="1">
      <c r="K168" s="189"/>
      <c r="L168" s="189"/>
    </row>
    <row r="169" spans="11:12" ht="15.75" customHeight="1">
      <c r="K169" s="189"/>
      <c r="L169" s="189"/>
    </row>
    <row r="170" spans="11:12" ht="15.75" customHeight="1">
      <c r="K170" s="189"/>
      <c r="L170" s="189"/>
    </row>
    <row r="171" spans="11:12" ht="15.75" customHeight="1">
      <c r="K171" s="189"/>
      <c r="L171" s="189"/>
    </row>
    <row r="172" spans="11:12" ht="15.75" customHeight="1">
      <c r="K172" s="189"/>
      <c r="L172" s="189"/>
    </row>
    <row r="173" spans="11:12" ht="15.75" customHeight="1">
      <c r="K173" s="189"/>
      <c r="L173" s="189"/>
    </row>
    <row r="174" spans="11:12" ht="15.75" customHeight="1">
      <c r="K174" s="189"/>
      <c r="L174" s="189"/>
    </row>
    <row r="175" spans="11:12" ht="15.75" customHeight="1">
      <c r="K175" s="189"/>
      <c r="L175" s="189"/>
    </row>
    <row r="176" spans="11:12" ht="15.75" customHeight="1">
      <c r="K176" s="189"/>
      <c r="L176" s="189"/>
    </row>
    <row r="177" spans="11:12" ht="15.75" customHeight="1">
      <c r="K177" s="189"/>
      <c r="L177" s="189"/>
    </row>
    <row r="178" spans="11:12" ht="15.75" customHeight="1">
      <c r="K178" s="189"/>
      <c r="L178" s="189"/>
    </row>
    <row r="179" spans="11:12" ht="15.75" customHeight="1">
      <c r="K179" s="189"/>
      <c r="L179" s="189"/>
    </row>
    <row r="180" spans="11:12" ht="15.75" customHeight="1">
      <c r="K180" s="189"/>
      <c r="L180" s="189"/>
    </row>
    <row r="181" spans="11:12" ht="15.75" customHeight="1">
      <c r="K181" s="189"/>
      <c r="L181" s="189"/>
    </row>
    <row r="182" spans="11:12" ht="15.75" customHeight="1">
      <c r="K182" s="189"/>
      <c r="L182" s="189"/>
    </row>
    <row r="183" spans="11:12" ht="15.75" customHeight="1">
      <c r="K183" s="189"/>
      <c r="L183" s="189"/>
    </row>
    <row r="184" spans="11:12" ht="15.75" customHeight="1">
      <c r="K184" s="189"/>
      <c r="L184" s="189"/>
    </row>
    <row r="185" spans="11:12" ht="15.75" customHeight="1">
      <c r="K185" s="189"/>
      <c r="L185" s="189"/>
    </row>
    <row r="186" spans="11:12" ht="15.75" customHeight="1">
      <c r="K186" s="189"/>
      <c r="L186" s="189"/>
    </row>
    <row r="187" spans="11:12" ht="15.75" customHeight="1">
      <c r="K187" s="189"/>
      <c r="L187" s="189"/>
    </row>
    <row r="188" spans="11:12" ht="15.75" customHeight="1">
      <c r="K188" s="189"/>
      <c r="L188" s="189"/>
    </row>
    <row r="189" spans="11:12" ht="15.75" customHeight="1">
      <c r="K189" s="189"/>
      <c r="L189" s="189"/>
    </row>
    <row r="190" spans="11:12" ht="15.75" customHeight="1">
      <c r="K190" s="189"/>
      <c r="L190" s="189"/>
    </row>
    <row r="191" spans="11:12" ht="15.75" customHeight="1">
      <c r="K191" s="189"/>
      <c r="L191" s="189"/>
    </row>
    <row r="192" spans="11:12" ht="15.75" customHeight="1">
      <c r="K192" s="189"/>
      <c r="L192" s="189"/>
    </row>
    <row r="193" spans="11:12" ht="15.75" customHeight="1">
      <c r="K193" s="189"/>
      <c r="L193" s="189"/>
    </row>
    <row r="194" spans="11:12" ht="15.75" customHeight="1">
      <c r="K194" s="189"/>
      <c r="L194" s="189"/>
    </row>
    <row r="195" spans="11:12" ht="15.75" customHeight="1">
      <c r="K195" s="189"/>
      <c r="L195" s="189"/>
    </row>
    <row r="196" spans="11:12" ht="15.75" customHeight="1">
      <c r="K196" s="189"/>
      <c r="L196" s="189"/>
    </row>
    <row r="197" spans="11:12" ht="15.75" customHeight="1">
      <c r="K197" s="189"/>
      <c r="L197" s="189"/>
    </row>
    <row r="198" spans="11:12" ht="15.75" customHeight="1">
      <c r="K198" s="189"/>
      <c r="L198" s="189"/>
    </row>
    <row r="199" spans="11:12" ht="15.75" customHeight="1">
      <c r="K199" s="189"/>
      <c r="L199" s="189"/>
    </row>
    <row r="200" spans="11:12" ht="15.75" customHeight="1">
      <c r="K200" s="189"/>
      <c r="L200" s="189"/>
    </row>
    <row r="201" spans="11:12" ht="15.75" customHeight="1">
      <c r="K201" s="189"/>
      <c r="L201" s="189"/>
    </row>
    <row r="202" spans="11:12" ht="15.75" customHeight="1">
      <c r="K202" s="189"/>
      <c r="L202" s="189"/>
    </row>
    <row r="203" spans="11:12" ht="15.75" customHeight="1">
      <c r="K203" s="189"/>
      <c r="L203" s="189"/>
    </row>
    <row r="204" spans="11:12" ht="15.75" customHeight="1">
      <c r="K204" s="189"/>
      <c r="L204" s="189"/>
    </row>
    <row r="205" spans="11:12" ht="15.75" customHeight="1">
      <c r="K205" s="189"/>
      <c r="L205" s="189"/>
    </row>
    <row r="206" spans="11:12" ht="15.75" customHeight="1">
      <c r="K206" s="189"/>
      <c r="L206" s="189"/>
    </row>
    <row r="207" spans="11:12" ht="15.75" customHeight="1">
      <c r="K207" s="189"/>
      <c r="L207" s="189"/>
    </row>
    <row r="208" spans="11:12" ht="15.75" customHeight="1">
      <c r="K208" s="189"/>
      <c r="L208" s="189"/>
    </row>
    <row r="209" spans="11:12" ht="15.75" customHeight="1">
      <c r="K209" s="189"/>
      <c r="L209" s="189"/>
    </row>
    <row r="210" spans="11:12" ht="15.75" customHeight="1">
      <c r="K210" s="189"/>
      <c r="L210" s="189"/>
    </row>
    <row r="211" spans="11:12" ht="15.75" customHeight="1">
      <c r="K211" s="189"/>
      <c r="L211" s="189"/>
    </row>
    <row r="212" spans="11:12" ht="15.75" customHeight="1">
      <c r="K212" s="189"/>
      <c r="L212" s="189"/>
    </row>
    <row r="213" spans="11:12" ht="15.75" customHeight="1">
      <c r="K213" s="189"/>
      <c r="L213" s="189"/>
    </row>
    <row r="214" spans="11:12" ht="15.75" customHeight="1">
      <c r="K214" s="189"/>
      <c r="L214" s="189"/>
    </row>
    <row r="215" spans="11:12" ht="15.75" customHeight="1">
      <c r="K215" s="189"/>
      <c r="L215" s="189"/>
    </row>
    <row r="216" spans="11:12" ht="15.75" customHeight="1">
      <c r="K216" s="189"/>
      <c r="L216" s="189"/>
    </row>
    <row r="217" spans="11:12" ht="15.75" customHeight="1">
      <c r="K217" s="189"/>
      <c r="L217" s="189"/>
    </row>
    <row r="218" spans="11:12" ht="15.75" customHeight="1">
      <c r="K218" s="189"/>
      <c r="L218" s="189"/>
    </row>
    <row r="219" spans="11:12" ht="15.75" customHeight="1">
      <c r="K219" s="189"/>
      <c r="L219" s="189"/>
    </row>
    <row r="220" spans="11:12" ht="15.75" customHeight="1">
      <c r="K220" s="189"/>
      <c r="L220" s="189"/>
    </row>
    <row r="221" spans="11:12" ht="15.75" customHeight="1">
      <c r="K221" s="189"/>
      <c r="L221" s="189"/>
    </row>
    <row r="222" spans="11:12" ht="15.75" customHeight="1">
      <c r="K222" s="189"/>
      <c r="L222" s="189"/>
    </row>
    <row r="223" spans="11:12" ht="15.75" customHeight="1">
      <c r="K223" s="189"/>
      <c r="L223" s="189"/>
    </row>
    <row r="224" spans="11:12" ht="15.75" customHeight="1">
      <c r="K224" s="189"/>
      <c r="L224" s="189"/>
    </row>
    <row r="225" spans="11:12" ht="15.75" customHeight="1">
      <c r="K225" s="189"/>
      <c r="L225" s="189"/>
    </row>
    <row r="226" spans="11:12" ht="15.75" customHeight="1">
      <c r="K226" s="189"/>
      <c r="L226" s="189"/>
    </row>
    <row r="227" spans="11:12" ht="15.75" customHeight="1">
      <c r="K227" s="189"/>
      <c r="L227" s="189"/>
    </row>
    <row r="228" spans="11:12" ht="15.75" customHeight="1">
      <c r="K228" s="189"/>
      <c r="L228" s="189"/>
    </row>
    <row r="229" spans="11:12" ht="15.75" customHeight="1">
      <c r="K229" s="189"/>
      <c r="L229" s="189"/>
    </row>
    <row r="230" spans="11:12" ht="15.75" customHeight="1">
      <c r="K230" s="189"/>
      <c r="L230" s="189"/>
    </row>
    <row r="231" spans="11:12" ht="15.75" customHeight="1">
      <c r="K231" s="189"/>
      <c r="L231" s="189"/>
    </row>
    <row r="232" spans="11:12" ht="15.75" customHeight="1">
      <c r="K232" s="189"/>
      <c r="L232" s="189"/>
    </row>
    <row r="233" spans="11:12" ht="15.75" customHeight="1">
      <c r="K233" s="189"/>
      <c r="L233" s="189"/>
    </row>
    <row r="234" spans="11:12" ht="15.75" customHeight="1">
      <c r="K234" s="189"/>
      <c r="L234" s="189"/>
    </row>
    <row r="235" spans="11:12" ht="15.75" customHeight="1">
      <c r="K235" s="189"/>
      <c r="L235" s="189"/>
    </row>
    <row r="236" spans="11:12" ht="15.75" customHeight="1">
      <c r="K236" s="189"/>
      <c r="L236" s="189"/>
    </row>
    <row r="237" spans="11:12" ht="15.75" customHeight="1">
      <c r="K237" s="189"/>
      <c r="L237" s="189"/>
    </row>
    <row r="238" spans="11:12" ht="15.75" customHeight="1">
      <c r="K238" s="189"/>
      <c r="L238" s="189"/>
    </row>
    <row r="239" spans="11:12" ht="15.75" customHeight="1">
      <c r="K239" s="189"/>
      <c r="L239" s="189"/>
    </row>
    <row r="240" spans="11:12" ht="15.75" customHeight="1">
      <c r="K240" s="189"/>
      <c r="L240" s="189"/>
    </row>
    <row r="241" spans="11:12" ht="15.75" customHeight="1">
      <c r="K241" s="189"/>
      <c r="L241" s="189"/>
    </row>
    <row r="242" spans="11:12" ht="15.75" customHeight="1">
      <c r="K242" s="189"/>
      <c r="L242" s="189"/>
    </row>
    <row r="243" spans="11:12" ht="15.75" customHeight="1">
      <c r="K243" s="189"/>
      <c r="L243" s="189"/>
    </row>
    <row r="244" spans="11:12" ht="15.75" customHeight="1">
      <c r="K244" s="189"/>
      <c r="L244" s="189"/>
    </row>
    <row r="245" spans="11:12" ht="15.75" customHeight="1">
      <c r="K245" s="189"/>
      <c r="L245" s="189"/>
    </row>
    <row r="246" spans="11:12" ht="15.75" customHeight="1">
      <c r="K246" s="189"/>
      <c r="L246" s="189"/>
    </row>
    <row r="247" spans="11:12" ht="15.75" customHeight="1">
      <c r="K247" s="189"/>
      <c r="L247" s="189"/>
    </row>
    <row r="248" spans="11:12" ht="15.75" customHeight="1">
      <c r="K248" s="189"/>
      <c r="L248" s="189"/>
    </row>
    <row r="249" spans="11:12" ht="15.75" customHeight="1">
      <c r="K249" s="189"/>
      <c r="L249" s="189"/>
    </row>
    <row r="250" spans="11:12" ht="15.75" customHeight="1">
      <c r="K250" s="189"/>
      <c r="L250" s="189"/>
    </row>
    <row r="251" spans="11:12" ht="15.75" customHeight="1">
      <c r="K251" s="189"/>
      <c r="L251" s="189"/>
    </row>
    <row r="252" spans="11:12" ht="15.75" customHeight="1">
      <c r="K252" s="189"/>
      <c r="L252" s="189"/>
    </row>
    <row r="253" spans="11:12" ht="15.75" customHeight="1">
      <c r="K253" s="189"/>
      <c r="L253" s="189"/>
    </row>
    <row r="254" spans="11:12" ht="15.75" customHeight="1">
      <c r="K254" s="189"/>
      <c r="L254" s="189"/>
    </row>
    <row r="255" spans="11:12" ht="15.75" customHeight="1">
      <c r="K255" s="189"/>
      <c r="L255" s="189"/>
    </row>
    <row r="256" spans="11:12" ht="15.75" customHeight="1">
      <c r="K256" s="189"/>
      <c r="L256" s="189"/>
    </row>
    <row r="257" spans="11:12" ht="15.75" customHeight="1">
      <c r="K257" s="189"/>
      <c r="L257" s="189"/>
    </row>
    <row r="258" spans="11:12" ht="15.75" customHeight="1">
      <c r="K258" s="189"/>
      <c r="L258" s="189"/>
    </row>
    <row r="259" spans="11:12" ht="15.75" customHeight="1">
      <c r="K259" s="189"/>
      <c r="L259" s="189"/>
    </row>
    <row r="260" spans="11:12" ht="15.75" customHeight="1">
      <c r="K260" s="189"/>
      <c r="L260" s="189"/>
    </row>
    <row r="261" spans="11:12" ht="15.75" customHeight="1">
      <c r="K261" s="189"/>
      <c r="L261" s="189"/>
    </row>
    <row r="262" spans="11:12" ht="15.75" customHeight="1">
      <c r="K262" s="189"/>
      <c r="L262" s="189"/>
    </row>
    <row r="263" spans="11:12" ht="15.75" customHeight="1">
      <c r="K263" s="189"/>
      <c r="L263" s="189"/>
    </row>
    <row r="264" spans="11:12" ht="15.75" customHeight="1">
      <c r="K264" s="189"/>
      <c r="L264" s="189"/>
    </row>
    <row r="265" spans="11:12" ht="15.75" customHeight="1">
      <c r="K265" s="189"/>
      <c r="L265" s="189"/>
    </row>
    <row r="266" spans="11:12" ht="15.75" customHeight="1">
      <c r="K266" s="189"/>
      <c r="L266" s="189"/>
    </row>
    <row r="267" spans="11:12" ht="15.75" customHeight="1">
      <c r="K267" s="189"/>
      <c r="L267" s="189"/>
    </row>
    <row r="268" spans="11:12" ht="15.75" customHeight="1">
      <c r="K268" s="189"/>
      <c r="L268" s="189"/>
    </row>
    <row r="269" spans="11:12" ht="15.75" customHeight="1">
      <c r="K269" s="189"/>
      <c r="L269" s="189"/>
    </row>
    <row r="270" spans="11:12" ht="15.75" customHeight="1">
      <c r="K270" s="189"/>
      <c r="L270" s="189"/>
    </row>
    <row r="271" spans="11:12" ht="15.75" customHeight="1">
      <c r="K271" s="189"/>
      <c r="L271" s="189"/>
    </row>
    <row r="272" spans="11:12" ht="15.75" customHeight="1">
      <c r="K272" s="189"/>
      <c r="L272" s="189"/>
    </row>
    <row r="273" spans="11:12" ht="15.75" customHeight="1">
      <c r="K273" s="189"/>
      <c r="L273" s="189"/>
    </row>
    <row r="274" spans="11:12" ht="15.75" customHeight="1">
      <c r="K274" s="189"/>
      <c r="L274" s="189"/>
    </row>
    <row r="275" spans="11:12" ht="15.75" customHeight="1">
      <c r="K275" s="189"/>
      <c r="L275" s="189"/>
    </row>
    <row r="276" spans="11:12" ht="15.75" customHeight="1">
      <c r="K276" s="189"/>
      <c r="L276" s="189"/>
    </row>
    <row r="277" spans="11:12" ht="15.75" customHeight="1">
      <c r="K277" s="189"/>
      <c r="L277" s="189"/>
    </row>
    <row r="278" spans="11:12" ht="15.75" customHeight="1">
      <c r="K278" s="189"/>
      <c r="L278" s="189"/>
    </row>
    <row r="279" spans="11:12" ht="15.75" customHeight="1">
      <c r="K279" s="189"/>
      <c r="L279" s="189"/>
    </row>
    <row r="280" spans="11:12" ht="15.75" customHeight="1">
      <c r="K280" s="189"/>
      <c r="L280" s="189"/>
    </row>
    <row r="281" spans="11:12" ht="15.75" customHeight="1">
      <c r="K281" s="189"/>
      <c r="L281" s="189"/>
    </row>
    <row r="282" spans="11:12" ht="15.75" customHeight="1">
      <c r="K282" s="189"/>
      <c r="L282" s="189"/>
    </row>
    <row r="283" spans="11:12" ht="15.75" customHeight="1">
      <c r="K283" s="189"/>
      <c r="L283" s="189"/>
    </row>
    <row r="284" spans="11:12" ht="15.75" customHeight="1">
      <c r="K284" s="189"/>
      <c r="L284" s="189"/>
    </row>
    <row r="285" spans="11:12" ht="15.75" customHeight="1">
      <c r="K285" s="189"/>
      <c r="L285" s="189"/>
    </row>
    <row r="286" spans="11:12" ht="15.75" customHeight="1">
      <c r="K286" s="189"/>
      <c r="L286" s="189"/>
    </row>
    <row r="287" spans="11:12" ht="15.75" customHeight="1">
      <c r="K287" s="189"/>
      <c r="L287" s="189"/>
    </row>
    <row r="288" spans="11:12" ht="15.75" customHeight="1">
      <c r="K288" s="189"/>
      <c r="L288" s="189"/>
    </row>
    <row r="289" spans="11:12" ht="15.75" customHeight="1">
      <c r="K289" s="189"/>
      <c r="L289" s="189"/>
    </row>
    <row r="290" spans="11:12" ht="15.75" customHeight="1">
      <c r="K290" s="189"/>
      <c r="L290" s="189"/>
    </row>
    <row r="291" spans="11:12" ht="15.75" customHeight="1">
      <c r="K291" s="189"/>
      <c r="L291" s="189"/>
    </row>
    <row r="292" spans="11:12" ht="15.75" customHeight="1">
      <c r="K292" s="189"/>
      <c r="L292" s="189"/>
    </row>
    <row r="293" spans="11:12" ht="15.75" customHeight="1">
      <c r="K293" s="189"/>
      <c r="L293" s="189"/>
    </row>
    <row r="294" spans="11:12" ht="15.75" customHeight="1">
      <c r="K294" s="189"/>
      <c r="L294" s="189"/>
    </row>
    <row r="295" spans="11:12" ht="15.75" customHeight="1">
      <c r="K295" s="189"/>
      <c r="L295" s="189"/>
    </row>
    <row r="296" spans="11:12" ht="15.75" customHeight="1">
      <c r="K296" s="189"/>
      <c r="L296" s="189"/>
    </row>
    <row r="297" spans="11:12" ht="15.75" customHeight="1">
      <c r="K297" s="189"/>
      <c r="L297" s="189"/>
    </row>
    <row r="298" spans="11:12" ht="15.75" customHeight="1">
      <c r="K298" s="189"/>
      <c r="L298" s="189"/>
    </row>
    <row r="299" spans="11:12" ht="15.75" customHeight="1">
      <c r="K299" s="189"/>
      <c r="L299" s="189"/>
    </row>
    <row r="300" spans="11:12" ht="15.75" customHeight="1">
      <c r="K300" s="189"/>
      <c r="L300" s="189"/>
    </row>
    <row r="301" spans="11:12" ht="15.75" customHeight="1">
      <c r="K301" s="189"/>
      <c r="L301" s="189"/>
    </row>
    <row r="302" spans="11:12" ht="15.75" customHeight="1">
      <c r="K302" s="189"/>
      <c r="L302" s="189"/>
    </row>
    <row r="303" spans="11:12" ht="15.75" customHeight="1">
      <c r="K303" s="189"/>
      <c r="L303" s="189"/>
    </row>
    <row r="304" spans="11:12" ht="15.75" customHeight="1">
      <c r="K304" s="189"/>
      <c r="L304" s="189"/>
    </row>
    <row r="305" spans="11:12" ht="15.75" customHeight="1">
      <c r="K305" s="189"/>
      <c r="L305" s="189"/>
    </row>
    <row r="306" spans="11:12" ht="15.75" customHeight="1">
      <c r="K306" s="189"/>
      <c r="L306" s="189"/>
    </row>
    <row r="307" spans="11:12" ht="15.75" customHeight="1">
      <c r="K307" s="189"/>
      <c r="L307" s="189"/>
    </row>
    <row r="308" spans="11:12" ht="15.75" customHeight="1">
      <c r="K308" s="189"/>
      <c r="L308" s="189"/>
    </row>
    <row r="309" spans="11:12" ht="15.75" customHeight="1">
      <c r="K309" s="189"/>
      <c r="L309" s="189"/>
    </row>
    <row r="310" spans="11:12" ht="15.75" customHeight="1">
      <c r="K310" s="189"/>
      <c r="L310" s="189"/>
    </row>
    <row r="311" spans="11:12" ht="15.75" customHeight="1">
      <c r="K311" s="189"/>
      <c r="L311" s="189"/>
    </row>
    <row r="312" spans="11:12" ht="15.75" customHeight="1">
      <c r="K312" s="189"/>
      <c r="L312" s="189"/>
    </row>
    <row r="313" spans="11:12" ht="15.75" customHeight="1">
      <c r="K313" s="189"/>
      <c r="L313" s="189"/>
    </row>
    <row r="314" spans="11:12" ht="15.75" customHeight="1">
      <c r="K314" s="189"/>
      <c r="L314" s="189"/>
    </row>
    <row r="315" spans="11:12" ht="15.75" customHeight="1">
      <c r="K315" s="189"/>
      <c r="L315" s="189"/>
    </row>
    <row r="316" spans="11:12" ht="15.75" customHeight="1">
      <c r="K316" s="189"/>
      <c r="L316" s="189"/>
    </row>
    <row r="317" spans="11:12" ht="15.75" customHeight="1">
      <c r="K317" s="189"/>
      <c r="L317" s="189"/>
    </row>
    <row r="318" spans="11:12" ht="15.75" customHeight="1">
      <c r="K318" s="189"/>
      <c r="L318" s="189"/>
    </row>
    <row r="319" spans="11:12" ht="15.75" customHeight="1">
      <c r="K319" s="189"/>
      <c r="L319" s="189"/>
    </row>
    <row r="320" spans="11:12" ht="15.75" customHeight="1">
      <c r="K320" s="189"/>
      <c r="L320" s="189"/>
    </row>
    <row r="321" spans="11:12" ht="15.75" customHeight="1">
      <c r="K321" s="189"/>
      <c r="L321" s="189"/>
    </row>
    <row r="322" spans="11:12" ht="15.75" customHeight="1">
      <c r="K322" s="189"/>
      <c r="L322" s="189"/>
    </row>
    <row r="323" spans="11:12" ht="15.75" customHeight="1">
      <c r="K323" s="189"/>
      <c r="L323" s="189"/>
    </row>
    <row r="324" spans="11:12" ht="15.75" customHeight="1">
      <c r="K324" s="189"/>
      <c r="L324" s="189"/>
    </row>
    <row r="325" spans="11:12" ht="15.75" customHeight="1">
      <c r="K325" s="189"/>
      <c r="L325" s="189"/>
    </row>
    <row r="326" spans="11:12" ht="15.75" customHeight="1">
      <c r="K326" s="189"/>
      <c r="L326" s="189"/>
    </row>
    <row r="327" spans="11:12" ht="15.75" customHeight="1">
      <c r="K327" s="189"/>
      <c r="L327" s="189"/>
    </row>
    <row r="328" spans="11:12" ht="15.75" customHeight="1">
      <c r="K328" s="189"/>
      <c r="L328" s="189"/>
    </row>
    <row r="329" spans="11:12" ht="15.75" customHeight="1">
      <c r="K329" s="189"/>
      <c r="L329" s="189"/>
    </row>
    <row r="330" spans="11:12" ht="15.75" customHeight="1">
      <c r="K330" s="189"/>
      <c r="L330" s="189"/>
    </row>
    <row r="331" spans="11:12" ht="15.75" customHeight="1">
      <c r="K331" s="189"/>
      <c r="L331" s="189"/>
    </row>
    <row r="332" spans="11:12" ht="15.75" customHeight="1">
      <c r="K332" s="189"/>
      <c r="L332" s="189"/>
    </row>
    <row r="333" spans="11:12" ht="15.75" customHeight="1">
      <c r="K333" s="189"/>
      <c r="L333" s="189"/>
    </row>
    <row r="334" spans="11:12" ht="15.75" customHeight="1">
      <c r="K334" s="189"/>
      <c r="L334" s="189"/>
    </row>
    <row r="335" spans="11:12" ht="15.75" customHeight="1">
      <c r="K335" s="189"/>
      <c r="L335" s="189"/>
    </row>
    <row r="336" spans="11:12" ht="15.75" customHeight="1">
      <c r="K336" s="189"/>
      <c r="L336" s="189"/>
    </row>
    <row r="337" spans="11:12" ht="15.75" customHeight="1">
      <c r="K337" s="189"/>
      <c r="L337" s="189"/>
    </row>
    <row r="338" spans="11:12" ht="15.75" customHeight="1">
      <c r="K338" s="189"/>
      <c r="L338" s="189"/>
    </row>
    <row r="339" spans="11:12" ht="15.75" customHeight="1">
      <c r="K339" s="189"/>
      <c r="L339" s="189"/>
    </row>
    <row r="340" spans="11:12" ht="15.75" customHeight="1">
      <c r="K340" s="189"/>
      <c r="L340" s="189"/>
    </row>
    <row r="341" spans="11:12" ht="15.75" customHeight="1">
      <c r="K341" s="189"/>
      <c r="L341" s="189"/>
    </row>
    <row r="342" spans="11:12" ht="15.75" customHeight="1">
      <c r="K342" s="189"/>
      <c r="L342" s="189"/>
    </row>
    <row r="343" spans="11:12" ht="15.75" customHeight="1">
      <c r="K343" s="189"/>
      <c r="L343" s="189"/>
    </row>
    <row r="344" spans="11:12" ht="15.75" customHeight="1">
      <c r="K344" s="189"/>
      <c r="L344" s="189"/>
    </row>
    <row r="345" spans="11:12" ht="15.75" customHeight="1">
      <c r="K345" s="189"/>
      <c r="L345" s="189"/>
    </row>
    <row r="346" spans="11:12" ht="15.75" customHeight="1">
      <c r="K346" s="189"/>
      <c r="L346" s="189"/>
    </row>
    <row r="347" spans="11:12" ht="15.75" customHeight="1">
      <c r="K347" s="189"/>
      <c r="L347" s="189"/>
    </row>
    <row r="348" spans="11:12" ht="15.75" customHeight="1">
      <c r="K348" s="189"/>
      <c r="L348" s="189"/>
    </row>
    <row r="349" spans="11:12" ht="15.75" customHeight="1">
      <c r="K349" s="189"/>
      <c r="L349" s="189"/>
    </row>
    <row r="350" spans="11:12" ht="15.75" customHeight="1">
      <c r="K350" s="189"/>
      <c r="L350" s="189"/>
    </row>
    <row r="351" spans="11:12" ht="15.75" customHeight="1">
      <c r="K351" s="189"/>
      <c r="L351" s="189"/>
    </row>
    <row r="352" spans="11:12" ht="15.75" customHeight="1">
      <c r="K352" s="189"/>
      <c r="L352" s="189"/>
    </row>
    <row r="353" spans="11:12" ht="15.75" customHeight="1">
      <c r="K353" s="189"/>
      <c r="L353" s="189"/>
    </row>
    <row r="354" spans="11:12" ht="15.75" customHeight="1">
      <c r="K354" s="189"/>
      <c r="L354" s="189"/>
    </row>
    <row r="355" spans="11:12" ht="15.75" customHeight="1">
      <c r="K355" s="189"/>
      <c r="L355" s="189"/>
    </row>
    <row r="356" spans="11:12" ht="15.75" customHeight="1">
      <c r="K356" s="189"/>
      <c r="L356" s="189"/>
    </row>
    <row r="357" spans="11:12" ht="15.75" customHeight="1">
      <c r="K357" s="189"/>
      <c r="L357" s="189"/>
    </row>
    <row r="358" spans="11:12" ht="15.75" customHeight="1">
      <c r="K358" s="189"/>
      <c r="L358" s="189"/>
    </row>
    <row r="359" spans="11:12" ht="15.75" customHeight="1">
      <c r="K359" s="189"/>
      <c r="L359" s="189"/>
    </row>
    <row r="360" spans="11:12" ht="15.75" customHeight="1">
      <c r="K360" s="189"/>
      <c r="L360" s="189"/>
    </row>
    <row r="361" spans="11:12" ht="15.75" customHeight="1">
      <c r="K361" s="189"/>
      <c r="L361" s="189"/>
    </row>
    <row r="362" spans="11:12" ht="15.75" customHeight="1">
      <c r="K362" s="189"/>
      <c r="L362" s="189"/>
    </row>
    <row r="363" spans="11:12" ht="15.75" customHeight="1">
      <c r="K363" s="189"/>
      <c r="L363" s="189"/>
    </row>
    <row r="364" spans="11:12" ht="15.75" customHeight="1">
      <c r="K364" s="189"/>
      <c r="L364" s="189"/>
    </row>
    <row r="365" spans="11:12" ht="15.75" customHeight="1">
      <c r="K365" s="189"/>
      <c r="L365" s="189"/>
    </row>
    <row r="366" spans="11:12" ht="15.75" customHeight="1">
      <c r="K366" s="189"/>
      <c r="L366" s="189"/>
    </row>
    <row r="367" spans="11:12" ht="15.75" customHeight="1">
      <c r="K367" s="189"/>
      <c r="L367" s="189"/>
    </row>
    <row r="368" spans="11:12" ht="15.75" customHeight="1">
      <c r="K368" s="189"/>
      <c r="L368" s="189"/>
    </row>
    <row r="369" spans="11:12" ht="15.75" customHeight="1">
      <c r="K369" s="189"/>
      <c r="L369" s="189"/>
    </row>
    <row r="370" spans="11:12" ht="15.75" customHeight="1">
      <c r="K370" s="189"/>
      <c r="L370" s="189"/>
    </row>
    <row r="371" spans="11:12" ht="15.75" customHeight="1">
      <c r="K371" s="189"/>
      <c r="L371" s="189"/>
    </row>
    <row r="372" spans="11:12" ht="15.75" customHeight="1">
      <c r="K372" s="189"/>
      <c r="L372" s="189"/>
    </row>
    <row r="373" spans="11:12" ht="15.75" customHeight="1">
      <c r="K373" s="189"/>
      <c r="L373" s="189"/>
    </row>
    <row r="374" spans="11:12" ht="15.75" customHeight="1">
      <c r="K374" s="189"/>
      <c r="L374" s="189"/>
    </row>
    <row r="375" spans="11:12" ht="15.75" customHeight="1">
      <c r="K375" s="189"/>
      <c r="L375" s="189"/>
    </row>
    <row r="376" spans="11:12" ht="15.75" customHeight="1">
      <c r="K376" s="189"/>
      <c r="L376" s="189"/>
    </row>
    <row r="377" spans="11:12" ht="15.75" customHeight="1">
      <c r="K377" s="189"/>
      <c r="L377" s="189"/>
    </row>
    <row r="378" spans="11:12" ht="15.75" customHeight="1">
      <c r="K378" s="189"/>
      <c r="L378" s="189"/>
    </row>
    <row r="379" spans="11:12" ht="15.75" customHeight="1">
      <c r="K379" s="189"/>
      <c r="L379" s="189"/>
    </row>
    <row r="380" spans="11:12" ht="15.75" customHeight="1">
      <c r="K380" s="189"/>
      <c r="L380" s="189"/>
    </row>
    <row r="381" spans="11:12" ht="15.75" customHeight="1">
      <c r="K381" s="189"/>
      <c r="L381" s="189"/>
    </row>
    <row r="382" spans="11:12" ht="15.75" customHeight="1">
      <c r="K382" s="189"/>
      <c r="L382" s="189"/>
    </row>
    <row r="383" spans="11:12" ht="15.75" customHeight="1">
      <c r="K383" s="189"/>
      <c r="L383" s="189"/>
    </row>
    <row r="384" spans="11:12" ht="15.75" customHeight="1">
      <c r="K384" s="189"/>
      <c r="L384" s="189"/>
    </row>
    <row r="385" spans="11:12" ht="15.75" customHeight="1">
      <c r="K385" s="189"/>
      <c r="L385" s="189"/>
    </row>
    <row r="386" spans="11:12" ht="15.75" customHeight="1">
      <c r="K386" s="189"/>
      <c r="L386" s="189"/>
    </row>
    <row r="387" spans="11:12" ht="15.75" customHeight="1">
      <c r="K387" s="189"/>
      <c r="L387" s="189"/>
    </row>
    <row r="388" spans="11:12" ht="15.75" customHeight="1">
      <c r="K388" s="189"/>
      <c r="L388" s="189"/>
    </row>
    <row r="389" spans="11:12" ht="15.75" customHeight="1">
      <c r="K389" s="189"/>
      <c r="L389" s="189"/>
    </row>
    <row r="390" spans="11:12" ht="15.75" customHeight="1">
      <c r="K390" s="189"/>
      <c r="L390" s="189"/>
    </row>
    <row r="391" spans="11:12" ht="15.75" customHeight="1">
      <c r="K391" s="189"/>
      <c r="L391" s="189"/>
    </row>
    <row r="392" spans="11:12" ht="15.75" customHeight="1">
      <c r="K392" s="189"/>
      <c r="L392" s="189"/>
    </row>
    <row r="393" spans="11:12" ht="15.75" customHeight="1">
      <c r="K393" s="189"/>
      <c r="L393" s="189"/>
    </row>
    <row r="394" spans="11:12" ht="15.75" customHeight="1">
      <c r="K394" s="189"/>
      <c r="L394" s="189"/>
    </row>
    <row r="395" spans="11:12" ht="15.75" customHeight="1">
      <c r="K395" s="189"/>
      <c r="L395" s="189"/>
    </row>
    <row r="396" spans="11:12" ht="15.75" customHeight="1">
      <c r="K396" s="189"/>
      <c r="L396" s="189"/>
    </row>
    <row r="397" spans="11:12" ht="15.75" customHeight="1">
      <c r="K397" s="189"/>
      <c r="L397" s="189"/>
    </row>
    <row r="398" spans="11:12" ht="15.75" customHeight="1">
      <c r="K398" s="189"/>
      <c r="L398" s="189"/>
    </row>
    <row r="399" spans="11:12" ht="15.75" customHeight="1">
      <c r="K399" s="189"/>
      <c r="L399" s="189"/>
    </row>
    <row r="400" spans="11:12" ht="15.75" customHeight="1">
      <c r="K400" s="189"/>
      <c r="L400" s="189"/>
    </row>
    <row r="401" spans="11:12" ht="15.75" customHeight="1">
      <c r="K401" s="189"/>
      <c r="L401" s="189"/>
    </row>
    <row r="402" spans="11:12" ht="15.75" customHeight="1">
      <c r="K402" s="189"/>
      <c r="L402" s="189"/>
    </row>
    <row r="403" spans="11:12" ht="15.75" customHeight="1">
      <c r="K403" s="189"/>
      <c r="L403" s="189"/>
    </row>
    <row r="404" spans="11:12" ht="15.75" customHeight="1">
      <c r="K404" s="189"/>
      <c r="L404" s="189"/>
    </row>
    <row r="405" spans="11:12" ht="15.75" customHeight="1">
      <c r="K405" s="189"/>
      <c r="L405" s="189"/>
    </row>
    <row r="406" spans="11:12" ht="15.75" customHeight="1">
      <c r="K406" s="189"/>
      <c r="L406" s="189"/>
    </row>
    <row r="407" spans="11:12" ht="15.75" customHeight="1">
      <c r="K407" s="189"/>
      <c r="L407" s="189"/>
    </row>
    <row r="408" spans="11:12" ht="15.75" customHeight="1">
      <c r="K408" s="189"/>
      <c r="L408" s="189"/>
    </row>
    <row r="409" spans="11:12" ht="15.75" customHeight="1">
      <c r="K409" s="189"/>
      <c r="L409" s="189"/>
    </row>
    <row r="410" spans="11:12" ht="15.75" customHeight="1">
      <c r="K410" s="189"/>
      <c r="L410" s="189"/>
    </row>
    <row r="411" spans="11:12" ht="15.75" customHeight="1">
      <c r="K411" s="189"/>
      <c r="L411" s="189"/>
    </row>
    <row r="412" spans="11:12" ht="15.75" customHeight="1">
      <c r="K412" s="189"/>
      <c r="L412" s="189"/>
    </row>
    <row r="413" spans="11:12" ht="15.75" customHeight="1">
      <c r="K413" s="189"/>
      <c r="L413" s="189"/>
    </row>
    <row r="414" spans="11:12" ht="15.75" customHeight="1">
      <c r="K414" s="189"/>
      <c r="L414" s="189"/>
    </row>
    <row r="415" spans="11:12" ht="15.75" customHeight="1">
      <c r="K415" s="189"/>
      <c r="L415" s="189"/>
    </row>
    <row r="416" spans="11:12" ht="15.75" customHeight="1">
      <c r="K416" s="189"/>
      <c r="L416" s="189"/>
    </row>
    <row r="417" spans="11:12" ht="15.75" customHeight="1">
      <c r="K417" s="189"/>
      <c r="L417" s="189"/>
    </row>
    <row r="418" spans="11:12" ht="15.75" customHeight="1">
      <c r="K418" s="189"/>
      <c r="L418" s="189"/>
    </row>
    <row r="419" spans="11:12" ht="15.75" customHeight="1">
      <c r="K419" s="189"/>
      <c r="L419" s="189"/>
    </row>
    <row r="420" spans="11:12" ht="15.75" customHeight="1">
      <c r="K420" s="189"/>
      <c r="L420" s="189"/>
    </row>
    <row r="421" spans="11:12" ht="15.75" customHeight="1">
      <c r="K421" s="189"/>
      <c r="L421" s="189"/>
    </row>
    <row r="422" spans="11:12" ht="15.75" customHeight="1">
      <c r="K422" s="189"/>
      <c r="L422" s="189"/>
    </row>
    <row r="423" spans="11:12" ht="15.75" customHeight="1">
      <c r="K423" s="189"/>
      <c r="L423" s="189"/>
    </row>
    <row r="424" spans="11:12" ht="15.75" customHeight="1">
      <c r="K424" s="189"/>
      <c r="L424" s="189"/>
    </row>
    <row r="425" spans="11:12" ht="15.75" customHeight="1">
      <c r="K425" s="189"/>
      <c r="L425" s="189"/>
    </row>
    <row r="426" spans="11:12" ht="15.75" customHeight="1">
      <c r="K426" s="189"/>
      <c r="L426" s="189"/>
    </row>
    <row r="427" spans="11:12" ht="15.75" customHeight="1">
      <c r="K427" s="189"/>
      <c r="L427" s="189"/>
    </row>
    <row r="428" spans="11:12" ht="15.75" customHeight="1">
      <c r="K428" s="189"/>
      <c r="L428" s="189"/>
    </row>
    <row r="429" spans="11:12" ht="15.75" customHeight="1">
      <c r="K429" s="189"/>
      <c r="L429" s="189"/>
    </row>
    <row r="430" spans="11:12" ht="15.75" customHeight="1">
      <c r="K430" s="189"/>
      <c r="L430" s="189"/>
    </row>
    <row r="431" spans="11:12" ht="15.75" customHeight="1">
      <c r="K431" s="189"/>
      <c r="L431" s="189"/>
    </row>
    <row r="432" spans="11:12" ht="15.75" customHeight="1">
      <c r="K432" s="189"/>
      <c r="L432" s="189"/>
    </row>
    <row r="433" spans="11:12" ht="15.75" customHeight="1">
      <c r="K433" s="189"/>
      <c r="L433" s="189"/>
    </row>
    <row r="434" spans="11:12" ht="15.75" customHeight="1">
      <c r="K434" s="189"/>
      <c r="L434" s="189"/>
    </row>
    <row r="435" spans="11:12" ht="15.75" customHeight="1">
      <c r="K435" s="189"/>
      <c r="L435" s="189"/>
    </row>
    <row r="436" spans="11:12" ht="15.75" customHeight="1">
      <c r="K436" s="189"/>
      <c r="L436" s="189"/>
    </row>
    <row r="437" spans="11:12" ht="15.75" customHeight="1">
      <c r="K437" s="189"/>
      <c r="L437" s="189"/>
    </row>
    <row r="438" spans="11:12" ht="15.75" customHeight="1">
      <c r="K438" s="189"/>
      <c r="L438" s="189"/>
    </row>
    <row r="439" spans="11:12" ht="15.75" customHeight="1">
      <c r="K439" s="189"/>
      <c r="L439" s="189"/>
    </row>
    <row r="440" spans="11:12" ht="15.75" customHeight="1">
      <c r="K440" s="189"/>
      <c r="L440" s="189"/>
    </row>
    <row r="441" spans="11:12" ht="15.75" customHeight="1">
      <c r="K441" s="189"/>
      <c r="L441" s="189"/>
    </row>
    <row r="442" spans="11:12" ht="15.75" customHeight="1">
      <c r="K442" s="189"/>
      <c r="L442" s="189"/>
    </row>
    <row r="443" spans="11:12" ht="15.75" customHeight="1">
      <c r="K443" s="189"/>
      <c r="L443" s="189"/>
    </row>
    <row r="444" spans="11:12" ht="15.75" customHeight="1">
      <c r="K444" s="189"/>
      <c r="L444" s="189"/>
    </row>
    <row r="445" spans="11:12" ht="15.75" customHeight="1">
      <c r="K445" s="189"/>
      <c r="L445" s="189"/>
    </row>
    <row r="446" spans="11:12" ht="15.75" customHeight="1">
      <c r="K446" s="189"/>
      <c r="L446" s="189"/>
    </row>
    <row r="447" spans="11:12" ht="15.75" customHeight="1">
      <c r="K447" s="189"/>
      <c r="L447" s="189"/>
    </row>
    <row r="448" spans="11:12" ht="15.75" customHeight="1">
      <c r="K448" s="189"/>
      <c r="L448" s="189"/>
    </row>
    <row r="449" spans="11:12" ht="15.75" customHeight="1">
      <c r="K449" s="189"/>
      <c r="L449" s="189"/>
    </row>
    <row r="450" spans="11:12" ht="15.75" customHeight="1">
      <c r="K450" s="189"/>
      <c r="L450" s="189"/>
    </row>
    <row r="451" spans="11:12" ht="15.75" customHeight="1">
      <c r="K451" s="189"/>
      <c r="L451" s="189"/>
    </row>
    <row r="452" spans="11:12" ht="15.75" customHeight="1">
      <c r="K452" s="189"/>
      <c r="L452" s="189"/>
    </row>
    <row r="453" spans="11:12" ht="15.75" customHeight="1">
      <c r="K453" s="189"/>
      <c r="L453" s="189"/>
    </row>
    <row r="454" spans="11:12" ht="15.75" customHeight="1">
      <c r="K454" s="189"/>
      <c r="L454" s="189"/>
    </row>
    <row r="455" spans="11:12" ht="15.75" customHeight="1">
      <c r="K455" s="189"/>
      <c r="L455" s="189"/>
    </row>
    <row r="456" spans="11:12" ht="15.75" customHeight="1">
      <c r="K456" s="189"/>
      <c r="L456" s="189"/>
    </row>
    <row r="457" spans="11:12" ht="15.75" customHeight="1">
      <c r="K457" s="189"/>
      <c r="L457" s="189"/>
    </row>
    <row r="458" spans="11:12" ht="15.75" customHeight="1">
      <c r="K458" s="189"/>
      <c r="L458" s="189"/>
    </row>
    <row r="459" spans="11:12" ht="15.75" customHeight="1">
      <c r="K459" s="189"/>
      <c r="L459" s="189"/>
    </row>
    <row r="460" spans="11:12" ht="15.75" customHeight="1">
      <c r="K460" s="189"/>
      <c r="L460" s="189"/>
    </row>
    <row r="461" spans="11:12" ht="15.75" customHeight="1">
      <c r="K461" s="189"/>
      <c r="L461" s="189"/>
    </row>
    <row r="462" spans="11:12" ht="15.75" customHeight="1">
      <c r="K462" s="189"/>
      <c r="L462" s="189"/>
    </row>
    <row r="463" spans="11:12" ht="15.75" customHeight="1">
      <c r="K463" s="189"/>
      <c r="L463" s="189"/>
    </row>
    <row r="464" spans="11:12" ht="15.75" customHeight="1">
      <c r="K464" s="189"/>
      <c r="L464" s="189"/>
    </row>
    <row r="465" spans="11:12" ht="15.75" customHeight="1">
      <c r="K465" s="189"/>
      <c r="L465" s="189"/>
    </row>
    <row r="466" spans="11:12" ht="15.75" customHeight="1">
      <c r="K466" s="189"/>
      <c r="L466" s="189"/>
    </row>
    <row r="467" spans="11:12" ht="15.75" customHeight="1">
      <c r="K467" s="189"/>
      <c r="L467" s="189"/>
    </row>
    <row r="468" spans="11:12" ht="15.75" customHeight="1">
      <c r="K468" s="189"/>
      <c r="L468" s="189"/>
    </row>
    <row r="469" spans="11:12" ht="15.75" customHeight="1">
      <c r="K469" s="189"/>
      <c r="L469" s="189"/>
    </row>
    <row r="470" spans="11:12" ht="15.75" customHeight="1">
      <c r="K470" s="189"/>
      <c r="L470" s="189"/>
    </row>
    <row r="471" spans="11:12" ht="15.75" customHeight="1">
      <c r="K471" s="189"/>
      <c r="L471" s="189"/>
    </row>
    <row r="472" spans="11:12" ht="15.75" customHeight="1">
      <c r="K472" s="189"/>
      <c r="L472" s="189"/>
    </row>
    <row r="473" spans="11:12" ht="15.75" customHeight="1">
      <c r="K473" s="189"/>
      <c r="L473" s="189"/>
    </row>
    <row r="474" spans="11:12" ht="15.75" customHeight="1">
      <c r="K474" s="189"/>
      <c r="L474" s="189"/>
    </row>
    <row r="475" spans="11:12" ht="15.75" customHeight="1">
      <c r="K475" s="189"/>
      <c r="L475" s="189"/>
    </row>
    <row r="476" spans="11:12" ht="15.75" customHeight="1">
      <c r="K476" s="189"/>
      <c r="L476" s="189"/>
    </row>
    <row r="477" spans="11:12" ht="15.75" customHeight="1">
      <c r="K477" s="189"/>
      <c r="L477" s="189"/>
    </row>
    <row r="478" spans="11:12" ht="15.75" customHeight="1">
      <c r="K478" s="189"/>
      <c r="L478" s="189"/>
    </row>
    <row r="479" spans="11:12" ht="15.75" customHeight="1">
      <c r="K479" s="189"/>
      <c r="L479" s="189"/>
    </row>
    <row r="480" spans="11:12" ht="15.75" customHeight="1">
      <c r="K480" s="189"/>
      <c r="L480" s="189"/>
    </row>
    <row r="481" spans="11:12" ht="15.75" customHeight="1">
      <c r="K481" s="189"/>
      <c r="L481" s="189"/>
    </row>
    <row r="482" spans="11:12" ht="15.75" customHeight="1">
      <c r="K482" s="189"/>
      <c r="L482" s="189"/>
    </row>
    <row r="483" spans="11:12" ht="15.75" customHeight="1">
      <c r="K483" s="189"/>
      <c r="L483" s="189"/>
    </row>
    <row r="484" spans="11:12" ht="15.75" customHeight="1">
      <c r="K484" s="189"/>
      <c r="L484" s="189"/>
    </row>
    <row r="485" spans="11:12" ht="15.75" customHeight="1">
      <c r="K485" s="189"/>
      <c r="L485" s="189"/>
    </row>
    <row r="486" spans="11:12" ht="15.75" customHeight="1">
      <c r="K486" s="189"/>
      <c r="L486" s="189"/>
    </row>
    <row r="487" spans="11:12" ht="15.75" customHeight="1">
      <c r="K487" s="189"/>
      <c r="L487" s="189"/>
    </row>
    <row r="488" spans="11:12" ht="15.75" customHeight="1">
      <c r="K488" s="189"/>
      <c r="L488" s="189"/>
    </row>
    <row r="489" spans="11:12" ht="15.75" customHeight="1">
      <c r="K489" s="189"/>
      <c r="L489" s="189"/>
    </row>
    <row r="490" spans="11:12" ht="15.75" customHeight="1">
      <c r="K490" s="189"/>
      <c r="L490" s="189"/>
    </row>
    <row r="491" spans="11:12" ht="15.75" customHeight="1">
      <c r="K491" s="189"/>
      <c r="L491" s="189"/>
    </row>
    <row r="492" spans="11:12" ht="15.75" customHeight="1">
      <c r="K492" s="189"/>
      <c r="L492" s="189"/>
    </row>
    <row r="493" spans="11:12" ht="15.75" customHeight="1">
      <c r="K493" s="189"/>
      <c r="L493" s="189"/>
    </row>
    <row r="494" spans="11:12" ht="15.75" customHeight="1">
      <c r="K494" s="189"/>
      <c r="L494" s="189"/>
    </row>
    <row r="495" spans="11:12" ht="15.75" customHeight="1">
      <c r="K495" s="189"/>
      <c r="L495" s="189"/>
    </row>
    <row r="496" spans="11:12" ht="15.75" customHeight="1">
      <c r="K496" s="189"/>
      <c r="L496" s="189"/>
    </row>
    <row r="497" spans="11:12" ht="15.75" customHeight="1">
      <c r="K497" s="189"/>
      <c r="L497" s="189"/>
    </row>
    <row r="498" spans="11:12" ht="15.75" customHeight="1">
      <c r="K498" s="189"/>
      <c r="L498" s="189"/>
    </row>
    <row r="499" spans="11:12" ht="15.75" customHeight="1">
      <c r="K499" s="189"/>
      <c r="L499" s="189"/>
    </row>
    <row r="500" spans="11:12" ht="15.75" customHeight="1">
      <c r="K500" s="189"/>
      <c r="L500" s="189"/>
    </row>
    <row r="501" spans="11:12" ht="15.75" customHeight="1">
      <c r="K501" s="189"/>
      <c r="L501" s="189"/>
    </row>
    <row r="502" spans="11:12" ht="15.75" customHeight="1">
      <c r="K502" s="189"/>
      <c r="L502" s="189"/>
    </row>
    <row r="503" spans="11:12" ht="15.75" customHeight="1">
      <c r="K503" s="189"/>
      <c r="L503" s="189"/>
    </row>
    <row r="504" spans="11:12" ht="15.75" customHeight="1">
      <c r="K504" s="189"/>
      <c r="L504" s="189"/>
    </row>
    <row r="505" spans="11:12" ht="15.75" customHeight="1">
      <c r="K505" s="189"/>
      <c r="L505" s="189"/>
    </row>
    <row r="506" spans="11:12" ht="15.75" customHeight="1">
      <c r="K506" s="189"/>
      <c r="L506" s="189"/>
    </row>
    <row r="507" spans="11:12" ht="15.75" customHeight="1">
      <c r="K507" s="189"/>
      <c r="L507" s="189"/>
    </row>
    <row r="508" spans="11:12" ht="15.75" customHeight="1">
      <c r="K508" s="189"/>
      <c r="L508" s="189"/>
    </row>
    <row r="509" spans="11:12" ht="15.75" customHeight="1">
      <c r="K509" s="189"/>
      <c r="L509" s="189"/>
    </row>
    <row r="510" spans="11:12" ht="15.75" customHeight="1">
      <c r="K510" s="189"/>
      <c r="L510" s="189"/>
    </row>
    <row r="511" spans="11:12" ht="15.75" customHeight="1">
      <c r="K511" s="189"/>
      <c r="L511" s="189"/>
    </row>
    <row r="512" spans="11:12" ht="15.75" customHeight="1">
      <c r="K512" s="189"/>
      <c r="L512" s="189"/>
    </row>
    <row r="513" spans="11:12" ht="15.75" customHeight="1">
      <c r="K513" s="189"/>
      <c r="L513" s="189"/>
    </row>
    <row r="514" spans="11:12" ht="15.75" customHeight="1">
      <c r="K514" s="189"/>
      <c r="L514" s="189"/>
    </row>
    <row r="515" spans="11:12" ht="15.75" customHeight="1">
      <c r="K515" s="189"/>
      <c r="L515" s="189"/>
    </row>
    <row r="516" spans="11:12" ht="15.75" customHeight="1">
      <c r="K516" s="189"/>
      <c r="L516" s="189"/>
    </row>
    <row r="517" spans="11:12" ht="15.75" customHeight="1">
      <c r="K517" s="189"/>
      <c r="L517" s="189"/>
    </row>
    <row r="518" spans="11:12" ht="15.75" customHeight="1">
      <c r="K518" s="189"/>
      <c r="L518" s="189"/>
    </row>
    <row r="519" spans="11:12" ht="15.75" customHeight="1">
      <c r="K519" s="189"/>
      <c r="L519" s="189"/>
    </row>
    <row r="520" spans="11:12" ht="15.75" customHeight="1">
      <c r="K520" s="189"/>
      <c r="L520" s="189"/>
    </row>
    <row r="521" spans="11:12" ht="15.75" customHeight="1">
      <c r="K521" s="189"/>
      <c r="L521" s="189"/>
    </row>
    <row r="522" spans="11:12" ht="15.75" customHeight="1">
      <c r="K522" s="189"/>
      <c r="L522" s="189"/>
    </row>
    <row r="523" spans="11:12" ht="15.75" customHeight="1">
      <c r="K523" s="189"/>
      <c r="L523" s="189"/>
    </row>
    <row r="524" spans="11:12" ht="15.75" customHeight="1">
      <c r="K524" s="189"/>
      <c r="L524" s="189"/>
    </row>
    <row r="525" spans="11:12" ht="15.75" customHeight="1">
      <c r="K525" s="189"/>
      <c r="L525" s="189"/>
    </row>
    <row r="526" spans="11:12" ht="15.75" customHeight="1">
      <c r="K526" s="189"/>
      <c r="L526" s="189"/>
    </row>
    <row r="527" spans="11:12" ht="15.75" customHeight="1">
      <c r="K527" s="189"/>
      <c r="L527" s="189"/>
    </row>
    <row r="528" spans="11:12" ht="15.75" customHeight="1">
      <c r="K528" s="189"/>
      <c r="L528" s="189"/>
    </row>
    <row r="529" spans="11:12" ht="15.75" customHeight="1">
      <c r="K529" s="189"/>
      <c r="L529" s="189"/>
    </row>
    <row r="530" spans="11:12" ht="15.75" customHeight="1">
      <c r="K530" s="189"/>
      <c r="L530" s="189"/>
    </row>
    <row r="531" spans="11:12" ht="15.75" customHeight="1">
      <c r="K531" s="189"/>
      <c r="L531" s="189"/>
    </row>
    <row r="532" spans="11:12" ht="15.75" customHeight="1">
      <c r="K532" s="189"/>
      <c r="L532" s="189"/>
    </row>
    <row r="533" spans="11:12" ht="15.75" customHeight="1">
      <c r="K533" s="189"/>
      <c r="L533" s="189"/>
    </row>
    <row r="534" spans="11:12" ht="15.75" customHeight="1">
      <c r="K534" s="189"/>
      <c r="L534" s="189"/>
    </row>
    <row r="535" spans="11:12" ht="15.75" customHeight="1">
      <c r="K535" s="189"/>
      <c r="L535" s="189"/>
    </row>
    <row r="536" spans="11:12" ht="15.75" customHeight="1">
      <c r="K536" s="189"/>
      <c r="L536" s="189"/>
    </row>
    <row r="537" spans="11:12" ht="15.75" customHeight="1">
      <c r="K537" s="189"/>
      <c r="L537" s="189"/>
    </row>
    <row r="538" spans="11:12" ht="15.75" customHeight="1">
      <c r="K538" s="189"/>
      <c r="L538" s="189"/>
    </row>
    <row r="539" spans="11:12" ht="15.75" customHeight="1">
      <c r="K539" s="189"/>
      <c r="L539" s="189"/>
    </row>
    <row r="540" spans="11:12" ht="15.75" customHeight="1">
      <c r="K540" s="189"/>
      <c r="L540" s="189"/>
    </row>
    <row r="541" spans="11:12" ht="15.75" customHeight="1">
      <c r="K541" s="189"/>
      <c r="L541" s="189"/>
    </row>
    <row r="542" spans="11:12" ht="15.75" customHeight="1">
      <c r="K542" s="189"/>
      <c r="L542" s="189"/>
    </row>
    <row r="543" spans="11:12" ht="15.75" customHeight="1">
      <c r="K543" s="189"/>
      <c r="L543" s="189"/>
    </row>
    <row r="544" spans="11:12" ht="15.75" customHeight="1">
      <c r="K544" s="189"/>
      <c r="L544" s="189"/>
    </row>
    <row r="545" spans="11:12" ht="15.75" customHeight="1">
      <c r="K545" s="189"/>
      <c r="L545" s="189"/>
    </row>
    <row r="546" spans="11:12" ht="15.75" customHeight="1">
      <c r="K546" s="189"/>
      <c r="L546" s="189"/>
    </row>
    <row r="547" spans="11:12" ht="15.75" customHeight="1">
      <c r="K547" s="189"/>
      <c r="L547" s="189"/>
    </row>
    <row r="548" spans="11:12" ht="15.75" customHeight="1">
      <c r="K548" s="189"/>
      <c r="L548" s="189"/>
    </row>
    <row r="549" spans="11:12" ht="15.75" customHeight="1">
      <c r="K549" s="189"/>
      <c r="L549" s="189"/>
    </row>
    <row r="550" spans="11:12" ht="15.75" customHeight="1">
      <c r="K550" s="189"/>
      <c r="L550" s="189"/>
    </row>
    <row r="551" spans="11:12" ht="15.75" customHeight="1">
      <c r="K551" s="189"/>
      <c r="L551" s="189"/>
    </row>
    <row r="552" spans="11:12" ht="15.75" customHeight="1">
      <c r="K552" s="189"/>
      <c r="L552" s="189"/>
    </row>
    <row r="553" spans="11:12" ht="15.75" customHeight="1">
      <c r="K553" s="189"/>
      <c r="L553" s="189"/>
    </row>
    <row r="554" spans="11:12" ht="15.75" customHeight="1">
      <c r="K554" s="189"/>
      <c r="L554" s="189"/>
    </row>
    <row r="555" spans="11:12" ht="15.75" customHeight="1">
      <c r="K555" s="189"/>
      <c r="L555" s="189"/>
    </row>
    <row r="556" spans="11:12" ht="15.75" customHeight="1">
      <c r="K556" s="189"/>
      <c r="L556" s="189"/>
    </row>
    <row r="557" spans="11:12" ht="15.75" customHeight="1">
      <c r="K557" s="189"/>
      <c r="L557" s="189"/>
    </row>
    <row r="558" spans="11:12" ht="15.75" customHeight="1">
      <c r="K558" s="189"/>
      <c r="L558" s="189"/>
    </row>
    <row r="559" spans="11:12" ht="15.75" customHeight="1">
      <c r="K559" s="189"/>
      <c r="L559" s="189"/>
    </row>
    <row r="560" spans="11:12" ht="15.75" customHeight="1">
      <c r="K560" s="189"/>
      <c r="L560" s="189"/>
    </row>
    <row r="561" spans="11:12" ht="15.75" customHeight="1">
      <c r="K561" s="189"/>
      <c r="L561" s="189"/>
    </row>
    <row r="562" spans="11:12" ht="15.75" customHeight="1">
      <c r="K562" s="189"/>
      <c r="L562" s="189"/>
    </row>
    <row r="563" spans="11:12" ht="15.75" customHeight="1">
      <c r="K563" s="189"/>
      <c r="L563" s="189"/>
    </row>
    <row r="564" spans="11:12" ht="15.75" customHeight="1">
      <c r="K564" s="189"/>
      <c r="L564" s="189"/>
    </row>
    <row r="565" spans="11:12" ht="15.75" customHeight="1">
      <c r="K565" s="189"/>
      <c r="L565" s="189"/>
    </row>
    <row r="566" spans="11:12" ht="15.75" customHeight="1">
      <c r="K566" s="189"/>
      <c r="L566" s="189"/>
    </row>
    <row r="567" spans="11:12" ht="15.75" customHeight="1">
      <c r="K567" s="189"/>
      <c r="L567" s="189"/>
    </row>
    <row r="568" spans="11:12" ht="15.75" customHeight="1">
      <c r="K568" s="189"/>
      <c r="L568" s="189"/>
    </row>
    <row r="569" spans="11:12" ht="15.75" customHeight="1">
      <c r="K569" s="189"/>
      <c r="L569" s="189"/>
    </row>
    <row r="570" spans="11:12" ht="15.75" customHeight="1">
      <c r="K570" s="189"/>
      <c r="L570" s="189"/>
    </row>
    <row r="571" spans="11:12" ht="15.75" customHeight="1">
      <c r="K571" s="189"/>
      <c r="L571" s="189"/>
    </row>
    <row r="572" spans="11:12" ht="15.75" customHeight="1">
      <c r="K572" s="189"/>
      <c r="L572" s="189"/>
    </row>
    <row r="573" spans="11:12" ht="15.75" customHeight="1">
      <c r="K573" s="189"/>
      <c r="L573" s="189"/>
    </row>
    <row r="574" spans="11:12" ht="15.75" customHeight="1">
      <c r="K574" s="189"/>
      <c r="L574" s="189"/>
    </row>
    <row r="575" spans="11:12" ht="15.75" customHeight="1">
      <c r="K575" s="189"/>
      <c r="L575" s="189"/>
    </row>
    <row r="576" spans="11:12" ht="15.75" customHeight="1">
      <c r="K576" s="189"/>
      <c r="L576" s="189"/>
    </row>
    <row r="577" spans="11:12" ht="15.75" customHeight="1">
      <c r="K577" s="189"/>
      <c r="L577" s="189"/>
    </row>
    <row r="578" spans="11:12" ht="15.75" customHeight="1">
      <c r="K578" s="189"/>
      <c r="L578" s="189"/>
    </row>
    <row r="579" spans="11:12" ht="15.75" customHeight="1">
      <c r="K579" s="189"/>
      <c r="L579" s="189"/>
    </row>
    <row r="580" spans="11:12" ht="15.75" customHeight="1">
      <c r="K580" s="189"/>
      <c r="L580" s="189"/>
    </row>
    <row r="581" spans="11:12" ht="15.75" customHeight="1">
      <c r="K581" s="189"/>
      <c r="L581" s="189"/>
    </row>
    <row r="582" spans="11:12" ht="15.75" customHeight="1">
      <c r="K582" s="189"/>
      <c r="L582" s="189"/>
    </row>
    <row r="583" spans="11:12" ht="15.75" customHeight="1">
      <c r="K583" s="189"/>
      <c r="L583" s="189"/>
    </row>
    <row r="584" spans="11:12" ht="15.75" customHeight="1">
      <c r="K584" s="189"/>
      <c r="L584" s="189"/>
    </row>
    <row r="585" spans="11:12" ht="15.75" customHeight="1">
      <c r="K585" s="189"/>
      <c r="L585" s="189"/>
    </row>
    <row r="586" spans="11:12" ht="15.75" customHeight="1">
      <c r="K586" s="189"/>
      <c r="L586" s="189"/>
    </row>
    <row r="587" spans="11:12" ht="15.75" customHeight="1">
      <c r="K587" s="189"/>
      <c r="L587" s="189"/>
    </row>
    <row r="588" spans="11:12" ht="15.75" customHeight="1">
      <c r="K588" s="189"/>
      <c r="L588" s="189"/>
    </row>
    <row r="589" spans="11:12" ht="15.75" customHeight="1">
      <c r="K589" s="189"/>
      <c r="L589" s="189"/>
    </row>
    <row r="590" spans="11:12" ht="15.75" customHeight="1">
      <c r="K590" s="189"/>
      <c r="L590" s="189"/>
    </row>
    <row r="591" spans="11:12" ht="15.75" customHeight="1">
      <c r="K591" s="189"/>
      <c r="L591" s="189"/>
    </row>
    <row r="592" spans="11:12" ht="15.75" customHeight="1">
      <c r="K592" s="189"/>
      <c r="L592" s="189"/>
    </row>
    <row r="593" spans="11:12" ht="15.75" customHeight="1">
      <c r="K593" s="189"/>
      <c r="L593" s="189"/>
    </row>
    <row r="594" spans="11:12" ht="15.75" customHeight="1">
      <c r="K594" s="189"/>
      <c r="L594" s="189"/>
    </row>
    <row r="595" spans="11:12" ht="15.75" customHeight="1">
      <c r="K595" s="189"/>
      <c r="L595" s="189"/>
    </row>
    <row r="596" spans="11:12" ht="15.75" customHeight="1">
      <c r="K596" s="189"/>
      <c r="L596" s="189"/>
    </row>
    <row r="597" spans="11:12" ht="15.75" customHeight="1">
      <c r="K597" s="189"/>
      <c r="L597" s="189"/>
    </row>
    <row r="598" spans="11:12" ht="15.75" customHeight="1">
      <c r="K598" s="189"/>
      <c r="L598" s="189"/>
    </row>
    <row r="599" spans="11:12" ht="15.75" customHeight="1">
      <c r="K599" s="189"/>
      <c r="L599" s="189"/>
    </row>
    <row r="600" spans="11:12" ht="15.75" customHeight="1">
      <c r="K600" s="189"/>
      <c r="L600" s="189"/>
    </row>
    <row r="601" spans="11:12" ht="15.75" customHeight="1">
      <c r="K601" s="189"/>
      <c r="L601" s="189"/>
    </row>
    <row r="602" spans="11:12" ht="15.75" customHeight="1">
      <c r="K602" s="189"/>
      <c r="L602" s="189"/>
    </row>
    <row r="603" spans="11:12" ht="15.75" customHeight="1">
      <c r="K603" s="189"/>
      <c r="L603" s="189"/>
    </row>
    <row r="604" spans="11:12" ht="15.75" customHeight="1">
      <c r="K604" s="189"/>
      <c r="L604" s="189"/>
    </row>
    <row r="605" spans="11:12" ht="15.75" customHeight="1">
      <c r="K605" s="189"/>
      <c r="L605" s="189"/>
    </row>
    <row r="606" spans="11:12" ht="15.75" customHeight="1">
      <c r="K606" s="189"/>
      <c r="L606" s="189"/>
    </row>
    <row r="607" spans="11:12" ht="15.75" customHeight="1">
      <c r="K607" s="189"/>
      <c r="L607" s="189"/>
    </row>
    <row r="608" spans="11:12" ht="15.75" customHeight="1">
      <c r="K608" s="189"/>
      <c r="L608" s="189"/>
    </row>
    <row r="609" spans="11:12" ht="15.75" customHeight="1">
      <c r="K609" s="189"/>
      <c r="L609" s="189"/>
    </row>
    <row r="610" spans="11:12" ht="15.75" customHeight="1">
      <c r="K610" s="189"/>
      <c r="L610" s="189"/>
    </row>
    <row r="611" spans="11:12" ht="15.75" customHeight="1">
      <c r="K611" s="189"/>
      <c r="L611" s="189"/>
    </row>
    <row r="612" spans="11:12" ht="15.75" customHeight="1">
      <c r="K612" s="189"/>
      <c r="L612" s="189"/>
    </row>
    <row r="613" spans="11:12" ht="15.75" customHeight="1">
      <c r="K613" s="189"/>
      <c r="L613" s="189"/>
    </row>
    <row r="614" spans="11:12" ht="15.75" customHeight="1">
      <c r="K614" s="189"/>
      <c r="L614" s="189"/>
    </row>
    <row r="615" spans="11:12" ht="15.75" customHeight="1">
      <c r="K615" s="189"/>
      <c r="L615" s="189"/>
    </row>
    <row r="616" spans="11:12" ht="15.75" customHeight="1">
      <c r="K616" s="189"/>
      <c r="L616" s="189"/>
    </row>
    <row r="617" spans="11:12" ht="15.75" customHeight="1">
      <c r="K617" s="189"/>
      <c r="L617" s="189"/>
    </row>
    <row r="618" spans="11:12" ht="15.75" customHeight="1">
      <c r="K618" s="189"/>
      <c r="L618" s="189"/>
    </row>
    <row r="619" spans="11:12" ht="15.75" customHeight="1">
      <c r="K619" s="189"/>
      <c r="L619" s="189"/>
    </row>
    <row r="620" spans="11:12" ht="15.75" customHeight="1">
      <c r="K620" s="189"/>
      <c r="L620" s="189"/>
    </row>
    <row r="621" spans="11:12" ht="15.75" customHeight="1">
      <c r="K621" s="189"/>
      <c r="L621" s="189"/>
    </row>
    <row r="622" spans="11:12" ht="15.75" customHeight="1">
      <c r="K622" s="189"/>
      <c r="L622" s="189"/>
    </row>
    <row r="623" spans="11:12" ht="15.75" customHeight="1">
      <c r="K623" s="189"/>
      <c r="L623" s="189"/>
    </row>
    <row r="624" spans="11:12" ht="15.75" customHeight="1">
      <c r="K624" s="189"/>
      <c r="L624" s="189"/>
    </row>
    <row r="625" spans="11:12" ht="15.75" customHeight="1">
      <c r="K625" s="189"/>
      <c r="L625" s="189"/>
    </row>
    <row r="626" spans="11:12" ht="15.75" customHeight="1">
      <c r="K626" s="189"/>
      <c r="L626" s="189"/>
    </row>
    <row r="627" spans="11:12" ht="15.75" customHeight="1">
      <c r="K627" s="189"/>
      <c r="L627" s="189"/>
    </row>
    <row r="628" spans="11:12" ht="15.75" customHeight="1">
      <c r="K628" s="189"/>
      <c r="L628" s="189"/>
    </row>
    <row r="629" spans="11:12" ht="15.75" customHeight="1">
      <c r="K629" s="189"/>
      <c r="L629" s="189"/>
    </row>
    <row r="630" spans="11:12" ht="15.75" customHeight="1">
      <c r="K630" s="189"/>
      <c r="L630" s="189"/>
    </row>
    <row r="631" spans="11:12" ht="15.75" customHeight="1">
      <c r="K631" s="189"/>
      <c r="L631" s="189"/>
    </row>
    <row r="632" spans="11:12" ht="15.75" customHeight="1">
      <c r="K632" s="189"/>
      <c r="L632" s="189"/>
    </row>
    <row r="633" spans="11:12" ht="15.75" customHeight="1">
      <c r="K633" s="189"/>
      <c r="L633" s="189"/>
    </row>
    <row r="634" spans="11:12" ht="15.75" customHeight="1">
      <c r="K634" s="189"/>
      <c r="L634" s="189"/>
    </row>
    <row r="635" spans="11:12" ht="15.75" customHeight="1">
      <c r="K635" s="189"/>
      <c r="L635" s="189"/>
    </row>
    <row r="636" spans="11:12" ht="15.75" customHeight="1">
      <c r="K636" s="189"/>
      <c r="L636" s="189"/>
    </row>
    <row r="637" spans="11:12" ht="15.75" customHeight="1">
      <c r="K637" s="189"/>
      <c r="L637" s="189"/>
    </row>
    <row r="638" spans="11:12" ht="15.75" customHeight="1">
      <c r="K638" s="189"/>
      <c r="L638" s="189"/>
    </row>
    <row r="639" spans="11:12" ht="15.75" customHeight="1">
      <c r="K639" s="189"/>
      <c r="L639" s="189"/>
    </row>
    <row r="640" spans="11:12" ht="15.75" customHeight="1">
      <c r="K640" s="189"/>
      <c r="L640" s="189"/>
    </row>
    <row r="641" spans="11:12" ht="15.75" customHeight="1">
      <c r="K641" s="189"/>
      <c r="L641" s="189"/>
    </row>
    <row r="642" spans="11:12" ht="15.75" customHeight="1">
      <c r="K642" s="189"/>
      <c r="L642" s="189"/>
    </row>
    <row r="643" spans="11:12" ht="15.75" customHeight="1">
      <c r="K643" s="189"/>
      <c r="L643" s="189"/>
    </row>
    <row r="644" spans="11:12" ht="15.75" customHeight="1">
      <c r="K644" s="189"/>
      <c r="L644" s="189"/>
    </row>
    <row r="645" spans="11:12" ht="15.75" customHeight="1">
      <c r="K645" s="189"/>
      <c r="L645" s="189"/>
    </row>
    <row r="646" spans="11:12" ht="15.75" customHeight="1">
      <c r="K646" s="189"/>
      <c r="L646" s="189"/>
    </row>
    <row r="647" spans="11:12" ht="15.75" customHeight="1">
      <c r="K647" s="189"/>
      <c r="L647" s="189"/>
    </row>
    <row r="648" spans="11:12" ht="15.75" customHeight="1">
      <c r="K648" s="189"/>
      <c r="L648" s="189"/>
    </row>
    <row r="649" spans="11:12" ht="15.75" customHeight="1">
      <c r="K649" s="189"/>
      <c r="L649" s="189"/>
    </row>
    <row r="650" spans="11:12" ht="15.75" customHeight="1">
      <c r="K650" s="189"/>
      <c r="L650" s="189"/>
    </row>
    <row r="651" spans="11:12" ht="15.75" customHeight="1">
      <c r="K651" s="189"/>
      <c r="L651" s="189"/>
    </row>
    <row r="652" spans="11:12" ht="15.75" customHeight="1">
      <c r="K652" s="189"/>
      <c r="L652" s="189"/>
    </row>
    <row r="653" spans="11:12" ht="15.75" customHeight="1">
      <c r="K653" s="189"/>
      <c r="L653" s="189"/>
    </row>
    <row r="654" spans="11:12" ht="15.75" customHeight="1">
      <c r="K654" s="189"/>
      <c r="L654" s="189"/>
    </row>
    <row r="655" spans="11:12" ht="15.75" customHeight="1">
      <c r="K655" s="189"/>
      <c r="L655" s="189"/>
    </row>
    <row r="656" spans="11:12" ht="15.75" customHeight="1">
      <c r="K656" s="189"/>
      <c r="L656" s="189"/>
    </row>
    <row r="657" spans="11:12" ht="15.75" customHeight="1">
      <c r="K657" s="189"/>
      <c r="L657" s="189"/>
    </row>
    <row r="658" spans="11:12" ht="15.75" customHeight="1">
      <c r="K658" s="189"/>
      <c r="L658" s="189"/>
    </row>
    <row r="659" spans="11:12" ht="15.75" customHeight="1">
      <c r="K659" s="189"/>
      <c r="L659" s="189"/>
    </row>
    <row r="660" spans="11:12" ht="15.75" customHeight="1">
      <c r="K660" s="189"/>
      <c r="L660" s="189"/>
    </row>
    <row r="661" spans="11:12" ht="15.75" customHeight="1">
      <c r="K661" s="189"/>
      <c r="L661" s="189"/>
    </row>
    <row r="662" spans="11:12" ht="15.75" customHeight="1">
      <c r="K662" s="189"/>
      <c r="L662" s="189"/>
    </row>
    <row r="663" spans="11:12" ht="15.75" customHeight="1">
      <c r="K663" s="189"/>
      <c r="L663" s="189"/>
    </row>
    <row r="664" spans="11:12" ht="15.75" customHeight="1">
      <c r="K664" s="189"/>
      <c r="L664" s="189"/>
    </row>
    <row r="665" spans="11:12" ht="15.75" customHeight="1">
      <c r="K665" s="189"/>
      <c r="L665" s="189"/>
    </row>
    <row r="666" spans="11:12" ht="15.75" customHeight="1">
      <c r="K666" s="189"/>
      <c r="L666" s="189"/>
    </row>
    <row r="667" spans="11:12" ht="15.75" customHeight="1">
      <c r="K667" s="189"/>
      <c r="L667" s="189"/>
    </row>
    <row r="668" spans="11:12" ht="15.75" customHeight="1">
      <c r="K668" s="189"/>
      <c r="L668" s="189"/>
    </row>
    <row r="669" spans="11:12" ht="15.75" customHeight="1">
      <c r="K669" s="189"/>
      <c r="L669" s="189"/>
    </row>
    <row r="670" spans="11:12" ht="15.75" customHeight="1">
      <c r="K670" s="189"/>
      <c r="L670" s="189"/>
    </row>
    <row r="671" spans="11:12" ht="15.75" customHeight="1">
      <c r="K671" s="189"/>
      <c r="L671" s="189"/>
    </row>
    <row r="672" spans="11:12" ht="15.75" customHeight="1">
      <c r="K672" s="189"/>
      <c r="L672" s="189"/>
    </row>
    <row r="673" spans="11:12" ht="15.75" customHeight="1">
      <c r="K673" s="189"/>
      <c r="L673" s="189"/>
    </row>
    <row r="674" spans="11:12" ht="15.75" customHeight="1">
      <c r="K674" s="189"/>
      <c r="L674" s="189"/>
    </row>
    <row r="675" spans="11:12" ht="15.75" customHeight="1">
      <c r="K675" s="189"/>
      <c r="L675" s="189"/>
    </row>
    <row r="676" spans="11:12" ht="15.75" customHeight="1">
      <c r="K676" s="189"/>
      <c r="L676" s="189"/>
    </row>
    <row r="677" spans="11:12" ht="15.75" customHeight="1">
      <c r="K677" s="189"/>
      <c r="L677" s="189"/>
    </row>
    <row r="678" spans="11:12" ht="15.75" customHeight="1">
      <c r="K678" s="189"/>
      <c r="L678" s="189"/>
    </row>
    <row r="679" spans="11:12" ht="15.75" customHeight="1">
      <c r="K679" s="189"/>
      <c r="L679" s="189"/>
    </row>
    <row r="680" spans="11:12" ht="15.75" customHeight="1">
      <c r="K680" s="189"/>
      <c r="L680" s="189"/>
    </row>
    <row r="681" spans="11:12" ht="15.75" customHeight="1">
      <c r="K681" s="189"/>
      <c r="L681" s="189"/>
    </row>
    <row r="682" spans="11:12" ht="15.75" customHeight="1">
      <c r="K682" s="189"/>
      <c r="L682" s="189"/>
    </row>
    <row r="683" spans="11:12" ht="15.75" customHeight="1">
      <c r="K683" s="189"/>
      <c r="L683" s="189"/>
    </row>
    <row r="684" spans="11:12" ht="15.75" customHeight="1">
      <c r="K684" s="189"/>
      <c r="L684" s="189"/>
    </row>
    <row r="685" spans="11:12" ht="15.75" customHeight="1">
      <c r="K685" s="189"/>
      <c r="L685" s="189"/>
    </row>
    <row r="686" spans="11:12" ht="15.75" customHeight="1">
      <c r="K686" s="189"/>
      <c r="L686" s="189"/>
    </row>
    <row r="687" spans="11:12" ht="15.75" customHeight="1">
      <c r="K687" s="189"/>
      <c r="L687" s="189"/>
    </row>
    <row r="688" spans="11:12" ht="15.75" customHeight="1">
      <c r="K688" s="189"/>
      <c r="L688" s="189"/>
    </row>
    <row r="689" spans="11:12" ht="15.75" customHeight="1">
      <c r="K689" s="189"/>
      <c r="L689" s="189"/>
    </row>
    <row r="690" spans="11:12" ht="15.75" customHeight="1">
      <c r="K690" s="189"/>
      <c r="L690" s="189"/>
    </row>
    <row r="691" spans="11:12" ht="15.75" customHeight="1">
      <c r="K691" s="189"/>
      <c r="L691" s="189"/>
    </row>
    <row r="692" spans="11:12" ht="15.75" customHeight="1">
      <c r="K692" s="189"/>
      <c r="L692" s="189"/>
    </row>
    <row r="693" spans="11:12" ht="15.75" customHeight="1">
      <c r="K693" s="189"/>
      <c r="L693" s="189"/>
    </row>
    <row r="694" spans="11:12" ht="15.75" customHeight="1">
      <c r="K694" s="189"/>
      <c r="L694" s="189"/>
    </row>
    <row r="695" spans="11:12" ht="15.75" customHeight="1">
      <c r="K695" s="189"/>
      <c r="L695" s="189"/>
    </row>
    <row r="696" spans="11:12" ht="15.75" customHeight="1">
      <c r="K696" s="189"/>
      <c r="L696" s="189"/>
    </row>
    <row r="697" spans="11:12" ht="15.75" customHeight="1">
      <c r="K697" s="189"/>
      <c r="L697" s="189"/>
    </row>
    <row r="698" spans="11:12" ht="15.75" customHeight="1">
      <c r="K698" s="189"/>
      <c r="L698" s="189"/>
    </row>
    <row r="699" spans="11:12" ht="15.75" customHeight="1">
      <c r="K699" s="189"/>
      <c r="L699" s="189"/>
    </row>
    <row r="700" spans="11:12" ht="15.75" customHeight="1">
      <c r="K700" s="189"/>
      <c r="L700" s="189"/>
    </row>
    <row r="701" spans="11:12" ht="15.75" customHeight="1">
      <c r="K701" s="189"/>
      <c r="L701" s="189"/>
    </row>
    <row r="702" spans="11:12" ht="15.75" customHeight="1">
      <c r="K702" s="189"/>
      <c r="L702" s="189"/>
    </row>
    <row r="703" spans="11:12" ht="15.75" customHeight="1">
      <c r="K703" s="189"/>
      <c r="L703" s="189"/>
    </row>
    <row r="704" spans="11:12" ht="15.75" customHeight="1">
      <c r="K704" s="189"/>
      <c r="L704" s="189"/>
    </row>
    <row r="705" spans="11:12" ht="15.75" customHeight="1">
      <c r="K705" s="189"/>
      <c r="L705" s="189"/>
    </row>
    <row r="706" spans="11:12" ht="15.75" customHeight="1">
      <c r="K706" s="189"/>
      <c r="L706" s="189"/>
    </row>
    <row r="707" spans="11:12" ht="15.75" customHeight="1">
      <c r="K707" s="189"/>
      <c r="L707" s="189"/>
    </row>
    <row r="708" spans="11:12" ht="15.75" customHeight="1">
      <c r="K708" s="189"/>
      <c r="L708" s="189"/>
    </row>
    <row r="709" spans="11:12" ht="15.75" customHeight="1">
      <c r="K709" s="189"/>
      <c r="L709" s="189"/>
    </row>
    <row r="710" spans="11:12" ht="15.75" customHeight="1">
      <c r="K710" s="189"/>
      <c r="L710" s="189"/>
    </row>
    <row r="711" spans="11:12" ht="15.75" customHeight="1">
      <c r="K711" s="189"/>
      <c r="L711" s="189"/>
    </row>
    <row r="712" spans="11:12" ht="15.75" customHeight="1">
      <c r="K712" s="189"/>
      <c r="L712" s="189"/>
    </row>
    <row r="713" spans="11:12" ht="15.75" customHeight="1">
      <c r="K713" s="189"/>
      <c r="L713" s="189"/>
    </row>
    <row r="714" spans="11:12" ht="15.75" customHeight="1">
      <c r="K714" s="189"/>
      <c r="L714" s="189"/>
    </row>
    <row r="715" spans="11:12" ht="15.75" customHeight="1">
      <c r="K715" s="189"/>
      <c r="L715" s="189"/>
    </row>
    <row r="716" spans="11:12" ht="15.75" customHeight="1">
      <c r="K716" s="189"/>
      <c r="L716" s="189"/>
    </row>
    <row r="717" spans="11:12" ht="15.75" customHeight="1">
      <c r="K717" s="189"/>
      <c r="L717" s="189"/>
    </row>
    <row r="718" spans="11:12" ht="15.75" customHeight="1">
      <c r="K718" s="189"/>
      <c r="L718" s="189"/>
    </row>
    <row r="719" spans="11:12" ht="15.75" customHeight="1">
      <c r="K719" s="189"/>
      <c r="L719" s="189"/>
    </row>
    <row r="720" spans="11:12" ht="15.75" customHeight="1">
      <c r="K720" s="189"/>
      <c r="L720" s="189"/>
    </row>
    <row r="721" spans="11:12" ht="15.75" customHeight="1">
      <c r="K721" s="189"/>
      <c r="L721" s="189"/>
    </row>
    <row r="722" spans="11:12" ht="15.75" customHeight="1">
      <c r="K722" s="189"/>
      <c r="L722" s="189"/>
    </row>
    <row r="723" spans="11:12" ht="15.75" customHeight="1">
      <c r="K723" s="189"/>
      <c r="L723" s="189"/>
    </row>
    <row r="724" spans="11:12" ht="15.75" customHeight="1">
      <c r="K724" s="189"/>
      <c r="L724" s="189"/>
    </row>
    <row r="725" spans="11:12" ht="15.75" customHeight="1">
      <c r="K725" s="189"/>
      <c r="L725" s="189"/>
    </row>
    <row r="726" spans="11:12" ht="15.75" customHeight="1">
      <c r="K726" s="189"/>
      <c r="L726" s="189"/>
    </row>
    <row r="727" spans="11:12" ht="15.75" customHeight="1">
      <c r="K727" s="189"/>
      <c r="L727" s="189"/>
    </row>
    <row r="728" spans="11:12" ht="15.75" customHeight="1">
      <c r="K728" s="189"/>
      <c r="L728" s="189"/>
    </row>
    <row r="729" spans="11:12" ht="15.75" customHeight="1">
      <c r="K729" s="189"/>
      <c r="L729" s="189"/>
    </row>
    <row r="730" spans="11:12" ht="15.75" customHeight="1">
      <c r="K730" s="189"/>
      <c r="L730" s="189"/>
    </row>
    <row r="731" spans="11:12" ht="15.75" customHeight="1">
      <c r="K731" s="189"/>
      <c r="L731" s="189"/>
    </row>
    <row r="732" spans="11:12" ht="15.75" customHeight="1">
      <c r="K732" s="189"/>
      <c r="L732" s="189"/>
    </row>
    <row r="733" spans="11:12" ht="15.75" customHeight="1">
      <c r="K733" s="189"/>
      <c r="L733" s="189"/>
    </row>
    <row r="734" spans="11:12" ht="15.75" customHeight="1">
      <c r="K734" s="189"/>
      <c r="L734" s="189"/>
    </row>
    <row r="735" spans="11:12" ht="15.75" customHeight="1">
      <c r="K735" s="189"/>
      <c r="L735" s="189"/>
    </row>
    <row r="736" spans="11:12" ht="15.75" customHeight="1">
      <c r="K736" s="189"/>
      <c r="L736" s="189"/>
    </row>
    <row r="737" spans="11:12" ht="15.75" customHeight="1">
      <c r="K737" s="189"/>
      <c r="L737" s="189"/>
    </row>
    <row r="738" spans="11:12" ht="15.75" customHeight="1">
      <c r="K738" s="189"/>
      <c r="L738" s="189"/>
    </row>
    <row r="739" spans="11:12" ht="15.75" customHeight="1">
      <c r="K739" s="189"/>
      <c r="L739" s="189"/>
    </row>
    <row r="740" spans="11:12" ht="15.75" customHeight="1">
      <c r="K740" s="189"/>
      <c r="L740" s="189"/>
    </row>
    <row r="741" spans="11:12" ht="15.75" customHeight="1">
      <c r="K741" s="189"/>
      <c r="L741" s="189"/>
    </row>
    <row r="742" spans="11:12" ht="15.75" customHeight="1">
      <c r="K742" s="189"/>
      <c r="L742" s="189"/>
    </row>
    <row r="743" spans="11:12" ht="15.75" customHeight="1">
      <c r="K743" s="189"/>
      <c r="L743" s="189"/>
    </row>
    <row r="744" spans="11:12" ht="15.75" customHeight="1">
      <c r="K744" s="189"/>
      <c r="L744" s="189"/>
    </row>
    <row r="745" spans="11:12" ht="15.75" customHeight="1">
      <c r="K745" s="189"/>
      <c r="L745" s="189"/>
    </row>
    <row r="746" spans="11:12" ht="15.75" customHeight="1">
      <c r="K746" s="189"/>
      <c r="L746" s="189"/>
    </row>
    <row r="747" spans="11:12" ht="15.75" customHeight="1">
      <c r="K747" s="189"/>
      <c r="L747" s="189"/>
    </row>
    <row r="748" spans="11:12" ht="15.75" customHeight="1">
      <c r="K748" s="189"/>
      <c r="L748" s="189"/>
    </row>
    <row r="749" spans="11:12" ht="15.75" customHeight="1">
      <c r="K749" s="189"/>
      <c r="L749" s="189"/>
    </row>
    <row r="750" spans="11:12" ht="15.75" customHeight="1">
      <c r="K750" s="189"/>
      <c r="L750" s="189"/>
    </row>
    <row r="751" spans="11:12" ht="15.75" customHeight="1">
      <c r="K751" s="189"/>
      <c r="L751" s="189"/>
    </row>
    <row r="752" spans="11:12" ht="15.75" customHeight="1">
      <c r="K752" s="189"/>
      <c r="L752" s="189"/>
    </row>
    <row r="753" spans="11:12" ht="15.75" customHeight="1">
      <c r="K753" s="189"/>
      <c r="L753" s="189"/>
    </row>
    <row r="754" spans="11:12" ht="15.75" customHeight="1">
      <c r="K754" s="189"/>
      <c r="L754" s="189"/>
    </row>
    <row r="755" spans="11:12" ht="15.75" customHeight="1">
      <c r="K755" s="189"/>
      <c r="L755" s="189"/>
    </row>
    <row r="756" spans="11:12" ht="15.75" customHeight="1">
      <c r="K756" s="189"/>
      <c r="L756" s="189"/>
    </row>
    <row r="757" spans="11:12" ht="15.75" customHeight="1">
      <c r="K757" s="189"/>
      <c r="L757" s="189"/>
    </row>
    <row r="758" spans="11:12" ht="15.75" customHeight="1">
      <c r="K758" s="189"/>
      <c r="L758" s="189"/>
    </row>
    <row r="759" spans="11:12" ht="15.75" customHeight="1">
      <c r="K759" s="189"/>
      <c r="L759" s="189"/>
    </row>
    <row r="760" spans="11:12" ht="15.75" customHeight="1">
      <c r="K760" s="189"/>
      <c r="L760" s="189"/>
    </row>
    <row r="761" spans="11:12" ht="15.75" customHeight="1">
      <c r="K761" s="189"/>
      <c r="L761" s="189"/>
    </row>
    <row r="762" spans="11:12" ht="15.75" customHeight="1">
      <c r="K762" s="189"/>
      <c r="L762" s="189"/>
    </row>
    <row r="763" spans="11:12" ht="15.75" customHeight="1">
      <c r="K763" s="189"/>
      <c r="L763" s="189"/>
    </row>
    <row r="764" spans="11:12" ht="15.75" customHeight="1">
      <c r="K764" s="189"/>
      <c r="L764" s="189"/>
    </row>
    <row r="765" spans="11:12" ht="15.75" customHeight="1">
      <c r="K765" s="189"/>
      <c r="L765" s="189"/>
    </row>
    <row r="766" spans="11:12" ht="15.75" customHeight="1">
      <c r="K766" s="189"/>
      <c r="L766" s="189"/>
    </row>
    <row r="767" spans="11:12" ht="15.75" customHeight="1">
      <c r="K767" s="189"/>
      <c r="L767" s="189"/>
    </row>
    <row r="768" spans="11:12" ht="15.75" customHeight="1">
      <c r="K768" s="189"/>
      <c r="L768" s="189"/>
    </row>
    <row r="769" spans="11:12" ht="15.75" customHeight="1">
      <c r="K769" s="189"/>
      <c r="L769" s="189"/>
    </row>
    <row r="770" spans="11:12" ht="15.75" customHeight="1">
      <c r="K770" s="189"/>
      <c r="L770" s="189"/>
    </row>
    <row r="771" spans="11:12" ht="15.75" customHeight="1">
      <c r="K771" s="189"/>
      <c r="L771" s="189"/>
    </row>
    <row r="772" spans="11:12" ht="15.75" customHeight="1">
      <c r="K772" s="189"/>
      <c r="L772" s="189"/>
    </row>
    <row r="773" spans="11:12" ht="15.75" customHeight="1">
      <c r="K773" s="189"/>
      <c r="L773" s="189"/>
    </row>
    <row r="774" spans="11:12" ht="15.75" customHeight="1">
      <c r="K774" s="189"/>
      <c r="L774" s="189"/>
    </row>
    <row r="775" spans="11:12" ht="15.75" customHeight="1">
      <c r="K775" s="189"/>
      <c r="L775" s="189"/>
    </row>
    <row r="776" spans="11:12" ht="15.75" customHeight="1">
      <c r="K776" s="189"/>
      <c r="L776" s="189"/>
    </row>
    <row r="777" spans="11:12" ht="15.75" customHeight="1">
      <c r="K777" s="189"/>
      <c r="L777" s="189"/>
    </row>
    <row r="778" spans="11:12" ht="15.75" customHeight="1">
      <c r="K778" s="189"/>
      <c r="L778" s="189"/>
    </row>
    <row r="779" spans="11:12" ht="15.75" customHeight="1">
      <c r="K779" s="189"/>
      <c r="L779" s="189"/>
    </row>
    <row r="780" spans="11:12" ht="15.75" customHeight="1">
      <c r="K780" s="189"/>
      <c r="L780" s="189"/>
    </row>
    <row r="781" spans="11:12" ht="15.75" customHeight="1">
      <c r="K781" s="189"/>
      <c r="L781" s="189"/>
    </row>
    <row r="782" spans="11:12" ht="15.75" customHeight="1">
      <c r="K782" s="189"/>
      <c r="L782" s="189"/>
    </row>
    <row r="783" spans="11:12" ht="15.75" customHeight="1">
      <c r="K783" s="189"/>
      <c r="L783" s="189"/>
    </row>
    <row r="784" spans="11:12" ht="15.75" customHeight="1">
      <c r="K784" s="189"/>
      <c r="L784" s="189"/>
    </row>
    <row r="785" spans="11:12" ht="15.75" customHeight="1">
      <c r="K785" s="189"/>
      <c r="L785" s="189"/>
    </row>
    <row r="786" spans="11:12" ht="15.75" customHeight="1">
      <c r="K786" s="189"/>
      <c r="L786" s="189"/>
    </row>
    <row r="787" spans="11:12" ht="15.75" customHeight="1">
      <c r="K787" s="189"/>
      <c r="L787" s="189"/>
    </row>
    <row r="788" spans="11:12" ht="15.75" customHeight="1">
      <c r="K788" s="189"/>
      <c r="L788" s="189"/>
    </row>
    <row r="789" spans="11:12" ht="15.75" customHeight="1">
      <c r="K789" s="189"/>
      <c r="L789" s="189"/>
    </row>
    <row r="790" spans="11:12" ht="15.75" customHeight="1">
      <c r="K790" s="189"/>
      <c r="L790" s="189"/>
    </row>
    <row r="791" spans="11:12" ht="15.75" customHeight="1">
      <c r="K791" s="189"/>
      <c r="L791" s="189"/>
    </row>
    <row r="792" spans="11:12" ht="15.75" customHeight="1">
      <c r="K792" s="189"/>
      <c r="L792" s="189"/>
    </row>
    <row r="793" spans="11:12" ht="15.75" customHeight="1">
      <c r="K793" s="189"/>
      <c r="L793" s="189"/>
    </row>
    <row r="794" spans="11:12" ht="15.75" customHeight="1">
      <c r="K794" s="189"/>
      <c r="L794" s="189"/>
    </row>
    <row r="795" spans="11:12" ht="15.75" customHeight="1">
      <c r="K795" s="189"/>
      <c r="L795" s="189"/>
    </row>
    <row r="796" spans="11:12" ht="15.75" customHeight="1">
      <c r="K796" s="189"/>
      <c r="L796" s="189"/>
    </row>
    <row r="797" spans="11:12" ht="15.75" customHeight="1">
      <c r="K797" s="189"/>
      <c r="L797" s="189"/>
    </row>
    <row r="798" spans="11:12" ht="15.75" customHeight="1">
      <c r="K798" s="189"/>
      <c r="L798" s="189"/>
    </row>
    <row r="799" spans="11:12" ht="15.75" customHeight="1">
      <c r="K799" s="189"/>
      <c r="L799" s="189"/>
    </row>
    <row r="800" spans="11:12" ht="15.75" customHeight="1">
      <c r="K800" s="189"/>
      <c r="L800" s="189"/>
    </row>
    <row r="801" spans="11:12" ht="15.75" customHeight="1">
      <c r="K801" s="189"/>
      <c r="L801" s="189"/>
    </row>
    <row r="802" spans="11:12" ht="15.75" customHeight="1">
      <c r="K802" s="189"/>
      <c r="L802" s="189"/>
    </row>
    <row r="803" spans="11:12" ht="15.75" customHeight="1">
      <c r="K803" s="189"/>
      <c r="L803" s="189"/>
    </row>
    <row r="804" spans="11:12" ht="15.75" customHeight="1">
      <c r="K804" s="189"/>
      <c r="L804" s="189"/>
    </row>
    <row r="805" spans="11:12" ht="15.75" customHeight="1">
      <c r="K805" s="189"/>
      <c r="L805" s="189"/>
    </row>
    <row r="806" spans="11:12" ht="15.75" customHeight="1">
      <c r="K806" s="189"/>
      <c r="L806" s="189"/>
    </row>
    <row r="807" spans="11:12" ht="15.75" customHeight="1">
      <c r="K807" s="189"/>
      <c r="L807" s="189"/>
    </row>
    <row r="808" spans="11:12" ht="15.75" customHeight="1">
      <c r="K808" s="189"/>
      <c r="L808" s="189"/>
    </row>
    <row r="809" spans="11:12" ht="15.75" customHeight="1">
      <c r="K809" s="189"/>
      <c r="L809" s="189"/>
    </row>
    <row r="810" spans="11:12" ht="15.75" customHeight="1">
      <c r="K810" s="189"/>
      <c r="L810" s="189"/>
    </row>
    <row r="811" spans="11:12" ht="15.75" customHeight="1">
      <c r="K811" s="189"/>
      <c r="L811" s="189"/>
    </row>
    <row r="812" spans="11:12" ht="15.75" customHeight="1">
      <c r="K812" s="189"/>
      <c r="L812" s="189"/>
    </row>
    <row r="813" spans="11:12" ht="15.75" customHeight="1">
      <c r="K813" s="189"/>
      <c r="L813" s="189"/>
    </row>
    <row r="814" spans="11:12" ht="15.75" customHeight="1">
      <c r="K814" s="189"/>
      <c r="L814" s="189"/>
    </row>
    <row r="815" spans="11:12" ht="15.75" customHeight="1">
      <c r="K815" s="189"/>
      <c r="L815" s="189"/>
    </row>
    <row r="816" spans="11:12" ht="15.75" customHeight="1">
      <c r="K816" s="189"/>
      <c r="L816" s="189"/>
    </row>
    <row r="817" spans="11:12" ht="15.75" customHeight="1">
      <c r="K817" s="189"/>
      <c r="L817" s="189"/>
    </row>
    <row r="818" spans="11:12" ht="15.75" customHeight="1">
      <c r="K818" s="189"/>
      <c r="L818" s="189"/>
    </row>
    <row r="819" spans="11:12" ht="15.75" customHeight="1">
      <c r="K819" s="189"/>
      <c r="L819" s="189"/>
    </row>
    <row r="820" spans="11:12" ht="15.75" customHeight="1">
      <c r="K820" s="189"/>
      <c r="L820" s="189"/>
    </row>
    <row r="821" spans="11:12" ht="15.75" customHeight="1">
      <c r="K821" s="189"/>
      <c r="L821" s="189"/>
    </row>
    <row r="822" spans="11:12" ht="15.75" customHeight="1">
      <c r="K822" s="189"/>
      <c r="L822" s="189"/>
    </row>
    <row r="823" spans="11:12" ht="15.75" customHeight="1">
      <c r="K823" s="189"/>
      <c r="L823" s="189"/>
    </row>
    <row r="824" spans="11:12" ht="15.75" customHeight="1">
      <c r="K824" s="189"/>
      <c r="L824" s="189"/>
    </row>
    <row r="825" spans="11:12" ht="15.75" customHeight="1">
      <c r="K825" s="189"/>
      <c r="L825" s="189"/>
    </row>
    <row r="826" spans="11:12" ht="15.75" customHeight="1">
      <c r="K826" s="189"/>
      <c r="L826" s="189"/>
    </row>
    <row r="827" spans="11:12" ht="15.75" customHeight="1">
      <c r="K827" s="189"/>
      <c r="L827" s="189"/>
    </row>
    <row r="828" spans="11:12" ht="15.75" customHeight="1">
      <c r="K828" s="189"/>
      <c r="L828" s="189"/>
    </row>
    <row r="829" spans="11:12" ht="15.75" customHeight="1">
      <c r="K829" s="189"/>
      <c r="L829" s="189"/>
    </row>
    <row r="830" spans="11:12" ht="15.75" customHeight="1">
      <c r="K830" s="189"/>
      <c r="L830" s="189"/>
    </row>
    <row r="831" spans="11:12" ht="15.75" customHeight="1">
      <c r="K831" s="189"/>
      <c r="L831" s="189"/>
    </row>
    <row r="832" spans="11:12" ht="15.75" customHeight="1">
      <c r="K832" s="189"/>
      <c r="L832" s="189"/>
    </row>
    <row r="833" spans="11:12" ht="15.75" customHeight="1">
      <c r="K833" s="189"/>
      <c r="L833" s="189"/>
    </row>
    <row r="834" spans="11:12" ht="15.75" customHeight="1">
      <c r="K834" s="189"/>
      <c r="L834" s="189"/>
    </row>
    <row r="835" spans="11:12" ht="15.75" customHeight="1">
      <c r="K835" s="189"/>
      <c r="L835" s="189"/>
    </row>
    <row r="836" spans="11:12" ht="15.75" customHeight="1">
      <c r="K836" s="189"/>
      <c r="L836" s="189"/>
    </row>
    <row r="837" spans="11:12" ht="15.75" customHeight="1">
      <c r="K837" s="189"/>
      <c r="L837" s="189"/>
    </row>
    <row r="838" spans="11:12" ht="15.75" customHeight="1">
      <c r="K838" s="189"/>
      <c r="L838" s="189"/>
    </row>
    <row r="839" spans="11:12" ht="15.75" customHeight="1">
      <c r="K839" s="189"/>
      <c r="L839" s="189"/>
    </row>
    <row r="840" spans="11:12" ht="15.75" customHeight="1">
      <c r="K840" s="189"/>
      <c r="L840" s="189"/>
    </row>
    <row r="841" spans="11:12" ht="15.75" customHeight="1">
      <c r="K841" s="189"/>
      <c r="L841" s="189"/>
    </row>
    <row r="842" spans="11:12" ht="15.75" customHeight="1">
      <c r="K842" s="189"/>
      <c r="L842" s="189"/>
    </row>
    <row r="843" spans="11:12" ht="15.75" customHeight="1">
      <c r="K843" s="189"/>
      <c r="L843" s="189"/>
    </row>
    <row r="844" spans="11:12" ht="15.75" customHeight="1">
      <c r="K844" s="189"/>
      <c r="L844" s="189"/>
    </row>
    <row r="845" spans="11:12" ht="15.75" customHeight="1">
      <c r="K845" s="189"/>
      <c r="L845" s="189"/>
    </row>
    <row r="846" spans="11:12" ht="15.75" customHeight="1">
      <c r="K846" s="189"/>
      <c r="L846" s="189"/>
    </row>
    <row r="847" spans="11:12" ht="15.75" customHeight="1">
      <c r="K847" s="189"/>
      <c r="L847" s="189"/>
    </row>
    <row r="848" spans="11:12" ht="15.75" customHeight="1">
      <c r="K848" s="189"/>
      <c r="L848" s="189"/>
    </row>
    <row r="849" spans="11:12" ht="15.75" customHeight="1">
      <c r="K849" s="189"/>
      <c r="L849" s="189"/>
    </row>
    <row r="850" spans="11:12" ht="15.75" customHeight="1">
      <c r="K850" s="189"/>
      <c r="L850" s="189"/>
    </row>
    <row r="851" spans="11:12" ht="15.75" customHeight="1">
      <c r="K851" s="189"/>
      <c r="L851" s="189"/>
    </row>
    <row r="852" spans="11:12" ht="15.75" customHeight="1">
      <c r="K852" s="189"/>
      <c r="L852" s="189"/>
    </row>
    <row r="853" spans="11:12" ht="15.75" customHeight="1">
      <c r="K853" s="189"/>
      <c r="L853" s="189"/>
    </row>
    <row r="854" spans="11:12" ht="15.75" customHeight="1">
      <c r="K854" s="189"/>
      <c r="L854" s="189"/>
    </row>
    <row r="855" spans="11:12" ht="15.75" customHeight="1">
      <c r="K855" s="189"/>
      <c r="L855" s="189"/>
    </row>
    <row r="856" spans="11:12" ht="15.75" customHeight="1">
      <c r="K856" s="189"/>
      <c r="L856" s="189"/>
    </row>
    <row r="857" spans="11:12" ht="15.75" customHeight="1">
      <c r="K857" s="189"/>
      <c r="L857" s="189"/>
    </row>
    <row r="858" spans="11:12" ht="15.75" customHeight="1">
      <c r="K858" s="189"/>
      <c r="L858" s="189"/>
    </row>
    <row r="859" spans="11:12" ht="15.75" customHeight="1">
      <c r="K859" s="189"/>
      <c r="L859" s="189"/>
    </row>
    <row r="860" spans="11:12" ht="15.75" customHeight="1">
      <c r="K860" s="189"/>
      <c r="L860" s="189"/>
    </row>
    <row r="861" spans="11:12" ht="15.75" customHeight="1">
      <c r="K861" s="189"/>
      <c r="L861" s="189"/>
    </row>
    <row r="862" spans="11:12" ht="15.75" customHeight="1">
      <c r="K862" s="189"/>
      <c r="L862" s="189"/>
    </row>
    <row r="863" spans="11:12" ht="15.75" customHeight="1">
      <c r="K863" s="189"/>
      <c r="L863" s="189"/>
    </row>
    <row r="864" spans="11:12" ht="15.75" customHeight="1">
      <c r="K864" s="189"/>
      <c r="L864" s="189"/>
    </row>
    <row r="865" spans="11:12" ht="15.75" customHeight="1">
      <c r="K865" s="189"/>
      <c r="L865" s="189"/>
    </row>
    <row r="866" spans="11:12" ht="15.75" customHeight="1">
      <c r="K866" s="189"/>
      <c r="L866" s="189"/>
    </row>
    <row r="867" spans="11:12" ht="15.75" customHeight="1">
      <c r="K867" s="189"/>
      <c r="L867" s="189"/>
    </row>
    <row r="868" spans="11:12" ht="15.75" customHeight="1">
      <c r="K868" s="189"/>
      <c r="L868" s="189"/>
    </row>
    <row r="869" spans="11:12" ht="15.75" customHeight="1">
      <c r="K869" s="189"/>
      <c r="L869" s="189"/>
    </row>
    <row r="870" spans="11:12" ht="15.75" customHeight="1">
      <c r="K870" s="189"/>
      <c r="L870" s="189"/>
    </row>
    <row r="871" spans="11:12" ht="15.75" customHeight="1">
      <c r="K871" s="189"/>
      <c r="L871" s="189"/>
    </row>
    <row r="872" spans="11:12" ht="15.75" customHeight="1">
      <c r="K872" s="189"/>
      <c r="L872" s="189"/>
    </row>
    <row r="873" spans="11:12" ht="15.75" customHeight="1">
      <c r="K873" s="189"/>
      <c r="L873" s="189"/>
    </row>
    <row r="874" spans="11:12" ht="15.75" customHeight="1">
      <c r="K874" s="189"/>
      <c r="L874" s="189"/>
    </row>
    <row r="875" spans="11:12" ht="15.75" customHeight="1">
      <c r="K875" s="189"/>
      <c r="L875" s="189"/>
    </row>
    <row r="876" spans="11:12" ht="15.75" customHeight="1">
      <c r="K876" s="189"/>
      <c r="L876" s="189"/>
    </row>
    <row r="877" spans="11:12" ht="15.75" customHeight="1">
      <c r="K877" s="189"/>
      <c r="L877" s="189"/>
    </row>
    <row r="878" spans="11:12" ht="15.75" customHeight="1">
      <c r="K878" s="189"/>
      <c r="L878" s="189"/>
    </row>
    <row r="879" spans="11:12" ht="15.75" customHeight="1">
      <c r="K879" s="189"/>
      <c r="L879" s="189"/>
    </row>
    <row r="880" spans="11:12" ht="15.75" customHeight="1">
      <c r="K880" s="189"/>
      <c r="L880" s="189"/>
    </row>
    <row r="881" spans="11:12" ht="15.75" customHeight="1">
      <c r="K881" s="189"/>
      <c r="L881" s="189"/>
    </row>
    <row r="882" spans="11:12" ht="15.75" customHeight="1">
      <c r="K882" s="189"/>
      <c r="L882" s="189"/>
    </row>
    <row r="883" spans="11:12" ht="15.75" customHeight="1">
      <c r="K883" s="189"/>
      <c r="L883" s="189"/>
    </row>
    <row r="884" spans="11:12" ht="15.75" customHeight="1">
      <c r="K884" s="189"/>
      <c r="L884" s="189"/>
    </row>
    <row r="885" spans="11:12" ht="15.75" customHeight="1">
      <c r="K885" s="189"/>
      <c r="L885" s="189"/>
    </row>
    <row r="886" spans="11:12" ht="15.75" customHeight="1">
      <c r="K886" s="189"/>
      <c r="L886" s="189"/>
    </row>
    <row r="887" spans="11:12" ht="15.75" customHeight="1">
      <c r="K887" s="189"/>
      <c r="L887" s="189"/>
    </row>
    <row r="888" spans="11:12" ht="15.75" customHeight="1">
      <c r="K888" s="189"/>
      <c r="L888" s="189"/>
    </row>
    <row r="889" spans="11:12" ht="15.75" customHeight="1">
      <c r="K889" s="189"/>
      <c r="L889" s="189"/>
    </row>
    <row r="890" spans="11:12" ht="15.75" customHeight="1">
      <c r="K890" s="189"/>
      <c r="L890" s="189"/>
    </row>
    <row r="891" spans="11:12" ht="15.75" customHeight="1">
      <c r="K891" s="189"/>
      <c r="L891" s="189"/>
    </row>
    <row r="892" spans="11:12" ht="15.75" customHeight="1">
      <c r="K892" s="189"/>
      <c r="L892" s="189"/>
    </row>
    <row r="893" spans="11:12" ht="15.75" customHeight="1">
      <c r="K893" s="189"/>
      <c r="L893" s="189"/>
    </row>
    <row r="894" spans="11:12" ht="15.75" customHeight="1">
      <c r="K894" s="189"/>
      <c r="L894" s="189"/>
    </row>
    <row r="895" spans="11:12" ht="15.75" customHeight="1">
      <c r="K895" s="189"/>
      <c r="L895" s="189"/>
    </row>
    <row r="896" spans="11:12" ht="15.75" customHeight="1">
      <c r="K896" s="189"/>
      <c r="L896" s="189"/>
    </row>
    <row r="897" spans="11:12" ht="15.75" customHeight="1">
      <c r="K897" s="189"/>
      <c r="L897" s="189"/>
    </row>
    <row r="898" spans="11:12" ht="15.75" customHeight="1">
      <c r="K898" s="189"/>
      <c r="L898" s="189"/>
    </row>
    <row r="899" spans="11:12" ht="15.75" customHeight="1">
      <c r="K899" s="189"/>
      <c r="L899" s="189"/>
    </row>
    <row r="900" spans="11:12" ht="15.75" customHeight="1">
      <c r="K900" s="189"/>
      <c r="L900" s="189"/>
    </row>
    <row r="901" spans="11:12" ht="15.75" customHeight="1">
      <c r="K901" s="189"/>
      <c r="L901" s="189"/>
    </row>
    <row r="902" spans="11:12" ht="15.75" customHeight="1">
      <c r="K902" s="189"/>
      <c r="L902" s="189"/>
    </row>
    <row r="903" spans="11:12" ht="15.75" customHeight="1">
      <c r="K903" s="189"/>
      <c r="L903" s="189"/>
    </row>
    <row r="904" spans="11:12" ht="15.75" customHeight="1">
      <c r="K904" s="189"/>
      <c r="L904" s="189"/>
    </row>
    <row r="905" spans="11:12" ht="15.75" customHeight="1">
      <c r="K905" s="189"/>
      <c r="L905" s="189"/>
    </row>
    <row r="906" spans="11:12" ht="15.75" customHeight="1">
      <c r="K906" s="189"/>
      <c r="L906" s="189"/>
    </row>
    <row r="907" spans="11:12" ht="15.75" customHeight="1">
      <c r="K907" s="189"/>
      <c r="L907" s="189"/>
    </row>
    <row r="908" spans="11:12" ht="15.75" customHeight="1">
      <c r="K908" s="189"/>
      <c r="L908" s="189"/>
    </row>
    <row r="909" spans="11:12" ht="15.75" customHeight="1">
      <c r="K909" s="189"/>
      <c r="L909" s="189"/>
    </row>
    <row r="910" spans="11:12" ht="15.75" customHeight="1">
      <c r="K910" s="189"/>
      <c r="L910" s="189"/>
    </row>
    <row r="911" spans="11:12" ht="15.75" customHeight="1">
      <c r="K911" s="189"/>
      <c r="L911" s="189"/>
    </row>
    <row r="912" spans="11:12" ht="15.75" customHeight="1">
      <c r="K912" s="189"/>
      <c r="L912" s="189"/>
    </row>
    <row r="913" spans="11:12" ht="15.75" customHeight="1">
      <c r="K913" s="189"/>
      <c r="L913" s="189"/>
    </row>
    <row r="914" spans="11:12" ht="15.75" customHeight="1">
      <c r="K914" s="189"/>
      <c r="L914" s="189"/>
    </row>
    <row r="915" spans="11:12" ht="15.75" customHeight="1">
      <c r="K915" s="189"/>
      <c r="L915" s="189"/>
    </row>
    <row r="916" spans="11:12" ht="15.75" customHeight="1">
      <c r="K916" s="189"/>
      <c r="L916" s="189"/>
    </row>
    <row r="917" spans="11:12" ht="15.75" customHeight="1">
      <c r="K917" s="189"/>
      <c r="L917" s="189"/>
    </row>
    <row r="918" spans="11:12" ht="15.75" customHeight="1">
      <c r="K918" s="189"/>
      <c r="L918" s="189"/>
    </row>
    <row r="919" spans="11:12" ht="15.75" customHeight="1">
      <c r="K919" s="189"/>
      <c r="L919" s="189"/>
    </row>
    <row r="920" spans="11:12" ht="15.75" customHeight="1">
      <c r="K920" s="189"/>
      <c r="L920" s="189"/>
    </row>
    <row r="921" spans="11:12" ht="15.75" customHeight="1">
      <c r="K921" s="189"/>
      <c r="L921" s="189"/>
    </row>
    <row r="922" spans="11:12" ht="15.75" customHeight="1">
      <c r="K922" s="189"/>
      <c r="L922" s="189"/>
    </row>
    <row r="923" spans="11:12" ht="15.75" customHeight="1">
      <c r="K923" s="189"/>
      <c r="L923" s="189"/>
    </row>
    <row r="924" spans="11:12" ht="15.75" customHeight="1">
      <c r="K924" s="189"/>
      <c r="L924" s="189"/>
    </row>
    <row r="925" spans="11:12" ht="15.75" customHeight="1">
      <c r="K925" s="189"/>
      <c r="L925" s="189"/>
    </row>
    <row r="926" spans="11:12" ht="15.75" customHeight="1">
      <c r="K926" s="189"/>
      <c r="L926" s="189"/>
    </row>
    <row r="927" spans="11:12" ht="15.75" customHeight="1">
      <c r="K927" s="189"/>
      <c r="L927" s="189"/>
    </row>
    <row r="928" spans="11:12" ht="15.75" customHeight="1">
      <c r="K928" s="189"/>
      <c r="L928" s="189"/>
    </row>
    <row r="929" spans="11:12" ht="15.75" customHeight="1">
      <c r="K929" s="189"/>
      <c r="L929" s="189"/>
    </row>
    <row r="930" spans="11:12" ht="15.75" customHeight="1">
      <c r="K930" s="189"/>
      <c r="L930" s="189"/>
    </row>
    <row r="931" spans="11:12" ht="15.75" customHeight="1">
      <c r="K931" s="189"/>
      <c r="L931" s="189"/>
    </row>
    <row r="932" spans="11:12" ht="15.75" customHeight="1">
      <c r="K932" s="189"/>
      <c r="L932" s="189"/>
    </row>
    <row r="933" spans="11:12" ht="15.75" customHeight="1">
      <c r="K933" s="189"/>
      <c r="L933" s="189"/>
    </row>
    <row r="934" spans="11:12" ht="15.75" customHeight="1">
      <c r="K934" s="189"/>
      <c r="L934" s="189"/>
    </row>
    <row r="935" spans="11:12" ht="15.75" customHeight="1">
      <c r="K935" s="189"/>
      <c r="L935" s="189"/>
    </row>
    <row r="936" spans="11:12" ht="15.75" customHeight="1">
      <c r="K936" s="189"/>
      <c r="L936" s="189"/>
    </row>
    <row r="937" spans="11:12" ht="15.75" customHeight="1">
      <c r="K937" s="189"/>
      <c r="L937" s="189"/>
    </row>
    <row r="938" spans="11:12" ht="15.75" customHeight="1">
      <c r="K938" s="189"/>
      <c r="L938" s="189"/>
    </row>
    <row r="939" spans="11:12" ht="15.75" customHeight="1">
      <c r="K939" s="189"/>
      <c r="L939" s="189"/>
    </row>
    <row r="940" spans="11:12" ht="15.75" customHeight="1">
      <c r="K940" s="189"/>
      <c r="L940" s="189"/>
    </row>
    <row r="941" spans="11:12" ht="15.75" customHeight="1">
      <c r="K941" s="189"/>
      <c r="L941" s="189"/>
    </row>
    <row r="942" spans="11:12" ht="15.75" customHeight="1">
      <c r="K942" s="189"/>
      <c r="L942" s="189"/>
    </row>
    <row r="943" spans="11:12" ht="15.75" customHeight="1">
      <c r="K943" s="189"/>
      <c r="L943" s="189"/>
    </row>
    <row r="944" spans="11:12" ht="15.75" customHeight="1">
      <c r="K944" s="189"/>
      <c r="L944" s="189"/>
    </row>
    <row r="945" spans="11:12" ht="15.75" customHeight="1">
      <c r="K945" s="189"/>
      <c r="L945" s="189"/>
    </row>
    <row r="946" spans="11:12" ht="15.75" customHeight="1">
      <c r="K946" s="189"/>
      <c r="L946" s="189"/>
    </row>
    <row r="947" spans="11:12" ht="15.75" customHeight="1">
      <c r="K947" s="189"/>
      <c r="L947" s="189"/>
    </row>
    <row r="948" spans="11:12" ht="15.75" customHeight="1">
      <c r="K948" s="189"/>
      <c r="L948" s="189"/>
    </row>
    <row r="949" spans="11:12" ht="15.75" customHeight="1">
      <c r="K949" s="189"/>
      <c r="L949" s="189"/>
    </row>
    <row r="950" spans="11:12" ht="15.75" customHeight="1">
      <c r="K950" s="189"/>
      <c r="L950" s="189"/>
    </row>
    <row r="951" spans="11:12" ht="15.75" customHeight="1">
      <c r="K951" s="189"/>
      <c r="L951" s="189"/>
    </row>
    <row r="952" spans="11:12" ht="15.75" customHeight="1">
      <c r="K952" s="189"/>
      <c r="L952" s="189"/>
    </row>
    <row r="953" spans="11:12" ht="15.75" customHeight="1">
      <c r="K953" s="189"/>
      <c r="L953" s="189"/>
    </row>
    <row r="954" spans="11:12" ht="15.75" customHeight="1">
      <c r="K954" s="189"/>
      <c r="L954" s="189"/>
    </row>
    <row r="955" spans="11:12" ht="15.75" customHeight="1">
      <c r="K955" s="189"/>
      <c r="L955" s="189"/>
    </row>
    <row r="956" spans="11:12" ht="15.75" customHeight="1">
      <c r="K956" s="189"/>
      <c r="L956" s="189"/>
    </row>
    <row r="957" spans="11:12" ht="15.75" customHeight="1">
      <c r="K957" s="189"/>
      <c r="L957" s="189"/>
    </row>
    <row r="958" spans="11:12" ht="15.75" customHeight="1">
      <c r="K958" s="189"/>
      <c r="L958" s="189"/>
    </row>
    <row r="959" spans="11:12" ht="15.75" customHeight="1">
      <c r="K959" s="189"/>
      <c r="L959" s="189"/>
    </row>
    <row r="960" spans="11:12" ht="15.75" customHeight="1">
      <c r="K960" s="189"/>
      <c r="L960" s="189"/>
    </row>
    <row r="961" spans="11:12" ht="15.75" customHeight="1">
      <c r="K961" s="189"/>
      <c r="L961" s="189"/>
    </row>
    <row r="962" spans="11:12" ht="15.75" customHeight="1">
      <c r="K962" s="189"/>
      <c r="L962" s="189"/>
    </row>
    <row r="963" spans="11:12" ht="15.75" customHeight="1">
      <c r="K963" s="189"/>
      <c r="L963" s="189"/>
    </row>
    <row r="964" spans="11:12" ht="15.75" customHeight="1">
      <c r="K964" s="189"/>
      <c r="L964" s="189"/>
    </row>
    <row r="965" spans="11:12" ht="15.75" customHeight="1">
      <c r="K965" s="189"/>
      <c r="L965" s="189"/>
    </row>
    <row r="966" spans="11:12" ht="15.75" customHeight="1">
      <c r="K966" s="189"/>
      <c r="L966" s="189"/>
    </row>
    <row r="967" spans="11:12" ht="15.75" customHeight="1">
      <c r="K967" s="189"/>
      <c r="L967" s="189"/>
    </row>
    <row r="968" spans="11:12" ht="15.75" customHeight="1">
      <c r="K968" s="189"/>
      <c r="L968" s="189"/>
    </row>
    <row r="969" spans="11:12" ht="15.75" customHeight="1">
      <c r="K969" s="189"/>
      <c r="L969" s="189"/>
    </row>
    <row r="970" spans="11:12" ht="15.75" customHeight="1">
      <c r="K970" s="189"/>
      <c r="L970" s="189"/>
    </row>
    <row r="971" spans="11:12" ht="15.75" customHeight="1">
      <c r="K971" s="189"/>
      <c r="L971" s="189"/>
    </row>
    <row r="972" spans="11:12" ht="15.75" customHeight="1">
      <c r="K972" s="189"/>
      <c r="L972" s="189"/>
    </row>
    <row r="973" spans="11:12" ht="15.75" customHeight="1">
      <c r="K973" s="189"/>
      <c r="L973" s="189"/>
    </row>
    <row r="974" spans="11:12" ht="15.75" customHeight="1">
      <c r="K974" s="189"/>
      <c r="L974" s="189"/>
    </row>
    <row r="975" spans="11:12" ht="15.75" customHeight="1">
      <c r="K975" s="189"/>
      <c r="L975" s="189"/>
    </row>
    <row r="976" spans="11:12" ht="15.75" customHeight="1">
      <c r="K976" s="189"/>
      <c r="L976" s="189"/>
    </row>
    <row r="977" spans="11:12" ht="15.75" customHeight="1">
      <c r="K977" s="189"/>
      <c r="L977" s="189"/>
    </row>
    <row r="978" spans="11:12" ht="15.75" customHeight="1">
      <c r="K978" s="189"/>
      <c r="L978" s="189"/>
    </row>
    <row r="979" spans="11:12" ht="15.75" customHeight="1">
      <c r="K979" s="189"/>
      <c r="L979" s="189"/>
    </row>
    <row r="980" spans="11:12" ht="15.75" customHeight="1">
      <c r="K980" s="189"/>
      <c r="L980" s="189"/>
    </row>
    <row r="981" spans="11:12" ht="15.75" customHeight="1">
      <c r="K981" s="189"/>
      <c r="L981" s="189"/>
    </row>
    <row r="982" spans="11:12" ht="15.75" customHeight="1">
      <c r="K982" s="189"/>
      <c r="L982" s="189"/>
    </row>
    <row r="983" spans="11:12" ht="15.75" customHeight="1">
      <c r="K983" s="189"/>
      <c r="L983" s="189"/>
    </row>
    <row r="984" spans="11:12" ht="15.75" customHeight="1">
      <c r="K984" s="189"/>
      <c r="L984" s="189"/>
    </row>
    <row r="985" spans="11:12" ht="15.75" customHeight="1">
      <c r="K985" s="189"/>
      <c r="L985" s="189"/>
    </row>
    <row r="986" spans="11:12" ht="15.75" customHeight="1">
      <c r="K986" s="189"/>
      <c r="L986" s="189"/>
    </row>
    <row r="987" spans="11:12" ht="15.75" customHeight="1">
      <c r="K987" s="189"/>
      <c r="L987" s="189"/>
    </row>
    <row r="988" spans="11:12" ht="15.75" customHeight="1">
      <c r="K988" s="189"/>
      <c r="L988" s="189"/>
    </row>
    <row r="989" spans="11:12" ht="15.75" customHeight="1">
      <c r="K989" s="189"/>
      <c r="L989" s="189"/>
    </row>
    <row r="990" spans="11:12" ht="15.75" customHeight="1">
      <c r="K990" s="189"/>
      <c r="L990" s="189"/>
    </row>
    <row r="991" spans="11:12" ht="15.75" customHeight="1">
      <c r="K991" s="189"/>
      <c r="L991" s="189"/>
    </row>
    <row r="992" spans="11:12" ht="15.75" customHeight="1">
      <c r="K992" s="189"/>
      <c r="L992" s="189"/>
    </row>
    <row r="993" spans="11:12" ht="15.75" customHeight="1">
      <c r="K993" s="189"/>
      <c r="L993" s="189"/>
    </row>
    <row r="994" spans="11:12" ht="15.75" customHeight="1">
      <c r="K994" s="189"/>
      <c r="L994" s="189"/>
    </row>
    <row r="995" spans="11:12" ht="15.75" customHeight="1">
      <c r="K995" s="189"/>
      <c r="L995" s="189"/>
    </row>
    <row r="996" spans="11:12" ht="15.75" customHeight="1">
      <c r="K996" s="189"/>
      <c r="L996" s="189"/>
    </row>
    <row r="997" spans="11:12" ht="15.75" customHeight="1">
      <c r="K997" s="189"/>
      <c r="L997" s="189"/>
    </row>
    <row r="998" spans="11:12" ht="15.75" customHeight="1">
      <c r="K998" s="189"/>
      <c r="L998" s="189"/>
    </row>
    <row r="999" spans="11:12" ht="15.75" customHeight="1">
      <c r="K999" s="189"/>
      <c r="L999" s="189"/>
    </row>
    <row r="1000" spans="11:12" ht="15.75" customHeight="1">
      <c r="K1000" s="189"/>
      <c r="L1000" s="189"/>
    </row>
  </sheetData>
  <autoFilter ref="A1:I109" xr:uid="{00000000-0009-0000-0000-00000E000000}"/>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9E2F3"/>
  </sheetPr>
  <dimension ref="A1:I1000"/>
  <sheetViews>
    <sheetView workbookViewId="0"/>
  </sheetViews>
  <sheetFormatPr baseColWidth="10" defaultColWidth="12.6640625" defaultRowHeight="15" customHeight="1"/>
  <cols>
    <col min="1" max="4" width="14.6640625" customWidth="1"/>
    <col min="5" max="6" width="7.6640625" customWidth="1"/>
    <col min="7" max="7" width="34.5" customWidth="1"/>
    <col min="8" max="26" width="7.6640625" customWidth="1"/>
  </cols>
  <sheetData>
    <row r="1" spans="1:9">
      <c r="A1" s="155" t="s">
        <v>466</v>
      </c>
      <c r="B1" s="155" t="s">
        <v>467</v>
      </c>
      <c r="C1" s="155" t="s">
        <v>468</v>
      </c>
      <c r="D1" s="155" t="s">
        <v>469</v>
      </c>
      <c r="E1" s="155" t="s">
        <v>470</v>
      </c>
      <c r="F1" s="155" t="s">
        <v>471</v>
      </c>
      <c r="G1" s="155" t="s">
        <v>472</v>
      </c>
      <c r="H1" s="155" t="s">
        <v>473</v>
      </c>
      <c r="I1" s="155" t="s">
        <v>474</v>
      </c>
    </row>
    <row r="2" spans="1:9">
      <c r="A2" s="159" t="s">
        <v>6775</v>
      </c>
      <c r="B2" s="159" t="s">
        <v>6803</v>
      </c>
      <c r="C2" s="159" t="s">
        <v>477</v>
      </c>
      <c r="D2" s="159">
        <v>15</v>
      </c>
      <c r="E2" s="159">
        <v>0</v>
      </c>
      <c r="F2" s="159">
        <v>0</v>
      </c>
      <c r="G2" s="159" t="s">
        <v>6808</v>
      </c>
      <c r="H2" s="159" t="s">
        <v>548</v>
      </c>
      <c r="I2" s="159">
        <v>0</v>
      </c>
    </row>
    <row r="3" spans="1:9">
      <c r="A3" s="159" t="s">
        <v>6775</v>
      </c>
      <c r="B3" s="159" t="s">
        <v>3717</v>
      </c>
      <c r="C3" s="159" t="s">
        <v>477</v>
      </c>
      <c r="D3" s="159">
        <v>15</v>
      </c>
      <c r="E3" s="159">
        <v>0</v>
      </c>
      <c r="F3" s="159">
        <v>0</v>
      </c>
      <c r="G3" s="159" t="s">
        <v>6809</v>
      </c>
      <c r="H3" s="159" t="s">
        <v>548</v>
      </c>
      <c r="I3" s="159">
        <v>0</v>
      </c>
    </row>
    <row r="4" spans="1:9">
      <c r="A4" s="159" t="s">
        <v>6775</v>
      </c>
      <c r="B4" s="159" t="s">
        <v>6487</v>
      </c>
      <c r="C4" s="159" t="s">
        <v>477</v>
      </c>
      <c r="D4" s="159">
        <v>4</v>
      </c>
      <c r="E4" s="159">
        <v>0</v>
      </c>
      <c r="F4" s="159">
        <v>0</v>
      </c>
      <c r="G4" s="159" t="s">
        <v>6810</v>
      </c>
      <c r="H4" s="159" t="s">
        <v>548</v>
      </c>
      <c r="I4" s="159">
        <v>0</v>
      </c>
    </row>
    <row r="5" spans="1:9">
      <c r="A5" s="159" t="s">
        <v>6775</v>
      </c>
      <c r="B5" s="159" t="s">
        <v>6811</v>
      </c>
      <c r="C5" s="159" t="s">
        <v>477</v>
      </c>
      <c r="D5" s="159">
        <v>10</v>
      </c>
      <c r="E5" s="159">
        <v>0</v>
      </c>
      <c r="F5" s="159">
        <v>0</v>
      </c>
      <c r="G5" s="159" t="s">
        <v>6812</v>
      </c>
      <c r="H5" s="159" t="s">
        <v>548</v>
      </c>
      <c r="I5" s="159">
        <v>0</v>
      </c>
    </row>
    <row r="6" spans="1:9">
      <c r="A6" s="159" t="s">
        <v>6775</v>
      </c>
      <c r="B6" s="159" t="s">
        <v>6813</v>
      </c>
      <c r="C6" s="159" t="s">
        <v>481</v>
      </c>
      <c r="D6" s="159">
        <v>5</v>
      </c>
      <c r="E6" s="159">
        <v>9</v>
      </c>
      <c r="F6" s="159">
        <v>2</v>
      </c>
      <c r="G6" s="159" t="s">
        <v>6814</v>
      </c>
      <c r="H6" s="159" t="s">
        <v>1223</v>
      </c>
      <c r="I6" s="159">
        <v>0</v>
      </c>
    </row>
    <row r="7" spans="1:9">
      <c r="A7" s="159" t="s">
        <v>6775</v>
      </c>
      <c r="B7" s="159" t="s">
        <v>6815</v>
      </c>
      <c r="C7" s="159" t="s">
        <v>481</v>
      </c>
      <c r="D7" s="159">
        <v>5</v>
      </c>
      <c r="E7" s="159">
        <v>9</v>
      </c>
      <c r="F7" s="159">
        <v>2</v>
      </c>
      <c r="G7" s="159" t="s">
        <v>6816</v>
      </c>
      <c r="H7" s="159" t="s">
        <v>1223</v>
      </c>
      <c r="I7" s="159">
        <v>0</v>
      </c>
    </row>
    <row r="8" spans="1:9">
      <c r="A8" s="159" t="s">
        <v>6775</v>
      </c>
      <c r="B8" s="159" t="s">
        <v>6817</v>
      </c>
      <c r="C8" s="159" t="s">
        <v>481</v>
      </c>
      <c r="D8" s="159">
        <v>5</v>
      </c>
      <c r="E8" s="159">
        <v>9</v>
      </c>
      <c r="F8" s="159">
        <v>2</v>
      </c>
      <c r="G8" s="159" t="s">
        <v>6818</v>
      </c>
      <c r="H8" s="159" t="s">
        <v>1223</v>
      </c>
      <c r="I8" s="159">
        <v>0</v>
      </c>
    </row>
    <row r="9" spans="1:9">
      <c r="A9" s="159" t="s">
        <v>6775</v>
      </c>
      <c r="B9" s="159" t="s">
        <v>6819</v>
      </c>
      <c r="C9" s="159" t="s">
        <v>481</v>
      </c>
      <c r="D9" s="159">
        <v>5</v>
      </c>
      <c r="E9" s="159">
        <v>9</v>
      </c>
      <c r="F9" s="159">
        <v>2</v>
      </c>
      <c r="G9" s="159" t="s">
        <v>6820</v>
      </c>
      <c r="H9" s="159" t="s">
        <v>1223</v>
      </c>
      <c r="I9" s="159">
        <v>0</v>
      </c>
    </row>
    <row r="10" spans="1:9">
      <c r="A10" s="159" t="s">
        <v>6775</v>
      </c>
      <c r="B10" s="159" t="s">
        <v>669</v>
      </c>
      <c r="C10" s="159" t="s">
        <v>496</v>
      </c>
      <c r="D10" s="159">
        <v>4</v>
      </c>
      <c r="E10" s="159">
        <v>16</v>
      </c>
      <c r="F10" s="159">
        <v>0</v>
      </c>
      <c r="G10" s="159" t="s">
        <v>6821</v>
      </c>
      <c r="H10" s="159" t="s">
        <v>548</v>
      </c>
      <c r="I10" s="159">
        <v>0</v>
      </c>
    </row>
    <row r="11" spans="1:9">
      <c r="A11" s="159" t="s">
        <v>6775</v>
      </c>
      <c r="B11" s="159" t="s">
        <v>523</v>
      </c>
      <c r="C11" s="159" t="s">
        <v>477</v>
      </c>
      <c r="D11" s="159">
        <v>100</v>
      </c>
      <c r="E11" s="159">
        <v>0</v>
      </c>
      <c r="F11" s="159">
        <v>0</v>
      </c>
      <c r="G11" s="159" t="s">
        <v>6822</v>
      </c>
      <c r="H11" s="159" t="s">
        <v>548</v>
      </c>
      <c r="I11" s="159">
        <v>0</v>
      </c>
    </row>
    <row r="12" spans="1:9">
      <c r="A12" s="159" t="s">
        <v>6775</v>
      </c>
      <c r="B12" s="159" t="s">
        <v>215</v>
      </c>
      <c r="C12" s="159" t="s">
        <v>496</v>
      </c>
      <c r="D12" s="159">
        <v>4</v>
      </c>
      <c r="E12" s="159">
        <v>16</v>
      </c>
      <c r="F12" s="159">
        <v>0</v>
      </c>
      <c r="G12" s="159" t="s">
        <v>803</v>
      </c>
      <c r="H12" s="159" t="s">
        <v>548</v>
      </c>
      <c r="I12" s="159">
        <v>0</v>
      </c>
    </row>
    <row r="13" spans="1:9">
      <c r="A13" s="159" t="s">
        <v>6775</v>
      </c>
      <c r="B13" s="159" t="s">
        <v>670</v>
      </c>
      <c r="C13" s="159" t="s">
        <v>477</v>
      </c>
      <c r="D13" s="159">
        <v>100</v>
      </c>
      <c r="E13" s="159">
        <v>0</v>
      </c>
      <c r="F13" s="159">
        <v>0</v>
      </c>
      <c r="G13" s="159" t="s">
        <v>1734</v>
      </c>
      <c r="H13" s="159" t="s">
        <v>548</v>
      </c>
      <c r="I13" s="159">
        <v>0</v>
      </c>
    </row>
    <row r="14" spans="1:9">
      <c r="A14" s="159" t="s">
        <v>66</v>
      </c>
      <c r="B14" s="159" t="s">
        <v>6791</v>
      </c>
      <c r="C14" s="159" t="s">
        <v>484</v>
      </c>
      <c r="D14" s="159">
        <v>4</v>
      </c>
      <c r="E14" s="159">
        <v>10</v>
      </c>
      <c r="F14" s="159">
        <v>0</v>
      </c>
      <c r="G14" s="159" t="s">
        <v>6823</v>
      </c>
      <c r="H14" s="159" t="s">
        <v>615</v>
      </c>
      <c r="I14" s="159">
        <v>0</v>
      </c>
    </row>
    <row r="15" spans="1:9">
      <c r="A15" s="159" t="s">
        <v>66</v>
      </c>
      <c r="B15" s="159" t="s">
        <v>6824</v>
      </c>
      <c r="C15" s="159" t="s">
        <v>477</v>
      </c>
      <c r="D15" s="159">
        <v>10</v>
      </c>
      <c r="E15" s="159">
        <v>0</v>
      </c>
      <c r="F15" s="159">
        <v>0</v>
      </c>
      <c r="G15" s="159" t="s">
        <v>6825</v>
      </c>
      <c r="H15" s="159" t="s">
        <v>548</v>
      </c>
      <c r="I15" s="159">
        <v>0</v>
      </c>
    </row>
    <row r="16" spans="1:9">
      <c r="A16" s="159" t="s">
        <v>66</v>
      </c>
      <c r="B16" s="159" t="s">
        <v>6826</v>
      </c>
      <c r="C16" s="159" t="s">
        <v>477</v>
      </c>
      <c r="D16" s="159">
        <v>20</v>
      </c>
      <c r="E16" s="159">
        <v>0</v>
      </c>
      <c r="F16" s="159">
        <v>0</v>
      </c>
      <c r="G16" s="159" t="s">
        <v>6827</v>
      </c>
      <c r="H16" s="159" t="s">
        <v>548</v>
      </c>
      <c r="I16" s="159">
        <v>0</v>
      </c>
    </row>
    <row r="17" spans="1:9">
      <c r="A17" s="159" t="s">
        <v>66</v>
      </c>
      <c r="B17" s="159" t="s">
        <v>4419</v>
      </c>
      <c r="C17" s="159" t="s">
        <v>477</v>
      </c>
      <c r="D17" s="159">
        <v>100</v>
      </c>
      <c r="E17" s="159">
        <v>0</v>
      </c>
      <c r="F17" s="159">
        <v>0</v>
      </c>
      <c r="G17" s="159" t="s">
        <v>6828</v>
      </c>
      <c r="H17" s="159" t="s">
        <v>548</v>
      </c>
      <c r="I17" s="159">
        <v>0</v>
      </c>
    </row>
    <row r="18" spans="1:9">
      <c r="A18" s="159" t="s">
        <v>66</v>
      </c>
      <c r="B18" s="159" t="s">
        <v>6803</v>
      </c>
      <c r="C18" s="159" t="s">
        <v>477</v>
      </c>
      <c r="D18" s="159">
        <v>15</v>
      </c>
      <c r="E18" s="159">
        <v>0</v>
      </c>
      <c r="F18" s="159">
        <v>0</v>
      </c>
      <c r="G18" s="159" t="s">
        <v>6808</v>
      </c>
      <c r="H18" s="159" t="s">
        <v>548</v>
      </c>
      <c r="I18" s="159">
        <v>0</v>
      </c>
    </row>
    <row r="19" spans="1:9">
      <c r="A19" s="159" t="s">
        <v>66</v>
      </c>
      <c r="B19" s="159" t="s">
        <v>6829</v>
      </c>
      <c r="C19" s="159" t="s">
        <v>484</v>
      </c>
      <c r="D19" s="159">
        <v>4</v>
      </c>
      <c r="E19" s="159">
        <v>10</v>
      </c>
      <c r="F19" s="159">
        <v>0</v>
      </c>
      <c r="G19" s="159" t="s">
        <v>6830</v>
      </c>
      <c r="H19" s="159" t="s">
        <v>615</v>
      </c>
      <c r="I19" s="159">
        <v>0</v>
      </c>
    </row>
    <row r="20" spans="1:9">
      <c r="A20" s="159" t="s">
        <v>66</v>
      </c>
      <c r="B20" s="159" t="s">
        <v>6831</v>
      </c>
      <c r="C20" s="159" t="s">
        <v>477</v>
      </c>
      <c r="D20" s="159">
        <v>50</v>
      </c>
      <c r="E20" s="159">
        <v>0</v>
      </c>
      <c r="F20" s="159">
        <v>0</v>
      </c>
      <c r="G20" s="159" t="s">
        <v>6831</v>
      </c>
      <c r="H20" s="159" t="s">
        <v>548</v>
      </c>
      <c r="I20" s="159">
        <v>0</v>
      </c>
    </row>
    <row r="21" spans="1:9" ht="15.75" customHeight="1">
      <c r="A21" s="159" t="s">
        <v>66</v>
      </c>
      <c r="B21" s="159" t="s">
        <v>669</v>
      </c>
      <c r="C21" s="159" t="s">
        <v>496</v>
      </c>
      <c r="D21" s="159">
        <v>4</v>
      </c>
      <c r="E21" s="159">
        <v>16</v>
      </c>
      <c r="F21" s="159">
        <v>0</v>
      </c>
      <c r="G21" s="159" t="s">
        <v>6821</v>
      </c>
      <c r="H21" s="159" t="s">
        <v>548</v>
      </c>
      <c r="I21" s="159">
        <v>0</v>
      </c>
    </row>
    <row r="22" spans="1:9" ht="15.75" customHeight="1">
      <c r="A22" s="159" t="s">
        <v>66</v>
      </c>
      <c r="B22" s="159" t="s">
        <v>523</v>
      </c>
      <c r="C22" s="159" t="s">
        <v>477</v>
      </c>
      <c r="D22" s="159">
        <v>100</v>
      </c>
      <c r="E22" s="159">
        <v>0</v>
      </c>
      <c r="F22" s="159">
        <v>0</v>
      </c>
      <c r="G22" s="159" t="s">
        <v>6822</v>
      </c>
      <c r="H22" s="159" t="s">
        <v>548</v>
      </c>
      <c r="I22" s="159">
        <v>0</v>
      </c>
    </row>
    <row r="23" spans="1:9" ht="15.75" customHeight="1">
      <c r="A23" s="159" t="s">
        <v>66</v>
      </c>
      <c r="B23" s="159" t="s">
        <v>215</v>
      </c>
      <c r="C23" s="159" t="s">
        <v>496</v>
      </c>
      <c r="D23" s="159">
        <v>4</v>
      </c>
      <c r="E23" s="159">
        <v>16</v>
      </c>
      <c r="F23" s="159">
        <v>0</v>
      </c>
      <c r="G23" s="159" t="s">
        <v>803</v>
      </c>
      <c r="H23" s="159" t="s">
        <v>548</v>
      </c>
      <c r="I23" s="159">
        <v>0</v>
      </c>
    </row>
    <row r="24" spans="1:9" ht="15.75" customHeight="1">
      <c r="A24" s="159" t="s">
        <v>66</v>
      </c>
      <c r="B24" s="159" t="s">
        <v>670</v>
      </c>
      <c r="C24" s="159" t="s">
        <v>477</v>
      </c>
      <c r="D24" s="159">
        <v>100</v>
      </c>
      <c r="E24" s="159">
        <v>0</v>
      </c>
      <c r="F24" s="159">
        <v>0</v>
      </c>
      <c r="G24" s="159" t="s">
        <v>1734</v>
      </c>
      <c r="H24" s="159" t="s">
        <v>548</v>
      </c>
      <c r="I24" s="159">
        <v>0</v>
      </c>
    </row>
    <row r="25" spans="1:9" ht="15.75" customHeight="1">
      <c r="A25" s="159" t="s">
        <v>66</v>
      </c>
      <c r="B25" s="159" t="s">
        <v>6832</v>
      </c>
      <c r="C25" s="159" t="s">
        <v>477</v>
      </c>
      <c r="D25" s="159">
        <v>100</v>
      </c>
      <c r="E25" s="159">
        <v>0</v>
      </c>
      <c r="F25" s="159">
        <v>0</v>
      </c>
      <c r="G25" s="159" t="s">
        <v>479</v>
      </c>
      <c r="H25" s="159" t="s">
        <v>548</v>
      </c>
      <c r="I25" s="159">
        <v>0</v>
      </c>
    </row>
    <row r="26" spans="1:9" ht="15.75" customHeight="1">
      <c r="A26" s="159" t="s">
        <v>66</v>
      </c>
      <c r="B26" s="159" t="s">
        <v>6833</v>
      </c>
      <c r="C26" s="159" t="s">
        <v>477</v>
      </c>
      <c r="D26" s="159">
        <v>100</v>
      </c>
      <c r="E26" s="159">
        <v>0</v>
      </c>
      <c r="F26" s="159">
        <v>0</v>
      </c>
      <c r="G26" s="159" t="s">
        <v>479</v>
      </c>
      <c r="H26" s="159" t="s">
        <v>548</v>
      </c>
      <c r="I26" s="159">
        <v>0</v>
      </c>
    </row>
    <row r="27" spans="1:9" ht="15.75" customHeight="1">
      <c r="A27" s="159" t="s">
        <v>6834</v>
      </c>
      <c r="B27" s="159" t="s">
        <v>6835</v>
      </c>
      <c r="C27" s="159" t="s">
        <v>477</v>
      </c>
      <c r="D27" s="159">
        <v>20</v>
      </c>
      <c r="E27" s="159">
        <v>0</v>
      </c>
      <c r="F27" s="159">
        <v>0</v>
      </c>
      <c r="G27" s="159" t="s">
        <v>479</v>
      </c>
      <c r="H27" s="159" t="s">
        <v>548</v>
      </c>
      <c r="I27" s="159">
        <v>0</v>
      </c>
    </row>
    <row r="28" spans="1:9" ht="15.75" customHeight="1">
      <c r="A28" s="159" t="s">
        <v>6834</v>
      </c>
      <c r="B28" s="159" t="s">
        <v>6836</v>
      </c>
      <c r="C28" s="159" t="s">
        <v>484</v>
      </c>
      <c r="D28" s="159">
        <v>4</v>
      </c>
      <c r="E28" s="159">
        <v>10</v>
      </c>
      <c r="F28" s="159">
        <v>0</v>
      </c>
      <c r="G28" s="159" t="s">
        <v>479</v>
      </c>
      <c r="H28" s="159" t="s">
        <v>479</v>
      </c>
      <c r="I28" s="159">
        <v>0</v>
      </c>
    </row>
    <row r="29" spans="1:9" ht="15.75" customHeight="1">
      <c r="A29" s="159" t="s">
        <v>6834</v>
      </c>
      <c r="B29" s="159" t="s">
        <v>6791</v>
      </c>
      <c r="C29" s="159" t="s">
        <v>484</v>
      </c>
      <c r="D29" s="159">
        <v>4</v>
      </c>
      <c r="E29" s="159">
        <v>10</v>
      </c>
      <c r="F29" s="159">
        <v>0</v>
      </c>
      <c r="G29" s="159" t="s">
        <v>6823</v>
      </c>
      <c r="H29" s="159" t="s">
        <v>615</v>
      </c>
      <c r="I29" s="159">
        <v>0</v>
      </c>
    </row>
    <row r="30" spans="1:9" ht="15.75" customHeight="1">
      <c r="A30" s="159" t="s">
        <v>6834</v>
      </c>
      <c r="B30" s="159" t="s">
        <v>253</v>
      </c>
      <c r="C30" s="159" t="s">
        <v>477</v>
      </c>
      <c r="D30" s="159">
        <v>7</v>
      </c>
      <c r="E30" s="159">
        <v>0</v>
      </c>
      <c r="F30" s="159">
        <v>0</v>
      </c>
      <c r="G30" s="159" t="s">
        <v>1130</v>
      </c>
      <c r="H30" s="159" t="s">
        <v>548</v>
      </c>
      <c r="I30" s="159">
        <v>0</v>
      </c>
    </row>
    <row r="31" spans="1:9" ht="15.75" customHeight="1">
      <c r="A31" s="159" t="s">
        <v>6834</v>
      </c>
      <c r="B31" s="159" t="s">
        <v>6837</v>
      </c>
      <c r="C31" s="159" t="s">
        <v>477</v>
      </c>
      <c r="D31" s="159">
        <v>15</v>
      </c>
      <c r="E31" s="159">
        <v>0</v>
      </c>
      <c r="F31" s="159">
        <v>0</v>
      </c>
      <c r="G31" s="159" t="s">
        <v>6838</v>
      </c>
      <c r="H31" s="159" t="s">
        <v>548</v>
      </c>
      <c r="I31" s="159">
        <v>0</v>
      </c>
    </row>
    <row r="32" spans="1:9" ht="15.75" customHeight="1">
      <c r="A32" s="159" t="s">
        <v>6834</v>
      </c>
      <c r="B32" s="159" t="s">
        <v>669</v>
      </c>
      <c r="C32" s="159" t="s">
        <v>496</v>
      </c>
      <c r="D32" s="159">
        <v>4</v>
      </c>
      <c r="E32" s="159">
        <v>16</v>
      </c>
      <c r="F32" s="159">
        <v>0</v>
      </c>
      <c r="G32" s="159" t="s">
        <v>6821</v>
      </c>
      <c r="H32" s="159" t="s">
        <v>548</v>
      </c>
      <c r="I32" s="159">
        <v>0</v>
      </c>
    </row>
    <row r="33" spans="1:9" ht="15.75" customHeight="1">
      <c r="A33" s="159" t="s">
        <v>6834</v>
      </c>
      <c r="B33" s="159" t="s">
        <v>523</v>
      </c>
      <c r="C33" s="159" t="s">
        <v>477</v>
      </c>
      <c r="D33" s="159">
        <v>100</v>
      </c>
      <c r="E33" s="159">
        <v>0</v>
      </c>
      <c r="F33" s="159">
        <v>0</v>
      </c>
      <c r="G33" s="159" t="s">
        <v>6822</v>
      </c>
      <c r="H33" s="159" t="s">
        <v>548</v>
      </c>
      <c r="I33" s="159">
        <v>0</v>
      </c>
    </row>
    <row r="34" spans="1:9" ht="15.75" customHeight="1">
      <c r="A34" s="159" t="s">
        <v>6834</v>
      </c>
      <c r="B34" s="159" t="s">
        <v>215</v>
      </c>
      <c r="C34" s="159" t="s">
        <v>496</v>
      </c>
      <c r="D34" s="159">
        <v>4</v>
      </c>
      <c r="E34" s="159">
        <v>16</v>
      </c>
      <c r="F34" s="159">
        <v>0</v>
      </c>
      <c r="G34" s="159" t="s">
        <v>803</v>
      </c>
      <c r="H34" s="159" t="s">
        <v>548</v>
      </c>
      <c r="I34" s="159">
        <v>0</v>
      </c>
    </row>
    <row r="35" spans="1:9" ht="15.75" customHeight="1">
      <c r="A35" s="159" t="s">
        <v>6834</v>
      </c>
      <c r="B35" s="159" t="s">
        <v>670</v>
      </c>
      <c r="C35" s="159" t="s">
        <v>477</v>
      </c>
      <c r="D35" s="159">
        <v>100</v>
      </c>
      <c r="E35" s="159">
        <v>0</v>
      </c>
      <c r="F35" s="159">
        <v>0</v>
      </c>
      <c r="G35" s="159" t="s">
        <v>1734</v>
      </c>
      <c r="H35" s="159" t="s">
        <v>548</v>
      </c>
      <c r="I35" s="159">
        <v>0</v>
      </c>
    </row>
    <row r="36" spans="1:9" ht="15.75" customHeight="1">
      <c r="A36" s="159" t="s">
        <v>6834</v>
      </c>
      <c r="B36" s="159" t="s">
        <v>6839</v>
      </c>
      <c r="C36" s="159" t="s">
        <v>484</v>
      </c>
      <c r="D36" s="159">
        <v>4</v>
      </c>
      <c r="E36" s="159">
        <v>10</v>
      </c>
      <c r="F36" s="159">
        <v>0</v>
      </c>
      <c r="G36" s="159" t="s">
        <v>6840</v>
      </c>
      <c r="H36" s="159" t="s">
        <v>479</v>
      </c>
      <c r="I36" s="159">
        <v>0</v>
      </c>
    </row>
    <row r="37" spans="1:9" ht="15.75" customHeight="1">
      <c r="A37" s="159" t="s">
        <v>6834</v>
      </c>
      <c r="B37" s="159" t="s">
        <v>6824</v>
      </c>
      <c r="C37" s="159" t="s">
        <v>477</v>
      </c>
      <c r="D37" s="159">
        <v>10</v>
      </c>
      <c r="E37" s="159">
        <v>0</v>
      </c>
      <c r="F37" s="159">
        <v>0</v>
      </c>
      <c r="G37" s="159" t="s">
        <v>6841</v>
      </c>
      <c r="H37" s="159" t="s">
        <v>2600</v>
      </c>
      <c r="I37" s="159">
        <v>0</v>
      </c>
    </row>
    <row r="38" spans="1:9" ht="15.75" customHeight="1">
      <c r="A38" s="159" t="s">
        <v>6834</v>
      </c>
      <c r="B38" s="159" t="s">
        <v>292</v>
      </c>
      <c r="C38" s="159" t="s">
        <v>484</v>
      </c>
      <c r="D38" s="159">
        <v>4</v>
      </c>
      <c r="E38" s="159">
        <v>10</v>
      </c>
      <c r="F38" s="159">
        <v>0</v>
      </c>
      <c r="G38" s="159" t="s">
        <v>6842</v>
      </c>
      <c r="H38" s="159" t="s">
        <v>615</v>
      </c>
      <c r="I38" s="159">
        <v>0</v>
      </c>
    </row>
    <row r="39" spans="1:9" ht="15.75" customHeight="1">
      <c r="A39" s="159" t="s">
        <v>6798</v>
      </c>
      <c r="B39" s="159" t="s">
        <v>6843</v>
      </c>
      <c r="C39" s="159" t="s">
        <v>484</v>
      </c>
      <c r="D39" s="159">
        <v>4</v>
      </c>
      <c r="E39" s="159">
        <v>10</v>
      </c>
      <c r="F39" s="159">
        <v>0</v>
      </c>
      <c r="G39" s="159" t="s">
        <v>479</v>
      </c>
      <c r="H39" s="159" t="s">
        <v>615</v>
      </c>
      <c r="I39" s="159">
        <v>0</v>
      </c>
    </row>
    <row r="40" spans="1:9" ht="15.75" customHeight="1">
      <c r="A40" s="159" t="s">
        <v>6798</v>
      </c>
      <c r="B40" s="159" t="s">
        <v>6844</v>
      </c>
      <c r="C40" s="159" t="s">
        <v>477</v>
      </c>
      <c r="D40" s="159">
        <v>3</v>
      </c>
      <c r="E40" s="159">
        <v>0</v>
      </c>
      <c r="F40" s="159">
        <v>0</v>
      </c>
      <c r="G40" s="159" t="s">
        <v>479</v>
      </c>
      <c r="H40" s="159" t="s">
        <v>596</v>
      </c>
      <c r="I40" s="159">
        <v>0</v>
      </c>
    </row>
    <row r="41" spans="1:9" ht="15.75" customHeight="1">
      <c r="A41" s="159" t="s">
        <v>6798</v>
      </c>
      <c r="B41" s="159" t="s">
        <v>6845</v>
      </c>
      <c r="C41" s="159" t="s">
        <v>477</v>
      </c>
      <c r="D41" s="159">
        <v>3</v>
      </c>
      <c r="E41" s="159">
        <v>0</v>
      </c>
      <c r="F41" s="159">
        <v>0</v>
      </c>
      <c r="G41" s="159" t="s">
        <v>479</v>
      </c>
      <c r="H41" s="159" t="s">
        <v>596</v>
      </c>
      <c r="I41" s="159">
        <v>0</v>
      </c>
    </row>
    <row r="42" spans="1:9" ht="15.75" customHeight="1">
      <c r="A42" s="159" t="s">
        <v>6798</v>
      </c>
      <c r="B42" s="159" t="s">
        <v>6846</v>
      </c>
      <c r="C42" s="159" t="s">
        <v>477</v>
      </c>
      <c r="D42" s="159">
        <v>3</v>
      </c>
      <c r="E42" s="159">
        <v>0</v>
      </c>
      <c r="F42" s="159">
        <v>0</v>
      </c>
      <c r="G42" s="159" t="s">
        <v>479</v>
      </c>
      <c r="H42" s="159" t="s">
        <v>596</v>
      </c>
      <c r="I42" s="159">
        <v>0</v>
      </c>
    </row>
    <row r="43" spans="1:9" ht="15.75" customHeight="1">
      <c r="A43" s="159" t="s">
        <v>6798</v>
      </c>
      <c r="B43" s="159" t="s">
        <v>6847</v>
      </c>
      <c r="C43" s="159" t="s">
        <v>477</v>
      </c>
      <c r="D43" s="159">
        <v>3</v>
      </c>
      <c r="E43" s="159">
        <v>0</v>
      </c>
      <c r="F43" s="159">
        <v>0</v>
      </c>
      <c r="G43" s="159" t="s">
        <v>479</v>
      </c>
      <c r="H43" s="159" t="s">
        <v>596</v>
      </c>
      <c r="I43" s="159">
        <v>0</v>
      </c>
    </row>
    <row r="44" spans="1:9" ht="15.75" customHeight="1">
      <c r="A44" s="159" t="s">
        <v>6798</v>
      </c>
      <c r="B44" s="159" t="s">
        <v>6848</v>
      </c>
      <c r="C44" s="159" t="s">
        <v>477</v>
      </c>
      <c r="D44" s="159">
        <v>3</v>
      </c>
      <c r="E44" s="159">
        <v>0</v>
      </c>
      <c r="F44" s="159">
        <v>0</v>
      </c>
      <c r="G44" s="159" t="s">
        <v>479</v>
      </c>
      <c r="H44" s="159" t="s">
        <v>596</v>
      </c>
      <c r="I44" s="159">
        <v>0</v>
      </c>
    </row>
    <row r="45" spans="1:9" ht="15.75" customHeight="1">
      <c r="A45" s="159" t="s">
        <v>6798</v>
      </c>
      <c r="B45" s="159" t="s">
        <v>6849</v>
      </c>
      <c r="C45" s="159" t="s">
        <v>477</v>
      </c>
      <c r="D45" s="159">
        <v>3</v>
      </c>
      <c r="E45" s="159">
        <v>0</v>
      </c>
      <c r="F45" s="159">
        <v>0</v>
      </c>
      <c r="G45" s="159" t="s">
        <v>479</v>
      </c>
      <c r="H45" s="159" t="s">
        <v>596</v>
      </c>
      <c r="I45" s="159">
        <v>0</v>
      </c>
    </row>
    <row r="46" spans="1:9" ht="15.75" customHeight="1">
      <c r="A46" s="159" t="s">
        <v>6798</v>
      </c>
      <c r="B46" s="159" t="s">
        <v>6803</v>
      </c>
      <c r="C46" s="159" t="s">
        <v>477</v>
      </c>
      <c r="D46" s="159">
        <v>15</v>
      </c>
      <c r="E46" s="159">
        <v>0</v>
      </c>
      <c r="F46" s="159">
        <v>0</v>
      </c>
      <c r="G46" s="159" t="s">
        <v>6808</v>
      </c>
      <c r="H46" s="159" t="s">
        <v>548</v>
      </c>
      <c r="I46" s="159">
        <v>0</v>
      </c>
    </row>
    <row r="47" spans="1:9" ht="15.75" customHeight="1">
      <c r="A47" s="159" t="s">
        <v>6798</v>
      </c>
      <c r="B47" s="159" t="s">
        <v>6850</v>
      </c>
      <c r="C47" s="159" t="s">
        <v>477</v>
      </c>
      <c r="D47" s="159">
        <v>100</v>
      </c>
      <c r="E47" s="159">
        <v>0</v>
      </c>
      <c r="F47" s="159">
        <v>0</v>
      </c>
      <c r="G47" s="159" t="s">
        <v>6851</v>
      </c>
      <c r="H47" s="159" t="s">
        <v>548</v>
      </c>
      <c r="I47" s="159">
        <v>0</v>
      </c>
    </row>
    <row r="48" spans="1:9" ht="15.75" customHeight="1">
      <c r="A48" s="159" t="s">
        <v>6798</v>
      </c>
      <c r="B48" s="159" t="s">
        <v>6852</v>
      </c>
      <c r="C48" s="159" t="s">
        <v>477</v>
      </c>
      <c r="D48" s="159">
        <v>100</v>
      </c>
      <c r="E48" s="159">
        <v>0</v>
      </c>
      <c r="F48" s="159">
        <v>0</v>
      </c>
      <c r="G48" s="159" t="s">
        <v>6853</v>
      </c>
      <c r="H48" s="159" t="s">
        <v>548</v>
      </c>
      <c r="I48" s="159">
        <v>0</v>
      </c>
    </row>
    <row r="49" spans="1:9" ht="15.75" customHeight="1">
      <c r="A49" s="159" t="s">
        <v>6798</v>
      </c>
      <c r="B49" s="159" t="s">
        <v>6854</v>
      </c>
      <c r="C49" s="159" t="s">
        <v>477</v>
      </c>
      <c r="D49" s="159">
        <v>6</v>
      </c>
      <c r="E49" s="159">
        <v>0</v>
      </c>
      <c r="F49" s="159">
        <v>0</v>
      </c>
      <c r="G49" s="159" t="s">
        <v>6855</v>
      </c>
      <c r="H49" s="159" t="s">
        <v>813</v>
      </c>
      <c r="I49" s="159">
        <v>0</v>
      </c>
    </row>
    <row r="50" spans="1:9" ht="15.75" customHeight="1">
      <c r="A50" s="159" t="s">
        <v>6798</v>
      </c>
      <c r="B50" s="159" t="s">
        <v>6856</v>
      </c>
      <c r="C50" s="159" t="s">
        <v>477</v>
      </c>
      <c r="D50" s="159">
        <v>6</v>
      </c>
      <c r="E50" s="159">
        <v>0</v>
      </c>
      <c r="F50" s="159">
        <v>0</v>
      </c>
      <c r="G50" s="159" t="s">
        <v>6857</v>
      </c>
      <c r="H50" s="159" t="s">
        <v>548</v>
      </c>
      <c r="I50" s="159">
        <v>0</v>
      </c>
    </row>
    <row r="51" spans="1:9" ht="15.75" customHeight="1">
      <c r="A51" s="159" t="s">
        <v>6798</v>
      </c>
      <c r="B51" s="159" t="s">
        <v>6858</v>
      </c>
      <c r="C51" s="159" t="s">
        <v>6859</v>
      </c>
      <c r="D51" s="159">
        <v>-1</v>
      </c>
      <c r="E51" s="159">
        <v>0</v>
      </c>
      <c r="F51" s="159">
        <v>0</v>
      </c>
      <c r="G51" s="159" t="s">
        <v>6860</v>
      </c>
      <c r="H51" s="159" t="s">
        <v>479</v>
      </c>
      <c r="I51" s="159">
        <v>0</v>
      </c>
    </row>
    <row r="52" spans="1:9" ht="15.75" customHeight="1">
      <c r="A52" s="159" t="s">
        <v>6798</v>
      </c>
      <c r="B52" s="159" t="s">
        <v>6861</v>
      </c>
      <c r="C52" s="159" t="s">
        <v>477</v>
      </c>
      <c r="D52" s="159">
        <v>20</v>
      </c>
      <c r="E52" s="159">
        <v>0</v>
      </c>
      <c r="F52" s="159">
        <v>0</v>
      </c>
      <c r="G52" s="159" t="s">
        <v>6862</v>
      </c>
      <c r="H52" s="159" t="s">
        <v>548</v>
      </c>
      <c r="I52" s="159">
        <v>0</v>
      </c>
    </row>
    <row r="53" spans="1:9" ht="15.75" customHeight="1">
      <c r="A53" s="159" t="s">
        <v>6798</v>
      </c>
      <c r="B53" s="159" t="s">
        <v>6863</v>
      </c>
      <c r="C53" s="159" t="s">
        <v>477</v>
      </c>
      <c r="D53" s="159">
        <v>10</v>
      </c>
      <c r="E53" s="159">
        <v>0</v>
      </c>
      <c r="F53" s="159">
        <v>0</v>
      </c>
      <c r="G53" s="159" t="s">
        <v>6864</v>
      </c>
      <c r="H53" s="159" t="s">
        <v>548</v>
      </c>
      <c r="I53" s="159">
        <v>0</v>
      </c>
    </row>
    <row r="54" spans="1:9" ht="15.75" customHeight="1">
      <c r="A54" s="159" t="s">
        <v>6798</v>
      </c>
      <c r="B54" s="159" t="s">
        <v>6865</v>
      </c>
      <c r="C54" s="159" t="s">
        <v>477</v>
      </c>
      <c r="D54" s="159">
        <v>7</v>
      </c>
      <c r="E54" s="159">
        <v>0</v>
      </c>
      <c r="F54" s="159">
        <v>0</v>
      </c>
      <c r="G54" s="159" t="s">
        <v>6866</v>
      </c>
      <c r="H54" s="159" t="s">
        <v>548</v>
      </c>
      <c r="I54" s="159">
        <v>0</v>
      </c>
    </row>
    <row r="55" spans="1:9" ht="15.75" customHeight="1">
      <c r="A55" s="159" t="s">
        <v>6798</v>
      </c>
      <c r="B55" s="159" t="s">
        <v>4555</v>
      </c>
      <c r="C55" s="159" t="s">
        <v>477</v>
      </c>
      <c r="D55" s="159">
        <v>5</v>
      </c>
      <c r="E55" s="159">
        <v>0</v>
      </c>
      <c r="F55" s="159">
        <v>0</v>
      </c>
      <c r="G55" s="159" t="s">
        <v>6867</v>
      </c>
      <c r="H55" s="159" t="s">
        <v>548</v>
      </c>
      <c r="I55" s="159">
        <v>0</v>
      </c>
    </row>
    <row r="56" spans="1:9" ht="15.75" customHeight="1">
      <c r="A56" s="159" t="s">
        <v>6798</v>
      </c>
      <c r="B56" s="159" t="s">
        <v>6868</v>
      </c>
      <c r="C56" s="159" t="s">
        <v>477</v>
      </c>
      <c r="D56" s="159">
        <v>3</v>
      </c>
      <c r="E56" s="159">
        <v>0</v>
      </c>
      <c r="F56" s="159">
        <v>0</v>
      </c>
      <c r="G56" s="159" t="s">
        <v>6869</v>
      </c>
      <c r="H56" s="159" t="s">
        <v>596</v>
      </c>
      <c r="I56" s="159">
        <v>0</v>
      </c>
    </row>
    <row r="57" spans="1:9" ht="15.75" customHeight="1">
      <c r="A57" s="159" t="s">
        <v>6798</v>
      </c>
      <c r="B57" s="159" t="s">
        <v>6870</v>
      </c>
      <c r="C57" s="159" t="s">
        <v>484</v>
      </c>
      <c r="D57" s="159">
        <v>4</v>
      </c>
      <c r="E57" s="159">
        <v>10</v>
      </c>
      <c r="F57" s="159">
        <v>0</v>
      </c>
      <c r="G57" s="159" t="s">
        <v>6871</v>
      </c>
      <c r="H57" s="159" t="s">
        <v>1210</v>
      </c>
      <c r="I57" s="159">
        <v>0</v>
      </c>
    </row>
    <row r="58" spans="1:9" ht="15.75" customHeight="1">
      <c r="A58" s="159" t="s">
        <v>6798</v>
      </c>
      <c r="B58" s="159" t="s">
        <v>6872</v>
      </c>
      <c r="C58" s="159" t="s">
        <v>477</v>
      </c>
      <c r="D58" s="159">
        <v>3</v>
      </c>
      <c r="E58" s="159">
        <v>0</v>
      </c>
      <c r="F58" s="159">
        <v>0</v>
      </c>
      <c r="G58" s="159" t="s">
        <v>6873</v>
      </c>
      <c r="H58" s="159" t="s">
        <v>596</v>
      </c>
      <c r="I58" s="159">
        <v>0</v>
      </c>
    </row>
    <row r="59" spans="1:9" ht="15.75" customHeight="1">
      <c r="A59" s="159" t="s">
        <v>6798</v>
      </c>
      <c r="B59" s="159" t="s">
        <v>6874</v>
      </c>
      <c r="C59" s="159" t="s">
        <v>477</v>
      </c>
      <c r="D59" s="159">
        <v>8</v>
      </c>
      <c r="E59" s="159">
        <v>0</v>
      </c>
      <c r="F59" s="159">
        <v>0</v>
      </c>
      <c r="G59" s="159" t="s">
        <v>6875</v>
      </c>
      <c r="H59" s="159" t="s">
        <v>6876</v>
      </c>
      <c r="I59" s="159">
        <v>0</v>
      </c>
    </row>
    <row r="60" spans="1:9" ht="15.75" customHeight="1">
      <c r="A60" s="159" t="s">
        <v>6798</v>
      </c>
      <c r="B60" s="159" t="s">
        <v>6877</v>
      </c>
      <c r="C60" s="159" t="s">
        <v>477</v>
      </c>
      <c r="D60" s="159">
        <v>2</v>
      </c>
      <c r="E60" s="159">
        <v>0</v>
      </c>
      <c r="F60" s="159">
        <v>0</v>
      </c>
      <c r="G60" s="159" t="s">
        <v>6878</v>
      </c>
      <c r="H60" s="159" t="s">
        <v>6879</v>
      </c>
      <c r="I60" s="159">
        <v>0</v>
      </c>
    </row>
    <row r="61" spans="1:9" ht="15.75" customHeight="1">
      <c r="A61" s="159" t="s">
        <v>6798</v>
      </c>
      <c r="B61" s="159" t="s">
        <v>6880</v>
      </c>
      <c r="C61" s="159" t="s">
        <v>477</v>
      </c>
      <c r="D61" s="159">
        <v>8</v>
      </c>
      <c r="E61" s="159">
        <v>0</v>
      </c>
      <c r="F61" s="159">
        <v>0</v>
      </c>
      <c r="G61" s="159" t="s">
        <v>6881</v>
      </c>
      <c r="H61" s="159" t="s">
        <v>548</v>
      </c>
      <c r="I61" s="159">
        <v>0</v>
      </c>
    </row>
    <row r="62" spans="1:9" ht="15.75" customHeight="1">
      <c r="A62" s="159" t="s">
        <v>6798</v>
      </c>
      <c r="B62" s="159" t="s">
        <v>6882</v>
      </c>
      <c r="C62" s="159" t="s">
        <v>477</v>
      </c>
      <c r="D62" s="159">
        <v>3</v>
      </c>
      <c r="E62" s="159">
        <v>0</v>
      </c>
      <c r="F62" s="159">
        <v>0</v>
      </c>
      <c r="G62" s="159" t="s">
        <v>6883</v>
      </c>
      <c r="H62" s="159" t="s">
        <v>596</v>
      </c>
      <c r="I62" s="159">
        <v>0</v>
      </c>
    </row>
    <row r="63" spans="1:9" ht="15.75" customHeight="1">
      <c r="A63" s="159" t="s">
        <v>6798</v>
      </c>
      <c r="B63" s="159" t="s">
        <v>6884</v>
      </c>
      <c r="C63" s="159" t="s">
        <v>484</v>
      </c>
      <c r="D63" s="159">
        <v>4</v>
      </c>
      <c r="E63" s="159">
        <v>10</v>
      </c>
      <c r="F63" s="159">
        <v>0</v>
      </c>
      <c r="G63" s="159" t="s">
        <v>6885</v>
      </c>
      <c r="H63" s="159" t="s">
        <v>3928</v>
      </c>
      <c r="I63" s="159">
        <v>0</v>
      </c>
    </row>
    <row r="64" spans="1:9" ht="15.75" customHeight="1">
      <c r="A64" s="159" t="s">
        <v>6798</v>
      </c>
      <c r="B64" s="159" t="s">
        <v>6886</v>
      </c>
      <c r="C64" s="159" t="s">
        <v>477</v>
      </c>
      <c r="D64" s="159">
        <v>3</v>
      </c>
      <c r="E64" s="159">
        <v>0</v>
      </c>
      <c r="F64" s="159">
        <v>0</v>
      </c>
      <c r="G64" s="159" t="s">
        <v>6887</v>
      </c>
      <c r="H64" s="159" t="s">
        <v>596</v>
      </c>
      <c r="I64" s="159">
        <v>0</v>
      </c>
    </row>
    <row r="65" spans="1:9" ht="15.75" customHeight="1">
      <c r="A65" s="159" t="s">
        <v>6798</v>
      </c>
      <c r="B65" s="159" t="s">
        <v>6888</v>
      </c>
      <c r="C65" s="159" t="s">
        <v>477</v>
      </c>
      <c r="D65" s="159">
        <v>3</v>
      </c>
      <c r="E65" s="159">
        <v>0</v>
      </c>
      <c r="F65" s="159">
        <v>0</v>
      </c>
      <c r="G65" s="159" t="s">
        <v>6889</v>
      </c>
      <c r="H65" s="159" t="s">
        <v>596</v>
      </c>
      <c r="I65" s="159">
        <v>0</v>
      </c>
    </row>
    <row r="66" spans="1:9" ht="15.75" customHeight="1">
      <c r="A66" s="159" t="s">
        <v>6798</v>
      </c>
      <c r="B66" s="159" t="s">
        <v>6890</v>
      </c>
      <c r="C66" s="159" t="s">
        <v>477</v>
      </c>
      <c r="D66" s="159">
        <v>3</v>
      </c>
      <c r="E66" s="159">
        <v>0</v>
      </c>
      <c r="F66" s="159">
        <v>0</v>
      </c>
      <c r="G66" s="159" t="s">
        <v>6891</v>
      </c>
      <c r="H66" s="159" t="s">
        <v>596</v>
      </c>
      <c r="I66" s="159">
        <v>0</v>
      </c>
    </row>
    <row r="67" spans="1:9" ht="15.75" customHeight="1">
      <c r="A67" s="159" t="s">
        <v>6798</v>
      </c>
      <c r="B67" s="159" t="s">
        <v>6892</v>
      </c>
      <c r="C67" s="159" t="s">
        <v>477</v>
      </c>
      <c r="D67" s="159">
        <v>3</v>
      </c>
      <c r="E67" s="159">
        <v>0</v>
      </c>
      <c r="F67" s="159">
        <v>0</v>
      </c>
      <c r="G67" s="159" t="s">
        <v>6893</v>
      </c>
      <c r="H67" s="159" t="s">
        <v>596</v>
      </c>
      <c r="I67" s="159">
        <v>0</v>
      </c>
    </row>
    <row r="68" spans="1:9" ht="15.75" customHeight="1">
      <c r="A68" s="159" t="s">
        <v>6798</v>
      </c>
      <c r="B68" s="159" t="s">
        <v>6894</v>
      </c>
      <c r="C68" s="159" t="s">
        <v>477</v>
      </c>
      <c r="D68" s="159">
        <v>3</v>
      </c>
      <c r="E68" s="159">
        <v>0</v>
      </c>
      <c r="F68" s="159">
        <v>0</v>
      </c>
      <c r="G68" s="159" t="s">
        <v>6895</v>
      </c>
      <c r="H68" s="159" t="s">
        <v>596</v>
      </c>
      <c r="I68" s="159">
        <v>0</v>
      </c>
    </row>
    <row r="69" spans="1:9" ht="15.75" customHeight="1">
      <c r="A69" s="159" t="s">
        <v>6798</v>
      </c>
      <c r="B69" s="159" t="s">
        <v>6896</v>
      </c>
      <c r="C69" s="159" t="s">
        <v>477</v>
      </c>
      <c r="D69" s="159">
        <v>3</v>
      </c>
      <c r="E69" s="159">
        <v>0</v>
      </c>
      <c r="F69" s="159">
        <v>0</v>
      </c>
      <c r="G69" s="159" t="s">
        <v>6897</v>
      </c>
      <c r="H69" s="159" t="s">
        <v>2011</v>
      </c>
      <c r="I69" s="159">
        <v>0</v>
      </c>
    </row>
    <row r="70" spans="1:9" ht="15.75" customHeight="1">
      <c r="A70" s="159" t="s">
        <v>6798</v>
      </c>
      <c r="B70" s="159" t="s">
        <v>6898</v>
      </c>
      <c r="C70" s="159" t="s">
        <v>477</v>
      </c>
      <c r="D70" s="159">
        <v>3</v>
      </c>
      <c r="E70" s="159">
        <v>0</v>
      </c>
      <c r="F70" s="159">
        <v>0</v>
      </c>
      <c r="G70" s="159" t="s">
        <v>6899</v>
      </c>
      <c r="H70" s="159" t="s">
        <v>2011</v>
      </c>
      <c r="I70" s="159">
        <v>0</v>
      </c>
    </row>
    <row r="71" spans="1:9" ht="15.75" customHeight="1">
      <c r="A71" s="159" t="s">
        <v>6798</v>
      </c>
      <c r="B71" s="159" t="s">
        <v>6900</v>
      </c>
      <c r="C71" s="159" t="s">
        <v>477</v>
      </c>
      <c r="D71" s="159">
        <v>3</v>
      </c>
      <c r="E71" s="159">
        <v>0</v>
      </c>
      <c r="F71" s="159">
        <v>0</v>
      </c>
      <c r="G71" s="159" t="s">
        <v>6901</v>
      </c>
      <c r="H71" s="159" t="s">
        <v>596</v>
      </c>
      <c r="I71" s="159">
        <v>0</v>
      </c>
    </row>
    <row r="72" spans="1:9" ht="15.75" customHeight="1">
      <c r="A72" s="159" t="s">
        <v>6798</v>
      </c>
      <c r="B72" s="159" t="s">
        <v>6902</v>
      </c>
      <c r="C72" s="159" t="s">
        <v>477</v>
      </c>
      <c r="D72" s="159">
        <v>4</v>
      </c>
      <c r="E72" s="159">
        <v>0</v>
      </c>
      <c r="F72" s="159">
        <v>0</v>
      </c>
      <c r="G72" s="159" t="s">
        <v>6903</v>
      </c>
      <c r="H72" s="159" t="s">
        <v>6904</v>
      </c>
      <c r="I72" s="159">
        <v>0</v>
      </c>
    </row>
    <row r="73" spans="1:9" ht="15.75" customHeight="1">
      <c r="A73" s="159" t="s">
        <v>6798</v>
      </c>
      <c r="B73" s="159" t="s">
        <v>6905</v>
      </c>
      <c r="C73" s="159" t="s">
        <v>477</v>
      </c>
      <c r="D73" s="159">
        <v>200</v>
      </c>
      <c r="E73" s="159">
        <v>0</v>
      </c>
      <c r="F73" s="159">
        <v>0</v>
      </c>
      <c r="G73" s="159" t="s">
        <v>6906</v>
      </c>
      <c r="H73" s="159" t="s">
        <v>548</v>
      </c>
      <c r="I73" s="159">
        <v>0</v>
      </c>
    </row>
    <row r="74" spans="1:9" ht="15.75" customHeight="1">
      <c r="A74" s="159" t="s">
        <v>6798</v>
      </c>
      <c r="B74" s="159" t="s">
        <v>669</v>
      </c>
      <c r="C74" s="159" t="s">
        <v>496</v>
      </c>
      <c r="D74" s="159">
        <v>4</v>
      </c>
      <c r="E74" s="159">
        <v>16</v>
      </c>
      <c r="F74" s="159">
        <v>0</v>
      </c>
      <c r="G74" s="159" t="s">
        <v>6821</v>
      </c>
      <c r="H74" s="159" t="s">
        <v>479</v>
      </c>
      <c r="I74" s="159">
        <v>0</v>
      </c>
    </row>
    <row r="75" spans="1:9" ht="15.75" customHeight="1">
      <c r="A75" s="159" t="s">
        <v>6798</v>
      </c>
      <c r="B75" s="159" t="s">
        <v>523</v>
      </c>
      <c r="C75" s="159" t="s">
        <v>477</v>
      </c>
      <c r="D75" s="159">
        <v>100</v>
      </c>
      <c r="E75" s="159">
        <v>0</v>
      </c>
      <c r="F75" s="159">
        <v>0</v>
      </c>
      <c r="G75" s="159" t="s">
        <v>6822</v>
      </c>
      <c r="H75" s="159" t="s">
        <v>548</v>
      </c>
      <c r="I75" s="159">
        <v>0</v>
      </c>
    </row>
    <row r="76" spans="1:9" ht="15.75" customHeight="1">
      <c r="A76" s="159" t="s">
        <v>6798</v>
      </c>
      <c r="B76" s="159" t="s">
        <v>215</v>
      </c>
      <c r="C76" s="159" t="s">
        <v>496</v>
      </c>
      <c r="D76" s="159">
        <v>4</v>
      </c>
      <c r="E76" s="159">
        <v>16</v>
      </c>
      <c r="F76" s="159">
        <v>0</v>
      </c>
      <c r="G76" s="159" t="s">
        <v>803</v>
      </c>
      <c r="H76" s="159" t="s">
        <v>479</v>
      </c>
      <c r="I76" s="159">
        <v>0</v>
      </c>
    </row>
    <row r="77" spans="1:9" ht="15.75" customHeight="1">
      <c r="A77" s="159" t="s">
        <v>6798</v>
      </c>
      <c r="B77" s="159" t="s">
        <v>670</v>
      </c>
      <c r="C77" s="159" t="s">
        <v>477</v>
      </c>
      <c r="D77" s="159">
        <v>100</v>
      </c>
      <c r="E77" s="159">
        <v>0</v>
      </c>
      <c r="F77" s="159">
        <v>0</v>
      </c>
      <c r="G77" s="159" t="s">
        <v>1734</v>
      </c>
      <c r="H77" s="159" t="s">
        <v>548</v>
      </c>
      <c r="I77" s="159">
        <v>0</v>
      </c>
    </row>
    <row r="78" spans="1:9" ht="15.75" customHeight="1">
      <c r="A78" s="159" t="s">
        <v>6798</v>
      </c>
      <c r="B78" s="159" t="s">
        <v>6907</v>
      </c>
      <c r="C78" s="159" t="s">
        <v>477</v>
      </c>
      <c r="D78" s="159">
        <v>100</v>
      </c>
      <c r="E78" s="159">
        <v>0</v>
      </c>
      <c r="F78" s="159">
        <v>0</v>
      </c>
      <c r="G78" s="159" t="s">
        <v>6908</v>
      </c>
      <c r="H78" s="159" t="s">
        <v>548</v>
      </c>
      <c r="I78" s="159">
        <v>0</v>
      </c>
    </row>
    <row r="79" spans="1:9" ht="15.75" customHeight="1">
      <c r="A79" s="159" t="s">
        <v>6798</v>
      </c>
      <c r="B79" s="159" t="s">
        <v>6909</v>
      </c>
      <c r="C79" s="159" t="s">
        <v>496</v>
      </c>
      <c r="D79" s="159">
        <v>4</v>
      </c>
      <c r="E79" s="159">
        <v>16</v>
      </c>
      <c r="F79" s="159">
        <v>0</v>
      </c>
      <c r="G79" s="159" t="s">
        <v>6910</v>
      </c>
      <c r="H79" s="159" t="s">
        <v>548</v>
      </c>
      <c r="I79" s="159">
        <v>0</v>
      </c>
    </row>
    <row r="80" spans="1:9" ht="15.75" customHeight="1">
      <c r="A80" s="159" t="s">
        <v>6798</v>
      </c>
      <c r="B80" s="159" t="s">
        <v>6911</v>
      </c>
      <c r="C80" s="159" t="s">
        <v>477</v>
      </c>
      <c r="D80" s="159">
        <v>3</v>
      </c>
      <c r="E80" s="159">
        <v>0</v>
      </c>
      <c r="F80" s="159">
        <v>0</v>
      </c>
      <c r="G80" s="159" t="s">
        <v>6912</v>
      </c>
      <c r="H80" s="159" t="s">
        <v>596</v>
      </c>
      <c r="I80" s="159">
        <v>0</v>
      </c>
    </row>
    <row r="81" spans="1:9" ht="15.75" customHeight="1">
      <c r="A81" s="159" t="s">
        <v>6798</v>
      </c>
      <c r="B81" s="159" t="s">
        <v>6913</v>
      </c>
      <c r="C81" s="159" t="s">
        <v>477</v>
      </c>
      <c r="D81" s="159">
        <v>3</v>
      </c>
      <c r="E81" s="159">
        <v>0</v>
      </c>
      <c r="F81" s="159">
        <v>0</v>
      </c>
      <c r="G81" s="159" t="s">
        <v>6914</v>
      </c>
      <c r="H81" s="159" t="s">
        <v>596</v>
      </c>
      <c r="I81" s="159">
        <v>0</v>
      </c>
    </row>
    <row r="82" spans="1:9" ht="15.75" customHeight="1">
      <c r="A82" s="159" t="s">
        <v>6798</v>
      </c>
      <c r="B82" s="159" t="s">
        <v>6915</v>
      </c>
      <c r="C82" s="159" t="s">
        <v>477</v>
      </c>
      <c r="D82" s="159">
        <v>3</v>
      </c>
      <c r="E82" s="159">
        <v>0</v>
      </c>
      <c r="F82" s="159">
        <v>0</v>
      </c>
      <c r="G82" s="159" t="s">
        <v>6916</v>
      </c>
      <c r="H82" s="159" t="s">
        <v>596</v>
      </c>
      <c r="I82" s="159">
        <v>0</v>
      </c>
    </row>
    <row r="83" spans="1:9" ht="15.75" customHeight="1">
      <c r="A83" s="159" t="s">
        <v>6798</v>
      </c>
      <c r="B83" s="159" t="s">
        <v>6917</v>
      </c>
      <c r="C83" s="159" t="s">
        <v>477</v>
      </c>
      <c r="D83" s="159">
        <v>3</v>
      </c>
      <c r="E83" s="159">
        <v>0</v>
      </c>
      <c r="F83" s="159">
        <v>0</v>
      </c>
      <c r="G83" s="159" t="s">
        <v>6918</v>
      </c>
      <c r="H83" s="159" t="s">
        <v>596</v>
      </c>
      <c r="I83" s="159">
        <v>0</v>
      </c>
    </row>
    <row r="84" spans="1:9" ht="15.75" customHeight="1">
      <c r="A84" s="159" t="s">
        <v>6798</v>
      </c>
      <c r="B84" s="159" t="s">
        <v>6919</v>
      </c>
      <c r="C84" s="159" t="s">
        <v>477</v>
      </c>
      <c r="D84" s="159">
        <v>3</v>
      </c>
      <c r="E84" s="159">
        <v>0</v>
      </c>
      <c r="F84" s="159">
        <v>0</v>
      </c>
      <c r="G84" s="159" t="s">
        <v>6920</v>
      </c>
      <c r="H84" s="159" t="s">
        <v>596</v>
      </c>
      <c r="I84" s="159">
        <v>0</v>
      </c>
    </row>
    <row r="85" spans="1:9" ht="15.75" customHeight="1">
      <c r="A85" s="159" t="s">
        <v>6798</v>
      </c>
      <c r="B85" s="159" t="s">
        <v>6921</v>
      </c>
      <c r="C85" s="159" t="s">
        <v>484</v>
      </c>
      <c r="D85" s="159">
        <v>4</v>
      </c>
      <c r="E85" s="159">
        <v>10</v>
      </c>
      <c r="F85" s="159">
        <v>0</v>
      </c>
      <c r="G85" s="159" t="s">
        <v>6922</v>
      </c>
      <c r="H85" s="159" t="s">
        <v>6923</v>
      </c>
      <c r="I85" s="159">
        <v>0</v>
      </c>
    </row>
    <row r="86" spans="1:9" ht="15.75" customHeight="1">
      <c r="A86" s="159" t="s">
        <v>6781</v>
      </c>
      <c r="B86" s="159" t="s">
        <v>6924</v>
      </c>
      <c r="C86" s="159" t="s">
        <v>477</v>
      </c>
      <c r="D86" s="159">
        <v>3</v>
      </c>
      <c r="E86" s="159">
        <v>0</v>
      </c>
      <c r="F86" s="159">
        <v>0</v>
      </c>
      <c r="G86" s="159" t="s">
        <v>479</v>
      </c>
      <c r="H86" s="159" t="s">
        <v>596</v>
      </c>
      <c r="I86" s="159">
        <v>0</v>
      </c>
    </row>
    <row r="87" spans="1:9" ht="15.75" customHeight="1">
      <c r="A87" s="159" t="s">
        <v>6781</v>
      </c>
      <c r="B87" s="159" t="s">
        <v>6925</v>
      </c>
      <c r="C87" s="159" t="s">
        <v>477</v>
      </c>
      <c r="D87" s="159">
        <v>3</v>
      </c>
      <c r="E87" s="159">
        <v>0</v>
      </c>
      <c r="F87" s="159">
        <v>0</v>
      </c>
      <c r="G87" s="159" t="s">
        <v>479</v>
      </c>
      <c r="H87" s="159" t="s">
        <v>596</v>
      </c>
      <c r="I87" s="159">
        <v>0</v>
      </c>
    </row>
    <row r="88" spans="1:9" ht="15.75" customHeight="1">
      <c r="A88" s="159" t="s">
        <v>6781</v>
      </c>
      <c r="B88" s="159" t="s">
        <v>6926</v>
      </c>
      <c r="C88" s="159" t="s">
        <v>477</v>
      </c>
      <c r="D88" s="159">
        <v>15</v>
      </c>
      <c r="E88" s="159">
        <v>0</v>
      </c>
      <c r="F88" s="159">
        <v>0</v>
      </c>
      <c r="G88" s="159" t="s">
        <v>6927</v>
      </c>
      <c r="H88" s="159" t="s">
        <v>548</v>
      </c>
      <c r="I88" s="159">
        <v>0</v>
      </c>
    </row>
    <row r="89" spans="1:9" ht="15.75" customHeight="1">
      <c r="A89" s="159" t="s">
        <v>6781</v>
      </c>
      <c r="B89" s="159" t="s">
        <v>6803</v>
      </c>
      <c r="C89" s="159" t="s">
        <v>477</v>
      </c>
      <c r="D89" s="159">
        <v>15</v>
      </c>
      <c r="E89" s="159">
        <v>0</v>
      </c>
      <c r="F89" s="159">
        <v>0</v>
      </c>
      <c r="G89" s="159" t="s">
        <v>6808</v>
      </c>
      <c r="H89" s="159" t="s">
        <v>548</v>
      </c>
      <c r="I89" s="159">
        <v>0</v>
      </c>
    </row>
    <row r="90" spans="1:9" ht="15.75" customHeight="1">
      <c r="A90" s="159" t="s">
        <v>6781</v>
      </c>
      <c r="B90" s="159" t="s">
        <v>6928</v>
      </c>
      <c r="C90" s="159" t="s">
        <v>477</v>
      </c>
      <c r="D90" s="159">
        <v>15</v>
      </c>
      <c r="E90" s="159">
        <v>0</v>
      </c>
      <c r="F90" s="159">
        <v>0</v>
      </c>
      <c r="G90" s="159" t="s">
        <v>755</v>
      </c>
      <c r="H90" s="159" t="s">
        <v>548</v>
      </c>
      <c r="I90" s="159">
        <v>0</v>
      </c>
    </row>
    <row r="91" spans="1:9" ht="15.75" customHeight="1">
      <c r="A91" s="159" t="s">
        <v>6781</v>
      </c>
      <c r="B91" s="159" t="s">
        <v>6929</v>
      </c>
      <c r="C91" s="159" t="s">
        <v>477</v>
      </c>
      <c r="D91" s="159">
        <v>55</v>
      </c>
      <c r="E91" s="159">
        <v>0</v>
      </c>
      <c r="F91" s="159">
        <v>0</v>
      </c>
      <c r="G91" s="159" t="s">
        <v>6930</v>
      </c>
      <c r="H91" s="159" t="s">
        <v>548</v>
      </c>
      <c r="I91" s="159">
        <v>0</v>
      </c>
    </row>
    <row r="92" spans="1:9" ht="15.75" customHeight="1">
      <c r="A92" s="159" t="s">
        <v>6781</v>
      </c>
      <c r="B92" s="159" t="s">
        <v>6931</v>
      </c>
      <c r="C92" s="159" t="s">
        <v>477</v>
      </c>
      <c r="D92" s="159">
        <v>55</v>
      </c>
      <c r="E92" s="159">
        <v>0</v>
      </c>
      <c r="F92" s="159">
        <v>0</v>
      </c>
      <c r="G92" s="159" t="s">
        <v>6932</v>
      </c>
      <c r="H92" s="159" t="s">
        <v>548</v>
      </c>
      <c r="I92" s="159">
        <v>0</v>
      </c>
    </row>
    <row r="93" spans="1:9" ht="15.75" customHeight="1">
      <c r="A93" s="159" t="s">
        <v>6781</v>
      </c>
      <c r="B93" s="159" t="s">
        <v>6933</v>
      </c>
      <c r="C93" s="159" t="s">
        <v>477</v>
      </c>
      <c r="D93" s="159">
        <v>6</v>
      </c>
      <c r="E93" s="159">
        <v>0</v>
      </c>
      <c r="F93" s="159">
        <v>0</v>
      </c>
      <c r="G93" s="159" t="s">
        <v>6934</v>
      </c>
      <c r="H93" s="159" t="s">
        <v>813</v>
      </c>
      <c r="I93" s="159">
        <v>0</v>
      </c>
    </row>
    <row r="94" spans="1:9" ht="15.75" customHeight="1">
      <c r="A94" s="159" t="s">
        <v>6781</v>
      </c>
      <c r="B94" s="159" t="s">
        <v>6935</v>
      </c>
      <c r="C94" s="159" t="s">
        <v>477</v>
      </c>
      <c r="D94" s="159">
        <v>3</v>
      </c>
      <c r="E94" s="159">
        <v>0</v>
      </c>
      <c r="F94" s="159">
        <v>0</v>
      </c>
      <c r="G94" s="159" t="s">
        <v>6936</v>
      </c>
      <c r="H94" s="159" t="s">
        <v>596</v>
      </c>
      <c r="I94" s="159">
        <v>0</v>
      </c>
    </row>
    <row r="95" spans="1:9" ht="15.75" customHeight="1">
      <c r="A95" s="159" t="s">
        <v>6781</v>
      </c>
      <c r="B95" s="159" t="s">
        <v>6937</v>
      </c>
      <c r="C95" s="159" t="s">
        <v>477</v>
      </c>
      <c r="D95" s="159">
        <v>3</v>
      </c>
      <c r="E95" s="159">
        <v>0</v>
      </c>
      <c r="F95" s="159">
        <v>0</v>
      </c>
      <c r="G95" s="159" t="s">
        <v>6938</v>
      </c>
      <c r="H95" s="159" t="s">
        <v>596</v>
      </c>
      <c r="I95" s="159">
        <v>0</v>
      </c>
    </row>
    <row r="96" spans="1:9" ht="15.75" customHeight="1">
      <c r="A96" s="159" t="s">
        <v>6781</v>
      </c>
      <c r="B96" s="159" t="s">
        <v>1167</v>
      </c>
      <c r="C96" s="159" t="s">
        <v>477</v>
      </c>
      <c r="D96" s="159">
        <v>8</v>
      </c>
      <c r="E96" s="159">
        <v>0</v>
      </c>
      <c r="F96" s="159">
        <v>0</v>
      </c>
      <c r="G96" s="159" t="s">
        <v>1292</v>
      </c>
      <c r="H96" s="159" t="s">
        <v>548</v>
      </c>
      <c r="I96" s="159">
        <v>0</v>
      </c>
    </row>
    <row r="97" spans="1:9" ht="15.75" customHeight="1">
      <c r="A97" s="159" t="s">
        <v>6781</v>
      </c>
      <c r="B97" s="159" t="s">
        <v>4345</v>
      </c>
      <c r="C97" s="159" t="s">
        <v>484</v>
      </c>
      <c r="D97" s="159">
        <v>4</v>
      </c>
      <c r="E97" s="159">
        <v>10</v>
      </c>
      <c r="F97" s="159">
        <v>0</v>
      </c>
      <c r="G97" s="159" t="s">
        <v>6939</v>
      </c>
      <c r="H97" s="159" t="s">
        <v>615</v>
      </c>
      <c r="I97" s="159">
        <v>0</v>
      </c>
    </row>
    <row r="98" spans="1:9" ht="15.75" customHeight="1">
      <c r="A98" s="159" t="s">
        <v>6781</v>
      </c>
      <c r="B98" s="159" t="s">
        <v>669</v>
      </c>
      <c r="C98" s="159" t="s">
        <v>496</v>
      </c>
      <c r="D98" s="159">
        <v>4</v>
      </c>
      <c r="E98" s="159">
        <v>16</v>
      </c>
      <c r="F98" s="159">
        <v>0</v>
      </c>
      <c r="G98" s="159" t="s">
        <v>6821</v>
      </c>
      <c r="H98" s="159" t="s">
        <v>548</v>
      </c>
      <c r="I98" s="159">
        <v>0</v>
      </c>
    </row>
    <row r="99" spans="1:9" ht="15.75" customHeight="1">
      <c r="A99" s="159" t="s">
        <v>6781</v>
      </c>
      <c r="B99" s="159" t="s">
        <v>523</v>
      </c>
      <c r="C99" s="159" t="s">
        <v>477</v>
      </c>
      <c r="D99" s="159">
        <v>100</v>
      </c>
      <c r="E99" s="159">
        <v>0</v>
      </c>
      <c r="F99" s="159">
        <v>0</v>
      </c>
      <c r="G99" s="159" t="s">
        <v>6822</v>
      </c>
      <c r="H99" s="159" t="s">
        <v>548</v>
      </c>
      <c r="I99" s="159">
        <v>0</v>
      </c>
    </row>
    <row r="100" spans="1:9" ht="15.75" customHeight="1">
      <c r="A100" s="159" t="s">
        <v>6781</v>
      </c>
      <c r="B100" s="159" t="s">
        <v>215</v>
      </c>
      <c r="C100" s="159" t="s">
        <v>496</v>
      </c>
      <c r="D100" s="159">
        <v>4</v>
      </c>
      <c r="E100" s="159">
        <v>16</v>
      </c>
      <c r="F100" s="159">
        <v>0</v>
      </c>
      <c r="G100" s="159" t="s">
        <v>803</v>
      </c>
      <c r="H100" s="159" t="s">
        <v>548</v>
      </c>
      <c r="I100" s="159">
        <v>0</v>
      </c>
    </row>
    <row r="101" spans="1:9" ht="15.75" customHeight="1">
      <c r="A101" s="159" t="s">
        <v>6781</v>
      </c>
      <c r="B101" s="159" t="s">
        <v>670</v>
      </c>
      <c r="C101" s="159" t="s">
        <v>477</v>
      </c>
      <c r="D101" s="159">
        <v>100</v>
      </c>
      <c r="E101" s="159">
        <v>0</v>
      </c>
      <c r="F101" s="159">
        <v>0</v>
      </c>
      <c r="G101" s="159" t="s">
        <v>1734</v>
      </c>
      <c r="H101" s="159" t="s">
        <v>548</v>
      </c>
      <c r="I101" s="159">
        <v>0</v>
      </c>
    </row>
    <row r="102" spans="1:9" ht="15.75" customHeight="1">
      <c r="A102" s="159" t="s">
        <v>6804</v>
      </c>
      <c r="B102" s="159" t="s">
        <v>6928</v>
      </c>
      <c r="C102" s="159" t="s">
        <v>477</v>
      </c>
      <c r="D102" s="159">
        <v>15</v>
      </c>
      <c r="E102" s="159">
        <v>0</v>
      </c>
      <c r="F102" s="159">
        <v>0</v>
      </c>
      <c r="G102" s="159" t="s">
        <v>755</v>
      </c>
      <c r="H102" s="159" t="s">
        <v>548</v>
      </c>
      <c r="I102" s="159">
        <v>0</v>
      </c>
    </row>
    <row r="103" spans="1:9" ht="15.75" customHeight="1">
      <c r="A103" s="159" t="s">
        <v>6804</v>
      </c>
      <c r="B103" s="159" t="s">
        <v>6803</v>
      </c>
      <c r="C103" s="159" t="s">
        <v>477</v>
      </c>
      <c r="D103" s="159">
        <v>15</v>
      </c>
      <c r="E103" s="159">
        <v>0</v>
      </c>
      <c r="F103" s="159">
        <v>0</v>
      </c>
      <c r="G103" s="159" t="s">
        <v>6808</v>
      </c>
      <c r="H103" s="159" t="s">
        <v>548</v>
      </c>
      <c r="I103" s="159">
        <v>0</v>
      </c>
    </row>
    <row r="104" spans="1:9" ht="15.75" customHeight="1">
      <c r="A104" s="159" t="s">
        <v>6804</v>
      </c>
      <c r="B104" s="159" t="s">
        <v>1626</v>
      </c>
      <c r="C104" s="159" t="s">
        <v>477</v>
      </c>
      <c r="D104" s="159">
        <v>55</v>
      </c>
      <c r="E104" s="159">
        <v>0</v>
      </c>
      <c r="F104" s="159">
        <v>0</v>
      </c>
      <c r="G104" s="159" t="s">
        <v>6940</v>
      </c>
      <c r="H104" s="159" t="s">
        <v>548</v>
      </c>
      <c r="I104" s="159">
        <v>0</v>
      </c>
    </row>
    <row r="105" spans="1:9" ht="15.75" customHeight="1">
      <c r="A105" s="159" t="s">
        <v>6804</v>
      </c>
      <c r="B105" s="159" t="s">
        <v>1624</v>
      </c>
      <c r="C105" s="159" t="s">
        <v>477</v>
      </c>
      <c r="D105" s="159">
        <v>55</v>
      </c>
      <c r="E105" s="159">
        <v>0</v>
      </c>
      <c r="F105" s="159">
        <v>0</v>
      </c>
      <c r="G105" s="159" t="s">
        <v>6941</v>
      </c>
      <c r="H105" s="159" t="s">
        <v>548</v>
      </c>
      <c r="I105" s="159">
        <v>0</v>
      </c>
    </row>
    <row r="106" spans="1:9" ht="15.75" customHeight="1">
      <c r="A106" s="159" t="s">
        <v>6804</v>
      </c>
      <c r="B106" s="159" t="s">
        <v>6942</v>
      </c>
      <c r="C106" s="159" t="s">
        <v>477</v>
      </c>
      <c r="D106" s="159">
        <v>6</v>
      </c>
      <c r="E106" s="159">
        <v>0</v>
      </c>
      <c r="F106" s="159">
        <v>0</v>
      </c>
      <c r="G106" s="159" t="s">
        <v>6943</v>
      </c>
      <c r="H106" s="159" t="s">
        <v>813</v>
      </c>
      <c r="I106" s="159">
        <v>0</v>
      </c>
    </row>
    <row r="107" spans="1:9" ht="15.75" customHeight="1">
      <c r="A107" s="159" t="s">
        <v>6804</v>
      </c>
      <c r="B107" s="159" t="s">
        <v>669</v>
      </c>
      <c r="C107" s="159" t="s">
        <v>496</v>
      </c>
      <c r="D107" s="159">
        <v>4</v>
      </c>
      <c r="E107" s="159">
        <v>16</v>
      </c>
      <c r="F107" s="159">
        <v>0</v>
      </c>
      <c r="G107" s="159" t="s">
        <v>6821</v>
      </c>
      <c r="H107" s="159" t="s">
        <v>548</v>
      </c>
      <c r="I107" s="159">
        <v>0</v>
      </c>
    </row>
    <row r="108" spans="1:9" ht="15.75" customHeight="1">
      <c r="A108" s="159" t="s">
        <v>6804</v>
      </c>
      <c r="B108" s="159" t="s">
        <v>523</v>
      </c>
      <c r="C108" s="159" t="s">
        <v>477</v>
      </c>
      <c r="D108" s="159">
        <v>100</v>
      </c>
      <c r="E108" s="159">
        <v>0</v>
      </c>
      <c r="F108" s="159">
        <v>0</v>
      </c>
      <c r="G108" s="159" t="s">
        <v>6822</v>
      </c>
      <c r="H108" s="159" t="s">
        <v>548</v>
      </c>
      <c r="I108" s="159">
        <v>0</v>
      </c>
    </row>
    <row r="109" spans="1:9" ht="15.75" customHeight="1">
      <c r="A109" s="159" t="s">
        <v>6804</v>
      </c>
      <c r="B109" s="159" t="s">
        <v>215</v>
      </c>
      <c r="C109" s="159" t="s">
        <v>496</v>
      </c>
      <c r="D109" s="159">
        <v>4</v>
      </c>
      <c r="E109" s="159">
        <v>16</v>
      </c>
      <c r="F109" s="159">
        <v>0</v>
      </c>
      <c r="G109" s="159" t="s">
        <v>803</v>
      </c>
      <c r="H109" s="159" t="s">
        <v>548</v>
      </c>
      <c r="I109" s="159">
        <v>0</v>
      </c>
    </row>
    <row r="110" spans="1:9" ht="15.75" customHeight="1">
      <c r="A110" s="159" t="s">
        <v>6804</v>
      </c>
      <c r="B110" s="159" t="s">
        <v>670</v>
      </c>
      <c r="C110" s="159" t="s">
        <v>477</v>
      </c>
      <c r="D110" s="159">
        <v>100</v>
      </c>
      <c r="E110" s="159">
        <v>0</v>
      </c>
      <c r="F110" s="159">
        <v>0</v>
      </c>
      <c r="G110" s="159" t="s">
        <v>1734</v>
      </c>
      <c r="H110" s="159" t="s">
        <v>548</v>
      </c>
      <c r="I110" s="159">
        <v>0</v>
      </c>
    </row>
    <row r="111" spans="1:9" ht="15.75" customHeight="1">
      <c r="A111" s="159" t="s">
        <v>6944</v>
      </c>
      <c r="B111" s="159" t="s">
        <v>6945</v>
      </c>
      <c r="C111" s="159" t="s">
        <v>477</v>
      </c>
      <c r="D111" s="159">
        <v>20</v>
      </c>
      <c r="E111" s="159">
        <v>0</v>
      </c>
      <c r="F111" s="159">
        <v>0</v>
      </c>
      <c r="G111" s="159" t="s">
        <v>2461</v>
      </c>
      <c r="H111" s="159" t="s">
        <v>548</v>
      </c>
      <c r="I111" s="159">
        <v>0</v>
      </c>
    </row>
    <row r="112" spans="1:9" ht="15.75" customHeight="1">
      <c r="A112" s="159" t="s">
        <v>6944</v>
      </c>
      <c r="B112" s="159" t="s">
        <v>6946</v>
      </c>
      <c r="C112" s="159" t="s">
        <v>477</v>
      </c>
      <c r="D112" s="159">
        <v>36</v>
      </c>
      <c r="E112" s="159">
        <v>0</v>
      </c>
      <c r="F112" s="159">
        <v>0</v>
      </c>
      <c r="G112" s="159" t="s">
        <v>6947</v>
      </c>
      <c r="H112" s="159" t="s">
        <v>548</v>
      </c>
      <c r="I112" s="159">
        <v>0</v>
      </c>
    </row>
    <row r="113" spans="1:9" ht="15.75" customHeight="1">
      <c r="A113" s="159" t="s">
        <v>6944</v>
      </c>
      <c r="B113" s="159" t="s">
        <v>4746</v>
      </c>
      <c r="C113" s="159" t="s">
        <v>496</v>
      </c>
      <c r="D113" s="159">
        <v>4</v>
      </c>
      <c r="E113" s="159">
        <v>16</v>
      </c>
      <c r="F113" s="159">
        <v>0</v>
      </c>
      <c r="G113" s="159" t="s">
        <v>6948</v>
      </c>
      <c r="H113" s="159" t="s">
        <v>548</v>
      </c>
      <c r="I113" s="159">
        <v>0</v>
      </c>
    </row>
    <row r="114" spans="1:9" ht="15.75" customHeight="1">
      <c r="A114" s="159" t="s">
        <v>6944</v>
      </c>
      <c r="B114" s="159" t="s">
        <v>4411</v>
      </c>
      <c r="C114" s="159" t="s">
        <v>477</v>
      </c>
      <c r="D114" s="159">
        <v>15</v>
      </c>
      <c r="E114" s="159">
        <v>0</v>
      </c>
      <c r="F114" s="159">
        <v>0</v>
      </c>
      <c r="G114" s="159" t="s">
        <v>6949</v>
      </c>
      <c r="H114" s="159" t="s">
        <v>548</v>
      </c>
      <c r="I114" s="159">
        <v>0</v>
      </c>
    </row>
    <row r="115" spans="1:9" ht="15.75" customHeight="1">
      <c r="A115" s="159" t="s">
        <v>6944</v>
      </c>
      <c r="B115" s="159" t="s">
        <v>6803</v>
      </c>
      <c r="C115" s="159" t="s">
        <v>477</v>
      </c>
      <c r="D115" s="159">
        <v>15</v>
      </c>
      <c r="E115" s="159">
        <v>0</v>
      </c>
      <c r="F115" s="159">
        <v>0</v>
      </c>
      <c r="G115" s="159" t="s">
        <v>6808</v>
      </c>
      <c r="H115" s="159" t="s">
        <v>548</v>
      </c>
      <c r="I115" s="159">
        <v>0</v>
      </c>
    </row>
    <row r="116" spans="1:9" ht="15.75" customHeight="1">
      <c r="A116" s="159" t="s">
        <v>6944</v>
      </c>
      <c r="B116" s="159" t="s">
        <v>6928</v>
      </c>
      <c r="C116" s="159" t="s">
        <v>477</v>
      </c>
      <c r="D116" s="159">
        <v>15</v>
      </c>
      <c r="E116" s="159">
        <v>0</v>
      </c>
      <c r="F116" s="159">
        <v>0</v>
      </c>
      <c r="G116" s="159" t="s">
        <v>755</v>
      </c>
      <c r="H116" s="159" t="s">
        <v>548</v>
      </c>
      <c r="I116" s="159">
        <v>0</v>
      </c>
    </row>
    <row r="117" spans="1:9" ht="15.75" customHeight="1">
      <c r="A117" s="159" t="s">
        <v>6944</v>
      </c>
      <c r="B117" s="159" t="s">
        <v>6926</v>
      </c>
      <c r="C117" s="159" t="s">
        <v>477</v>
      </c>
      <c r="D117" s="159">
        <v>15</v>
      </c>
      <c r="E117" s="159">
        <v>0</v>
      </c>
      <c r="F117" s="159">
        <v>0</v>
      </c>
      <c r="G117" s="159" t="s">
        <v>6950</v>
      </c>
      <c r="H117" s="159" t="s">
        <v>548</v>
      </c>
      <c r="I117" s="159">
        <v>0</v>
      </c>
    </row>
    <row r="118" spans="1:9" ht="15.75" customHeight="1">
      <c r="A118" s="159" t="s">
        <v>6944</v>
      </c>
      <c r="B118" s="159" t="s">
        <v>1167</v>
      </c>
      <c r="C118" s="159" t="s">
        <v>477</v>
      </c>
      <c r="D118" s="159">
        <v>8</v>
      </c>
      <c r="E118" s="159">
        <v>0</v>
      </c>
      <c r="F118" s="159">
        <v>0</v>
      </c>
      <c r="G118" s="159" t="s">
        <v>1292</v>
      </c>
      <c r="H118" s="159" t="s">
        <v>548</v>
      </c>
      <c r="I118" s="159">
        <v>0</v>
      </c>
    </row>
    <row r="119" spans="1:9" ht="15.75" customHeight="1">
      <c r="A119" s="159" t="s">
        <v>6944</v>
      </c>
      <c r="B119" s="159" t="s">
        <v>557</v>
      </c>
      <c r="C119" s="159" t="s">
        <v>477</v>
      </c>
      <c r="D119" s="159">
        <v>100</v>
      </c>
      <c r="E119" s="159">
        <v>0</v>
      </c>
      <c r="F119" s="159">
        <v>0</v>
      </c>
      <c r="G119" s="159" t="s">
        <v>6951</v>
      </c>
      <c r="H119" s="159" t="s">
        <v>548</v>
      </c>
      <c r="I119" s="159">
        <v>0</v>
      </c>
    </row>
    <row r="120" spans="1:9" ht="15.75" customHeight="1">
      <c r="A120" s="159" t="s">
        <v>6944</v>
      </c>
      <c r="B120" s="159" t="s">
        <v>4419</v>
      </c>
      <c r="C120" s="159" t="s">
        <v>477</v>
      </c>
      <c r="D120" s="159">
        <v>100</v>
      </c>
      <c r="E120" s="159">
        <v>0</v>
      </c>
      <c r="F120" s="159">
        <v>0</v>
      </c>
      <c r="G120" s="159" t="s">
        <v>6828</v>
      </c>
      <c r="H120" s="159" t="s">
        <v>548</v>
      </c>
      <c r="I120" s="159">
        <v>0</v>
      </c>
    </row>
    <row r="121" spans="1:9" ht="15.75" customHeight="1">
      <c r="A121" s="159" t="s">
        <v>6944</v>
      </c>
      <c r="B121" s="159" t="s">
        <v>6952</v>
      </c>
      <c r="C121" s="159" t="s">
        <v>477</v>
      </c>
      <c r="D121" s="159">
        <v>50</v>
      </c>
      <c r="E121" s="159">
        <v>0</v>
      </c>
      <c r="F121" s="159">
        <v>0</v>
      </c>
      <c r="G121" s="159" t="s">
        <v>6953</v>
      </c>
      <c r="H121" s="159" t="s">
        <v>548</v>
      </c>
      <c r="I121" s="159">
        <v>0</v>
      </c>
    </row>
    <row r="122" spans="1:9" ht="15.75" customHeight="1">
      <c r="A122" s="159" t="s">
        <v>6944</v>
      </c>
      <c r="B122" s="159" t="s">
        <v>6954</v>
      </c>
      <c r="C122" s="159" t="s">
        <v>477</v>
      </c>
      <c r="D122" s="159">
        <v>50</v>
      </c>
      <c r="E122" s="159">
        <v>0</v>
      </c>
      <c r="F122" s="159">
        <v>0</v>
      </c>
      <c r="G122" s="159" t="s">
        <v>6955</v>
      </c>
      <c r="H122" s="159" t="s">
        <v>548</v>
      </c>
      <c r="I122" s="159">
        <v>0</v>
      </c>
    </row>
    <row r="123" spans="1:9" ht="15.75" customHeight="1">
      <c r="A123" s="159" t="s">
        <v>6944</v>
      </c>
      <c r="B123" s="159" t="s">
        <v>2355</v>
      </c>
      <c r="C123" s="159" t="s">
        <v>477</v>
      </c>
      <c r="D123" s="159">
        <v>55</v>
      </c>
      <c r="E123" s="159">
        <v>0</v>
      </c>
      <c r="F123" s="159">
        <v>0</v>
      </c>
      <c r="G123" s="159" t="s">
        <v>6956</v>
      </c>
      <c r="H123" s="159" t="s">
        <v>548</v>
      </c>
      <c r="I123" s="159">
        <v>0</v>
      </c>
    </row>
    <row r="124" spans="1:9" ht="15.75" customHeight="1">
      <c r="A124" s="159" t="s">
        <v>6944</v>
      </c>
      <c r="B124" s="159" t="s">
        <v>2357</v>
      </c>
      <c r="C124" s="159" t="s">
        <v>477</v>
      </c>
      <c r="D124" s="159">
        <v>110</v>
      </c>
      <c r="E124" s="159">
        <v>0</v>
      </c>
      <c r="F124" s="159">
        <v>0</v>
      </c>
      <c r="G124" s="159" t="s">
        <v>6957</v>
      </c>
      <c r="H124" s="159" t="s">
        <v>479</v>
      </c>
      <c r="I124" s="159">
        <v>0</v>
      </c>
    </row>
    <row r="125" spans="1:9" ht="15.75" customHeight="1">
      <c r="A125" s="159" t="s">
        <v>6944</v>
      </c>
      <c r="B125" s="159" t="s">
        <v>2359</v>
      </c>
      <c r="C125" s="159" t="s">
        <v>477</v>
      </c>
      <c r="D125" s="159">
        <v>55</v>
      </c>
      <c r="E125" s="159">
        <v>0</v>
      </c>
      <c r="F125" s="159">
        <v>0</v>
      </c>
      <c r="G125" s="159" t="s">
        <v>6958</v>
      </c>
      <c r="H125" s="159" t="s">
        <v>548</v>
      </c>
      <c r="I125" s="159">
        <v>0</v>
      </c>
    </row>
    <row r="126" spans="1:9" ht="15.75" customHeight="1">
      <c r="A126" s="159" t="s">
        <v>6944</v>
      </c>
      <c r="B126" s="159" t="s">
        <v>2361</v>
      </c>
      <c r="C126" s="159" t="s">
        <v>477</v>
      </c>
      <c r="D126" s="159">
        <v>55</v>
      </c>
      <c r="E126" s="159">
        <v>0</v>
      </c>
      <c r="F126" s="159">
        <v>0</v>
      </c>
      <c r="G126" s="159" t="s">
        <v>6959</v>
      </c>
      <c r="H126" s="159" t="s">
        <v>548</v>
      </c>
      <c r="I126" s="159">
        <v>0</v>
      </c>
    </row>
    <row r="127" spans="1:9" ht="15.75" customHeight="1">
      <c r="A127" s="159" t="s">
        <v>6944</v>
      </c>
      <c r="B127" s="159" t="s">
        <v>4345</v>
      </c>
      <c r="C127" s="159" t="s">
        <v>484</v>
      </c>
      <c r="D127" s="159">
        <v>4</v>
      </c>
      <c r="E127" s="159">
        <v>10</v>
      </c>
      <c r="F127" s="159">
        <v>0</v>
      </c>
      <c r="G127" s="159" t="s">
        <v>6960</v>
      </c>
      <c r="H127" s="159" t="s">
        <v>615</v>
      </c>
      <c r="I127" s="159">
        <v>0</v>
      </c>
    </row>
    <row r="128" spans="1:9" ht="15.75" customHeight="1">
      <c r="A128" s="159" t="s">
        <v>6944</v>
      </c>
      <c r="B128" s="159" t="s">
        <v>6961</v>
      </c>
      <c r="C128" s="159" t="s">
        <v>484</v>
      </c>
      <c r="D128" s="159">
        <v>4</v>
      </c>
      <c r="E128" s="159">
        <v>10</v>
      </c>
      <c r="F128" s="159">
        <v>0</v>
      </c>
      <c r="G128" s="159" t="s">
        <v>6962</v>
      </c>
      <c r="H128" s="159" t="s">
        <v>615</v>
      </c>
      <c r="I128" s="159">
        <v>0</v>
      </c>
    </row>
    <row r="129" spans="1:9" ht="15.75" customHeight="1">
      <c r="A129" s="159" t="s">
        <v>6944</v>
      </c>
      <c r="B129" s="159" t="s">
        <v>2549</v>
      </c>
      <c r="C129" s="159" t="s">
        <v>477</v>
      </c>
      <c r="D129" s="159">
        <v>50</v>
      </c>
      <c r="E129" s="159">
        <v>0</v>
      </c>
      <c r="F129" s="159">
        <v>0</v>
      </c>
      <c r="G129" s="159" t="s">
        <v>2550</v>
      </c>
      <c r="H129" s="159" t="s">
        <v>548</v>
      </c>
      <c r="I129" s="159">
        <v>0</v>
      </c>
    </row>
    <row r="130" spans="1:9" ht="15.75" customHeight="1">
      <c r="A130" s="159" t="s">
        <v>6944</v>
      </c>
      <c r="B130" s="159" t="s">
        <v>2551</v>
      </c>
      <c r="C130" s="159" t="s">
        <v>477</v>
      </c>
      <c r="D130" s="159">
        <v>50</v>
      </c>
      <c r="E130" s="159">
        <v>0</v>
      </c>
      <c r="F130" s="159">
        <v>0</v>
      </c>
      <c r="G130" s="159" t="s">
        <v>6963</v>
      </c>
      <c r="H130" s="159" t="s">
        <v>548</v>
      </c>
      <c r="I130" s="159">
        <v>0</v>
      </c>
    </row>
    <row r="131" spans="1:9" ht="15.75" customHeight="1">
      <c r="A131" s="159" t="s">
        <v>6944</v>
      </c>
      <c r="B131" s="159" t="s">
        <v>2522</v>
      </c>
      <c r="C131" s="159" t="s">
        <v>484</v>
      </c>
      <c r="D131" s="159">
        <v>4</v>
      </c>
      <c r="E131" s="159">
        <v>10</v>
      </c>
      <c r="F131" s="159">
        <v>0</v>
      </c>
      <c r="G131" s="159" t="s">
        <v>6964</v>
      </c>
      <c r="H131" s="159" t="s">
        <v>615</v>
      </c>
      <c r="I131" s="159">
        <v>0</v>
      </c>
    </row>
    <row r="132" spans="1:9" ht="15.75" customHeight="1">
      <c r="A132" s="159" t="s">
        <v>6944</v>
      </c>
      <c r="B132" s="159" t="s">
        <v>2365</v>
      </c>
      <c r="C132" s="159" t="s">
        <v>477</v>
      </c>
      <c r="D132" s="159">
        <v>55</v>
      </c>
      <c r="E132" s="159">
        <v>0</v>
      </c>
      <c r="F132" s="159">
        <v>0</v>
      </c>
      <c r="G132" s="159" t="s">
        <v>2468</v>
      </c>
      <c r="H132" s="159" t="s">
        <v>548</v>
      </c>
      <c r="I132" s="159">
        <v>0</v>
      </c>
    </row>
    <row r="133" spans="1:9" ht="15.75" customHeight="1">
      <c r="A133" s="159" t="s">
        <v>6944</v>
      </c>
      <c r="B133" s="159" t="s">
        <v>2367</v>
      </c>
      <c r="C133" s="159" t="s">
        <v>477</v>
      </c>
      <c r="D133" s="159">
        <v>110</v>
      </c>
      <c r="E133" s="159">
        <v>0</v>
      </c>
      <c r="F133" s="159">
        <v>0</v>
      </c>
      <c r="G133" s="159" t="s">
        <v>2469</v>
      </c>
      <c r="H133" s="159" t="s">
        <v>548</v>
      </c>
      <c r="I133" s="159">
        <v>0</v>
      </c>
    </row>
    <row r="134" spans="1:9" ht="15.75" customHeight="1">
      <c r="A134" s="159" t="s">
        <v>6944</v>
      </c>
      <c r="B134" s="159" t="s">
        <v>2369</v>
      </c>
      <c r="C134" s="159" t="s">
        <v>477</v>
      </c>
      <c r="D134" s="159">
        <v>55</v>
      </c>
      <c r="E134" s="159">
        <v>0</v>
      </c>
      <c r="F134" s="159">
        <v>0</v>
      </c>
      <c r="G134" s="159" t="s">
        <v>2470</v>
      </c>
      <c r="H134" s="159" t="s">
        <v>548</v>
      </c>
      <c r="I134" s="159">
        <v>0</v>
      </c>
    </row>
    <row r="135" spans="1:9" ht="15.75" customHeight="1">
      <c r="A135" s="159" t="s">
        <v>6944</v>
      </c>
      <c r="B135" s="159" t="s">
        <v>2471</v>
      </c>
      <c r="C135" s="159" t="s">
        <v>477</v>
      </c>
      <c r="D135" s="159">
        <v>55</v>
      </c>
      <c r="E135" s="159">
        <v>0</v>
      </c>
      <c r="F135" s="159">
        <v>0</v>
      </c>
      <c r="G135" s="159" t="s">
        <v>2472</v>
      </c>
      <c r="H135" s="159" t="s">
        <v>548</v>
      </c>
      <c r="I135" s="159">
        <v>0</v>
      </c>
    </row>
    <row r="136" spans="1:9" ht="15.75" customHeight="1">
      <c r="A136" s="159" t="s">
        <v>6944</v>
      </c>
      <c r="B136" s="159" t="s">
        <v>2475</v>
      </c>
      <c r="C136" s="159" t="s">
        <v>477</v>
      </c>
      <c r="D136" s="159">
        <v>20</v>
      </c>
      <c r="E136" s="159">
        <v>0</v>
      </c>
      <c r="F136" s="159">
        <v>0</v>
      </c>
      <c r="G136" s="159" t="s">
        <v>6965</v>
      </c>
      <c r="H136" s="159" t="s">
        <v>548</v>
      </c>
      <c r="I136" s="159">
        <v>0</v>
      </c>
    </row>
    <row r="137" spans="1:9" ht="15.75" customHeight="1">
      <c r="A137" s="159" t="s">
        <v>6944</v>
      </c>
      <c r="B137" s="159" t="s">
        <v>6966</v>
      </c>
      <c r="C137" s="159" t="s">
        <v>477</v>
      </c>
      <c r="D137" s="159">
        <v>100</v>
      </c>
      <c r="E137" s="159">
        <v>0</v>
      </c>
      <c r="F137" s="159">
        <v>0</v>
      </c>
      <c r="G137" s="159" t="s">
        <v>6967</v>
      </c>
      <c r="H137" s="159" t="s">
        <v>548</v>
      </c>
      <c r="I137" s="159">
        <v>0</v>
      </c>
    </row>
    <row r="138" spans="1:9" ht="15.75" customHeight="1">
      <c r="A138" s="159" t="s">
        <v>6944</v>
      </c>
      <c r="B138" s="159" t="s">
        <v>4749</v>
      </c>
      <c r="C138" s="159" t="s">
        <v>477</v>
      </c>
      <c r="D138" s="159">
        <v>3</v>
      </c>
      <c r="E138" s="159">
        <v>0</v>
      </c>
      <c r="F138" s="159">
        <v>0</v>
      </c>
      <c r="G138" s="159" t="s">
        <v>6968</v>
      </c>
      <c r="H138" s="159" t="s">
        <v>615</v>
      </c>
      <c r="I138" s="159">
        <v>0</v>
      </c>
    </row>
    <row r="139" spans="1:9" ht="15.75" customHeight="1">
      <c r="A139" s="159" t="s">
        <v>6944</v>
      </c>
      <c r="B139" s="159" t="s">
        <v>4579</v>
      </c>
      <c r="C139" s="159" t="s">
        <v>484</v>
      </c>
      <c r="D139" s="159">
        <v>4</v>
      </c>
      <c r="E139" s="159">
        <v>10</v>
      </c>
      <c r="F139" s="159">
        <v>0</v>
      </c>
      <c r="G139" s="159" t="s">
        <v>6969</v>
      </c>
      <c r="H139" s="159" t="s">
        <v>615</v>
      </c>
      <c r="I139" s="159">
        <v>0</v>
      </c>
    </row>
    <row r="140" spans="1:9" ht="15.75" customHeight="1">
      <c r="A140" s="159" t="s">
        <v>6944</v>
      </c>
      <c r="B140" s="159" t="s">
        <v>6970</v>
      </c>
      <c r="C140" s="159" t="s">
        <v>484</v>
      </c>
      <c r="D140" s="159">
        <v>4</v>
      </c>
      <c r="E140" s="159">
        <v>10</v>
      </c>
      <c r="F140" s="159">
        <v>0</v>
      </c>
      <c r="G140" s="159" t="s">
        <v>6971</v>
      </c>
      <c r="H140" s="159" t="s">
        <v>615</v>
      </c>
      <c r="I140" s="159">
        <v>0</v>
      </c>
    </row>
    <row r="141" spans="1:9" ht="15.75" customHeight="1">
      <c r="A141" s="159" t="s">
        <v>6944</v>
      </c>
      <c r="B141" s="159" t="s">
        <v>2385</v>
      </c>
      <c r="C141" s="159" t="s">
        <v>484</v>
      </c>
      <c r="D141" s="159">
        <v>4</v>
      </c>
      <c r="E141" s="159">
        <v>10</v>
      </c>
      <c r="F141" s="159">
        <v>0</v>
      </c>
      <c r="G141" s="159" t="s">
        <v>1656</v>
      </c>
      <c r="H141" s="159" t="s">
        <v>615</v>
      </c>
      <c r="I141" s="159">
        <v>0</v>
      </c>
    </row>
    <row r="142" spans="1:9" ht="15.75" customHeight="1">
      <c r="A142" s="159" t="s">
        <v>6944</v>
      </c>
      <c r="B142" s="159" t="s">
        <v>2372</v>
      </c>
      <c r="C142" s="159" t="s">
        <v>477</v>
      </c>
      <c r="D142" s="159">
        <v>50</v>
      </c>
      <c r="E142" s="159">
        <v>0</v>
      </c>
      <c r="F142" s="159">
        <v>0</v>
      </c>
      <c r="G142" s="159" t="s">
        <v>2310</v>
      </c>
      <c r="H142" s="159" t="s">
        <v>548</v>
      </c>
      <c r="I142" s="159">
        <v>0</v>
      </c>
    </row>
    <row r="143" spans="1:9" ht="15.75" customHeight="1">
      <c r="A143" s="159" t="s">
        <v>6944</v>
      </c>
      <c r="B143" s="159" t="s">
        <v>2377</v>
      </c>
      <c r="C143" s="159" t="s">
        <v>477</v>
      </c>
      <c r="D143" s="159">
        <v>50</v>
      </c>
      <c r="E143" s="159">
        <v>0</v>
      </c>
      <c r="F143" s="159">
        <v>0</v>
      </c>
      <c r="G143" s="159" t="s">
        <v>2495</v>
      </c>
      <c r="H143" s="159" t="s">
        <v>548</v>
      </c>
      <c r="I143" s="159">
        <v>0</v>
      </c>
    </row>
    <row r="144" spans="1:9" ht="15.75" customHeight="1">
      <c r="A144" s="159" t="s">
        <v>6944</v>
      </c>
      <c r="B144" s="159" t="s">
        <v>2379</v>
      </c>
      <c r="C144" s="159" t="s">
        <v>477</v>
      </c>
      <c r="D144" s="159">
        <v>50</v>
      </c>
      <c r="E144" s="159">
        <v>0</v>
      </c>
      <c r="F144" s="159">
        <v>0</v>
      </c>
      <c r="G144" s="159" t="s">
        <v>2519</v>
      </c>
      <c r="H144" s="159" t="s">
        <v>548</v>
      </c>
      <c r="I144" s="159">
        <v>0</v>
      </c>
    </row>
    <row r="145" spans="1:9" ht="15.75" customHeight="1">
      <c r="A145" s="159" t="s">
        <v>6944</v>
      </c>
      <c r="B145" s="159" t="s">
        <v>6972</v>
      </c>
      <c r="C145" s="159" t="s">
        <v>477</v>
      </c>
      <c r="D145" s="159">
        <v>100</v>
      </c>
      <c r="E145" s="159">
        <v>0</v>
      </c>
      <c r="F145" s="159">
        <v>0</v>
      </c>
      <c r="G145" s="159" t="s">
        <v>6973</v>
      </c>
      <c r="H145" s="159" t="s">
        <v>548</v>
      </c>
      <c r="I145" s="159">
        <v>0</v>
      </c>
    </row>
    <row r="146" spans="1:9" ht="15.75" customHeight="1">
      <c r="A146" s="159" t="s">
        <v>6944</v>
      </c>
      <c r="B146" s="159" t="s">
        <v>6974</v>
      </c>
      <c r="C146" s="159" t="s">
        <v>477</v>
      </c>
      <c r="D146" s="159">
        <v>20</v>
      </c>
      <c r="E146" s="159">
        <v>0</v>
      </c>
      <c r="F146" s="159">
        <v>0</v>
      </c>
      <c r="G146" s="159" t="s">
        <v>6975</v>
      </c>
      <c r="H146" s="159" t="s">
        <v>548</v>
      </c>
      <c r="I146" s="159">
        <v>0</v>
      </c>
    </row>
    <row r="147" spans="1:9" ht="15.75" customHeight="1">
      <c r="A147" s="159" t="s">
        <v>6944</v>
      </c>
      <c r="B147" s="159" t="s">
        <v>6829</v>
      </c>
      <c r="C147" s="159" t="s">
        <v>484</v>
      </c>
      <c r="D147" s="159">
        <v>4</v>
      </c>
      <c r="E147" s="159">
        <v>10</v>
      </c>
      <c r="F147" s="159">
        <v>0</v>
      </c>
      <c r="G147" s="159" t="s">
        <v>6976</v>
      </c>
      <c r="H147" s="159" t="s">
        <v>479</v>
      </c>
      <c r="I147" s="159">
        <v>0</v>
      </c>
    </row>
    <row r="148" spans="1:9" ht="15.75" customHeight="1">
      <c r="A148" s="159" t="s">
        <v>6944</v>
      </c>
      <c r="B148" s="159" t="s">
        <v>6977</v>
      </c>
      <c r="C148" s="159" t="s">
        <v>481</v>
      </c>
      <c r="D148" s="159">
        <v>5</v>
      </c>
      <c r="E148" s="159">
        <v>9</v>
      </c>
      <c r="F148" s="159">
        <v>2</v>
      </c>
      <c r="G148" s="159" t="s">
        <v>6978</v>
      </c>
      <c r="H148" s="159" t="s">
        <v>1223</v>
      </c>
      <c r="I148" s="159">
        <v>0</v>
      </c>
    </row>
    <row r="149" spans="1:9" ht="15.75" customHeight="1">
      <c r="A149" s="159" t="s">
        <v>6944</v>
      </c>
      <c r="B149" s="159" t="s">
        <v>1196</v>
      </c>
      <c r="C149" s="159" t="s">
        <v>481</v>
      </c>
      <c r="D149" s="159">
        <v>5</v>
      </c>
      <c r="E149" s="159">
        <v>9</v>
      </c>
      <c r="F149" s="159">
        <v>2</v>
      </c>
      <c r="G149" s="159" t="s">
        <v>6979</v>
      </c>
      <c r="H149" s="159" t="s">
        <v>1223</v>
      </c>
      <c r="I149" s="159">
        <v>0</v>
      </c>
    </row>
    <row r="150" spans="1:9" ht="15.75" customHeight="1">
      <c r="A150" s="159" t="s">
        <v>6944</v>
      </c>
      <c r="B150" s="159" t="s">
        <v>1243</v>
      </c>
      <c r="C150" s="159" t="s">
        <v>481</v>
      </c>
      <c r="D150" s="159">
        <v>5</v>
      </c>
      <c r="E150" s="159">
        <v>9</v>
      </c>
      <c r="F150" s="159">
        <v>2</v>
      </c>
      <c r="G150" s="159" t="s">
        <v>1924</v>
      </c>
      <c r="H150" s="159" t="s">
        <v>1223</v>
      </c>
      <c r="I150" s="159">
        <v>0</v>
      </c>
    </row>
    <row r="151" spans="1:9" ht="15.75" customHeight="1">
      <c r="A151" s="159" t="s">
        <v>6944</v>
      </c>
      <c r="B151" s="159" t="s">
        <v>663</v>
      </c>
      <c r="C151" s="159" t="s">
        <v>481</v>
      </c>
      <c r="D151" s="159">
        <v>5</v>
      </c>
      <c r="E151" s="159">
        <v>9</v>
      </c>
      <c r="F151" s="159">
        <v>2</v>
      </c>
      <c r="G151" s="159" t="s">
        <v>6980</v>
      </c>
      <c r="H151" s="159" t="s">
        <v>1223</v>
      </c>
      <c r="I151" s="159">
        <v>0</v>
      </c>
    </row>
    <row r="152" spans="1:9" ht="15.75" customHeight="1">
      <c r="A152" s="159" t="s">
        <v>6944</v>
      </c>
      <c r="B152" s="159" t="s">
        <v>658</v>
      </c>
      <c r="C152" s="159" t="s">
        <v>481</v>
      </c>
      <c r="D152" s="159">
        <v>5</v>
      </c>
      <c r="E152" s="159">
        <v>9</v>
      </c>
      <c r="F152" s="159">
        <v>2</v>
      </c>
      <c r="G152" s="159" t="s">
        <v>6981</v>
      </c>
      <c r="H152" s="159" t="s">
        <v>1223</v>
      </c>
      <c r="I152" s="159">
        <v>0</v>
      </c>
    </row>
    <row r="153" spans="1:9" ht="15.75" customHeight="1">
      <c r="A153" s="159" t="s">
        <v>6944</v>
      </c>
      <c r="B153" s="159" t="s">
        <v>6982</v>
      </c>
      <c r="C153" s="159" t="s">
        <v>481</v>
      </c>
      <c r="D153" s="159">
        <v>5</v>
      </c>
      <c r="E153" s="159">
        <v>9</v>
      </c>
      <c r="F153" s="159">
        <v>2</v>
      </c>
      <c r="G153" s="159" t="s">
        <v>6983</v>
      </c>
      <c r="H153" s="159" t="s">
        <v>1223</v>
      </c>
      <c r="I153" s="159">
        <v>0</v>
      </c>
    </row>
    <row r="154" spans="1:9" ht="15.75" customHeight="1">
      <c r="A154" s="159" t="s">
        <v>6944</v>
      </c>
      <c r="B154" s="159" t="s">
        <v>6984</v>
      </c>
      <c r="C154" s="159" t="s">
        <v>481</v>
      </c>
      <c r="D154" s="159">
        <v>5</v>
      </c>
      <c r="E154" s="159">
        <v>9</v>
      </c>
      <c r="F154" s="159">
        <v>2</v>
      </c>
      <c r="G154" s="159" t="s">
        <v>6985</v>
      </c>
      <c r="H154" s="159" t="s">
        <v>1223</v>
      </c>
      <c r="I154" s="159">
        <v>0</v>
      </c>
    </row>
    <row r="155" spans="1:9" ht="15.75" customHeight="1">
      <c r="A155" s="159" t="s">
        <v>6944</v>
      </c>
      <c r="B155" s="159" t="s">
        <v>1265</v>
      </c>
      <c r="C155" s="159" t="s">
        <v>481</v>
      </c>
      <c r="D155" s="159">
        <v>5</v>
      </c>
      <c r="E155" s="159">
        <v>9</v>
      </c>
      <c r="F155" s="159">
        <v>2</v>
      </c>
      <c r="G155" s="159" t="s">
        <v>1266</v>
      </c>
      <c r="H155" s="159" t="s">
        <v>1223</v>
      </c>
      <c r="I155" s="159">
        <v>0</v>
      </c>
    </row>
    <row r="156" spans="1:9" ht="15.75" customHeight="1">
      <c r="A156" s="159" t="s">
        <v>6944</v>
      </c>
      <c r="B156" s="159" t="s">
        <v>1267</v>
      </c>
      <c r="C156" s="159" t="s">
        <v>481</v>
      </c>
      <c r="D156" s="159">
        <v>5</v>
      </c>
      <c r="E156" s="159">
        <v>9</v>
      </c>
      <c r="F156" s="159">
        <v>2</v>
      </c>
      <c r="G156" s="159" t="s">
        <v>1268</v>
      </c>
      <c r="H156" s="159" t="s">
        <v>1223</v>
      </c>
      <c r="I156" s="159">
        <v>0</v>
      </c>
    </row>
    <row r="157" spans="1:9" ht="15.75" customHeight="1">
      <c r="A157" s="159" t="s">
        <v>6944</v>
      </c>
      <c r="B157" s="159" t="s">
        <v>4969</v>
      </c>
      <c r="C157" s="159" t="s">
        <v>481</v>
      </c>
      <c r="D157" s="159">
        <v>5</v>
      </c>
      <c r="E157" s="159">
        <v>9</v>
      </c>
      <c r="F157" s="159">
        <v>2</v>
      </c>
      <c r="G157" s="159" t="s">
        <v>2483</v>
      </c>
      <c r="H157" s="159" t="s">
        <v>1223</v>
      </c>
      <c r="I157" s="159">
        <v>0</v>
      </c>
    </row>
    <row r="158" spans="1:9" ht="15.75" customHeight="1">
      <c r="A158" s="159" t="s">
        <v>6944</v>
      </c>
      <c r="B158" s="159" t="s">
        <v>2418</v>
      </c>
      <c r="C158" s="159" t="s">
        <v>481</v>
      </c>
      <c r="D158" s="159">
        <v>5</v>
      </c>
      <c r="E158" s="159">
        <v>9</v>
      </c>
      <c r="F158" s="159">
        <v>2</v>
      </c>
      <c r="G158" s="159" t="s">
        <v>2419</v>
      </c>
      <c r="H158" s="159" t="s">
        <v>1223</v>
      </c>
      <c r="I158" s="159">
        <v>0</v>
      </c>
    </row>
    <row r="159" spans="1:9" ht="15.75" customHeight="1">
      <c r="A159" s="159" t="s">
        <v>6944</v>
      </c>
      <c r="B159" s="159" t="s">
        <v>5268</v>
      </c>
      <c r="C159" s="159" t="s">
        <v>481</v>
      </c>
      <c r="D159" s="159">
        <v>5</v>
      </c>
      <c r="E159" s="159">
        <v>9</v>
      </c>
      <c r="F159" s="159">
        <v>2</v>
      </c>
      <c r="G159" s="159" t="s">
        <v>6986</v>
      </c>
      <c r="H159" s="159" t="s">
        <v>1223</v>
      </c>
      <c r="I159" s="159">
        <v>0</v>
      </c>
    </row>
    <row r="160" spans="1:9" ht="15.75" customHeight="1">
      <c r="A160" s="159" t="s">
        <v>6944</v>
      </c>
      <c r="B160" s="159" t="s">
        <v>2575</v>
      </c>
      <c r="C160" s="159" t="s">
        <v>481</v>
      </c>
      <c r="D160" s="159">
        <v>5</v>
      </c>
      <c r="E160" s="159">
        <v>9</v>
      </c>
      <c r="F160" s="159">
        <v>2</v>
      </c>
      <c r="G160" s="159" t="s">
        <v>6987</v>
      </c>
      <c r="H160" s="159" t="s">
        <v>1223</v>
      </c>
      <c r="I160" s="159">
        <v>0</v>
      </c>
    </row>
    <row r="161" spans="1:9" ht="15.75" customHeight="1">
      <c r="A161" s="159" t="s">
        <v>6944</v>
      </c>
      <c r="B161" s="159" t="s">
        <v>6988</v>
      </c>
      <c r="C161" s="159" t="s">
        <v>484</v>
      </c>
      <c r="D161" s="159">
        <v>4</v>
      </c>
      <c r="E161" s="159">
        <v>10</v>
      </c>
      <c r="F161" s="159">
        <v>0</v>
      </c>
      <c r="G161" s="159" t="s">
        <v>6989</v>
      </c>
      <c r="H161" s="159" t="s">
        <v>615</v>
      </c>
      <c r="I161" s="159">
        <v>0</v>
      </c>
    </row>
    <row r="162" spans="1:9" ht="15.75" customHeight="1">
      <c r="A162" s="159" t="s">
        <v>6944</v>
      </c>
      <c r="B162" s="159" t="s">
        <v>6990</v>
      </c>
      <c r="C162" s="159" t="s">
        <v>496</v>
      </c>
      <c r="D162" s="159">
        <v>4</v>
      </c>
      <c r="E162" s="159">
        <v>16</v>
      </c>
      <c r="F162" s="159">
        <v>0</v>
      </c>
      <c r="G162" s="159" t="s">
        <v>872</v>
      </c>
      <c r="H162" s="159" t="s">
        <v>548</v>
      </c>
      <c r="I162" s="159">
        <v>0</v>
      </c>
    </row>
    <row r="163" spans="1:9" ht="15.75" customHeight="1">
      <c r="A163" s="159" t="s">
        <v>6944</v>
      </c>
      <c r="B163" s="159" t="s">
        <v>6991</v>
      </c>
      <c r="C163" s="159" t="s">
        <v>477</v>
      </c>
      <c r="D163" s="159">
        <v>100</v>
      </c>
      <c r="E163" s="159">
        <v>0</v>
      </c>
      <c r="F163" s="159">
        <v>0</v>
      </c>
      <c r="G163" s="159" t="s">
        <v>6992</v>
      </c>
      <c r="H163" s="159" t="s">
        <v>548</v>
      </c>
      <c r="I163" s="159">
        <v>0</v>
      </c>
    </row>
    <row r="164" spans="1:9" ht="15.75" customHeight="1">
      <c r="A164" s="159" t="s">
        <v>6944</v>
      </c>
      <c r="B164" s="159" t="s">
        <v>708</v>
      </c>
      <c r="C164" s="159" t="s">
        <v>477</v>
      </c>
      <c r="D164" s="159">
        <v>10</v>
      </c>
      <c r="E164" s="159">
        <v>0</v>
      </c>
      <c r="F164" s="159">
        <v>0</v>
      </c>
      <c r="G164" s="159" t="s">
        <v>6993</v>
      </c>
      <c r="H164" s="159" t="s">
        <v>548</v>
      </c>
      <c r="I164" s="159">
        <v>0</v>
      </c>
    </row>
    <row r="165" spans="1:9" ht="15.75" customHeight="1">
      <c r="A165" s="159" t="s">
        <v>6944</v>
      </c>
      <c r="B165" s="159" t="s">
        <v>712</v>
      </c>
      <c r="C165" s="159" t="s">
        <v>477</v>
      </c>
      <c r="D165" s="159">
        <v>30</v>
      </c>
      <c r="E165" s="159">
        <v>0</v>
      </c>
      <c r="F165" s="159">
        <v>0</v>
      </c>
      <c r="G165" s="159" t="s">
        <v>6994</v>
      </c>
      <c r="H165" s="159" t="s">
        <v>548</v>
      </c>
      <c r="I165" s="159">
        <v>0</v>
      </c>
    </row>
    <row r="166" spans="1:9" ht="15.75" customHeight="1">
      <c r="A166" s="159" t="s">
        <v>6944</v>
      </c>
      <c r="B166" s="159" t="s">
        <v>640</v>
      </c>
      <c r="C166" s="159" t="s">
        <v>477</v>
      </c>
      <c r="D166" s="159">
        <v>12</v>
      </c>
      <c r="E166" s="159">
        <v>0</v>
      </c>
      <c r="F166" s="159">
        <v>0</v>
      </c>
      <c r="G166" s="159" t="s">
        <v>6995</v>
      </c>
      <c r="H166" s="159" t="s">
        <v>548</v>
      </c>
      <c r="I166" s="159">
        <v>0</v>
      </c>
    </row>
    <row r="167" spans="1:9" ht="15.75" customHeight="1">
      <c r="A167" s="159" t="s">
        <v>6944</v>
      </c>
      <c r="B167" s="159" t="s">
        <v>4348</v>
      </c>
      <c r="C167" s="159" t="s">
        <v>477</v>
      </c>
      <c r="D167" s="159">
        <v>20</v>
      </c>
      <c r="E167" s="159">
        <v>0</v>
      </c>
      <c r="F167" s="159">
        <v>0</v>
      </c>
      <c r="G167" s="159" t="s">
        <v>6996</v>
      </c>
      <c r="H167" s="159" t="s">
        <v>548</v>
      </c>
      <c r="I167" s="159">
        <v>0</v>
      </c>
    </row>
    <row r="168" spans="1:9" ht="15.75" customHeight="1">
      <c r="A168" s="159" t="s">
        <v>6944</v>
      </c>
      <c r="B168" s="159" t="s">
        <v>6997</v>
      </c>
      <c r="C168" s="159" t="s">
        <v>477</v>
      </c>
      <c r="D168" s="159">
        <v>3</v>
      </c>
      <c r="E168" s="159">
        <v>0</v>
      </c>
      <c r="F168" s="159">
        <v>0</v>
      </c>
      <c r="G168" s="159" t="s">
        <v>6998</v>
      </c>
      <c r="H168" s="159" t="s">
        <v>596</v>
      </c>
      <c r="I168" s="159">
        <v>0</v>
      </c>
    </row>
    <row r="169" spans="1:9" ht="15.75" customHeight="1">
      <c r="A169" s="159" t="s">
        <v>6944</v>
      </c>
      <c r="B169" s="159" t="s">
        <v>6831</v>
      </c>
      <c r="C169" s="159" t="s">
        <v>477</v>
      </c>
      <c r="D169" s="159">
        <v>50</v>
      </c>
      <c r="E169" s="159">
        <v>0</v>
      </c>
      <c r="F169" s="159">
        <v>0</v>
      </c>
      <c r="G169" s="159" t="s">
        <v>6831</v>
      </c>
      <c r="H169" s="159" t="s">
        <v>548</v>
      </c>
      <c r="I169" s="159">
        <v>0</v>
      </c>
    </row>
    <row r="170" spans="1:9" ht="15.75" customHeight="1">
      <c r="A170" s="159" t="s">
        <v>6944</v>
      </c>
      <c r="B170" s="159" t="s">
        <v>6999</v>
      </c>
      <c r="C170" s="159" t="s">
        <v>477</v>
      </c>
      <c r="D170" s="159">
        <v>3</v>
      </c>
      <c r="E170" s="159">
        <v>0</v>
      </c>
      <c r="F170" s="159">
        <v>0</v>
      </c>
      <c r="G170" s="159" t="s">
        <v>7000</v>
      </c>
      <c r="H170" s="159" t="s">
        <v>596</v>
      </c>
      <c r="I170" s="159">
        <v>0</v>
      </c>
    </row>
    <row r="171" spans="1:9" ht="15.75" customHeight="1">
      <c r="A171" s="159" t="s">
        <v>6944</v>
      </c>
      <c r="B171" s="159" t="s">
        <v>7001</v>
      </c>
      <c r="C171" s="159" t="s">
        <v>496</v>
      </c>
      <c r="D171" s="159">
        <v>4</v>
      </c>
      <c r="E171" s="159">
        <v>16</v>
      </c>
      <c r="F171" s="159">
        <v>0</v>
      </c>
      <c r="G171" s="159" t="s">
        <v>7002</v>
      </c>
      <c r="H171" s="159" t="s">
        <v>548</v>
      </c>
      <c r="I171" s="159">
        <v>0</v>
      </c>
    </row>
    <row r="172" spans="1:9" ht="15.75" customHeight="1">
      <c r="A172" s="159" t="s">
        <v>6944</v>
      </c>
      <c r="B172" s="159" t="s">
        <v>7003</v>
      </c>
      <c r="C172" s="159" t="s">
        <v>477</v>
      </c>
      <c r="D172" s="159">
        <v>500</v>
      </c>
      <c r="E172" s="159">
        <v>0</v>
      </c>
      <c r="F172" s="159">
        <v>0</v>
      </c>
      <c r="G172" s="159" t="s">
        <v>7004</v>
      </c>
      <c r="H172" s="159" t="s">
        <v>548</v>
      </c>
      <c r="I172" s="159">
        <v>0</v>
      </c>
    </row>
    <row r="173" spans="1:9" ht="15.75" customHeight="1">
      <c r="A173" s="159" t="s">
        <v>6944</v>
      </c>
      <c r="B173" s="159" t="s">
        <v>7005</v>
      </c>
      <c r="C173" s="159" t="s">
        <v>477</v>
      </c>
      <c r="D173" s="159">
        <v>500</v>
      </c>
      <c r="E173" s="159">
        <v>0</v>
      </c>
      <c r="F173" s="159">
        <v>0</v>
      </c>
      <c r="G173" s="159" t="s">
        <v>7006</v>
      </c>
      <c r="H173" s="159" t="s">
        <v>548</v>
      </c>
      <c r="I173" s="159">
        <v>0</v>
      </c>
    </row>
    <row r="174" spans="1:9" ht="15.75" customHeight="1">
      <c r="A174" s="159" t="s">
        <v>6944</v>
      </c>
      <c r="B174" s="159" t="s">
        <v>7007</v>
      </c>
      <c r="C174" s="159" t="s">
        <v>477</v>
      </c>
      <c r="D174" s="159">
        <v>500</v>
      </c>
      <c r="E174" s="159">
        <v>0</v>
      </c>
      <c r="F174" s="159">
        <v>0</v>
      </c>
      <c r="G174" s="159" t="s">
        <v>7008</v>
      </c>
      <c r="H174" s="159" t="s">
        <v>548</v>
      </c>
      <c r="I174" s="159">
        <v>0</v>
      </c>
    </row>
    <row r="175" spans="1:9" ht="15.75" customHeight="1">
      <c r="A175" s="159" t="s">
        <v>6944</v>
      </c>
      <c r="B175" s="159" t="s">
        <v>7009</v>
      </c>
      <c r="C175" s="159" t="s">
        <v>477</v>
      </c>
      <c r="D175" s="159">
        <v>500</v>
      </c>
      <c r="E175" s="159">
        <v>0</v>
      </c>
      <c r="F175" s="159">
        <v>0</v>
      </c>
      <c r="G175" s="159" t="s">
        <v>7010</v>
      </c>
      <c r="H175" s="159" t="s">
        <v>548</v>
      </c>
      <c r="I175" s="159">
        <v>0</v>
      </c>
    </row>
    <row r="176" spans="1:9" ht="15.75" customHeight="1">
      <c r="A176" s="159" t="s">
        <v>6944</v>
      </c>
      <c r="B176" s="159" t="s">
        <v>7011</v>
      </c>
      <c r="C176" s="159" t="s">
        <v>496</v>
      </c>
      <c r="D176" s="159">
        <v>4</v>
      </c>
      <c r="E176" s="159">
        <v>16</v>
      </c>
      <c r="F176" s="159">
        <v>0</v>
      </c>
      <c r="G176" s="159" t="s">
        <v>7012</v>
      </c>
      <c r="H176" s="159" t="s">
        <v>1559</v>
      </c>
      <c r="I176" s="159">
        <v>0</v>
      </c>
    </row>
    <row r="177" spans="1:9" ht="15.75" customHeight="1">
      <c r="A177" s="159" t="s">
        <v>6944</v>
      </c>
      <c r="B177" s="159" t="s">
        <v>7013</v>
      </c>
      <c r="C177" s="159" t="s">
        <v>477</v>
      </c>
      <c r="D177" s="159">
        <v>100</v>
      </c>
      <c r="E177" s="159">
        <v>0</v>
      </c>
      <c r="F177" s="159">
        <v>0</v>
      </c>
      <c r="G177" s="159" t="s">
        <v>7014</v>
      </c>
      <c r="H177" s="159" t="s">
        <v>548</v>
      </c>
      <c r="I177" s="159">
        <v>0</v>
      </c>
    </row>
    <row r="178" spans="1:9" ht="15.75" customHeight="1">
      <c r="A178" s="159" t="s">
        <v>6944</v>
      </c>
      <c r="B178" s="159" t="s">
        <v>7015</v>
      </c>
      <c r="C178" s="159" t="s">
        <v>477</v>
      </c>
      <c r="D178" s="159">
        <v>100</v>
      </c>
      <c r="E178" s="159">
        <v>0</v>
      </c>
      <c r="F178" s="159">
        <v>0</v>
      </c>
      <c r="G178" s="159" t="s">
        <v>7016</v>
      </c>
      <c r="H178" s="159" t="s">
        <v>548</v>
      </c>
      <c r="I178" s="159">
        <v>0</v>
      </c>
    </row>
    <row r="179" spans="1:9" ht="15.75" customHeight="1">
      <c r="A179" s="159" t="s">
        <v>6944</v>
      </c>
      <c r="B179" s="159" t="s">
        <v>7017</v>
      </c>
      <c r="C179" s="159" t="s">
        <v>484</v>
      </c>
      <c r="D179" s="159">
        <v>4</v>
      </c>
      <c r="E179" s="159">
        <v>10</v>
      </c>
      <c r="F179" s="159">
        <v>0</v>
      </c>
      <c r="G179" s="159" t="s">
        <v>7018</v>
      </c>
      <c r="H179" s="159" t="s">
        <v>615</v>
      </c>
      <c r="I179" s="159">
        <v>0</v>
      </c>
    </row>
    <row r="180" spans="1:9" ht="15.75" customHeight="1">
      <c r="A180" s="159" t="s">
        <v>6944</v>
      </c>
      <c r="B180" s="159" t="s">
        <v>7019</v>
      </c>
      <c r="C180" s="159" t="s">
        <v>496</v>
      </c>
      <c r="D180" s="159">
        <v>4</v>
      </c>
      <c r="E180" s="159">
        <v>16</v>
      </c>
      <c r="F180" s="159">
        <v>0</v>
      </c>
      <c r="G180" s="159" t="s">
        <v>7020</v>
      </c>
      <c r="H180" s="159" t="s">
        <v>548</v>
      </c>
      <c r="I180" s="159">
        <v>0</v>
      </c>
    </row>
    <row r="181" spans="1:9" ht="15.75" customHeight="1">
      <c r="A181" s="159" t="s">
        <v>6944</v>
      </c>
      <c r="B181" s="159" t="s">
        <v>7021</v>
      </c>
      <c r="C181" s="159" t="s">
        <v>496</v>
      </c>
      <c r="D181" s="159">
        <v>4</v>
      </c>
      <c r="E181" s="159">
        <v>16</v>
      </c>
      <c r="F181" s="159">
        <v>0</v>
      </c>
      <c r="G181" s="159" t="s">
        <v>7022</v>
      </c>
      <c r="H181" s="159" t="s">
        <v>548</v>
      </c>
      <c r="I181" s="159">
        <v>0</v>
      </c>
    </row>
    <row r="182" spans="1:9" ht="15.75" customHeight="1">
      <c r="A182" s="159" t="s">
        <v>6944</v>
      </c>
      <c r="B182" s="159" t="s">
        <v>7023</v>
      </c>
      <c r="C182" s="159" t="s">
        <v>477</v>
      </c>
      <c r="D182" s="159">
        <v>3</v>
      </c>
      <c r="E182" s="159">
        <v>0</v>
      </c>
      <c r="F182" s="159">
        <v>0</v>
      </c>
      <c r="G182" s="159" t="s">
        <v>7024</v>
      </c>
      <c r="H182" s="159" t="s">
        <v>596</v>
      </c>
      <c r="I182" s="159">
        <v>0</v>
      </c>
    </row>
    <row r="183" spans="1:9" ht="15.75" customHeight="1">
      <c r="A183" s="159" t="s">
        <v>6944</v>
      </c>
      <c r="B183" s="159" t="s">
        <v>7025</v>
      </c>
      <c r="C183" s="159" t="s">
        <v>477</v>
      </c>
      <c r="D183" s="159">
        <v>50</v>
      </c>
      <c r="E183" s="159">
        <v>0</v>
      </c>
      <c r="F183" s="159">
        <v>0</v>
      </c>
      <c r="G183" s="159" t="s">
        <v>7026</v>
      </c>
      <c r="H183" s="159" t="s">
        <v>4465</v>
      </c>
      <c r="I183" s="159">
        <v>0</v>
      </c>
    </row>
    <row r="184" spans="1:9" ht="15.75" customHeight="1">
      <c r="A184" s="159" t="s">
        <v>6944</v>
      </c>
      <c r="B184" s="159" t="s">
        <v>7027</v>
      </c>
      <c r="C184" s="159" t="s">
        <v>477</v>
      </c>
      <c r="D184" s="159">
        <v>100</v>
      </c>
      <c r="E184" s="159">
        <v>0</v>
      </c>
      <c r="F184" s="159">
        <v>0</v>
      </c>
      <c r="G184" s="159" t="s">
        <v>7028</v>
      </c>
      <c r="H184" s="159" t="s">
        <v>548</v>
      </c>
      <c r="I184" s="159">
        <v>0</v>
      </c>
    </row>
    <row r="185" spans="1:9" ht="15.75" customHeight="1">
      <c r="A185" s="159" t="s">
        <v>6944</v>
      </c>
      <c r="B185" s="159" t="s">
        <v>7029</v>
      </c>
      <c r="C185" s="159" t="s">
        <v>496</v>
      </c>
      <c r="D185" s="159">
        <v>4</v>
      </c>
      <c r="E185" s="159">
        <v>16</v>
      </c>
      <c r="F185" s="159">
        <v>0</v>
      </c>
      <c r="G185" s="159" t="s">
        <v>7030</v>
      </c>
      <c r="H185" s="159" t="s">
        <v>548</v>
      </c>
      <c r="I185" s="159">
        <v>0</v>
      </c>
    </row>
    <row r="186" spans="1:9" ht="15.75" customHeight="1">
      <c r="A186" s="159" t="s">
        <v>6944</v>
      </c>
      <c r="B186" s="159" t="s">
        <v>669</v>
      </c>
      <c r="C186" s="159" t="s">
        <v>496</v>
      </c>
      <c r="D186" s="159">
        <v>4</v>
      </c>
      <c r="E186" s="159">
        <v>16</v>
      </c>
      <c r="F186" s="159">
        <v>0</v>
      </c>
      <c r="G186" s="159" t="s">
        <v>6821</v>
      </c>
      <c r="H186" s="159" t="s">
        <v>548</v>
      </c>
      <c r="I186" s="159">
        <v>0</v>
      </c>
    </row>
    <row r="187" spans="1:9" ht="15.75" customHeight="1">
      <c r="A187" s="159" t="s">
        <v>6944</v>
      </c>
      <c r="B187" s="159" t="s">
        <v>523</v>
      </c>
      <c r="C187" s="159" t="s">
        <v>477</v>
      </c>
      <c r="D187" s="159">
        <v>100</v>
      </c>
      <c r="E187" s="159">
        <v>0</v>
      </c>
      <c r="F187" s="159">
        <v>0</v>
      </c>
      <c r="G187" s="159" t="s">
        <v>6822</v>
      </c>
      <c r="H187" s="159" t="s">
        <v>548</v>
      </c>
      <c r="I187" s="159">
        <v>0</v>
      </c>
    </row>
    <row r="188" spans="1:9" ht="15.75" customHeight="1">
      <c r="A188" s="159" t="s">
        <v>6944</v>
      </c>
      <c r="B188" s="159" t="s">
        <v>215</v>
      </c>
      <c r="C188" s="159" t="s">
        <v>496</v>
      </c>
      <c r="D188" s="159">
        <v>4</v>
      </c>
      <c r="E188" s="159">
        <v>16</v>
      </c>
      <c r="F188" s="159">
        <v>0</v>
      </c>
      <c r="G188" s="159" t="s">
        <v>803</v>
      </c>
      <c r="H188" s="159" t="s">
        <v>548</v>
      </c>
      <c r="I188" s="159">
        <v>0</v>
      </c>
    </row>
    <row r="189" spans="1:9" ht="15.75" customHeight="1">
      <c r="A189" s="159" t="s">
        <v>6944</v>
      </c>
      <c r="B189" s="159" t="s">
        <v>670</v>
      </c>
      <c r="C189" s="159" t="s">
        <v>477</v>
      </c>
      <c r="D189" s="159">
        <v>100</v>
      </c>
      <c r="E189" s="159">
        <v>0</v>
      </c>
      <c r="F189" s="159">
        <v>0</v>
      </c>
      <c r="G189" s="159" t="s">
        <v>1734</v>
      </c>
      <c r="H189" s="159" t="s">
        <v>548</v>
      </c>
      <c r="I189" s="159">
        <v>0</v>
      </c>
    </row>
    <row r="190" spans="1:9" ht="15.75" customHeight="1">
      <c r="A190" s="159" t="s">
        <v>6944</v>
      </c>
      <c r="B190" s="159" t="s">
        <v>2452</v>
      </c>
      <c r="C190" s="159" t="s">
        <v>481</v>
      </c>
      <c r="D190" s="159">
        <v>5</v>
      </c>
      <c r="E190" s="159">
        <v>9</v>
      </c>
      <c r="F190" s="159">
        <v>2</v>
      </c>
      <c r="G190" s="159" t="s">
        <v>7031</v>
      </c>
      <c r="H190" s="159" t="s">
        <v>615</v>
      </c>
      <c r="I190" s="159">
        <v>0</v>
      </c>
    </row>
    <row r="191" spans="1:9" ht="15.75" customHeight="1">
      <c r="A191" s="159" t="s">
        <v>6944</v>
      </c>
      <c r="B191" s="159" t="s">
        <v>6847</v>
      </c>
      <c r="C191" s="159" t="s">
        <v>477</v>
      </c>
      <c r="D191" s="159">
        <v>3</v>
      </c>
      <c r="E191" s="159">
        <v>0</v>
      </c>
      <c r="F191" s="159">
        <v>0</v>
      </c>
      <c r="G191" s="159" t="s">
        <v>7032</v>
      </c>
      <c r="H191" s="159" t="s">
        <v>596</v>
      </c>
      <c r="I191" s="159">
        <v>0</v>
      </c>
    </row>
    <row r="192" spans="1:9" ht="15.75" customHeight="1">
      <c r="A192" s="159" t="s">
        <v>6944</v>
      </c>
      <c r="B192" s="159" t="s">
        <v>2588</v>
      </c>
      <c r="C192" s="159" t="s">
        <v>481</v>
      </c>
      <c r="D192" s="159">
        <v>5</v>
      </c>
      <c r="E192" s="159">
        <v>9</v>
      </c>
      <c r="F192" s="159">
        <v>2</v>
      </c>
      <c r="G192" s="159" t="s">
        <v>7033</v>
      </c>
      <c r="H192" s="159" t="s">
        <v>615</v>
      </c>
      <c r="I192" s="159">
        <v>0</v>
      </c>
    </row>
    <row r="193" spans="1:9" ht="15.75" customHeight="1">
      <c r="A193" s="159" t="s">
        <v>6944</v>
      </c>
      <c r="B193" s="159" t="s">
        <v>2705</v>
      </c>
      <c r="C193" s="159" t="s">
        <v>481</v>
      </c>
      <c r="D193" s="159">
        <v>5</v>
      </c>
      <c r="E193" s="159">
        <v>9</v>
      </c>
      <c r="F193" s="159">
        <v>2</v>
      </c>
      <c r="G193" s="159" t="s">
        <v>7034</v>
      </c>
      <c r="H193" s="159" t="s">
        <v>615</v>
      </c>
      <c r="I193" s="159">
        <v>0</v>
      </c>
    </row>
    <row r="194" spans="1:9" ht="15.75" customHeight="1">
      <c r="A194" s="159" t="s">
        <v>6944</v>
      </c>
      <c r="B194" s="159" t="s">
        <v>7035</v>
      </c>
      <c r="C194" s="159" t="s">
        <v>481</v>
      </c>
      <c r="D194" s="159">
        <v>5</v>
      </c>
      <c r="E194" s="159">
        <v>9</v>
      </c>
      <c r="F194" s="159">
        <v>2</v>
      </c>
      <c r="G194" s="159" t="s">
        <v>7036</v>
      </c>
      <c r="H194" s="159" t="s">
        <v>615</v>
      </c>
      <c r="I194" s="159">
        <v>0</v>
      </c>
    </row>
    <row r="195" spans="1:9" ht="15.75" customHeight="1">
      <c r="A195" s="159" t="s">
        <v>6944</v>
      </c>
      <c r="B195" s="159" t="s">
        <v>7037</v>
      </c>
      <c r="C195" s="159" t="s">
        <v>477</v>
      </c>
      <c r="D195" s="159">
        <v>500</v>
      </c>
      <c r="E195" s="159">
        <v>0</v>
      </c>
      <c r="F195" s="159">
        <v>0</v>
      </c>
      <c r="G195" s="159" t="s">
        <v>7038</v>
      </c>
      <c r="H195" s="159" t="s">
        <v>548</v>
      </c>
      <c r="I195" s="159">
        <v>0</v>
      </c>
    </row>
    <row r="196" spans="1:9" ht="15.75" customHeight="1">
      <c r="A196" s="159" t="s">
        <v>6944</v>
      </c>
      <c r="B196" s="159" t="s">
        <v>7039</v>
      </c>
      <c r="C196" s="159" t="s">
        <v>477</v>
      </c>
      <c r="D196" s="159">
        <v>20</v>
      </c>
      <c r="E196" s="159">
        <v>0</v>
      </c>
      <c r="F196" s="159">
        <v>0</v>
      </c>
      <c r="G196" s="159" t="s">
        <v>7040</v>
      </c>
      <c r="H196" s="159" t="s">
        <v>548</v>
      </c>
      <c r="I196" s="159">
        <v>0</v>
      </c>
    </row>
    <row r="197" spans="1:9" ht="15.75" customHeight="1">
      <c r="A197" s="159" t="s">
        <v>6944</v>
      </c>
      <c r="B197" s="159" t="s">
        <v>3331</v>
      </c>
      <c r="C197" s="159" t="s">
        <v>477</v>
      </c>
      <c r="D197" s="159">
        <v>10</v>
      </c>
      <c r="E197" s="159">
        <v>0</v>
      </c>
      <c r="F197" s="159">
        <v>0</v>
      </c>
      <c r="G197" s="159" t="s">
        <v>7041</v>
      </c>
      <c r="H197" s="159" t="s">
        <v>596</v>
      </c>
      <c r="I197" s="159">
        <v>0</v>
      </c>
    </row>
    <row r="198" spans="1:9" ht="15.75" customHeight="1">
      <c r="A198" s="159" t="s">
        <v>6944</v>
      </c>
      <c r="B198" s="159" t="s">
        <v>4635</v>
      </c>
      <c r="C198" s="159" t="s">
        <v>477</v>
      </c>
      <c r="D198" s="159">
        <v>50</v>
      </c>
      <c r="E198" s="159">
        <v>0</v>
      </c>
      <c r="F198" s="159">
        <v>0</v>
      </c>
      <c r="G198" s="159" t="s">
        <v>7042</v>
      </c>
      <c r="H198" s="159" t="s">
        <v>548</v>
      </c>
      <c r="I198" s="159">
        <v>0</v>
      </c>
    </row>
    <row r="199" spans="1:9" ht="15.75" customHeight="1">
      <c r="A199" s="159" t="s">
        <v>6944</v>
      </c>
      <c r="B199" s="159" t="s">
        <v>4636</v>
      </c>
      <c r="C199" s="159" t="s">
        <v>477</v>
      </c>
      <c r="D199" s="159">
        <v>50</v>
      </c>
      <c r="E199" s="159">
        <v>0</v>
      </c>
      <c r="F199" s="159">
        <v>0</v>
      </c>
      <c r="G199" s="159" t="s">
        <v>7043</v>
      </c>
      <c r="H199" s="159" t="s">
        <v>548</v>
      </c>
      <c r="I199" s="159">
        <v>0</v>
      </c>
    </row>
    <row r="200" spans="1:9" ht="15.75" customHeight="1">
      <c r="A200" s="159" t="s">
        <v>6944</v>
      </c>
      <c r="B200" s="159" t="s">
        <v>2743</v>
      </c>
      <c r="C200" s="159" t="s">
        <v>477</v>
      </c>
      <c r="D200" s="159">
        <v>5</v>
      </c>
      <c r="E200" s="159">
        <v>0</v>
      </c>
      <c r="F200" s="159">
        <v>0</v>
      </c>
      <c r="G200" s="159" t="s">
        <v>7044</v>
      </c>
      <c r="H200" s="159" t="s">
        <v>548</v>
      </c>
      <c r="I200" s="159">
        <v>0</v>
      </c>
    </row>
    <row r="201" spans="1:9" ht="15.75" customHeight="1">
      <c r="A201" s="159" t="s">
        <v>6944</v>
      </c>
      <c r="B201" s="159" t="s">
        <v>2625</v>
      </c>
      <c r="C201" s="159" t="s">
        <v>481</v>
      </c>
      <c r="D201" s="159">
        <v>5</v>
      </c>
      <c r="E201" s="159">
        <v>9</v>
      </c>
      <c r="F201" s="159">
        <v>2</v>
      </c>
      <c r="G201" s="159" t="s">
        <v>2998</v>
      </c>
      <c r="H201" s="159" t="s">
        <v>615</v>
      </c>
      <c r="I201" s="159">
        <v>0</v>
      </c>
    </row>
    <row r="202" spans="1:9" ht="15.75" customHeight="1">
      <c r="A202" s="159" t="s">
        <v>6944</v>
      </c>
      <c r="B202" s="159" t="s">
        <v>7045</v>
      </c>
      <c r="C202" s="159" t="s">
        <v>481</v>
      </c>
      <c r="D202" s="159">
        <v>5</v>
      </c>
      <c r="E202" s="159">
        <v>9</v>
      </c>
      <c r="F202" s="159">
        <v>2</v>
      </c>
      <c r="G202" s="159" t="s">
        <v>3101</v>
      </c>
      <c r="H202" s="159" t="s">
        <v>615</v>
      </c>
      <c r="I202" s="159">
        <v>0</v>
      </c>
    </row>
    <row r="203" spans="1:9" ht="15.75" customHeight="1">
      <c r="A203" s="159" t="s">
        <v>6944</v>
      </c>
      <c r="B203" s="159" t="s">
        <v>7046</v>
      </c>
      <c r="C203" s="159" t="s">
        <v>481</v>
      </c>
      <c r="D203" s="159">
        <v>5</v>
      </c>
      <c r="E203" s="159">
        <v>9</v>
      </c>
      <c r="F203" s="159">
        <v>2</v>
      </c>
      <c r="G203" s="159" t="s">
        <v>7047</v>
      </c>
      <c r="H203" s="159" t="s">
        <v>615</v>
      </c>
      <c r="I203" s="159">
        <v>0</v>
      </c>
    </row>
    <row r="204" spans="1:9" ht="15.75" customHeight="1">
      <c r="A204" s="159" t="s">
        <v>6944</v>
      </c>
      <c r="B204" s="159" t="s">
        <v>7048</v>
      </c>
      <c r="C204" s="159" t="s">
        <v>477</v>
      </c>
      <c r="D204" s="159">
        <v>3</v>
      </c>
      <c r="E204" s="159">
        <v>0</v>
      </c>
      <c r="F204" s="159">
        <v>0</v>
      </c>
      <c r="G204" s="159" t="s">
        <v>7049</v>
      </c>
      <c r="H204" s="159" t="s">
        <v>596</v>
      </c>
      <c r="I204" s="159">
        <v>0</v>
      </c>
    </row>
    <row r="205" spans="1:9" ht="15.75" customHeight="1">
      <c r="A205" s="159" t="s">
        <v>6944</v>
      </c>
      <c r="B205" s="159" t="s">
        <v>6833</v>
      </c>
      <c r="C205" s="159" t="s">
        <v>477</v>
      </c>
      <c r="D205" s="159">
        <v>100</v>
      </c>
      <c r="E205" s="159">
        <v>0</v>
      </c>
      <c r="F205" s="159">
        <v>0</v>
      </c>
      <c r="G205" s="159" t="s">
        <v>479</v>
      </c>
      <c r="H205" s="159" t="s">
        <v>548</v>
      </c>
      <c r="I205" s="159">
        <v>0</v>
      </c>
    </row>
    <row r="206" spans="1:9" ht="15.75" customHeight="1">
      <c r="A206" s="159" t="s">
        <v>6944</v>
      </c>
      <c r="B206" s="159" t="s">
        <v>7050</v>
      </c>
      <c r="C206" s="159" t="s">
        <v>477</v>
      </c>
      <c r="D206" s="159">
        <v>100</v>
      </c>
      <c r="E206" s="159">
        <v>0</v>
      </c>
      <c r="F206" s="159">
        <v>0</v>
      </c>
      <c r="G206" s="159" t="s">
        <v>479</v>
      </c>
      <c r="H206" s="159" t="s">
        <v>548</v>
      </c>
      <c r="I206" s="159">
        <v>0</v>
      </c>
    </row>
    <row r="207" spans="1:9" ht="15.75" customHeight="1">
      <c r="A207" s="159" t="s">
        <v>6944</v>
      </c>
      <c r="B207" s="159" t="s">
        <v>7051</v>
      </c>
      <c r="C207" s="159" t="s">
        <v>477</v>
      </c>
      <c r="D207" s="159">
        <v>3</v>
      </c>
      <c r="E207" s="159">
        <v>0</v>
      </c>
      <c r="F207" s="159">
        <v>0</v>
      </c>
      <c r="G207" s="159" t="s">
        <v>479</v>
      </c>
      <c r="H207" s="159" t="s">
        <v>596</v>
      </c>
      <c r="I207" s="159">
        <v>0</v>
      </c>
    </row>
    <row r="208" spans="1:9" ht="15.75" customHeight="1">
      <c r="A208" s="159" t="s">
        <v>6944</v>
      </c>
      <c r="B208" s="159" t="s">
        <v>7052</v>
      </c>
      <c r="C208" s="159" t="s">
        <v>477</v>
      </c>
      <c r="D208" s="159">
        <v>10</v>
      </c>
      <c r="E208" s="159">
        <v>0</v>
      </c>
      <c r="F208" s="159">
        <v>0</v>
      </c>
      <c r="G208" s="159" t="s">
        <v>479</v>
      </c>
      <c r="H208" s="159" t="s">
        <v>548</v>
      </c>
      <c r="I208" s="159">
        <v>0</v>
      </c>
    </row>
    <row r="209" spans="1:9" ht="15.75" customHeight="1">
      <c r="A209" s="159" t="s">
        <v>6944</v>
      </c>
      <c r="B209" s="159" t="s">
        <v>4602</v>
      </c>
      <c r="C209" s="159" t="s">
        <v>477</v>
      </c>
      <c r="D209" s="159">
        <v>15</v>
      </c>
      <c r="E209" s="159">
        <v>0</v>
      </c>
      <c r="F209" s="159">
        <v>0</v>
      </c>
      <c r="G209" s="159" t="s">
        <v>479</v>
      </c>
      <c r="H209" s="159" t="s">
        <v>548</v>
      </c>
      <c r="I209" s="159">
        <v>0</v>
      </c>
    </row>
    <row r="210" spans="1:9" ht="15.75" customHeight="1">
      <c r="A210" s="159" t="s">
        <v>6944</v>
      </c>
      <c r="B210" s="159" t="s">
        <v>7053</v>
      </c>
      <c r="C210" s="159" t="s">
        <v>477</v>
      </c>
      <c r="D210" s="159">
        <v>15</v>
      </c>
      <c r="E210" s="159">
        <v>0</v>
      </c>
      <c r="F210" s="159">
        <v>0</v>
      </c>
      <c r="G210" s="159" t="s">
        <v>479</v>
      </c>
      <c r="H210" s="159" t="s">
        <v>548</v>
      </c>
      <c r="I210" s="159">
        <v>0</v>
      </c>
    </row>
    <row r="211" spans="1:9" ht="15.75" customHeight="1">
      <c r="A211" s="159" t="s">
        <v>6944</v>
      </c>
      <c r="B211" s="159" t="s">
        <v>6832</v>
      </c>
      <c r="C211" s="159" t="s">
        <v>477</v>
      </c>
      <c r="D211" s="159">
        <v>100</v>
      </c>
      <c r="E211" s="159">
        <v>0</v>
      </c>
      <c r="F211" s="159">
        <v>0</v>
      </c>
      <c r="G211" s="159" t="s">
        <v>479</v>
      </c>
      <c r="H211" s="159" t="s">
        <v>548</v>
      </c>
      <c r="I211" s="159">
        <v>0</v>
      </c>
    </row>
    <row r="212" spans="1:9" ht="15.75" customHeight="1">
      <c r="A212" s="159" t="s">
        <v>7054</v>
      </c>
      <c r="B212" s="159" t="s">
        <v>7055</v>
      </c>
      <c r="C212" s="159" t="s">
        <v>484</v>
      </c>
      <c r="D212" s="159">
        <v>4</v>
      </c>
      <c r="E212" s="159">
        <v>10</v>
      </c>
      <c r="F212" s="159">
        <v>0</v>
      </c>
      <c r="G212" s="159" t="s">
        <v>479</v>
      </c>
      <c r="H212" s="159" t="s">
        <v>615</v>
      </c>
      <c r="I212" s="159">
        <v>0</v>
      </c>
    </row>
    <row r="213" spans="1:9" ht="15.75" customHeight="1">
      <c r="A213" s="159" t="s">
        <v>7054</v>
      </c>
      <c r="B213" s="159" t="s">
        <v>6945</v>
      </c>
      <c r="C213" s="159" t="s">
        <v>477</v>
      </c>
      <c r="D213" s="159">
        <v>20</v>
      </c>
      <c r="E213" s="159">
        <v>0</v>
      </c>
      <c r="F213" s="159">
        <v>0</v>
      </c>
      <c r="G213" s="159" t="s">
        <v>2461</v>
      </c>
      <c r="H213" s="159" t="s">
        <v>548</v>
      </c>
      <c r="I213" s="159">
        <v>0</v>
      </c>
    </row>
    <row r="214" spans="1:9" ht="15.75" customHeight="1">
      <c r="A214" s="159" t="s">
        <v>7054</v>
      </c>
      <c r="B214" s="159" t="s">
        <v>292</v>
      </c>
      <c r="C214" s="159" t="s">
        <v>484</v>
      </c>
      <c r="D214" s="159">
        <v>4</v>
      </c>
      <c r="E214" s="159">
        <v>10</v>
      </c>
      <c r="F214" s="159">
        <v>0</v>
      </c>
      <c r="G214" s="159" t="s">
        <v>6842</v>
      </c>
      <c r="H214" s="159" t="s">
        <v>615</v>
      </c>
      <c r="I214" s="159">
        <v>0</v>
      </c>
    </row>
    <row r="215" spans="1:9" ht="15.75" customHeight="1">
      <c r="A215" s="159" t="s">
        <v>7054</v>
      </c>
      <c r="B215" s="159" t="s">
        <v>253</v>
      </c>
      <c r="C215" s="159" t="s">
        <v>477</v>
      </c>
      <c r="D215" s="159">
        <v>7</v>
      </c>
      <c r="E215" s="159">
        <v>0</v>
      </c>
      <c r="F215" s="159">
        <v>0</v>
      </c>
      <c r="G215" s="159" t="s">
        <v>1130</v>
      </c>
      <c r="H215" s="159" t="s">
        <v>548</v>
      </c>
      <c r="I215" s="159">
        <v>0</v>
      </c>
    </row>
    <row r="216" spans="1:9" ht="15.75" customHeight="1">
      <c r="A216" s="159" t="s">
        <v>7054</v>
      </c>
      <c r="B216" s="159" t="s">
        <v>7056</v>
      </c>
      <c r="C216" s="159" t="s">
        <v>477</v>
      </c>
      <c r="D216" s="159">
        <v>200</v>
      </c>
      <c r="E216" s="159">
        <v>0</v>
      </c>
      <c r="F216" s="159">
        <v>0</v>
      </c>
      <c r="G216" s="159" t="s">
        <v>3340</v>
      </c>
      <c r="H216" s="159" t="s">
        <v>548</v>
      </c>
      <c r="I216" s="159">
        <v>0</v>
      </c>
    </row>
    <row r="217" spans="1:9" ht="15.75" customHeight="1">
      <c r="A217" s="159" t="s">
        <v>7054</v>
      </c>
      <c r="B217" s="159" t="s">
        <v>7057</v>
      </c>
      <c r="C217" s="159" t="s">
        <v>477</v>
      </c>
      <c r="D217" s="159">
        <v>150</v>
      </c>
      <c r="E217" s="159">
        <v>0</v>
      </c>
      <c r="F217" s="159">
        <v>0</v>
      </c>
      <c r="G217" s="159" t="s">
        <v>3184</v>
      </c>
      <c r="H217" s="159" t="s">
        <v>548</v>
      </c>
      <c r="I217" s="159">
        <v>0</v>
      </c>
    </row>
    <row r="218" spans="1:9" ht="15.75" customHeight="1">
      <c r="A218" s="159" t="s">
        <v>7054</v>
      </c>
      <c r="B218" s="159" t="s">
        <v>7058</v>
      </c>
      <c r="C218" s="159" t="s">
        <v>477</v>
      </c>
      <c r="D218" s="159">
        <v>7</v>
      </c>
      <c r="E218" s="159">
        <v>0</v>
      </c>
      <c r="F218" s="159">
        <v>0</v>
      </c>
      <c r="G218" s="159" t="s">
        <v>3381</v>
      </c>
      <c r="H218" s="159" t="s">
        <v>548</v>
      </c>
      <c r="I218" s="159">
        <v>0</v>
      </c>
    </row>
    <row r="219" spans="1:9" ht="15.75" customHeight="1">
      <c r="A219" s="159" t="s">
        <v>7054</v>
      </c>
      <c r="B219" s="159" t="s">
        <v>7059</v>
      </c>
      <c r="C219" s="159" t="s">
        <v>477</v>
      </c>
      <c r="D219" s="159">
        <v>7</v>
      </c>
      <c r="E219" s="159">
        <v>0</v>
      </c>
      <c r="F219" s="159">
        <v>0</v>
      </c>
      <c r="G219" s="159" t="s">
        <v>3383</v>
      </c>
      <c r="H219" s="159" t="s">
        <v>548</v>
      </c>
      <c r="I219" s="159">
        <v>0</v>
      </c>
    </row>
    <row r="220" spans="1:9" ht="15.75" customHeight="1">
      <c r="A220" s="159" t="s">
        <v>7054</v>
      </c>
      <c r="B220" s="159" t="s">
        <v>2415</v>
      </c>
      <c r="C220" s="159" t="s">
        <v>484</v>
      </c>
      <c r="D220" s="159">
        <v>4</v>
      </c>
      <c r="E220" s="159">
        <v>10</v>
      </c>
      <c r="F220" s="159">
        <v>0</v>
      </c>
      <c r="G220" s="159" t="s">
        <v>2781</v>
      </c>
      <c r="H220" s="159" t="s">
        <v>615</v>
      </c>
      <c r="I220" s="159">
        <v>0</v>
      </c>
    </row>
    <row r="221" spans="1:9" ht="15.75" customHeight="1">
      <c r="A221" s="159" t="s">
        <v>7054</v>
      </c>
      <c r="B221" s="159" t="s">
        <v>2336</v>
      </c>
      <c r="C221" s="159" t="s">
        <v>477</v>
      </c>
      <c r="D221" s="159">
        <v>3</v>
      </c>
      <c r="E221" s="159">
        <v>0</v>
      </c>
      <c r="F221" s="159">
        <v>0</v>
      </c>
      <c r="G221" s="159" t="s">
        <v>2797</v>
      </c>
      <c r="H221" s="159" t="s">
        <v>596</v>
      </c>
      <c r="I221" s="159">
        <v>0</v>
      </c>
    </row>
    <row r="222" spans="1:9" ht="15.75" customHeight="1">
      <c r="A222" s="159" t="s">
        <v>7054</v>
      </c>
      <c r="B222" s="159" t="s">
        <v>2440</v>
      </c>
      <c r="C222" s="159" t="s">
        <v>481</v>
      </c>
      <c r="D222" s="159">
        <v>5</v>
      </c>
      <c r="E222" s="159">
        <v>9</v>
      </c>
      <c r="F222" s="159">
        <v>2</v>
      </c>
      <c r="G222" s="159" t="s">
        <v>7060</v>
      </c>
      <c r="H222" s="159" t="s">
        <v>1223</v>
      </c>
      <c r="I222" s="159">
        <v>0</v>
      </c>
    </row>
    <row r="223" spans="1:9" ht="15.75" customHeight="1">
      <c r="A223" s="159" t="s">
        <v>7054</v>
      </c>
      <c r="B223" s="159" t="s">
        <v>7061</v>
      </c>
      <c r="C223" s="159" t="s">
        <v>481</v>
      </c>
      <c r="D223" s="159">
        <v>5</v>
      </c>
      <c r="E223" s="159">
        <v>9</v>
      </c>
      <c r="F223" s="159">
        <v>2</v>
      </c>
      <c r="G223" s="159" t="s">
        <v>2417</v>
      </c>
      <c r="H223" s="159" t="s">
        <v>1223</v>
      </c>
      <c r="I223" s="159">
        <v>0</v>
      </c>
    </row>
    <row r="224" spans="1:9" ht="15.75" customHeight="1">
      <c r="A224" s="159" t="s">
        <v>7054</v>
      </c>
      <c r="B224" s="159" t="s">
        <v>2418</v>
      </c>
      <c r="C224" s="159" t="s">
        <v>481</v>
      </c>
      <c r="D224" s="159">
        <v>5</v>
      </c>
      <c r="E224" s="159">
        <v>5</v>
      </c>
      <c r="F224" s="159">
        <v>2</v>
      </c>
      <c r="G224" s="159" t="s">
        <v>2419</v>
      </c>
      <c r="H224" s="159" t="s">
        <v>1223</v>
      </c>
      <c r="I224" s="159">
        <v>0</v>
      </c>
    </row>
    <row r="225" spans="1:9" ht="15.75" customHeight="1">
      <c r="A225" s="159" t="s">
        <v>7054</v>
      </c>
      <c r="B225" s="159" t="s">
        <v>1195</v>
      </c>
      <c r="C225" s="159" t="s">
        <v>481</v>
      </c>
      <c r="D225" s="159">
        <v>5</v>
      </c>
      <c r="E225" s="159">
        <v>9</v>
      </c>
      <c r="F225" s="159">
        <v>2</v>
      </c>
      <c r="G225" s="159" t="s">
        <v>5009</v>
      </c>
      <c r="H225" s="159" t="s">
        <v>1223</v>
      </c>
      <c r="I225" s="159">
        <v>0</v>
      </c>
    </row>
    <row r="226" spans="1:9" ht="15.75" customHeight="1">
      <c r="A226" s="159" t="s">
        <v>7054</v>
      </c>
      <c r="B226" s="159" t="s">
        <v>7062</v>
      </c>
      <c r="C226" s="159" t="s">
        <v>481</v>
      </c>
      <c r="D226" s="159">
        <v>5</v>
      </c>
      <c r="E226" s="159">
        <v>9</v>
      </c>
      <c r="F226" s="159">
        <v>2</v>
      </c>
      <c r="G226" s="159" t="s">
        <v>7063</v>
      </c>
      <c r="H226" s="159" t="s">
        <v>1223</v>
      </c>
      <c r="I226" s="159">
        <v>0</v>
      </c>
    </row>
    <row r="227" spans="1:9" ht="15.75" customHeight="1">
      <c r="A227" s="159" t="s">
        <v>7054</v>
      </c>
      <c r="B227" s="159" t="s">
        <v>1206</v>
      </c>
      <c r="C227" s="159" t="s">
        <v>477</v>
      </c>
      <c r="D227" s="159">
        <v>3</v>
      </c>
      <c r="E227" s="159">
        <v>0</v>
      </c>
      <c r="F227" s="159">
        <v>0</v>
      </c>
      <c r="G227" s="159" t="s">
        <v>7064</v>
      </c>
      <c r="H227" s="159" t="s">
        <v>596</v>
      </c>
      <c r="I227" s="159">
        <v>0</v>
      </c>
    </row>
    <row r="228" spans="1:9" ht="15.75" customHeight="1">
      <c r="A228" s="159" t="s">
        <v>7054</v>
      </c>
      <c r="B228" s="159" t="s">
        <v>7065</v>
      </c>
      <c r="C228" s="159" t="s">
        <v>477</v>
      </c>
      <c r="D228" s="159">
        <v>15</v>
      </c>
      <c r="E228" s="159">
        <v>0</v>
      </c>
      <c r="F228" s="159">
        <v>0</v>
      </c>
      <c r="G228" s="159" t="s">
        <v>7066</v>
      </c>
      <c r="H228" s="159" t="s">
        <v>548</v>
      </c>
      <c r="I228" s="159">
        <v>0</v>
      </c>
    </row>
    <row r="229" spans="1:9" ht="15.75" customHeight="1">
      <c r="A229" s="159" t="s">
        <v>7054</v>
      </c>
      <c r="B229" s="159" t="s">
        <v>2437</v>
      </c>
      <c r="C229" s="159" t="s">
        <v>477</v>
      </c>
      <c r="D229" s="159">
        <v>1</v>
      </c>
      <c r="E229" s="159">
        <v>0</v>
      </c>
      <c r="F229" s="159">
        <v>0</v>
      </c>
      <c r="G229" s="159" t="s">
        <v>7067</v>
      </c>
      <c r="H229" s="159" t="s">
        <v>548</v>
      </c>
      <c r="I229" s="159">
        <v>0</v>
      </c>
    </row>
    <row r="230" spans="1:9" ht="15.75" customHeight="1">
      <c r="A230" s="159" t="s">
        <v>7054</v>
      </c>
      <c r="B230" s="159" t="s">
        <v>2435</v>
      </c>
      <c r="C230" s="159" t="s">
        <v>477</v>
      </c>
      <c r="D230" s="159">
        <v>3</v>
      </c>
      <c r="E230" s="159">
        <v>0</v>
      </c>
      <c r="F230" s="159">
        <v>0</v>
      </c>
      <c r="G230" s="159" t="s">
        <v>7068</v>
      </c>
      <c r="H230" s="159" t="s">
        <v>596</v>
      </c>
      <c r="I230" s="159">
        <v>0</v>
      </c>
    </row>
    <row r="231" spans="1:9" ht="15.75" customHeight="1">
      <c r="A231" s="159" t="s">
        <v>7054</v>
      </c>
      <c r="B231" s="159" t="s">
        <v>6837</v>
      </c>
      <c r="C231" s="159" t="s">
        <v>477</v>
      </c>
      <c r="D231" s="159">
        <v>15</v>
      </c>
      <c r="E231" s="159">
        <v>0</v>
      </c>
      <c r="F231" s="159">
        <v>0</v>
      </c>
      <c r="G231" s="159" t="s">
        <v>7069</v>
      </c>
      <c r="H231" s="159" t="s">
        <v>548</v>
      </c>
      <c r="I231" s="159">
        <v>0</v>
      </c>
    </row>
    <row r="232" spans="1:9" ht="15.75" customHeight="1">
      <c r="A232" s="159" t="s">
        <v>7054</v>
      </c>
      <c r="B232" s="159" t="s">
        <v>669</v>
      </c>
      <c r="C232" s="159" t="s">
        <v>496</v>
      </c>
      <c r="D232" s="159">
        <v>4</v>
      </c>
      <c r="E232" s="159">
        <v>16</v>
      </c>
      <c r="F232" s="159">
        <v>0</v>
      </c>
      <c r="G232" s="159" t="s">
        <v>6821</v>
      </c>
      <c r="H232" s="159" t="s">
        <v>548</v>
      </c>
      <c r="I232" s="159">
        <v>0</v>
      </c>
    </row>
    <row r="233" spans="1:9" ht="15.75" customHeight="1">
      <c r="A233" s="159" t="s">
        <v>7054</v>
      </c>
      <c r="B233" s="159" t="s">
        <v>523</v>
      </c>
      <c r="C233" s="159" t="s">
        <v>477</v>
      </c>
      <c r="D233" s="159">
        <v>100</v>
      </c>
      <c r="E233" s="159">
        <v>0</v>
      </c>
      <c r="F233" s="159">
        <v>0</v>
      </c>
      <c r="G233" s="159" t="s">
        <v>6822</v>
      </c>
      <c r="H233" s="159" t="s">
        <v>548</v>
      </c>
      <c r="I233" s="159">
        <v>0</v>
      </c>
    </row>
    <row r="234" spans="1:9" ht="15.75" customHeight="1">
      <c r="A234" s="159" t="s">
        <v>7054</v>
      </c>
      <c r="B234" s="159" t="s">
        <v>215</v>
      </c>
      <c r="C234" s="159" t="s">
        <v>496</v>
      </c>
      <c r="D234" s="159">
        <v>4</v>
      </c>
      <c r="E234" s="159">
        <v>16</v>
      </c>
      <c r="F234" s="159">
        <v>0</v>
      </c>
      <c r="G234" s="159" t="s">
        <v>803</v>
      </c>
      <c r="H234" s="159" t="s">
        <v>548</v>
      </c>
      <c r="I234" s="159">
        <v>0</v>
      </c>
    </row>
    <row r="235" spans="1:9" ht="15.75" customHeight="1">
      <c r="A235" s="159" t="s">
        <v>7054</v>
      </c>
      <c r="B235" s="159" t="s">
        <v>670</v>
      </c>
      <c r="C235" s="159" t="s">
        <v>477</v>
      </c>
      <c r="D235" s="159">
        <v>100</v>
      </c>
      <c r="E235" s="159">
        <v>0</v>
      </c>
      <c r="F235" s="159">
        <v>0</v>
      </c>
      <c r="G235" s="159" t="s">
        <v>1734</v>
      </c>
      <c r="H235" s="159" t="s">
        <v>548</v>
      </c>
      <c r="I235" s="159">
        <v>0</v>
      </c>
    </row>
    <row r="236" spans="1:9" ht="15.75" customHeight="1">
      <c r="A236" s="159" t="s">
        <v>7054</v>
      </c>
      <c r="B236" s="159" t="s">
        <v>2450</v>
      </c>
      <c r="C236" s="159" t="s">
        <v>481</v>
      </c>
      <c r="D236" s="159">
        <v>5</v>
      </c>
      <c r="E236" s="159">
        <v>9</v>
      </c>
      <c r="F236" s="159">
        <v>2</v>
      </c>
      <c r="G236" s="159" t="s">
        <v>7070</v>
      </c>
      <c r="H236" s="159" t="s">
        <v>615</v>
      </c>
      <c r="I236" s="159">
        <v>0</v>
      </c>
    </row>
    <row r="237" spans="1:9" ht="15.75" customHeight="1">
      <c r="A237" s="159" t="s">
        <v>7054</v>
      </c>
      <c r="B237" s="159" t="s">
        <v>2452</v>
      </c>
      <c r="C237" s="159" t="s">
        <v>481</v>
      </c>
      <c r="D237" s="159">
        <v>5</v>
      </c>
      <c r="E237" s="159">
        <v>9</v>
      </c>
      <c r="F237" s="159">
        <v>2</v>
      </c>
      <c r="G237" s="159" t="s">
        <v>7031</v>
      </c>
      <c r="H237" s="159" t="s">
        <v>615</v>
      </c>
      <c r="I237" s="159">
        <v>0</v>
      </c>
    </row>
    <row r="238" spans="1:9" ht="15.75" customHeight="1">
      <c r="A238" s="159" t="s">
        <v>7054</v>
      </c>
      <c r="B238" s="159" t="s">
        <v>2444</v>
      </c>
      <c r="C238" s="159" t="s">
        <v>481</v>
      </c>
      <c r="D238" s="159">
        <v>5</v>
      </c>
      <c r="E238" s="159">
        <v>9</v>
      </c>
      <c r="F238" s="159">
        <v>2</v>
      </c>
      <c r="G238" s="159" t="s">
        <v>7071</v>
      </c>
      <c r="H238" s="159" t="s">
        <v>615</v>
      </c>
      <c r="I238" s="159">
        <v>0</v>
      </c>
    </row>
    <row r="239" spans="1:9" ht="15.75" customHeight="1">
      <c r="A239" s="159" t="s">
        <v>7054</v>
      </c>
      <c r="B239" s="159" t="s">
        <v>2639</v>
      </c>
      <c r="C239" s="159" t="s">
        <v>481</v>
      </c>
      <c r="D239" s="159">
        <v>5</v>
      </c>
      <c r="E239" s="159">
        <v>9</v>
      </c>
      <c r="F239" s="159">
        <v>2</v>
      </c>
      <c r="G239" s="159" t="s">
        <v>7072</v>
      </c>
      <c r="H239" s="159" t="s">
        <v>615</v>
      </c>
      <c r="I239" s="159">
        <v>0</v>
      </c>
    </row>
    <row r="240" spans="1:9" ht="15.75" customHeight="1">
      <c r="A240" s="159" t="s">
        <v>7054</v>
      </c>
      <c r="B240" s="159" t="s">
        <v>1737</v>
      </c>
      <c r="C240" s="159" t="s">
        <v>477</v>
      </c>
      <c r="D240" s="159">
        <v>3</v>
      </c>
      <c r="E240" s="159">
        <v>0</v>
      </c>
      <c r="F240" s="159">
        <v>0</v>
      </c>
      <c r="G240" s="159" t="s">
        <v>7073</v>
      </c>
      <c r="H240" s="159" t="s">
        <v>596</v>
      </c>
      <c r="I240" s="159">
        <v>0</v>
      </c>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240" xr:uid="{00000000-0009-0000-0000-00000F000000}"/>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O1000"/>
  <sheetViews>
    <sheetView workbookViewId="0"/>
  </sheetViews>
  <sheetFormatPr baseColWidth="10" defaultColWidth="12.6640625" defaultRowHeight="15" customHeight="1"/>
  <cols>
    <col min="1" max="1" width="16.33203125" customWidth="1"/>
    <col min="2" max="2" width="15.1640625" customWidth="1"/>
    <col min="3" max="3" width="22" customWidth="1"/>
    <col min="4" max="4" width="9.1640625" customWidth="1"/>
    <col min="5" max="10" width="7.6640625" customWidth="1"/>
    <col min="11" max="11" width="12.6640625" customWidth="1"/>
    <col min="12" max="12" width="15.1640625" customWidth="1"/>
    <col min="13" max="13" width="11.6640625" customWidth="1"/>
    <col min="14" max="14" width="23.83203125" customWidth="1"/>
    <col min="15" max="15" width="14.6640625" customWidth="1"/>
    <col min="16" max="26" width="7.6640625" customWidth="1"/>
  </cols>
  <sheetData>
    <row r="1" spans="1:15">
      <c r="A1" s="214" t="s">
        <v>154</v>
      </c>
      <c r="B1" s="214" t="s">
        <v>155</v>
      </c>
      <c r="C1" s="214" t="s">
        <v>156</v>
      </c>
      <c r="D1" s="214" t="s">
        <v>157</v>
      </c>
      <c r="E1" s="214" t="s">
        <v>158</v>
      </c>
      <c r="F1" s="214" t="s">
        <v>159</v>
      </c>
      <c r="G1" s="214" t="s">
        <v>160</v>
      </c>
      <c r="H1" s="214" t="s">
        <v>161</v>
      </c>
      <c r="I1" s="214" t="s">
        <v>162</v>
      </c>
      <c r="J1" s="215" t="s">
        <v>163</v>
      </c>
      <c r="K1" s="176" t="s">
        <v>165</v>
      </c>
      <c r="L1" s="176" t="s">
        <v>3632</v>
      </c>
      <c r="M1" s="103" t="s">
        <v>166</v>
      </c>
      <c r="N1" s="104" t="s">
        <v>167</v>
      </c>
      <c r="O1" s="105" t="s">
        <v>168</v>
      </c>
    </row>
    <row r="2" spans="1:15">
      <c r="A2" s="159" t="s">
        <v>7074</v>
      </c>
      <c r="B2" s="159"/>
      <c r="C2" s="159" t="s">
        <v>94</v>
      </c>
      <c r="D2" s="159" t="s">
        <v>7075</v>
      </c>
      <c r="K2" s="183"/>
      <c r="L2" s="183"/>
      <c r="N2" s="98" t="s">
        <v>7076</v>
      </c>
      <c r="O2" s="208" t="s">
        <v>185</v>
      </c>
    </row>
    <row r="3" spans="1:15">
      <c r="A3" s="159" t="s">
        <v>7074</v>
      </c>
      <c r="B3" s="159"/>
      <c r="C3" s="159" t="s">
        <v>7077</v>
      </c>
      <c r="D3" s="159" t="s">
        <v>7078</v>
      </c>
      <c r="K3" s="183"/>
      <c r="L3" s="183"/>
      <c r="N3" s="98" t="s">
        <v>7076</v>
      </c>
      <c r="O3" s="208" t="s">
        <v>185</v>
      </c>
    </row>
    <row r="4" spans="1:15">
      <c r="K4" s="183"/>
      <c r="L4" s="183"/>
      <c r="O4" s="208"/>
    </row>
    <row r="5" spans="1:15">
      <c r="K5" s="183"/>
      <c r="L5" s="183"/>
    </row>
    <row r="6" spans="1:15">
      <c r="K6" s="183"/>
      <c r="L6" s="183"/>
    </row>
    <row r="7" spans="1:15">
      <c r="K7" s="183"/>
      <c r="L7" s="183"/>
    </row>
    <row r="8" spans="1:15">
      <c r="K8" s="183"/>
      <c r="L8" s="183"/>
    </row>
    <row r="9" spans="1:15">
      <c r="K9" s="183"/>
      <c r="L9" s="183"/>
    </row>
    <row r="10" spans="1:15">
      <c r="K10" s="183"/>
      <c r="L10" s="183"/>
    </row>
    <row r="11" spans="1:15">
      <c r="K11" s="183"/>
      <c r="L11" s="183"/>
    </row>
    <row r="12" spans="1:15">
      <c r="K12" s="183"/>
      <c r="L12" s="183"/>
    </row>
    <row r="13" spans="1:15">
      <c r="K13" s="183"/>
      <c r="L13" s="183"/>
    </row>
    <row r="14" spans="1:15">
      <c r="K14" s="183"/>
      <c r="L14" s="183"/>
    </row>
    <row r="15" spans="1:15">
      <c r="K15" s="183"/>
      <c r="L15" s="183"/>
    </row>
    <row r="16" spans="1:15">
      <c r="K16" s="183"/>
      <c r="L16" s="183"/>
    </row>
    <row r="17" spans="11:12">
      <c r="K17" s="183"/>
      <c r="L17" s="183"/>
    </row>
    <row r="18" spans="11:12">
      <c r="K18" s="183"/>
      <c r="L18" s="183"/>
    </row>
    <row r="19" spans="11:12">
      <c r="K19" s="183"/>
      <c r="L19" s="183"/>
    </row>
    <row r="20" spans="11:12">
      <c r="K20" s="183"/>
      <c r="L20" s="183"/>
    </row>
    <row r="21" spans="11:12" ht="15.75" customHeight="1">
      <c r="K21" s="183"/>
      <c r="L21" s="183"/>
    </row>
    <row r="22" spans="11:12" ht="15.75" customHeight="1">
      <c r="K22" s="183"/>
      <c r="L22" s="183"/>
    </row>
    <row r="23" spans="11:12" ht="15.75" customHeight="1">
      <c r="K23" s="183"/>
      <c r="L23" s="183"/>
    </row>
    <row r="24" spans="11:12" ht="15.75" customHeight="1">
      <c r="K24" s="183"/>
      <c r="L24" s="183"/>
    </row>
    <row r="25" spans="11:12" ht="15.75" customHeight="1">
      <c r="K25" s="183"/>
      <c r="L25" s="183"/>
    </row>
    <row r="26" spans="11:12" ht="15.75" customHeight="1">
      <c r="K26" s="183"/>
      <c r="L26" s="183"/>
    </row>
    <row r="27" spans="11:12" ht="15.75" customHeight="1">
      <c r="K27" s="183"/>
      <c r="L27" s="183"/>
    </row>
    <row r="28" spans="11:12" ht="15.75" customHeight="1">
      <c r="K28" s="183"/>
      <c r="L28" s="183"/>
    </row>
    <row r="29" spans="11:12" ht="15.75" customHeight="1">
      <c r="K29" s="183"/>
      <c r="L29" s="183"/>
    </row>
    <row r="30" spans="11:12" ht="15.75" customHeight="1">
      <c r="K30" s="183"/>
      <c r="L30" s="183"/>
    </row>
    <row r="31" spans="11:12" ht="15.75" customHeight="1">
      <c r="K31" s="183"/>
      <c r="L31" s="183"/>
    </row>
    <row r="32" spans="11:12" ht="15.75" customHeight="1">
      <c r="K32" s="183"/>
      <c r="L32" s="183"/>
    </row>
    <row r="33" spans="11:12" ht="15.75" customHeight="1">
      <c r="K33" s="183"/>
      <c r="L33" s="183"/>
    </row>
    <row r="34" spans="11:12" ht="15.75" customHeight="1">
      <c r="K34" s="183"/>
      <c r="L34" s="183"/>
    </row>
    <row r="35" spans="11:12" ht="15.75" customHeight="1">
      <c r="K35" s="183"/>
      <c r="L35" s="183"/>
    </row>
    <row r="36" spans="11:12" ht="15.75" customHeight="1">
      <c r="K36" s="183"/>
      <c r="L36" s="183"/>
    </row>
    <row r="37" spans="11:12" ht="15.75" customHeight="1">
      <c r="K37" s="183"/>
      <c r="L37" s="183"/>
    </row>
    <row r="38" spans="11:12" ht="15.75" customHeight="1">
      <c r="K38" s="183"/>
      <c r="L38" s="183"/>
    </row>
    <row r="39" spans="11:12" ht="15.75" customHeight="1">
      <c r="K39" s="183"/>
      <c r="L39" s="183"/>
    </row>
    <row r="40" spans="11:12" ht="15.75" customHeight="1">
      <c r="K40" s="183"/>
      <c r="L40" s="183"/>
    </row>
    <row r="41" spans="11:12" ht="15.75" customHeight="1">
      <c r="K41" s="183"/>
      <c r="L41" s="183"/>
    </row>
    <row r="42" spans="11:12" ht="15.75" customHeight="1">
      <c r="K42" s="183"/>
      <c r="L42" s="183"/>
    </row>
    <row r="43" spans="11:12" ht="15.75" customHeight="1">
      <c r="K43" s="183"/>
      <c r="L43" s="183"/>
    </row>
    <row r="44" spans="11:12" ht="15.75" customHeight="1">
      <c r="K44" s="183"/>
      <c r="L44" s="183"/>
    </row>
    <row r="45" spans="11:12" ht="15.75" customHeight="1">
      <c r="K45" s="183"/>
      <c r="L45" s="183"/>
    </row>
    <row r="46" spans="11:12" ht="15.75" customHeight="1">
      <c r="K46" s="183"/>
      <c r="L46" s="183"/>
    </row>
    <row r="47" spans="11:12" ht="15.75" customHeight="1">
      <c r="K47" s="183"/>
      <c r="L47" s="183"/>
    </row>
    <row r="48" spans="11:12" ht="15.75" customHeight="1">
      <c r="K48" s="183"/>
      <c r="L48" s="183"/>
    </row>
    <row r="49" spans="11:12" ht="15.75" customHeight="1">
      <c r="K49" s="183"/>
      <c r="L49" s="183"/>
    </row>
    <row r="50" spans="11:12" ht="15.75" customHeight="1">
      <c r="K50" s="183"/>
      <c r="L50" s="183"/>
    </row>
    <row r="51" spans="11:12" ht="15.75" customHeight="1">
      <c r="K51" s="183"/>
      <c r="L51" s="183"/>
    </row>
    <row r="52" spans="11:12" ht="15.75" customHeight="1">
      <c r="K52" s="183"/>
      <c r="L52" s="183"/>
    </row>
    <row r="53" spans="11:12" ht="15.75" customHeight="1">
      <c r="K53" s="183"/>
      <c r="L53" s="183"/>
    </row>
    <row r="54" spans="11:12" ht="15.75" customHeight="1">
      <c r="K54" s="183"/>
      <c r="L54" s="183"/>
    </row>
    <row r="55" spans="11:12" ht="15.75" customHeight="1">
      <c r="K55" s="183"/>
      <c r="L55" s="183"/>
    </row>
    <row r="56" spans="11:12" ht="15.75" customHeight="1">
      <c r="K56" s="183"/>
      <c r="L56" s="183"/>
    </row>
    <row r="57" spans="11:12" ht="15.75" customHeight="1">
      <c r="K57" s="183"/>
      <c r="L57" s="183"/>
    </row>
    <row r="58" spans="11:12" ht="15.75" customHeight="1">
      <c r="K58" s="183"/>
      <c r="L58" s="183"/>
    </row>
    <row r="59" spans="11:12" ht="15.75" customHeight="1">
      <c r="K59" s="183"/>
      <c r="L59" s="183"/>
    </row>
    <row r="60" spans="11:12" ht="15.75" customHeight="1">
      <c r="K60" s="183"/>
      <c r="L60" s="183"/>
    </row>
    <row r="61" spans="11:12" ht="15.75" customHeight="1">
      <c r="K61" s="183"/>
      <c r="L61" s="183"/>
    </row>
    <row r="62" spans="11:12" ht="15.75" customHeight="1">
      <c r="K62" s="183"/>
      <c r="L62" s="183"/>
    </row>
    <row r="63" spans="11:12" ht="15.75" customHeight="1">
      <c r="K63" s="183"/>
      <c r="L63" s="183"/>
    </row>
    <row r="64" spans="11:12" ht="15.75" customHeight="1">
      <c r="K64" s="183"/>
      <c r="L64" s="183"/>
    </row>
    <row r="65" spans="11:12" ht="15.75" customHeight="1">
      <c r="K65" s="183"/>
      <c r="L65" s="183"/>
    </row>
    <row r="66" spans="11:12" ht="15.75" customHeight="1">
      <c r="K66" s="183"/>
      <c r="L66" s="183"/>
    </row>
    <row r="67" spans="11:12" ht="15.75" customHeight="1">
      <c r="K67" s="183"/>
      <c r="L67" s="183"/>
    </row>
    <row r="68" spans="11:12" ht="15.75" customHeight="1">
      <c r="K68" s="183"/>
      <c r="L68" s="183"/>
    </row>
    <row r="69" spans="11:12" ht="15.75" customHeight="1">
      <c r="K69" s="183"/>
      <c r="L69" s="183"/>
    </row>
    <row r="70" spans="11:12" ht="15.75" customHeight="1">
      <c r="K70" s="183"/>
      <c r="L70" s="183"/>
    </row>
    <row r="71" spans="11:12" ht="15.75" customHeight="1">
      <c r="K71" s="183"/>
      <c r="L71" s="183"/>
    </row>
    <row r="72" spans="11:12" ht="15.75" customHeight="1">
      <c r="K72" s="183"/>
      <c r="L72" s="183"/>
    </row>
    <row r="73" spans="11:12" ht="15.75" customHeight="1">
      <c r="K73" s="183"/>
      <c r="L73" s="183"/>
    </row>
    <row r="74" spans="11:12" ht="15.75" customHeight="1">
      <c r="K74" s="183"/>
      <c r="L74" s="183"/>
    </row>
    <row r="75" spans="11:12" ht="15.75" customHeight="1">
      <c r="K75" s="183"/>
      <c r="L75" s="183"/>
    </row>
    <row r="76" spans="11:12" ht="15.75" customHeight="1">
      <c r="K76" s="183"/>
      <c r="L76" s="183"/>
    </row>
    <row r="77" spans="11:12" ht="15.75" customHeight="1">
      <c r="K77" s="183"/>
      <c r="L77" s="183"/>
    </row>
    <row r="78" spans="11:12" ht="15.75" customHeight="1">
      <c r="K78" s="183"/>
      <c r="L78" s="183"/>
    </row>
    <row r="79" spans="11:12" ht="15.75" customHeight="1">
      <c r="K79" s="183"/>
      <c r="L79" s="183"/>
    </row>
    <row r="80" spans="11:12" ht="15.75" customHeight="1">
      <c r="K80" s="183"/>
      <c r="L80" s="183"/>
    </row>
    <row r="81" spans="11:12" ht="15.75" customHeight="1">
      <c r="K81" s="183"/>
      <c r="L81" s="183"/>
    </row>
    <row r="82" spans="11:12" ht="15.75" customHeight="1">
      <c r="K82" s="183"/>
      <c r="L82" s="183"/>
    </row>
    <row r="83" spans="11:12" ht="15.75" customHeight="1">
      <c r="K83" s="183"/>
      <c r="L83" s="183"/>
    </row>
    <row r="84" spans="11:12" ht="15.75" customHeight="1">
      <c r="K84" s="183"/>
      <c r="L84" s="183"/>
    </row>
    <row r="85" spans="11:12" ht="15.75" customHeight="1">
      <c r="K85" s="183"/>
      <c r="L85" s="183"/>
    </row>
    <row r="86" spans="11:12" ht="15.75" customHeight="1">
      <c r="K86" s="183"/>
      <c r="L86" s="183"/>
    </row>
    <row r="87" spans="11:12" ht="15.75" customHeight="1">
      <c r="K87" s="183"/>
      <c r="L87" s="183"/>
    </row>
    <row r="88" spans="11:12" ht="15.75" customHeight="1">
      <c r="K88" s="183"/>
      <c r="L88" s="183"/>
    </row>
    <row r="89" spans="11:12" ht="15.75" customHeight="1">
      <c r="K89" s="183"/>
      <c r="L89" s="183"/>
    </row>
    <row r="90" spans="11:12" ht="15.75" customHeight="1">
      <c r="K90" s="183"/>
      <c r="L90" s="183"/>
    </row>
    <row r="91" spans="11:12" ht="15.75" customHeight="1">
      <c r="K91" s="183"/>
      <c r="L91" s="183"/>
    </row>
    <row r="92" spans="11:12" ht="15.75" customHeight="1">
      <c r="K92" s="183"/>
      <c r="L92" s="183"/>
    </row>
    <row r="93" spans="11:12" ht="15.75" customHeight="1">
      <c r="K93" s="183"/>
      <c r="L93" s="183"/>
    </row>
    <row r="94" spans="11:12" ht="15.75" customHeight="1">
      <c r="K94" s="183"/>
      <c r="L94" s="183"/>
    </row>
    <row r="95" spans="11:12" ht="15.75" customHeight="1">
      <c r="K95" s="183"/>
      <c r="L95" s="183"/>
    </row>
    <row r="96" spans="11:12" ht="15.75" customHeight="1">
      <c r="K96" s="183"/>
      <c r="L96" s="183"/>
    </row>
    <row r="97" spans="11:12" ht="15.75" customHeight="1">
      <c r="K97" s="183"/>
      <c r="L97" s="183"/>
    </row>
    <row r="98" spans="11:12" ht="15.75" customHeight="1">
      <c r="K98" s="183"/>
      <c r="L98" s="183"/>
    </row>
    <row r="99" spans="11:12" ht="15.75" customHeight="1">
      <c r="K99" s="183"/>
      <c r="L99" s="183"/>
    </row>
    <row r="100" spans="11:12" ht="15.75" customHeight="1">
      <c r="K100" s="183"/>
      <c r="L100" s="183"/>
    </row>
    <row r="101" spans="11:12" ht="15.75" customHeight="1">
      <c r="K101" s="183"/>
      <c r="L101" s="183"/>
    </row>
    <row r="102" spans="11:12" ht="15.75" customHeight="1">
      <c r="K102" s="183"/>
      <c r="L102" s="183"/>
    </row>
    <row r="103" spans="11:12" ht="15.75" customHeight="1">
      <c r="K103" s="183"/>
      <c r="L103" s="183"/>
    </row>
    <row r="104" spans="11:12" ht="15.75" customHeight="1">
      <c r="K104" s="183"/>
      <c r="L104" s="183"/>
    </row>
    <row r="105" spans="11:12" ht="15.75" customHeight="1">
      <c r="K105" s="183"/>
      <c r="L105" s="183"/>
    </row>
    <row r="106" spans="11:12" ht="15.75" customHeight="1">
      <c r="K106" s="183"/>
      <c r="L106" s="183"/>
    </row>
    <row r="107" spans="11:12" ht="15.75" customHeight="1">
      <c r="K107" s="183"/>
      <c r="L107" s="183"/>
    </row>
    <row r="108" spans="11:12" ht="15.75" customHeight="1">
      <c r="K108" s="183"/>
      <c r="L108" s="183"/>
    </row>
    <row r="109" spans="11:12" ht="15.75" customHeight="1">
      <c r="K109" s="183"/>
      <c r="L109" s="183"/>
    </row>
    <row r="110" spans="11:12" ht="15.75" customHeight="1">
      <c r="K110" s="183"/>
      <c r="L110" s="183"/>
    </row>
    <row r="111" spans="11:12" ht="15.75" customHeight="1">
      <c r="K111" s="183"/>
      <c r="L111" s="183"/>
    </row>
    <row r="112" spans="11:12" ht="15.75" customHeight="1">
      <c r="K112" s="183"/>
      <c r="L112" s="183"/>
    </row>
    <row r="113" spans="11:12" ht="15.75" customHeight="1">
      <c r="K113" s="183"/>
      <c r="L113" s="183"/>
    </row>
    <row r="114" spans="11:12" ht="15.75" customHeight="1">
      <c r="K114" s="183"/>
      <c r="L114" s="183"/>
    </row>
    <row r="115" spans="11:12" ht="15.75" customHeight="1">
      <c r="K115" s="183"/>
      <c r="L115" s="183"/>
    </row>
    <row r="116" spans="11:12" ht="15.75" customHeight="1">
      <c r="K116" s="183"/>
      <c r="L116" s="183"/>
    </row>
    <row r="117" spans="11:12" ht="15.75" customHeight="1">
      <c r="K117" s="183"/>
      <c r="L117" s="183"/>
    </row>
    <row r="118" spans="11:12" ht="15.75" customHeight="1">
      <c r="K118" s="183"/>
      <c r="L118" s="183"/>
    </row>
    <row r="119" spans="11:12" ht="15.75" customHeight="1">
      <c r="K119" s="183"/>
      <c r="L119" s="183"/>
    </row>
    <row r="120" spans="11:12" ht="15.75" customHeight="1">
      <c r="K120" s="183"/>
      <c r="L120" s="183"/>
    </row>
    <row r="121" spans="11:12" ht="15.75" customHeight="1">
      <c r="K121" s="183"/>
      <c r="L121" s="183"/>
    </row>
    <row r="122" spans="11:12" ht="15.75" customHeight="1">
      <c r="K122" s="183"/>
      <c r="L122" s="183"/>
    </row>
    <row r="123" spans="11:12" ht="15.75" customHeight="1">
      <c r="K123" s="183"/>
      <c r="L123" s="183"/>
    </row>
    <row r="124" spans="11:12" ht="15.75" customHeight="1">
      <c r="K124" s="183"/>
      <c r="L124" s="183"/>
    </row>
    <row r="125" spans="11:12" ht="15.75" customHeight="1">
      <c r="K125" s="183"/>
      <c r="L125" s="183"/>
    </row>
    <row r="126" spans="11:12" ht="15.75" customHeight="1">
      <c r="K126" s="183"/>
      <c r="L126" s="183"/>
    </row>
    <row r="127" spans="11:12" ht="15.75" customHeight="1">
      <c r="K127" s="183"/>
      <c r="L127" s="183"/>
    </row>
    <row r="128" spans="11:12" ht="15.75" customHeight="1">
      <c r="K128" s="183"/>
      <c r="L128" s="183"/>
    </row>
    <row r="129" spans="11:12" ht="15.75" customHeight="1">
      <c r="K129" s="183"/>
      <c r="L129" s="183"/>
    </row>
    <row r="130" spans="11:12" ht="15.75" customHeight="1">
      <c r="K130" s="183"/>
      <c r="L130" s="183"/>
    </row>
    <row r="131" spans="11:12" ht="15.75" customHeight="1">
      <c r="K131" s="183"/>
      <c r="L131" s="183"/>
    </row>
    <row r="132" spans="11:12" ht="15.75" customHeight="1">
      <c r="K132" s="183"/>
      <c r="L132" s="183"/>
    </row>
    <row r="133" spans="11:12" ht="15.75" customHeight="1">
      <c r="K133" s="183"/>
      <c r="L133" s="183"/>
    </row>
    <row r="134" spans="11:12" ht="15.75" customHeight="1">
      <c r="K134" s="183"/>
      <c r="L134" s="183"/>
    </row>
    <row r="135" spans="11:12" ht="15.75" customHeight="1">
      <c r="K135" s="183"/>
      <c r="L135" s="183"/>
    </row>
    <row r="136" spans="11:12" ht="15.75" customHeight="1">
      <c r="K136" s="183"/>
      <c r="L136" s="183"/>
    </row>
    <row r="137" spans="11:12" ht="15.75" customHeight="1">
      <c r="K137" s="183"/>
      <c r="L137" s="183"/>
    </row>
    <row r="138" spans="11:12" ht="15.75" customHeight="1">
      <c r="K138" s="183"/>
      <c r="L138" s="183"/>
    </row>
    <row r="139" spans="11:12" ht="15.75" customHeight="1">
      <c r="K139" s="183"/>
      <c r="L139" s="183"/>
    </row>
    <row r="140" spans="11:12" ht="15.75" customHeight="1">
      <c r="K140" s="183"/>
      <c r="L140" s="183"/>
    </row>
    <row r="141" spans="11:12" ht="15.75" customHeight="1">
      <c r="K141" s="183"/>
      <c r="L141" s="183"/>
    </row>
    <row r="142" spans="11:12" ht="15.75" customHeight="1">
      <c r="K142" s="183"/>
      <c r="L142" s="183"/>
    </row>
    <row r="143" spans="11:12" ht="15.75" customHeight="1">
      <c r="K143" s="183"/>
      <c r="L143" s="183"/>
    </row>
    <row r="144" spans="11:12" ht="15.75" customHeight="1">
      <c r="K144" s="183"/>
      <c r="L144" s="183"/>
    </row>
    <row r="145" spans="11:12" ht="15.75" customHeight="1">
      <c r="K145" s="183"/>
      <c r="L145" s="183"/>
    </row>
    <row r="146" spans="11:12" ht="15.75" customHeight="1">
      <c r="K146" s="183"/>
      <c r="L146" s="183"/>
    </row>
    <row r="147" spans="11:12" ht="15.75" customHeight="1">
      <c r="K147" s="183"/>
      <c r="L147" s="183"/>
    </row>
    <row r="148" spans="11:12" ht="15.75" customHeight="1">
      <c r="K148" s="183"/>
      <c r="L148" s="183"/>
    </row>
    <row r="149" spans="11:12" ht="15.75" customHeight="1">
      <c r="K149" s="183"/>
      <c r="L149" s="183"/>
    </row>
    <row r="150" spans="11:12" ht="15.75" customHeight="1">
      <c r="K150" s="183"/>
      <c r="L150" s="183"/>
    </row>
    <row r="151" spans="11:12" ht="15.75" customHeight="1">
      <c r="K151" s="183"/>
      <c r="L151" s="183"/>
    </row>
    <row r="152" spans="11:12" ht="15.75" customHeight="1">
      <c r="K152" s="183"/>
      <c r="L152" s="183"/>
    </row>
    <row r="153" spans="11:12" ht="15.75" customHeight="1">
      <c r="K153" s="183"/>
      <c r="L153" s="183"/>
    </row>
    <row r="154" spans="11:12" ht="15.75" customHeight="1">
      <c r="K154" s="183"/>
      <c r="L154" s="183"/>
    </row>
    <row r="155" spans="11:12" ht="15.75" customHeight="1">
      <c r="K155" s="183"/>
      <c r="L155" s="183"/>
    </row>
    <row r="156" spans="11:12" ht="15.75" customHeight="1">
      <c r="K156" s="183"/>
      <c r="L156" s="183"/>
    </row>
    <row r="157" spans="11:12" ht="15.75" customHeight="1">
      <c r="K157" s="183"/>
      <c r="L157" s="183"/>
    </row>
    <row r="158" spans="11:12" ht="15.75" customHeight="1">
      <c r="K158" s="183"/>
      <c r="L158" s="183"/>
    </row>
    <row r="159" spans="11:12" ht="15.75" customHeight="1">
      <c r="K159" s="183"/>
      <c r="L159" s="183"/>
    </row>
    <row r="160" spans="11:12" ht="15.75" customHeight="1">
      <c r="K160" s="183"/>
      <c r="L160" s="183"/>
    </row>
    <row r="161" spans="11:12" ht="15.75" customHeight="1">
      <c r="K161" s="183"/>
      <c r="L161" s="183"/>
    </row>
    <row r="162" spans="11:12" ht="15.75" customHeight="1">
      <c r="K162" s="183"/>
      <c r="L162" s="183"/>
    </row>
    <row r="163" spans="11:12" ht="15.75" customHeight="1">
      <c r="K163" s="183"/>
      <c r="L163" s="183"/>
    </row>
    <row r="164" spans="11:12" ht="15.75" customHeight="1">
      <c r="K164" s="183"/>
      <c r="L164" s="183"/>
    </row>
    <row r="165" spans="11:12" ht="15.75" customHeight="1">
      <c r="K165" s="183"/>
      <c r="L165" s="183"/>
    </row>
    <row r="166" spans="11:12" ht="15.75" customHeight="1">
      <c r="K166" s="183"/>
      <c r="L166" s="183"/>
    </row>
    <row r="167" spans="11:12" ht="15.75" customHeight="1">
      <c r="K167" s="183"/>
      <c r="L167" s="183"/>
    </row>
    <row r="168" spans="11:12" ht="15.75" customHeight="1">
      <c r="K168" s="183"/>
      <c r="L168" s="183"/>
    </row>
    <row r="169" spans="11:12" ht="15.75" customHeight="1">
      <c r="K169" s="183"/>
      <c r="L169" s="183"/>
    </row>
    <row r="170" spans="11:12" ht="15.75" customHeight="1">
      <c r="K170" s="183"/>
      <c r="L170" s="183"/>
    </row>
    <row r="171" spans="11:12" ht="15.75" customHeight="1">
      <c r="K171" s="183"/>
      <c r="L171" s="183"/>
    </row>
    <row r="172" spans="11:12" ht="15.75" customHeight="1">
      <c r="K172" s="183"/>
      <c r="L172" s="183"/>
    </row>
    <row r="173" spans="11:12" ht="15.75" customHeight="1">
      <c r="K173" s="183"/>
      <c r="L173" s="183"/>
    </row>
    <row r="174" spans="11:12" ht="15.75" customHeight="1">
      <c r="K174" s="183"/>
      <c r="L174" s="183"/>
    </row>
    <row r="175" spans="11:12" ht="15.75" customHeight="1">
      <c r="K175" s="183"/>
      <c r="L175" s="183"/>
    </row>
    <row r="176" spans="11:12" ht="15.75" customHeight="1">
      <c r="K176" s="183"/>
      <c r="L176" s="183"/>
    </row>
    <row r="177" spans="11:12" ht="15.75" customHeight="1">
      <c r="K177" s="183"/>
      <c r="L177" s="183"/>
    </row>
    <row r="178" spans="11:12" ht="15.75" customHeight="1">
      <c r="K178" s="183"/>
      <c r="L178" s="183"/>
    </row>
    <row r="179" spans="11:12" ht="15.75" customHeight="1">
      <c r="K179" s="183"/>
      <c r="L179" s="183"/>
    </row>
    <row r="180" spans="11:12" ht="15.75" customHeight="1">
      <c r="K180" s="183"/>
      <c r="L180" s="183"/>
    </row>
    <row r="181" spans="11:12" ht="15.75" customHeight="1">
      <c r="K181" s="183"/>
      <c r="L181" s="183"/>
    </row>
    <row r="182" spans="11:12" ht="15.75" customHeight="1">
      <c r="K182" s="183"/>
      <c r="L182" s="183"/>
    </row>
    <row r="183" spans="11:12" ht="15.75" customHeight="1">
      <c r="K183" s="183"/>
      <c r="L183" s="183"/>
    </row>
    <row r="184" spans="11:12" ht="15.75" customHeight="1">
      <c r="K184" s="183"/>
      <c r="L184" s="183"/>
    </row>
    <row r="185" spans="11:12" ht="15.75" customHeight="1">
      <c r="K185" s="183"/>
      <c r="L185" s="183"/>
    </row>
    <row r="186" spans="11:12" ht="15.75" customHeight="1">
      <c r="K186" s="183"/>
      <c r="L186" s="183"/>
    </row>
    <row r="187" spans="11:12" ht="15.75" customHeight="1">
      <c r="K187" s="183"/>
      <c r="L187" s="183"/>
    </row>
    <row r="188" spans="11:12" ht="15.75" customHeight="1">
      <c r="K188" s="183"/>
      <c r="L188" s="183"/>
    </row>
    <row r="189" spans="11:12" ht="15.75" customHeight="1">
      <c r="K189" s="183"/>
      <c r="L189" s="183"/>
    </row>
    <row r="190" spans="11:12" ht="15.75" customHeight="1">
      <c r="K190" s="183"/>
      <c r="L190" s="183"/>
    </row>
    <row r="191" spans="11:12" ht="15.75" customHeight="1">
      <c r="K191" s="183"/>
      <c r="L191" s="183"/>
    </row>
    <row r="192" spans="11:12" ht="15.75" customHeight="1">
      <c r="K192" s="183"/>
      <c r="L192" s="183"/>
    </row>
    <row r="193" spans="11:12" ht="15.75" customHeight="1">
      <c r="K193" s="183"/>
      <c r="L193" s="183"/>
    </row>
    <row r="194" spans="11:12" ht="15.75" customHeight="1">
      <c r="K194" s="183"/>
      <c r="L194" s="183"/>
    </row>
    <row r="195" spans="11:12" ht="15.75" customHeight="1">
      <c r="K195" s="183"/>
      <c r="L195" s="183"/>
    </row>
    <row r="196" spans="11:12" ht="15.75" customHeight="1">
      <c r="K196" s="183"/>
      <c r="L196" s="183"/>
    </row>
    <row r="197" spans="11:12" ht="15.75" customHeight="1">
      <c r="K197" s="183"/>
      <c r="L197" s="183"/>
    </row>
    <row r="198" spans="11:12" ht="15.75" customHeight="1">
      <c r="K198" s="183"/>
      <c r="L198" s="183"/>
    </row>
    <row r="199" spans="11:12" ht="15.75" customHeight="1">
      <c r="K199" s="183"/>
      <c r="L199" s="183"/>
    </row>
    <row r="200" spans="11:12" ht="15.75" customHeight="1">
      <c r="K200" s="183"/>
      <c r="L200" s="183"/>
    </row>
    <row r="201" spans="11:12" ht="15.75" customHeight="1">
      <c r="K201" s="183"/>
      <c r="L201" s="183"/>
    </row>
    <row r="202" spans="11:12" ht="15.75" customHeight="1">
      <c r="K202" s="183"/>
      <c r="L202" s="183"/>
    </row>
    <row r="203" spans="11:12" ht="15.75" customHeight="1">
      <c r="K203" s="183"/>
      <c r="L203" s="183"/>
    </row>
    <row r="204" spans="11:12" ht="15.75" customHeight="1">
      <c r="K204" s="183"/>
      <c r="L204" s="183"/>
    </row>
    <row r="205" spans="11:12" ht="15.75" customHeight="1">
      <c r="K205" s="183"/>
      <c r="L205" s="183"/>
    </row>
    <row r="206" spans="11:12" ht="15.75" customHeight="1">
      <c r="K206" s="183"/>
      <c r="L206" s="183"/>
    </row>
    <row r="207" spans="11:12" ht="15.75" customHeight="1">
      <c r="K207" s="183"/>
      <c r="L207" s="183"/>
    </row>
    <row r="208" spans="11:12" ht="15.75" customHeight="1">
      <c r="K208" s="183"/>
      <c r="L208" s="183"/>
    </row>
    <row r="209" spans="11:12" ht="15.75" customHeight="1">
      <c r="K209" s="183"/>
      <c r="L209" s="183"/>
    </row>
    <row r="210" spans="11:12" ht="15.75" customHeight="1">
      <c r="K210" s="183"/>
      <c r="L210" s="183"/>
    </row>
    <row r="211" spans="11:12" ht="15.75" customHeight="1">
      <c r="K211" s="183"/>
      <c r="L211" s="183"/>
    </row>
    <row r="212" spans="11:12" ht="15.75" customHeight="1">
      <c r="K212" s="183"/>
      <c r="L212" s="183"/>
    </row>
    <row r="213" spans="11:12" ht="15.75" customHeight="1">
      <c r="K213" s="183"/>
      <c r="L213" s="183"/>
    </row>
    <row r="214" spans="11:12" ht="15.75" customHeight="1">
      <c r="K214" s="183"/>
      <c r="L214" s="183"/>
    </row>
    <row r="215" spans="11:12" ht="15.75" customHeight="1">
      <c r="K215" s="183"/>
      <c r="L215" s="183"/>
    </row>
    <row r="216" spans="11:12" ht="15.75" customHeight="1">
      <c r="K216" s="183"/>
      <c r="L216" s="183"/>
    </row>
    <row r="217" spans="11:12" ht="15.75" customHeight="1">
      <c r="K217" s="183"/>
      <c r="L217" s="183"/>
    </row>
    <row r="218" spans="11:12" ht="15.75" customHeight="1">
      <c r="K218" s="183"/>
      <c r="L218" s="183"/>
    </row>
    <row r="219" spans="11:12" ht="15.75" customHeight="1">
      <c r="K219" s="183"/>
      <c r="L219" s="183"/>
    </row>
    <row r="220" spans="11:12" ht="15.75" customHeight="1">
      <c r="K220" s="183"/>
      <c r="L220" s="183"/>
    </row>
    <row r="221" spans="11:12" ht="15.75" customHeight="1">
      <c r="K221" s="183"/>
      <c r="L221" s="183"/>
    </row>
    <row r="222" spans="11:12" ht="15.75" customHeight="1">
      <c r="K222" s="183"/>
      <c r="L222" s="183"/>
    </row>
    <row r="223" spans="11:12" ht="15.75" customHeight="1">
      <c r="K223" s="183"/>
      <c r="L223" s="183"/>
    </row>
    <row r="224" spans="11:12" ht="15.75" customHeight="1">
      <c r="K224" s="183"/>
      <c r="L224" s="183"/>
    </row>
    <row r="225" spans="11:12" ht="15.75" customHeight="1">
      <c r="K225" s="183"/>
      <c r="L225" s="183"/>
    </row>
    <row r="226" spans="11:12" ht="15.75" customHeight="1">
      <c r="K226" s="183"/>
      <c r="L226" s="183"/>
    </row>
    <row r="227" spans="11:12" ht="15.75" customHeight="1">
      <c r="K227" s="183"/>
      <c r="L227" s="183"/>
    </row>
    <row r="228" spans="11:12" ht="15.75" customHeight="1">
      <c r="K228" s="183"/>
      <c r="L228" s="183"/>
    </row>
    <row r="229" spans="11:12" ht="15.75" customHeight="1">
      <c r="K229" s="183"/>
      <c r="L229" s="183"/>
    </row>
    <row r="230" spans="11:12" ht="15.75" customHeight="1">
      <c r="K230" s="183"/>
      <c r="L230" s="183"/>
    </row>
    <row r="231" spans="11:12" ht="15.75" customHeight="1">
      <c r="K231" s="183"/>
      <c r="L231" s="183"/>
    </row>
    <row r="232" spans="11:12" ht="15.75" customHeight="1">
      <c r="K232" s="183"/>
      <c r="L232" s="183"/>
    </row>
    <row r="233" spans="11:12" ht="15.75" customHeight="1">
      <c r="K233" s="183"/>
      <c r="L233" s="183"/>
    </row>
    <row r="234" spans="11:12" ht="15.75" customHeight="1">
      <c r="K234" s="183"/>
      <c r="L234" s="183"/>
    </row>
    <row r="235" spans="11:12" ht="15.75" customHeight="1">
      <c r="K235" s="183"/>
      <c r="L235" s="183"/>
    </row>
    <row r="236" spans="11:12" ht="15.75" customHeight="1">
      <c r="K236" s="183"/>
      <c r="L236" s="183"/>
    </row>
    <row r="237" spans="11:12" ht="15.75" customHeight="1">
      <c r="K237" s="183"/>
      <c r="L237" s="183"/>
    </row>
    <row r="238" spans="11:12" ht="15.75" customHeight="1">
      <c r="K238" s="183"/>
      <c r="L238" s="183"/>
    </row>
    <row r="239" spans="11:12" ht="15.75" customHeight="1">
      <c r="K239" s="183"/>
      <c r="L239" s="183"/>
    </row>
    <row r="240" spans="11:12" ht="15.75" customHeight="1">
      <c r="K240" s="183"/>
      <c r="L240" s="183"/>
    </row>
    <row r="241" spans="11:12" ht="15.75" customHeight="1">
      <c r="K241" s="183"/>
      <c r="L241" s="183"/>
    </row>
    <row r="242" spans="11:12" ht="15.75" customHeight="1">
      <c r="K242" s="183"/>
      <c r="L242" s="183"/>
    </row>
    <row r="243" spans="11:12" ht="15.75" customHeight="1">
      <c r="K243" s="183"/>
      <c r="L243" s="183"/>
    </row>
    <row r="244" spans="11:12" ht="15.75" customHeight="1">
      <c r="K244" s="183"/>
      <c r="L244" s="183"/>
    </row>
    <row r="245" spans="11:12" ht="15.75" customHeight="1">
      <c r="K245" s="183"/>
      <c r="L245" s="183"/>
    </row>
    <row r="246" spans="11:12" ht="15.75" customHeight="1">
      <c r="K246" s="183"/>
      <c r="L246" s="183"/>
    </row>
    <row r="247" spans="11:12" ht="15.75" customHeight="1">
      <c r="K247" s="183"/>
      <c r="L247" s="183"/>
    </row>
    <row r="248" spans="11:12" ht="15.75" customHeight="1">
      <c r="K248" s="183"/>
      <c r="L248" s="183"/>
    </row>
    <row r="249" spans="11:12" ht="15.75" customHeight="1">
      <c r="K249" s="183"/>
      <c r="L249" s="183"/>
    </row>
    <row r="250" spans="11:12" ht="15.75" customHeight="1">
      <c r="K250" s="183"/>
      <c r="L250" s="183"/>
    </row>
    <row r="251" spans="11:12" ht="15.75" customHeight="1">
      <c r="K251" s="183"/>
      <c r="L251" s="183"/>
    </row>
    <row r="252" spans="11:12" ht="15.75" customHeight="1">
      <c r="K252" s="183"/>
      <c r="L252" s="183"/>
    </row>
    <row r="253" spans="11:12" ht="15.75" customHeight="1">
      <c r="K253" s="183"/>
      <c r="L253" s="183"/>
    </row>
    <row r="254" spans="11:12" ht="15.75" customHeight="1">
      <c r="K254" s="183"/>
      <c r="L254" s="183"/>
    </row>
    <row r="255" spans="11:12" ht="15.75" customHeight="1">
      <c r="K255" s="183"/>
      <c r="L255" s="183"/>
    </row>
    <row r="256" spans="11:12" ht="15.75" customHeight="1">
      <c r="K256" s="183"/>
      <c r="L256" s="183"/>
    </row>
    <row r="257" spans="11:12" ht="15.75" customHeight="1">
      <c r="K257" s="183"/>
      <c r="L257" s="183"/>
    </row>
    <row r="258" spans="11:12" ht="15.75" customHeight="1">
      <c r="K258" s="183"/>
      <c r="L258" s="183"/>
    </row>
    <row r="259" spans="11:12" ht="15.75" customHeight="1">
      <c r="K259" s="183"/>
      <c r="L259" s="183"/>
    </row>
    <row r="260" spans="11:12" ht="15.75" customHeight="1">
      <c r="K260" s="183"/>
      <c r="L260" s="183"/>
    </row>
    <row r="261" spans="11:12" ht="15.75" customHeight="1">
      <c r="K261" s="183"/>
      <c r="L261" s="183"/>
    </row>
    <row r="262" spans="11:12" ht="15.75" customHeight="1">
      <c r="K262" s="183"/>
      <c r="L262" s="183"/>
    </row>
    <row r="263" spans="11:12" ht="15.75" customHeight="1">
      <c r="K263" s="183"/>
      <c r="L263" s="183"/>
    </row>
    <row r="264" spans="11:12" ht="15.75" customHeight="1">
      <c r="K264" s="183"/>
      <c r="L264" s="183"/>
    </row>
    <row r="265" spans="11:12" ht="15.75" customHeight="1">
      <c r="K265" s="183"/>
      <c r="L265" s="183"/>
    </row>
    <row r="266" spans="11:12" ht="15.75" customHeight="1">
      <c r="K266" s="183"/>
      <c r="L266" s="183"/>
    </row>
    <row r="267" spans="11:12" ht="15.75" customHeight="1">
      <c r="K267" s="183"/>
      <c r="L267" s="183"/>
    </row>
    <row r="268" spans="11:12" ht="15.75" customHeight="1">
      <c r="K268" s="183"/>
      <c r="L268" s="183"/>
    </row>
    <row r="269" spans="11:12" ht="15.75" customHeight="1">
      <c r="K269" s="183"/>
      <c r="L269" s="183"/>
    </row>
    <row r="270" spans="11:12" ht="15.75" customHeight="1">
      <c r="K270" s="183"/>
      <c r="L270" s="183"/>
    </row>
    <row r="271" spans="11:12" ht="15.75" customHeight="1">
      <c r="K271" s="183"/>
      <c r="L271" s="183"/>
    </row>
    <row r="272" spans="11:12" ht="15.75" customHeight="1">
      <c r="K272" s="183"/>
      <c r="L272" s="183"/>
    </row>
    <row r="273" spans="11:12" ht="15.75" customHeight="1">
      <c r="K273" s="183"/>
      <c r="L273" s="183"/>
    </row>
    <row r="274" spans="11:12" ht="15.75" customHeight="1">
      <c r="K274" s="183"/>
      <c r="L274" s="183"/>
    </row>
    <row r="275" spans="11:12" ht="15.75" customHeight="1">
      <c r="K275" s="183"/>
      <c r="L275" s="183"/>
    </row>
    <row r="276" spans="11:12" ht="15.75" customHeight="1">
      <c r="K276" s="183"/>
      <c r="L276" s="183"/>
    </row>
    <row r="277" spans="11:12" ht="15.75" customHeight="1">
      <c r="K277" s="183"/>
      <c r="L277" s="183"/>
    </row>
    <row r="278" spans="11:12" ht="15.75" customHeight="1">
      <c r="K278" s="183"/>
      <c r="L278" s="183"/>
    </row>
    <row r="279" spans="11:12" ht="15.75" customHeight="1">
      <c r="K279" s="183"/>
      <c r="L279" s="183"/>
    </row>
    <row r="280" spans="11:12" ht="15.75" customHeight="1">
      <c r="K280" s="183"/>
      <c r="L280" s="183"/>
    </row>
    <row r="281" spans="11:12" ht="15.75" customHeight="1">
      <c r="K281" s="183"/>
      <c r="L281" s="183"/>
    </row>
    <row r="282" spans="11:12" ht="15.75" customHeight="1">
      <c r="K282" s="183"/>
      <c r="L282" s="183"/>
    </row>
    <row r="283" spans="11:12" ht="15.75" customHeight="1">
      <c r="K283" s="183"/>
      <c r="L283" s="183"/>
    </row>
    <row r="284" spans="11:12" ht="15.75" customHeight="1">
      <c r="K284" s="183"/>
      <c r="L284" s="183"/>
    </row>
    <row r="285" spans="11:12" ht="15.75" customHeight="1">
      <c r="K285" s="183"/>
      <c r="L285" s="183"/>
    </row>
    <row r="286" spans="11:12" ht="15.75" customHeight="1">
      <c r="K286" s="183"/>
      <c r="L286" s="183"/>
    </row>
    <row r="287" spans="11:12" ht="15.75" customHeight="1">
      <c r="K287" s="183"/>
      <c r="L287" s="183"/>
    </row>
    <row r="288" spans="11:12" ht="15.75" customHeight="1">
      <c r="K288" s="183"/>
      <c r="L288" s="183"/>
    </row>
    <row r="289" spans="11:12" ht="15.75" customHeight="1">
      <c r="K289" s="183"/>
      <c r="L289" s="183"/>
    </row>
    <row r="290" spans="11:12" ht="15.75" customHeight="1">
      <c r="K290" s="183"/>
      <c r="L290" s="183"/>
    </row>
    <row r="291" spans="11:12" ht="15.75" customHeight="1">
      <c r="K291" s="183"/>
      <c r="L291" s="183"/>
    </row>
    <row r="292" spans="11:12" ht="15.75" customHeight="1">
      <c r="K292" s="183"/>
      <c r="L292" s="183"/>
    </row>
    <row r="293" spans="11:12" ht="15.75" customHeight="1">
      <c r="K293" s="183"/>
      <c r="L293" s="183"/>
    </row>
    <row r="294" spans="11:12" ht="15.75" customHeight="1">
      <c r="K294" s="183"/>
      <c r="L294" s="183"/>
    </row>
    <row r="295" spans="11:12" ht="15.75" customHeight="1">
      <c r="K295" s="183"/>
      <c r="L295" s="183"/>
    </row>
    <row r="296" spans="11:12" ht="15.75" customHeight="1">
      <c r="K296" s="183"/>
      <c r="L296" s="183"/>
    </row>
    <row r="297" spans="11:12" ht="15.75" customHeight="1">
      <c r="K297" s="183"/>
      <c r="L297" s="183"/>
    </row>
    <row r="298" spans="11:12" ht="15.75" customHeight="1">
      <c r="K298" s="183"/>
      <c r="L298" s="183"/>
    </row>
    <row r="299" spans="11:12" ht="15.75" customHeight="1">
      <c r="K299" s="183"/>
      <c r="L299" s="183"/>
    </row>
    <row r="300" spans="11:12" ht="15.75" customHeight="1">
      <c r="K300" s="183"/>
      <c r="L300" s="183"/>
    </row>
    <row r="301" spans="11:12" ht="15.75" customHeight="1">
      <c r="K301" s="183"/>
      <c r="L301" s="183"/>
    </row>
    <row r="302" spans="11:12" ht="15.75" customHeight="1">
      <c r="K302" s="183"/>
      <c r="L302" s="183"/>
    </row>
    <row r="303" spans="11:12" ht="15.75" customHeight="1">
      <c r="K303" s="183"/>
      <c r="L303" s="183"/>
    </row>
    <row r="304" spans="11:12" ht="15.75" customHeight="1">
      <c r="K304" s="183"/>
      <c r="L304" s="183"/>
    </row>
    <row r="305" spans="11:12" ht="15.75" customHeight="1">
      <c r="K305" s="183"/>
      <c r="L305" s="183"/>
    </row>
    <row r="306" spans="11:12" ht="15.75" customHeight="1">
      <c r="K306" s="183"/>
      <c r="L306" s="183"/>
    </row>
    <row r="307" spans="11:12" ht="15.75" customHeight="1">
      <c r="K307" s="183"/>
      <c r="L307" s="183"/>
    </row>
    <row r="308" spans="11:12" ht="15.75" customHeight="1">
      <c r="K308" s="183"/>
      <c r="L308" s="183"/>
    </row>
    <row r="309" spans="11:12" ht="15.75" customHeight="1">
      <c r="K309" s="183"/>
      <c r="L309" s="183"/>
    </row>
    <row r="310" spans="11:12" ht="15.75" customHeight="1">
      <c r="K310" s="183"/>
      <c r="L310" s="183"/>
    </row>
    <row r="311" spans="11:12" ht="15.75" customHeight="1">
      <c r="K311" s="183"/>
      <c r="L311" s="183"/>
    </row>
    <row r="312" spans="11:12" ht="15.75" customHeight="1">
      <c r="K312" s="183"/>
      <c r="L312" s="183"/>
    </row>
    <row r="313" spans="11:12" ht="15.75" customHeight="1">
      <c r="K313" s="183"/>
      <c r="L313" s="183"/>
    </row>
    <row r="314" spans="11:12" ht="15.75" customHeight="1">
      <c r="K314" s="183"/>
      <c r="L314" s="183"/>
    </row>
    <row r="315" spans="11:12" ht="15.75" customHeight="1">
      <c r="K315" s="183"/>
      <c r="L315" s="183"/>
    </row>
    <row r="316" spans="11:12" ht="15.75" customHeight="1">
      <c r="K316" s="183"/>
      <c r="L316" s="183"/>
    </row>
    <row r="317" spans="11:12" ht="15.75" customHeight="1">
      <c r="K317" s="183"/>
      <c r="L317" s="183"/>
    </row>
    <row r="318" spans="11:12" ht="15.75" customHeight="1">
      <c r="K318" s="183"/>
      <c r="L318" s="183"/>
    </row>
    <row r="319" spans="11:12" ht="15.75" customHeight="1">
      <c r="K319" s="183"/>
      <c r="L319" s="183"/>
    </row>
    <row r="320" spans="11:12" ht="15.75" customHeight="1">
      <c r="K320" s="183"/>
      <c r="L320" s="183"/>
    </row>
    <row r="321" spans="11:12" ht="15.75" customHeight="1">
      <c r="K321" s="183"/>
      <c r="L321" s="183"/>
    </row>
    <row r="322" spans="11:12" ht="15.75" customHeight="1">
      <c r="K322" s="183"/>
      <c r="L322" s="183"/>
    </row>
    <row r="323" spans="11:12" ht="15.75" customHeight="1">
      <c r="K323" s="183"/>
      <c r="L323" s="183"/>
    </row>
    <row r="324" spans="11:12" ht="15.75" customHeight="1">
      <c r="K324" s="183"/>
      <c r="L324" s="183"/>
    </row>
    <row r="325" spans="11:12" ht="15.75" customHeight="1">
      <c r="K325" s="183"/>
      <c r="L325" s="183"/>
    </row>
    <row r="326" spans="11:12" ht="15.75" customHeight="1">
      <c r="K326" s="183"/>
      <c r="L326" s="183"/>
    </row>
    <row r="327" spans="11:12" ht="15.75" customHeight="1">
      <c r="K327" s="183"/>
      <c r="L327" s="183"/>
    </row>
    <row r="328" spans="11:12" ht="15.75" customHeight="1">
      <c r="K328" s="183"/>
      <c r="L328" s="183"/>
    </row>
    <row r="329" spans="11:12" ht="15.75" customHeight="1">
      <c r="K329" s="183"/>
      <c r="L329" s="183"/>
    </row>
    <row r="330" spans="11:12" ht="15.75" customHeight="1">
      <c r="K330" s="183"/>
      <c r="L330" s="183"/>
    </row>
    <row r="331" spans="11:12" ht="15.75" customHeight="1">
      <c r="K331" s="183"/>
      <c r="L331" s="183"/>
    </row>
    <row r="332" spans="11:12" ht="15.75" customHeight="1">
      <c r="K332" s="183"/>
      <c r="L332" s="183"/>
    </row>
    <row r="333" spans="11:12" ht="15.75" customHeight="1">
      <c r="K333" s="183"/>
      <c r="L333" s="183"/>
    </row>
    <row r="334" spans="11:12" ht="15.75" customHeight="1">
      <c r="K334" s="183"/>
      <c r="L334" s="183"/>
    </row>
    <row r="335" spans="11:12" ht="15.75" customHeight="1">
      <c r="K335" s="183"/>
      <c r="L335" s="183"/>
    </row>
    <row r="336" spans="11:12" ht="15.75" customHeight="1">
      <c r="K336" s="183"/>
      <c r="L336" s="183"/>
    </row>
    <row r="337" spans="11:12" ht="15.75" customHeight="1">
      <c r="K337" s="183"/>
      <c r="L337" s="183"/>
    </row>
    <row r="338" spans="11:12" ht="15.75" customHeight="1">
      <c r="K338" s="183"/>
      <c r="L338" s="183"/>
    </row>
    <row r="339" spans="11:12" ht="15.75" customHeight="1">
      <c r="K339" s="183"/>
      <c r="L339" s="183"/>
    </row>
    <row r="340" spans="11:12" ht="15.75" customHeight="1">
      <c r="K340" s="183"/>
      <c r="L340" s="183"/>
    </row>
    <row r="341" spans="11:12" ht="15.75" customHeight="1">
      <c r="K341" s="183"/>
      <c r="L341" s="183"/>
    </row>
    <row r="342" spans="11:12" ht="15.75" customHeight="1">
      <c r="K342" s="183"/>
      <c r="L342" s="183"/>
    </row>
    <row r="343" spans="11:12" ht="15.75" customHeight="1">
      <c r="K343" s="183"/>
      <c r="L343" s="183"/>
    </row>
    <row r="344" spans="11:12" ht="15.75" customHeight="1">
      <c r="K344" s="183"/>
      <c r="L344" s="183"/>
    </row>
    <row r="345" spans="11:12" ht="15.75" customHeight="1">
      <c r="K345" s="183"/>
      <c r="L345" s="183"/>
    </row>
    <row r="346" spans="11:12" ht="15.75" customHeight="1">
      <c r="K346" s="183"/>
      <c r="L346" s="183"/>
    </row>
    <row r="347" spans="11:12" ht="15.75" customHeight="1">
      <c r="K347" s="183"/>
      <c r="L347" s="183"/>
    </row>
    <row r="348" spans="11:12" ht="15.75" customHeight="1">
      <c r="K348" s="183"/>
      <c r="L348" s="183"/>
    </row>
    <row r="349" spans="11:12" ht="15.75" customHeight="1">
      <c r="K349" s="183"/>
      <c r="L349" s="183"/>
    </row>
    <row r="350" spans="11:12" ht="15.75" customHeight="1">
      <c r="K350" s="183"/>
      <c r="L350" s="183"/>
    </row>
    <row r="351" spans="11:12" ht="15.75" customHeight="1">
      <c r="K351" s="183"/>
      <c r="L351" s="183"/>
    </row>
    <row r="352" spans="11:12" ht="15.75" customHeight="1">
      <c r="K352" s="183"/>
      <c r="L352" s="183"/>
    </row>
    <row r="353" spans="11:12" ht="15.75" customHeight="1">
      <c r="K353" s="183"/>
      <c r="L353" s="183"/>
    </row>
    <row r="354" spans="11:12" ht="15.75" customHeight="1">
      <c r="K354" s="183"/>
      <c r="L354" s="183"/>
    </row>
    <row r="355" spans="11:12" ht="15.75" customHeight="1">
      <c r="K355" s="183"/>
      <c r="L355" s="183"/>
    </row>
    <row r="356" spans="11:12" ht="15.75" customHeight="1">
      <c r="K356" s="183"/>
      <c r="L356" s="183"/>
    </row>
    <row r="357" spans="11:12" ht="15.75" customHeight="1">
      <c r="K357" s="183"/>
      <c r="L357" s="183"/>
    </row>
    <row r="358" spans="11:12" ht="15.75" customHeight="1">
      <c r="K358" s="183"/>
      <c r="L358" s="183"/>
    </row>
    <row r="359" spans="11:12" ht="15.75" customHeight="1">
      <c r="K359" s="183"/>
      <c r="L359" s="183"/>
    </row>
    <row r="360" spans="11:12" ht="15.75" customHeight="1">
      <c r="K360" s="183"/>
      <c r="L360" s="183"/>
    </row>
    <row r="361" spans="11:12" ht="15.75" customHeight="1">
      <c r="K361" s="183"/>
      <c r="L361" s="183"/>
    </row>
    <row r="362" spans="11:12" ht="15.75" customHeight="1">
      <c r="K362" s="183"/>
      <c r="L362" s="183"/>
    </row>
    <row r="363" spans="11:12" ht="15.75" customHeight="1">
      <c r="K363" s="183"/>
      <c r="L363" s="183"/>
    </row>
    <row r="364" spans="11:12" ht="15.75" customHeight="1">
      <c r="K364" s="183"/>
      <c r="L364" s="183"/>
    </row>
    <row r="365" spans="11:12" ht="15.75" customHeight="1">
      <c r="K365" s="183"/>
      <c r="L365" s="183"/>
    </row>
    <row r="366" spans="11:12" ht="15.75" customHeight="1">
      <c r="K366" s="183"/>
      <c r="L366" s="183"/>
    </row>
    <row r="367" spans="11:12" ht="15.75" customHeight="1">
      <c r="K367" s="183"/>
      <c r="L367" s="183"/>
    </row>
    <row r="368" spans="11:12" ht="15.75" customHeight="1">
      <c r="K368" s="183"/>
      <c r="L368" s="183"/>
    </row>
    <row r="369" spans="11:12" ht="15.75" customHeight="1">
      <c r="K369" s="183"/>
      <c r="L369" s="183"/>
    </row>
    <row r="370" spans="11:12" ht="15.75" customHeight="1">
      <c r="K370" s="183"/>
      <c r="L370" s="183"/>
    </row>
    <row r="371" spans="11:12" ht="15.75" customHeight="1">
      <c r="K371" s="183"/>
      <c r="L371" s="183"/>
    </row>
    <row r="372" spans="11:12" ht="15.75" customHeight="1">
      <c r="K372" s="183"/>
      <c r="L372" s="183"/>
    </row>
    <row r="373" spans="11:12" ht="15.75" customHeight="1">
      <c r="K373" s="183"/>
      <c r="L373" s="183"/>
    </row>
    <row r="374" spans="11:12" ht="15.75" customHeight="1">
      <c r="K374" s="183"/>
      <c r="L374" s="183"/>
    </row>
    <row r="375" spans="11:12" ht="15.75" customHeight="1">
      <c r="K375" s="183"/>
      <c r="L375" s="183"/>
    </row>
    <row r="376" spans="11:12" ht="15.75" customHeight="1">
      <c r="K376" s="183"/>
      <c r="L376" s="183"/>
    </row>
    <row r="377" spans="11:12" ht="15.75" customHeight="1">
      <c r="K377" s="183"/>
      <c r="L377" s="183"/>
    </row>
    <row r="378" spans="11:12" ht="15.75" customHeight="1">
      <c r="K378" s="183"/>
      <c r="L378" s="183"/>
    </row>
    <row r="379" spans="11:12" ht="15.75" customHeight="1">
      <c r="K379" s="183"/>
      <c r="L379" s="183"/>
    </row>
    <row r="380" spans="11:12" ht="15.75" customHeight="1">
      <c r="K380" s="183"/>
      <c r="L380" s="183"/>
    </row>
    <row r="381" spans="11:12" ht="15.75" customHeight="1">
      <c r="K381" s="183"/>
      <c r="L381" s="183"/>
    </row>
    <row r="382" spans="11:12" ht="15.75" customHeight="1">
      <c r="K382" s="183"/>
      <c r="L382" s="183"/>
    </row>
    <row r="383" spans="11:12" ht="15.75" customHeight="1">
      <c r="K383" s="183"/>
      <c r="L383" s="183"/>
    </row>
    <row r="384" spans="11:12" ht="15.75" customHeight="1">
      <c r="K384" s="183"/>
      <c r="L384" s="183"/>
    </row>
    <row r="385" spans="11:12" ht="15.75" customHeight="1">
      <c r="K385" s="183"/>
      <c r="L385" s="183"/>
    </row>
    <row r="386" spans="11:12" ht="15.75" customHeight="1">
      <c r="K386" s="183"/>
      <c r="L386" s="183"/>
    </row>
    <row r="387" spans="11:12" ht="15.75" customHeight="1">
      <c r="K387" s="183"/>
      <c r="L387" s="183"/>
    </row>
    <row r="388" spans="11:12" ht="15.75" customHeight="1">
      <c r="K388" s="183"/>
      <c r="L388" s="183"/>
    </row>
    <row r="389" spans="11:12" ht="15.75" customHeight="1">
      <c r="K389" s="183"/>
      <c r="L389" s="183"/>
    </row>
    <row r="390" spans="11:12" ht="15.75" customHeight="1">
      <c r="K390" s="183"/>
      <c r="L390" s="183"/>
    </row>
    <row r="391" spans="11:12" ht="15.75" customHeight="1">
      <c r="K391" s="183"/>
      <c r="L391" s="183"/>
    </row>
    <row r="392" spans="11:12" ht="15.75" customHeight="1">
      <c r="K392" s="183"/>
      <c r="L392" s="183"/>
    </row>
    <row r="393" spans="11:12" ht="15.75" customHeight="1">
      <c r="K393" s="183"/>
      <c r="L393" s="183"/>
    </row>
    <row r="394" spans="11:12" ht="15.75" customHeight="1">
      <c r="K394" s="183"/>
      <c r="L394" s="183"/>
    </row>
    <row r="395" spans="11:12" ht="15.75" customHeight="1">
      <c r="K395" s="183"/>
      <c r="L395" s="183"/>
    </row>
    <row r="396" spans="11:12" ht="15.75" customHeight="1">
      <c r="K396" s="183"/>
      <c r="L396" s="183"/>
    </row>
    <row r="397" spans="11:12" ht="15.75" customHeight="1">
      <c r="K397" s="183"/>
      <c r="L397" s="183"/>
    </row>
    <row r="398" spans="11:12" ht="15.75" customHeight="1">
      <c r="K398" s="183"/>
      <c r="L398" s="183"/>
    </row>
    <row r="399" spans="11:12" ht="15.75" customHeight="1">
      <c r="K399" s="183"/>
      <c r="L399" s="183"/>
    </row>
    <row r="400" spans="11:12" ht="15.75" customHeight="1">
      <c r="K400" s="183"/>
      <c r="L400" s="183"/>
    </row>
    <row r="401" spans="11:12" ht="15.75" customHeight="1">
      <c r="K401" s="183"/>
      <c r="L401" s="183"/>
    </row>
    <row r="402" spans="11:12" ht="15.75" customHeight="1">
      <c r="K402" s="183"/>
      <c r="L402" s="183"/>
    </row>
    <row r="403" spans="11:12" ht="15.75" customHeight="1">
      <c r="K403" s="183"/>
      <c r="L403" s="183"/>
    </row>
    <row r="404" spans="11:12" ht="15.75" customHeight="1">
      <c r="K404" s="183"/>
      <c r="L404" s="183"/>
    </row>
    <row r="405" spans="11:12" ht="15.75" customHeight="1">
      <c r="K405" s="183"/>
      <c r="L405" s="183"/>
    </row>
    <row r="406" spans="11:12" ht="15.75" customHeight="1">
      <c r="K406" s="183"/>
      <c r="L406" s="183"/>
    </row>
    <row r="407" spans="11:12" ht="15.75" customHeight="1">
      <c r="K407" s="183"/>
      <c r="L407" s="183"/>
    </row>
    <row r="408" spans="11:12" ht="15.75" customHeight="1">
      <c r="K408" s="183"/>
      <c r="L408" s="183"/>
    </row>
    <row r="409" spans="11:12" ht="15.75" customHeight="1">
      <c r="K409" s="183"/>
      <c r="L409" s="183"/>
    </row>
    <row r="410" spans="11:12" ht="15.75" customHeight="1">
      <c r="K410" s="183"/>
      <c r="L410" s="183"/>
    </row>
    <row r="411" spans="11:12" ht="15.75" customHeight="1">
      <c r="K411" s="183"/>
      <c r="L411" s="183"/>
    </row>
    <row r="412" spans="11:12" ht="15.75" customHeight="1">
      <c r="K412" s="183"/>
      <c r="L412" s="183"/>
    </row>
    <row r="413" spans="11:12" ht="15.75" customHeight="1">
      <c r="K413" s="183"/>
      <c r="L413" s="183"/>
    </row>
    <row r="414" spans="11:12" ht="15.75" customHeight="1">
      <c r="K414" s="183"/>
      <c r="L414" s="183"/>
    </row>
    <row r="415" spans="11:12" ht="15.75" customHeight="1">
      <c r="K415" s="183"/>
      <c r="L415" s="183"/>
    </row>
    <row r="416" spans="11:12" ht="15.75" customHeight="1">
      <c r="K416" s="183"/>
      <c r="L416" s="183"/>
    </row>
    <row r="417" spans="11:12" ht="15.75" customHeight="1">
      <c r="K417" s="183"/>
      <c r="L417" s="183"/>
    </row>
    <row r="418" spans="11:12" ht="15.75" customHeight="1">
      <c r="K418" s="183"/>
      <c r="L418" s="183"/>
    </row>
    <row r="419" spans="11:12" ht="15.75" customHeight="1">
      <c r="K419" s="183"/>
      <c r="L419" s="183"/>
    </row>
    <row r="420" spans="11:12" ht="15.75" customHeight="1">
      <c r="K420" s="183"/>
      <c r="L420" s="183"/>
    </row>
    <row r="421" spans="11:12" ht="15.75" customHeight="1">
      <c r="K421" s="183"/>
      <c r="L421" s="183"/>
    </row>
    <row r="422" spans="11:12" ht="15.75" customHeight="1">
      <c r="K422" s="183"/>
      <c r="L422" s="183"/>
    </row>
    <row r="423" spans="11:12" ht="15.75" customHeight="1">
      <c r="K423" s="183"/>
      <c r="L423" s="183"/>
    </row>
    <row r="424" spans="11:12" ht="15.75" customHeight="1">
      <c r="K424" s="183"/>
      <c r="L424" s="183"/>
    </row>
    <row r="425" spans="11:12" ht="15.75" customHeight="1">
      <c r="K425" s="183"/>
      <c r="L425" s="183"/>
    </row>
    <row r="426" spans="11:12" ht="15.75" customHeight="1">
      <c r="K426" s="183"/>
      <c r="L426" s="183"/>
    </row>
    <row r="427" spans="11:12" ht="15.75" customHeight="1">
      <c r="K427" s="183"/>
      <c r="L427" s="183"/>
    </row>
    <row r="428" spans="11:12" ht="15.75" customHeight="1">
      <c r="K428" s="183"/>
      <c r="L428" s="183"/>
    </row>
    <row r="429" spans="11:12" ht="15.75" customHeight="1">
      <c r="K429" s="183"/>
      <c r="L429" s="183"/>
    </row>
    <row r="430" spans="11:12" ht="15.75" customHeight="1">
      <c r="K430" s="183"/>
      <c r="L430" s="183"/>
    </row>
    <row r="431" spans="11:12" ht="15.75" customHeight="1">
      <c r="K431" s="183"/>
      <c r="L431" s="183"/>
    </row>
    <row r="432" spans="11:12" ht="15.75" customHeight="1">
      <c r="K432" s="183"/>
      <c r="L432" s="183"/>
    </row>
    <row r="433" spans="11:12" ht="15.75" customHeight="1">
      <c r="K433" s="183"/>
      <c r="L433" s="183"/>
    </row>
    <row r="434" spans="11:12" ht="15.75" customHeight="1">
      <c r="K434" s="183"/>
      <c r="L434" s="183"/>
    </row>
    <row r="435" spans="11:12" ht="15.75" customHeight="1">
      <c r="K435" s="183"/>
      <c r="L435" s="183"/>
    </row>
    <row r="436" spans="11:12" ht="15.75" customHeight="1">
      <c r="K436" s="183"/>
      <c r="L436" s="183"/>
    </row>
    <row r="437" spans="11:12" ht="15.75" customHeight="1">
      <c r="K437" s="183"/>
      <c r="L437" s="183"/>
    </row>
    <row r="438" spans="11:12" ht="15.75" customHeight="1">
      <c r="K438" s="183"/>
      <c r="L438" s="183"/>
    </row>
    <row r="439" spans="11:12" ht="15.75" customHeight="1">
      <c r="K439" s="183"/>
      <c r="L439" s="183"/>
    </row>
    <row r="440" spans="11:12" ht="15.75" customHeight="1">
      <c r="K440" s="183"/>
      <c r="L440" s="183"/>
    </row>
    <row r="441" spans="11:12" ht="15.75" customHeight="1">
      <c r="K441" s="183"/>
      <c r="L441" s="183"/>
    </row>
    <row r="442" spans="11:12" ht="15.75" customHeight="1">
      <c r="K442" s="183"/>
      <c r="L442" s="183"/>
    </row>
    <row r="443" spans="11:12" ht="15.75" customHeight="1">
      <c r="K443" s="183"/>
      <c r="L443" s="183"/>
    </row>
    <row r="444" spans="11:12" ht="15.75" customHeight="1">
      <c r="K444" s="183"/>
      <c r="L444" s="183"/>
    </row>
    <row r="445" spans="11:12" ht="15.75" customHeight="1">
      <c r="K445" s="183"/>
      <c r="L445" s="183"/>
    </row>
    <row r="446" spans="11:12" ht="15.75" customHeight="1">
      <c r="K446" s="183"/>
      <c r="L446" s="183"/>
    </row>
    <row r="447" spans="11:12" ht="15.75" customHeight="1">
      <c r="K447" s="183"/>
      <c r="L447" s="183"/>
    </row>
    <row r="448" spans="11:12" ht="15.75" customHeight="1">
      <c r="K448" s="183"/>
      <c r="L448" s="183"/>
    </row>
    <row r="449" spans="11:12" ht="15.75" customHeight="1">
      <c r="K449" s="183"/>
      <c r="L449" s="183"/>
    </row>
    <row r="450" spans="11:12" ht="15.75" customHeight="1">
      <c r="K450" s="183"/>
      <c r="L450" s="183"/>
    </row>
    <row r="451" spans="11:12" ht="15.75" customHeight="1">
      <c r="K451" s="183"/>
      <c r="L451" s="183"/>
    </row>
    <row r="452" spans="11:12" ht="15.75" customHeight="1">
      <c r="K452" s="183"/>
      <c r="L452" s="183"/>
    </row>
    <row r="453" spans="11:12" ht="15.75" customHeight="1">
      <c r="K453" s="183"/>
      <c r="L453" s="183"/>
    </row>
    <row r="454" spans="11:12" ht="15.75" customHeight="1">
      <c r="K454" s="183"/>
      <c r="L454" s="183"/>
    </row>
    <row r="455" spans="11:12" ht="15.75" customHeight="1">
      <c r="K455" s="183"/>
      <c r="L455" s="183"/>
    </row>
    <row r="456" spans="11:12" ht="15.75" customHeight="1">
      <c r="K456" s="183"/>
      <c r="L456" s="183"/>
    </row>
    <row r="457" spans="11:12" ht="15.75" customHeight="1">
      <c r="K457" s="183"/>
      <c r="L457" s="183"/>
    </row>
    <row r="458" spans="11:12" ht="15.75" customHeight="1">
      <c r="K458" s="183"/>
      <c r="L458" s="183"/>
    </row>
    <row r="459" spans="11:12" ht="15.75" customHeight="1">
      <c r="K459" s="183"/>
      <c r="L459" s="183"/>
    </row>
    <row r="460" spans="11:12" ht="15.75" customHeight="1">
      <c r="K460" s="183"/>
      <c r="L460" s="183"/>
    </row>
    <row r="461" spans="11:12" ht="15.75" customHeight="1">
      <c r="K461" s="183"/>
      <c r="L461" s="183"/>
    </row>
    <row r="462" spans="11:12" ht="15.75" customHeight="1">
      <c r="K462" s="183"/>
      <c r="L462" s="183"/>
    </row>
    <row r="463" spans="11:12" ht="15.75" customHeight="1">
      <c r="K463" s="183"/>
      <c r="L463" s="183"/>
    </row>
    <row r="464" spans="11:12" ht="15.75" customHeight="1">
      <c r="K464" s="183"/>
      <c r="L464" s="183"/>
    </row>
    <row r="465" spans="11:12" ht="15.75" customHeight="1">
      <c r="K465" s="183"/>
      <c r="L465" s="183"/>
    </row>
    <row r="466" spans="11:12" ht="15.75" customHeight="1">
      <c r="K466" s="183"/>
      <c r="L466" s="183"/>
    </row>
    <row r="467" spans="11:12" ht="15.75" customHeight="1">
      <c r="K467" s="183"/>
      <c r="L467" s="183"/>
    </row>
    <row r="468" spans="11:12" ht="15.75" customHeight="1">
      <c r="K468" s="183"/>
      <c r="L468" s="183"/>
    </row>
    <row r="469" spans="11:12" ht="15.75" customHeight="1">
      <c r="K469" s="183"/>
      <c r="L469" s="183"/>
    </row>
    <row r="470" spans="11:12" ht="15.75" customHeight="1">
      <c r="K470" s="183"/>
      <c r="L470" s="183"/>
    </row>
    <row r="471" spans="11:12" ht="15.75" customHeight="1">
      <c r="K471" s="183"/>
      <c r="L471" s="183"/>
    </row>
    <row r="472" spans="11:12" ht="15.75" customHeight="1">
      <c r="K472" s="183"/>
      <c r="L472" s="183"/>
    </row>
    <row r="473" spans="11:12" ht="15.75" customHeight="1">
      <c r="K473" s="183"/>
      <c r="L473" s="183"/>
    </row>
    <row r="474" spans="11:12" ht="15.75" customHeight="1">
      <c r="K474" s="183"/>
      <c r="L474" s="183"/>
    </row>
    <row r="475" spans="11:12" ht="15.75" customHeight="1">
      <c r="K475" s="183"/>
      <c r="L475" s="183"/>
    </row>
    <row r="476" spans="11:12" ht="15.75" customHeight="1">
      <c r="K476" s="183"/>
      <c r="L476" s="183"/>
    </row>
    <row r="477" spans="11:12" ht="15.75" customHeight="1">
      <c r="K477" s="183"/>
      <c r="L477" s="183"/>
    </row>
    <row r="478" spans="11:12" ht="15.75" customHeight="1">
      <c r="K478" s="183"/>
      <c r="L478" s="183"/>
    </row>
    <row r="479" spans="11:12" ht="15.75" customHeight="1">
      <c r="K479" s="183"/>
      <c r="L479" s="183"/>
    </row>
    <row r="480" spans="11:12" ht="15.75" customHeight="1">
      <c r="K480" s="183"/>
      <c r="L480" s="183"/>
    </row>
    <row r="481" spans="11:12" ht="15.75" customHeight="1">
      <c r="K481" s="183"/>
      <c r="L481" s="183"/>
    </row>
    <row r="482" spans="11:12" ht="15.75" customHeight="1">
      <c r="K482" s="183"/>
      <c r="L482" s="183"/>
    </row>
    <row r="483" spans="11:12" ht="15.75" customHeight="1">
      <c r="K483" s="183"/>
      <c r="L483" s="183"/>
    </row>
    <row r="484" spans="11:12" ht="15.75" customHeight="1">
      <c r="K484" s="183"/>
      <c r="L484" s="183"/>
    </row>
    <row r="485" spans="11:12" ht="15.75" customHeight="1">
      <c r="K485" s="183"/>
      <c r="L485" s="183"/>
    </row>
    <row r="486" spans="11:12" ht="15.75" customHeight="1">
      <c r="K486" s="183"/>
      <c r="L486" s="183"/>
    </row>
    <row r="487" spans="11:12" ht="15.75" customHeight="1">
      <c r="K487" s="183"/>
      <c r="L487" s="183"/>
    </row>
    <row r="488" spans="11:12" ht="15.75" customHeight="1">
      <c r="K488" s="183"/>
      <c r="L488" s="183"/>
    </row>
    <row r="489" spans="11:12" ht="15.75" customHeight="1">
      <c r="K489" s="183"/>
      <c r="L489" s="183"/>
    </row>
    <row r="490" spans="11:12" ht="15.75" customHeight="1">
      <c r="K490" s="183"/>
      <c r="L490" s="183"/>
    </row>
    <row r="491" spans="11:12" ht="15.75" customHeight="1">
      <c r="K491" s="183"/>
      <c r="L491" s="183"/>
    </row>
    <row r="492" spans="11:12" ht="15.75" customHeight="1">
      <c r="K492" s="183"/>
      <c r="L492" s="183"/>
    </row>
    <row r="493" spans="11:12" ht="15.75" customHeight="1">
      <c r="K493" s="183"/>
      <c r="L493" s="183"/>
    </row>
    <row r="494" spans="11:12" ht="15.75" customHeight="1">
      <c r="K494" s="183"/>
      <c r="L494" s="183"/>
    </row>
    <row r="495" spans="11:12" ht="15.75" customHeight="1">
      <c r="K495" s="183"/>
      <c r="L495" s="183"/>
    </row>
    <row r="496" spans="11:12" ht="15.75" customHeight="1">
      <c r="K496" s="183"/>
      <c r="L496" s="183"/>
    </row>
    <row r="497" spans="11:12" ht="15.75" customHeight="1">
      <c r="K497" s="183"/>
      <c r="L497" s="183"/>
    </row>
    <row r="498" spans="11:12" ht="15.75" customHeight="1">
      <c r="K498" s="183"/>
      <c r="L498" s="183"/>
    </row>
    <row r="499" spans="11:12" ht="15.75" customHeight="1">
      <c r="K499" s="183"/>
      <c r="L499" s="183"/>
    </row>
    <row r="500" spans="11:12" ht="15.75" customHeight="1">
      <c r="K500" s="183"/>
      <c r="L500" s="183"/>
    </row>
    <row r="501" spans="11:12" ht="15.75" customHeight="1">
      <c r="K501" s="183"/>
      <c r="L501" s="183"/>
    </row>
    <row r="502" spans="11:12" ht="15.75" customHeight="1">
      <c r="K502" s="183"/>
      <c r="L502" s="183"/>
    </row>
    <row r="503" spans="11:12" ht="15.75" customHeight="1">
      <c r="K503" s="183"/>
      <c r="L503" s="183"/>
    </row>
    <row r="504" spans="11:12" ht="15.75" customHeight="1">
      <c r="K504" s="183"/>
      <c r="L504" s="183"/>
    </row>
    <row r="505" spans="11:12" ht="15.75" customHeight="1">
      <c r="K505" s="183"/>
      <c r="L505" s="183"/>
    </row>
    <row r="506" spans="11:12" ht="15.75" customHeight="1">
      <c r="K506" s="183"/>
      <c r="L506" s="183"/>
    </row>
    <row r="507" spans="11:12" ht="15.75" customHeight="1">
      <c r="K507" s="183"/>
      <c r="L507" s="183"/>
    </row>
    <row r="508" spans="11:12" ht="15.75" customHeight="1">
      <c r="K508" s="183"/>
      <c r="L508" s="183"/>
    </row>
    <row r="509" spans="11:12" ht="15.75" customHeight="1">
      <c r="K509" s="183"/>
      <c r="L509" s="183"/>
    </row>
    <row r="510" spans="11:12" ht="15.75" customHeight="1">
      <c r="K510" s="183"/>
      <c r="L510" s="183"/>
    </row>
    <row r="511" spans="11:12" ht="15.75" customHeight="1">
      <c r="K511" s="183"/>
      <c r="L511" s="183"/>
    </row>
    <row r="512" spans="11:12" ht="15.75" customHeight="1">
      <c r="K512" s="183"/>
      <c r="L512" s="183"/>
    </row>
    <row r="513" spans="11:12" ht="15.75" customHeight="1">
      <c r="K513" s="183"/>
      <c r="L513" s="183"/>
    </row>
    <row r="514" spans="11:12" ht="15.75" customHeight="1">
      <c r="K514" s="183"/>
      <c r="L514" s="183"/>
    </row>
    <row r="515" spans="11:12" ht="15.75" customHeight="1">
      <c r="K515" s="183"/>
      <c r="L515" s="183"/>
    </row>
    <row r="516" spans="11:12" ht="15.75" customHeight="1">
      <c r="K516" s="183"/>
      <c r="L516" s="183"/>
    </row>
    <row r="517" spans="11:12" ht="15.75" customHeight="1">
      <c r="K517" s="183"/>
      <c r="L517" s="183"/>
    </row>
    <row r="518" spans="11:12" ht="15.75" customHeight="1">
      <c r="K518" s="183"/>
      <c r="L518" s="183"/>
    </row>
    <row r="519" spans="11:12" ht="15.75" customHeight="1">
      <c r="K519" s="183"/>
      <c r="L519" s="183"/>
    </row>
    <row r="520" spans="11:12" ht="15.75" customHeight="1">
      <c r="K520" s="183"/>
      <c r="L520" s="183"/>
    </row>
    <row r="521" spans="11:12" ht="15.75" customHeight="1">
      <c r="K521" s="183"/>
      <c r="L521" s="183"/>
    </row>
    <row r="522" spans="11:12" ht="15.75" customHeight="1">
      <c r="K522" s="183"/>
      <c r="L522" s="183"/>
    </row>
    <row r="523" spans="11:12" ht="15.75" customHeight="1">
      <c r="K523" s="183"/>
      <c r="L523" s="183"/>
    </row>
    <row r="524" spans="11:12" ht="15.75" customHeight="1">
      <c r="K524" s="183"/>
      <c r="L524" s="183"/>
    </row>
    <row r="525" spans="11:12" ht="15.75" customHeight="1">
      <c r="K525" s="183"/>
      <c r="L525" s="183"/>
    </row>
    <row r="526" spans="11:12" ht="15.75" customHeight="1">
      <c r="K526" s="183"/>
      <c r="L526" s="183"/>
    </row>
    <row r="527" spans="11:12" ht="15.75" customHeight="1">
      <c r="K527" s="183"/>
      <c r="L527" s="183"/>
    </row>
    <row r="528" spans="11:12" ht="15.75" customHeight="1">
      <c r="K528" s="183"/>
      <c r="L528" s="183"/>
    </row>
    <row r="529" spans="11:12" ht="15.75" customHeight="1">
      <c r="K529" s="183"/>
      <c r="L529" s="183"/>
    </row>
    <row r="530" spans="11:12" ht="15.75" customHeight="1">
      <c r="K530" s="183"/>
      <c r="L530" s="183"/>
    </row>
    <row r="531" spans="11:12" ht="15.75" customHeight="1">
      <c r="K531" s="183"/>
      <c r="L531" s="183"/>
    </row>
    <row r="532" spans="11:12" ht="15.75" customHeight="1">
      <c r="K532" s="183"/>
      <c r="L532" s="183"/>
    </row>
    <row r="533" spans="11:12" ht="15.75" customHeight="1">
      <c r="K533" s="183"/>
      <c r="L533" s="183"/>
    </row>
    <row r="534" spans="11:12" ht="15.75" customHeight="1">
      <c r="K534" s="183"/>
      <c r="L534" s="183"/>
    </row>
    <row r="535" spans="11:12" ht="15.75" customHeight="1">
      <c r="K535" s="183"/>
      <c r="L535" s="183"/>
    </row>
    <row r="536" spans="11:12" ht="15.75" customHeight="1">
      <c r="K536" s="183"/>
      <c r="L536" s="183"/>
    </row>
    <row r="537" spans="11:12" ht="15.75" customHeight="1">
      <c r="K537" s="183"/>
      <c r="L537" s="183"/>
    </row>
    <row r="538" spans="11:12" ht="15.75" customHeight="1">
      <c r="K538" s="183"/>
      <c r="L538" s="183"/>
    </row>
    <row r="539" spans="11:12" ht="15.75" customHeight="1">
      <c r="K539" s="183"/>
      <c r="L539" s="183"/>
    </row>
    <row r="540" spans="11:12" ht="15.75" customHeight="1">
      <c r="K540" s="183"/>
      <c r="L540" s="183"/>
    </row>
    <row r="541" spans="11:12" ht="15.75" customHeight="1">
      <c r="K541" s="183"/>
      <c r="L541" s="183"/>
    </row>
    <row r="542" spans="11:12" ht="15.75" customHeight="1">
      <c r="K542" s="183"/>
      <c r="L542" s="183"/>
    </row>
    <row r="543" spans="11:12" ht="15.75" customHeight="1">
      <c r="K543" s="183"/>
      <c r="L543" s="183"/>
    </row>
    <row r="544" spans="11:12" ht="15.75" customHeight="1">
      <c r="K544" s="183"/>
      <c r="L544" s="183"/>
    </row>
    <row r="545" spans="11:12" ht="15.75" customHeight="1">
      <c r="K545" s="183"/>
      <c r="L545" s="183"/>
    </row>
    <row r="546" spans="11:12" ht="15.75" customHeight="1">
      <c r="K546" s="183"/>
      <c r="L546" s="183"/>
    </row>
    <row r="547" spans="11:12" ht="15.75" customHeight="1">
      <c r="K547" s="183"/>
      <c r="L547" s="183"/>
    </row>
    <row r="548" spans="11:12" ht="15.75" customHeight="1">
      <c r="K548" s="183"/>
      <c r="L548" s="183"/>
    </row>
    <row r="549" spans="11:12" ht="15.75" customHeight="1">
      <c r="K549" s="183"/>
      <c r="L549" s="183"/>
    </row>
    <row r="550" spans="11:12" ht="15.75" customHeight="1">
      <c r="K550" s="183"/>
      <c r="L550" s="183"/>
    </row>
    <row r="551" spans="11:12" ht="15.75" customHeight="1">
      <c r="K551" s="183"/>
      <c r="L551" s="183"/>
    </row>
    <row r="552" spans="11:12" ht="15.75" customHeight="1">
      <c r="K552" s="183"/>
      <c r="L552" s="183"/>
    </row>
    <row r="553" spans="11:12" ht="15.75" customHeight="1">
      <c r="K553" s="183"/>
      <c r="L553" s="183"/>
    </row>
    <row r="554" spans="11:12" ht="15.75" customHeight="1">
      <c r="K554" s="183"/>
      <c r="L554" s="183"/>
    </row>
    <row r="555" spans="11:12" ht="15.75" customHeight="1">
      <c r="K555" s="183"/>
      <c r="L555" s="183"/>
    </row>
    <row r="556" spans="11:12" ht="15.75" customHeight="1">
      <c r="K556" s="183"/>
      <c r="L556" s="183"/>
    </row>
    <row r="557" spans="11:12" ht="15.75" customHeight="1">
      <c r="K557" s="183"/>
      <c r="L557" s="183"/>
    </row>
    <row r="558" spans="11:12" ht="15.75" customHeight="1">
      <c r="K558" s="183"/>
      <c r="L558" s="183"/>
    </row>
    <row r="559" spans="11:12" ht="15.75" customHeight="1">
      <c r="K559" s="183"/>
      <c r="L559" s="183"/>
    </row>
    <row r="560" spans="11:12" ht="15.75" customHeight="1">
      <c r="K560" s="183"/>
      <c r="L560" s="183"/>
    </row>
    <row r="561" spans="11:12" ht="15.75" customHeight="1">
      <c r="K561" s="183"/>
      <c r="L561" s="183"/>
    </row>
    <row r="562" spans="11:12" ht="15.75" customHeight="1">
      <c r="K562" s="183"/>
      <c r="L562" s="183"/>
    </row>
    <row r="563" spans="11:12" ht="15.75" customHeight="1">
      <c r="K563" s="183"/>
      <c r="L563" s="183"/>
    </row>
    <row r="564" spans="11:12" ht="15.75" customHeight="1">
      <c r="K564" s="183"/>
      <c r="L564" s="183"/>
    </row>
    <row r="565" spans="11:12" ht="15.75" customHeight="1">
      <c r="K565" s="183"/>
      <c r="L565" s="183"/>
    </row>
    <row r="566" spans="11:12" ht="15.75" customHeight="1">
      <c r="K566" s="183"/>
      <c r="L566" s="183"/>
    </row>
    <row r="567" spans="11:12" ht="15.75" customHeight="1">
      <c r="K567" s="183"/>
      <c r="L567" s="183"/>
    </row>
    <row r="568" spans="11:12" ht="15.75" customHeight="1">
      <c r="K568" s="183"/>
      <c r="L568" s="183"/>
    </row>
    <row r="569" spans="11:12" ht="15.75" customHeight="1">
      <c r="K569" s="183"/>
      <c r="L569" s="183"/>
    </row>
    <row r="570" spans="11:12" ht="15.75" customHeight="1">
      <c r="K570" s="183"/>
      <c r="L570" s="183"/>
    </row>
    <row r="571" spans="11:12" ht="15.75" customHeight="1">
      <c r="K571" s="183"/>
      <c r="L571" s="183"/>
    </row>
    <row r="572" spans="11:12" ht="15.75" customHeight="1">
      <c r="K572" s="183"/>
      <c r="L572" s="183"/>
    </row>
    <row r="573" spans="11:12" ht="15.75" customHeight="1">
      <c r="K573" s="183"/>
      <c r="L573" s="183"/>
    </row>
    <row r="574" spans="11:12" ht="15.75" customHeight="1">
      <c r="K574" s="183"/>
      <c r="L574" s="183"/>
    </row>
    <row r="575" spans="11:12" ht="15.75" customHeight="1">
      <c r="K575" s="183"/>
      <c r="L575" s="183"/>
    </row>
    <row r="576" spans="11:12" ht="15.75" customHeight="1">
      <c r="K576" s="183"/>
      <c r="L576" s="183"/>
    </row>
    <row r="577" spans="11:12" ht="15.75" customHeight="1">
      <c r="K577" s="183"/>
      <c r="L577" s="183"/>
    </row>
    <row r="578" spans="11:12" ht="15.75" customHeight="1">
      <c r="K578" s="183"/>
      <c r="L578" s="183"/>
    </row>
    <row r="579" spans="11:12" ht="15.75" customHeight="1">
      <c r="K579" s="183"/>
      <c r="L579" s="183"/>
    </row>
    <row r="580" spans="11:12" ht="15.75" customHeight="1">
      <c r="K580" s="183"/>
      <c r="L580" s="183"/>
    </row>
    <row r="581" spans="11:12" ht="15.75" customHeight="1">
      <c r="K581" s="183"/>
      <c r="L581" s="183"/>
    </row>
    <row r="582" spans="11:12" ht="15.75" customHeight="1">
      <c r="K582" s="183"/>
      <c r="L582" s="183"/>
    </row>
    <row r="583" spans="11:12" ht="15.75" customHeight="1">
      <c r="K583" s="183"/>
      <c r="L583" s="183"/>
    </row>
    <row r="584" spans="11:12" ht="15.75" customHeight="1">
      <c r="K584" s="183"/>
      <c r="L584" s="183"/>
    </row>
    <row r="585" spans="11:12" ht="15.75" customHeight="1">
      <c r="K585" s="183"/>
      <c r="L585" s="183"/>
    </row>
    <row r="586" spans="11:12" ht="15.75" customHeight="1">
      <c r="K586" s="183"/>
      <c r="L586" s="183"/>
    </row>
    <row r="587" spans="11:12" ht="15.75" customHeight="1">
      <c r="K587" s="183"/>
      <c r="L587" s="183"/>
    </row>
    <row r="588" spans="11:12" ht="15.75" customHeight="1">
      <c r="K588" s="183"/>
      <c r="L588" s="183"/>
    </row>
    <row r="589" spans="11:12" ht="15.75" customHeight="1">
      <c r="K589" s="183"/>
      <c r="L589" s="183"/>
    </row>
    <row r="590" spans="11:12" ht="15.75" customHeight="1">
      <c r="K590" s="183"/>
      <c r="L590" s="183"/>
    </row>
    <row r="591" spans="11:12" ht="15.75" customHeight="1">
      <c r="K591" s="183"/>
      <c r="L591" s="183"/>
    </row>
    <row r="592" spans="11:12" ht="15.75" customHeight="1">
      <c r="K592" s="183"/>
      <c r="L592" s="183"/>
    </row>
    <row r="593" spans="11:12" ht="15.75" customHeight="1">
      <c r="K593" s="183"/>
      <c r="L593" s="183"/>
    </row>
    <row r="594" spans="11:12" ht="15.75" customHeight="1">
      <c r="K594" s="183"/>
      <c r="L594" s="183"/>
    </row>
    <row r="595" spans="11:12" ht="15.75" customHeight="1">
      <c r="K595" s="183"/>
      <c r="L595" s="183"/>
    </row>
    <row r="596" spans="11:12" ht="15.75" customHeight="1">
      <c r="K596" s="183"/>
      <c r="L596" s="183"/>
    </row>
    <row r="597" spans="11:12" ht="15.75" customHeight="1">
      <c r="K597" s="183"/>
      <c r="L597" s="183"/>
    </row>
    <row r="598" spans="11:12" ht="15.75" customHeight="1">
      <c r="K598" s="183"/>
      <c r="L598" s="183"/>
    </row>
    <row r="599" spans="11:12" ht="15.75" customHeight="1">
      <c r="K599" s="183"/>
      <c r="L599" s="183"/>
    </row>
    <row r="600" spans="11:12" ht="15.75" customHeight="1">
      <c r="K600" s="183"/>
      <c r="L600" s="183"/>
    </row>
    <row r="601" spans="11:12" ht="15.75" customHeight="1">
      <c r="K601" s="183"/>
      <c r="L601" s="183"/>
    </row>
    <row r="602" spans="11:12" ht="15.75" customHeight="1">
      <c r="K602" s="183"/>
      <c r="L602" s="183"/>
    </row>
    <row r="603" spans="11:12" ht="15.75" customHeight="1">
      <c r="K603" s="183"/>
      <c r="L603" s="183"/>
    </row>
    <row r="604" spans="11:12" ht="15.75" customHeight="1">
      <c r="K604" s="183"/>
      <c r="L604" s="183"/>
    </row>
    <row r="605" spans="11:12" ht="15.75" customHeight="1">
      <c r="K605" s="183"/>
      <c r="L605" s="183"/>
    </row>
    <row r="606" spans="11:12" ht="15.75" customHeight="1">
      <c r="K606" s="183"/>
      <c r="L606" s="183"/>
    </row>
    <row r="607" spans="11:12" ht="15.75" customHeight="1">
      <c r="K607" s="183"/>
      <c r="L607" s="183"/>
    </row>
    <row r="608" spans="11:12" ht="15.75" customHeight="1">
      <c r="K608" s="183"/>
      <c r="L608" s="183"/>
    </row>
    <row r="609" spans="11:12" ht="15.75" customHeight="1">
      <c r="K609" s="183"/>
      <c r="L609" s="183"/>
    </row>
    <row r="610" spans="11:12" ht="15.75" customHeight="1">
      <c r="K610" s="183"/>
      <c r="L610" s="183"/>
    </row>
    <row r="611" spans="11:12" ht="15.75" customHeight="1">
      <c r="K611" s="183"/>
      <c r="L611" s="183"/>
    </row>
    <row r="612" spans="11:12" ht="15.75" customHeight="1">
      <c r="K612" s="183"/>
      <c r="L612" s="183"/>
    </row>
    <row r="613" spans="11:12" ht="15.75" customHeight="1">
      <c r="K613" s="183"/>
      <c r="L613" s="183"/>
    </row>
    <row r="614" spans="11:12" ht="15.75" customHeight="1">
      <c r="K614" s="183"/>
      <c r="L614" s="183"/>
    </row>
    <row r="615" spans="11:12" ht="15.75" customHeight="1">
      <c r="K615" s="183"/>
      <c r="L615" s="183"/>
    </row>
    <row r="616" spans="11:12" ht="15.75" customHeight="1">
      <c r="K616" s="183"/>
      <c r="L616" s="183"/>
    </row>
    <row r="617" spans="11:12" ht="15.75" customHeight="1">
      <c r="K617" s="183"/>
      <c r="L617" s="183"/>
    </row>
    <row r="618" spans="11:12" ht="15.75" customHeight="1">
      <c r="K618" s="183"/>
      <c r="L618" s="183"/>
    </row>
    <row r="619" spans="11:12" ht="15.75" customHeight="1">
      <c r="K619" s="183"/>
      <c r="L619" s="183"/>
    </row>
    <row r="620" spans="11:12" ht="15.75" customHeight="1">
      <c r="K620" s="183"/>
      <c r="L620" s="183"/>
    </row>
    <row r="621" spans="11:12" ht="15.75" customHeight="1">
      <c r="K621" s="183"/>
      <c r="L621" s="183"/>
    </row>
    <row r="622" spans="11:12" ht="15.75" customHeight="1">
      <c r="K622" s="183"/>
      <c r="L622" s="183"/>
    </row>
    <row r="623" spans="11:12" ht="15.75" customHeight="1">
      <c r="K623" s="183"/>
      <c r="L623" s="183"/>
    </row>
    <row r="624" spans="11:12" ht="15.75" customHeight="1">
      <c r="K624" s="183"/>
      <c r="L624" s="183"/>
    </row>
    <row r="625" spans="11:12" ht="15.75" customHeight="1">
      <c r="K625" s="183"/>
      <c r="L625" s="183"/>
    </row>
    <row r="626" spans="11:12" ht="15.75" customHeight="1">
      <c r="K626" s="183"/>
      <c r="L626" s="183"/>
    </row>
    <row r="627" spans="11:12" ht="15.75" customHeight="1">
      <c r="K627" s="183"/>
      <c r="L627" s="183"/>
    </row>
    <row r="628" spans="11:12" ht="15.75" customHeight="1">
      <c r="K628" s="183"/>
      <c r="L628" s="183"/>
    </row>
    <row r="629" spans="11:12" ht="15.75" customHeight="1">
      <c r="K629" s="183"/>
      <c r="L629" s="183"/>
    </row>
    <row r="630" spans="11:12" ht="15.75" customHeight="1">
      <c r="K630" s="183"/>
      <c r="L630" s="183"/>
    </row>
    <row r="631" spans="11:12" ht="15.75" customHeight="1">
      <c r="K631" s="183"/>
      <c r="L631" s="183"/>
    </row>
    <row r="632" spans="11:12" ht="15.75" customHeight="1">
      <c r="K632" s="183"/>
      <c r="L632" s="183"/>
    </row>
    <row r="633" spans="11:12" ht="15.75" customHeight="1">
      <c r="K633" s="183"/>
      <c r="L633" s="183"/>
    </row>
    <row r="634" spans="11:12" ht="15.75" customHeight="1">
      <c r="K634" s="183"/>
      <c r="L634" s="183"/>
    </row>
    <row r="635" spans="11:12" ht="15.75" customHeight="1">
      <c r="K635" s="183"/>
      <c r="L635" s="183"/>
    </row>
    <row r="636" spans="11:12" ht="15.75" customHeight="1">
      <c r="K636" s="183"/>
      <c r="L636" s="183"/>
    </row>
    <row r="637" spans="11:12" ht="15.75" customHeight="1">
      <c r="K637" s="183"/>
      <c r="L637" s="183"/>
    </row>
    <row r="638" spans="11:12" ht="15.75" customHeight="1">
      <c r="K638" s="183"/>
      <c r="L638" s="183"/>
    </row>
    <row r="639" spans="11:12" ht="15.75" customHeight="1">
      <c r="K639" s="183"/>
      <c r="L639" s="183"/>
    </row>
    <row r="640" spans="11:12" ht="15.75" customHeight="1">
      <c r="K640" s="183"/>
      <c r="L640" s="183"/>
    </row>
    <row r="641" spans="11:12" ht="15.75" customHeight="1">
      <c r="K641" s="183"/>
      <c r="L641" s="183"/>
    </row>
    <row r="642" spans="11:12" ht="15.75" customHeight="1">
      <c r="K642" s="183"/>
      <c r="L642" s="183"/>
    </row>
    <row r="643" spans="11:12" ht="15.75" customHeight="1">
      <c r="K643" s="183"/>
      <c r="L643" s="183"/>
    </row>
    <row r="644" spans="11:12" ht="15.75" customHeight="1">
      <c r="K644" s="183"/>
      <c r="L644" s="183"/>
    </row>
    <row r="645" spans="11:12" ht="15.75" customHeight="1">
      <c r="K645" s="183"/>
      <c r="L645" s="183"/>
    </row>
    <row r="646" spans="11:12" ht="15.75" customHeight="1">
      <c r="K646" s="183"/>
      <c r="L646" s="183"/>
    </row>
    <row r="647" spans="11:12" ht="15.75" customHeight="1">
      <c r="K647" s="183"/>
      <c r="L647" s="183"/>
    </row>
    <row r="648" spans="11:12" ht="15.75" customHeight="1">
      <c r="K648" s="183"/>
      <c r="L648" s="183"/>
    </row>
    <row r="649" spans="11:12" ht="15.75" customHeight="1">
      <c r="K649" s="183"/>
      <c r="L649" s="183"/>
    </row>
    <row r="650" spans="11:12" ht="15.75" customHeight="1">
      <c r="K650" s="183"/>
      <c r="L650" s="183"/>
    </row>
    <row r="651" spans="11:12" ht="15.75" customHeight="1">
      <c r="K651" s="183"/>
      <c r="L651" s="183"/>
    </row>
    <row r="652" spans="11:12" ht="15.75" customHeight="1">
      <c r="K652" s="183"/>
      <c r="L652" s="183"/>
    </row>
    <row r="653" spans="11:12" ht="15.75" customHeight="1">
      <c r="K653" s="183"/>
      <c r="L653" s="183"/>
    </row>
    <row r="654" spans="11:12" ht="15.75" customHeight="1">
      <c r="K654" s="183"/>
      <c r="L654" s="183"/>
    </row>
    <row r="655" spans="11:12" ht="15.75" customHeight="1">
      <c r="K655" s="183"/>
      <c r="L655" s="183"/>
    </row>
    <row r="656" spans="11:12" ht="15.75" customHeight="1">
      <c r="K656" s="183"/>
      <c r="L656" s="183"/>
    </row>
    <row r="657" spans="11:12" ht="15.75" customHeight="1">
      <c r="K657" s="183"/>
      <c r="L657" s="183"/>
    </row>
    <row r="658" spans="11:12" ht="15.75" customHeight="1">
      <c r="K658" s="183"/>
      <c r="L658" s="183"/>
    </row>
    <row r="659" spans="11:12" ht="15.75" customHeight="1">
      <c r="K659" s="183"/>
      <c r="L659" s="183"/>
    </row>
    <row r="660" spans="11:12" ht="15.75" customHeight="1">
      <c r="K660" s="183"/>
      <c r="L660" s="183"/>
    </row>
    <row r="661" spans="11:12" ht="15.75" customHeight="1">
      <c r="K661" s="183"/>
      <c r="L661" s="183"/>
    </row>
    <row r="662" spans="11:12" ht="15.75" customHeight="1">
      <c r="K662" s="183"/>
      <c r="L662" s="183"/>
    </row>
    <row r="663" spans="11:12" ht="15.75" customHeight="1">
      <c r="K663" s="183"/>
      <c r="L663" s="183"/>
    </row>
    <row r="664" spans="11:12" ht="15.75" customHeight="1">
      <c r="K664" s="183"/>
      <c r="L664" s="183"/>
    </row>
    <row r="665" spans="11:12" ht="15.75" customHeight="1">
      <c r="K665" s="183"/>
      <c r="L665" s="183"/>
    </row>
    <row r="666" spans="11:12" ht="15.75" customHeight="1">
      <c r="K666" s="183"/>
      <c r="L666" s="183"/>
    </row>
    <row r="667" spans="11:12" ht="15.75" customHeight="1">
      <c r="K667" s="183"/>
      <c r="L667" s="183"/>
    </row>
    <row r="668" spans="11:12" ht="15.75" customHeight="1">
      <c r="K668" s="183"/>
      <c r="L668" s="183"/>
    </row>
    <row r="669" spans="11:12" ht="15.75" customHeight="1">
      <c r="K669" s="183"/>
      <c r="L669" s="183"/>
    </row>
    <row r="670" spans="11:12" ht="15.75" customHeight="1">
      <c r="K670" s="183"/>
      <c r="L670" s="183"/>
    </row>
    <row r="671" spans="11:12" ht="15.75" customHeight="1">
      <c r="K671" s="183"/>
      <c r="L671" s="183"/>
    </row>
    <row r="672" spans="11:12" ht="15.75" customHeight="1">
      <c r="K672" s="183"/>
      <c r="L672" s="183"/>
    </row>
    <row r="673" spans="11:12" ht="15.75" customHeight="1">
      <c r="K673" s="183"/>
      <c r="L673" s="183"/>
    </row>
    <row r="674" spans="11:12" ht="15.75" customHeight="1">
      <c r="K674" s="183"/>
      <c r="L674" s="183"/>
    </row>
    <row r="675" spans="11:12" ht="15.75" customHeight="1">
      <c r="K675" s="183"/>
      <c r="L675" s="183"/>
    </row>
    <row r="676" spans="11:12" ht="15.75" customHeight="1">
      <c r="K676" s="183"/>
      <c r="L676" s="183"/>
    </row>
    <row r="677" spans="11:12" ht="15.75" customHeight="1">
      <c r="K677" s="183"/>
      <c r="L677" s="183"/>
    </row>
    <row r="678" spans="11:12" ht="15.75" customHeight="1">
      <c r="K678" s="183"/>
      <c r="L678" s="183"/>
    </row>
    <row r="679" spans="11:12" ht="15.75" customHeight="1">
      <c r="K679" s="183"/>
      <c r="L679" s="183"/>
    </row>
    <row r="680" spans="11:12" ht="15.75" customHeight="1">
      <c r="K680" s="183"/>
      <c r="L680" s="183"/>
    </row>
    <row r="681" spans="11:12" ht="15.75" customHeight="1">
      <c r="K681" s="183"/>
      <c r="L681" s="183"/>
    </row>
    <row r="682" spans="11:12" ht="15.75" customHeight="1">
      <c r="K682" s="183"/>
      <c r="L682" s="183"/>
    </row>
    <row r="683" spans="11:12" ht="15.75" customHeight="1">
      <c r="K683" s="183"/>
      <c r="L683" s="183"/>
    </row>
    <row r="684" spans="11:12" ht="15.75" customHeight="1">
      <c r="K684" s="183"/>
      <c r="L684" s="183"/>
    </row>
    <row r="685" spans="11:12" ht="15.75" customHeight="1">
      <c r="K685" s="183"/>
      <c r="L685" s="183"/>
    </row>
    <row r="686" spans="11:12" ht="15.75" customHeight="1">
      <c r="K686" s="183"/>
      <c r="L686" s="183"/>
    </row>
    <row r="687" spans="11:12" ht="15.75" customHeight="1">
      <c r="K687" s="183"/>
      <c r="L687" s="183"/>
    </row>
    <row r="688" spans="11:12" ht="15.75" customHeight="1">
      <c r="K688" s="183"/>
      <c r="L688" s="183"/>
    </row>
    <row r="689" spans="11:12" ht="15.75" customHeight="1">
      <c r="K689" s="183"/>
      <c r="L689" s="183"/>
    </row>
    <row r="690" spans="11:12" ht="15.75" customHeight="1">
      <c r="K690" s="183"/>
      <c r="L690" s="183"/>
    </row>
    <row r="691" spans="11:12" ht="15.75" customHeight="1">
      <c r="K691" s="183"/>
      <c r="L691" s="183"/>
    </row>
    <row r="692" spans="11:12" ht="15.75" customHeight="1">
      <c r="K692" s="183"/>
      <c r="L692" s="183"/>
    </row>
    <row r="693" spans="11:12" ht="15.75" customHeight="1">
      <c r="K693" s="183"/>
      <c r="L693" s="183"/>
    </row>
    <row r="694" spans="11:12" ht="15.75" customHeight="1">
      <c r="K694" s="183"/>
      <c r="L694" s="183"/>
    </row>
    <row r="695" spans="11:12" ht="15.75" customHeight="1">
      <c r="K695" s="183"/>
      <c r="L695" s="183"/>
    </row>
    <row r="696" spans="11:12" ht="15.75" customHeight="1">
      <c r="K696" s="183"/>
      <c r="L696" s="183"/>
    </row>
    <row r="697" spans="11:12" ht="15.75" customHeight="1">
      <c r="K697" s="183"/>
      <c r="L697" s="183"/>
    </row>
    <row r="698" spans="11:12" ht="15.75" customHeight="1">
      <c r="K698" s="183"/>
      <c r="L698" s="183"/>
    </row>
    <row r="699" spans="11:12" ht="15.75" customHeight="1">
      <c r="K699" s="183"/>
      <c r="L699" s="183"/>
    </row>
    <row r="700" spans="11:12" ht="15.75" customHeight="1">
      <c r="K700" s="183"/>
      <c r="L700" s="183"/>
    </row>
    <row r="701" spans="11:12" ht="15.75" customHeight="1">
      <c r="K701" s="183"/>
      <c r="L701" s="183"/>
    </row>
    <row r="702" spans="11:12" ht="15.75" customHeight="1">
      <c r="K702" s="183"/>
      <c r="L702" s="183"/>
    </row>
    <row r="703" spans="11:12" ht="15.75" customHeight="1">
      <c r="K703" s="183"/>
      <c r="L703" s="183"/>
    </row>
    <row r="704" spans="11:12" ht="15.75" customHeight="1">
      <c r="K704" s="183"/>
      <c r="L704" s="183"/>
    </row>
    <row r="705" spans="11:12" ht="15.75" customHeight="1">
      <c r="K705" s="183"/>
      <c r="L705" s="183"/>
    </row>
    <row r="706" spans="11:12" ht="15.75" customHeight="1">
      <c r="K706" s="183"/>
      <c r="L706" s="183"/>
    </row>
    <row r="707" spans="11:12" ht="15.75" customHeight="1">
      <c r="K707" s="183"/>
      <c r="L707" s="183"/>
    </row>
    <row r="708" spans="11:12" ht="15.75" customHeight="1">
      <c r="K708" s="183"/>
      <c r="L708" s="183"/>
    </row>
    <row r="709" spans="11:12" ht="15.75" customHeight="1">
      <c r="K709" s="183"/>
      <c r="L709" s="183"/>
    </row>
    <row r="710" spans="11:12" ht="15.75" customHeight="1">
      <c r="K710" s="183"/>
      <c r="L710" s="183"/>
    </row>
    <row r="711" spans="11:12" ht="15.75" customHeight="1">
      <c r="K711" s="183"/>
      <c r="L711" s="183"/>
    </row>
    <row r="712" spans="11:12" ht="15.75" customHeight="1">
      <c r="K712" s="183"/>
      <c r="L712" s="183"/>
    </row>
    <row r="713" spans="11:12" ht="15.75" customHeight="1">
      <c r="K713" s="183"/>
      <c r="L713" s="183"/>
    </row>
    <row r="714" spans="11:12" ht="15.75" customHeight="1">
      <c r="K714" s="183"/>
      <c r="L714" s="183"/>
    </row>
    <row r="715" spans="11:12" ht="15.75" customHeight="1">
      <c r="K715" s="183"/>
      <c r="L715" s="183"/>
    </row>
    <row r="716" spans="11:12" ht="15.75" customHeight="1">
      <c r="K716" s="183"/>
      <c r="L716" s="183"/>
    </row>
    <row r="717" spans="11:12" ht="15.75" customHeight="1">
      <c r="K717" s="183"/>
      <c r="L717" s="183"/>
    </row>
    <row r="718" spans="11:12" ht="15.75" customHeight="1">
      <c r="K718" s="183"/>
      <c r="L718" s="183"/>
    </row>
    <row r="719" spans="11:12" ht="15.75" customHeight="1">
      <c r="K719" s="183"/>
      <c r="L719" s="183"/>
    </row>
    <row r="720" spans="11:12" ht="15.75" customHeight="1">
      <c r="K720" s="183"/>
      <c r="L720" s="183"/>
    </row>
    <row r="721" spans="11:12" ht="15.75" customHeight="1">
      <c r="K721" s="183"/>
      <c r="L721" s="183"/>
    </row>
    <row r="722" spans="11:12" ht="15.75" customHeight="1">
      <c r="K722" s="183"/>
      <c r="L722" s="183"/>
    </row>
    <row r="723" spans="11:12" ht="15.75" customHeight="1">
      <c r="K723" s="183"/>
      <c r="L723" s="183"/>
    </row>
    <row r="724" spans="11:12" ht="15.75" customHeight="1">
      <c r="K724" s="183"/>
      <c r="L724" s="183"/>
    </row>
    <row r="725" spans="11:12" ht="15.75" customHeight="1">
      <c r="K725" s="183"/>
      <c r="L725" s="183"/>
    </row>
    <row r="726" spans="11:12" ht="15.75" customHeight="1">
      <c r="K726" s="183"/>
      <c r="L726" s="183"/>
    </row>
    <row r="727" spans="11:12" ht="15.75" customHeight="1">
      <c r="K727" s="183"/>
      <c r="L727" s="183"/>
    </row>
    <row r="728" spans="11:12" ht="15.75" customHeight="1">
      <c r="K728" s="183"/>
      <c r="L728" s="183"/>
    </row>
    <row r="729" spans="11:12" ht="15.75" customHeight="1">
      <c r="K729" s="183"/>
      <c r="L729" s="183"/>
    </row>
    <row r="730" spans="11:12" ht="15.75" customHeight="1">
      <c r="K730" s="183"/>
      <c r="L730" s="183"/>
    </row>
    <row r="731" spans="11:12" ht="15.75" customHeight="1">
      <c r="K731" s="183"/>
      <c r="L731" s="183"/>
    </row>
    <row r="732" spans="11:12" ht="15.75" customHeight="1">
      <c r="K732" s="183"/>
      <c r="L732" s="183"/>
    </row>
    <row r="733" spans="11:12" ht="15.75" customHeight="1">
      <c r="K733" s="183"/>
      <c r="L733" s="183"/>
    </row>
    <row r="734" spans="11:12" ht="15.75" customHeight="1">
      <c r="K734" s="183"/>
      <c r="L734" s="183"/>
    </row>
    <row r="735" spans="11:12" ht="15.75" customHeight="1">
      <c r="K735" s="183"/>
      <c r="L735" s="183"/>
    </row>
    <row r="736" spans="11:12" ht="15.75" customHeight="1">
      <c r="K736" s="183"/>
      <c r="L736" s="183"/>
    </row>
    <row r="737" spans="11:12" ht="15.75" customHeight="1">
      <c r="K737" s="183"/>
      <c r="L737" s="183"/>
    </row>
    <row r="738" spans="11:12" ht="15.75" customHeight="1">
      <c r="K738" s="183"/>
      <c r="L738" s="183"/>
    </row>
    <row r="739" spans="11:12" ht="15.75" customHeight="1">
      <c r="K739" s="183"/>
      <c r="L739" s="183"/>
    </row>
    <row r="740" spans="11:12" ht="15.75" customHeight="1">
      <c r="K740" s="183"/>
      <c r="L740" s="183"/>
    </row>
    <row r="741" spans="11:12" ht="15.75" customHeight="1">
      <c r="K741" s="183"/>
      <c r="L741" s="183"/>
    </row>
    <row r="742" spans="11:12" ht="15.75" customHeight="1">
      <c r="K742" s="183"/>
      <c r="L742" s="183"/>
    </row>
    <row r="743" spans="11:12" ht="15.75" customHeight="1">
      <c r="K743" s="183"/>
      <c r="L743" s="183"/>
    </row>
    <row r="744" spans="11:12" ht="15.75" customHeight="1">
      <c r="K744" s="183"/>
      <c r="L744" s="183"/>
    </row>
    <row r="745" spans="11:12" ht="15.75" customHeight="1">
      <c r="K745" s="183"/>
      <c r="L745" s="183"/>
    </row>
    <row r="746" spans="11:12" ht="15.75" customHeight="1">
      <c r="K746" s="183"/>
      <c r="L746" s="183"/>
    </row>
    <row r="747" spans="11:12" ht="15.75" customHeight="1">
      <c r="K747" s="183"/>
      <c r="L747" s="183"/>
    </row>
    <row r="748" spans="11:12" ht="15.75" customHeight="1">
      <c r="K748" s="183"/>
      <c r="L748" s="183"/>
    </row>
    <row r="749" spans="11:12" ht="15.75" customHeight="1">
      <c r="K749" s="183"/>
      <c r="L749" s="183"/>
    </row>
    <row r="750" spans="11:12" ht="15.75" customHeight="1">
      <c r="K750" s="183"/>
      <c r="L750" s="183"/>
    </row>
    <row r="751" spans="11:12" ht="15.75" customHeight="1">
      <c r="K751" s="183"/>
      <c r="L751" s="183"/>
    </row>
    <row r="752" spans="11:12" ht="15.75" customHeight="1">
      <c r="K752" s="183"/>
      <c r="L752" s="183"/>
    </row>
    <row r="753" spans="11:12" ht="15.75" customHeight="1">
      <c r="K753" s="183"/>
      <c r="L753" s="183"/>
    </row>
    <row r="754" spans="11:12" ht="15.75" customHeight="1">
      <c r="K754" s="183"/>
      <c r="L754" s="183"/>
    </row>
    <row r="755" spans="11:12" ht="15.75" customHeight="1">
      <c r="K755" s="183"/>
      <c r="L755" s="183"/>
    </row>
    <row r="756" spans="11:12" ht="15.75" customHeight="1">
      <c r="K756" s="183"/>
      <c r="L756" s="183"/>
    </row>
    <row r="757" spans="11:12" ht="15.75" customHeight="1">
      <c r="K757" s="183"/>
      <c r="L757" s="183"/>
    </row>
    <row r="758" spans="11:12" ht="15.75" customHeight="1">
      <c r="K758" s="183"/>
      <c r="L758" s="183"/>
    </row>
    <row r="759" spans="11:12" ht="15.75" customHeight="1">
      <c r="K759" s="183"/>
      <c r="L759" s="183"/>
    </row>
    <row r="760" spans="11:12" ht="15.75" customHeight="1">
      <c r="K760" s="183"/>
      <c r="L760" s="183"/>
    </row>
    <row r="761" spans="11:12" ht="15.75" customHeight="1">
      <c r="K761" s="183"/>
      <c r="L761" s="183"/>
    </row>
    <row r="762" spans="11:12" ht="15.75" customHeight="1">
      <c r="K762" s="183"/>
      <c r="L762" s="183"/>
    </row>
    <row r="763" spans="11:12" ht="15.75" customHeight="1">
      <c r="K763" s="183"/>
      <c r="L763" s="183"/>
    </row>
    <row r="764" spans="11:12" ht="15.75" customHeight="1">
      <c r="K764" s="183"/>
      <c r="L764" s="183"/>
    </row>
    <row r="765" spans="11:12" ht="15.75" customHeight="1">
      <c r="K765" s="183"/>
      <c r="L765" s="183"/>
    </row>
    <row r="766" spans="11:12" ht="15.75" customHeight="1">
      <c r="K766" s="183"/>
      <c r="L766" s="183"/>
    </row>
    <row r="767" spans="11:12" ht="15.75" customHeight="1">
      <c r="K767" s="183"/>
      <c r="L767" s="183"/>
    </row>
    <row r="768" spans="11:12" ht="15.75" customHeight="1">
      <c r="K768" s="183"/>
      <c r="L768" s="183"/>
    </row>
    <row r="769" spans="11:12" ht="15.75" customHeight="1">
      <c r="K769" s="183"/>
      <c r="L769" s="183"/>
    </row>
    <row r="770" spans="11:12" ht="15.75" customHeight="1">
      <c r="K770" s="183"/>
      <c r="L770" s="183"/>
    </row>
    <row r="771" spans="11:12" ht="15.75" customHeight="1">
      <c r="K771" s="183"/>
      <c r="L771" s="183"/>
    </row>
    <row r="772" spans="11:12" ht="15.75" customHeight="1">
      <c r="K772" s="183"/>
      <c r="L772" s="183"/>
    </row>
    <row r="773" spans="11:12" ht="15.75" customHeight="1">
      <c r="K773" s="183"/>
      <c r="L773" s="183"/>
    </row>
    <row r="774" spans="11:12" ht="15.75" customHeight="1">
      <c r="K774" s="183"/>
      <c r="L774" s="183"/>
    </row>
    <row r="775" spans="11:12" ht="15.75" customHeight="1">
      <c r="K775" s="183"/>
      <c r="L775" s="183"/>
    </row>
    <row r="776" spans="11:12" ht="15.75" customHeight="1">
      <c r="K776" s="183"/>
      <c r="L776" s="183"/>
    </row>
    <row r="777" spans="11:12" ht="15.75" customHeight="1">
      <c r="K777" s="183"/>
      <c r="L777" s="183"/>
    </row>
    <row r="778" spans="11:12" ht="15.75" customHeight="1">
      <c r="K778" s="183"/>
      <c r="L778" s="183"/>
    </row>
    <row r="779" spans="11:12" ht="15.75" customHeight="1">
      <c r="K779" s="183"/>
      <c r="L779" s="183"/>
    </row>
    <row r="780" spans="11:12" ht="15.75" customHeight="1">
      <c r="K780" s="183"/>
      <c r="L780" s="183"/>
    </row>
    <row r="781" spans="11:12" ht="15.75" customHeight="1">
      <c r="K781" s="183"/>
      <c r="L781" s="183"/>
    </row>
    <row r="782" spans="11:12" ht="15.75" customHeight="1">
      <c r="K782" s="183"/>
      <c r="L782" s="183"/>
    </row>
    <row r="783" spans="11:12" ht="15.75" customHeight="1">
      <c r="K783" s="183"/>
      <c r="L783" s="183"/>
    </row>
    <row r="784" spans="11:12" ht="15.75" customHeight="1">
      <c r="K784" s="183"/>
      <c r="L784" s="183"/>
    </row>
    <row r="785" spans="11:12" ht="15.75" customHeight="1">
      <c r="K785" s="183"/>
      <c r="L785" s="183"/>
    </row>
    <row r="786" spans="11:12" ht="15.75" customHeight="1">
      <c r="K786" s="183"/>
      <c r="L786" s="183"/>
    </row>
    <row r="787" spans="11:12" ht="15.75" customHeight="1">
      <c r="K787" s="183"/>
      <c r="L787" s="183"/>
    </row>
    <row r="788" spans="11:12" ht="15.75" customHeight="1">
      <c r="K788" s="183"/>
      <c r="L788" s="183"/>
    </row>
    <row r="789" spans="11:12" ht="15.75" customHeight="1">
      <c r="K789" s="183"/>
      <c r="L789" s="183"/>
    </row>
    <row r="790" spans="11:12" ht="15.75" customHeight="1">
      <c r="K790" s="183"/>
      <c r="L790" s="183"/>
    </row>
    <row r="791" spans="11:12" ht="15.75" customHeight="1">
      <c r="K791" s="183"/>
      <c r="L791" s="183"/>
    </row>
    <row r="792" spans="11:12" ht="15.75" customHeight="1">
      <c r="K792" s="183"/>
      <c r="L792" s="183"/>
    </row>
    <row r="793" spans="11:12" ht="15.75" customHeight="1">
      <c r="K793" s="183"/>
      <c r="L793" s="183"/>
    </row>
    <row r="794" spans="11:12" ht="15.75" customHeight="1">
      <c r="K794" s="183"/>
      <c r="L794" s="183"/>
    </row>
    <row r="795" spans="11:12" ht="15.75" customHeight="1">
      <c r="K795" s="183"/>
      <c r="L795" s="183"/>
    </row>
    <row r="796" spans="11:12" ht="15.75" customHeight="1">
      <c r="K796" s="183"/>
      <c r="L796" s="183"/>
    </row>
    <row r="797" spans="11:12" ht="15.75" customHeight="1">
      <c r="K797" s="183"/>
      <c r="L797" s="183"/>
    </row>
    <row r="798" spans="11:12" ht="15.75" customHeight="1">
      <c r="K798" s="183"/>
      <c r="L798" s="183"/>
    </row>
    <row r="799" spans="11:12" ht="15.75" customHeight="1">
      <c r="K799" s="183"/>
      <c r="L799" s="183"/>
    </row>
    <row r="800" spans="11:12" ht="15.75" customHeight="1">
      <c r="K800" s="183"/>
      <c r="L800" s="183"/>
    </row>
    <row r="801" spans="11:12" ht="15.75" customHeight="1">
      <c r="K801" s="183"/>
      <c r="L801" s="183"/>
    </row>
    <row r="802" spans="11:12" ht="15.75" customHeight="1">
      <c r="K802" s="183"/>
      <c r="L802" s="183"/>
    </row>
    <row r="803" spans="11:12" ht="15.75" customHeight="1">
      <c r="K803" s="183"/>
      <c r="L803" s="183"/>
    </row>
    <row r="804" spans="11:12" ht="15.75" customHeight="1">
      <c r="K804" s="183"/>
      <c r="L804" s="183"/>
    </row>
    <row r="805" spans="11:12" ht="15.75" customHeight="1">
      <c r="K805" s="183"/>
      <c r="L805" s="183"/>
    </row>
    <row r="806" spans="11:12" ht="15.75" customHeight="1">
      <c r="K806" s="183"/>
      <c r="L806" s="183"/>
    </row>
    <row r="807" spans="11:12" ht="15.75" customHeight="1">
      <c r="K807" s="183"/>
      <c r="L807" s="183"/>
    </row>
    <row r="808" spans="11:12" ht="15.75" customHeight="1">
      <c r="K808" s="183"/>
      <c r="L808" s="183"/>
    </row>
    <row r="809" spans="11:12" ht="15.75" customHeight="1">
      <c r="K809" s="183"/>
      <c r="L809" s="183"/>
    </row>
    <row r="810" spans="11:12" ht="15.75" customHeight="1">
      <c r="K810" s="183"/>
      <c r="L810" s="183"/>
    </row>
    <row r="811" spans="11:12" ht="15.75" customHeight="1">
      <c r="K811" s="183"/>
      <c r="L811" s="183"/>
    </row>
    <row r="812" spans="11:12" ht="15.75" customHeight="1">
      <c r="K812" s="183"/>
      <c r="L812" s="183"/>
    </row>
    <row r="813" spans="11:12" ht="15.75" customHeight="1">
      <c r="K813" s="183"/>
      <c r="L813" s="183"/>
    </row>
    <row r="814" spans="11:12" ht="15.75" customHeight="1">
      <c r="K814" s="183"/>
      <c r="L814" s="183"/>
    </row>
    <row r="815" spans="11:12" ht="15.75" customHeight="1">
      <c r="K815" s="183"/>
      <c r="L815" s="183"/>
    </row>
    <row r="816" spans="11:12" ht="15.75" customHeight="1">
      <c r="K816" s="183"/>
      <c r="L816" s="183"/>
    </row>
    <row r="817" spans="11:12" ht="15.75" customHeight="1">
      <c r="K817" s="183"/>
      <c r="L817" s="183"/>
    </row>
    <row r="818" spans="11:12" ht="15.75" customHeight="1">
      <c r="K818" s="183"/>
      <c r="L818" s="183"/>
    </row>
    <row r="819" spans="11:12" ht="15.75" customHeight="1">
      <c r="K819" s="183"/>
      <c r="L819" s="183"/>
    </row>
    <row r="820" spans="11:12" ht="15.75" customHeight="1">
      <c r="K820" s="183"/>
      <c r="L820" s="183"/>
    </row>
    <row r="821" spans="11:12" ht="15.75" customHeight="1">
      <c r="K821" s="183"/>
      <c r="L821" s="183"/>
    </row>
    <row r="822" spans="11:12" ht="15.75" customHeight="1">
      <c r="K822" s="183"/>
      <c r="L822" s="183"/>
    </row>
    <row r="823" spans="11:12" ht="15.75" customHeight="1">
      <c r="K823" s="183"/>
      <c r="L823" s="183"/>
    </row>
    <row r="824" spans="11:12" ht="15.75" customHeight="1">
      <c r="K824" s="183"/>
      <c r="L824" s="183"/>
    </row>
    <row r="825" spans="11:12" ht="15.75" customHeight="1">
      <c r="K825" s="183"/>
      <c r="L825" s="183"/>
    </row>
    <row r="826" spans="11:12" ht="15.75" customHeight="1">
      <c r="K826" s="183"/>
      <c r="L826" s="183"/>
    </row>
    <row r="827" spans="11:12" ht="15.75" customHeight="1">
      <c r="K827" s="183"/>
      <c r="L827" s="183"/>
    </row>
    <row r="828" spans="11:12" ht="15.75" customHeight="1">
      <c r="K828" s="183"/>
      <c r="L828" s="183"/>
    </row>
    <row r="829" spans="11:12" ht="15.75" customHeight="1">
      <c r="K829" s="183"/>
      <c r="L829" s="183"/>
    </row>
    <row r="830" spans="11:12" ht="15.75" customHeight="1">
      <c r="K830" s="183"/>
      <c r="L830" s="183"/>
    </row>
    <row r="831" spans="11:12" ht="15.75" customHeight="1">
      <c r="K831" s="183"/>
      <c r="L831" s="183"/>
    </row>
    <row r="832" spans="11:12" ht="15.75" customHeight="1">
      <c r="K832" s="183"/>
      <c r="L832" s="183"/>
    </row>
    <row r="833" spans="11:12" ht="15.75" customHeight="1">
      <c r="K833" s="183"/>
      <c r="L833" s="183"/>
    </row>
    <row r="834" spans="11:12" ht="15.75" customHeight="1">
      <c r="K834" s="183"/>
      <c r="L834" s="183"/>
    </row>
    <row r="835" spans="11:12" ht="15.75" customHeight="1">
      <c r="K835" s="183"/>
      <c r="L835" s="183"/>
    </row>
    <row r="836" spans="11:12" ht="15.75" customHeight="1">
      <c r="K836" s="183"/>
      <c r="L836" s="183"/>
    </row>
    <row r="837" spans="11:12" ht="15.75" customHeight="1">
      <c r="K837" s="183"/>
      <c r="L837" s="183"/>
    </row>
    <row r="838" spans="11:12" ht="15.75" customHeight="1">
      <c r="K838" s="183"/>
      <c r="L838" s="183"/>
    </row>
    <row r="839" spans="11:12" ht="15.75" customHeight="1">
      <c r="K839" s="183"/>
      <c r="L839" s="183"/>
    </row>
    <row r="840" spans="11:12" ht="15.75" customHeight="1">
      <c r="K840" s="183"/>
      <c r="L840" s="183"/>
    </row>
    <row r="841" spans="11:12" ht="15.75" customHeight="1">
      <c r="K841" s="183"/>
      <c r="L841" s="183"/>
    </row>
    <row r="842" spans="11:12" ht="15.75" customHeight="1">
      <c r="K842" s="183"/>
      <c r="L842" s="183"/>
    </row>
    <row r="843" spans="11:12" ht="15.75" customHeight="1">
      <c r="K843" s="183"/>
      <c r="L843" s="183"/>
    </row>
    <row r="844" spans="11:12" ht="15.75" customHeight="1">
      <c r="K844" s="183"/>
      <c r="L844" s="183"/>
    </row>
    <row r="845" spans="11:12" ht="15.75" customHeight="1">
      <c r="K845" s="183"/>
      <c r="L845" s="183"/>
    </row>
    <row r="846" spans="11:12" ht="15.75" customHeight="1">
      <c r="K846" s="183"/>
      <c r="L846" s="183"/>
    </row>
    <row r="847" spans="11:12" ht="15.75" customHeight="1">
      <c r="K847" s="183"/>
      <c r="L847" s="183"/>
    </row>
    <row r="848" spans="11:12" ht="15.75" customHeight="1">
      <c r="K848" s="183"/>
      <c r="L848" s="183"/>
    </row>
    <row r="849" spans="11:12" ht="15.75" customHeight="1">
      <c r="K849" s="183"/>
      <c r="L849" s="183"/>
    </row>
    <row r="850" spans="11:12" ht="15.75" customHeight="1">
      <c r="K850" s="183"/>
      <c r="L850" s="183"/>
    </row>
    <row r="851" spans="11:12" ht="15.75" customHeight="1">
      <c r="K851" s="183"/>
      <c r="L851" s="183"/>
    </row>
    <row r="852" spans="11:12" ht="15.75" customHeight="1">
      <c r="K852" s="183"/>
      <c r="L852" s="183"/>
    </row>
    <row r="853" spans="11:12" ht="15.75" customHeight="1">
      <c r="K853" s="183"/>
      <c r="L853" s="183"/>
    </row>
    <row r="854" spans="11:12" ht="15.75" customHeight="1">
      <c r="K854" s="183"/>
      <c r="L854" s="183"/>
    </row>
    <row r="855" spans="11:12" ht="15.75" customHeight="1">
      <c r="K855" s="183"/>
      <c r="L855" s="183"/>
    </row>
    <row r="856" spans="11:12" ht="15.75" customHeight="1">
      <c r="K856" s="183"/>
      <c r="L856" s="183"/>
    </row>
    <row r="857" spans="11:12" ht="15.75" customHeight="1">
      <c r="K857" s="183"/>
      <c r="L857" s="183"/>
    </row>
    <row r="858" spans="11:12" ht="15.75" customHeight="1">
      <c r="K858" s="183"/>
      <c r="L858" s="183"/>
    </row>
    <row r="859" spans="11:12" ht="15.75" customHeight="1">
      <c r="K859" s="183"/>
      <c r="L859" s="183"/>
    </row>
    <row r="860" spans="11:12" ht="15.75" customHeight="1">
      <c r="K860" s="183"/>
      <c r="L860" s="183"/>
    </row>
    <row r="861" spans="11:12" ht="15.75" customHeight="1">
      <c r="K861" s="183"/>
      <c r="L861" s="183"/>
    </row>
    <row r="862" spans="11:12" ht="15.75" customHeight="1">
      <c r="K862" s="183"/>
      <c r="L862" s="183"/>
    </row>
    <row r="863" spans="11:12" ht="15.75" customHeight="1">
      <c r="K863" s="183"/>
      <c r="L863" s="183"/>
    </row>
    <row r="864" spans="11:12" ht="15.75" customHeight="1">
      <c r="K864" s="183"/>
      <c r="L864" s="183"/>
    </row>
    <row r="865" spans="11:12" ht="15.75" customHeight="1">
      <c r="K865" s="183"/>
      <c r="L865" s="183"/>
    </row>
    <row r="866" spans="11:12" ht="15.75" customHeight="1">
      <c r="K866" s="183"/>
      <c r="L866" s="183"/>
    </row>
    <row r="867" spans="11:12" ht="15.75" customHeight="1">
      <c r="K867" s="183"/>
      <c r="L867" s="183"/>
    </row>
    <row r="868" spans="11:12" ht="15.75" customHeight="1">
      <c r="K868" s="183"/>
      <c r="L868" s="183"/>
    </row>
    <row r="869" spans="11:12" ht="15.75" customHeight="1">
      <c r="K869" s="183"/>
      <c r="L869" s="183"/>
    </row>
    <row r="870" spans="11:12" ht="15.75" customHeight="1">
      <c r="K870" s="183"/>
      <c r="L870" s="183"/>
    </row>
    <row r="871" spans="11:12" ht="15.75" customHeight="1">
      <c r="K871" s="183"/>
      <c r="L871" s="183"/>
    </row>
    <row r="872" spans="11:12" ht="15.75" customHeight="1">
      <c r="K872" s="183"/>
      <c r="L872" s="183"/>
    </row>
    <row r="873" spans="11:12" ht="15.75" customHeight="1">
      <c r="K873" s="183"/>
      <c r="L873" s="183"/>
    </row>
    <row r="874" spans="11:12" ht="15.75" customHeight="1">
      <c r="K874" s="183"/>
      <c r="L874" s="183"/>
    </row>
    <row r="875" spans="11:12" ht="15.75" customHeight="1">
      <c r="K875" s="183"/>
      <c r="L875" s="183"/>
    </row>
    <row r="876" spans="11:12" ht="15.75" customHeight="1">
      <c r="K876" s="183"/>
      <c r="L876" s="183"/>
    </row>
    <row r="877" spans="11:12" ht="15.75" customHeight="1">
      <c r="K877" s="183"/>
      <c r="L877" s="183"/>
    </row>
    <row r="878" spans="11:12" ht="15.75" customHeight="1">
      <c r="K878" s="183"/>
      <c r="L878" s="183"/>
    </row>
    <row r="879" spans="11:12" ht="15.75" customHeight="1">
      <c r="K879" s="183"/>
      <c r="L879" s="183"/>
    </row>
    <row r="880" spans="11:12" ht="15.75" customHeight="1">
      <c r="K880" s="183"/>
      <c r="L880" s="183"/>
    </row>
    <row r="881" spans="11:12" ht="15.75" customHeight="1">
      <c r="K881" s="183"/>
      <c r="L881" s="183"/>
    </row>
    <row r="882" spans="11:12" ht="15.75" customHeight="1">
      <c r="K882" s="183"/>
      <c r="L882" s="183"/>
    </row>
    <row r="883" spans="11:12" ht="15.75" customHeight="1">
      <c r="K883" s="183"/>
      <c r="L883" s="183"/>
    </row>
    <row r="884" spans="11:12" ht="15.75" customHeight="1">
      <c r="K884" s="183"/>
      <c r="L884" s="183"/>
    </row>
    <row r="885" spans="11:12" ht="15.75" customHeight="1">
      <c r="K885" s="183"/>
      <c r="L885" s="183"/>
    </row>
    <row r="886" spans="11:12" ht="15.75" customHeight="1">
      <c r="K886" s="183"/>
      <c r="L886" s="183"/>
    </row>
    <row r="887" spans="11:12" ht="15.75" customHeight="1">
      <c r="K887" s="183"/>
      <c r="L887" s="183"/>
    </row>
    <row r="888" spans="11:12" ht="15.75" customHeight="1">
      <c r="K888" s="183"/>
      <c r="L888" s="183"/>
    </row>
    <row r="889" spans="11:12" ht="15.75" customHeight="1">
      <c r="K889" s="183"/>
      <c r="L889" s="183"/>
    </row>
    <row r="890" spans="11:12" ht="15.75" customHeight="1">
      <c r="K890" s="183"/>
      <c r="L890" s="183"/>
    </row>
    <row r="891" spans="11:12" ht="15.75" customHeight="1">
      <c r="K891" s="183"/>
      <c r="L891" s="183"/>
    </row>
    <row r="892" spans="11:12" ht="15.75" customHeight="1">
      <c r="K892" s="183"/>
      <c r="L892" s="183"/>
    </row>
    <row r="893" spans="11:12" ht="15.75" customHeight="1">
      <c r="K893" s="183"/>
      <c r="L893" s="183"/>
    </row>
    <row r="894" spans="11:12" ht="15.75" customHeight="1">
      <c r="K894" s="183"/>
      <c r="L894" s="183"/>
    </row>
    <row r="895" spans="11:12" ht="15.75" customHeight="1">
      <c r="K895" s="183"/>
      <c r="L895" s="183"/>
    </row>
    <row r="896" spans="11:12" ht="15.75" customHeight="1">
      <c r="K896" s="183"/>
      <c r="L896" s="183"/>
    </row>
    <row r="897" spans="11:12" ht="15.75" customHeight="1">
      <c r="K897" s="183"/>
      <c r="L897" s="183"/>
    </row>
    <row r="898" spans="11:12" ht="15.75" customHeight="1">
      <c r="K898" s="183"/>
      <c r="L898" s="183"/>
    </row>
    <row r="899" spans="11:12" ht="15.75" customHeight="1">
      <c r="K899" s="183"/>
      <c r="L899" s="183"/>
    </row>
    <row r="900" spans="11:12" ht="15.75" customHeight="1">
      <c r="K900" s="183"/>
      <c r="L900" s="183"/>
    </row>
    <row r="901" spans="11:12" ht="15.75" customHeight="1">
      <c r="K901" s="183"/>
      <c r="L901" s="183"/>
    </row>
    <row r="902" spans="11:12" ht="15.75" customHeight="1">
      <c r="K902" s="183"/>
      <c r="L902" s="183"/>
    </row>
    <row r="903" spans="11:12" ht="15.75" customHeight="1">
      <c r="K903" s="183"/>
      <c r="L903" s="183"/>
    </row>
    <row r="904" spans="11:12" ht="15.75" customHeight="1">
      <c r="K904" s="183"/>
      <c r="L904" s="183"/>
    </row>
    <row r="905" spans="11:12" ht="15.75" customHeight="1">
      <c r="K905" s="183"/>
      <c r="L905" s="183"/>
    </row>
    <row r="906" spans="11:12" ht="15.75" customHeight="1">
      <c r="K906" s="183"/>
      <c r="L906" s="183"/>
    </row>
    <row r="907" spans="11:12" ht="15.75" customHeight="1">
      <c r="K907" s="183"/>
      <c r="L907" s="183"/>
    </row>
    <row r="908" spans="11:12" ht="15.75" customHeight="1">
      <c r="K908" s="183"/>
      <c r="L908" s="183"/>
    </row>
    <row r="909" spans="11:12" ht="15.75" customHeight="1">
      <c r="K909" s="183"/>
      <c r="L909" s="183"/>
    </row>
    <row r="910" spans="11:12" ht="15.75" customHeight="1">
      <c r="K910" s="183"/>
      <c r="L910" s="183"/>
    </row>
    <row r="911" spans="11:12" ht="15.75" customHeight="1">
      <c r="K911" s="183"/>
      <c r="L911" s="183"/>
    </row>
    <row r="912" spans="11:12" ht="15.75" customHeight="1">
      <c r="K912" s="183"/>
      <c r="L912" s="183"/>
    </row>
    <row r="913" spans="11:12" ht="15.75" customHeight="1">
      <c r="K913" s="183"/>
      <c r="L913" s="183"/>
    </row>
    <row r="914" spans="11:12" ht="15.75" customHeight="1">
      <c r="K914" s="183"/>
      <c r="L914" s="183"/>
    </row>
    <row r="915" spans="11:12" ht="15.75" customHeight="1">
      <c r="K915" s="183"/>
      <c r="L915" s="183"/>
    </row>
    <row r="916" spans="11:12" ht="15.75" customHeight="1">
      <c r="K916" s="183"/>
      <c r="L916" s="183"/>
    </row>
    <row r="917" spans="11:12" ht="15.75" customHeight="1">
      <c r="K917" s="183"/>
      <c r="L917" s="183"/>
    </row>
    <row r="918" spans="11:12" ht="15.75" customHeight="1">
      <c r="K918" s="183"/>
      <c r="L918" s="183"/>
    </row>
    <row r="919" spans="11:12" ht="15.75" customHeight="1">
      <c r="K919" s="183"/>
      <c r="L919" s="183"/>
    </row>
    <row r="920" spans="11:12" ht="15.75" customHeight="1">
      <c r="K920" s="183"/>
      <c r="L920" s="183"/>
    </row>
    <row r="921" spans="11:12" ht="15.75" customHeight="1">
      <c r="K921" s="183"/>
      <c r="L921" s="183"/>
    </row>
    <row r="922" spans="11:12" ht="15.75" customHeight="1">
      <c r="K922" s="183"/>
      <c r="L922" s="183"/>
    </row>
    <row r="923" spans="11:12" ht="15.75" customHeight="1">
      <c r="K923" s="183"/>
      <c r="L923" s="183"/>
    </row>
    <row r="924" spans="11:12" ht="15.75" customHeight="1">
      <c r="K924" s="183"/>
      <c r="L924" s="183"/>
    </row>
    <row r="925" spans="11:12" ht="15.75" customHeight="1">
      <c r="K925" s="183"/>
      <c r="L925" s="183"/>
    </row>
    <row r="926" spans="11:12" ht="15.75" customHeight="1">
      <c r="K926" s="183"/>
      <c r="L926" s="183"/>
    </row>
    <row r="927" spans="11:12" ht="15.75" customHeight="1">
      <c r="K927" s="183"/>
      <c r="L927" s="183"/>
    </row>
    <row r="928" spans="11:12" ht="15.75" customHeight="1">
      <c r="K928" s="183"/>
      <c r="L928" s="183"/>
    </row>
    <row r="929" spans="11:12" ht="15.75" customHeight="1">
      <c r="K929" s="183"/>
      <c r="L929" s="183"/>
    </row>
    <row r="930" spans="11:12" ht="15.75" customHeight="1">
      <c r="K930" s="183"/>
      <c r="L930" s="183"/>
    </row>
    <row r="931" spans="11:12" ht="15.75" customHeight="1">
      <c r="K931" s="183"/>
      <c r="L931" s="183"/>
    </row>
    <row r="932" spans="11:12" ht="15.75" customHeight="1">
      <c r="K932" s="183"/>
      <c r="L932" s="183"/>
    </row>
    <row r="933" spans="11:12" ht="15.75" customHeight="1">
      <c r="K933" s="183"/>
      <c r="L933" s="183"/>
    </row>
    <row r="934" spans="11:12" ht="15.75" customHeight="1">
      <c r="K934" s="183"/>
      <c r="L934" s="183"/>
    </row>
    <row r="935" spans="11:12" ht="15.75" customHeight="1">
      <c r="K935" s="183"/>
      <c r="L935" s="183"/>
    </row>
    <row r="936" spans="11:12" ht="15.75" customHeight="1">
      <c r="K936" s="183"/>
      <c r="L936" s="183"/>
    </row>
    <row r="937" spans="11:12" ht="15.75" customHeight="1">
      <c r="K937" s="183"/>
      <c r="L937" s="183"/>
    </row>
    <row r="938" spans="11:12" ht="15.75" customHeight="1">
      <c r="K938" s="183"/>
      <c r="L938" s="183"/>
    </row>
    <row r="939" spans="11:12" ht="15.75" customHeight="1">
      <c r="K939" s="183"/>
      <c r="L939" s="183"/>
    </row>
    <row r="940" spans="11:12" ht="15.75" customHeight="1">
      <c r="K940" s="183"/>
      <c r="L940" s="183"/>
    </row>
    <row r="941" spans="11:12" ht="15.75" customHeight="1">
      <c r="K941" s="183"/>
      <c r="L941" s="183"/>
    </row>
    <row r="942" spans="11:12" ht="15.75" customHeight="1">
      <c r="K942" s="183"/>
      <c r="L942" s="183"/>
    </row>
    <row r="943" spans="11:12" ht="15.75" customHeight="1">
      <c r="K943" s="183"/>
      <c r="L943" s="183"/>
    </row>
    <row r="944" spans="11:12" ht="15.75" customHeight="1">
      <c r="K944" s="183"/>
      <c r="L944" s="183"/>
    </row>
    <row r="945" spans="11:12" ht="15.75" customHeight="1">
      <c r="K945" s="183"/>
      <c r="L945" s="183"/>
    </row>
    <row r="946" spans="11:12" ht="15.75" customHeight="1">
      <c r="K946" s="183"/>
      <c r="L946" s="183"/>
    </row>
    <row r="947" spans="11:12" ht="15.75" customHeight="1">
      <c r="K947" s="183"/>
      <c r="L947" s="183"/>
    </row>
    <row r="948" spans="11:12" ht="15.75" customHeight="1">
      <c r="K948" s="183"/>
      <c r="L948" s="183"/>
    </row>
    <row r="949" spans="11:12" ht="15.75" customHeight="1">
      <c r="K949" s="183"/>
      <c r="L949" s="183"/>
    </row>
    <row r="950" spans="11:12" ht="15.75" customHeight="1">
      <c r="K950" s="183"/>
      <c r="L950" s="183"/>
    </row>
    <row r="951" spans="11:12" ht="15.75" customHeight="1">
      <c r="K951" s="183"/>
      <c r="L951" s="183"/>
    </row>
    <row r="952" spans="11:12" ht="15.75" customHeight="1">
      <c r="K952" s="183"/>
      <c r="L952" s="183"/>
    </row>
    <row r="953" spans="11:12" ht="15.75" customHeight="1">
      <c r="K953" s="183"/>
      <c r="L953" s="183"/>
    </row>
    <row r="954" spans="11:12" ht="15.75" customHeight="1">
      <c r="K954" s="183"/>
      <c r="L954" s="183"/>
    </row>
    <row r="955" spans="11:12" ht="15.75" customHeight="1">
      <c r="K955" s="183"/>
      <c r="L955" s="183"/>
    </row>
    <row r="956" spans="11:12" ht="15.75" customHeight="1">
      <c r="K956" s="183"/>
      <c r="L956" s="183"/>
    </row>
    <row r="957" spans="11:12" ht="15.75" customHeight="1">
      <c r="K957" s="183"/>
      <c r="L957" s="183"/>
    </row>
    <row r="958" spans="11:12" ht="15.75" customHeight="1">
      <c r="K958" s="183"/>
      <c r="L958" s="183"/>
    </row>
    <row r="959" spans="11:12" ht="15.75" customHeight="1">
      <c r="K959" s="183"/>
      <c r="L959" s="183"/>
    </row>
    <row r="960" spans="11:12" ht="15.75" customHeight="1">
      <c r="K960" s="183"/>
      <c r="L960" s="183"/>
    </row>
    <row r="961" spans="11:12" ht="15.75" customHeight="1">
      <c r="K961" s="183"/>
      <c r="L961" s="183"/>
    </row>
    <row r="962" spans="11:12" ht="15.75" customHeight="1">
      <c r="K962" s="183"/>
      <c r="L962" s="183"/>
    </row>
    <row r="963" spans="11:12" ht="15.75" customHeight="1">
      <c r="K963" s="183"/>
      <c r="L963" s="183"/>
    </row>
    <row r="964" spans="11:12" ht="15.75" customHeight="1">
      <c r="K964" s="183"/>
      <c r="L964" s="183"/>
    </row>
    <row r="965" spans="11:12" ht="15.75" customHeight="1">
      <c r="K965" s="183"/>
      <c r="L965" s="183"/>
    </row>
    <row r="966" spans="11:12" ht="15.75" customHeight="1">
      <c r="K966" s="183"/>
      <c r="L966" s="183"/>
    </row>
    <row r="967" spans="11:12" ht="15.75" customHeight="1">
      <c r="K967" s="183"/>
      <c r="L967" s="183"/>
    </row>
    <row r="968" spans="11:12" ht="15.75" customHeight="1">
      <c r="K968" s="183"/>
      <c r="L968" s="183"/>
    </row>
    <row r="969" spans="11:12" ht="15.75" customHeight="1">
      <c r="K969" s="183"/>
      <c r="L969" s="183"/>
    </row>
    <row r="970" spans="11:12" ht="15.75" customHeight="1">
      <c r="K970" s="183"/>
      <c r="L970" s="183"/>
    </row>
    <row r="971" spans="11:12" ht="15.75" customHeight="1">
      <c r="K971" s="183"/>
      <c r="L971" s="183"/>
    </row>
    <row r="972" spans="11:12" ht="15.75" customHeight="1">
      <c r="K972" s="183"/>
      <c r="L972" s="183"/>
    </row>
    <row r="973" spans="11:12" ht="15.75" customHeight="1">
      <c r="K973" s="183"/>
      <c r="L973" s="183"/>
    </row>
    <row r="974" spans="11:12" ht="15.75" customHeight="1">
      <c r="K974" s="183"/>
      <c r="L974" s="183"/>
    </row>
    <row r="975" spans="11:12" ht="15.75" customHeight="1">
      <c r="K975" s="183"/>
      <c r="L975" s="183"/>
    </row>
    <row r="976" spans="11:12" ht="15.75" customHeight="1">
      <c r="K976" s="183"/>
      <c r="L976" s="183"/>
    </row>
    <row r="977" spans="11:12" ht="15.75" customHeight="1">
      <c r="K977" s="183"/>
      <c r="L977" s="183"/>
    </row>
    <row r="978" spans="11:12" ht="15.75" customHeight="1">
      <c r="K978" s="183"/>
      <c r="L978" s="183"/>
    </row>
    <row r="979" spans="11:12" ht="15.75" customHeight="1">
      <c r="K979" s="183"/>
      <c r="L979" s="183"/>
    </row>
    <row r="980" spans="11:12" ht="15.75" customHeight="1">
      <c r="K980" s="183"/>
      <c r="L980" s="183"/>
    </row>
    <row r="981" spans="11:12" ht="15.75" customHeight="1">
      <c r="K981" s="183"/>
      <c r="L981" s="183"/>
    </row>
    <row r="982" spans="11:12" ht="15.75" customHeight="1">
      <c r="K982" s="183"/>
      <c r="L982" s="183"/>
    </row>
    <row r="983" spans="11:12" ht="15.75" customHeight="1">
      <c r="K983" s="183"/>
      <c r="L983" s="183"/>
    </row>
    <row r="984" spans="11:12" ht="15.75" customHeight="1">
      <c r="K984" s="183"/>
      <c r="L984" s="183"/>
    </row>
    <row r="985" spans="11:12" ht="15.75" customHeight="1">
      <c r="K985" s="183"/>
      <c r="L985" s="183"/>
    </row>
    <row r="986" spans="11:12" ht="15.75" customHeight="1">
      <c r="K986" s="183"/>
      <c r="L986" s="183"/>
    </row>
    <row r="987" spans="11:12" ht="15.75" customHeight="1">
      <c r="K987" s="183"/>
      <c r="L987" s="183"/>
    </row>
    <row r="988" spans="11:12" ht="15.75" customHeight="1">
      <c r="K988" s="183"/>
      <c r="L988" s="183"/>
    </row>
    <row r="989" spans="11:12" ht="15.75" customHeight="1">
      <c r="K989" s="183"/>
      <c r="L989" s="183"/>
    </row>
    <row r="990" spans="11:12" ht="15.75" customHeight="1">
      <c r="K990" s="183"/>
      <c r="L990" s="183"/>
    </row>
    <row r="991" spans="11:12" ht="15.75" customHeight="1">
      <c r="K991" s="183"/>
      <c r="L991" s="183"/>
    </row>
    <row r="992" spans="11:12" ht="15.75" customHeight="1">
      <c r="K992" s="183"/>
      <c r="L992" s="183"/>
    </row>
    <row r="993" spans="11:12" ht="15.75" customHeight="1">
      <c r="K993" s="183"/>
      <c r="L993" s="183"/>
    </row>
    <row r="994" spans="11:12" ht="15.75" customHeight="1">
      <c r="K994" s="183"/>
      <c r="L994" s="183"/>
    </row>
    <row r="995" spans="11:12" ht="15.75" customHeight="1">
      <c r="K995" s="183"/>
      <c r="L995" s="183"/>
    </row>
    <row r="996" spans="11:12" ht="15.75" customHeight="1">
      <c r="K996" s="183"/>
      <c r="L996" s="183"/>
    </row>
    <row r="997" spans="11:12" ht="15.75" customHeight="1">
      <c r="K997" s="183"/>
      <c r="L997" s="183"/>
    </row>
    <row r="998" spans="11:12" ht="15.75" customHeight="1">
      <c r="K998" s="183"/>
      <c r="L998" s="183"/>
    </row>
    <row r="999" spans="11:12" ht="15.75" customHeight="1">
      <c r="K999" s="183"/>
      <c r="L999" s="183"/>
    </row>
    <row r="1000" spans="11:12" ht="15.75" customHeight="1">
      <c r="K1000" s="183"/>
      <c r="L1000" s="183"/>
    </row>
  </sheetData>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9E2F3"/>
  </sheetPr>
  <dimension ref="A1:D1000"/>
  <sheetViews>
    <sheetView workbookViewId="0"/>
  </sheetViews>
  <sheetFormatPr baseColWidth="10" defaultColWidth="12.6640625" defaultRowHeight="15" customHeight="1"/>
  <cols>
    <col min="1" max="1" width="21.5" customWidth="1"/>
    <col min="2" max="2" width="28.5" customWidth="1"/>
    <col min="3" max="3" width="24.1640625" customWidth="1"/>
    <col min="4" max="4" width="13" customWidth="1"/>
    <col min="5" max="26" width="7.6640625" customWidth="1"/>
  </cols>
  <sheetData>
    <row r="1" spans="1:4">
      <c r="A1" s="244" t="s">
        <v>154</v>
      </c>
      <c r="B1" s="244" t="s">
        <v>7079</v>
      </c>
      <c r="C1" s="244" t="s">
        <v>6088</v>
      </c>
      <c r="D1" s="244" t="s">
        <v>6089</v>
      </c>
    </row>
    <row r="2" spans="1:4">
      <c r="A2" s="159" t="s">
        <v>7077</v>
      </c>
      <c r="B2" s="159" t="s">
        <v>3950</v>
      </c>
      <c r="C2" s="159" t="s">
        <v>1631</v>
      </c>
      <c r="D2" s="159">
        <v>64</v>
      </c>
    </row>
    <row r="3" spans="1:4">
      <c r="A3" s="159" t="s">
        <v>7077</v>
      </c>
      <c r="B3" s="159" t="s">
        <v>7080</v>
      </c>
      <c r="C3" s="159" t="s">
        <v>5666</v>
      </c>
      <c r="D3" s="159">
        <v>20</v>
      </c>
    </row>
    <row r="4" spans="1:4">
      <c r="A4" s="159" t="s">
        <v>7077</v>
      </c>
      <c r="B4" s="159" t="s">
        <v>7081</v>
      </c>
      <c r="C4" s="159" t="s">
        <v>5666</v>
      </c>
      <c r="D4" s="159">
        <v>30</v>
      </c>
    </row>
    <row r="5" spans="1:4">
      <c r="A5" s="159" t="s">
        <v>7077</v>
      </c>
      <c r="B5" s="159" t="s">
        <v>7082</v>
      </c>
      <c r="C5" s="159" t="s">
        <v>5666</v>
      </c>
      <c r="D5" s="159">
        <v>20</v>
      </c>
    </row>
    <row r="6" spans="1:4">
      <c r="A6" s="159" t="s">
        <v>7077</v>
      </c>
      <c r="B6" s="159" t="s">
        <v>3863</v>
      </c>
      <c r="C6" s="159" t="s">
        <v>5666</v>
      </c>
      <c r="D6" s="159">
        <v>20</v>
      </c>
    </row>
    <row r="7" spans="1:4">
      <c r="A7" s="159" t="s">
        <v>7077</v>
      </c>
      <c r="B7" s="159" t="s">
        <v>1394</v>
      </c>
      <c r="C7" s="159" t="s">
        <v>5666</v>
      </c>
      <c r="D7" s="159">
        <v>10</v>
      </c>
    </row>
    <row r="8" spans="1:4">
      <c r="A8" s="159" t="s">
        <v>7077</v>
      </c>
      <c r="B8" s="159" t="s">
        <v>1826</v>
      </c>
      <c r="C8" s="159" t="s">
        <v>5664</v>
      </c>
      <c r="D8" s="159">
        <v>32</v>
      </c>
    </row>
    <row r="9" spans="1:4">
      <c r="A9" s="159" t="s">
        <v>7077</v>
      </c>
      <c r="B9" s="159" t="s">
        <v>7083</v>
      </c>
      <c r="C9" s="159" t="s">
        <v>5670</v>
      </c>
      <c r="D9" s="159"/>
    </row>
    <row r="10" spans="1:4">
      <c r="A10" s="159" t="s">
        <v>7077</v>
      </c>
      <c r="B10" s="159" t="s">
        <v>3897</v>
      </c>
      <c r="C10" s="159" t="s">
        <v>1631</v>
      </c>
      <c r="D10" s="159">
        <v>64</v>
      </c>
    </row>
    <row r="11" spans="1:4">
      <c r="A11" s="159" t="s">
        <v>7077</v>
      </c>
      <c r="B11" s="159" t="s">
        <v>7084</v>
      </c>
      <c r="C11" s="159" t="s">
        <v>5666</v>
      </c>
      <c r="D11" s="159">
        <v>20</v>
      </c>
    </row>
    <row r="12" spans="1:4">
      <c r="A12" s="159" t="s">
        <v>7077</v>
      </c>
      <c r="B12" s="159" t="s">
        <v>7085</v>
      </c>
      <c r="C12" s="159" t="s">
        <v>5664</v>
      </c>
      <c r="D12" s="159">
        <v>32</v>
      </c>
    </row>
    <row r="13" spans="1:4">
      <c r="A13" s="159" t="s">
        <v>94</v>
      </c>
      <c r="B13" s="159" t="s">
        <v>3950</v>
      </c>
      <c r="C13" s="159" t="s">
        <v>1631</v>
      </c>
      <c r="D13" s="159">
        <v>64</v>
      </c>
    </row>
    <row r="14" spans="1:4">
      <c r="A14" s="159" t="s">
        <v>94</v>
      </c>
      <c r="B14" s="159" t="s">
        <v>7080</v>
      </c>
      <c r="C14" s="159" t="s">
        <v>5666</v>
      </c>
      <c r="D14" s="159">
        <v>20</v>
      </c>
    </row>
    <row r="15" spans="1:4">
      <c r="A15" s="159" t="s">
        <v>94</v>
      </c>
      <c r="B15" s="159" t="s">
        <v>7082</v>
      </c>
      <c r="C15" s="159" t="s">
        <v>5666</v>
      </c>
      <c r="D15" s="159">
        <v>20</v>
      </c>
    </row>
    <row r="16" spans="1:4">
      <c r="A16" s="159" t="s">
        <v>94</v>
      </c>
      <c r="B16" s="159" t="s">
        <v>3863</v>
      </c>
      <c r="C16" s="159" t="s">
        <v>5666</v>
      </c>
      <c r="D16" s="159">
        <v>20</v>
      </c>
    </row>
    <row r="17" spans="1:4">
      <c r="A17" s="159" t="s">
        <v>94</v>
      </c>
      <c r="B17" s="159" t="s">
        <v>1394</v>
      </c>
      <c r="C17" s="159" t="s">
        <v>5666</v>
      </c>
      <c r="D17" s="159">
        <v>10</v>
      </c>
    </row>
    <row r="18" spans="1:4">
      <c r="A18" s="159" t="s">
        <v>94</v>
      </c>
      <c r="B18" s="159" t="s">
        <v>1826</v>
      </c>
      <c r="C18" s="159" t="s">
        <v>5664</v>
      </c>
      <c r="D18" s="159">
        <v>32</v>
      </c>
    </row>
    <row r="19" spans="1:4">
      <c r="A19" s="159" t="s">
        <v>94</v>
      </c>
      <c r="B19" s="159" t="s">
        <v>7083</v>
      </c>
      <c r="C19" s="159" t="s">
        <v>5670</v>
      </c>
      <c r="D19" s="159"/>
    </row>
    <row r="20" spans="1:4">
      <c r="A20" s="159" t="s">
        <v>94</v>
      </c>
      <c r="B20" s="159" t="s">
        <v>3897</v>
      </c>
      <c r="C20" s="159" t="s">
        <v>1631</v>
      </c>
      <c r="D20" s="159">
        <v>64</v>
      </c>
    </row>
    <row r="21" spans="1:4" ht="15.75" customHeight="1">
      <c r="A21" s="159" t="s">
        <v>94</v>
      </c>
      <c r="B21" s="159" t="s">
        <v>7086</v>
      </c>
      <c r="C21" s="159" t="s">
        <v>1631</v>
      </c>
      <c r="D21" s="159">
        <v>64</v>
      </c>
    </row>
    <row r="22" spans="1:4" ht="15.75" customHeight="1">
      <c r="A22" s="159" t="s">
        <v>94</v>
      </c>
      <c r="B22" s="159" t="s">
        <v>7084</v>
      </c>
      <c r="C22" s="159" t="s">
        <v>5666</v>
      </c>
      <c r="D22" s="159">
        <v>100</v>
      </c>
    </row>
    <row r="23" spans="1:4" ht="15.75" customHeight="1">
      <c r="A23" s="159" t="s">
        <v>94</v>
      </c>
      <c r="B23" s="159" t="s">
        <v>7087</v>
      </c>
      <c r="C23" s="159" t="s">
        <v>5666</v>
      </c>
      <c r="D23" s="159">
        <v>30</v>
      </c>
    </row>
    <row r="24" spans="1:4" ht="15.75" customHeight="1">
      <c r="A24" s="159" t="s">
        <v>94</v>
      </c>
      <c r="B24" s="159" t="s">
        <v>7088</v>
      </c>
      <c r="C24" s="159" t="s">
        <v>5666</v>
      </c>
      <c r="D24" s="159">
        <v>100</v>
      </c>
    </row>
    <row r="25" spans="1:4" ht="15.75" customHeight="1">
      <c r="A25" s="159" t="s">
        <v>94</v>
      </c>
      <c r="B25" s="159" t="s">
        <v>7089</v>
      </c>
      <c r="C25" s="159" t="s">
        <v>3893</v>
      </c>
      <c r="D25" s="159"/>
    </row>
    <row r="26" spans="1:4" ht="15.75" customHeight="1">
      <c r="A26" s="159" t="s">
        <v>94</v>
      </c>
      <c r="B26" s="159" t="s">
        <v>7085</v>
      </c>
      <c r="C26" s="159" t="s">
        <v>5664</v>
      </c>
      <c r="D26" s="159">
        <v>32</v>
      </c>
    </row>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J1000"/>
  <sheetViews>
    <sheetView workbookViewId="0"/>
  </sheetViews>
  <sheetFormatPr baseColWidth="10" defaultColWidth="12.6640625" defaultRowHeight="15" customHeight="1"/>
  <cols>
    <col min="1" max="1" width="13.83203125" customWidth="1"/>
    <col min="2" max="2" width="24" customWidth="1"/>
    <col min="3" max="3" width="16.1640625" customWidth="1"/>
    <col min="4" max="4" width="13.6640625" customWidth="1"/>
    <col min="5" max="5" width="7.6640625" customWidth="1"/>
    <col min="6" max="8" width="8" customWidth="1"/>
    <col min="9" max="9" width="13.83203125" customWidth="1"/>
    <col min="10" max="10" width="18.6640625" customWidth="1"/>
    <col min="11" max="26" width="7.6640625" customWidth="1"/>
  </cols>
  <sheetData>
    <row r="1" spans="1:10">
      <c r="A1" s="174" t="s">
        <v>154</v>
      </c>
      <c r="B1" s="174" t="s">
        <v>155</v>
      </c>
      <c r="C1" s="174" t="s">
        <v>156</v>
      </c>
      <c r="D1" s="174" t="s">
        <v>157</v>
      </c>
      <c r="E1" s="174" t="s">
        <v>158</v>
      </c>
      <c r="F1" s="174" t="s">
        <v>159</v>
      </c>
      <c r="G1" s="174" t="s">
        <v>160</v>
      </c>
      <c r="H1" s="174" t="s">
        <v>161</v>
      </c>
      <c r="I1" s="174" t="s">
        <v>162</v>
      </c>
      <c r="J1" s="105" t="s">
        <v>168</v>
      </c>
    </row>
    <row r="2" spans="1:10">
      <c r="A2" s="159" t="s">
        <v>7090</v>
      </c>
      <c r="B2" s="159" t="s">
        <v>266</v>
      </c>
      <c r="C2" s="159" t="s">
        <v>7091</v>
      </c>
      <c r="D2" s="159">
        <v>1449</v>
      </c>
      <c r="E2" s="159" t="s">
        <v>5068</v>
      </c>
      <c r="F2" s="159">
        <v>272</v>
      </c>
      <c r="G2" s="159">
        <v>176</v>
      </c>
      <c r="H2" s="159">
        <v>16</v>
      </c>
      <c r="I2" s="159">
        <v>80</v>
      </c>
    </row>
    <row r="3" spans="1:10">
      <c r="A3" s="159" t="s">
        <v>7090</v>
      </c>
      <c r="B3" s="159" t="s">
        <v>266</v>
      </c>
      <c r="C3" s="159" t="s">
        <v>7092</v>
      </c>
      <c r="D3" s="159">
        <v>266</v>
      </c>
      <c r="E3" s="159" t="s">
        <v>5068</v>
      </c>
      <c r="F3" s="159">
        <v>72</v>
      </c>
      <c r="G3" s="159">
        <v>48</v>
      </c>
      <c r="H3" s="159">
        <v>8</v>
      </c>
      <c r="I3" s="159">
        <v>16</v>
      </c>
    </row>
    <row r="4" spans="1:10">
      <c r="A4" s="159" t="s">
        <v>7090</v>
      </c>
      <c r="B4" s="159" t="s">
        <v>415</v>
      </c>
      <c r="C4" s="159" t="s">
        <v>7093</v>
      </c>
      <c r="D4" s="159">
        <v>36538333</v>
      </c>
      <c r="E4" s="159" t="s">
        <v>5068</v>
      </c>
      <c r="F4" s="159">
        <v>6917896</v>
      </c>
      <c r="G4" s="159">
        <v>6914328</v>
      </c>
      <c r="H4" s="159">
        <v>72</v>
      </c>
      <c r="I4" s="159">
        <v>3496</v>
      </c>
    </row>
    <row r="5" spans="1:10">
      <c r="A5" s="159" t="s">
        <v>7090</v>
      </c>
      <c r="B5" s="159" t="s">
        <v>415</v>
      </c>
      <c r="C5" s="159" t="s">
        <v>7094</v>
      </c>
      <c r="D5" s="159">
        <v>6154992</v>
      </c>
      <c r="E5" s="159" t="s">
        <v>5068</v>
      </c>
      <c r="F5" s="159">
        <v>937264</v>
      </c>
      <c r="G5" s="159">
        <v>936128</v>
      </c>
      <c r="H5" s="159">
        <v>48</v>
      </c>
      <c r="I5" s="159">
        <v>1088</v>
      </c>
    </row>
    <row r="6" spans="1:10">
      <c r="A6" s="159" t="s">
        <v>7090</v>
      </c>
      <c r="B6" s="159" t="s">
        <v>415</v>
      </c>
      <c r="C6" s="159" t="s">
        <v>7095</v>
      </c>
      <c r="D6" s="159">
        <v>169054359</v>
      </c>
      <c r="E6" s="159" t="s">
        <v>5068</v>
      </c>
      <c r="F6" s="159">
        <v>21497648</v>
      </c>
      <c r="G6" s="159">
        <v>21494544</v>
      </c>
      <c r="H6" s="159">
        <v>112</v>
      </c>
      <c r="I6" s="159">
        <v>2992</v>
      </c>
    </row>
    <row r="7" spans="1:10">
      <c r="A7" s="159" t="s">
        <v>7090</v>
      </c>
      <c r="B7" s="159" t="s">
        <v>266</v>
      </c>
      <c r="C7" s="159" t="s">
        <v>7096</v>
      </c>
      <c r="D7" s="159">
        <v>213740</v>
      </c>
      <c r="E7" s="159" t="s">
        <v>5068</v>
      </c>
      <c r="F7" s="159">
        <v>81848</v>
      </c>
      <c r="G7" s="159">
        <v>80712</v>
      </c>
      <c r="H7" s="159">
        <v>56</v>
      </c>
      <c r="I7" s="159">
        <v>1080</v>
      </c>
    </row>
    <row r="8" spans="1:10">
      <c r="A8" s="159" t="s">
        <v>7090</v>
      </c>
      <c r="B8" s="159" t="s">
        <v>415</v>
      </c>
      <c r="C8" s="159" t="s">
        <v>7097</v>
      </c>
      <c r="D8" s="159">
        <v>315870</v>
      </c>
      <c r="E8" s="159" t="s">
        <v>5068</v>
      </c>
      <c r="F8" s="159">
        <v>59832</v>
      </c>
      <c r="G8" s="159">
        <v>58392</v>
      </c>
      <c r="H8" s="159">
        <v>56</v>
      </c>
      <c r="I8" s="159">
        <v>1384</v>
      </c>
    </row>
    <row r="9" spans="1:10">
      <c r="A9" s="159" t="s">
        <v>7090</v>
      </c>
      <c r="B9" s="159" t="s">
        <v>415</v>
      </c>
      <c r="C9" s="159" t="s">
        <v>7098</v>
      </c>
      <c r="D9" s="159">
        <v>8438067</v>
      </c>
      <c r="E9" s="159" t="s">
        <v>5068</v>
      </c>
      <c r="F9" s="159">
        <v>1500352</v>
      </c>
      <c r="G9" s="159">
        <v>1499960</v>
      </c>
      <c r="H9" s="159">
        <v>64</v>
      </c>
      <c r="I9" s="159">
        <v>328</v>
      </c>
    </row>
    <row r="10" spans="1:10">
      <c r="A10" s="159" t="s">
        <v>7090</v>
      </c>
      <c r="B10" s="159" t="s">
        <v>415</v>
      </c>
      <c r="C10" s="159" t="s">
        <v>7099</v>
      </c>
      <c r="D10" s="159">
        <v>10251828</v>
      </c>
      <c r="E10" s="159" t="s">
        <v>5068</v>
      </c>
      <c r="F10" s="159">
        <v>1566016</v>
      </c>
      <c r="G10" s="159">
        <v>1565728</v>
      </c>
      <c r="H10" s="159">
        <v>64</v>
      </c>
      <c r="I10" s="159">
        <v>224</v>
      </c>
    </row>
    <row r="11" spans="1:10">
      <c r="A11" s="159" t="s">
        <v>7090</v>
      </c>
      <c r="B11" s="159" t="s">
        <v>415</v>
      </c>
      <c r="C11" s="159" t="s">
        <v>7100</v>
      </c>
      <c r="D11" s="159">
        <v>3189887</v>
      </c>
      <c r="E11" s="159" t="s">
        <v>5068</v>
      </c>
      <c r="F11" s="159">
        <v>742696</v>
      </c>
      <c r="G11" s="159">
        <v>731784</v>
      </c>
      <c r="H11" s="159">
        <v>7448</v>
      </c>
      <c r="I11" s="159">
        <v>3464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AN1001"/>
  <sheetViews>
    <sheetView workbookViewId="0">
      <pane xSplit="2" topLeftCell="C1" activePane="topRight" state="frozen"/>
      <selection pane="topRight" activeCell="D2" sqref="D2"/>
    </sheetView>
  </sheetViews>
  <sheetFormatPr baseColWidth="10" defaultColWidth="12.6640625" defaultRowHeight="15" customHeight="1"/>
  <cols>
    <col min="1" max="1" width="3.6640625" customWidth="1"/>
    <col min="2" max="2" width="33.5" customWidth="1"/>
    <col min="3" max="3" width="8.5" customWidth="1"/>
    <col min="4" max="4" width="6.83203125" customWidth="1"/>
    <col min="5" max="5" width="7.6640625" customWidth="1"/>
    <col min="6" max="6" width="8.1640625" customWidth="1"/>
    <col min="7" max="7" width="7.1640625" customWidth="1"/>
    <col min="8" max="8" width="33.6640625" hidden="1" customWidth="1"/>
    <col min="9" max="9" width="10.5" customWidth="1"/>
    <col min="10" max="10" width="17.6640625" hidden="1" customWidth="1"/>
    <col min="11" max="11" width="26.1640625" hidden="1" customWidth="1"/>
    <col min="12" max="12" width="13.6640625" hidden="1" customWidth="1"/>
    <col min="13" max="13" width="7.6640625" hidden="1" customWidth="1"/>
    <col min="14" max="14" width="18.33203125" customWidth="1"/>
    <col min="15" max="15" width="10.6640625" customWidth="1"/>
    <col min="16" max="16" width="8.6640625" customWidth="1"/>
    <col min="17" max="17" width="8.6640625" hidden="1" customWidth="1"/>
    <col min="18" max="18" width="8.6640625" customWidth="1"/>
    <col min="19" max="20" width="18.1640625" customWidth="1"/>
    <col min="21" max="21" width="36.33203125" customWidth="1"/>
    <col min="22" max="22" width="29.6640625" customWidth="1"/>
    <col min="23" max="23" width="21.5" customWidth="1"/>
    <col min="24" max="25" width="14.33203125" customWidth="1"/>
    <col min="26" max="26" width="24.6640625" customWidth="1"/>
    <col min="27" max="27" width="11.1640625" customWidth="1"/>
    <col min="28" max="28" width="15" customWidth="1"/>
    <col min="29" max="29" width="17.83203125" customWidth="1"/>
    <col min="30" max="40" width="7.6640625" customWidth="1"/>
  </cols>
  <sheetData>
    <row r="1" spans="1:40">
      <c r="A1" s="291" t="s">
        <v>10</v>
      </c>
      <c r="B1" s="292"/>
      <c r="C1" s="4"/>
      <c r="P1" s="5"/>
      <c r="Q1" s="5"/>
      <c r="R1" s="5"/>
      <c r="S1" s="5"/>
      <c r="T1" s="5"/>
      <c r="U1" s="5"/>
      <c r="V1" s="5"/>
      <c r="W1" s="5"/>
      <c r="X1" s="5"/>
      <c r="Y1" s="5"/>
    </row>
    <row r="2" spans="1:40" ht="42">
      <c r="A2" s="6" t="s">
        <v>11</v>
      </c>
      <c r="B2" s="7" t="s">
        <v>12</v>
      </c>
      <c r="C2" s="293" t="s">
        <v>13</v>
      </c>
      <c r="D2" s="294"/>
      <c r="E2" s="294"/>
      <c r="F2" s="294"/>
      <c r="G2" s="295"/>
      <c r="H2" s="7" t="s">
        <v>14</v>
      </c>
      <c r="I2" s="7" t="s">
        <v>15</v>
      </c>
      <c r="J2" s="7" t="s">
        <v>16</v>
      </c>
      <c r="K2" s="7" t="s">
        <v>17</v>
      </c>
      <c r="L2" s="7" t="s">
        <v>18</v>
      </c>
      <c r="M2" s="7" t="s">
        <v>19</v>
      </c>
      <c r="N2" s="7" t="s">
        <v>20</v>
      </c>
      <c r="O2" s="296" t="s">
        <v>21</v>
      </c>
      <c r="P2" s="294"/>
      <c r="Q2" s="294"/>
      <c r="R2" s="295"/>
      <c r="S2" s="8" t="s">
        <v>22</v>
      </c>
      <c r="T2" s="8" t="s">
        <v>23</v>
      </c>
      <c r="U2" s="9" t="s">
        <v>24</v>
      </c>
      <c r="V2" s="9" t="s">
        <v>25</v>
      </c>
      <c r="W2" s="9" t="s">
        <v>26</v>
      </c>
      <c r="X2" s="10" t="s">
        <v>27</v>
      </c>
      <c r="Y2" s="7" t="s">
        <v>28</v>
      </c>
      <c r="Z2" s="7" t="s">
        <v>29</v>
      </c>
      <c r="AA2" s="9" t="s">
        <v>30</v>
      </c>
      <c r="AB2" s="9" t="s">
        <v>31</v>
      </c>
      <c r="AC2" s="7" t="s">
        <v>32</v>
      </c>
      <c r="AD2" s="11"/>
      <c r="AE2" s="11"/>
      <c r="AF2" s="11"/>
      <c r="AG2" s="11"/>
      <c r="AH2" s="11"/>
      <c r="AI2" s="11"/>
      <c r="AJ2" s="11"/>
      <c r="AK2" s="11"/>
      <c r="AL2" s="11"/>
      <c r="AM2" s="11"/>
      <c r="AN2" s="11"/>
    </row>
    <row r="3" spans="1:40" ht="28">
      <c r="A3" s="6"/>
      <c r="B3" s="7"/>
      <c r="C3" s="12" t="s">
        <v>33</v>
      </c>
      <c r="D3" s="13" t="s">
        <v>34</v>
      </c>
      <c r="E3" s="13" t="s">
        <v>35</v>
      </c>
      <c r="F3" s="13" t="s">
        <v>36</v>
      </c>
      <c r="G3" s="13" t="s">
        <v>37</v>
      </c>
      <c r="H3" s="7"/>
      <c r="I3" s="7"/>
      <c r="J3" s="7"/>
      <c r="K3" s="7"/>
      <c r="L3" s="7"/>
      <c r="M3" s="7"/>
      <c r="N3" s="7"/>
      <c r="O3" s="14" t="s">
        <v>38</v>
      </c>
      <c r="P3" s="15" t="s">
        <v>39</v>
      </c>
      <c r="Q3" s="14" t="s">
        <v>40</v>
      </c>
      <c r="R3" s="15" t="s">
        <v>41</v>
      </c>
      <c r="S3" s="8"/>
      <c r="T3" s="16"/>
      <c r="U3" s="9" t="s">
        <v>42</v>
      </c>
      <c r="V3" s="7"/>
      <c r="W3" s="7"/>
      <c r="X3" s="17"/>
      <c r="Y3" s="7"/>
      <c r="Z3" s="7"/>
      <c r="AA3" s="7"/>
      <c r="AB3" s="7"/>
      <c r="AC3" s="7"/>
      <c r="AD3" s="11"/>
      <c r="AE3" s="11"/>
      <c r="AF3" s="11"/>
      <c r="AG3" s="11"/>
      <c r="AH3" s="11"/>
      <c r="AI3" s="11"/>
      <c r="AJ3" s="11"/>
      <c r="AK3" s="11"/>
      <c r="AL3" s="11"/>
      <c r="AM3" s="11"/>
      <c r="AN3" s="11"/>
    </row>
    <row r="4" spans="1:40" ht="81" customHeight="1">
      <c r="A4" s="18">
        <v>1</v>
      </c>
      <c r="B4" s="19" t="s">
        <v>43</v>
      </c>
      <c r="C4" s="20" t="s">
        <v>44</v>
      </c>
      <c r="D4" s="21" t="s">
        <v>44</v>
      </c>
      <c r="E4" s="21" t="s">
        <v>44</v>
      </c>
      <c r="F4" s="18"/>
      <c r="G4" s="18"/>
      <c r="H4" s="18" t="s">
        <v>45</v>
      </c>
      <c r="I4" s="22" t="s">
        <v>46</v>
      </c>
      <c r="J4" s="18" t="s">
        <v>47</v>
      </c>
      <c r="K4" s="18" t="s">
        <v>48</v>
      </c>
      <c r="L4" s="18">
        <v>2016</v>
      </c>
      <c r="M4" s="22">
        <v>1433</v>
      </c>
      <c r="N4" s="23" t="s">
        <v>49</v>
      </c>
      <c r="O4" s="14">
        <v>134</v>
      </c>
      <c r="P4" s="24">
        <v>97</v>
      </c>
      <c r="Q4" s="14">
        <v>0</v>
      </c>
      <c r="R4" s="24">
        <v>22</v>
      </c>
      <c r="S4" s="25" t="s">
        <v>50</v>
      </c>
      <c r="T4" s="26" t="s">
        <v>51</v>
      </c>
      <c r="U4" s="23" t="s">
        <v>52</v>
      </c>
      <c r="V4" s="23" t="s">
        <v>53</v>
      </c>
      <c r="W4" s="23" t="s">
        <v>54</v>
      </c>
      <c r="X4" s="27" t="s">
        <v>55</v>
      </c>
      <c r="Y4" s="22">
        <v>230</v>
      </c>
      <c r="Z4" s="28">
        <v>0.3</v>
      </c>
      <c r="AA4" s="23"/>
      <c r="AB4" s="29">
        <v>43466</v>
      </c>
      <c r="AC4" s="22">
        <v>1</v>
      </c>
      <c r="AD4" s="30"/>
      <c r="AE4" s="30"/>
      <c r="AF4" s="30"/>
      <c r="AG4" s="30"/>
      <c r="AH4" s="30"/>
      <c r="AI4" s="30"/>
      <c r="AJ4" s="30"/>
      <c r="AK4" s="30"/>
      <c r="AL4" s="30"/>
      <c r="AM4" s="30"/>
      <c r="AN4" s="30"/>
    </row>
    <row r="5" spans="1:40" ht="32.25" customHeight="1">
      <c r="A5" s="31">
        <v>2</v>
      </c>
      <c r="B5" s="32" t="s">
        <v>56</v>
      </c>
      <c r="C5" s="33"/>
      <c r="D5" s="34" t="s">
        <v>44</v>
      </c>
      <c r="E5" s="35"/>
      <c r="F5" s="34" t="s">
        <v>44</v>
      </c>
      <c r="G5" s="35"/>
      <c r="H5" s="35" t="s">
        <v>57</v>
      </c>
      <c r="I5" s="22" t="s">
        <v>46</v>
      </c>
      <c r="J5" s="35" t="s">
        <v>47</v>
      </c>
      <c r="K5" s="35" t="s">
        <v>58</v>
      </c>
      <c r="L5" s="36">
        <v>2016</v>
      </c>
      <c r="M5" s="22">
        <v>1433</v>
      </c>
      <c r="N5" s="22" t="s">
        <v>59</v>
      </c>
      <c r="O5" s="37">
        <v>17</v>
      </c>
      <c r="P5" s="38">
        <v>10</v>
      </c>
      <c r="Q5" s="39">
        <v>0</v>
      </c>
      <c r="R5" s="38">
        <v>8</v>
      </c>
      <c r="S5" s="25" t="s">
        <v>50</v>
      </c>
      <c r="T5" s="26" t="s">
        <v>60</v>
      </c>
      <c r="U5" s="23" t="s">
        <v>61</v>
      </c>
      <c r="V5" s="23" t="s">
        <v>53</v>
      </c>
      <c r="W5" s="23" t="s">
        <v>62</v>
      </c>
      <c r="X5" s="27" t="s">
        <v>55</v>
      </c>
      <c r="Y5" s="22">
        <v>12</v>
      </c>
      <c r="Z5" s="28">
        <v>0.3</v>
      </c>
      <c r="AA5" s="22"/>
      <c r="AB5" s="29">
        <v>43466</v>
      </c>
      <c r="AC5" s="22">
        <v>1</v>
      </c>
    </row>
    <row r="6" spans="1:40" ht="32.25" customHeight="1">
      <c r="A6" s="31">
        <v>3</v>
      </c>
      <c r="B6" s="32" t="s">
        <v>63</v>
      </c>
      <c r="C6" s="33"/>
      <c r="D6" s="34" t="s">
        <v>44</v>
      </c>
      <c r="E6" s="35"/>
      <c r="F6" s="34" t="s">
        <v>44</v>
      </c>
      <c r="G6" s="35"/>
      <c r="H6" s="35" t="s">
        <v>64</v>
      </c>
      <c r="I6" s="22" t="s">
        <v>46</v>
      </c>
      <c r="J6" s="35" t="s">
        <v>47</v>
      </c>
      <c r="K6" s="35" t="s">
        <v>65</v>
      </c>
      <c r="L6" s="36">
        <v>2016</v>
      </c>
      <c r="M6" s="22">
        <v>1433</v>
      </c>
      <c r="N6" s="22" t="s">
        <v>59</v>
      </c>
      <c r="O6" s="37">
        <v>8</v>
      </c>
      <c r="P6" s="38">
        <v>8</v>
      </c>
      <c r="Q6" s="39">
        <v>0</v>
      </c>
      <c r="R6" s="38">
        <v>0</v>
      </c>
      <c r="S6" s="25" t="s">
        <v>50</v>
      </c>
      <c r="T6" s="26" t="s">
        <v>66</v>
      </c>
      <c r="U6" s="23" t="s">
        <v>67</v>
      </c>
      <c r="V6" s="23" t="s">
        <v>53</v>
      </c>
      <c r="W6" s="23" t="s">
        <v>62</v>
      </c>
      <c r="X6" s="27" t="s">
        <v>55</v>
      </c>
      <c r="Y6" s="22">
        <v>10</v>
      </c>
      <c r="Z6" s="28">
        <v>0.3</v>
      </c>
      <c r="AA6" s="22"/>
      <c r="AB6" s="29">
        <v>43466</v>
      </c>
      <c r="AC6" s="22">
        <v>2</v>
      </c>
    </row>
    <row r="7" spans="1:40" ht="70">
      <c r="A7" s="31">
        <v>4</v>
      </c>
      <c r="B7" s="32" t="s">
        <v>68</v>
      </c>
      <c r="C7" s="33"/>
      <c r="D7" s="35"/>
      <c r="E7" s="34" t="s">
        <v>44</v>
      </c>
      <c r="F7" s="35"/>
      <c r="G7" s="35"/>
      <c r="H7" s="35" t="s">
        <v>69</v>
      </c>
      <c r="I7" s="22" t="s">
        <v>46</v>
      </c>
      <c r="J7" s="35" t="s">
        <v>47</v>
      </c>
      <c r="K7" s="35" t="s">
        <v>70</v>
      </c>
      <c r="L7" s="36">
        <v>2016</v>
      </c>
      <c r="M7" s="22">
        <v>1433</v>
      </c>
      <c r="N7" s="23" t="s">
        <v>49</v>
      </c>
      <c r="O7" s="37">
        <v>33</v>
      </c>
      <c r="P7" s="38">
        <v>29</v>
      </c>
      <c r="Q7" s="39">
        <v>0</v>
      </c>
      <c r="R7" s="38">
        <v>3</v>
      </c>
      <c r="S7" s="25" t="s">
        <v>50</v>
      </c>
      <c r="T7" s="26" t="s">
        <v>71</v>
      </c>
      <c r="U7" s="23" t="s">
        <v>72</v>
      </c>
      <c r="V7" s="23" t="s">
        <v>53</v>
      </c>
      <c r="W7" s="23" t="s">
        <v>54</v>
      </c>
      <c r="X7" s="27" t="s">
        <v>55</v>
      </c>
      <c r="Y7" s="22">
        <v>15</v>
      </c>
      <c r="Z7" s="28">
        <v>0.3</v>
      </c>
      <c r="AA7" s="22"/>
      <c r="AB7" s="29">
        <v>43466</v>
      </c>
      <c r="AC7" s="22">
        <v>2</v>
      </c>
    </row>
    <row r="8" spans="1:40" ht="70">
      <c r="A8" s="18">
        <v>5</v>
      </c>
      <c r="B8" s="32" t="s">
        <v>73</v>
      </c>
      <c r="C8" s="40" t="s">
        <v>44</v>
      </c>
      <c r="D8" s="34" t="s">
        <v>44</v>
      </c>
      <c r="E8" s="35"/>
      <c r="F8" s="35"/>
      <c r="G8" s="35"/>
      <c r="H8" s="35" t="s">
        <v>74</v>
      </c>
      <c r="I8" s="22" t="s">
        <v>46</v>
      </c>
      <c r="J8" s="35" t="s">
        <v>47</v>
      </c>
      <c r="K8" s="35" t="s">
        <v>75</v>
      </c>
      <c r="L8" s="36">
        <v>2016</v>
      </c>
      <c r="M8" s="22">
        <v>1433</v>
      </c>
      <c r="N8" s="23" t="s">
        <v>49</v>
      </c>
      <c r="O8" s="37">
        <v>48</v>
      </c>
      <c r="P8" s="38">
        <v>32</v>
      </c>
      <c r="Q8" s="39">
        <v>0</v>
      </c>
      <c r="R8" s="38">
        <v>12</v>
      </c>
      <c r="S8" s="25" t="s">
        <v>50</v>
      </c>
      <c r="T8" s="26" t="s">
        <v>76</v>
      </c>
      <c r="U8" s="23" t="s">
        <v>77</v>
      </c>
      <c r="V8" s="23" t="s">
        <v>53</v>
      </c>
      <c r="W8" s="23" t="s">
        <v>62</v>
      </c>
      <c r="X8" s="27" t="s">
        <v>55</v>
      </c>
      <c r="Y8" s="22">
        <v>15</v>
      </c>
      <c r="Z8" s="28">
        <v>0.3</v>
      </c>
      <c r="AA8" s="23"/>
      <c r="AB8" s="29">
        <v>43466</v>
      </c>
      <c r="AC8" s="22">
        <v>3</v>
      </c>
    </row>
    <row r="9" spans="1:40" ht="32.25" customHeight="1">
      <c r="A9" s="31">
        <v>6</v>
      </c>
      <c r="B9" s="41" t="s">
        <v>78</v>
      </c>
      <c r="C9" s="40" t="s">
        <v>44</v>
      </c>
      <c r="D9" s="34" t="s">
        <v>44</v>
      </c>
      <c r="E9" s="35"/>
      <c r="F9" s="35"/>
      <c r="G9" s="35"/>
      <c r="H9" s="35" t="s">
        <v>79</v>
      </c>
      <c r="I9" s="22" t="s">
        <v>46</v>
      </c>
      <c r="J9" s="35" t="s">
        <v>47</v>
      </c>
      <c r="K9" s="35" t="s">
        <v>80</v>
      </c>
      <c r="L9" s="36">
        <v>2016</v>
      </c>
      <c r="M9" s="22">
        <v>1433</v>
      </c>
      <c r="N9" s="22" t="s">
        <v>59</v>
      </c>
      <c r="O9" s="37">
        <v>21</v>
      </c>
      <c r="P9" s="38">
        <v>21</v>
      </c>
      <c r="Q9" s="39">
        <v>0</v>
      </c>
      <c r="R9" s="38">
        <v>0</v>
      </c>
      <c r="S9" s="25" t="s">
        <v>50</v>
      </c>
      <c r="T9" s="26" t="s">
        <v>81</v>
      </c>
      <c r="U9" s="23" t="s">
        <v>82</v>
      </c>
      <c r="V9" s="23" t="s">
        <v>53</v>
      </c>
      <c r="W9" s="23" t="s">
        <v>62</v>
      </c>
      <c r="X9" s="27" t="s">
        <v>55</v>
      </c>
      <c r="Y9" s="22">
        <v>10</v>
      </c>
      <c r="Z9" s="28">
        <v>0.3</v>
      </c>
      <c r="AA9" s="22"/>
      <c r="AB9" s="29">
        <v>43466</v>
      </c>
      <c r="AC9" s="22">
        <v>3</v>
      </c>
    </row>
    <row r="10" spans="1:40" ht="70">
      <c r="A10" s="31">
        <v>7</v>
      </c>
      <c r="B10" s="32" t="s">
        <v>83</v>
      </c>
      <c r="C10" s="40" t="s">
        <v>44</v>
      </c>
      <c r="D10" s="34" t="s">
        <v>44</v>
      </c>
      <c r="E10" s="34" t="s">
        <v>44</v>
      </c>
      <c r="F10" s="34" t="s">
        <v>44</v>
      </c>
      <c r="G10" s="35"/>
      <c r="H10" s="35" t="s">
        <v>84</v>
      </c>
      <c r="I10" s="22" t="s">
        <v>46</v>
      </c>
      <c r="J10" s="35" t="s">
        <v>47</v>
      </c>
      <c r="K10" s="35" t="s">
        <v>85</v>
      </c>
      <c r="L10" s="36">
        <v>2016</v>
      </c>
      <c r="M10" s="22">
        <v>1433</v>
      </c>
      <c r="N10" s="23" t="s">
        <v>86</v>
      </c>
      <c r="O10" s="37">
        <v>47</v>
      </c>
      <c r="P10" s="42">
        <v>59</v>
      </c>
      <c r="Q10" s="39">
        <v>0</v>
      </c>
      <c r="R10" s="38">
        <v>0</v>
      </c>
      <c r="S10" s="25" t="s">
        <v>50</v>
      </c>
      <c r="T10" s="26" t="s">
        <v>87</v>
      </c>
      <c r="U10" s="23" t="s">
        <v>88</v>
      </c>
      <c r="V10" s="23" t="s">
        <v>53</v>
      </c>
      <c r="W10" s="43" t="s">
        <v>89</v>
      </c>
      <c r="X10" s="27" t="s">
        <v>55</v>
      </c>
      <c r="Y10" s="22">
        <v>10</v>
      </c>
      <c r="Z10" s="28">
        <v>0.3</v>
      </c>
      <c r="AA10" s="22"/>
      <c r="AB10" s="23" t="s">
        <v>90</v>
      </c>
      <c r="AC10" s="22">
        <v>3</v>
      </c>
    </row>
    <row r="11" spans="1:40" ht="70">
      <c r="A11" s="31">
        <v>8</v>
      </c>
      <c r="B11" s="32" t="s">
        <v>91</v>
      </c>
      <c r="C11" s="33"/>
      <c r="D11" s="35"/>
      <c r="E11" s="35"/>
      <c r="F11" s="35"/>
      <c r="G11" s="35"/>
      <c r="H11" s="35" t="s">
        <v>92</v>
      </c>
      <c r="I11" s="22" t="s">
        <v>46</v>
      </c>
      <c r="J11" s="35" t="s">
        <v>47</v>
      </c>
      <c r="K11" s="35" t="s">
        <v>93</v>
      </c>
      <c r="L11" s="36">
        <v>10.4</v>
      </c>
      <c r="M11" s="22">
        <v>5432</v>
      </c>
      <c r="N11" s="23" t="s">
        <v>86</v>
      </c>
      <c r="O11" s="37">
        <v>2</v>
      </c>
      <c r="P11" s="38">
        <v>2</v>
      </c>
      <c r="Q11" s="39">
        <v>0</v>
      </c>
      <c r="R11" s="38">
        <v>0</v>
      </c>
      <c r="S11" s="25" t="s">
        <v>50</v>
      </c>
      <c r="T11" s="26" t="s">
        <v>94</v>
      </c>
      <c r="U11" s="23" t="s">
        <v>95</v>
      </c>
      <c r="V11" s="23" t="s">
        <v>53</v>
      </c>
      <c r="W11" s="43" t="s">
        <v>89</v>
      </c>
      <c r="X11" s="27" t="s">
        <v>55</v>
      </c>
      <c r="Y11" s="22">
        <v>5</v>
      </c>
      <c r="Z11" s="28">
        <v>0.3</v>
      </c>
      <c r="AA11" s="22"/>
      <c r="AB11" s="23" t="s">
        <v>90</v>
      </c>
      <c r="AC11" s="22">
        <v>1</v>
      </c>
    </row>
    <row r="12" spans="1:40" ht="32.25" customHeight="1">
      <c r="A12" s="44">
        <v>9</v>
      </c>
      <c r="B12" s="41" t="s">
        <v>96</v>
      </c>
      <c r="C12" s="33"/>
      <c r="D12" s="34" t="s">
        <v>44</v>
      </c>
      <c r="E12" s="19"/>
      <c r="F12" s="19"/>
      <c r="G12" s="19"/>
      <c r="H12" s="19" t="s">
        <v>97</v>
      </c>
      <c r="I12" s="22" t="s">
        <v>98</v>
      </c>
      <c r="J12" s="35" t="s">
        <v>99</v>
      </c>
      <c r="K12" s="35" t="s">
        <v>100</v>
      </c>
      <c r="L12" s="36" t="s">
        <v>101</v>
      </c>
      <c r="M12" s="22"/>
      <c r="N12" s="22" t="s">
        <v>59</v>
      </c>
      <c r="O12" s="37">
        <v>5</v>
      </c>
      <c r="P12" s="38">
        <v>5</v>
      </c>
      <c r="Q12" s="39">
        <v>0</v>
      </c>
      <c r="R12" s="38">
        <v>0</v>
      </c>
      <c r="S12" s="25" t="s">
        <v>50</v>
      </c>
      <c r="T12" s="26" t="s">
        <v>102</v>
      </c>
      <c r="U12" s="23" t="s">
        <v>103</v>
      </c>
      <c r="V12" s="23" t="s">
        <v>53</v>
      </c>
      <c r="W12" s="23" t="s">
        <v>62</v>
      </c>
      <c r="X12" s="27" t="s">
        <v>55</v>
      </c>
      <c r="Y12" s="22">
        <v>5</v>
      </c>
      <c r="Z12" s="28">
        <v>0.3</v>
      </c>
      <c r="AA12" s="22"/>
      <c r="AB12" s="23" t="s">
        <v>90</v>
      </c>
      <c r="AC12" s="22">
        <v>2</v>
      </c>
    </row>
    <row r="13" spans="1:40" ht="32.25" customHeight="1">
      <c r="A13" s="44">
        <v>10</v>
      </c>
      <c r="B13" s="41" t="s">
        <v>104</v>
      </c>
      <c r="C13" s="33"/>
      <c r="D13" s="34" t="s">
        <v>44</v>
      </c>
      <c r="E13" s="35"/>
      <c r="F13" s="35"/>
      <c r="G13" s="35"/>
      <c r="H13" s="35" t="s">
        <v>105</v>
      </c>
      <c r="I13" s="45" t="s">
        <v>98</v>
      </c>
      <c r="J13" s="35" t="s">
        <v>106</v>
      </c>
      <c r="K13" s="35"/>
      <c r="L13" s="36"/>
      <c r="M13" s="22"/>
      <c r="N13" s="22" t="s">
        <v>59</v>
      </c>
      <c r="O13" s="37">
        <v>24</v>
      </c>
      <c r="P13" s="38">
        <v>24</v>
      </c>
      <c r="Q13" s="39">
        <v>0</v>
      </c>
      <c r="R13" s="38">
        <v>0</v>
      </c>
      <c r="S13" s="25" t="s">
        <v>50</v>
      </c>
      <c r="T13" s="26" t="s">
        <v>107</v>
      </c>
      <c r="U13" s="23" t="s">
        <v>108</v>
      </c>
      <c r="V13" s="23" t="s">
        <v>53</v>
      </c>
      <c r="W13" s="23" t="s">
        <v>62</v>
      </c>
      <c r="X13" s="27" t="s">
        <v>55</v>
      </c>
      <c r="Y13" s="22">
        <v>30</v>
      </c>
      <c r="Z13" s="28">
        <v>0.3</v>
      </c>
      <c r="AA13" s="22"/>
      <c r="AB13" s="23" t="s">
        <v>90</v>
      </c>
      <c r="AC13" s="22">
        <v>3</v>
      </c>
    </row>
    <row r="14" spans="1:40" ht="28">
      <c r="A14" s="21">
        <v>11</v>
      </c>
      <c r="B14" s="46" t="s">
        <v>109</v>
      </c>
      <c r="C14" s="47" t="s">
        <v>44</v>
      </c>
      <c r="D14" s="34" t="s">
        <v>44</v>
      </c>
      <c r="E14" s="48"/>
      <c r="F14" s="48"/>
      <c r="G14" s="48"/>
      <c r="H14" s="48" t="s">
        <v>110</v>
      </c>
      <c r="I14" s="45" t="s">
        <v>98</v>
      </c>
      <c r="J14" s="48"/>
      <c r="K14" s="48" t="s">
        <v>111</v>
      </c>
      <c r="L14" s="49"/>
      <c r="M14" s="22"/>
      <c r="N14" s="23" t="s">
        <v>49</v>
      </c>
      <c r="O14" s="50">
        <v>34</v>
      </c>
      <c r="P14" s="51">
        <v>7</v>
      </c>
      <c r="Q14" s="52">
        <v>0</v>
      </c>
      <c r="R14" s="53">
        <v>0</v>
      </c>
      <c r="S14" s="25" t="s">
        <v>112</v>
      </c>
      <c r="T14" s="25" t="s">
        <v>112</v>
      </c>
      <c r="U14" s="23" t="s">
        <v>113</v>
      </c>
      <c r="V14" s="23" t="s">
        <v>53</v>
      </c>
      <c r="W14" s="23" t="s">
        <v>114</v>
      </c>
      <c r="X14" s="27" t="s">
        <v>55</v>
      </c>
      <c r="Y14" s="22">
        <v>15</v>
      </c>
      <c r="Z14" s="28">
        <v>0.3</v>
      </c>
      <c r="AA14" s="22"/>
      <c r="AB14" s="23" t="s">
        <v>90</v>
      </c>
      <c r="AC14" s="22">
        <v>1</v>
      </c>
    </row>
    <row r="15" spans="1:40" ht="14">
      <c r="A15" s="54"/>
      <c r="B15" s="55"/>
      <c r="C15" s="55"/>
      <c r="D15" s="55"/>
      <c r="E15" s="55"/>
      <c r="F15" s="55"/>
      <c r="G15" s="55"/>
      <c r="H15" s="55"/>
      <c r="I15" s="55"/>
      <c r="J15" s="55"/>
      <c r="K15" s="55"/>
      <c r="L15" s="56"/>
      <c r="M15" s="55"/>
      <c r="N15" s="57" t="s">
        <v>115</v>
      </c>
      <c r="O15" s="58">
        <f>SUM(O4:O14)</f>
        <v>373</v>
      </c>
      <c r="P15" s="58">
        <f t="shared" ref="P15:R15" si="0">SUM(P3:P14)</f>
        <v>294</v>
      </c>
      <c r="Q15" s="58">
        <f t="shared" si="0"/>
        <v>0</v>
      </c>
      <c r="R15" s="58">
        <f t="shared" si="0"/>
        <v>45</v>
      </c>
      <c r="S15" s="59"/>
      <c r="T15" s="59"/>
      <c r="U15" s="59"/>
      <c r="V15" s="59"/>
      <c r="W15" s="59"/>
      <c r="X15" s="59"/>
      <c r="Y15" s="59"/>
      <c r="Z15" s="55"/>
      <c r="AA15" s="55"/>
      <c r="AB15" s="55"/>
      <c r="AC15" s="55"/>
    </row>
    <row r="16" spans="1:40">
      <c r="A16" s="297" t="s">
        <v>116</v>
      </c>
      <c r="B16" s="292"/>
      <c r="C16" s="60"/>
      <c r="P16" s="5"/>
      <c r="Q16" s="5"/>
      <c r="R16" s="5"/>
      <c r="S16" s="5"/>
      <c r="T16" s="5"/>
      <c r="U16" s="5"/>
      <c r="V16" s="5"/>
      <c r="W16" s="5"/>
      <c r="X16" s="5"/>
      <c r="Y16" s="5"/>
    </row>
    <row r="17" spans="1:40" ht="77.25" customHeight="1">
      <c r="A17" s="61">
        <v>15</v>
      </c>
      <c r="B17" s="62" t="s">
        <v>117</v>
      </c>
      <c r="C17" s="63" t="s">
        <v>44</v>
      </c>
      <c r="D17" s="64" t="s">
        <v>44</v>
      </c>
      <c r="E17" s="65"/>
      <c r="F17" s="65"/>
      <c r="G17" s="65"/>
      <c r="H17" s="66" t="s">
        <v>118</v>
      </c>
      <c r="I17" s="67" t="s">
        <v>46</v>
      </c>
      <c r="J17" s="66" t="s">
        <v>47</v>
      </c>
      <c r="K17" s="66" t="s">
        <v>119</v>
      </c>
      <c r="L17" s="68">
        <v>2017</v>
      </c>
      <c r="M17" s="69" t="s">
        <v>120</v>
      </c>
      <c r="N17" s="70" t="s">
        <v>121</v>
      </c>
      <c r="O17" s="71">
        <v>173</v>
      </c>
      <c r="P17" s="69"/>
      <c r="Q17" s="69"/>
      <c r="R17" s="69"/>
      <c r="S17" s="72" t="s">
        <v>122</v>
      </c>
      <c r="T17" s="69"/>
      <c r="U17" s="73" t="s">
        <v>123</v>
      </c>
      <c r="V17" s="69"/>
      <c r="W17" s="69"/>
      <c r="X17" s="69"/>
      <c r="Y17" s="69"/>
      <c r="Z17" s="69"/>
      <c r="AA17" s="69"/>
      <c r="AB17" s="69"/>
      <c r="AC17" s="69"/>
    </row>
    <row r="18" spans="1:40" ht="54" customHeight="1">
      <c r="A18" s="61">
        <v>16</v>
      </c>
      <c r="B18" s="74" t="s">
        <v>124</v>
      </c>
      <c r="C18" s="75"/>
      <c r="D18" s="65"/>
      <c r="E18" s="65"/>
      <c r="F18" s="64" t="s">
        <v>44</v>
      </c>
      <c r="G18" s="65"/>
      <c r="H18" s="66" t="s">
        <v>125</v>
      </c>
      <c r="I18" s="70" t="s">
        <v>98</v>
      </c>
      <c r="J18" s="66" t="s">
        <v>126</v>
      </c>
      <c r="K18" s="66"/>
      <c r="L18" s="68"/>
      <c r="M18" s="69" t="s">
        <v>127</v>
      </c>
      <c r="N18" s="70" t="s">
        <v>121</v>
      </c>
      <c r="O18" s="71">
        <v>4</v>
      </c>
      <c r="P18" s="69"/>
      <c r="Q18" s="69"/>
      <c r="R18" s="69"/>
      <c r="S18" s="72" t="s">
        <v>128</v>
      </c>
      <c r="T18" s="69"/>
      <c r="U18" s="73"/>
      <c r="V18" s="69"/>
      <c r="W18" s="69"/>
      <c r="X18" s="69"/>
      <c r="Y18" s="69"/>
      <c r="Z18" s="69"/>
      <c r="AA18" s="69"/>
      <c r="AB18" s="69"/>
      <c r="AC18" s="69"/>
    </row>
    <row r="19" spans="1:40" ht="15.75" customHeight="1">
      <c r="A19" s="61">
        <v>17</v>
      </c>
      <c r="B19" s="74" t="s">
        <v>129</v>
      </c>
      <c r="C19" s="75"/>
      <c r="D19" s="64" t="s">
        <v>44</v>
      </c>
      <c r="E19" s="64"/>
      <c r="F19" s="64" t="s">
        <v>44</v>
      </c>
      <c r="G19" s="64"/>
      <c r="H19" s="76" t="s">
        <v>130</v>
      </c>
      <c r="I19" s="70" t="s">
        <v>98</v>
      </c>
      <c r="J19" s="66" t="s">
        <v>126</v>
      </c>
      <c r="K19" s="66"/>
      <c r="L19" s="68"/>
      <c r="M19" s="69" t="s">
        <v>127</v>
      </c>
      <c r="N19" s="69" t="s">
        <v>131</v>
      </c>
      <c r="O19" s="77">
        <v>498</v>
      </c>
      <c r="P19" s="72"/>
      <c r="Q19" s="72">
        <v>18</v>
      </c>
      <c r="R19" s="72"/>
      <c r="S19" s="69"/>
      <c r="T19" s="69"/>
      <c r="U19" s="73"/>
      <c r="V19" s="69"/>
      <c r="W19" s="69"/>
      <c r="X19" s="69"/>
      <c r="Y19" s="69"/>
      <c r="Z19" s="69"/>
      <c r="AA19" s="69"/>
      <c r="AB19" s="69"/>
      <c r="AC19" s="69"/>
    </row>
    <row r="20" spans="1:40" ht="15.75" customHeight="1">
      <c r="A20" s="78">
        <v>18</v>
      </c>
      <c r="B20" s="74" t="s">
        <v>132</v>
      </c>
      <c r="C20" s="75"/>
      <c r="D20" s="64" t="s">
        <v>44</v>
      </c>
      <c r="E20" s="64"/>
      <c r="F20" s="64" t="s">
        <v>44</v>
      </c>
      <c r="G20" s="64"/>
      <c r="H20" s="76" t="s">
        <v>130</v>
      </c>
      <c r="I20" s="70" t="s">
        <v>98</v>
      </c>
      <c r="J20" s="66" t="s">
        <v>126</v>
      </c>
      <c r="K20" s="66"/>
      <c r="L20" s="68"/>
      <c r="M20" s="69" t="s">
        <v>127</v>
      </c>
      <c r="N20" s="69" t="s">
        <v>131</v>
      </c>
      <c r="O20" s="77">
        <v>498</v>
      </c>
      <c r="P20" s="72"/>
      <c r="Q20" s="72">
        <v>18</v>
      </c>
      <c r="R20" s="72"/>
      <c r="S20" s="69"/>
      <c r="T20" s="69"/>
      <c r="U20" s="73"/>
      <c r="V20" s="69"/>
      <c r="W20" s="69"/>
      <c r="X20" s="69"/>
      <c r="Y20" s="69"/>
      <c r="Z20" s="69"/>
      <c r="AA20" s="69"/>
      <c r="AB20" s="69"/>
      <c r="AC20" s="69"/>
    </row>
    <row r="21" spans="1:40" ht="13.5" customHeight="1">
      <c r="A21" s="78">
        <v>19</v>
      </c>
      <c r="B21" s="62" t="s">
        <v>133</v>
      </c>
      <c r="C21" s="79" t="s">
        <v>134</v>
      </c>
      <c r="D21" s="64" t="s">
        <v>44</v>
      </c>
      <c r="E21" s="65"/>
      <c r="F21" s="65"/>
      <c r="G21" s="65"/>
      <c r="H21" s="66"/>
      <c r="I21" s="70" t="s">
        <v>98</v>
      </c>
      <c r="J21" s="66"/>
      <c r="K21" s="66"/>
      <c r="L21" s="68"/>
      <c r="M21" s="69" t="s">
        <v>127</v>
      </c>
      <c r="N21" s="70" t="s">
        <v>121</v>
      </c>
      <c r="O21" s="77">
        <v>8</v>
      </c>
      <c r="P21" s="69"/>
      <c r="Q21" s="69"/>
      <c r="R21" s="69"/>
      <c r="S21" s="69"/>
      <c r="T21" s="69"/>
      <c r="U21" s="69"/>
      <c r="V21" s="69"/>
      <c r="W21" s="69"/>
      <c r="X21" s="69"/>
      <c r="Y21" s="69"/>
      <c r="Z21" s="69"/>
      <c r="AA21" s="69"/>
      <c r="AB21" s="69"/>
      <c r="AC21" s="69"/>
    </row>
    <row r="22" spans="1:40" ht="13.5" customHeight="1">
      <c r="A22" s="80">
        <v>20</v>
      </c>
      <c r="B22" s="81" t="s">
        <v>37</v>
      </c>
      <c r="C22" s="82"/>
      <c r="D22" s="83"/>
      <c r="E22" s="83"/>
      <c r="F22" s="83"/>
      <c r="G22" s="84" t="s">
        <v>44</v>
      </c>
      <c r="H22" s="85"/>
      <c r="I22" s="86" t="s">
        <v>46</v>
      </c>
      <c r="J22" s="85"/>
      <c r="K22" s="85"/>
      <c r="L22" s="87"/>
      <c r="M22" s="88" t="s">
        <v>120</v>
      </c>
      <c r="N22" s="86" t="s">
        <v>121</v>
      </c>
      <c r="O22" s="89">
        <v>15</v>
      </c>
      <c r="P22" s="90"/>
      <c r="Q22" s="90"/>
      <c r="R22" s="90"/>
      <c r="S22" s="90"/>
      <c r="T22" s="90"/>
      <c r="U22" s="90"/>
      <c r="V22" s="90"/>
      <c r="W22" s="90"/>
      <c r="X22" s="90"/>
      <c r="Y22" s="90"/>
      <c r="Z22" s="90"/>
      <c r="AA22" s="90"/>
      <c r="AB22" s="88"/>
      <c r="AC22" s="88" t="s">
        <v>135</v>
      </c>
      <c r="AD22" s="91"/>
      <c r="AE22" s="91"/>
      <c r="AF22" s="91"/>
      <c r="AG22" s="91"/>
      <c r="AH22" s="91"/>
      <c r="AI22" s="91"/>
      <c r="AJ22" s="91"/>
      <c r="AK22" s="91"/>
      <c r="AL22" s="91"/>
      <c r="AM22" s="91"/>
      <c r="AN22" s="91"/>
    </row>
    <row r="23" spans="1:40" ht="15.75" customHeight="1">
      <c r="A23" s="78">
        <v>21</v>
      </c>
      <c r="B23" s="62" t="s">
        <v>136</v>
      </c>
      <c r="C23" s="63" t="s">
        <v>44</v>
      </c>
      <c r="D23" s="64" t="s">
        <v>44</v>
      </c>
      <c r="E23" s="65"/>
      <c r="F23" s="65"/>
      <c r="G23" s="65"/>
      <c r="H23" s="66" t="s">
        <v>137</v>
      </c>
      <c r="I23" s="70" t="s">
        <v>46</v>
      </c>
      <c r="J23" s="66"/>
      <c r="K23" s="66"/>
      <c r="L23" s="68"/>
      <c r="M23" s="69" t="s">
        <v>120</v>
      </c>
      <c r="N23" s="69" t="s">
        <v>138</v>
      </c>
      <c r="O23" s="92"/>
      <c r="P23" s="72"/>
      <c r="Q23" s="72">
        <v>4</v>
      </c>
      <c r="R23" s="72"/>
      <c r="S23" s="69"/>
      <c r="T23" s="69"/>
      <c r="U23" s="69"/>
      <c r="V23" s="69"/>
      <c r="W23" s="69"/>
      <c r="X23" s="69"/>
      <c r="Y23" s="69"/>
      <c r="Z23" s="69"/>
      <c r="AA23" s="69"/>
      <c r="AB23" s="69"/>
      <c r="AC23" s="69"/>
    </row>
    <row r="24" spans="1:40" ht="25.5" customHeight="1">
      <c r="A24" s="78">
        <v>22</v>
      </c>
      <c r="B24" s="62" t="s">
        <v>139</v>
      </c>
      <c r="C24" s="63" t="s">
        <v>44</v>
      </c>
      <c r="D24" s="64"/>
      <c r="E24" s="64"/>
      <c r="F24" s="64"/>
      <c r="G24" s="64"/>
      <c r="H24" s="76" t="s">
        <v>140</v>
      </c>
      <c r="I24" s="70" t="s">
        <v>46</v>
      </c>
      <c r="J24" s="66"/>
      <c r="K24" s="66"/>
      <c r="L24" s="68"/>
      <c r="M24" s="69" t="s">
        <v>127</v>
      </c>
      <c r="N24" s="70" t="s">
        <v>121</v>
      </c>
      <c r="O24" s="77">
        <v>5</v>
      </c>
      <c r="P24" s="69"/>
      <c r="Q24" s="69"/>
      <c r="R24" s="69"/>
      <c r="S24" s="72" t="s">
        <v>141</v>
      </c>
      <c r="T24" s="69"/>
      <c r="U24" s="72"/>
      <c r="V24" s="69"/>
      <c r="W24" s="69"/>
      <c r="X24" s="69"/>
      <c r="Y24" s="69"/>
      <c r="Z24" s="69"/>
      <c r="AA24" s="69"/>
      <c r="AB24" s="69"/>
      <c r="AC24" s="69"/>
    </row>
    <row r="25" spans="1:40" ht="25.5" customHeight="1">
      <c r="A25" s="78">
        <v>23</v>
      </c>
      <c r="B25" s="93" t="s">
        <v>142</v>
      </c>
      <c r="C25" s="63"/>
      <c r="D25" s="64" t="s">
        <v>44</v>
      </c>
      <c r="E25" s="64"/>
      <c r="F25" s="64"/>
      <c r="G25" s="64"/>
      <c r="H25" s="76"/>
      <c r="I25" s="94" t="s">
        <v>98</v>
      </c>
      <c r="J25" s="66"/>
      <c r="K25" s="66"/>
      <c r="L25" s="68"/>
      <c r="M25" s="69"/>
      <c r="N25" s="70" t="s">
        <v>121</v>
      </c>
      <c r="O25" s="77">
        <v>11</v>
      </c>
      <c r="P25" s="69"/>
      <c r="Q25" s="69"/>
      <c r="R25" s="69"/>
      <c r="S25" s="72"/>
      <c r="T25" s="69"/>
      <c r="U25" s="72"/>
      <c r="V25" s="69"/>
      <c r="W25" s="69"/>
      <c r="X25" s="69"/>
      <c r="Y25" s="69"/>
      <c r="Z25" s="69"/>
      <c r="AA25" s="69"/>
      <c r="AB25" s="69"/>
      <c r="AC25" s="69"/>
    </row>
    <row r="26" spans="1:40" ht="25.5" customHeight="1">
      <c r="A26" s="78">
        <v>24</v>
      </c>
      <c r="B26" s="93" t="s">
        <v>143</v>
      </c>
      <c r="C26" s="63"/>
      <c r="D26" s="64" t="s">
        <v>44</v>
      </c>
      <c r="E26" s="64"/>
      <c r="F26" s="64"/>
      <c r="G26" s="64"/>
      <c r="H26" s="76"/>
      <c r="I26" s="94" t="s">
        <v>98</v>
      </c>
      <c r="J26" s="66"/>
      <c r="K26" s="66"/>
      <c r="L26" s="68"/>
      <c r="M26" s="69"/>
      <c r="N26" s="70" t="s">
        <v>121</v>
      </c>
      <c r="O26" s="77">
        <v>11</v>
      </c>
      <c r="P26" s="69"/>
      <c r="Q26" s="69"/>
      <c r="R26" s="69"/>
      <c r="S26" s="72"/>
      <c r="T26" s="69"/>
      <c r="U26" s="72"/>
      <c r="V26" s="69"/>
      <c r="W26" s="69"/>
      <c r="X26" s="69"/>
      <c r="Y26" s="69"/>
      <c r="Z26" s="69"/>
      <c r="AA26" s="69"/>
      <c r="AB26" s="69"/>
      <c r="AC26" s="69"/>
    </row>
    <row r="27" spans="1:40" ht="15.75" customHeight="1">
      <c r="A27" s="3"/>
      <c r="N27" s="57" t="s">
        <v>115</v>
      </c>
      <c r="O27" s="58">
        <f>SUM(O17:O24)</f>
        <v>1201</v>
      </c>
      <c r="P27" s="58"/>
      <c r="Q27" s="58">
        <f>SUM(Q17:Q24)</f>
        <v>40</v>
      </c>
      <c r="R27" s="95"/>
      <c r="S27" s="5"/>
      <c r="T27" s="5"/>
      <c r="U27" s="5"/>
      <c r="V27" s="5"/>
      <c r="W27" s="5"/>
      <c r="X27" s="5"/>
      <c r="Y27" s="5"/>
    </row>
    <row r="28" spans="1:40" ht="15.75" customHeight="1">
      <c r="A28" s="3"/>
      <c r="P28" s="5"/>
      <c r="Q28" s="5"/>
      <c r="R28" s="5"/>
      <c r="S28" s="5"/>
      <c r="T28" s="5"/>
      <c r="U28" s="5"/>
      <c r="V28" s="5"/>
      <c r="W28" s="5"/>
      <c r="X28" s="5"/>
      <c r="Y28" s="5"/>
    </row>
    <row r="29" spans="1:40" ht="15.75" customHeight="1">
      <c r="A29" s="3"/>
      <c r="N29" s="57" t="s">
        <v>9</v>
      </c>
      <c r="O29" s="58">
        <f>O15+O27</f>
        <v>1574</v>
      </c>
      <c r="P29" s="58"/>
      <c r="Q29" s="58">
        <f>Q27+Q15</f>
        <v>40</v>
      </c>
      <c r="R29" s="95"/>
      <c r="S29" s="5"/>
      <c r="T29" s="5"/>
      <c r="U29" s="5"/>
      <c r="V29" s="5"/>
      <c r="W29" s="5"/>
      <c r="X29" s="5"/>
      <c r="Y29" s="5"/>
    </row>
    <row r="30" spans="1:40" ht="15.75" customHeight="1">
      <c r="A30" s="298" t="s">
        <v>144</v>
      </c>
      <c r="B30" s="292"/>
      <c r="N30" s="96" t="s">
        <v>145</v>
      </c>
      <c r="O30" s="58" t="e">
        <f>O29-O19-#REF!+15*2</f>
        <v>#REF!</v>
      </c>
      <c r="P30" s="58"/>
      <c r="Q30" s="58">
        <f>Q29</f>
        <v>40</v>
      </c>
      <c r="R30" s="95"/>
      <c r="S30" s="5"/>
      <c r="T30" s="5"/>
      <c r="U30" s="5"/>
      <c r="V30" s="5"/>
      <c r="W30" s="5"/>
      <c r="X30" s="5"/>
      <c r="Y30" s="5"/>
    </row>
    <row r="31" spans="1:40" ht="15.75" customHeight="1">
      <c r="A31" s="3"/>
      <c r="B31" s="97" t="s">
        <v>146</v>
      </c>
      <c r="P31" s="5"/>
      <c r="Q31" s="5"/>
      <c r="R31" s="5"/>
      <c r="S31" s="5"/>
      <c r="T31" s="5"/>
      <c r="U31" s="5"/>
      <c r="V31" s="5"/>
      <c r="W31" s="5"/>
      <c r="X31" s="5"/>
      <c r="Y31" s="5"/>
    </row>
    <row r="32" spans="1:40" ht="15.75" customHeight="1">
      <c r="A32" s="3"/>
      <c r="B32" s="97" t="s">
        <v>147</v>
      </c>
      <c r="P32" s="5"/>
      <c r="Q32" s="5"/>
      <c r="R32" s="5"/>
      <c r="S32" s="5"/>
      <c r="T32" s="5"/>
      <c r="U32" s="5"/>
      <c r="V32" s="5"/>
      <c r="W32" s="5"/>
      <c r="X32" s="5"/>
      <c r="Y32" s="5"/>
    </row>
    <row r="33" spans="1:25" ht="15.75" customHeight="1">
      <c r="A33" s="3"/>
      <c r="B33" s="97" t="s">
        <v>148</v>
      </c>
      <c r="P33" s="5"/>
      <c r="Q33" s="5"/>
      <c r="R33" s="5"/>
      <c r="S33" s="5"/>
      <c r="T33" s="5"/>
      <c r="U33" s="5"/>
      <c r="V33" s="5"/>
      <c r="W33" s="5"/>
      <c r="X33" s="5"/>
      <c r="Y33" s="5"/>
    </row>
    <row r="34" spans="1:25" ht="15.75" customHeight="1">
      <c r="A34" s="3"/>
      <c r="B34" s="97" t="s">
        <v>149</v>
      </c>
      <c r="P34" s="5"/>
      <c r="Q34" s="5"/>
      <c r="R34" s="5"/>
      <c r="S34" s="5"/>
      <c r="T34" s="5"/>
      <c r="U34" s="5"/>
      <c r="V34" s="5"/>
      <c r="W34" s="5"/>
      <c r="X34" s="5"/>
      <c r="Y34" s="5"/>
    </row>
    <row r="35" spans="1:25" ht="15.75" customHeight="1">
      <c r="A35" s="3"/>
      <c r="B35" s="98" t="s">
        <v>133</v>
      </c>
      <c r="P35" s="5"/>
      <c r="Q35" s="5"/>
      <c r="R35" s="5"/>
      <c r="S35" s="5"/>
      <c r="T35" s="5"/>
      <c r="U35" s="5"/>
      <c r="V35" s="5"/>
      <c r="W35" s="5"/>
      <c r="X35" s="5"/>
      <c r="Y35" s="5"/>
    </row>
    <row r="36" spans="1:25" ht="15.75" customHeight="1">
      <c r="A36" s="3"/>
      <c r="B36" s="98" t="s">
        <v>150</v>
      </c>
      <c r="P36" s="5"/>
      <c r="Q36" s="5"/>
      <c r="R36" s="5"/>
      <c r="S36" s="5"/>
      <c r="T36" s="5"/>
      <c r="U36" s="5"/>
      <c r="V36" s="5"/>
      <c r="W36" s="5"/>
      <c r="X36" s="5"/>
      <c r="Y36" s="5"/>
    </row>
    <row r="37" spans="1:25" ht="15.75" customHeight="1">
      <c r="A37" s="3"/>
      <c r="B37" s="98" t="s">
        <v>151</v>
      </c>
      <c r="P37" s="5"/>
      <c r="Q37" s="5"/>
      <c r="R37" s="5"/>
      <c r="S37" s="5"/>
      <c r="T37" s="5"/>
      <c r="U37" s="5"/>
      <c r="V37" s="5"/>
      <c r="W37" s="5"/>
      <c r="X37" s="5"/>
      <c r="Y37" s="5"/>
    </row>
    <row r="38" spans="1:25" ht="15.75" customHeight="1">
      <c r="A38" s="3"/>
      <c r="B38" s="98" t="s">
        <v>152</v>
      </c>
      <c r="P38" s="5"/>
      <c r="Q38" s="5"/>
      <c r="R38" s="5"/>
      <c r="S38" s="5"/>
      <c r="T38" s="5"/>
      <c r="U38" s="5"/>
      <c r="V38" s="5"/>
      <c r="W38" s="5"/>
      <c r="X38" s="5"/>
      <c r="Y38" s="5"/>
    </row>
    <row r="39" spans="1:25" ht="15.75" customHeight="1">
      <c r="A39" s="3"/>
      <c r="B39" s="98" t="s">
        <v>153</v>
      </c>
      <c r="P39" s="5"/>
      <c r="Q39" s="5"/>
      <c r="R39" s="5"/>
      <c r="S39" s="5"/>
      <c r="T39" s="5"/>
      <c r="U39" s="5"/>
      <c r="V39" s="5"/>
      <c r="W39" s="5"/>
      <c r="X39" s="5"/>
      <c r="Y39" s="5"/>
    </row>
    <row r="40" spans="1:25" ht="15.75" customHeight="1">
      <c r="A40" s="3"/>
      <c r="P40" s="5"/>
      <c r="Q40" s="5"/>
      <c r="R40" s="5"/>
      <c r="S40" s="5"/>
      <c r="T40" s="5"/>
      <c r="U40" s="5"/>
      <c r="V40" s="5"/>
      <c r="W40" s="5"/>
      <c r="X40" s="5"/>
      <c r="Y40" s="5"/>
    </row>
    <row r="41" spans="1:25" ht="15.75" customHeight="1">
      <c r="A41" s="3"/>
      <c r="P41" s="5"/>
      <c r="Q41" s="5"/>
      <c r="R41" s="5"/>
      <c r="S41" s="5"/>
      <c r="T41" s="5"/>
      <c r="U41" s="5"/>
      <c r="V41" s="5"/>
      <c r="W41" s="5"/>
      <c r="X41" s="5"/>
      <c r="Y41" s="5"/>
    </row>
    <row r="42" spans="1:25" ht="15.75" customHeight="1">
      <c r="A42" s="3"/>
      <c r="P42" s="5"/>
      <c r="Q42" s="5"/>
      <c r="R42" s="5"/>
      <c r="S42" s="5"/>
      <c r="T42" s="5"/>
      <c r="U42" s="5"/>
      <c r="V42" s="5"/>
      <c r="W42" s="5"/>
      <c r="X42" s="5"/>
      <c r="Y42" s="5"/>
    </row>
    <row r="43" spans="1:25" ht="15.75" customHeight="1">
      <c r="A43" s="3"/>
      <c r="P43" s="5"/>
      <c r="Q43" s="5"/>
      <c r="R43" s="5"/>
      <c r="S43" s="5"/>
      <c r="T43" s="5"/>
      <c r="U43" s="5"/>
      <c r="V43" s="5"/>
      <c r="W43" s="5"/>
      <c r="X43" s="5"/>
      <c r="Y43" s="5"/>
    </row>
    <row r="44" spans="1:25" ht="15.75" customHeight="1">
      <c r="A44" s="3"/>
      <c r="P44" s="5"/>
      <c r="Q44" s="5"/>
      <c r="R44" s="5"/>
      <c r="S44" s="5"/>
      <c r="T44" s="5"/>
      <c r="U44" s="5"/>
      <c r="V44" s="5"/>
      <c r="W44" s="5"/>
      <c r="X44" s="5"/>
      <c r="Y44" s="5"/>
    </row>
    <row r="45" spans="1:25" ht="15.75" customHeight="1">
      <c r="A45" s="3"/>
      <c r="P45" s="5"/>
      <c r="Q45" s="5"/>
      <c r="R45" s="5"/>
      <c r="S45" s="5"/>
      <c r="T45" s="5"/>
      <c r="U45" s="5"/>
      <c r="V45" s="5"/>
      <c r="W45" s="5"/>
      <c r="X45" s="5"/>
      <c r="Y45" s="5"/>
    </row>
    <row r="46" spans="1:25" ht="15.75" customHeight="1">
      <c r="A46" s="3"/>
      <c r="P46" s="5"/>
      <c r="Q46" s="5"/>
      <c r="R46" s="5"/>
      <c r="S46" s="5"/>
      <c r="T46" s="5"/>
      <c r="U46" s="5"/>
      <c r="V46" s="5"/>
      <c r="W46" s="5"/>
      <c r="X46" s="5"/>
      <c r="Y46" s="5"/>
    </row>
    <row r="47" spans="1:25" ht="15.75" customHeight="1">
      <c r="A47" s="3"/>
      <c r="P47" s="5"/>
      <c r="Q47" s="5"/>
      <c r="R47" s="5"/>
      <c r="S47" s="5"/>
      <c r="T47" s="5"/>
      <c r="U47" s="5"/>
      <c r="V47" s="5"/>
      <c r="W47" s="5"/>
      <c r="X47" s="5"/>
      <c r="Y47" s="5"/>
    </row>
    <row r="48" spans="1:25" ht="15.75" customHeight="1">
      <c r="A48" s="3"/>
      <c r="P48" s="5"/>
      <c r="Q48" s="5"/>
      <c r="R48" s="5"/>
      <c r="S48" s="5"/>
      <c r="T48" s="5"/>
      <c r="U48" s="5"/>
      <c r="V48" s="5"/>
      <c r="W48" s="5"/>
      <c r="X48" s="5"/>
      <c r="Y48" s="5"/>
    </row>
    <row r="49" spans="1:25" ht="15.75" customHeight="1">
      <c r="A49" s="3"/>
      <c r="P49" s="5"/>
      <c r="Q49" s="5"/>
      <c r="R49" s="5"/>
      <c r="S49" s="5"/>
      <c r="T49" s="5"/>
      <c r="U49" s="5"/>
      <c r="V49" s="5"/>
      <c r="W49" s="5"/>
      <c r="X49" s="5"/>
      <c r="Y49" s="5"/>
    </row>
    <row r="50" spans="1:25" ht="15.75" customHeight="1">
      <c r="A50" s="3"/>
      <c r="P50" s="5"/>
      <c r="Q50" s="5"/>
      <c r="R50" s="5"/>
      <c r="S50" s="5"/>
      <c r="T50" s="5"/>
      <c r="U50" s="5"/>
      <c r="V50" s="5"/>
      <c r="W50" s="5"/>
      <c r="X50" s="5"/>
      <c r="Y50" s="5"/>
    </row>
    <row r="51" spans="1:25" ht="15.75" customHeight="1">
      <c r="A51" s="3"/>
      <c r="P51" s="5"/>
      <c r="Q51" s="5"/>
      <c r="R51" s="5"/>
      <c r="S51" s="5"/>
      <c r="T51" s="5"/>
      <c r="U51" s="5"/>
      <c r="V51" s="5"/>
      <c r="W51" s="5"/>
      <c r="X51" s="5"/>
      <c r="Y51" s="5"/>
    </row>
    <row r="52" spans="1:25" ht="15.75" customHeight="1">
      <c r="A52" s="3"/>
      <c r="P52" s="5"/>
      <c r="Q52" s="5"/>
      <c r="R52" s="5"/>
      <c r="S52" s="5"/>
      <c r="T52" s="5"/>
      <c r="U52" s="5"/>
      <c r="V52" s="5"/>
      <c r="W52" s="5"/>
      <c r="X52" s="5"/>
      <c r="Y52" s="5"/>
    </row>
    <row r="53" spans="1:25" ht="15.75" customHeight="1">
      <c r="A53" s="3"/>
      <c r="P53" s="5"/>
      <c r="Q53" s="5"/>
      <c r="R53" s="5"/>
      <c r="S53" s="5"/>
      <c r="T53" s="5"/>
      <c r="U53" s="5"/>
      <c r="V53" s="5"/>
      <c r="W53" s="5"/>
      <c r="X53" s="5"/>
      <c r="Y53" s="5"/>
    </row>
    <row r="54" spans="1:25" ht="15.75" customHeight="1">
      <c r="A54" s="3"/>
      <c r="P54" s="5"/>
      <c r="Q54" s="5"/>
      <c r="R54" s="5"/>
      <c r="S54" s="5"/>
      <c r="T54" s="5"/>
      <c r="U54" s="5"/>
      <c r="V54" s="5"/>
      <c r="W54" s="5"/>
      <c r="X54" s="5"/>
      <c r="Y54" s="5"/>
    </row>
    <row r="55" spans="1:25" ht="15.75" customHeight="1">
      <c r="A55" s="3"/>
      <c r="P55" s="5"/>
      <c r="Q55" s="5"/>
      <c r="R55" s="5"/>
      <c r="S55" s="5"/>
      <c r="T55" s="5"/>
      <c r="U55" s="5"/>
      <c r="V55" s="5"/>
      <c r="W55" s="5"/>
      <c r="X55" s="5"/>
      <c r="Y55" s="5"/>
    </row>
    <row r="56" spans="1:25" ht="15.75" customHeight="1">
      <c r="A56" s="3"/>
      <c r="P56" s="5"/>
      <c r="Q56" s="5"/>
      <c r="R56" s="5"/>
      <c r="S56" s="5"/>
      <c r="T56" s="5"/>
      <c r="U56" s="5"/>
      <c r="V56" s="5"/>
      <c r="W56" s="5"/>
      <c r="X56" s="5"/>
      <c r="Y56" s="5"/>
    </row>
    <row r="57" spans="1:25" ht="15.75" customHeight="1">
      <c r="A57" s="3"/>
      <c r="P57" s="5"/>
      <c r="Q57" s="5"/>
      <c r="R57" s="5"/>
      <c r="S57" s="5"/>
      <c r="T57" s="5"/>
      <c r="U57" s="5"/>
      <c r="V57" s="5"/>
      <c r="W57" s="5"/>
      <c r="X57" s="5"/>
      <c r="Y57" s="5"/>
    </row>
    <row r="58" spans="1:25" ht="15.75" customHeight="1">
      <c r="A58" s="3"/>
      <c r="P58" s="5"/>
      <c r="Q58" s="5"/>
      <c r="R58" s="5"/>
      <c r="S58" s="5"/>
      <c r="T58" s="5"/>
      <c r="U58" s="5"/>
      <c r="V58" s="5"/>
      <c r="W58" s="5"/>
      <c r="X58" s="5"/>
      <c r="Y58" s="5"/>
    </row>
    <row r="59" spans="1:25" ht="15.75" customHeight="1">
      <c r="A59" s="3"/>
      <c r="P59" s="5"/>
      <c r="Q59" s="5"/>
      <c r="R59" s="5"/>
      <c r="S59" s="5"/>
      <c r="T59" s="5"/>
      <c r="U59" s="5"/>
      <c r="V59" s="5"/>
      <c r="W59" s="5"/>
      <c r="X59" s="5"/>
      <c r="Y59" s="5"/>
    </row>
    <row r="60" spans="1:25" ht="15.75" customHeight="1">
      <c r="A60" s="3"/>
      <c r="P60" s="5"/>
      <c r="Q60" s="5"/>
      <c r="R60" s="5"/>
      <c r="S60" s="5"/>
      <c r="T60" s="5"/>
      <c r="U60" s="5"/>
      <c r="V60" s="5"/>
      <c r="W60" s="5"/>
      <c r="X60" s="5"/>
      <c r="Y60" s="5"/>
    </row>
    <row r="61" spans="1:25" ht="15.75" customHeight="1">
      <c r="A61" s="3"/>
      <c r="P61" s="5"/>
      <c r="Q61" s="5"/>
      <c r="R61" s="5"/>
      <c r="S61" s="5"/>
      <c r="T61" s="5"/>
      <c r="U61" s="5"/>
      <c r="V61" s="5"/>
      <c r="W61" s="5"/>
      <c r="X61" s="5"/>
      <c r="Y61" s="5"/>
    </row>
    <row r="62" spans="1:25" ht="15.75" customHeight="1">
      <c r="A62" s="3"/>
      <c r="P62" s="5"/>
      <c r="Q62" s="5"/>
      <c r="R62" s="5"/>
      <c r="S62" s="5"/>
      <c r="T62" s="5"/>
      <c r="U62" s="5"/>
      <c r="V62" s="5"/>
      <c r="W62" s="5"/>
      <c r="X62" s="5"/>
      <c r="Y62" s="5"/>
    </row>
    <row r="63" spans="1:25" ht="15.75" customHeight="1">
      <c r="A63" s="3"/>
      <c r="P63" s="5"/>
      <c r="Q63" s="5"/>
      <c r="R63" s="5"/>
      <c r="S63" s="5"/>
      <c r="T63" s="5"/>
      <c r="U63" s="5"/>
      <c r="V63" s="5"/>
      <c r="W63" s="5"/>
      <c r="X63" s="5"/>
      <c r="Y63" s="5"/>
    </row>
    <row r="64" spans="1:25" ht="15.75" customHeight="1">
      <c r="A64" s="3"/>
      <c r="P64" s="5"/>
      <c r="Q64" s="5"/>
      <c r="R64" s="5"/>
      <c r="S64" s="5"/>
      <c r="T64" s="5"/>
      <c r="U64" s="5"/>
      <c r="V64" s="5"/>
      <c r="W64" s="5"/>
      <c r="X64" s="5"/>
      <c r="Y64" s="5"/>
    </row>
    <row r="65" spans="1:25" ht="15.75" customHeight="1">
      <c r="A65" s="3"/>
      <c r="P65" s="5"/>
      <c r="Q65" s="5"/>
      <c r="R65" s="5"/>
      <c r="S65" s="5"/>
      <c r="T65" s="5"/>
      <c r="U65" s="5"/>
      <c r="V65" s="5"/>
      <c r="W65" s="5"/>
      <c r="X65" s="5"/>
      <c r="Y65" s="5"/>
    </row>
    <row r="66" spans="1:25" ht="15.75" customHeight="1">
      <c r="A66" s="3"/>
      <c r="P66" s="5"/>
      <c r="Q66" s="5"/>
      <c r="R66" s="5"/>
      <c r="S66" s="5"/>
      <c r="T66" s="5"/>
      <c r="U66" s="5"/>
      <c r="V66" s="5"/>
      <c r="W66" s="5"/>
      <c r="X66" s="5"/>
      <c r="Y66" s="5"/>
    </row>
    <row r="67" spans="1:25" ht="15.75" customHeight="1">
      <c r="A67" s="3"/>
      <c r="P67" s="5"/>
      <c r="Q67" s="5"/>
      <c r="R67" s="5"/>
      <c r="S67" s="5"/>
      <c r="T67" s="5"/>
      <c r="U67" s="5"/>
      <c r="V67" s="5"/>
      <c r="W67" s="5"/>
      <c r="X67" s="5"/>
      <c r="Y67" s="5"/>
    </row>
    <row r="68" spans="1:25" ht="15.75" customHeight="1">
      <c r="A68" s="3"/>
      <c r="P68" s="5"/>
      <c r="Q68" s="5"/>
      <c r="R68" s="5"/>
      <c r="S68" s="5"/>
      <c r="T68" s="5"/>
      <c r="U68" s="5"/>
      <c r="V68" s="5"/>
      <c r="W68" s="5"/>
      <c r="X68" s="5"/>
      <c r="Y68" s="5"/>
    </row>
    <row r="69" spans="1:25" ht="15.75" customHeight="1">
      <c r="A69" s="3"/>
      <c r="P69" s="5"/>
      <c r="Q69" s="5"/>
      <c r="R69" s="5"/>
      <c r="S69" s="5"/>
      <c r="T69" s="5"/>
      <c r="U69" s="5"/>
      <c r="V69" s="5"/>
      <c r="W69" s="5"/>
      <c r="X69" s="5"/>
      <c r="Y69" s="5"/>
    </row>
    <row r="70" spans="1:25" ht="15.75" customHeight="1">
      <c r="A70" s="3"/>
      <c r="P70" s="5"/>
      <c r="Q70" s="5"/>
      <c r="R70" s="5"/>
      <c r="S70" s="5"/>
      <c r="T70" s="5"/>
      <c r="U70" s="5"/>
      <c r="V70" s="5"/>
      <c r="W70" s="5"/>
      <c r="X70" s="5"/>
      <c r="Y70" s="5"/>
    </row>
    <row r="71" spans="1:25" ht="15.75" customHeight="1">
      <c r="A71" s="3"/>
      <c r="P71" s="5"/>
      <c r="Q71" s="5"/>
      <c r="R71" s="5"/>
      <c r="S71" s="5"/>
      <c r="T71" s="5"/>
      <c r="U71" s="5"/>
      <c r="V71" s="5"/>
      <c r="W71" s="5"/>
      <c r="X71" s="5"/>
      <c r="Y71" s="5"/>
    </row>
    <row r="72" spans="1:25" ht="15.75" customHeight="1">
      <c r="A72" s="3"/>
      <c r="P72" s="5"/>
      <c r="Q72" s="5"/>
      <c r="R72" s="5"/>
      <c r="S72" s="5"/>
      <c r="T72" s="5"/>
      <c r="U72" s="5"/>
      <c r="V72" s="5"/>
      <c r="W72" s="5"/>
      <c r="X72" s="5"/>
      <c r="Y72" s="5"/>
    </row>
    <row r="73" spans="1:25" ht="15.75" customHeight="1">
      <c r="A73" s="3"/>
      <c r="P73" s="5"/>
      <c r="Q73" s="5"/>
      <c r="R73" s="5"/>
      <c r="S73" s="5"/>
      <c r="T73" s="5"/>
      <c r="U73" s="5"/>
      <c r="V73" s="5"/>
      <c r="W73" s="5"/>
      <c r="X73" s="5"/>
      <c r="Y73" s="5"/>
    </row>
    <row r="74" spans="1:25" ht="15.75" customHeight="1">
      <c r="A74" s="3"/>
      <c r="P74" s="5"/>
      <c r="Q74" s="5"/>
      <c r="R74" s="5"/>
      <c r="S74" s="5"/>
      <c r="T74" s="5"/>
      <c r="U74" s="5"/>
      <c r="V74" s="5"/>
      <c r="W74" s="5"/>
      <c r="X74" s="5"/>
      <c r="Y74" s="5"/>
    </row>
    <row r="75" spans="1:25" ht="15.75" customHeight="1">
      <c r="A75" s="3"/>
      <c r="P75" s="5"/>
      <c r="Q75" s="5"/>
      <c r="R75" s="5"/>
      <c r="S75" s="5"/>
      <c r="T75" s="5"/>
      <c r="U75" s="5"/>
      <c r="V75" s="5"/>
      <c r="W75" s="5"/>
      <c r="X75" s="5"/>
      <c r="Y75" s="5"/>
    </row>
    <row r="76" spans="1:25" ht="15.75" customHeight="1">
      <c r="A76" s="3"/>
      <c r="P76" s="5"/>
      <c r="Q76" s="5"/>
      <c r="R76" s="5"/>
      <c r="S76" s="5"/>
      <c r="T76" s="5"/>
      <c r="U76" s="5"/>
      <c r="V76" s="5"/>
      <c r="W76" s="5"/>
      <c r="X76" s="5"/>
      <c r="Y76" s="5"/>
    </row>
    <row r="77" spans="1:25" ht="15.75" customHeight="1">
      <c r="A77" s="3"/>
      <c r="P77" s="5"/>
      <c r="Q77" s="5"/>
      <c r="R77" s="5"/>
      <c r="S77" s="5"/>
      <c r="T77" s="5"/>
      <c r="U77" s="5"/>
      <c r="V77" s="5"/>
      <c r="W77" s="5"/>
      <c r="X77" s="5"/>
      <c r="Y77" s="5"/>
    </row>
    <row r="78" spans="1:25" ht="15.75" customHeight="1">
      <c r="A78" s="3"/>
      <c r="P78" s="5"/>
      <c r="Q78" s="5"/>
      <c r="R78" s="5"/>
      <c r="S78" s="5"/>
      <c r="T78" s="5"/>
      <c r="U78" s="5"/>
      <c r="V78" s="5"/>
      <c r="W78" s="5"/>
      <c r="X78" s="5"/>
      <c r="Y78" s="5"/>
    </row>
    <row r="79" spans="1:25" ht="15.75" customHeight="1">
      <c r="A79" s="3"/>
      <c r="P79" s="5"/>
      <c r="Q79" s="5"/>
      <c r="R79" s="5"/>
      <c r="S79" s="5"/>
      <c r="T79" s="5"/>
      <c r="U79" s="5"/>
      <c r="V79" s="5"/>
      <c r="W79" s="5"/>
      <c r="X79" s="5"/>
      <c r="Y79" s="5"/>
    </row>
    <row r="80" spans="1:25" ht="15.75" customHeight="1">
      <c r="A80" s="3"/>
      <c r="P80" s="5"/>
      <c r="Q80" s="5"/>
      <c r="R80" s="5"/>
      <c r="S80" s="5"/>
      <c r="T80" s="5"/>
      <c r="U80" s="5"/>
      <c r="V80" s="5"/>
      <c r="W80" s="5"/>
      <c r="X80" s="5"/>
      <c r="Y80" s="5"/>
    </row>
    <row r="81" spans="1:25" ht="15.75" customHeight="1">
      <c r="A81" s="3"/>
      <c r="P81" s="5"/>
      <c r="Q81" s="5"/>
      <c r="R81" s="5"/>
      <c r="S81" s="5"/>
      <c r="T81" s="5"/>
      <c r="U81" s="5"/>
      <c r="V81" s="5"/>
      <c r="W81" s="5"/>
      <c r="X81" s="5"/>
      <c r="Y81" s="5"/>
    </row>
    <row r="82" spans="1:25" ht="15.75" customHeight="1">
      <c r="A82" s="3"/>
      <c r="P82" s="5"/>
      <c r="Q82" s="5"/>
      <c r="R82" s="5"/>
      <c r="S82" s="5"/>
      <c r="T82" s="5"/>
      <c r="U82" s="5"/>
      <c r="V82" s="5"/>
      <c r="W82" s="5"/>
      <c r="X82" s="5"/>
      <c r="Y82" s="5"/>
    </row>
    <row r="83" spans="1:25" ht="15.75" customHeight="1">
      <c r="A83" s="3"/>
      <c r="P83" s="5"/>
      <c r="Q83" s="5"/>
      <c r="R83" s="5"/>
      <c r="S83" s="5"/>
      <c r="T83" s="5"/>
      <c r="U83" s="5"/>
      <c r="V83" s="5"/>
      <c r="W83" s="5"/>
      <c r="X83" s="5"/>
      <c r="Y83" s="5"/>
    </row>
    <row r="84" spans="1:25" ht="15.75" customHeight="1">
      <c r="A84" s="3"/>
      <c r="P84" s="5"/>
      <c r="Q84" s="5"/>
      <c r="R84" s="5"/>
      <c r="S84" s="5"/>
      <c r="T84" s="5"/>
      <c r="U84" s="5"/>
      <c r="V84" s="5"/>
      <c r="W84" s="5"/>
      <c r="X84" s="5"/>
      <c r="Y84" s="5"/>
    </row>
    <row r="85" spans="1:25" ht="15.75" customHeight="1">
      <c r="A85" s="3"/>
      <c r="P85" s="5"/>
      <c r="Q85" s="5"/>
      <c r="R85" s="5"/>
      <c r="S85" s="5"/>
      <c r="T85" s="5"/>
      <c r="U85" s="5"/>
      <c r="V85" s="5"/>
      <c r="W85" s="5"/>
      <c r="X85" s="5"/>
      <c r="Y85" s="5"/>
    </row>
    <row r="86" spans="1:25" ht="15.75" customHeight="1">
      <c r="A86" s="3"/>
      <c r="P86" s="5"/>
      <c r="Q86" s="5"/>
      <c r="R86" s="5"/>
      <c r="S86" s="5"/>
      <c r="T86" s="5"/>
      <c r="U86" s="5"/>
      <c r="V86" s="5"/>
      <c r="W86" s="5"/>
      <c r="X86" s="5"/>
      <c r="Y86" s="5"/>
    </row>
    <row r="87" spans="1:25" ht="15.75" customHeight="1">
      <c r="A87" s="3"/>
      <c r="P87" s="5"/>
      <c r="Q87" s="5"/>
      <c r="R87" s="5"/>
      <c r="S87" s="5"/>
      <c r="T87" s="5"/>
      <c r="U87" s="5"/>
      <c r="V87" s="5"/>
      <c r="W87" s="5"/>
      <c r="X87" s="5"/>
      <c r="Y87" s="5"/>
    </row>
    <row r="88" spans="1:25" ht="15.75" customHeight="1">
      <c r="A88" s="3"/>
      <c r="P88" s="5"/>
      <c r="Q88" s="5"/>
      <c r="R88" s="5"/>
      <c r="S88" s="5"/>
      <c r="T88" s="5"/>
      <c r="U88" s="5"/>
      <c r="V88" s="5"/>
      <c r="W88" s="5"/>
      <c r="X88" s="5"/>
      <c r="Y88" s="5"/>
    </row>
    <row r="89" spans="1:25" ht="15.75" customHeight="1">
      <c r="A89" s="3"/>
      <c r="P89" s="5"/>
      <c r="Q89" s="5"/>
      <c r="R89" s="5"/>
      <c r="S89" s="5"/>
      <c r="T89" s="5"/>
      <c r="U89" s="5"/>
      <c r="V89" s="5"/>
      <c r="W89" s="5"/>
      <c r="X89" s="5"/>
      <c r="Y89" s="5"/>
    </row>
    <row r="90" spans="1:25" ht="15.75" customHeight="1">
      <c r="A90" s="3"/>
      <c r="P90" s="5"/>
      <c r="Q90" s="5"/>
      <c r="R90" s="5"/>
      <c r="S90" s="5"/>
      <c r="T90" s="5"/>
      <c r="U90" s="5"/>
      <c r="V90" s="5"/>
      <c r="W90" s="5"/>
      <c r="X90" s="5"/>
      <c r="Y90" s="5"/>
    </row>
    <row r="91" spans="1:25" ht="15.75" customHeight="1">
      <c r="A91" s="3"/>
      <c r="P91" s="5"/>
      <c r="Q91" s="5"/>
      <c r="R91" s="5"/>
      <c r="S91" s="5"/>
      <c r="T91" s="5"/>
      <c r="U91" s="5"/>
      <c r="V91" s="5"/>
      <c r="W91" s="5"/>
      <c r="X91" s="5"/>
      <c r="Y91" s="5"/>
    </row>
    <row r="92" spans="1:25" ht="15.75" customHeight="1">
      <c r="A92" s="3"/>
      <c r="P92" s="5"/>
      <c r="Q92" s="5"/>
      <c r="R92" s="5"/>
      <c r="S92" s="5"/>
      <c r="T92" s="5"/>
      <c r="U92" s="5"/>
      <c r="V92" s="5"/>
      <c r="W92" s="5"/>
      <c r="X92" s="5"/>
      <c r="Y92" s="5"/>
    </row>
    <row r="93" spans="1:25" ht="15.75" customHeight="1">
      <c r="A93" s="3"/>
      <c r="P93" s="5"/>
      <c r="Q93" s="5"/>
      <c r="R93" s="5"/>
      <c r="S93" s="5"/>
      <c r="T93" s="5"/>
      <c r="U93" s="5"/>
      <c r="V93" s="5"/>
      <c r="W93" s="5"/>
      <c r="X93" s="5"/>
      <c r="Y93" s="5"/>
    </row>
    <row r="94" spans="1:25" ht="15.75" customHeight="1">
      <c r="A94" s="3"/>
      <c r="P94" s="5"/>
      <c r="Q94" s="5"/>
      <c r="R94" s="5"/>
      <c r="S94" s="5"/>
      <c r="T94" s="5"/>
      <c r="U94" s="5"/>
      <c r="V94" s="5"/>
      <c r="W94" s="5"/>
      <c r="X94" s="5"/>
      <c r="Y94" s="5"/>
    </row>
    <row r="95" spans="1:25" ht="15.75" customHeight="1">
      <c r="A95" s="3"/>
      <c r="P95" s="5"/>
      <c r="Q95" s="5"/>
      <c r="R95" s="5"/>
      <c r="S95" s="5"/>
      <c r="T95" s="5"/>
      <c r="U95" s="5"/>
      <c r="V95" s="5"/>
      <c r="W95" s="5"/>
      <c r="X95" s="5"/>
      <c r="Y95" s="5"/>
    </row>
    <row r="96" spans="1:25" ht="15.75" customHeight="1">
      <c r="A96" s="3"/>
      <c r="P96" s="5"/>
      <c r="Q96" s="5"/>
      <c r="R96" s="5"/>
      <c r="S96" s="5"/>
      <c r="T96" s="5"/>
      <c r="U96" s="5"/>
      <c r="V96" s="5"/>
      <c r="W96" s="5"/>
      <c r="X96" s="5"/>
      <c r="Y96" s="5"/>
    </row>
    <row r="97" spans="1:25" ht="15.75" customHeight="1">
      <c r="A97" s="3"/>
      <c r="P97" s="5"/>
      <c r="Q97" s="5"/>
      <c r="R97" s="5"/>
      <c r="S97" s="5"/>
      <c r="T97" s="5"/>
      <c r="U97" s="5"/>
      <c r="V97" s="5"/>
      <c r="W97" s="5"/>
      <c r="X97" s="5"/>
      <c r="Y97" s="5"/>
    </row>
    <row r="98" spans="1:25" ht="15.75" customHeight="1">
      <c r="A98" s="3"/>
      <c r="P98" s="5"/>
      <c r="Q98" s="5"/>
      <c r="R98" s="5"/>
      <c r="S98" s="5"/>
      <c r="T98" s="5"/>
      <c r="U98" s="5"/>
      <c r="V98" s="5"/>
      <c r="W98" s="5"/>
      <c r="X98" s="5"/>
      <c r="Y98" s="5"/>
    </row>
    <row r="99" spans="1:25" ht="15.75" customHeight="1">
      <c r="A99" s="3"/>
      <c r="P99" s="5"/>
      <c r="Q99" s="5"/>
      <c r="R99" s="5"/>
      <c r="S99" s="5"/>
      <c r="T99" s="5"/>
      <c r="U99" s="5"/>
      <c r="V99" s="5"/>
      <c r="W99" s="5"/>
      <c r="X99" s="5"/>
      <c r="Y99" s="5"/>
    </row>
    <row r="100" spans="1:25" ht="15.75" customHeight="1">
      <c r="A100" s="3"/>
      <c r="P100" s="5"/>
      <c r="Q100" s="5"/>
      <c r="R100" s="5"/>
      <c r="S100" s="5"/>
      <c r="T100" s="5"/>
      <c r="U100" s="5"/>
      <c r="V100" s="5"/>
      <c r="W100" s="5"/>
      <c r="X100" s="5"/>
      <c r="Y100" s="5"/>
    </row>
    <row r="101" spans="1:25" ht="15.75" customHeight="1">
      <c r="A101" s="3"/>
      <c r="P101" s="5"/>
      <c r="Q101" s="5"/>
      <c r="R101" s="5"/>
      <c r="S101" s="5"/>
      <c r="T101" s="5"/>
      <c r="U101" s="5"/>
      <c r="V101" s="5"/>
      <c r="W101" s="5"/>
      <c r="X101" s="5"/>
      <c r="Y101" s="5"/>
    </row>
    <row r="102" spans="1:25" ht="15.75" customHeight="1">
      <c r="A102" s="3"/>
      <c r="P102" s="5"/>
      <c r="Q102" s="5"/>
      <c r="R102" s="5"/>
      <c r="S102" s="5"/>
      <c r="T102" s="5"/>
      <c r="U102" s="5"/>
      <c r="V102" s="5"/>
      <c r="W102" s="5"/>
      <c r="X102" s="5"/>
      <c r="Y102" s="5"/>
    </row>
    <row r="103" spans="1:25" ht="15.75" customHeight="1">
      <c r="A103" s="3"/>
      <c r="P103" s="5"/>
      <c r="Q103" s="5"/>
      <c r="R103" s="5"/>
      <c r="S103" s="5"/>
      <c r="T103" s="5"/>
      <c r="U103" s="5"/>
      <c r="V103" s="5"/>
      <c r="W103" s="5"/>
      <c r="X103" s="5"/>
      <c r="Y103" s="5"/>
    </row>
    <row r="104" spans="1:25" ht="15.75" customHeight="1">
      <c r="A104" s="3"/>
      <c r="P104" s="5"/>
      <c r="Q104" s="5"/>
      <c r="R104" s="5"/>
      <c r="S104" s="5"/>
      <c r="T104" s="5"/>
      <c r="U104" s="5"/>
      <c r="V104" s="5"/>
      <c r="W104" s="5"/>
      <c r="X104" s="5"/>
      <c r="Y104" s="5"/>
    </row>
    <row r="105" spans="1:25" ht="15.75" customHeight="1">
      <c r="A105" s="3"/>
      <c r="P105" s="5"/>
      <c r="Q105" s="5"/>
      <c r="R105" s="5"/>
      <c r="S105" s="5"/>
      <c r="T105" s="5"/>
      <c r="U105" s="5"/>
      <c r="V105" s="5"/>
      <c r="W105" s="5"/>
      <c r="X105" s="5"/>
      <c r="Y105" s="5"/>
    </row>
    <row r="106" spans="1:25" ht="15.75" customHeight="1">
      <c r="A106" s="3"/>
      <c r="P106" s="5"/>
      <c r="Q106" s="5"/>
      <c r="R106" s="5"/>
      <c r="S106" s="5"/>
      <c r="T106" s="5"/>
      <c r="U106" s="5"/>
      <c r="V106" s="5"/>
      <c r="W106" s="5"/>
      <c r="X106" s="5"/>
      <c r="Y106" s="5"/>
    </row>
    <row r="107" spans="1:25" ht="15.75" customHeight="1">
      <c r="A107" s="3"/>
      <c r="P107" s="5"/>
      <c r="Q107" s="5"/>
      <c r="R107" s="5"/>
      <c r="S107" s="5"/>
      <c r="T107" s="5"/>
      <c r="U107" s="5"/>
      <c r="V107" s="5"/>
      <c r="W107" s="5"/>
      <c r="X107" s="5"/>
      <c r="Y107" s="5"/>
    </row>
    <row r="108" spans="1:25" ht="15.75" customHeight="1">
      <c r="A108" s="3"/>
      <c r="P108" s="5"/>
      <c r="Q108" s="5"/>
      <c r="R108" s="5"/>
      <c r="S108" s="5"/>
      <c r="T108" s="5"/>
      <c r="U108" s="5"/>
      <c r="V108" s="5"/>
      <c r="W108" s="5"/>
      <c r="X108" s="5"/>
      <c r="Y108" s="5"/>
    </row>
    <row r="109" spans="1:25" ht="15.75" customHeight="1">
      <c r="A109" s="3"/>
      <c r="P109" s="5"/>
      <c r="Q109" s="5"/>
      <c r="R109" s="5"/>
      <c r="S109" s="5"/>
      <c r="T109" s="5"/>
      <c r="U109" s="5"/>
      <c r="V109" s="5"/>
      <c r="W109" s="5"/>
      <c r="X109" s="5"/>
      <c r="Y109" s="5"/>
    </row>
    <row r="110" spans="1:25" ht="15.75" customHeight="1">
      <c r="A110" s="3"/>
      <c r="P110" s="5"/>
      <c r="Q110" s="5"/>
      <c r="R110" s="5"/>
      <c r="S110" s="5"/>
      <c r="T110" s="5"/>
      <c r="U110" s="5"/>
      <c r="V110" s="5"/>
      <c r="W110" s="5"/>
      <c r="X110" s="5"/>
      <c r="Y110" s="5"/>
    </row>
    <row r="111" spans="1:25" ht="15.75" customHeight="1">
      <c r="A111" s="3"/>
      <c r="P111" s="5"/>
      <c r="Q111" s="5"/>
      <c r="R111" s="5"/>
      <c r="S111" s="5"/>
      <c r="T111" s="5"/>
      <c r="U111" s="5"/>
      <c r="V111" s="5"/>
      <c r="W111" s="5"/>
      <c r="X111" s="5"/>
      <c r="Y111" s="5"/>
    </row>
    <row r="112" spans="1:25" ht="15.75" customHeight="1">
      <c r="A112" s="3"/>
      <c r="P112" s="5"/>
      <c r="Q112" s="5"/>
      <c r="R112" s="5"/>
      <c r="S112" s="5"/>
      <c r="T112" s="5"/>
      <c r="U112" s="5"/>
      <c r="V112" s="5"/>
      <c r="W112" s="5"/>
      <c r="X112" s="5"/>
      <c r="Y112" s="5"/>
    </row>
    <row r="113" spans="1:25" ht="15.75" customHeight="1">
      <c r="A113" s="3"/>
      <c r="P113" s="5"/>
      <c r="Q113" s="5"/>
      <c r="R113" s="5"/>
      <c r="S113" s="5"/>
      <c r="T113" s="5"/>
      <c r="U113" s="5"/>
      <c r="V113" s="5"/>
      <c r="W113" s="5"/>
      <c r="X113" s="5"/>
      <c r="Y113" s="5"/>
    </row>
    <row r="114" spans="1:25" ht="15.75" customHeight="1">
      <c r="A114" s="3"/>
      <c r="P114" s="5"/>
      <c r="Q114" s="5"/>
      <c r="R114" s="5"/>
      <c r="S114" s="5"/>
      <c r="T114" s="5"/>
      <c r="U114" s="5"/>
      <c r="V114" s="5"/>
      <c r="W114" s="5"/>
      <c r="X114" s="5"/>
      <c r="Y114" s="5"/>
    </row>
    <row r="115" spans="1:25" ht="15.75" customHeight="1">
      <c r="A115" s="3"/>
      <c r="P115" s="5"/>
      <c r="Q115" s="5"/>
      <c r="R115" s="5"/>
      <c r="S115" s="5"/>
      <c r="T115" s="5"/>
      <c r="U115" s="5"/>
      <c r="V115" s="5"/>
      <c r="W115" s="5"/>
      <c r="X115" s="5"/>
      <c r="Y115" s="5"/>
    </row>
    <row r="116" spans="1:25" ht="15.75" customHeight="1">
      <c r="A116" s="3"/>
      <c r="P116" s="5"/>
      <c r="Q116" s="5"/>
      <c r="R116" s="5"/>
      <c r="S116" s="5"/>
      <c r="T116" s="5"/>
      <c r="U116" s="5"/>
      <c r="V116" s="5"/>
      <c r="W116" s="5"/>
      <c r="X116" s="5"/>
      <c r="Y116" s="5"/>
    </row>
    <row r="117" spans="1:25" ht="15.75" customHeight="1">
      <c r="A117" s="3"/>
      <c r="P117" s="5"/>
      <c r="Q117" s="5"/>
      <c r="R117" s="5"/>
      <c r="S117" s="5"/>
      <c r="T117" s="5"/>
      <c r="U117" s="5"/>
      <c r="V117" s="5"/>
      <c r="W117" s="5"/>
      <c r="X117" s="5"/>
      <c r="Y117" s="5"/>
    </row>
    <row r="118" spans="1:25" ht="15.75" customHeight="1">
      <c r="A118" s="3"/>
      <c r="P118" s="5"/>
      <c r="Q118" s="5"/>
      <c r="R118" s="5"/>
      <c r="S118" s="5"/>
      <c r="T118" s="5"/>
      <c r="U118" s="5"/>
      <c r="V118" s="5"/>
      <c r="W118" s="5"/>
      <c r="X118" s="5"/>
      <c r="Y118" s="5"/>
    </row>
    <row r="119" spans="1:25" ht="15.75" customHeight="1">
      <c r="A119" s="3"/>
      <c r="P119" s="5"/>
      <c r="Q119" s="5"/>
      <c r="R119" s="5"/>
      <c r="S119" s="5"/>
      <c r="T119" s="5"/>
      <c r="U119" s="5"/>
      <c r="V119" s="5"/>
      <c r="W119" s="5"/>
      <c r="X119" s="5"/>
      <c r="Y119" s="5"/>
    </row>
    <row r="120" spans="1:25" ht="15.75" customHeight="1">
      <c r="A120" s="3"/>
      <c r="P120" s="5"/>
      <c r="Q120" s="5"/>
      <c r="R120" s="5"/>
      <c r="S120" s="5"/>
      <c r="T120" s="5"/>
      <c r="U120" s="5"/>
      <c r="V120" s="5"/>
      <c r="W120" s="5"/>
      <c r="X120" s="5"/>
      <c r="Y120" s="5"/>
    </row>
    <row r="121" spans="1:25" ht="15.75" customHeight="1">
      <c r="A121" s="3"/>
      <c r="P121" s="5"/>
      <c r="Q121" s="5"/>
      <c r="R121" s="5"/>
      <c r="S121" s="5"/>
      <c r="T121" s="5"/>
      <c r="U121" s="5"/>
      <c r="V121" s="5"/>
      <c r="W121" s="5"/>
      <c r="X121" s="5"/>
      <c r="Y121" s="5"/>
    </row>
    <row r="122" spans="1:25" ht="15.75" customHeight="1">
      <c r="A122" s="3"/>
      <c r="P122" s="5"/>
      <c r="Q122" s="5"/>
      <c r="R122" s="5"/>
      <c r="S122" s="5"/>
      <c r="T122" s="5"/>
      <c r="U122" s="5"/>
      <c r="V122" s="5"/>
      <c r="W122" s="5"/>
      <c r="X122" s="5"/>
      <c r="Y122" s="5"/>
    </row>
    <row r="123" spans="1:25" ht="15.75" customHeight="1">
      <c r="A123" s="3"/>
      <c r="P123" s="5"/>
      <c r="Q123" s="5"/>
      <c r="R123" s="5"/>
      <c r="S123" s="5"/>
      <c r="T123" s="5"/>
      <c r="U123" s="5"/>
      <c r="V123" s="5"/>
      <c r="W123" s="5"/>
      <c r="X123" s="5"/>
      <c r="Y123" s="5"/>
    </row>
    <row r="124" spans="1:25" ht="15.75" customHeight="1">
      <c r="A124" s="3"/>
      <c r="P124" s="5"/>
      <c r="Q124" s="5"/>
      <c r="R124" s="5"/>
      <c r="S124" s="5"/>
      <c r="T124" s="5"/>
      <c r="U124" s="5"/>
      <c r="V124" s="5"/>
      <c r="W124" s="5"/>
      <c r="X124" s="5"/>
      <c r="Y124" s="5"/>
    </row>
    <row r="125" spans="1:25" ht="15.75" customHeight="1">
      <c r="A125" s="3"/>
      <c r="P125" s="5"/>
      <c r="Q125" s="5"/>
      <c r="R125" s="5"/>
      <c r="S125" s="5"/>
      <c r="T125" s="5"/>
      <c r="U125" s="5"/>
      <c r="V125" s="5"/>
      <c r="W125" s="5"/>
      <c r="X125" s="5"/>
      <c r="Y125" s="5"/>
    </row>
    <row r="126" spans="1:25" ht="15.75" customHeight="1">
      <c r="A126" s="3"/>
      <c r="P126" s="5"/>
      <c r="Q126" s="5"/>
      <c r="R126" s="5"/>
      <c r="S126" s="5"/>
      <c r="T126" s="5"/>
      <c r="U126" s="5"/>
      <c r="V126" s="5"/>
      <c r="W126" s="5"/>
      <c r="X126" s="5"/>
      <c r="Y126" s="5"/>
    </row>
    <row r="127" spans="1:25" ht="15.75" customHeight="1">
      <c r="A127" s="3"/>
      <c r="P127" s="5"/>
      <c r="Q127" s="5"/>
      <c r="R127" s="5"/>
      <c r="S127" s="5"/>
      <c r="T127" s="5"/>
      <c r="U127" s="5"/>
      <c r="V127" s="5"/>
      <c r="W127" s="5"/>
      <c r="X127" s="5"/>
      <c r="Y127" s="5"/>
    </row>
    <row r="128" spans="1:25" ht="15.75" customHeight="1">
      <c r="A128" s="3"/>
      <c r="P128" s="5"/>
      <c r="Q128" s="5"/>
      <c r="R128" s="5"/>
      <c r="S128" s="5"/>
      <c r="T128" s="5"/>
      <c r="U128" s="5"/>
      <c r="V128" s="5"/>
      <c r="W128" s="5"/>
      <c r="X128" s="5"/>
      <c r="Y128" s="5"/>
    </row>
    <row r="129" spans="1:25" ht="15.75" customHeight="1">
      <c r="A129" s="3"/>
      <c r="P129" s="5"/>
      <c r="Q129" s="5"/>
      <c r="R129" s="5"/>
      <c r="S129" s="5"/>
      <c r="T129" s="5"/>
      <c r="U129" s="5"/>
      <c r="V129" s="5"/>
      <c r="W129" s="5"/>
      <c r="X129" s="5"/>
      <c r="Y129" s="5"/>
    </row>
    <row r="130" spans="1:25" ht="15.75" customHeight="1">
      <c r="A130" s="3"/>
      <c r="P130" s="5"/>
      <c r="Q130" s="5"/>
      <c r="R130" s="5"/>
      <c r="S130" s="5"/>
      <c r="T130" s="5"/>
      <c r="U130" s="5"/>
      <c r="V130" s="5"/>
      <c r="W130" s="5"/>
      <c r="X130" s="5"/>
      <c r="Y130" s="5"/>
    </row>
    <row r="131" spans="1:25" ht="15.75" customHeight="1">
      <c r="A131" s="3"/>
      <c r="P131" s="5"/>
      <c r="Q131" s="5"/>
      <c r="R131" s="5"/>
      <c r="S131" s="5"/>
      <c r="T131" s="5"/>
      <c r="U131" s="5"/>
      <c r="V131" s="5"/>
      <c r="W131" s="5"/>
      <c r="X131" s="5"/>
      <c r="Y131" s="5"/>
    </row>
    <row r="132" spans="1:25" ht="15.75" customHeight="1">
      <c r="A132" s="3"/>
      <c r="P132" s="5"/>
      <c r="Q132" s="5"/>
      <c r="R132" s="5"/>
      <c r="S132" s="5"/>
      <c r="T132" s="5"/>
      <c r="U132" s="5"/>
      <c r="V132" s="5"/>
      <c r="W132" s="5"/>
      <c r="X132" s="5"/>
      <c r="Y132" s="5"/>
    </row>
    <row r="133" spans="1:25" ht="15.75" customHeight="1">
      <c r="A133" s="3"/>
      <c r="P133" s="5"/>
      <c r="Q133" s="5"/>
      <c r="R133" s="5"/>
      <c r="S133" s="5"/>
      <c r="T133" s="5"/>
      <c r="U133" s="5"/>
      <c r="V133" s="5"/>
      <c r="W133" s="5"/>
      <c r="X133" s="5"/>
      <c r="Y133" s="5"/>
    </row>
    <row r="134" spans="1:25" ht="15.75" customHeight="1">
      <c r="A134" s="3"/>
      <c r="P134" s="5"/>
      <c r="Q134" s="5"/>
      <c r="R134" s="5"/>
      <c r="S134" s="5"/>
      <c r="T134" s="5"/>
      <c r="U134" s="5"/>
      <c r="V134" s="5"/>
      <c r="W134" s="5"/>
      <c r="X134" s="5"/>
      <c r="Y134" s="5"/>
    </row>
    <row r="135" spans="1:25" ht="15.75" customHeight="1">
      <c r="A135" s="3"/>
      <c r="P135" s="5"/>
      <c r="Q135" s="5"/>
      <c r="R135" s="5"/>
      <c r="S135" s="5"/>
      <c r="T135" s="5"/>
      <c r="U135" s="5"/>
      <c r="V135" s="5"/>
      <c r="W135" s="5"/>
      <c r="X135" s="5"/>
      <c r="Y135" s="5"/>
    </row>
    <row r="136" spans="1:25" ht="15.75" customHeight="1">
      <c r="A136" s="3"/>
      <c r="P136" s="5"/>
      <c r="Q136" s="5"/>
      <c r="R136" s="5"/>
      <c r="S136" s="5"/>
      <c r="T136" s="5"/>
      <c r="U136" s="5"/>
      <c r="V136" s="5"/>
      <c r="W136" s="5"/>
      <c r="X136" s="5"/>
      <c r="Y136" s="5"/>
    </row>
    <row r="137" spans="1:25" ht="15.75" customHeight="1">
      <c r="A137" s="3"/>
      <c r="P137" s="5"/>
      <c r="Q137" s="5"/>
      <c r="R137" s="5"/>
      <c r="S137" s="5"/>
      <c r="T137" s="5"/>
      <c r="U137" s="5"/>
      <c r="V137" s="5"/>
      <c r="W137" s="5"/>
      <c r="X137" s="5"/>
      <c r="Y137" s="5"/>
    </row>
    <row r="138" spans="1:25" ht="15.75" customHeight="1">
      <c r="A138" s="3"/>
      <c r="P138" s="5"/>
      <c r="Q138" s="5"/>
      <c r="R138" s="5"/>
      <c r="S138" s="5"/>
      <c r="T138" s="5"/>
      <c r="U138" s="5"/>
      <c r="V138" s="5"/>
      <c r="W138" s="5"/>
      <c r="X138" s="5"/>
      <c r="Y138" s="5"/>
    </row>
    <row r="139" spans="1:25" ht="15.75" customHeight="1">
      <c r="A139" s="3"/>
      <c r="P139" s="5"/>
      <c r="Q139" s="5"/>
      <c r="R139" s="5"/>
      <c r="S139" s="5"/>
      <c r="T139" s="5"/>
      <c r="U139" s="5"/>
      <c r="V139" s="5"/>
      <c r="W139" s="5"/>
      <c r="X139" s="5"/>
      <c r="Y139" s="5"/>
    </row>
    <row r="140" spans="1:25" ht="15.75" customHeight="1">
      <c r="A140" s="3"/>
      <c r="P140" s="5"/>
      <c r="Q140" s="5"/>
      <c r="R140" s="5"/>
      <c r="S140" s="5"/>
      <c r="T140" s="5"/>
      <c r="U140" s="5"/>
      <c r="V140" s="5"/>
      <c r="W140" s="5"/>
      <c r="X140" s="5"/>
      <c r="Y140" s="5"/>
    </row>
    <row r="141" spans="1:25" ht="15.75" customHeight="1">
      <c r="A141" s="3"/>
      <c r="P141" s="5"/>
      <c r="Q141" s="5"/>
      <c r="R141" s="5"/>
      <c r="S141" s="5"/>
      <c r="T141" s="5"/>
      <c r="U141" s="5"/>
      <c r="V141" s="5"/>
      <c r="W141" s="5"/>
      <c r="X141" s="5"/>
      <c r="Y141" s="5"/>
    </row>
    <row r="142" spans="1:25" ht="15.75" customHeight="1">
      <c r="A142" s="3"/>
      <c r="P142" s="5"/>
      <c r="Q142" s="5"/>
      <c r="R142" s="5"/>
      <c r="S142" s="5"/>
      <c r="T142" s="5"/>
      <c r="U142" s="5"/>
      <c r="V142" s="5"/>
      <c r="W142" s="5"/>
      <c r="X142" s="5"/>
      <c r="Y142" s="5"/>
    </row>
    <row r="143" spans="1:25" ht="15.75" customHeight="1">
      <c r="A143" s="3"/>
      <c r="P143" s="5"/>
      <c r="Q143" s="5"/>
      <c r="R143" s="5"/>
      <c r="S143" s="5"/>
      <c r="T143" s="5"/>
      <c r="U143" s="5"/>
      <c r="V143" s="5"/>
      <c r="W143" s="5"/>
      <c r="X143" s="5"/>
      <c r="Y143" s="5"/>
    </row>
    <row r="144" spans="1:25" ht="15.75" customHeight="1">
      <c r="A144" s="3"/>
      <c r="P144" s="5"/>
      <c r="Q144" s="5"/>
      <c r="R144" s="5"/>
      <c r="S144" s="5"/>
      <c r="T144" s="5"/>
      <c r="U144" s="5"/>
      <c r="V144" s="5"/>
      <c r="W144" s="5"/>
      <c r="X144" s="5"/>
      <c r="Y144" s="5"/>
    </row>
    <row r="145" spans="1:25" ht="15.75" customHeight="1">
      <c r="A145" s="3"/>
      <c r="P145" s="5"/>
      <c r="Q145" s="5"/>
      <c r="R145" s="5"/>
      <c r="S145" s="5"/>
      <c r="T145" s="5"/>
      <c r="U145" s="5"/>
      <c r="V145" s="5"/>
      <c r="W145" s="5"/>
      <c r="X145" s="5"/>
      <c r="Y145" s="5"/>
    </row>
    <row r="146" spans="1:25" ht="15.75" customHeight="1">
      <c r="A146" s="3"/>
      <c r="P146" s="5"/>
      <c r="Q146" s="5"/>
      <c r="R146" s="5"/>
      <c r="S146" s="5"/>
      <c r="T146" s="5"/>
      <c r="U146" s="5"/>
      <c r="V146" s="5"/>
      <c r="W146" s="5"/>
      <c r="X146" s="5"/>
      <c r="Y146" s="5"/>
    </row>
    <row r="147" spans="1:25" ht="15.75" customHeight="1">
      <c r="A147" s="3"/>
      <c r="P147" s="5"/>
      <c r="Q147" s="5"/>
      <c r="R147" s="5"/>
      <c r="S147" s="5"/>
      <c r="T147" s="5"/>
      <c r="U147" s="5"/>
      <c r="V147" s="5"/>
      <c r="W147" s="5"/>
      <c r="X147" s="5"/>
      <c r="Y147" s="5"/>
    </row>
    <row r="148" spans="1:25" ht="15.75" customHeight="1">
      <c r="A148" s="3"/>
      <c r="P148" s="5"/>
      <c r="Q148" s="5"/>
      <c r="R148" s="5"/>
      <c r="S148" s="5"/>
      <c r="T148" s="5"/>
      <c r="U148" s="5"/>
      <c r="V148" s="5"/>
      <c r="W148" s="5"/>
      <c r="X148" s="5"/>
      <c r="Y148" s="5"/>
    </row>
    <row r="149" spans="1:25" ht="15.75" customHeight="1">
      <c r="A149" s="3"/>
      <c r="P149" s="5"/>
      <c r="Q149" s="5"/>
      <c r="R149" s="5"/>
      <c r="S149" s="5"/>
      <c r="T149" s="5"/>
      <c r="U149" s="5"/>
      <c r="V149" s="5"/>
      <c r="W149" s="5"/>
      <c r="X149" s="5"/>
      <c r="Y149" s="5"/>
    </row>
    <row r="150" spans="1:25" ht="15.75" customHeight="1">
      <c r="A150" s="3"/>
      <c r="P150" s="5"/>
      <c r="Q150" s="5"/>
      <c r="R150" s="5"/>
      <c r="S150" s="5"/>
      <c r="T150" s="5"/>
      <c r="U150" s="5"/>
      <c r="V150" s="5"/>
      <c r="W150" s="5"/>
      <c r="X150" s="5"/>
      <c r="Y150" s="5"/>
    </row>
    <row r="151" spans="1:25" ht="15.75" customHeight="1">
      <c r="A151" s="3"/>
      <c r="P151" s="5"/>
      <c r="Q151" s="5"/>
      <c r="R151" s="5"/>
      <c r="S151" s="5"/>
      <c r="T151" s="5"/>
      <c r="U151" s="5"/>
      <c r="V151" s="5"/>
      <c r="W151" s="5"/>
      <c r="X151" s="5"/>
      <c r="Y151" s="5"/>
    </row>
    <row r="152" spans="1:25" ht="15.75" customHeight="1">
      <c r="A152" s="3"/>
      <c r="P152" s="5"/>
      <c r="Q152" s="5"/>
      <c r="R152" s="5"/>
      <c r="S152" s="5"/>
      <c r="T152" s="5"/>
      <c r="U152" s="5"/>
      <c r="V152" s="5"/>
      <c r="W152" s="5"/>
      <c r="X152" s="5"/>
      <c r="Y152" s="5"/>
    </row>
    <row r="153" spans="1:25" ht="15.75" customHeight="1">
      <c r="A153" s="3"/>
      <c r="P153" s="5"/>
      <c r="Q153" s="5"/>
      <c r="R153" s="5"/>
      <c r="S153" s="5"/>
      <c r="T153" s="5"/>
      <c r="U153" s="5"/>
      <c r="V153" s="5"/>
      <c r="W153" s="5"/>
      <c r="X153" s="5"/>
      <c r="Y153" s="5"/>
    </row>
    <row r="154" spans="1:25" ht="15.75" customHeight="1">
      <c r="A154" s="3"/>
      <c r="P154" s="5"/>
      <c r="Q154" s="5"/>
      <c r="R154" s="5"/>
      <c r="S154" s="5"/>
      <c r="T154" s="5"/>
      <c r="U154" s="5"/>
      <c r="V154" s="5"/>
      <c r="W154" s="5"/>
      <c r="X154" s="5"/>
      <c r="Y154" s="5"/>
    </row>
    <row r="155" spans="1:25" ht="15.75" customHeight="1">
      <c r="A155" s="3"/>
      <c r="P155" s="5"/>
      <c r="Q155" s="5"/>
      <c r="R155" s="5"/>
      <c r="S155" s="5"/>
      <c r="T155" s="5"/>
      <c r="U155" s="5"/>
      <c r="V155" s="5"/>
      <c r="W155" s="5"/>
      <c r="X155" s="5"/>
      <c r="Y155" s="5"/>
    </row>
    <row r="156" spans="1:25" ht="15.75" customHeight="1">
      <c r="A156" s="3"/>
      <c r="P156" s="5"/>
      <c r="Q156" s="5"/>
      <c r="R156" s="5"/>
      <c r="S156" s="5"/>
      <c r="T156" s="5"/>
      <c r="U156" s="5"/>
      <c r="V156" s="5"/>
      <c r="W156" s="5"/>
      <c r="X156" s="5"/>
      <c r="Y156" s="5"/>
    </row>
    <row r="157" spans="1:25" ht="15.75" customHeight="1">
      <c r="A157" s="3"/>
      <c r="P157" s="5"/>
      <c r="Q157" s="5"/>
      <c r="R157" s="5"/>
      <c r="S157" s="5"/>
      <c r="T157" s="5"/>
      <c r="U157" s="5"/>
      <c r="V157" s="5"/>
      <c r="W157" s="5"/>
      <c r="X157" s="5"/>
      <c r="Y157" s="5"/>
    </row>
    <row r="158" spans="1:25" ht="15.75" customHeight="1">
      <c r="A158" s="3"/>
      <c r="P158" s="5"/>
      <c r="Q158" s="5"/>
      <c r="R158" s="5"/>
      <c r="S158" s="5"/>
      <c r="T158" s="5"/>
      <c r="U158" s="5"/>
      <c r="V158" s="5"/>
      <c r="W158" s="5"/>
      <c r="X158" s="5"/>
      <c r="Y158" s="5"/>
    </row>
    <row r="159" spans="1:25" ht="15.75" customHeight="1">
      <c r="A159" s="3"/>
      <c r="P159" s="5"/>
      <c r="Q159" s="5"/>
      <c r="R159" s="5"/>
      <c r="S159" s="5"/>
      <c r="T159" s="5"/>
      <c r="U159" s="5"/>
      <c r="V159" s="5"/>
      <c r="W159" s="5"/>
      <c r="X159" s="5"/>
      <c r="Y159" s="5"/>
    </row>
    <row r="160" spans="1:25" ht="15.75" customHeight="1">
      <c r="A160" s="3"/>
      <c r="P160" s="5"/>
      <c r="Q160" s="5"/>
      <c r="R160" s="5"/>
      <c r="S160" s="5"/>
      <c r="T160" s="5"/>
      <c r="U160" s="5"/>
      <c r="V160" s="5"/>
      <c r="W160" s="5"/>
      <c r="X160" s="5"/>
      <c r="Y160" s="5"/>
    </row>
    <row r="161" spans="1:25" ht="15.75" customHeight="1">
      <c r="A161" s="3"/>
      <c r="P161" s="5"/>
      <c r="Q161" s="5"/>
      <c r="R161" s="5"/>
      <c r="S161" s="5"/>
      <c r="T161" s="5"/>
      <c r="U161" s="5"/>
      <c r="V161" s="5"/>
      <c r="W161" s="5"/>
      <c r="X161" s="5"/>
      <c r="Y161" s="5"/>
    </row>
    <row r="162" spans="1:25" ht="15.75" customHeight="1">
      <c r="A162" s="3"/>
      <c r="P162" s="5"/>
      <c r="Q162" s="5"/>
      <c r="R162" s="5"/>
      <c r="S162" s="5"/>
      <c r="T162" s="5"/>
      <c r="U162" s="5"/>
      <c r="V162" s="5"/>
      <c r="W162" s="5"/>
      <c r="X162" s="5"/>
      <c r="Y162" s="5"/>
    </row>
    <row r="163" spans="1:25" ht="15.75" customHeight="1">
      <c r="A163" s="3"/>
      <c r="P163" s="5"/>
      <c r="Q163" s="5"/>
      <c r="R163" s="5"/>
      <c r="S163" s="5"/>
      <c r="T163" s="5"/>
      <c r="U163" s="5"/>
      <c r="V163" s="5"/>
      <c r="W163" s="5"/>
      <c r="X163" s="5"/>
      <c r="Y163" s="5"/>
    </row>
    <row r="164" spans="1:25" ht="15.75" customHeight="1">
      <c r="A164" s="3"/>
      <c r="P164" s="5"/>
      <c r="Q164" s="5"/>
      <c r="R164" s="5"/>
      <c r="S164" s="5"/>
      <c r="T164" s="5"/>
      <c r="U164" s="5"/>
      <c r="V164" s="5"/>
      <c r="W164" s="5"/>
      <c r="X164" s="5"/>
      <c r="Y164" s="5"/>
    </row>
    <row r="165" spans="1:25" ht="15.75" customHeight="1">
      <c r="A165" s="3"/>
      <c r="P165" s="5"/>
      <c r="Q165" s="5"/>
      <c r="R165" s="5"/>
      <c r="S165" s="5"/>
      <c r="T165" s="5"/>
      <c r="U165" s="5"/>
      <c r="V165" s="5"/>
      <c r="W165" s="5"/>
      <c r="X165" s="5"/>
      <c r="Y165" s="5"/>
    </row>
    <row r="166" spans="1:25" ht="15.75" customHeight="1">
      <c r="A166" s="3"/>
      <c r="P166" s="5"/>
      <c r="Q166" s="5"/>
      <c r="R166" s="5"/>
      <c r="S166" s="5"/>
      <c r="T166" s="5"/>
      <c r="U166" s="5"/>
      <c r="V166" s="5"/>
      <c r="W166" s="5"/>
      <c r="X166" s="5"/>
      <c r="Y166" s="5"/>
    </row>
    <row r="167" spans="1:25" ht="15.75" customHeight="1">
      <c r="A167" s="3"/>
      <c r="P167" s="5"/>
      <c r="Q167" s="5"/>
      <c r="R167" s="5"/>
      <c r="S167" s="5"/>
      <c r="T167" s="5"/>
      <c r="U167" s="5"/>
      <c r="V167" s="5"/>
      <c r="W167" s="5"/>
      <c r="X167" s="5"/>
      <c r="Y167" s="5"/>
    </row>
    <row r="168" spans="1:25" ht="15.75" customHeight="1">
      <c r="A168" s="3"/>
      <c r="P168" s="5"/>
      <c r="Q168" s="5"/>
      <c r="R168" s="5"/>
      <c r="S168" s="5"/>
      <c r="T168" s="5"/>
      <c r="U168" s="5"/>
      <c r="V168" s="5"/>
      <c r="W168" s="5"/>
      <c r="X168" s="5"/>
      <c r="Y168" s="5"/>
    </row>
    <row r="169" spans="1:25" ht="15.75" customHeight="1">
      <c r="A169" s="3"/>
      <c r="P169" s="5"/>
      <c r="Q169" s="5"/>
      <c r="R169" s="5"/>
      <c r="S169" s="5"/>
      <c r="T169" s="5"/>
      <c r="U169" s="5"/>
      <c r="V169" s="5"/>
      <c r="W169" s="5"/>
      <c r="X169" s="5"/>
      <c r="Y169" s="5"/>
    </row>
    <row r="170" spans="1:25" ht="15.75" customHeight="1">
      <c r="A170" s="3"/>
      <c r="P170" s="5"/>
      <c r="Q170" s="5"/>
      <c r="R170" s="5"/>
      <c r="S170" s="5"/>
      <c r="T170" s="5"/>
      <c r="U170" s="5"/>
      <c r="V170" s="5"/>
      <c r="W170" s="5"/>
      <c r="X170" s="5"/>
      <c r="Y170" s="5"/>
    </row>
    <row r="171" spans="1:25" ht="15.75" customHeight="1">
      <c r="A171" s="3"/>
      <c r="P171" s="5"/>
      <c r="Q171" s="5"/>
      <c r="R171" s="5"/>
      <c r="S171" s="5"/>
      <c r="T171" s="5"/>
      <c r="U171" s="5"/>
      <c r="V171" s="5"/>
      <c r="W171" s="5"/>
      <c r="X171" s="5"/>
      <c r="Y171" s="5"/>
    </row>
    <row r="172" spans="1:25" ht="15.75" customHeight="1">
      <c r="A172" s="3"/>
      <c r="P172" s="5"/>
      <c r="Q172" s="5"/>
      <c r="R172" s="5"/>
      <c r="S172" s="5"/>
      <c r="T172" s="5"/>
      <c r="U172" s="5"/>
      <c r="V172" s="5"/>
      <c r="W172" s="5"/>
      <c r="X172" s="5"/>
      <c r="Y172" s="5"/>
    </row>
    <row r="173" spans="1:25" ht="15.75" customHeight="1">
      <c r="A173" s="3"/>
      <c r="P173" s="5"/>
      <c r="Q173" s="5"/>
      <c r="R173" s="5"/>
      <c r="S173" s="5"/>
      <c r="T173" s="5"/>
      <c r="U173" s="5"/>
      <c r="V173" s="5"/>
      <c r="W173" s="5"/>
      <c r="X173" s="5"/>
      <c r="Y173" s="5"/>
    </row>
    <row r="174" spans="1:25" ht="15.75" customHeight="1">
      <c r="A174" s="3"/>
      <c r="P174" s="5"/>
      <c r="Q174" s="5"/>
      <c r="R174" s="5"/>
      <c r="S174" s="5"/>
      <c r="T174" s="5"/>
      <c r="U174" s="5"/>
      <c r="V174" s="5"/>
      <c r="W174" s="5"/>
      <c r="X174" s="5"/>
      <c r="Y174" s="5"/>
    </row>
    <row r="175" spans="1:25" ht="15.75" customHeight="1">
      <c r="A175" s="3"/>
      <c r="P175" s="5"/>
      <c r="Q175" s="5"/>
      <c r="R175" s="5"/>
      <c r="S175" s="5"/>
      <c r="T175" s="5"/>
      <c r="U175" s="5"/>
      <c r="V175" s="5"/>
      <c r="W175" s="5"/>
      <c r="X175" s="5"/>
      <c r="Y175" s="5"/>
    </row>
    <row r="176" spans="1:25" ht="15.75" customHeight="1">
      <c r="A176" s="3"/>
      <c r="P176" s="5"/>
      <c r="Q176" s="5"/>
      <c r="R176" s="5"/>
      <c r="S176" s="5"/>
      <c r="T176" s="5"/>
      <c r="U176" s="5"/>
      <c r="V176" s="5"/>
      <c r="W176" s="5"/>
      <c r="X176" s="5"/>
      <c r="Y176" s="5"/>
    </row>
    <row r="177" spans="1:25" ht="15.75" customHeight="1">
      <c r="A177" s="3"/>
      <c r="P177" s="5"/>
      <c r="Q177" s="5"/>
      <c r="R177" s="5"/>
      <c r="S177" s="5"/>
      <c r="T177" s="5"/>
      <c r="U177" s="5"/>
      <c r="V177" s="5"/>
      <c r="W177" s="5"/>
      <c r="X177" s="5"/>
      <c r="Y177" s="5"/>
    </row>
    <row r="178" spans="1:25" ht="15.75" customHeight="1">
      <c r="A178" s="3"/>
      <c r="P178" s="5"/>
      <c r="Q178" s="5"/>
      <c r="R178" s="5"/>
      <c r="S178" s="5"/>
      <c r="T178" s="5"/>
      <c r="U178" s="5"/>
      <c r="V178" s="5"/>
      <c r="W178" s="5"/>
      <c r="X178" s="5"/>
      <c r="Y178" s="5"/>
    </row>
    <row r="179" spans="1:25" ht="15.75" customHeight="1">
      <c r="A179" s="3"/>
      <c r="P179" s="5"/>
      <c r="Q179" s="5"/>
      <c r="R179" s="5"/>
      <c r="S179" s="5"/>
      <c r="T179" s="5"/>
      <c r="U179" s="5"/>
      <c r="V179" s="5"/>
      <c r="W179" s="5"/>
      <c r="X179" s="5"/>
      <c r="Y179" s="5"/>
    </row>
    <row r="180" spans="1:25" ht="15.75" customHeight="1">
      <c r="A180" s="3"/>
      <c r="P180" s="5"/>
      <c r="Q180" s="5"/>
      <c r="R180" s="5"/>
      <c r="S180" s="5"/>
      <c r="T180" s="5"/>
      <c r="U180" s="5"/>
      <c r="V180" s="5"/>
      <c r="W180" s="5"/>
      <c r="X180" s="5"/>
      <c r="Y180" s="5"/>
    </row>
    <row r="181" spans="1:25" ht="15.75" customHeight="1">
      <c r="A181" s="3"/>
      <c r="P181" s="5"/>
      <c r="Q181" s="5"/>
      <c r="R181" s="5"/>
      <c r="S181" s="5"/>
      <c r="T181" s="5"/>
      <c r="U181" s="5"/>
      <c r="V181" s="5"/>
      <c r="W181" s="5"/>
      <c r="X181" s="5"/>
      <c r="Y181" s="5"/>
    </row>
    <row r="182" spans="1:25" ht="15.75" customHeight="1">
      <c r="A182" s="3"/>
      <c r="P182" s="5"/>
      <c r="Q182" s="5"/>
      <c r="R182" s="5"/>
      <c r="S182" s="5"/>
      <c r="T182" s="5"/>
      <c r="U182" s="5"/>
      <c r="V182" s="5"/>
      <c r="W182" s="5"/>
      <c r="X182" s="5"/>
      <c r="Y182" s="5"/>
    </row>
    <row r="183" spans="1:25" ht="15.75" customHeight="1">
      <c r="A183" s="3"/>
      <c r="P183" s="5"/>
      <c r="Q183" s="5"/>
      <c r="R183" s="5"/>
      <c r="S183" s="5"/>
      <c r="T183" s="5"/>
      <c r="U183" s="5"/>
      <c r="V183" s="5"/>
      <c r="W183" s="5"/>
      <c r="X183" s="5"/>
      <c r="Y183" s="5"/>
    </row>
    <row r="184" spans="1:25" ht="15.75" customHeight="1">
      <c r="A184" s="3"/>
      <c r="P184" s="5"/>
      <c r="Q184" s="5"/>
      <c r="R184" s="5"/>
      <c r="S184" s="5"/>
      <c r="T184" s="5"/>
      <c r="U184" s="5"/>
      <c r="V184" s="5"/>
      <c r="W184" s="5"/>
      <c r="X184" s="5"/>
      <c r="Y184" s="5"/>
    </row>
    <row r="185" spans="1:25" ht="15.75" customHeight="1">
      <c r="A185" s="3"/>
      <c r="P185" s="5"/>
      <c r="Q185" s="5"/>
      <c r="R185" s="5"/>
      <c r="S185" s="5"/>
      <c r="T185" s="5"/>
      <c r="U185" s="5"/>
      <c r="V185" s="5"/>
      <c r="W185" s="5"/>
      <c r="X185" s="5"/>
      <c r="Y185" s="5"/>
    </row>
    <row r="186" spans="1:25" ht="15.75" customHeight="1">
      <c r="A186" s="3"/>
      <c r="P186" s="5"/>
      <c r="Q186" s="5"/>
      <c r="R186" s="5"/>
      <c r="S186" s="5"/>
      <c r="T186" s="5"/>
      <c r="U186" s="5"/>
      <c r="V186" s="5"/>
      <c r="W186" s="5"/>
      <c r="X186" s="5"/>
      <c r="Y186" s="5"/>
    </row>
    <row r="187" spans="1:25" ht="15.75" customHeight="1">
      <c r="A187" s="3"/>
      <c r="P187" s="5"/>
      <c r="Q187" s="5"/>
      <c r="R187" s="5"/>
      <c r="S187" s="5"/>
      <c r="T187" s="5"/>
      <c r="U187" s="5"/>
      <c r="V187" s="5"/>
      <c r="W187" s="5"/>
      <c r="X187" s="5"/>
      <c r="Y187" s="5"/>
    </row>
    <row r="188" spans="1:25" ht="15.75" customHeight="1">
      <c r="A188" s="3"/>
      <c r="P188" s="5"/>
      <c r="Q188" s="5"/>
      <c r="R188" s="5"/>
      <c r="S188" s="5"/>
      <c r="T188" s="5"/>
      <c r="U188" s="5"/>
      <c r="V188" s="5"/>
      <c r="W188" s="5"/>
      <c r="X188" s="5"/>
      <c r="Y188" s="5"/>
    </row>
    <row r="189" spans="1:25" ht="15.75" customHeight="1">
      <c r="A189" s="3"/>
      <c r="P189" s="5"/>
      <c r="Q189" s="5"/>
      <c r="R189" s="5"/>
      <c r="S189" s="5"/>
      <c r="T189" s="5"/>
      <c r="U189" s="5"/>
      <c r="V189" s="5"/>
      <c r="W189" s="5"/>
      <c r="X189" s="5"/>
      <c r="Y189" s="5"/>
    </row>
    <row r="190" spans="1:25" ht="15.75" customHeight="1">
      <c r="A190" s="3"/>
      <c r="P190" s="5"/>
      <c r="Q190" s="5"/>
      <c r="R190" s="5"/>
      <c r="S190" s="5"/>
      <c r="T190" s="5"/>
      <c r="U190" s="5"/>
      <c r="V190" s="5"/>
      <c r="W190" s="5"/>
      <c r="X190" s="5"/>
      <c r="Y190" s="5"/>
    </row>
    <row r="191" spans="1:25" ht="15.75" customHeight="1">
      <c r="A191" s="3"/>
      <c r="P191" s="5"/>
      <c r="Q191" s="5"/>
      <c r="R191" s="5"/>
      <c r="S191" s="5"/>
      <c r="T191" s="5"/>
      <c r="U191" s="5"/>
      <c r="V191" s="5"/>
      <c r="W191" s="5"/>
      <c r="X191" s="5"/>
      <c r="Y191" s="5"/>
    </row>
    <row r="192" spans="1:25" ht="15.75" customHeight="1">
      <c r="A192" s="3"/>
      <c r="P192" s="5"/>
      <c r="Q192" s="5"/>
      <c r="R192" s="5"/>
      <c r="S192" s="5"/>
      <c r="T192" s="5"/>
      <c r="U192" s="5"/>
      <c r="V192" s="5"/>
      <c r="W192" s="5"/>
      <c r="X192" s="5"/>
      <c r="Y192" s="5"/>
    </row>
    <row r="193" spans="1:25" ht="15.75" customHeight="1">
      <c r="A193" s="3"/>
      <c r="P193" s="5"/>
      <c r="Q193" s="5"/>
      <c r="R193" s="5"/>
      <c r="S193" s="5"/>
      <c r="T193" s="5"/>
      <c r="U193" s="5"/>
      <c r="V193" s="5"/>
      <c r="W193" s="5"/>
      <c r="X193" s="5"/>
      <c r="Y193" s="5"/>
    </row>
    <row r="194" spans="1:25" ht="15.75" customHeight="1">
      <c r="A194" s="3"/>
      <c r="P194" s="5"/>
      <c r="Q194" s="5"/>
      <c r="R194" s="5"/>
      <c r="S194" s="5"/>
      <c r="T194" s="5"/>
      <c r="U194" s="5"/>
      <c r="V194" s="5"/>
      <c r="W194" s="5"/>
      <c r="X194" s="5"/>
      <c r="Y194" s="5"/>
    </row>
    <row r="195" spans="1:25" ht="15.75" customHeight="1">
      <c r="A195" s="3"/>
      <c r="P195" s="5"/>
      <c r="Q195" s="5"/>
      <c r="R195" s="5"/>
      <c r="S195" s="5"/>
      <c r="T195" s="5"/>
      <c r="U195" s="5"/>
      <c r="V195" s="5"/>
      <c r="W195" s="5"/>
      <c r="X195" s="5"/>
      <c r="Y195" s="5"/>
    </row>
    <row r="196" spans="1:25" ht="15.75" customHeight="1">
      <c r="A196" s="3"/>
      <c r="P196" s="5"/>
      <c r="Q196" s="5"/>
      <c r="R196" s="5"/>
      <c r="S196" s="5"/>
      <c r="T196" s="5"/>
      <c r="U196" s="5"/>
      <c r="V196" s="5"/>
      <c r="W196" s="5"/>
      <c r="X196" s="5"/>
      <c r="Y196" s="5"/>
    </row>
    <row r="197" spans="1:25" ht="15.75" customHeight="1">
      <c r="A197" s="3"/>
      <c r="P197" s="5"/>
      <c r="Q197" s="5"/>
      <c r="R197" s="5"/>
      <c r="S197" s="5"/>
      <c r="T197" s="5"/>
      <c r="U197" s="5"/>
      <c r="V197" s="5"/>
      <c r="W197" s="5"/>
      <c r="X197" s="5"/>
      <c r="Y197" s="5"/>
    </row>
    <row r="198" spans="1:25" ht="15.75" customHeight="1">
      <c r="A198" s="3"/>
      <c r="P198" s="5"/>
      <c r="Q198" s="5"/>
      <c r="R198" s="5"/>
      <c r="S198" s="5"/>
      <c r="T198" s="5"/>
      <c r="U198" s="5"/>
      <c r="V198" s="5"/>
      <c r="W198" s="5"/>
      <c r="X198" s="5"/>
      <c r="Y198" s="5"/>
    </row>
    <row r="199" spans="1:25" ht="15.75" customHeight="1">
      <c r="A199" s="3"/>
      <c r="P199" s="5"/>
      <c r="Q199" s="5"/>
      <c r="R199" s="5"/>
      <c r="S199" s="5"/>
      <c r="T199" s="5"/>
      <c r="U199" s="5"/>
      <c r="V199" s="5"/>
      <c r="W199" s="5"/>
      <c r="X199" s="5"/>
      <c r="Y199" s="5"/>
    </row>
    <row r="200" spans="1:25" ht="15.75" customHeight="1">
      <c r="A200" s="3"/>
      <c r="P200" s="5"/>
      <c r="Q200" s="5"/>
      <c r="R200" s="5"/>
      <c r="S200" s="5"/>
      <c r="T200" s="5"/>
      <c r="U200" s="5"/>
      <c r="V200" s="5"/>
      <c r="W200" s="5"/>
      <c r="X200" s="5"/>
      <c r="Y200" s="5"/>
    </row>
    <row r="201" spans="1:25" ht="15.75" customHeight="1">
      <c r="A201" s="3"/>
      <c r="P201" s="5"/>
      <c r="Q201" s="5"/>
      <c r="R201" s="5"/>
      <c r="S201" s="5"/>
      <c r="T201" s="5"/>
      <c r="U201" s="5"/>
      <c r="V201" s="5"/>
      <c r="W201" s="5"/>
      <c r="X201" s="5"/>
      <c r="Y201" s="5"/>
    </row>
    <row r="202" spans="1:25" ht="15.75" customHeight="1">
      <c r="A202" s="3"/>
      <c r="P202" s="5"/>
      <c r="Q202" s="5"/>
      <c r="R202" s="5"/>
      <c r="S202" s="5"/>
      <c r="T202" s="5"/>
      <c r="U202" s="5"/>
      <c r="V202" s="5"/>
      <c r="W202" s="5"/>
      <c r="X202" s="5"/>
      <c r="Y202" s="5"/>
    </row>
    <row r="203" spans="1:25" ht="15.75" customHeight="1">
      <c r="A203" s="3"/>
      <c r="P203" s="5"/>
      <c r="Q203" s="5"/>
      <c r="R203" s="5"/>
      <c r="S203" s="5"/>
      <c r="T203" s="5"/>
      <c r="U203" s="5"/>
      <c r="V203" s="5"/>
      <c r="W203" s="5"/>
      <c r="X203" s="5"/>
      <c r="Y203" s="5"/>
    </row>
    <row r="204" spans="1:25" ht="15.75" customHeight="1">
      <c r="A204" s="3"/>
      <c r="P204" s="5"/>
      <c r="Q204" s="5"/>
      <c r="R204" s="5"/>
      <c r="S204" s="5"/>
      <c r="T204" s="5"/>
      <c r="U204" s="5"/>
      <c r="V204" s="5"/>
      <c r="W204" s="5"/>
      <c r="X204" s="5"/>
      <c r="Y204" s="5"/>
    </row>
    <row r="205" spans="1:25" ht="15.75" customHeight="1">
      <c r="A205" s="3"/>
      <c r="P205" s="5"/>
      <c r="Q205" s="5"/>
      <c r="R205" s="5"/>
      <c r="S205" s="5"/>
      <c r="T205" s="5"/>
      <c r="U205" s="5"/>
      <c r="V205" s="5"/>
      <c r="W205" s="5"/>
      <c r="X205" s="5"/>
      <c r="Y205" s="5"/>
    </row>
    <row r="206" spans="1:25" ht="15.75" customHeight="1">
      <c r="A206" s="3"/>
      <c r="P206" s="5"/>
      <c r="Q206" s="5"/>
      <c r="R206" s="5"/>
      <c r="S206" s="5"/>
      <c r="T206" s="5"/>
      <c r="U206" s="5"/>
      <c r="V206" s="5"/>
      <c r="W206" s="5"/>
      <c r="X206" s="5"/>
      <c r="Y206" s="5"/>
    </row>
    <row r="207" spans="1:25" ht="15.75" customHeight="1">
      <c r="A207" s="3"/>
      <c r="P207" s="5"/>
      <c r="Q207" s="5"/>
      <c r="R207" s="5"/>
      <c r="S207" s="5"/>
      <c r="T207" s="5"/>
      <c r="U207" s="5"/>
      <c r="V207" s="5"/>
      <c r="W207" s="5"/>
      <c r="X207" s="5"/>
      <c r="Y207" s="5"/>
    </row>
    <row r="208" spans="1:25" ht="15.75" customHeight="1">
      <c r="A208" s="3"/>
      <c r="P208" s="5"/>
      <c r="Q208" s="5"/>
      <c r="R208" s="5"/>
      <c r="S208" s="5"/>
      <c r="T208" s="5"/>
      <c r="U208" s="5"/>
      <c r="V208" s="5"/>
      <c r="W208" s="5"/>
      <c r="X208" s="5"/>
      <c r="Y208" s="5"/>
    </row>
    <row r="209" spans="1:25" ht="15.75" customHeight="1">
      <c r="A209" s="3"/>
      <c r="P209" s="5"/>
      <c r="Q209" s="5"/>
      <c r="R209" s="5"/>
      <c r="S209" s="5"/>
      <c r="T209" s="5"/>
      <c r="U209" s="5"/>
      <c r="V209" s="5"/>
      <c r="W209" s="5"/>
      <c r="X209" s="5"/>
      <c r="Y209" s="5"/>
    </row>
    <row r="210" spans="1:25" ht="15.75" customHeight="1">
      <c r="A210" s="3"/>
      <c r="P210" s="5"/>
      <c r="Q210" s="5"/>
      <c r="R210" s="5"/>
      <c r="S210" s="5"/>
      <c r="T210" s="5"/>
      <c r="U210" s="5"/>
      <c r="V210" s="5"/>
      <c r="W210" s="5"/>
      <c r="X210" s="5"/>
      <c r="Y210" s="5"/>
    </row>
    <row r="211" spans="1:25" ht="15.75" customHeight="1">
      <c r="A211" s="3"/>
      <c r="P211" s="5"/>
      <c r="Q211" s="5"/>
      <c r="R211" s="5"/>
      <c r="S211" s="5"/>
      <c r="T211" s="5"/>
      <c r="U211" s="5"/>
      <c r="V211" s="5"/>
      <c r="W211" s="5"/>
      <c r="X211" s="5"/>
      <c r="Y211" s="5"/>
    </row>
    <row r="212" spans="1:25" ht="15.75" customHeight="1">
      <c r="A212" s="3"/>
      <c r="P212" s="5"/>
      <c r="Q212" s="5"/>
      <c r="R212" s="5"/>
      <c r="S212" s="5"/>
      <c r="T212" s="5"/>
      <c r="U212" s="5"/>
      <c r="V212" s="5"/>
      <c r="W212" s="5"/>
      <c r="X212" s="5"/>
      <c r="Y212" s="5"/>
    </row>
    <row r="213" spans="1:25" ht="15.75" customHeight="1">
      <c r="A213" s="3"/>
      <c r="P213" s="5"/>
      <c r="Q213" s="5"/>
      <c r="R213" s="5"/>
      <c r="S213" s="5"/>
      <c r="T213" s="5"/>
      <c r="U213" s="5"/>
      <c r="V213" s="5"/>
      <c r="W213" s="5"/>
      <c r="X213" s="5"/>
      <c r="Y213" s="5"/>
    </row>
    <row r="214" spans="1:25" ht="15.75" customHeight="1">
      <c r="A214" s="3"/>
      <c r="P214" s="5"/>
      <c r="Q214" s="5"/>
      <c r="R214" s="5"/>
      <c r="S214" s="5"/>
      <c r="T214" s="5"/>
      <c r="U214" s="5"/>
      <c r="V214" s="5"/>
      <c r="W214" s="5"/>
      <c r="X214" s="5"/>
      <c r="Y214" s="5"/>
    </row>
    <row r="215" spans="1:25" ht="15.75" customHeight="1">
      <c r="A215" s="3"/>
      <c r="P215" s="5"/>
      <c r="Q215" s="5"/>
      <c r="R215" s="5"/>
      <c r="S215" s="5"/>
      <c r="T215" s="5"/>
      <c r="U215" s="5"/>
      <c r="V215" s="5"/>
      <c r="W215" s="5"/>
      <c r="X215" s="5"/>
      <c r="Y215" s="5"/>
    </row>
    <row r="216" spans="1:25" ht="15.75" customHeight="1">
      <c r="A216" s="3"/>
      <c r="P216" s="5"/>
      <c r="Q216" s="5"/>
      <c r="R216" s="5"/>
      <c r="S216" s="5"/>
      <c r="T216" s="5"/>
      <c r="U216" s="5"/>
      <c r="V216" s="5"/>
      <c r="W216" s="5"/>
      <c r="X216" s="5"/>
      <c r="Y216" s="5"/>
    </row>
    <row r="217" spans="1:25" ht="15.75" customHeight="1">
      <c r="A217" s="3"/>
      <c r="P217" s="5"/>
      <c r="Q217" s="5"/>
      <c r="R217" s="5"/>
      <c r="S217" s="5"/>
      <c r="T217" s="5"/>
      <c r="U217" s="5"/>
      <c r="V217" s="5"/>
      <c r="W217" s="5"/>
      <c r="X217" s="5"/>
      <c r="Y217" s="5"/>
    </row>
    <row r="218" spans="1:25" ht="15.75" customHeight="1">
      <c r="A218" s="3"/>
      <c r="P218" s="5"/>
      <c r="Q218" s="5"/>
      <c r="R218" s="5"/>
      <c r="S218" s="5"/>
      <c r="T218" s="5"/>
      <c r="U218" s="5"/>
      <c r="V218" s="5"/>
      <c r="W218" s="5"/>
      <c r="X218" s="5"/>
      <c r="Y218" s="5"/>
    </row>
    <row r="219" spans="1:25" ht="15.75" customHeight="1">
      <c r="A219" s="3"/>
      <c r="P219" s="5"/>
      <c r="Q219" s="5"/>
      <c r="R219" s="5"/>
      <c r="S219" s="5"/>
      <c r="T219" s="5"/>
      <c r="U219" s="5"/>
      <c r="V219" s="5"/>
      <c r="W219" s="5"/>
      <c r="X219" s="5"/>
      <c r="Y219" s="5"/>
    </row>
    <row r="220" spans="1:25" ht="15.75" customHeight="1">
      <c r="A220" s="3"/>
      <c r="P220" s="5"/>
      <c r="Q220" s="5"/>
      <c r="R220" s="5"/>
      <c r="S220" s="5"/>
      <c r="T220" s="5"/>
      <c r="U220" s="5"/>
      <c r="V220" s="5"/>
      <c r="W220" s="5"/>
      <c r="X220" s="5"/>
      <c r="Y220" s="5"/>
    </row>
    <row r="221" spans="1:25" ht="15.75" customHeight="1">
      <c r="A221" s="3"/>
      <c r="P221" s="5"/>
      <c r="Q221" s="5"/>
      <c r="R221" s="5"/>
      <c r="S221" s="5"/>
      <c r="T221" s="5"/>
      <c r="U221" s="5"/>
      <c r="V221" s="5"/>
      <c r="W221" s="5"/>
      <c r="X221" s="5"/>
      <c r="Y221" s="5"/>
    </row>
    <row r="222" spans="1:25" ht="15.75" customHeight="1">
      <c r="A222" s="3"/>
      <c r="P222" s="5"/>
      <c r="Q222" s="5"/>
      <c r="R222" s="5"/>
      <c r="S222" s="5"/>
      <c r="T222" s="5"/>
      <c r="U222" s="5"/>
      <c r="V222" s="5"/>
      <c r="W222" s="5"/>
      <c r="X222" s="5"/>
      <c r="Y222" s="5"/>
    </row>
    <row r="223" spans="1:25" ht="15.75" customHeight="1">
      <c r="A223" s="3"/>
      <c r="P223" s="5"/>
      <c r="Q223" s="5"/>
      <c r="R223" s="5"/>
      <c r="S223" s="5"/>
      <c r="T223" s="5"/>
      <c r="U223" s="5"/>
      <c r="V223" s="5"/>
      <c r="W223" s="5"/>
      <c r="X223" s="5"/>
      <c r="Y223" s="5"/>
    </row>
    <row r="224" spans="1:25" ht="15.75" customHeight="1">
      <c r="A224" s="3"/>
      <c r="P224" s="5"/>
      <c r="Q224" s="5"/>
      <c r="R224" s="5"/>
      <c r="S224" s="5"/>
      <c r="T224" s="5"/>
      <c r="U224" s="5"/>
      <c r="V224" s="5"/>
      <c r="W224" s="5"/>
      <c r="X224" s="5"/>
      <c r="Y224" s="5"/>
    </row>
    <row r="225" spans="1:25" ht="15.75" customHeight="1">
      <c r="A225" s="3"/>
      <c r="P225" s="5"/>
      <c r="Q225" s="5"/>
      <c r="R225" s="5"/>
      <c r="S225" s="5"/>
      <c r="T225" s="5"/>
      <c r="U225" s="5"/>
      <c r="V225" s="5"/>
      <c r="W225" s="5"/>
      <c r="X225" s="5"/>
      <c r="Y225" s="5"/>
    </row>
    <row r="226" spans="1:25" ht="15.75" customHeight="1">
      <c r="A226" s="3"/>
      <c r="P226" s="5"/>
      <c r="Q226" s="5"/>
      <c r="R226" s="5"/>
      <c r="S226" s="5"/>
      <c r="T226" s="5"/>
      <c r="U226" s="5"/>
      <c r="V226" s="5"/>
      <c r="W226" s="5"/>
      <c r="X226" s="5"/>
      <c r="Y226" s="5"/>
    </row>
    <row r="227" spans="1:25" ht="15.75" customHeight="1">
      <c r="A227" s="3"/>
      <c r="P227" s="5"/>
      <c r="Q227" s="5"/>
      <c r="R227" s="5"/>
      <c r="S227" s="5"/>
      <c r="T227" s="5"/>
      <c r="U227" s="5"/>
      <c r="V227" s="5"/>
      <c r="W227" s="5"/>
      <c r="X227" s="5"/>
      <c r="Y227" s="5"/>
    </row>
    <row r="228" spans="1:25" ht="15.75" customHeight="1">
      <c r="A228" s="3"/>
      <c r="P228" s="5"/>
      <c r="Q228" s="5"/>
      <c r="R228" s="5"/>
      <c r="S228" s="5"/>
      <c r="T228" s="5"/>
      <c r="U228" s="5"/>
      <c r="V228" s="5"/>
      <c r="W228" s="5"/>
      <c r="X228" s="5"/>
      <c r="Y228" s="5"/>
    </row>
    <row r="229" spans="1:25" ht="15.75" customHeight="1">
      <c r="A229" s="3"/>
      <c r="P229" s="5"/>
      <c r="Q229" s="5"/>
      <c r="R229" s="5"/>
      <c r="S229" s="5"/>
      <c r="T229" s="5"/>
      <c r="U229" s="5"/>
      <c r="V229" s="5"/>
      <c r="W229" s="5"/>
      <c r="X229" s="5"/>
      <c r="Y229" s="5"/>
    </row>
    <row r="230" spans="1:25" ht="15.75" customHeight="1">
      <c r="A230" s="3"/>
      <c r="P230" s="5"/>
      <c r="Q230" s="5"/>
      <c r="R230" s="5"/>
      <c r="S230" s="5"/>
      <c r="T230" s="5"/>
      <c r="U230" s="5"/>
      <c r="V230" s="5"/>
      <c r="W230" s="5"/>
      <c r="X230" s="5"/>
      <c r="Y230" s="5"/>
    </row>
    <row r="231" spans="1:25" ht="15.75" customHeight="1">
      <c r="A231" s="3"/>
      <c r="P231" s="5"/>
      <c r="Q231" s="5"/>
      <c r="R231" s="5"/>
      <c r="S231" s="5"/>
      <c r="T231" s="5"/>
      <c r="U231" s="5"/>
      <c r="V231" s="5"/>
      <c r="W231" s="5"/>
      <c r="X231" s="5"/>
      <c r="Y231" s="5"/>
    </row>
    <row r="232" spans="1:25" ht="15.75" customHeight="1">
      <c r="A232" s="3"/>
      <c r="P232" s="5"/>
      <c r="Q232" s="5"/>
      <c r="R232" s="5"/>
      <c r="S232" s="5"/>
      <c r="T232" s="5"/>
      <c r="U232" s="5"/>
      <c r="V232" s="5"/>
      <c r="W232" s="5"/>
      <c r="X232" s="5"/>
      <c r="Y232" s="5"/>
    </row>
    <row r="233" spans="1:25" ht="15.75" customHeight="1">
      <c r="A233" s="3"/>
      <c r="P233" s="5"/>
      <c r="Q233" s="5"/>
      <c r="R233" s="5"/>
      <c r="S233" s="5"/>
      <c r="T233" s="5"/>
      <c r="U233" s="5"/>
      <c r="V233" s="5"/>
      <c r="W233" s="5"/>
      <c r="X233" s="5"/>
      <c r="Y233" s="5"/>
    </row>
    <row r="234" spans="1:25" ht="15.75" customHeight="1">
      <c r="A234" s="3"/>
      <c r="P234" s="5"/>
      <c r="Q234" s="5"/>
      <c r="R234" s="5"/>
      <c r="S234" s="5"/>
      <c r="T234" s="5"/>
      <c r="U234" s="5"/>
      <c r="V234" s="5"/>
      <c r="W234" s="5"/>
      <c r="X234" s="5"/>
      <c r="Y234" s="5"/>
    </row>
    <row r="235" spans="1:25" ht="15.75" customHeight="1">
      <c r="A235" s="3"/>
      <c r="P235" s="5"/>
      <c r="Q235" s="5"/>
      <c r="R235" s="5"/>
      <c r="S235" s="5"/>
      <c r="T235" s="5"/>
      <c r="U235" s="5"/>
      <c r="V235" s="5"/>
      <c r="W235" s="5"/>
      <c r="X235" s="5"/>
      <c r="Y235" s="5"/>
    </row>
    <row r="236" spans="1:25" ht="15.75" customHeight="1">
      <c r="A236" s="3"/>
      <c r="P236" s="5"/>
      <c r="Q236" s="5"/>
      <c r="R236" s="5"/>
      <c r="S236" s="5"/>
      <c r="T236" s="5"/>
      <c r="U236" s="5"/>
      <c r="V236" s="5"/>
      <c r="W236" s="5"/>
      <c r="X236" s="5"/>
      <c r="Y236" s="5"/>
    </row>
    <row r="237" spans="1:25" ht="15.75" customHeight="1">
      <c r="A237" s="3"/>
      <c r="P237" s="5"/>
      <c r="Q237" s="5"/>
      <c r="R237" s="5"/>
      <c r="S237" s="5"/>
      <c r="T237" s="5"/>
      <c r="U237" s="5"/>
      <c r="V237" s="5"/>
      <c r="W237" s="5"/>
      <c r="X237" s="5"/>
      <c r="Y237" s="5"/>
    </row>
    <row r="238" spans="1:25" ht="15.75" customHeight="1">
      <c r="A238" s="3"/>
      <c r="P238" s="5"/>
      <c r="Q238" s="5"/>
      <c r="R238" s="5"/>
      <c r="S238" s="5"/>
      <c r="T238" s="5"/>
      <c r="U238" s="5"/>
      <c r="V238" s="5"/>
      <c r="W238" s="5"/>
      <c r="X238" s="5"/>
      <c r="Y238" s="5"/>
    </row>
    <row r="239" spans="1:25" ht="15.75" customHeight="1">
      <c r="A239" s="3"/>
      <c r="P239" s="5"/>
      <c r="Q239" s="5"/>
      <c r="R239" s="5"/>
      <c r="S239" s="5"/>
      <c r="T239" s="5"/>
      <c r="U239" s="5"/>
      <c r="V239" s="5"/>
      <c r="W239" s="5"/>
      <c r="X239" s="5"/>
      <c r="Y239" s="5"/>
    </row>
    <row r="240" spans="1:25" ht="15.75" customHeight="1">
      <c r="A240" s="3"/>
      <c r="P240" s="5"/>
      <c r="Q240" s="5"/>
      <c r="R240" s="5"/>
      <c r="S240" s="5"/>
      <c r="T240" s="5"/>
      <c r="U240" s="5"/>
      <c r="V240" s="5"/>
      <c r="W240" s="5"/>
      <c r="X240" s="5"/>
      <c r="Y240" s="5"/>
    </row>
    <row r="241" spans="1:25" ht="15.75" customHeight="1">
      <c r="A241" s="3"/>
      <c r="P241" s="5"/>
      <c r="Q241" s="5"/>
      <c r="R241" s="5"/>
      <c r="S241" s="5"/>
      <c r="T241" s="5"/>
      <c r="U241" s="5"/>
      <c r="V241" s="5"/>
      <c r="W241" s="5"/>
      <c r="X241" s="5"/>
      <c r="Y241" s="5"/>
    </row>
    <row r="242" spans="1:25" ht="15.75" customHeight="1">
      <c r="A242" s="3"/>
      <c r="P242" s="5"/>
      <c r="Q242" s="5"/>
      <c r="R242" s="5"/>
      <c r="S242" s="5"/>
      <c r="T242" s="5"/>
      <c r="U242" s="5"/>
      <c r="V242" s="5"/>
      <c r="W242" s="5"/>
      <c r="X242" s="5"/>
      <c r="Y242" s="5"/>
    </row>
    <row r="243" spans="1:25" ht="15.75" customHeight="1">
      <c r="A243" s="3"/>
      <c r="P243" s="5"/>
      <c r="Q243" s="5"/>
      <c r="R243" s="5"/>
      <c r="S243" s="5"/>
      <c r="T243" s="5"/>
      <c r="U243" s="5"/>
      <c r="V243" s="5"/>
      <c r="W243" s="5"/>
      <c r="X243" s="5"/>
      <c r="Y243" s="5"/>
    </row>
    <row r="244" spans="1:25" ht="15.75" customHeight="1">
      <c r="A244" s="3"/>
      <c r="P244" s="5"/>
      <c r="Q244" s="5"/>
      <c r="R244" s="5"/>
      <c r="S244" s="5"/>
      <c r="T244" s="5"/>
      <c r="U244" s="5"/>
      <c r="V244" s="5"/>
      <c r="W244" s="5"/>
      <c r="X244" s="5"/>
      <c r="Y244" s="5"/>
    </row>
    <row r="245" spans="1:25" ht="15.75" customHeight="1">
      <c r="A245" s="3"/>
      <c r="P245" s="5"/>
      <c r="Q245" s="5"/>
      <c r="R245" s="5"/>
      <c r="S245" s="5"/>
      <c r="T245" s="5"/>
      <c r="U245" s="5"/>
      <c r="V245" s="5"/>
      <c r="W245" s="5"/>
      <c r="X245" s="5"/>
      <c r="Y245" s="5"/>
    </row>
    <row r="246" spans="1:25" ht="15.75" customHeight="1">
      <c r="A246" s="3"/>
      <c r="P246" s="5"/>
      <c r="Q246" s="5"/>
      <c r="R246" s="5"/>
      <c r="S246" s="5"/>
      <c r="T246" s="5"/>
      <c r="U246" s="5"/>
      <c r="V246" s="5"/>
      <c r="W246" s="5"/>
      <c r="X246" s="5"/>
      <c r="Y246" s="5"/>
    </row>
    <row r="247" spans="1:25" ht="15.75" customHeight="1">
      <c r="A247" s="3"/>
      <c r="P247" s="5"/>
      <c r="Q247" s="5"/>
      <c r="R247" s="5"/>
      <c r="S247" s="5"/>
      <c r="T247" s="5"/>
      <c r="U247" s="5"/>
      <c r="V247" s="5"/>
      <c r="W247" s="5"/>
      <c r="X247" s="5"/>
      <c r="Y247" s="5"/>
    </row>
    <row r="248" spans="1:25" ht="15.75" customHeight="1">
      <c r="A248" s="3"/>
      <c r="P248" s="5"/>
      <c r="Q248" s="5"/>
      <c r="R248" s="5"/>
      <c r="S248" s="5"/>
      <c r="T248" s="5"/>
      <c r="U248" s="5"/>
      <c r="V248" s="5"/>
      <c r="W248" s="5"/>
      <c r="X248" s="5"/>
      <c r="Y248" s="5"/>
    </row>
    <row r="249" spans="1:25" ht="15.75" customHeight="1">
      <c r="A249" s="3"/>
      <c r="P249" s="5"/>
      <c r="Q249" s="5"/>
      <c r="R249" s="5"/>
      <c r="S249" s="5"/>
      <c r="T249" s="5"/>
      <c r="U249" s="5"/>
      <c r="V249" s="5"/>
      <c r="W249" s="5"/>
      <c r="X249" s="5"/>
      <c r="Y249" s="5"/>
    </row>
    <row r="250" spans="1:25" ht="15.75" customHeight="1">
      <c r="A250" s="3"/>
      <c r="P250" s="5"/>
      <c r="Q250" s="5"/>
      <c r="R250" s="5"/>
      <c r="S250" s="5"/>
      <c r="T250" s="5"/>
      <c r="U250" s="5"/>
      <c r="V250" s="5"/>
      <c r="W250" s="5"/>
      <c r="X250" s="5"/>
      <c r="Y250" s="5"/>
    </row>
    <row r="251" spans="1:25" ht="15.75" customHeight="1">
      <c r="A251" s="3"/>
      <c r="P251" s="5"/>
      <c r="Q251" s="5"/>
      <c r="R251" s="5"/>
      <c r="S251" s="5"/>
      <c r="T251" s="5"/>
      <c r="U251" s="5"/>
      <c r="V251" s="5"/>
      <c r="W251" s="5"/>
      <c r="X251" s="5"/>
      <c r="Y251" s="5"/>
    </row>
    <row r="252" spans="1:25" ht="15.75" customHeight="1">
      <c r="A252" s="3"/>
      <c r="P252" s="5"/>
      <c r="Q252" s="5"/>
      <c r="R252" s="5"/>
      <c r="S252" s="5"/>
      <c r="T252" s="5"/>
      <c r="U252" s="5"/>
      <c r="V252" s="5"/>
      <c r="W252" s="5"/>
      <c r="X252" s="5"/>
      <c r="Y252" s="5"/>
    </row>
    <row r="253" spans="1:25" ht="15.75" customHeight="1">
      <c r="A253" s="3"/>
      <c r="P253" s="5"/>
      <c r="Q253" s="5"/>
      <c r="R253" s="5"/>
      <c r="S253" s="5"/>
      <c r="T253" s="5"/>
      <c r="U253" s="5"/>
      <c r="V253" s="5"/>
      <c r="W253" s="5"/>
      <c r="X253" s="5"/>
      <c r="Y253" s="5"/>
    </row>
    <row r="254" spans="1:25" ht="15.75" customHeight="1">
      <c r="A254" s="3"/>
      <c r="P254" s="5"/>
      <c r="Q254" s="5"/>
      <c r="R254" s="5"/>
      <c r="S254" s="5"/>
      <c r="T254" s="5"/>
      <c r="U254" s="5"/>
      <c r="V254" s="5"/>
      <c r="W254" s="5"/>
      <c r="X254" s="5"/>
      <c r="Y254" s="5"/>
    </row>
    <row r="255" spans="1:25" ht="15.75" customHeight="1">
      <c r="A255" s="3"/>
      <c r="P255" s="5"/>
      <c r="Q255" s="5"/>
      <c r="R255" s="5"/>
      <c r="S255" s="5"/>
      <c r="T255" s="5"/>
      <c r="U255" s="5"/>
      <c r="V255" s="5"/>
      <c r="W255" s="5"/>
      <c r="X255" s="5"/>
      <c r="Y255" s="5"/>
    </row>
    <row r="256" spans="1:25" ht="15.75" customHeight="1">
      <c r="A256" s="3"/>
      <c r="P256" s="5"/>
      <c r="Q256" s="5"/>
      <c r="R256" s="5"/>
      <c r="S256" s="5"/>
      <c r="T256" s="5"/>
      <c r="U256" s="5"/>
      <c r="V256" s="5"/>
      <c r="W256" s="5"/>
      <c r="X256" s="5"/>
      <c r="Y256" s="5"/>
    </row>
    <row r="257" spans="1:25" ht="15.75" customHeight="1">
      <c r="A257" s="3"/>
      <c r="P257" s="5"/>
      <c r="Q257" s="5"/>
      <c r="R257" s="5"/>
      <c r="S257" s="5"/>
      <c r="T257" s="5"/>
      <c r="U257" s="5"/>
      <c r="V257" s="5"/>
      <c r="W257" s="5"/>
      <c r="X257" s="5"/>
      <c r="Y257" s="5"/>
    </row>
    <row r="258" spans="1:25" ht="15.75" customHeight="1">
      <c r="A258" s="3"/>
      <c r="P258" s="5"/>
      <c r="Q258" s="5"/>
      <c r="R258" s="5"/>
      <c r="S258" s="5"/>
      <c r="T258" s="5"/>
      <c r="U258" s="5"/>
      <c r="V258" s="5"/>
      <c r="W258" s="5"/>
      <c r="X258" s="5"/>
      <c r="Y258" s="5"/>
    </row>
    <row r="259" spans="1:25" ht="15.75" customHeight="1">
      <c r="A259" s="3"/>
      <c r="P259" s="5"/>
      <c r="Q259" s="5"/>
      <c r="R259" s="5"/>
      <c r="S259" s="5"/>
      <c r="T259" s="5"/>
      <c r="U259" s="5"/>
      <c r="V259" s="5"/>
      <c r="W259" s="5"/>
      <c r="X259" s="5"/>
      <c r="Y259" s="5"/>
    </row>
    <row r="260" spans="1:25" ht="15.75" customHeight="1">
      <c r="A260" s="3"/>
      <c r="P260" s="5"/>
      <c r="Q260" s="5"/>
      <c r="R260" s="5"/>
      <c r="S260" s="5"/>
      <c r="T260" s="5"/>
      <c r="U260" s="5"/>
      <c r="V260" s="5"/>
      <c r="W260" s="5"/>
      <c r="X260" s="5"/>
      <c r="Y260" s="5"/>
    </row>
    <row r="261" spans="1:25" ht="15.75" customHeight="1">
      <c r="A261" s="3"/>
      <c r="P261" s="5"/>
      <c r="Q261" s="5"/>
      <c r="R261" s="5"/>
      <c r="S261" s="5"/>
      <c r="T261" s="5"/>
      <c r="U261" s="5"/>
      <c r="V261" s="5"/>
      <c r="W261" s="5"/>
      <c r="X261" s="5"/>
      <c r="Y261" s="5"/>
    </row>
    <row r="262" spans="1:25" ht="15.75" customHeight="1">
      <c r="A262" s="3"/>
      <c r="P262" s="5"/>
      <c r="Q262" s="5"/>
      <c r="R262" s="5"/>
      <c r="S262" s="5"/>
      <c r="T262" s="5"/>
      <c r="U262" s="5"/>
      <c r="V262" s="5"/>
      <c r="W262" s="5"/>
      <c r="X262" s="5"/>
      <c r="Y262" s="5"/>
    </row>
    <row r="263" spans="1:25" ht="15.75" customHeight="1">
      <c r="A263" s="3"/>
      <c r="P263" s="5"/>
      <c r="Q263" s="5"/>
      <c r="R263" s="5"/>
      <c r="S263" s="5"/>
      <c r="T263" s="5"/>
      <c r="U263" s="5"/>
      <c r="V263" s="5"/>
      <c r="W263" s="5"/>
      <c r="X263" s="5"/>
      <c r="Y263" s="5"/>
    </row>
    <row r="264" spans="1:25" ht="15.75" customHeight="1">
      <c r="A264" s="3"/>
      <c r="P264" s="5"/>
      <c r="Q264" s="5"/>
      <c r="R264" s="5"/>
      <c r="S264" s="5"/>
      <c r="T264" s="5"/>
      <c r="U264" s="5"/>
      <c r="V264" s="5"/>
      <c r="W264" s="5"/>
      <c r="X264" s="5"/>
      <c r="Y264" s="5"/>
    </row>
    <row r="265" spans="1:25" ht="15.75" customHeight="1">
      <c r="A265" s="3"/>
      <c r="P265" s="5"/>
      <c r="Q265" s="5"/>
      <c r="R265" s="5"/>
      <c r="S265" s="5"/>
      <c r="T265" s="5"/>
      <c r="U265" s="5"/>
      <c r="V265" s="5"/>
      <c r="W265" s="5"/>
      <c r="X265" s="5"/>
      <c r="Y265" s="5"/>
    </row>
    <row r="266" spans="1:25" ht="15.75" customHeight="1">
      <c r="A266" s="3"/>
      <c r="P266" s="5"/>
      <c r="Q266" s="5"/>
      <c r="R266" s="5"/>
      <c r="S266" s="5"/>
      <c r="T266" s="5"/>
      <c r="U266" s="5"/>
      <c r="V266" s="5"/>
      <c r="W266" s="5"/>
      <c r="X266" s="5"/>
      <c r="Y266" s="5"/>
    </row>
    <row r="267" spans="1:25" ht="15.75" customHeight="1">
      <c r="A267" s="3"/>
      <c r="P267" s="5"/>
      <c r="Q267" s="5"/>
      <c r="R267" s="5"/>
      <c r="S267" s="5"/>
      <c r="T267" s="5"/>
      <c r="U267" s="5"/>
      <c r="V267" s="5"/>
      <c r="W267" s="5"/>
      <c r="X267" s="5"/>
      <c r="Y267" s="5"/>
    </row>
    <row r="268" spans="1:25" ht="15.75" customHeight="1">
      <c r="A268" s="3"/>
      <c r="P268" s="5"/>
      <c r="Q268" s="5"/>
      <c r="R268" s="5"/>
      <c r="S268" s="5"/>
      <c r="T268" s="5"/>
      <c r="U268" s="5"/>
      <c r="V268" s="5"/>
      <c r="W268" s="5"/>
      <c r="X268" s="5"/>
      <c r="Y268" s="5"/>
    </row>
    <row r="269" spans="1:25" ht="15.75" customHeight="1">
      <c r="A269" s="3"/>
      <c r="P269" s="5"/>
      <c r="Q269" s="5"/>
      <c r="R269" s="5"/>
      <c r="S269" s="5"/>
      <c r="T269" s="5"/>
      <c r="U269" s="5"/>
      <c r="V269" s="5"/>
      <c r="W269" s="5"/>
      <c r="X269" s="5"/>
      <c r="Y269" s="5"/>
    </row>
    <row r="270" spans="1:25" ht="15.75" customHeight="1">
      <c r="A270" s="3"/>
      <c r="P270" s="5"/>
      <c r="Q270" s="5"/>
      <c r="R270" s="5"/>
      <c r="S270" s="5"/>
      <c r="T270" s="5"/>
      <c r="U270" s="5"/>
      <c r="V270" s="5"/>
      <c r="W270" s="5"/>
      <c r="X270" s="5"/>
      <c r="Y270" s="5"/>
    </row>
    <row r="271" spans="1:25" ht="15.75" customHeight="1">
      <c r="A271" s="3"/>
      <c r="P271" s="5"/>
      <c r="Q271" s="5"/>
      <c r="R271" s="5"/>
      <c r="S271" s="5"/>
      <c r="T271" s="5"/>
      <c r="U271" s="5"/>
      <c r="V271" s="5"/>
      <c r="W271" s="5"/>
      <c r="X271" s="5"/>
      <c r="Y271" s="5"/>
    </row>
    <row r="272" spans="1:25" ht="15.75" customHeight="1">
      <c r="A272" s="3"/>
      <c r="P272" s="5"/>
      <c r="Q272" s="5"/>
      <c r="R272" s="5"/>
      <c r="S272" s="5"/>
      <c r="T272" s="5"/>
      <c r="U272" s="5"/>
      <c r="V272" s="5"/>
      <c r="W272" s="5"/>
      <c r="X272" s="5"/>
      <c r="Y272" s="5"/>
    </row>
    <row r="273" spans="1:25" ht="15.75" customHeight="1">
      <c r="A273" s="3"/>
      <c r="P273" s="5"/>
      <c r="Q273" s="5"/>
      <c r="R273" s="5"/>
      <c r="S273" s="5"/>
      <c r="T273" s="5"/>
      <c r="U273" s="5"/>
      <c r="V273" s="5"/>
      <c r="W273" s="5"/>
      <c r="X273" s="5"/>
      <c r="Y273" s="5"/>
    </row>
    <row r="274" spans="1:25" ht="15.75" customHeight="1">
      <c r="A274" s="3"/>
      <c r="P274" s="5"/>
      <c r="Q274" s="5"/>
      <c r="R274" s="5"/>
      <c r="S274" s="5"/>
      <c r="T274" s="5"/>
      <c r="U274" s="5"/>
      <c r="V274" s="5"/>
      <c r="W274" s="5"/>
      <c r="X274" s="5"/>
      <c r="Y274" s="5"/>
    </row>
    <row r="275" spans="1:25" ht="15.75" customHeight="1">
      <c r="A275" s="3"/>
      <c r="P275" s="5"/>
      <c r="Q275" s="5"/>
      <c r="R275" s="5"/>
      <c r="S275" s="5"/>
      <c r="T275" s="5"/>
      <c r="U275" s="5"/>
      <c r="V275" s="5"/>
      <c r="W275" s="5"/>
      <c r="X275" s="5"/>
      <c r="Y275" s="5"/>
    </row>
    <row r="276" spans="1:25" ht="15.75" customHeight="1">
      <c r="A276" s="3"/>
      <c r="P276" s="5"/>
      <c r="Q276" s="5"/>
      <c r="R276" s="5"/>
      <c r="S276" s="5"/>
      <c r="T276" s="5"/>
      <c r="U276" s="5"/>
      <c r="V276" s="5"/>
      <c r="W276" s="5"/>
      <c r="X276" s="5"/>
      <c r="Y276" s="5"/>
    </row>
    <row r="277" spans="1:25" ht="15.75" customHeight="1">
      <c r="A277" s="3"/>
      <c r="P277" s="5"/>
      <c r="Q277" s="5"/>
      <c r="R277" s="5"/>
      <c r="S277" s="5"/>
      <c r="T277" s="5"/>
      <c r="U277" s="5"/>
      <c r="V277" s="5"/>
      <c r="W277" s="5"/>
      <c r="X277" s="5"/>
      <c r="Y277" s="5"/>
    </row>
    <row r="278" spans="1:25" ht="15.75" customHeight="1">
      <c r="A278" s="3"/>
      <c r="P278" s="5"/>
      <c r="Q278" s="5"/>
      <c r="R278" s="5"/>
      <c r="S278" s="5"/>
      <c r="T278" s="5"/>
      <c r="U278" s="5"/>
      <c r="V278" s="5"/>
      <c r="W278" s="5"/>
      <c r="X278" s="5"/>
      <c r="Y278" s="5"/>
    </row>
    <row r="279" spans="1:25" ht="15.75" customHeight="1">
      <c r="A279" s="3"/>
      <c r="P279" s="5"/>
      <c r="Q279" s="5"/>
      <c r="R279" s="5"/>
      <c r="S279" s="5"/>
      <c r="T279" s="5"/>
      <c r="U279" s="5"/>
      <c r="V279" s="5"/>
      <c r="W279" s="5"/>
      <c r="X279" s="5"/>
      <c r="Y279" s="5"/>
    </row>
    <row r="280" spans="1:25" ht="15.75" customHeight="1">
      <c r="A280" s="3"/>
      <c r="P280" s="5"/>
      <c r="Q280" s="5"/>
      <c r="R280" s="5"/>
      <c r="S280" s="5"/>
      <c r="T280" s="5"/>
      <c r="U280" s="5"/>
      <c r="V280" s="5"/>
      <c r="W280" s="5"/>
      <c r="X280" s="5"/>
      <c r="Y280" s="5"/>
    </row>
    <row r="281" spans="1:25" ht="15.75" customHeight="1">
      <c r="A281" s="3"/>
      <c r="P281" s="5"/>
      <c r="Q281" s="5"/>
      <c r="R281" s="5"/>
      <c r="S281" s="5"/>
      <c r="T281" s="5"/>
      <c r="U281" s="5"/>
      <c r="V281" s="5"/>
      <c r="W281" s="5"/>
      <c r="X281" s="5"/>
      <c r="Y281" s="5"/>
    </row>
    <row r="282" spans="1:25" ht="15.75" customHeight="1">
      <c r="A282" s="3"/>
      <c r="P282" s="5"/>
      <c r="Q282" s="5"/>
      <c r="R282" s="5"/>
      <c r="S282" s="5"/>
      <c r="T282" s="5"/>
      <c r="U282" s="5"/>
      <c r="V282" s="5"/>
      <c r="W282" s="5"/>
      <c r="X282" s="5"/>
      <c r="Y282" s="5"/>
    </row>
    <row r="283" spans="1:25" ht="15.75" customHeight="1">
      <c r="A283" s="3"/>
      <c r="P283" s="5"/>
      <c r="Q283" s="5"/>
      <c r="R283" s="5"/>
      <c r="S283" s="5"/>
      <c r="T283" s="5"/>
      <c r="U283" s="5"/>
      <c r="V283" s="5"/>
      <c r="W283" s="5"/>
      <c r="X283" s="5"/>
      <c r="Y283" s="5"/>
    </row>
    <row r="284" spans="1:25" ht="15.75" customHeight="1">
      <c r="A284" s="3"/>
      <c r="P284" s="5"/>
      <c r="Q284" s="5"/>
      <c r="R284" s="5"/>
      <c r="S284" s="5"/>
      <c r="T284" s="5"/>
      <c r="U284" s="5"/>
      <c r="V284" s="5"/>
      <c r="W284" s="5"/>
      <c r="X284" s="5"/>
      <c r="Y284" s="5"/>
    </row>
    <row r="285" spans="1:25" ht="15.75" customHeight="1">
      <c r="A285" s="3"/>
      <c r="P285" s="5"/>
      <c r="Q285" s="5"/>
      <c r="R285" s="5"/>
      <c r="S285" s="5"/>
      <c r="T285" s="5"/>
      <c r="U285" s="5"/>
      <c r="V285" s="5"/>
      <c r="W285" s="5"/>
      <c r="X285" s="5"/>
      <c r="Y285" s="5"/>
    </row>
    <row r="286" spans="1:25" ht="15.75" customHeight="1">
      <c r="A286" s="3"/>
      <c r="P286" s="5"/>
      <c r="Q286" s="5"/>
      <c r="R286" s="5"/>
      <c r="S286" s="5"/>
      <c r="T286" s="5"/>
      <c r="U286" s="5"/>
      <c r="V286" s="5"/>
      <c r="W286" s="5"/>
      <c r="X286" s="5"/>
      <c r="Y286" s="5"/>
    </row>
    <row r="287" spans="1:25" ht="15.75" customHeight="1">
      <c r="A287" s="3"/>
      <c r="P287" s="5"/>
      <c r="Q287" s="5"/>
      <c r="R287" s="5"/>
      <c r="S287" s="5"/>
      <c r="T287" s="5"/>
      <c r="U287" s="5"/>
      <c r="V287" s="5"/>
      <c r="W287" s="5"/>
      <c r="X287" s="5"/>
      <c r="Y287" s="5"/>
    </row>
    <row r="288" spans="1:25" ht="15.75" customHeight="1">
      <c r="A288" s="3"/>
      <c r="P288" s="5"/>
      <c r="Q288" s="5"/>
      <c r="R288" s="5"/>
      <c r="S288" s="5"/>
      <c r="T288" s="5"/>
      <c r="U288" s="5"/>
      <c r="V288" s="5"/>
      <c r="W288" s="5"/>
      <c r="X288" s="5"/>
      <c r="Y288" s="5"/>
    </row>
    <row r="289" spans="1:25" ht="15.75" customHeight="1">
      <c r="A289" s="3"/>
      <c r="P289" s="5"/>
      <c r="Q289" s="5"/>
      <c r="R289" s="5"/>
      <c r="S289" s="5"/>
      <c r="T289" s="5"/>
      <c r="U289" s="5"/>
      <c r="V289" s="5"/>
      <c r="W289" s="5"/>
      <c r="X289" s="5"/>
      <c r="Y289" s="5"/>
    </row>
    <row r="290" spans="1:25" ht="15.75" customHeight="1">
      <c r="A290" s="3"/>
      <c r="P290" s="5"/>
      <c r="Q290" s="5"/>
      <c r="R290" s="5"/>
      <c r="S290" s="5"/>
      <c r="T290" s="5"/>
      <c r="U290" s="5"/>
      <c r="V290" s="5"/>
      <c r="W290" s="5"/>
      <c r="X290" s="5"/>
      <c r="Y290" s="5"/>
    </row>
    <row r="291" spans="1:25" ht="15.75" customHeight="1">
      <c r="A291" s="3"/>
      <c r="P291" s="5"/>
      <c r="Q291" s="5"/>
      <c r="R291" s="5"/>
      <c r="S291" s="5"/>
      <c r="T291" s="5"/>
      <c r="U291" s="5"/>
      <c r="V291" s="5"/>
      <c r="W291" s="5"/>
      <c r="X291" s="5"/>
      <c r="Y291" s="5"/>
    </row>
    <row r="292" spans="1:25" ht="15.75" customHeight="1">
      <c r="A292" s="3"/>
      <c r="P292" s="5"/>
      <c r="Q292" s="5"/>
      <c r="R292" s="5"/>
      <c r="S292" s="5"/>
      <c r="T292" s="5"/>
      <c r="U292" s="5"/>
      <c r="V292" s="5"/>
      <c r="W292" s="5"/>
      <c r="X292" s="5"/>
      <c r="Y292" s="5"/>
    </row>
    <row r="293" spans="1:25" ht="15.75" customHeight="1">
      <c r="A293" s="3"/>
      <c r="P293" s="5"/>
      <c r="Q293" s="5"/>
      <c r="R293" s="5"/>
      <c r="S293" s="5"/>
      <c r="T293" s="5"/>
      <c r="U293" s="5"/>
      <c r="V293" s="5"/>
      <c r="W293" s="5"/>
      <c r="X293" s="5"/>
      <c r="Y293" s="5"/>
    </row>
    <row r="294" spans="1:25" ht="15.75" customHeight="1">
      <c r="A294" s="3"/>
      <c r="P294" s="5"/>
      <c r="Q294" s="5"/>
      <c r="R294" s="5"/>
      <c r="S294" s="5"/>
      <c r="T294" s="5"/>
      <c r="U294" s="5"/>
      <c r="V294" s="5"/>
      <c r="W294" s="5"/>
      <c r="X294" s="5"/>
      <c r="Y294" s="5"/>
    </row>
    <row r="295" spans="1:25" ht="15.75" customHeight="1">
      <c r="A295" s="3"/>
      <c r="P295" s="5"/>
      <c r="Q295" s="5"/>
      <c r="R295" s="5"/>
      <c r="S295" s="5"/>
      <c r="T295" s="5"/>
      <c r="U295" s="5"/>
      <c r="V295" s="5"/>
      <c r="W295" s="5"/>
      <c r="X295" s="5"/>
      <c r="Y295" s="5"/>
    </row>
    <row r="296" spans="1:25" ht="15.75" customHeight="1">
      <c r="A296" s="3"/>
      <c r="P296" s="5"/>
      <c r="Q296" s="5"/>
      <c r="R296" s="5"/>
      <c r="S296" s="5"/>
      <c r="T296" s="5"/>
      <c r="U296" s="5"/>
      <c r="V296" s="5"/>
      <c r="W296" s="5"/>
      <c r="X296" s="5"/>
      <c r="Y296" s="5"/>
    </row>
    <row r="297" spans="1:25" ht="15.75" customHeight="1">
      <c r="A297" s="3"/>
      <c r="P297" s="5"/>
      <c r="Q297" s="5"/>
      <c r="R297" s="5"/>
      <c r="S297" s="5"/>
      <c r="T297" s="5"/>
      <c r="U297" s="5"/>
      <c r="V297" s="5"/>
      <c r="W297" s="5"/>
      <c r="X297" s="5"/>
      <c r="Y297" s="5"/>
    </row>
    <row r="298" spans="1:25" ht="15.75" customHeight="1">
      <c r="A298" s="3"/>
      <c r="P298" s="5"/>
      <c r="Q298" s="5"/>
      <c r="R298" s="5"/>
      <c r="S298" s="5"/>
      <c r="T298" s="5"/>
      <c r="U298" s="5"/>
      <c r="V298" s="5"/>
      <c r="W298" s="5"/>
      <c r="X298" s="5"/>
      <c r="Y298" s="5"/>
    </row>
    <row r="299" spans="1:25" ht="15.75" customHeight="1">
      <c r="A299" s="3"/>
      <c r="P299" s="5"/>
      <c r="Q299" s="5"/>
      <c r="R299" s="5"/>
      <c r="S299" s="5"/>
      <c r="T299" s="5"/>
      <c r="U299" s="5"/>
      <c r="V299" s="5"/>
      <c r="W299" s="5"/>
      <c r="X299" s="5"/>
      <c r="Y299" s="5"/>
    </row>
    <row r="300" spans="1:25" ht="15.75" customHeight="1">
      <c r="A300" s="3"/>
      <c r="P300" s="5"/>
      <c r="Q300" s="5"/>
      <c r="R300" s="5"/>
      <c r="S300" s="5"/>
      <c r="T300" s="5"/>
      <c r="U300" s="5"/>
      <c r="V300" s="5"/>
      <c r="W300" s="5"/>
      <c r="X300" s="5"/>
      <c r="Y300" s="5"/>
    </row>
    <row r="301" spans="1:25" ht="15.75" customHeight="1">
      <c r="A301" s="3"/>
      <c r="P301" s="5"/>
      <c r="Q301" s="5"/>
      <c r="R301" s="5"/>
      <c r="S301" s="5"/>
      <c r="T301" s="5"/>
      <c r="U301" s="5"/>
      <c r="V301" s="5"/>
      <c r="W301" s="5"/>
      <c r="X301" s="5"/>
      <c r="Y301" s="5"/>
    </row>
    <row r="302" spans="1:25" ht="15.75" customHeight="1">
      <c r="A302" s="3"/>
      <c r="P302" s="5"/>
      <c r="Q302" s="5"/>
      <c r="R302" s="5"/>
      <c r="S302" s="5"/>
      <c r="T302" s="5"/>
      <c r="U302" s="5"/>
      <c r="V302" s="5"/>
      <c r="W302" s="5"/>
      <c r="X302" s="5"/>
      <c r="Y302" s="5"/>
    </row>
    <row r="303" spans="1:25" ht="15.75" customHeight="1">
      <c r="A303" s="3"/>
      <c r="P303" s="5"/>
      <c r="Q303" s="5"/>
      <c r="R303" s="5"/>
      <c r="S303" s="5"/>
      <c r="T303" s="5"/>
      <c r="U303" s="5"/>
      <c r="V303" s="5"/>
      <c r="W303" s="5"/>
      <c r="X303" s="5"/>
      <c r="Y303" s="5"/>
    </row>
    <row r="304" spans="1:25" ht="15.75" customHeight="1">
      <c r="A304" s="3"/>
      <c r="P304" s="5"/>
      <c r="Q304" s="5"/>
      <c r="R304" s="5"/>
      <c r="S304" s="5"/>
      <c r="T304" s="5"/>
      <c r="U304" s="5"/>
      <c r="V304" s="5"/>
      <c r="W304" s="5"/>
      <c r="X304" s="5"/>
      <c r="Y304" s="5"/>
    </row>
    <row r="305" spans="1:25" ht="15.75" customHeight="1">
      <c r="A305" s="3"/>
      <c r="P305" s="5"/>
      <c r="Q305" s="5"/>
      <c r="R305" s="5"/>
      <c r="S305" s="5"/>
      <c r="T305" s="5"/>
      <c r="U305" s="5"/>
      <c r="V305" s="5"/>
      <c r="W305" s="5"/>
      <c r="X305" s="5"/>
      <c r="Y305" s="5"/>
    </row>
    <row r="306" spans="1:25" ht="15.75" customHeight="1">
      <c r="A306" s="3"/>
      <c r="P306" s="5"/>
      <c r="Q306" s="5"/>
      <c r="R306" s="5"/>
      <c r="S306" s="5"/>
      <c r="T306" s="5"/>
      <c r="U306" s="5"/>
      <c r="V306" s="5"/>
      <c r="W306" s="5"/>
      <c r="X306" s="5"/>
      <c r="Y306" s="5"/>
    </row>
    <row r="307" spans="1:25" ht="15.75" customHeight="1">
      <c r="A307" s="3"/>
      <c r="P307" s="5"/>
      <c r="Q307" s="5"/>
      <c r="R307" s="5"/>
      <c r="S307" s="5"/>
      <c r="T307" s="5"/>
      <c r="U307" s="5"/>
      <c r="V307" s="5"/>
      <c r="W307" s="5"/>
      <c r="X307" s="5"/>
      <c r="Y307" s="5"/>
    </row>
    <row r="308" spans="1:25" ht="15.75" customHeight="1">
      <c r="A308" s="3"/>
      <c r="P308" s="5"/>
      <c r="Q308" s="5"/>
      <c r="R308" s="5"/>
      <c r="S308" s="5"/>
      <c r="T308" s="5"/>
      <c r="U308" s="5"/>
      <c r="V308" s="5"/>
      <c r="W308" s="5"/>
      <c r="X308" s="5"/>
      <c r="Y308" s="5"/>
    </row>
    <row r="309" spans="1:25" ht="15.75" customHeight="1">
      <c r="A309" s="3"/>
      <c r="P309" s="5"/>
      <c r="Q309" s="5"/>
      <c r="R309" s="5"/>
      <c r="S309" s="5"/>
      <c r="T309" s="5"/>
      <c r="U309" s="5"/>
      <c r="V309" s="5"/>
      <c r="W309" s="5"/>
      <c r="X309" s="5"/>
      <c r="Y309" s="5"/>
    </row>
    <row r="310" spans="1:25" ht="15.75" customHeight="1">
      <c r="A310" s="3"/>
      <c r="P310" s="5"/>
      <c r="Q310" s="5"/>
      <c r="R310" s="5"/>
      <c r="S310" s="5"/>
      <c r="T310" s="5"/>
      <c r="U310" s="5"/>
      <c r="V310" s="5"/>
      <c r="W310" s="5"/>
      <c r="X310" s="5"/>
      <c r="Y310" s="5"/>
    </row>
    <row r="311" spans="1:25" ht="15.75" customHeight="1">
      <c r="A311" s="3"/>
      <c r="P311" s="5"/>
      <c r="Q311" s="5"/>
      <c r="R311" s="5"/>
      <c r="S311" s="5"/>
      <c r="T311" s="5"/>
      <c r="U311" s="5"/>
      <c r="V311" s="5"/>
      <c r="W311" s="5"/>
      <c r="X311" s="5"/>
      <c r="Y311" s="5"/>
    </row>
    <row r="312" spans="1:25" ht="15.75" customHeight="1">
      <c r="A312" s="3"/>
      <c r="P312" s="5"/>
      <c r="Q312" s="5"/>
      <c r="R312" s="5"/>
      <c r="S312" s="5"/>
      <c r="T312" s="5"/>
      <c r="U312" s="5"/>
      <c r="V312" s="5"/>
      <c r="W312" s="5"/>
      <c r="X312" s="5"/>
      <c r="Y312" s="5"/>
    </row>
    <row r="313" spans="1:25" ht="15.75" customHeight="1">
      <c r="A313" s="3"/>
      <c r="P313" s="5"/>
      <c r="Q313" s="5"/>
      <c r="R313" s="5"/>
      <c r="S313" s="5"/>
      <c r="T313" s="5"/>
      <c r="U313" s="5"/>
      <c r="V313" s="5"/>
      <c r="W313" s="5"/>
      <c r="X313" s="5"/>
      <c r="Y313" s="5"/>
    </row>
    <row r="314" spans="1:25" ht="15.75" customHeight="1">
      <c r="A314" s="3"/>
      <c r="P314" s="5"/>
      <c r="Q314" s="5"/>
      <c r="R314" s="5"/>
      <c r="S314" s="5"/>
      <c r="T314" s="5"/>
      <c r="U314" s="5"/>
      <c r="V314" s="5"/>
      <c r="W314" s="5"/>
      <c r="X314" s="5"/>
      <c r="Y314" s="5"/>
    </row>
    <row r="315" spans="1:25" ht="15.75" customHeight="1">
      <c r="A315" s="3"/>
      <c r="P315" s="5"/>
      <c r="Q315" s="5"/>
      <c r="R315" s="5"/>
      <c r="S315" s="5"/>
      <c r="T315" s="5"/>
      <c r="U315" s="5"/>
      <c r="V315" s="5"/>
      <c r="W315" s="5"/>
      <c r="X315" s="5"/>
      <c r="Y315" s="5"/>
    </row>
    <row r="316" spans="1:25" ht="15.75" customHeight="1">
      <c r="A316" s="3"/>
      <c r="P316" s="5"/>
      <c r="Q316" s="5"/>
      <c r="R316" s="5"/>
      <c r="S316" s="5"/>
      <c r="T316" s="5"/>
      <c r="U316" s="5"/>
      <c r="V316" s="5"/>
      <c r="W316" s="5"/>
      <c r="X316" s="5"/>
      <c r="Y316" s="5"/>
    </row>
    <row r="317" spans="1:25" ht="15.75" customHeight="1">
      <c r="A317" s="3"/>
      <c r="P317" s="5"/>
      <c r="Q317" s="5"/>
      <c r="R317" s="5"/>
      <c r="S317" s="5"/>
      <c r="T317" s="5"/>
      <c r="U317" s="5"/>
      <c r="V317" s="5"/>
      <c r="W317" s="5"/>
      <c r="X317" s="5"/>
      <c r="Y317" s="5"/>
    </row>
    <row r="318" spans="1:25" ht="15.75" customHeight="1">
      <c r="A318" s="3"/>
      <c r="P318" s="5"/>
      <c r="Q318" s="5"/>
      <c r="R318" s="5"/>
      <c r="S318" s="5"/>
      <c r="T318" s="5"/>
      <c r="U318" s="5"/>
      <c r="V318" s="5"/>
      <c r="W318" s="5"/>
      <c r="X318" s="5"/>
      <c r="Y318" s="5"/>
    </row>
    <row r="319" spans="1:25" ht="15.75" customHeight="1">
      <c r="A319" s="3"/>
      <c r="P319" s="5"/>
      <c r="Q319" s="5"/>
      <c r="R319" s="5"/>
      <c r="S319" s="5"/>
      <c r="T319" s="5"/>
      <c r="U319" s="5"/>
      <c r="V319" s="5"/>
      <c r="W319" s="5"/>
      <c r="X319" s="5"/>
      <c r="Y319" s="5"/>
    </row>
    <row r="320" spans="1:25" ht="15.75" customHeight="1">
      <c r="A320" s="3"/>
      <c r="P320" s="5"/>
      <c r="Q320" s="5"/>
      <c r="R320" s="5"/>
      <c r="S320" s="5"/>
      <c r="T320" s="5"/>
      <c r="U320" s="5"/>
      <c r="V320" s="5"/>
      <c r="W320" s="5"/>
      <c r="X320" s="5"/>
      <c r="Y320" s="5"/>
    </row>
    <row r="321" spans="1:25" ht="15.75" customHeight="1">
      <c r="A321" s="3"/>
      <c r="P321" s="5"/>
      <c r="Q321" s="5"/>
      <c r="R321" s="5"/>
      <c r="S321" s="5"/>
      <c r="T321" s="5"/>
      <c r="U321" s="5"/>
      <c r="V321" s="5"/>
      <c r="W321" s="5"/>
      <c r="X321" s="5"/>
      <c r="Y321" s="5"/>
    </row>
    <row r="322" spans="1:25" ht="15.75" customHeight="1">
      <c r="A322" s="3"/>
      <c r="P322" s="5"/>
      <c r="Q322" s="5"/>
      <c r="R322" s="5"/>
      <c r="S322" s="5"/>
      <c r="T322" s="5"/>
      <c r="U322" s="5"/>
      <c r="V322" s="5"/>
      <c r="W322" s="5"/>
      <c r="X322" s="5"/>
      <c r="Y322" s="5"/>
    </row>
    <row r="323" spans="1:25" ht="15.75" customHeight="1">
      <c r="A323" s="3"/>
      <c r="P323" s="5"/>
      <c r="Q323" s="5"/>
      <c r="R323" s="5"/>
      <c r="S323" s="5"/>
      <c r="T323" s="5"/>
      <c r="U323" s="5"/>
      <c r="V323" s="5"/>
      <c r="W323" s="5"/>
      <c r="X323" s="5"/>
      <c r="Y323" s="5"/>
    </row>
    <row r="324" spans="1:25" ht="15.75" customHeight="1">
      <c r="A324" s="3"/>
      <c r="P324" s="5"/>
      <c r="Q324" s="5"/>
      <c r="R324" s="5"/>
      <c r="S324" s="5"/>
      <c r="T324" s="5"/>
      <c r="U324" s="5"/>
      <c r="V324" s="5"/>
      <c r="W324" s="5"/>
      <c r="X324" s="5"/>
      <c r="Y324" s="5"/>
    </row>
    <row r="325" spans="1:25" ht="15.75" customHeight="1">
      <c r="A325" s="3"/>
      <c r="P325" s="5"/>
      <c r="Q325" s="5"/>
      <c r="R325" s="5"/>
      <c r="S325" s="5"/>
      <c r="T325" s="5"/>
      <c r="U325" s="5"/>
      <c r="V325" s="5"/>
      <c r="W325" s="5"/>
      <c r="X325" s="5"/>
      <c r="Y325" s="5"/>
    </row>
    <row r="326" spans="1:25" ht="15.75" customHeight="1">
      <c r="A326" s="3"/>
      <c r="P326" s="5"/>
      <c r="Q326" s="5"/>
      <c r="R326" s="5"/>
      <c r="S326" s="5"/>
      <c r="T326" s="5"/>
      <c r="U326" s="5"/>
      <c r="V326" s="5"/>
      <c r="W326" s="5"/>
      <c r="X326" s="5"/>
      <c r="Y326" s="5"/>
    </row>
    <row r="327" spans="1:25" ht="15.75" customHeight="1">
      <c r="A327" s="3"/>
      <c r="P327" s="5"/>
      <c r="Q327" s="5"/>
      <c r="R327" s="5"/>
      <c r="S327" s="5"/>
      <c r="T327" s="5"/>
      <c r="U327" s="5"/>
      <c r="V327" s="5"/>
      <c r="W327" s="5"/>
      <c r="X327" s="5"/>
      <c r="Y327" s="5"/>
    </row>
    <row r="328" spans="1:25" ht="15.75" customHeight="1">
      <c r="A328" s="3"/>
      <c r="P328" s="5"/>
      <c r="Q328" s="5"/>
      <c r="R328" s="5"/>
      <c r="S328" s="5"/>
      <c r="T328" s="5"/>
      <c r="U328" s="5"/>
      <c r="V328" s="5"/>
      <c r="W328" s="5"/>
      <c r="X328" s="5"/>
      <c r="Y328" s="5"/>
    </row>
    <row r="329" spans="1:25" ht="15.75" customHeight="1">
      <c r="A329" s="3"/>
      <c r="P329" s="5"/>
      <c r="Q329" s="5"/>
      <c r="R329" s="5"/>
      <c r="S329" s="5"/>
      <c r="T329" s="5"/>
      <c r="U329" s="5"/>
      <c r="V329" s="5"/>
      <c r="W329" s="5"/>
      <c r="X329" s="5"/>
      <c r="Y329" s="5"/>
    </row>
    <row r="330" spans="1:25" ht="15.75" customHeight="1">
      <c r="A330" s="3"/>
      <c r="P330" s="5"/>
      <c r="Q330" s="5"/>
      <c r="R330" s="5"/>
      <c r="S330" s="5"/>
      <c r="T330" s="5"/>
      <c r="U330" s="5"/>
      <c r="V330" s="5"/>
      <c r="W330" s="5"/>
      <c r="X330" s="5"/>
      <c r="Y330" s="5"/>
    </row>
    <row r="331" spans="1:25" ht="15.75" customHeight="1">
      <c r="A331" s="3"/>
      <c r="P331" s="5"/>
      <c r="Q331" s="5"/>
      <c r="R331" s="5"/>
      <c r="S331" s="5"/>
      <c r="T331" s="5"/>
      <c r="U331" s="5"/>
      <c r="V331" s="5"/>
      <c r="W331" s="5"/>
      <c r="X331" s="5"/>
      <c r="Y331" s="5"/>
    </row>
    <row r="332" spans="1:25" ht="15.75" customHeight="1">
      <c r="A332" s="3"/>
      <c r="P332" s="5"/>
      <c r="Q332" s="5"/>
      <c r="R332" s="5"/>
      <c r="S332" s="5"/>
      <c r="T332" s="5"/>
      <c r="U332" s="5"/>
      <c r="V332" s="5"/>
      <c r="W332" s="5"/>
      <c r="X332" s="5"/>
      <c r="Y332" s="5"/>
    </row>
    <row r="333" spans="1:25" ht="15.75" customHeight="1">
      <c r="A333" s="3"/>
      <c r="P333" s="5"/>
      <c r="Q333" s="5"/>
      <c r="R333" s="5"/>
      <c r="S333" s="5"/>
      <c r="T333" s="5"/>
      <c r="U333" s="5"/>
      <c r="V333" s="5"/>
      <c r="W333" s="5"/>
      <c r="X333" s="5"/>
      <c r="Y333" s="5"/>
    </row>
    <row r="334" spans="1:25" ht="15.75" customHeight="1">
      <c r="A334" s="3"/>
      <c r="P334" s="5"/>
      <c r="Q334" s="5"/>
      <c r="R334" s="5"/>
      <c r="S334" s="5"/>
      <c r="T334" s="5"/>
      <c r="U334" s="5"/>
      <c r="V334" s="5"/>
      <c r="W334" s="5"/>
      <c r="X334" s="5"/>
      <c r="Y334" s="5"/>
    </row>
    <row r="335" spans="1:25" ht="15.75" customHeight="1">
      <c r="A335" s="3"/>
      <c r="P335" s="5"/>
      <c r="Q335" s="5"/>
      <c r="R335" s="5"/>
      <c r="S335" s="5"/>
      <c r="T335" s="5"/>
      <c r="U335" s="5"/>
      <c r="V335" s="5"/>
      <c r="W335" s="5"/>
      <c r="X335" s="5"/>
      <c r="Y335" s="5"/>
    </row>
    <row r="336" spans="1:25" ht="15.75" customHeight="1">
      <c r="A336" s="3"/>
      <c r="P336" s="5"/>
      <c r="Q336" s="5"/>
      <c r="R336" s="5"/>
      <c r="S336" s="5"/>
      <c r="T336" s="5"/>
      <c r="U336" s="5"/>
      <c r="V336" s="5"/>
      <c r="W336" s="5"/>
      <c r="X336" s="5"/>
      <c r="Y336" s="5"/>
    </row>
    <row r="337" spans="1:25" ht="15.75" customHeight="1">
      <c r="A337" s="3"/>
      <c r="P337" s="5"/>
      <c r="Q337" s="5"/>
      <c r="R337" s="5"/>
      <c r="S337" s="5"/>
      <c r="T337" s="5"/>
      <c r="U337" s="5"/>
      <c r="V337" s="5"/>
      <c r="W337" s="5"/>
      <c r="X337" s="5"/>
      <c r="Y337" s="5"/>
    </row>
    <row r="338" spans="1:25" ht="15.75" customHeight="1">
      <c r="A338" s="3"/>
      <c r="P338" s="5"/>
      <c r="Q338" s="5"/>
      <c r="R338" s="5"/>
      <c r="S338" s="5"/>
      <c r="T338" s="5"/>
      <c r="U338" s="5"/>
      <c r="V338" s="5"/>
      <c r="W338" s="5"/>
      <c r="X338" s="5"/>
      <c r="Y338" s="5"/>
    </row>
    <row r="339" spans="1:25" ht="15.75" customHeight="1">
      <c r="A339" s="3"/>
      <c r="P339" s="5"/>
      <c r="Q339" s="5"/>
      <c r="R339" s="5"/>
      <c r="S339" s="5"/>
      <c r="T339" s="5"/>
      <c r="U339" s="5"/>
      <c r="V339" s="5"/>
      <c r="W339" s="5"/>
      <c r="X339" s="5"/>
      <c r="Y339" s="5"/>
    </row>
    <row r="340" spans="1:25" ht="15.75" customHeight="1">
      <c r="A340" s="3"/>
      <c r="P340" s="5"/>
      <c r="Q340" s="5"/>
      <c r="R340" s="5"/>
      <c r="S340" s="5"/>
      <c r="T340" s="5"/>
      <c r="U340" s="5"/>
      <c r="V340" s="5"/>
      <c r="W340" s="5"/>
      <c r="X340" s="5"/>
      <c r="Y340" s="5"/>
    </row>
    <row r="341" spans="1:25" ht="15.75" customHeight="1">
      <c r="A341" s="3"/>
      <c r="P341" s="5"/>
      <c r="Q341" s="5"/>
      <c r="R341" s="5"/>
      <c r="S341" s="5"/>
      <c r="T341" s="5"/>
      <c r="U341" s="5"/>
      <c r="V341" s="5"/>
      <c r="W341" s="5"/>
      <c r="X341" s="5"/>
      <c r="Y341" s="5"/>
    </row>
    <row r="342" spans="1:25" ht="15.75" customHeight="1">
      <c r="A342" s="3"/>
      <c r="P342" s="5"/>
      <c r="Q342" s="5"/>
      <c r="R342" s="5"/>
      <c r="S342" s="5"/>
      <c r="T342" s="5"/>
      <c r="U342" s="5"/>
      <c r="V342" s="5"/>
      <c r="W342" s="5"/>
      <c r="X342" s="5"/>
      <c r="Y342" s="5"/>
    </row>
    <row r="343" spans="1:25" ht="15.75" customHeight="1">
      <c r="A343" s="3"/>
      <c r="P343" s="5"/>
      <c r="Q343" s="5"/>
      <c r="R343" s="5"/>
      <c r="S343" s="5"/>
      <c r="T343" s="5"/>
      <c r="U343" s="5"/>
      <c r="V343" s="5"/>
      <c r="W343" s="5"/>
      <c r="X343" s="5"/>
      <c r="Y343" s="5"/>
    </row>
    <row r="344" spans="1:25" ht="15.75" customHeight="1">
      <c r="A344" s="3"/>
      <c r="P344" s="5"/>
      <c r="Q344" s="5"/>
      <c r="R344" s="5"/>
      <c r="S344" s="5"/>
      <c r="T344" s="5"/>
      <c r="U344" s="5"/>
      <c r="V344" s="5"/>
      <c r="W344" s="5"/>
      <c r="X344" s="5"/>
      <c r="Y344" s="5"/>
    </row>
    <row r="345" spans="1:25" ht="15.75" customHeight="1">
      <c r="A345" s="3"/>
      <c r="P345" s="5"/>
      <c r="Q345" s="5"/>
      <c r="R345" s="5"/>
      <c r="S345" s="5"/>
      <c r="T345" s="5"/>
      <c r="U345" s="5"/>
      <c r="V345" s="5"/>
      <c r="W345" s="5"/>
      <c r="X345" s="5"/>
      <c r="Y345" s="5"/>
    </row>
    <row r="346" spans="1:25" ht="15.75" customHeight="1">
      <c r="A346" s="3"/>
      <c r="P346" s="5"/>
      <c r="Q346" s="5"/>
      <c r="R346" s="5"/>
      <c r="S346" s="5"/>
      <c r="T346" s="5"/>
      <c r="U346" s="5"/>
      <c r="V346" s="5"/>
      <c r="W346" s="5"/>
      <c r="X346" s="5"/>
      <c r="Y346" s="5"/>
    </row>
    <row r="347" spans="1:25" ht="15.75" customHeight="1">
      <c r="A347" s="3"/>
      <c r="P347" s="5"/>
      <c r="Q347" s="5"/>
      <c r="R347" s="5"/>
      <c r="S347" s="5"/>
      <c r="T347" s="5"/>
      <c r="U347" s="5"/>
      <c r="V347" s="5"/>
      <c r="W347" s="5"/>
      <c r="X347" s="5"/>
      <c r="Y347" s="5"/>
    </row>
    <row r="348" spans="1:25" ht="15.75" customHeight="1">
      <c r="A348" s="3"/>
      <c r="P348" s="5"/>
      <c r="Q348" s="5"/>
      <c r="R348" s="5"/>
      <c r="S348" s="5"/>
      <c r="T348" s="5"/>
      <c r="U348" s="5"/>
      <c r="V348" s="5"/>
      <c r="W348" s="5"/>
      <c r="X348" s="5"/>
      <c r="Y348" s="5"/>
    </row>
    <row r="349" spans="1:25" ht="15.75" customHeight="1">
      <c r="A349" s="3"/>
      <c r="P349" s="5"/>
      <c r="Q349" s="5"/>
      <c r="R349" s="5"/>
      <c r="S349" s="5"/>
      <c r="T349" s="5"/>
      <c r="U349" s="5"/>
      <c r="V349" s="5"/>
      <c r="W349" s="5"/>
      <c r="X349" s="5"/>
      <c r="Y349" s="5"/>
    </row>
    <row r="350" spans="1:25" ht="15.75" customHeight="1">
      <c r="A350" s="3"/>
      <c r="P350" s="5"/>
      <c r="Q350" s="5"/>
      <c r="R350" s="5"/>
      <c r="S350" s="5"/>
      <c r="T350" s="5"/>
      <c r="U350" s="5"/>
      <c r="V350" s="5"/>
      <c r="W350" s="5"/>
      <c r="X350" s="5"/>
      <c r="Y350" s="5"/>
    </row>
    <row r="351" spans="1:25" ht="15.75" customHeight="1">
      <c r="A351" s="3"/>
      <c r="P351" s="5"/>
      <c r="Q351" s="5"/>
      <c r="R351" s="5"/>
      <c r="S351" s="5"/>
      <c r="T351" s="5"/>
      <c r="U351" s="5"/>
      <c r="V351" s="5"/>
      <c r="W351" s="5"/>
      <c r="X351" s="5"/>
      <c r="Y351" s="5"/>
    </row>
    <row r="352" spans="1:25" ht="15.75" customHeight="1">
      <c r="A352" s="3"/>
      <c r="P352" s="5"/>
      <c r="Q352" s="5"/>
      <c r="R352" s="5"/>
      <c r="S352" s="5"/>
      <c r="T352" s="5"/>
      <c r="U352" s="5"/>
      <c r="V352" s="5"/>
      <c r="W352" s="5"/>
      <c r="X352" s="5"/>
      <c r="Y352" s="5"/>
    </row>
    <row r="353" spans="1:25" ht="15.75" customHeight="1">
      <c r="A353" s="3"/>
      <c r="P353" s="5"/>
      <c r="Q353" s="5"/>
      <c r="R353" s="5"/>
      <c r="S353" s="5"/>
      <c r="T353" s="5"/>
      <c r="U353" s="5"/>
      <c r="V353" s="5"/>
      <c r="W353" s="5"/>
      <c r="X353" s="5"/>
      <c r="Y353" s="5"/>
    </row>
    <row r="354" spans="1:25" ht="15.75" customHeight="1">
      <c r="A354" s="3"/>
      <c r="P354" s="5"/>
      <c r="Q354" s="5"/>
      <c r="R354" s="5"/>
      <c r="S354" s="5"/>
      <c r="T354" s="5"/>
      <c r="U354" s="5"/>
      <c r="V354" s="5"/>
      <c r="W354" s="5"/>
      <c r="X354" s="5"/>
      <c r="Y354" s="5"/>
    </row>
    <row r="355" spans="1:25" ht="15.75" customHeight="1">
      <c r="A355" s="3"/>
      <c r="P355" s="5"/>
      <c r="Q355" s="5"/>
      <c r="R355" s="5"/>
      <c r="S355" s="5"/>
      <c r="T355" s="5"/>
      <c r="U355" s="5"/>
      <c r="V355" s="5"/>
      <c r="W355" s="5"/>
      <c r="X355" s="5"/>
      <c r="Y355" s="5"/>
    </row>
    <row r="356" spans="1:25" ht="15.75" customHeight="1">
      <c r="A356" s="3"/>
      <c r="P356" s="5"/>
      <c r="Q356" s="5"/>
      <c r="R356" s="5"/>
      <c r="S356" s="5"/>
      <c r="T356" s="5"/>
      <c r="U356" s="5"/>
      <c r="V356" s="5"/>
      <c r="W356" s="5"/>
      <c r="X356" s="5"/>
      <c r="Y356" s="5"/>
    </row>
    <row r="357" spans="1:25" ht="15.75" customHeight="1">
      <c r="A357" s="3"/>
      <c r="P357" s="5"/>
      <c r="Q357" s="5"/>
      <c r="R357" s="5"/>
      <c r="S357" s="5"/>
      <c r="T357" s="5"/>
      <c r="U357" s="5"/>
      <c r="V357" s="5"/>
      <c r="W357" s="5"/>
      <c r="X357" s="5"/>
      <c r="Y357" s="5"/>
    </row>
    <row r="358" spans="1:25" ht="15.75" customHeight="1">
      <c r="A358" s="3"/>
      <c r="P358" s="5"/>
      <c r="Q358" s="5"/>
      <c r="R358" s="5"/>
      <c r="S358" s="5"/>
      <c r="T358" s="5"/>
      <c r="U358" s="5"/>
      <c r="V358" s="5"/>
      <c r="W358" s="5"/>
      <c r="X358" s="5"/>
      <c r="Y358" s="5"/>
    </row>
    <row r="359" spans="1:25" ht="15.75" customHeight="1">
      <c r="A359" s="3"/>
      <c r="P359" s="5"/>
      <c r="Q359" s="5"/>
      <c r="R359" s="5"/>
      <c r="S359" s="5"/>
      <c r="T359" s="5"/>
      <c r="U359" s="5"/>
      <c r="V359" s="5"/>
      <c r="W359" s="5"/>
      <c r="X359" s="5"/>
      <c r="Y359" s="5"/>
    </row>
    <row r="360" spans="1:25" ht="15.75" customHeight="1">
      <c r="A360" s="3"/>
      <c r="P360" s="5"/>
      <c r="Q360" s="5"/>
      <c r="R360" s="5"/>
      <c r="S360" s="5"/>
      <c r="T360" s="5"/>
      <c r="U360" s="5"/>
      <c r="V360" s="5"/>
      <c r="W360" s="5"/>
      <c r="X360" s="5"/>
      <c r="Y360" s="5"/>
    </row>
    <row r="361" spans="1:25" ht="15.75" customHeight="1">
      <c r="A361" s="3"/>
      <c r="P361" s="5"/>
      <c r="Q361" s="5"/>
      <c r="R361" s="5"/>
      <c r="S361" s="5"/>
      <c r="T361" s="5"/>
      <c r="U361" s="5"/>
      <c r="V361" s="5"/>
      <c r="W361" s="5"/>
      <c r="X361" s="5"/>
      <c r="Y361" s="5"/>
    </row>
    <row r="362" spans="1:25" ht="15.75" customHeight="1">
      <c r="A362" s="3"/>
      <c r="P362" s="5"/>
      <c r="Q362" s="5"/>
      <c r="R362" s="5"/>
      <c r="S362" s="5"/>
      <c r="T362" s="5"/>
      <c r="U362" s="5"/>
      <c r="V362" s="5"/>
      <c r="W362" s="5"/>
      <c r="X362" s="5"/>
      <c r="Y362" s="5"/>
    </row>
    <row r="363" spans="1:25" ht="15.75" customHeight="1">
      <c r="A363" s="3"/>
      <c r="P363" s="5"/>
      <c r="Q363" s="5"/>
      <c r="R363" s="5"/>
      <c r="S363" s="5"/>
      <c r="T363" s="5"/>
      <c r="U363" s="5"/>
      <c r="V363" s="5"/>
      <c r="W363" s="5"/>
      <c r="X363" s="5"/>
      <c r="Y363" s="5"/>
    </row>
    <row r="364" spans="1:25" ht="15.75" customHeight="1">
      <c r="A364" s="3"/>
      <c r="P364" s="5"/>
      <c r="Q364" s="5"/>
      <c r="R364" s="5"/>
      <c r="S364" s="5"/>
      <c r="T364" s="5"/>
      <c r="U364" s="5"/>
      <c r="V364" s="5"/>
      <c r="W364" s="5"/>
      <c r="X364" s="5"/>
      <c r="Y364" s="5"/>
    </row>
    <row r="365" spans="1:25" ht="15.75" customHeight="1">
      <c r="A365" s="3"/>
      <c r="P365" s="5"/>
      <c r="Q365" s="5"/>
      <c r="R365" s="5"/>
      <c r="S365" s="5"/>
      <c r="T365" s="5"/>
      <c r="U365" s="5"/>
      <c r="V365" s="5"/>
      <c r="W365" s="5"/>
      <c r="X365" s="5"/>
      <c r="Y365" s="5"/>
    </row>
    <row r="366" spans="1:25" ht="15.75" customHeight="1">
      <c r="A366" s="3"/>
      <c r="P366" s="5"/>
      <c r="Q366" s="5"/>
      <c r="R366" s="5"/>
      <c r="S366" s="5"/>
      <c r="T366" s="5"/>
      <c r="U366" s="5"/>
      <c r="V366" s="5"/>
      <c r="W366" s="5"/>
      <c r="X366" s="5"/>
      <c r="Y366" s="5"/>
    </row>
    <row r="367" spans="1:25" ht="15.75" customHeight="1">
      <c r="A367" s="3"/>
      <c r="P367" s="5"/>
      <c r="Q367" s="5"/>
      <c r="R367" s="5"/>
      <c r="S367" s="5"/>
      <c r="T367" s="5"/>
      <c r="U367" s="5"/>
      <c r="V367" s="5"/>
      <c r="W367" s="5"/>
      <c r="X367" s="5"/>
      <c r="Y367" s="5"/>
    </row>
    <row r="368" spans="1:25" ht="15.75" customHeight="1">
      <c r="A368" s="3"/>
      <c r="P368" s="5"/>
      <c r="Q368" s="5"/>
      <c r="R368" s="5"/>
      <c r="S368" s="5"/>
      <c r="T368" s="5"/>
      <c r="U368" s="5"/>
      <c r="V368" s="5"/>
      <c r="W368" s="5"/>
      <c r="X368" s="5"/>
      <c r="Y368" s="5"/>
    </row>
    <row r="369" spans="1:25" ht="15.75" customHeight="1">
      <c r="A369" s="3"/>
      <c r="P369" s="5"/>
      <c r="Q369" s="5"/>
      <c r="R369" s="5"/>
      <c r="S369" s="5"/>
      <c r="T369" s="5"/>
      <c r="U369" s="5"/>
      <c r="V369" s="5"/>
      <c r="W369" s="5"/>
      <c r="X369" s="5"/>
      <c r="Y369" s="5"/>
    </row>
    <row r="370" spans="1:25" ht="15.75" customHeight="1">
      <c r="A370" s="3"/>
      <c r="P370" s="5"/>
      <c r="Q370" s="5"/>
      <c r="R370" s="5"/>
      <c r="S370" s="5"/>
      <c r="T370" s="5"/>
      <c r="U370" s="5"/>
      <c r="V370" s="5"/>
      <c r="W370" s="5"/>
      <c r="X370" s="5"/>
      <c r="Y370" s="5"/>
    </row>
    <row r="371" spans="1:25" ht="15.75" customHeight="1">
      <c r="A371" s="3"/>
      <c r="P371" s="5"/>
      <c r="Q371" s="5"/>
      <c r="R371" s="5"/>
      <c r="S371" s="5"/>
      <c r="T371" s="5"/>
      <c r="U371" s="5"/>
      <c r="V371" s="5"/>
      <c r="W371" s="5"/>
      <c r="X371" s="5"/>
      <c r="Y371" s="5"/>
    </row>
    <row r="372" spans="1:25" ht="15.75" customHeight="1">
      <c r="A372" s="3"/>
      <c r="P372" s="5"/>
      <c r="Q372" s="5"/>
      <c r="R372" s="5"/>
      <c r="S372" s="5"/>
      <c r="T372" s="5"/>
      <c r="U372" s="5"/>
      <c r="V372" s="5"/>
      <c r="W372" s="5"/>
      <c r="X372" s="5"/>
      <c r="Y372" s="5"/>
    </row>
    <row r="373" spans="1:25" ht="15.75" customHeight="1">
      <c r="A373" s="3"/>
      <c r="P373" s="5"/>
      <c r="Q373" s="5"/>
      <c r="R373" s="5"/>
      <c r="S373" s="5"/>
      <c r="T373" s="5"/>
      <c r="U373" s="5"/>
      <c r="V373" s="5"/>
      <c r="W373" s="5"/>
      <c r="X373" s="5"/>
      <c r="Y373" s="5"/>
    </row>
    <row r="374" spans="1:25" ht="15.75" customHeight="1">
      <c r="A374" s="3"/>
      <c r="P374" s="5"/>
      <c r="Q374" s="5"/>
      <c r="R374" s="5"/>
      <c r="S374" s="5"/>
      <c r="T374" s="5"/>
      <c r="U374" s="5"/>
      <c r="V374" s="5"/>
      <c r="W374" s="5"/>
      <c r="X374" s="5"/>
      <c r="Y374" s="5"/>
    </row>
    <row r="375" spans="1:25" ht="15.75" customHeight="1">
      <c r="A375" s="3"/>
      <c r="P375" s="5"/>
      <c r="Q375" s="5"/>
      <c r="R375" s="5"/>
      <c r="S375" s="5"/>
      <c r="T375" s="5"/>
      <c r="U375" s="5"/>
      <c r="V375" s="5"/>
      <c r="W375" s="5"/>
      <c r="X375" s="5"/>
      <c r="Y375" s="5"/>
    </row>
    <row r="376" spans="1:25" ht="15.75" customHeight="1">
      <c r="A376" s="3"/>
      <c r="P376" s="5"/>
      <c r="Q376" s="5"/>
      <c r="R376" s="5"/>
      <c r="S376" s="5"/>
      <c r="T376" s="5"/>
      <c r="U376" s="5"/>
      <c r="V376" s="5"/>
      <c r="W376" s="5"/>
      <c r="X376" s="5"/>
      <c r="Y376" s="5"/>
    </row>
    <row r="377" spans="1:25" ht="15.75" customHeight="1">
      <c r="A377" s="3"/>
      <c r="P377" s="5"/>
      <c r="Q377" s="5"/>
      <c r="R377" s="5"/>
      <c r="S377" s="5"/>
      <c r="T377" s="5"/>
      <c r="U377" s="5"/>
      <c r="V377" s="5"/>
      <c r="W377" s="5"/>
      <c r="X377" s="5"/>
      <c r="Y377" s="5"/>
    </row>
    <row r="378" spans="1:25" ht="15.75" customHeight="1">
      <c r="A378" s="3"/>
      <c r="P378" s="5"/>
      <c r="Q378" s="5"/>
      <c r="R378" s="5"/>
      <c r="S378" s="5"/>
      <c r="T378" s="5"/>
      <c r="U378" s="5"/>
      <c r="V378" s="5"/>
      <c r="W378" s="5"/>
      <c r="X378" s="5"/>
      <c r="Y378" s="5"/>
    </row>
    <row r="379" spans="1:25" ht="15.75" customHeight="1">
      <c r="A379" s="3"/>
      <c r="P379" s="5"/>
      <c r="Q379" s="5"/>
      <c r="R379" s="5"/>
      <c r="S379" s="5"/>
      <c r="T379" s="5"/>
      <c r="U379" s="5"/>
      <c r="V379" s="5"/>
      <c r="W379" s="5"/>
      <c r="X379" s="5"/>
      <c r="Y379" s="5"/>
    </row>
    <row r="380" spans="1:25" ht="15.75" customHeight="1">
      <c r="A380" s="3"/>
      <c r="P380" s="5"/>
      <c r="Q380" s="5"/>
      <c r="R380" s="5"/>
      <c r="S380" s="5"/>
      <c r="T380" s="5"/>
      <c r="U380" s="5"/>
      <c r="V380" s="5"/>
      <c r="W380" s="5"/>
      <c r="X380" s="5"/>
      <c r="Y380" s="5"/>
    </row>
    <row r="381" spans="1:25" ht="15.75" customHeight="1">
      <c r="A381" s="3"/>
      <c r="P381" s="5"/>
      <c r="Q381" s="5"/>
      <c r="R381" s="5"/>
      <c r="S381" s="5"/>
      <c r="T381" s="5"/>
      <c r="U381" s="5"/>
      <c r="V381" s="5"/>
      <c r="W381" s="5"/>
      <c r="X381" s="5"/>
      <c r="Y381" s="5"/>
    </row>
    <row r="382" spans="1:25" ht="15.75" customHeight="1">
      <c r="A382" s="3"/>
      <c r="P382" s="5"/>
      <c r="Q382" s="5"/>
      <c r="R382" s="5"/>
      <c r="S382" s="5"/>
      <c r="T382" s="5"/>
      <c r="U382" s="5"/>
      <c r="V382" s="5"/>
      <c r="W382" s="5"/>
      <c r="X382" s="5"/>
      <c r="Y382" s="5"/>
    </row>
    <row r="383" spans="1:25" ht="15.75" customHeight="1">
      <c r="A383" s="3"/>
      <c r="P383" s="5"/>
      <c r="Q383" s="5"/>
      <c r="R383" s="5"/>
      <c r="S383" s="5"/>
      <c r="T383" s="5"/>
      <c r="U383" s="5"/>
      <c r="V383" s="5"/>
      <c r="W383" s="5"/>
      <c r="X383" s="5"/>
      <c r="Y383" s="5"/>
    </row>
    <row r="384" spans="1:25" ht="15.75" customHeight="1">
      <c r="A384" s="3"/>
      <c r="P384" s="5"/>
      <c r="Q384" s="5"/>
      <c r="R384" s="5"/>
      <c r="S384" s="5"/>
      <c r="T384" s="5"/>
      <c r="U384" s="5"/>
      <c r="V384" s="5"/>
      <c r="W384" s="5"/>
      <c r="X384" s="5"/>
      <c r="Y384" s="5"/>
    </row>
    <row r="385" spans="1:25" ht="15.75" customHeight="1">
      <c r="A385" s="3"/>
      <c r="P385" s="5"/>
      <c r="Q385" s="5"/>
      <c r="R385" s="5"/>
      <c r="S385" s="5"/>
      <c r="T385" s="5"/>
      <c r="U385" s="5"/>
      <c r="V385" s="5"/>
      <c r="W385" s="5"/>
      <c r="X385" s="5"/>
      <c r="Y385" s="5"/>
    </row>
    <row r="386" spans="1:25" ht="15.75" customHeight="1">
      <c r="A386" s="3"/>
      <c r="P386" s="5"/>
      <c r="Q386" s="5"/>
      <c r="R386" s="5"/>
      <c r="S386" s="5"/>
      <c r="T386" s="5"/>
      <c r="U386" s="5"/>
      <c r="V386" s="5"/>
      <c r="W386" s="5"/>
      <c r="X386" s="5"/>
      <c r="Y386" s="5"/>
    </row>
    <row r="387" spans="1:25" ht="15.75" customHeight="1">
      <c r="A387" s="3"/>
      <c r="P387" s="5"/>
      <c r="Q387" s="5"/>
      <c r="R387" s="5"/>
      <c r="S387" s="5"/>
      <c r="T387" s="5"/>
      <c r="U387" s="5"/>
      <c r="V387" s="5"/>
      <c r="W387" s="5"/>
      <c r="X387" s="5"/>
      <c r="Y387" s="5"/>
    </row>
    <row r="388" spans="1:25" ht="15.75" customHeight="1">
      <c r="A388" s="3"/>
      <c r="P388" s="5"/>
      <c r="Q388" s="5"/>
      <c r="R388" s="5"/>
      <c r="S388" s="5"/>
      <c r="T388" s="5"/>
      <c r="U388" s="5"/>
      <c r="V388" s="5"/>
      <c r="W388" s="5"/>
      <c r="X388" s="5"/>
      <c r="Y388" s="5"/>
    </row>
    <row r="389" spans="1:25" ht="15.75" customHeight="1">
      <c r="A389" s="3"/>
      <c r="P389" s="5"/>
      <c r="Q389" s="5"/>
      <c r="R389" s="5"/>
      <c r="S389" s="5"/>
      <c r="T389" s="5"/>
      <c r="U389" s="5"/>
      <c r="V389" s="5"/>
      <c r="W389" s="5"/>
      <c r="X389" s="5"/>
      <c r="Y389" s="5"/>
    </row>
    <row r="390" spans="1:25" ht="15.75" customHeight="1">
      <c r="A390" s="3"/>
      <c r="P390" s="5"/>
      <c r="Q390" s="5"/>
      <c r="R390" s="5"/>
      <c r="S390" s="5"/>
      <c r="T390" s="5"/>
      <c r="U390" s="5"/>
      <c r="V390" s="5"/>
      <c r="W390" s="5"/>
      <c r="X390" s="5"/>
      <c r="Y390" s="5"/>
    </row>
    <row r="391" spans="1:25" ht="15.75" customHeight="1">
      <c r="A391" s="3"/>
      <c r="P391" s="5"/>
      <c r="Q391" s="5"/>
      <c r="R391" s="5"/>
      <c r="S391" s="5"/>
      <c r="T391" s="5"/>
      <c r="U391" s="5"/>
      <c r="V391" s="5"/>
      <c r="W391" s="5"/>
      <c r="X391" s="5"/>
      <c r="Y391" s="5"/>
    </row>
    <row r="392" spans="1:25" ht="15.75" customHeight="1">
      <c r="A392" s="3"/>
      <c r="P392" s="5"/>
      <c r="Q392" s="5"/>
      <c r="R392" s="5"/>
      <c r="S392" s="5"/>
      <c r="T392" s="5"/>
      <c r="U392" s="5"/>
      <c r="V392" s="5"/>
      <c r="W392" s="5"/>
      <c r="X392" s="5"/>
      <c r="Y392" s="5"/>
    </row>
    <row r="393" spans="1:25" ht="15.75" customHeight="1">
      <c r="A393" s="3"/>
      <c r="P393" s="5"/>
      <c r="Q393" s="5"/>
      <c r="R393" s="5"/>
      <c r="S393" s="5"/>
      <c r="T393" s="5"/>
      <c r="U393" s="5"/>
      <c r="V393" s="5"/>
      <c r="W393" s="5"/>
      <c r="X393" s="5"/>
      <c r="Y393" s="5"/>
    </row>
    <row r="394" spans="1:25" ht="15.75" customHeight="1">
      <c r="A394" s="3"/>
      <c r="P394" s="5"/>
      <c r="Q394" s="5"/>
      <c r="R394" s="5"/>
      <c r="S394" s="5"/>
      <c r="T394" s="5"/>
      <c r="U394" s="5"/>
      <c r="V394" s="5"/>
      <c r="W394" s="5"/>
      <c r="X394" s="5"/>
      <c r="Y394" s="5"/>
    </row>
    <row r="395" spans="1:25" ht="15.75" customHeight="1">
      <c r="A395" s="3"/>
      <c r="P395" s="5"/>
      <c r="Q395" s="5"/>
      <c r="R395" s="5"/>
      <c r="S395" s="5"/>
      <c r="T395" s="5"/>
      <c r="U395" s="5"/>
      <c r="V395" s="5"/>
      <c r="W395" s="5"/>
      <c r="X395" s="5"/>
      <c r="Y395" s="5"/>
    </row>
    <row r="396" spans="1:25" ht="15.75" customHeight="1">
      <c r="A396" s="3"/>
      <c r="P396" s="5"/>
      <c r="Q396" s="5"/>
      <c r="R396" s="5"/>
      <c r="S396" s="5"/>
      <c r="T396" s="5"/>
      <c r="U396" s="5"/>
      <c r="V396" s="5"/>
      <c r="W396" s="5"/>
      <c r="X396" s="5"/>
      <c r="Y396" s="5"/>
    </row>
    <row r="397" spans="1:25" ht="15.75" customHeight="1">
      <c r="A397" s="3"/>
      <c r="P397" s="5"/>
      <c r="Q397" s="5"/>
      <c r="R397" s="5"/>
      <c r="S397" s="5"/>
      <c r="T397" s="5"/>
      <c r="U397" s="5"/>
      <c r="V397" s="5"/>
      <c r="W397" s="5"/>
      <c r="X397" s="5"/>
      <c r="Y397" s="5"/>
    </row>
    <row r="398" spans="1:25" ht="15.75" customHeight="1">
      <c r="A398" s="3"/>
      <c r="P398" s="5"/>
      <c r="Q398" s="5"/>
      <c r="R398" s="5"/>
      <c r="S398" s="5"/>
      <c r="T398" s="5"/>
      <c r="U398" s="5"/>
      <c r="V398" s="5"/>
      <c r="W398" s="5"/>
      <c r="X398" s="5"/>
      <c r="Y398" s="5"/>
    </row>
    <row r="399" spans="1:25" ht="15.75" customHeight="1">
      <c r="A399" s="3"/>
      <c r="P399" s="5"/>
      <c r="Q399" s="5"/>
      <c r="R399" s="5"/>
      <c r="S399" s="5"/>
      <c r="T399" s="5"/>
      <c r="U399" s="5"/>
      <c r="V399" s="5"/>
      <c r="W399" s="5"/>
      <c r="X399" s="5"/>
      <c r="Y399" s="5"/>
    </row>
    <row r="400" spans="1:25" ht="15.75" customHeight="1">
      <c r="A400" s="3"/>
      <c r="P400" s="5"/>
      <c r="Q400" s="5"/>
      <c r="R400" s="5"/>
      <c r="S400" s="5"/>
      <c r="T400" s="5"/>
      <c r="U400" s="5"/>
      <c r="V400" s="5"/>
      <c r="W400" s="5"/>
      <c r="X400" s="5"/>
      <c r="Y400" s="5"/>
    </row>
    <row r="401" spans="1:25" ht="15.75" customHeight="1">
      <c r="A401" s="3"/>
      <c r="P401" s="5"/>
      <c r="Q401" s="5"/>
      <c r="R401" s="5"/>
      <c r="S401" s="5"/>
      <c r="T401" s="5"/>
      <c r="U401" s="5"/>
      <c r="V401" s="5"/>
      <c r="W401" s="5"/>
      <c r="X401" s="5"/>
      <c r="Y401" s="5"/>
    </row>
    <row r="402" spans="1:25" ht="15.75" customHeight="1">
      <c r="A402" s="3"/>
      <c r="P402" s="5"/>
      <c r="Q402" s="5"/>
      <c r="R402" s="5"/>
      <c r="S402" s="5"/>
      <c r="T402" s="5"/>
      <c r="U402" s="5"/>
      <c r="V402" s="5"/>
      <c r="W402" s="5"/>
      <c r="X402" s="5"/>
      <c r="Y402" s="5"/>
    </row>
    <row r="403" spans="1:25" ht="15.75" customHeight="1">
      <c r="A403" s="3"/>
      <c r="P403" s="5"/>
      <c r="Q403" s="5"/>
      <c r="R403" s="5"/>
      <c r="S403" s="5"/>
      <c r="T403" s="5"/>
      <c r="U403" s="5"/>
      <c r="V403" s="5"/>
      <c r="W403" s="5"/>
      <c r="X403" s="5"/>
      <c r="Y403" s="5"/>
    </row>
    <row r="404" spans="1:25" ht="15.75" customHeight="1">
      <c r="A404" s="3"/>
      <c r="P404" s="5"/>
      <c r="Q404" s="5"/>
      <c r="R404" s="5"/>
      <c r="S404" s="5"/>
      <c r="T404" s="5"/>
      <c r="U404" s="5"/>
      <c r="V404" s="5"/>
      <c r="W404" s="5"/>
      <c r="X404" s="5"/>
      <c r="Y404" s="5"/>
    </row>
    <row r="405" spans="1:25" ht="15.75" customHeight="1">
      <c r="A405" s="3"/>
      <c r="P405" s="5"/>
      <c r="Q405" s="5"/>
      <c r="R405" s="5"/>
      <c r="S405" s="5"/>
      <c r="T405" s="5"/>
      <c r="U405" s="5"/>
      <c r="V405" s="5"/>
      <c r="W405" s="5"/>
      <c r="X405" s="5"/>
      <c r="Y405" s="5"/>
    </row>
    <row r="406" spans="1:25" ht="15.75" customHeight="1">
      <c r="A406" s="3"/>
      <c r="P406" s="5"/>
      <c r="Q406" s="5"/>
      <c r="R406" s="5"/>
      <c r="S406" s="5"/>
      <c r="T406" s="5"/>
      <c r="U406" s="5"/>
      <c r="V406" s="5"/>
      <c r="W406" s="5"/>
      <c r="X406" s="5"/>
      <c r="Y406" s="5"/>
    </row>
    <row r="407" spans="1:25" ht="15.75" customHeight="1">
      <c r="A407" s="3"/>
      <c r="P407" s="5"/>
      <c r="Q407" s="5"/>
      <c r="R407" s="5"/>
      <c r="S407" s="5"/>
      <c r="T407" s="5"/>
      <c r="U407" s="5"/>
      <c r="V407" s="5"/>
      <c r="W407" s="5"/>
      <c r="X407" s="5"/>
      <c r="Y407" s="5"/>
    </row>
    <row r="408" spans="1:25" ht="15.75" customHeight="1">
      <c r="A408" s="3"/>
      <c r="P408" s="5"/>
      <c r="Q408" s="5"/>
      <c r="R408" s="5"/>
      <c r="S408" s="5"/>
      <c r="T408" s="5"/>
      <c r="U408" s="5"/>
      <c r="V408" s="5"/>
      <c r="W408" s="5"/>
      <c r="X408" s="5"/>
      <c r="Y408" s="5"/>
    </row>
    <row r="409" spans="1:25" ht="15.75" customHeight="1">
      <c r="A409" s="3"/>
      <c r="P409" s="5"/>
      <c r="Q409" s="5"/>
      <c r="R409" s="5"/>
      <c r="S409" s="5"/>
      <c r="T409" s="5"/>
      <c r="U409" s="5"/>
      <c r="V409" s="5"/>
      <c r="W409" s="5"/>
      <c r="X409" s="5"/>
      <c r="Y409" s="5"/>
    </row>
    <row r="410" spans="1:25" ht="15.75" customHeight="1">
      <c r="A410" s="3"/>
      <c r="P410" s="5"/>
      <c r="Q410" s="5"/>
      <c r="R410" s="5"/>
      <c r="S410" s="5"/>
      <c r="T410" s="5"/>
      <c r="U410" s="5"/>
      <c r="V410" s="5"/>
      <c r="W410" s="5"/>
      <c r="X410" s="5"/>
      <c r="Y410" s="5"/>
    </row>
    <row r="411" spans="1:25" ht="15.75" customHeight="1">
      <c r="A411" s="3"/>
      <c r="P411" s="5"/>
      <c r="Q411" s="5"/>
      <c r="R411" s="5"/>
      <c r="S411" s="5"/>
      <c r="T411" s="5"/>
      <c r="U411" s="5"/>
      <c r="V411" s="5"/>
      <c r="W411" s="5"/>
      <c r="X411" s="5"/>
      <c r="Y411" s="5"/>
    </row>
    <row r="412" spans="1:25" ht="15.75" customHeight="1">
      <c r="A412" s="3"/>
      <c r="P412" s="5"/>
      <c r="Q412" s="5"/>
      <c r="R412" s="5"/>
      <c r="S412" s="5"/>
      <c r="T412" s="5"/>
      <c r="U412" s="5"/>
      <c r="V412" s="5"/>
      <c r="W412" s="5"/>
      <c r="X412" s="5"/>
      <c r="Y412" s="5"/>
    </row>
    <row r="413" spans="1:25" ht="15.75" customHeight="1">
      <c r="A413" s="3"/>
      <c r="P413" s="5"/>
      <c r="Q413" s="5"/>
      <c r="R413" s="5"/>
      <c r="S413" s="5"/>
      <c r="T413" s="5"/>
      <c r="U413" s="5"/>
      <c r="V413" s="5"/>
      <c r="W413" s="5"/>
      <c r="X413" s="5"/>
      <c r="Y413" s="5"/>
    </row>
    <row r="414" spans="1:25" ht="15.75" customHeight="1">
      <c r="A414" s="3"/>
      <c r="P414" s="5"/>
      <c r="Q414" s="5"/>
      <c r="R414" s="5"/>
      <c r="S414" s="5"/>
      <c r="T414" s="5"/>
      <c r="U414" s="5"/>
      <c r="V414" s="5"/>
      <c r="W414" s="5"/>
      <c r="X414" s="5"/>
      <c r="Y414" s="5"/>
    </row>
    <row r="415" spans="1:25" ht="15.75" customHeight="1">
      <c r="A415" s="3"/>
      <c r="P415" s="5"/>
      <c r="Q415" s="5"/>
      <c r="R415" s="5"/>
      <c r="S415" s="5"/>
      <c r="T415" s="5"/>
      <c r="U415" s="5"/>
      <c r="V415" s="5"/>
      <c r="W415" s="5"/>
      <c r="X415" s="5"/>
      <c r="Y415" s="5"/>
    </row>
    <row r="416" spans="1:25" ht="15.75" customHeight="1">
      <c r="A416" s="3"/>
      <c r="P416" s="5"/>
      <c r="Q416" s="5"/>
      <c r="R416" s="5"/>
      <c r="S416" s="5"/>
      <c r="T416" s="5"/>
      <c r="U416" s="5"/>
      <c r="V416" s="5"/>
      <c r="W416" s="5"/>
      <c r="X416" s="5"/>
      <c r="Y416" s="5"/>
    </row>
    <row r="417" spans="1:25" ht="15.75" customHeight="1">
      <c r="A417" s="3"/>
      <c r="P417" s="5"/>
      <c r="Q417" s="5"/>
      <c r="R417" s="5"/>
      <c r="S417" s="5"/>
      <c r="T417" s="5"/>
      <c r="U417" s="5"/>
      <c r="V417" s="5"/>
      <c r="W417" s="5"/>
      <c r="X417" s="5"/>
      <c r="Y417" s="5"/>
    </row>
    <row r="418" spans="1:25" ht="15.75" customHeight="1">
      <c r="A418" s="3"/>
      <c r="P418" s="5"/>
      <c r="Q418" s="5"/>
      <c r="R418" s="5"/>
      <c r="S418" s="5"/>
      <c r="T418" s="5"/>
      <c r="U418" s="5"/>
      <c r="V418" s="5"/>
      <c r="W418" s="5"/>
      <c r="X418" s="5"/>
      <c r="Y418" s="5"/>
    </row>
    <row r="419" spans="1:25" ht="15.75" customHeight="1">
      <c r="A419" s="3"/>
      <c r="P419" s="5"/>
      <c r="Q419" s="5"/>
      <c r="R419" s="5"/>
      <c r="S419" s="5"/>
      <c r="T419" s="5"/>
      <c r="U419" s="5"/>
      <c r="V419" s="5"/>
      <c r="W419" s="5"/>
      <c r="X419" s="5"/>
      <c r="Y419" s="5"/>
    </row>
    <row r="420" spans="1:25" ht="15.75" customHeight="1">
      <c r="A420" s="3"/>
      <c r="P420" s="5"/>
      <c r="Q420" s="5"/>
      <c r="R420" s="5"/>
      <c r="S420" s="5"/>
      <c r="T420" s="5"/>
      <c r="U420" s="5"/>
      <c r="V420" s="5"/>
      <c r="W420" s="5"/>
      <c r="X420" s="5"/>
      <c r="Y420" s="5"/>
    </row>
    <row r="421" spans="1:25" ht="15.75" customHeight="1">
      <c r="A421" s="3"/>
      <c r="P421" s="5"/>
      <c r="Q421" s="5"/>
      <c r="R421" s="5"/>
      <c r="S421" s="5"/>
      <c r="T421" s="5"/>
      <c r="U421" s="5"/>
      <c r="V421" s="5"/>
      <c r="W421" s="5"/>
      <c r="X421" s="5"/>
      <c r="Y421" s="5"/>
    </row>
    <row r="422" spans="1:25" ht="15.75" customHeight="1">
      <c r="A422" s="3"/>
      <c r="P422" s="5"/>
      <c r="Q422" s="5"/>
      <c r="R422" s="5"/>
      <c r="S422" s="5"/>
      <c r="T422" s="5"/>
      <c r="U422" s="5"/>
      <c r="V422" s="5"/>
      <c r="W422" s="5"/>
      <c r="X422" s="5"/>
      <c r="Y422" s="5"/>
    </row>
    <row r="423" spans="1:25" ht="15.75" customHeight="1">
      <c r="A423" s="3"/>
      <c r="P423" s="5"/>
      <c r="Q423" s="5"/>
      <c r="R423" s="5"/>
      <c r="S423" s="5"/>
      <c r="T423" s="5"/>
      <c r="U423" s="5"/>
      <c r="V423" s="5"/>
      <c r="W423" s="5"/>
      <c r="X423" s="5"/>
      <c r="Y423" s="5"/>
    </row>
    <row r="424" spans="1:25" ht="15.75" customHeight="1">
      <c r="A424" s="3"/>
      <c r="P424" s="5"/>
      <c r="Q424" s="5"/>
      <c r="R424" s="5"/>
      <c r="S424" s="5"/>
      <c r="T424" s="5"/>
      <c r="U424" s="5"/>
      <c r="V424" s="5"/>
      <c r="W424" s="5"/>
      <c r="X424" s="5"/>
      <c r="Y424" s="5"/>
    </row>
    <row r="425" spans="1:25" ht="15.75" customHeight="1">
      <c r="A425" s="3"/>
      <c r="P425" s="5"/>
      <c r="Q425" s="5"/>
      <c r="R425" s="5"/>
      <c r="S425" s="5"/>
      <c r="T425" s="5"/>
      <c r="U425" s="5"/>
      <c r="V425" s="5"/>
      <c r="W425" s="5"/>
      <c r="X425" s="5"/>
      <c r="Y425" s="5"/>
    </row>
    <row r="426" spans="1:25" ht="15.75" customHeight="1">
      <c r="A426" s="3"/>
      <c r="P426" s="5"/>
      <c r="Q426" s="5"/>
      <c r="R426" s="5"/>
      <c r="S426" s="5"/>
      <c r="T426" s="5"/>
      <c r="U426" s="5"/>
      <c r="V426" s="5"/>
      <c r="W426" s="5"/>
      <c r="X426" s="5"/>
      <c r="Y426" s="5"/>
    </row>
    <row r="427" spans="1:25" ht="15.75" customHeight="1">
      <c r="A427" s="3"/>
      <c r="P427" s="5"/>
      <c r="Q427" s="5"/>
      <c r="R427" s="5"/>
      <c r="S427" s="5"/>
      <c r="T427" s="5"/>
      <c r="U427" s="5"/>
      <c r="V427" s="5"/>
      <c r="W427" s="5"/>
      <c r="X427" s="5"/>
      <c r="Y427" s="5"/>
    </row>
    <row r="428" spans="1:25" ht="15.75" customHeight="1">
      <c r="A428" s="3"/>
      <c r="P428" s="5"/>
      <c r="Q428" s="5"/>
      <c r="R428" s="5"/>
      <c r="S428" s="5"/>
      <c r="T428" s="5"/>
      <c r="U428" s="5"/>
      <c r="V428" s="5"/>
      <c r="W428" s="5"/>
      <c r="X428" s="5"/>
      <c r="Y428" s="5"/>
    </row>
    <row r="429" spans="1:25" ht="15.75" customHeight="1">
      <c r="A429" s="3"/>
      <c r="P429" s="5"/>
      <c r="Q429" s="5"/>
      <c r="R429" s="5"/>
      <c r="S429" s="5"/>
      <c r="T429" s="5"/>
      <c r="U429" s="5"/>
      <c r="V429" s="5"/>
      <c r="W429" s="5"/>
      <c r="X429" s="5"/>
      <c r="Y429" s="5"/>
    </row>
    <row r="430" spans="1:25" ht="15.75" customHeight="1">
      <c r="A430" s="3"/>
      <c r="P430" s="5"/>
      <c r="Q430" s="5"/>
      <c r="R430" s="5"/>
      <c r="S430" s="5"/>
      <c r="T430" s="5"/>
      <c r="U430" s="5"/>
      <c r="V430" s="5"/>
      <c r="W430" s="5"/>
      <c r="X430" s="5"/>
      <c r="Y430" s="5"/>
    </row>
    <row r="431" spans="1:25" ht="15.75" customHeight="1">
      <c r="A431" s="3"/>
      <c r="P431" s="5"/>
      <c r="Q431" s="5"/>
      <c r="R431" s="5"/>
      <c r="S431" s="5"/>
      <c r="T431" s="5"/>
      <c r="U431" s="5"/>
      <c r="V431" s="5"/>
      <c r="W431" s="5"/>
      <c r="X431" s="5"/>
      <c r="Y431" s="5"/>
    </row>
    <row r="432" spans="1:25" ht="15.75" customHeight="1">
      <c r="A432" s="3"/>
      <c r="P432" s="5"/>
      <c r="Q432" s="5"/>
      <c r="R432" s="5"/>
      <c r="S432" s="5"/>
      <c r="T432" s="5"/>
      <c r="U432" s="5"/>
      <c r="V432" s="5"/>
      <c r="W432" s="5"/>
      <c r="X432" s="5"/>
      <c r="Y432" s="5"/>
    </row>
    <row r="433" spans="1:25" ht="15.75" customHeight="1">
      <c r="A433" s="3"/>
      <c r="P433" s="5"/>
      <c r="Q433" s="5"/>
      <c r="R433" s="5"/>
      <c r="S433" s="5"/>
      <c r="T433" s="5"/>
      <c r="U433" s="5"/>
      <c r="V433" s="5"/>
      <c r="W433" s="5"/>
      <c r="X433" s="5"/>
      <c r="Y433" s="5"/>
    </row>
    <row r="434" spans="1:25" ht="15.75" customHeight="1">
      <c r="A434" s="3"/>
      <c r="P434" s="5"/>
      <c r="Q434" s="5"/>
      <c r="R434" s="5"/>
      <c r="S434" s="5"/>
      <c r="T434" s="5"/>
      <c r="U434" s="5"/>
      <c r="V434" s="5"/>
      <c r="W434" s="5"/>
      <c r="X434" s="5"/>
      <c r="Y434" s="5"/>
    </row>
    <row r="435" spans="1:25" ht="15.75" customHeight="1">
      <c r="A435" s="3"/>
      <c r="P435" s="5"/>
      <c r="Q435" s="5"/>
      <c r="R435" s="5"/>
      <c r="S435" s="5"/>
      <c r="T435" s="5"/>
      <c r="U435" s="5"/>
      <c r="V435" s="5"/>
      <c r="W435" s="5"/>
      <c r="X435" s="5"/>
      <c r="Y435" s="5"/>
    </row>
    <row r="436" spans="1:25" ht="15.75" customHeight="1">
      <c r="A436" s="3"/>
      <c r="P436" s="5"/>
      <c r="Q436" s="5"/>
      <c r="R436" s="5"/>
      <c r="S436" s="5"/>
      <c r="T436" s="5"/>
      <c r="U436" s="5"/>
      <c r="V436" s="5"/>
      <c r="W436" s="5"/>
      <c r="X436" s="5"/>
      <c r="Y436" s="5"/>
    </row>
    <row r="437" spans="1:25" ht="15.75" customHeight="1">
      <c r="A437" s="3"/>
      <c r="P437" s="5"/>
      <c r="Q437" s="5"/>
      <c r="R437" s="5"/>
      <c r="S437" s="5"/>
      <c r="T437" s="5"/>
      <c r="U437" s="5"/>
      <c r="V437" s="5"/>
      <c r="W437" s="5"/>
      <c r="X437" s="5"/>
      <c r="Y437" s="5"/>
    </row>
    <row r="438" spans="1:25" ht="15.75" customHeight="1">
      <c r="A438" s="3"/>
      <c r="P438" s="5"/>
      <c r="Q438" s="5"/>
      <c r="R438" s="5"/>
      <c r="S438" s="5"/>
      <c r="T438" s="5"/>
      <c r="U438" s="5"/>
      <c r="V438" s="5"/>
      <c r="W438" s="5"/>
      <c r="X438" s="5"/>
      <c r="Y438" s="5"/>
    </row>
    <row r="439" spans="1:25" ht="15.75" customHeight="1">
      <c r="A439" s="3"/>
      <c r="P439" s="5"/>
      <c r="Q439" s="5"/>
      <c r="R439" s="5"/>
      <c r="S439" s="5"/>
      <c r="T439" s="5"/>
      <c r="U439" s="5"/>
      <c r="V439" s="5"/>
      <c r="W439" s="5"/>
      <c r="X439" s="5"/>
      <c r="Y439" s="5"/>
    </row>
    <row r="440" spans="1:25" ht="15.75" customHeight="1">
      <c r="A440" s="3"/>
      <c r="P440" s="5"/>
      <c r="Q440" s="5"/>
      <c r="R440" s="5"/>
      <c r="S440" s="5"/>
      <c r="T440" s="5"/>
      <c r="U440" s="5"/>
      <c r="V440" s="5"/>
      <c r="W440" s="5"/>
      <c r="X440" s="5"/>
      <c r="Y440" s="5"/>
    </row>
    <row r="441" spans="1:25" ht="15.75" customHeight="1">
      <c r="A441" s="3"/>
      <c r="P441" s="5"/>
      <c r="Q441" s="5"/>
      <c r="R441" s="5"/>
      <c r="S441" s="5"/>
      <c r="T441" s="5"/>
      <c r="U441" s="5"/>
      <c r="V441" s="5"/>
      <c r="W441" s="5"/>
      <c r="X441" s="5"/>
      <c r="Y441" s="5"/>
    </row>
    <row r="442" spans="1:25" ht="15.75" customHeight="1">
      <c r="A442" s="3"/>
      <c r="P442" s="5"/>
      <c r="Q442" s="5"/>
      <c r="R442" s="5"/>
      <c r="S442" s="5"/>
      <c r="T442" s="5"/>
      <c r="U442" s="5"/>
      <c r="V442" s="5"/>
      <c r="W442" s="5"/>
      <c r="X442" s="5"/>
      <c r="Y442" s="5"/>
    </row>
    <row r="443" spans="1:25" ht="15.75" customHeight="1">
      <c r="A443" s="3"/>
      <c r="P443" s="5"/>
      <c r="Q443" s="5"/>
      <c r="R443" s="5"/>
      <c r="S443" s="5"/>
      <c r="T443" s="5"/>
      <c r="U443" s="5"/>
      <c r="V443" s="5"/>
      <c r="W443" s="5"/>
      <c r="X443" s="5"/>
      <c r="Y443" s="5"/>
    </row>
    <row r="444" spans="1:25" ht="15.75" customHeight="1">
      <c r="A444" s="3"/>
      <c r="P444" s="5"/>
      <c r="Q444" s="5"/>
      <c r="R444" s="5"/>
      <c r="S444" s="5"/>
      <c r="T444" s="5"/>
      <c r="U444" s="5"/>
      <c r="V444" s="5"/>
      <c r="W444" s="5"/>
      <c r="X444" s="5"/>
      <c r="Y444" s="5"/>
    </row>
    <row r="445" spans="1:25" ht="15.75" customHeight="1">
      <c r="A445" s="3"/>
      <c r="P445" s="5"/>
      <c r="Q445" s="5"/>
      <c r="R445" s="5"/>
      <c r="S445" s="5"/>
      <c r="T445" s="5"/>
      <c r="U445" s="5"/>
      <c r="V445" s="5"/>
      <c r="W445" s="5"/>
      <c r="X445" s="5"/>
      <c r="Y445" s="5"/>
    </row>
    <row r="446" spans="1:25" ht="15.75" customHeight="1">
      <c r="A446" s="3"/>
      <c r="P446" s="5"/>
      <c r="Q446" s="5"/>
      <c r="R446" s="5"/>
      <c r="S446" s="5"/>
      <c r="T446" s="5"/>
      <c r="U446" s="5"/>
      <c r="V446" s="5"/>
      <c r="W446" s="5"/>
      <c r="X446" s="5"/>
      <c r="Y446" s="5"/>
    </row>
    <row r="447" spans="1:25" ht="15.75" customHeight="1">
      <c r="A447" s="3"/>
      <c r="P447" s="5"/>
      <c r="Q447" s="5"/>
      <c r="R447" s="5"/>
      <c r="S447" s="5"/>
      <c r="T447" s="5"/>
      <c r="U447" s="5"/>
      <c r="V447" s="5"/>
      <c r="W447" s="5"/>
      <c r="X447" s="5"/>
      <c r="Y447" s="5"/>
    </row>
    <row r="448" spans="1:25" ht="15.75" customHeight="1">
      <c r="A448" s="3"/>
      <c r="P448" s="5"/>
      <c r="Q448" s="5"/>
      <c r="R448" s="5"/>
      <c r="S448" s="5"/>
      <c r="T448" s="5"/>
      <c r="U448" s="5"/>
      <c r="V448" s="5"/>
      <c r="W448" s="5"/>
      <c r="X448" s="5"/>
      <c r="Y448" s="5"/>
    </row>
    <row r="449" spans="1:25" ht="15.75" customHeight="1">
      <c r="A449" s="3"/>
      <c r="P449" s="5"/>
      <c r="Q449" s="5"/>
      <c r="R449" s="5"/>
      <c r="S449" s="5"/>
      <c r="T449" s="5"/>
      <c r="U449" s="5"/>
      <c r="V449" s="5"/>
      <c r="W449" s="5"/>
      <c r="X449" s="5"/>
      <c r="Y449" s="5"/>
    </row>
    <row r="450" spans="1:25" ht="15.75" customHeight="1">
      <c r="A450" s="3"/>
      <c r="P450" s="5"/>
      <c r="Q450" s="5"/>
      <c r="R450" s="5"/>
      <c r="S450" s="5"/>
      <c r="T450" s="5"/>
      <c r="U450" s="5"/>
      <c r="V450" s="5"/>
      <c r="W450" s="5"/>
      <c r="X450" s="5"/>
      <c r="Y450" s="5"/>
    </row>
    <row r="451" spans="1:25" ht="15.75" customHeight="1">
      <c r="A451" s="3"/>
      <c r="P451" s="5"/>
      <c r="Q451" s="5"/>
      <c r="R451" s="5"/>
      <c r="S451" s="5"/>
      <c r="T451" s="5"/>
      <c r="U451" s="5"/>
      <c r="V451" s="5"/>
      <c r="W451" s="5"/>
      <c r="X451" s="5"/>
      <c r="Y451" s="5"/>
    </row>
    <row r="452" spans="1:25" ht="15.75" customHeight="1">
      <c r="A452" s="3"/>
      <c r="P452" s="5"/>
      <c r="Q452" s="5"/>
      <c r="R452" s="5"/>
      <c r="S452" s="5"/>
      <c r="T452" s="5"/>
      <c r="U452" s="5"/>
      <c r="V452" s="5"/>
      <c r="W452" s="5"/>
      <c r="X452" s="5"/>
      <c r="Y452" s="5"/>
    </row>
    <row r="453" spans="1:25" ht="15.75" customHeight="1">
      <c r="A453" s="3"/>
      <c r="P453" s="5"/>
      <c r="Q453" s="5"/>
      <c r="R453" s="5"/>
      <c r="S453" s="5"/>
      <c r="T453" s="5"/>
      <c r="U453" s="5"/>
      <c r="V453" s="5"/>
      <c r="W453" s="5"/>
      <c r="X453" s="5"/>
      <c r="Y453" s="5"/>
    </row>
    <row r="454" spans="1:25" ht="15.75" customHeight="1">
      <c r="A454" s="3"/>
      <c r="P454" s="5"/>
      <c r="Q454" s="5"/>
      <c r="R454" s="5"/>
      <c r="S454" s="5"/>
      <c r="T454" s="5"/>
      <c r="U454" s="5"/>
      <c r="V454" s="5"/>
      <c r="W454" s="5"/>
      <c r="X454" s="5"/>
      <c r="Y454" s="5"/>
    </row>
    <row r="455" spans="1:25" ht="15.75" customHeight="1">
      <c r="A455" s="3"/>
      <c r="P455" s="5"/>
      <c r="Q455" s="5"/>
      <c r="R455" s="5"/>
      <c r="S455" s="5"/>
      <c r="T455" s="5"/>
      <c r="U455" s="5"/>
      <c r="V455" s="5"/>
      <c r="W455" s="5"/>
      <c r="X455" s="5"/>
      <c r="Y455" s="5"/>
    </row>
    <row r="456" spans="1:25" ht="15.75" customHeight="1">
      <c r="A456" s="3"/>
      <c r="P456" s="5"/>
      <c r="Q456" s="5"/>
      <c r="R456" s="5"/>
      <c r="S456" s="5"/>
      <c r="T456" s="5"/>
      <c r="U456" s="5"/>
      <c r="V456" s="5"/>
      <c r="W456" s="5"/>
      <c r="X456" s="5"/>
      <c r="Y456" s="5"/>
    </row>
    <row r="457" spans="1:25" ht="15.75" customHeight="1">
      <c r="A457" s="3"/>
      <c r="P457" s="5"/>
      <c r="Q457" s="5"/>
      <c r="R457" s="5"/>
      <c r="S457" s="5"/>
      <c r="T457" s="5"/>
      <c r="U457" s="5"/>
      <c r="V457" s="5"/>
      <c r="W457" s="5"/>
      <c r="X457" s="5"/>
      <c r="Y457" s="5"/>
    </row>
    <row r="458" spans="1:25" ht="15.75" customHeight="1">
      <c r="A458" s="3"/>
      <c r="P458" s="5"/>
      <c r="Q458" s="5"/>
      <c r="R458" s="5"/>
      <c r="S458" s="5"/>
      <c r="T458" s="5"/>
      <c r="U458" s="5"/>
      <c r="V458" s="5"/>
      <c r="W458" s="5"/>
      <c r="X458" s="5"/>
      <c r="Y458" s="5"/>
    </row>
    <row r="459" spans="1:25" ht="15.75" customHeight="1">
      <c r="A459" s="3"/>
      <c r="P459" s="5"/>
      <c r="Q459" s="5"/>
      <c r="R459" s="5"/>
      <c r="S459" s="5"/>
      <c r="T459" s="5"/>
      <c r="U459" s="5"/>
      <c r="V459" s="5"/>
      <c r="W459" s="5"/>
      <c r="X459" s="5"/>
      <c r="Y459" s="5"/>
    </row>
    <row r="460" spans="1:25" ht="15.75" customHeight="1">
      <c r="A460" s="3"/>
      <c r="P460" s="5"/>
      <c r="Q460" s="5"/>
      <c r="R460" s="5"/>
      <c r="S460" s="5"/>
      <c r="T460" s="5"/>
      <c r="U460" s="5"/>
      <c r="V460" s="5"/>
      <c r="W460" s="5"/>
      <c r="X460" s="5"/>
      <c r="Y460" s="5"/>
    </row>
    <row r="461" spans="1:25" ht="15.75" customHeight="1">
      <c r="A461" s="3"/>
      <c r="P461" s="5"/>
      <c r="Q461" s="5"/>
      <c r="R461" s="5"/>
      <c r="S461" s="5"/>
      <c r="T461" s="5"/>
      <c r="U461" s="5"/>
      <c r="V461" s="5"/>
      <c r="W461" s="5"/>
      <c r="X461" s="5"/>
      <c r="Y461" s="5"/>
    </row>
    <row r="462" spans="1:25" ht="15.75" customHeight="1">
      <c r="A462" s="3"/>
      <c r="P462" s="5"/>
      <c r="Q462" s="5"/>
      <c r="R462" s="5"/>
      <c r="S462" s="5"/>
      <c r="T462" s="5"/>
      <c r="U462" s="5"/>
      <c r="V462" s="5"/>
      <c r="W462" s="5"/>
      <c r="X462" s="5"/>
      <c r="Y462" s="5"/>
    </row>
    <row r="463" spans="1:25" ht="15.75" customHeight="1">
      <c r="A463" s="3"/>
      <c r="P463" s="5"/>
      <c r="Q463" s="5"/>
      <c r="R463" s="5"/>
      <c r="S463" s="5"/>
      <c r="T463" s="5"/>
      <c r="U463" s="5"/>
      <c r="V463" s="5"/>
      <c r="W463" s="5"/>
      <c r="X463" s="5"/>
      <c r="Y463" s="5"/>
    </row>
    <row r="464" spans="1:25" ht="15.75" customHeight="1">
      <c r="A464" s="3"/>
      <c r="P464" s="5"/>
      <c r="Q464" s="5"/>
      <c r="R464" s="5"/>
      <c r="S464" s="5"/>
      <c r="T464" s="5"/>
      <c r="U464" s="5"/>
      <c r="V464" s="5"/>
      <c r="W464" s="5"/>
      <c r="X464" s="5"/>
      <c r="Y464" s="5"/>
    </row>
    <row r="465" spans="1:25" ht="15.75" customHeight="1">
      <c r="A465" s="3"/>
      <c r="P465" s="5"/>
      <c r="Q465" s="5"/>
      <c r="R465" s="5"/>
      <c r="S465" s="5"/>
      <c r="T465" s="5"/>
      <c r="U465" s="5"/>
      <c r="V465" s="5"/>
      <c r="W465" s="5"/>
      <c r="X465" s="5"/>
      <c r="Y465" s="5"/>
    </row>
    <row r="466" spans="1:25" ht="15.75" customHeight="1">
      <c r="A466" s="3"/>
      <c r="P466" s="5"/>
      <c r="Q466" s="5"/>
      <c r="R466" s="5"/>
      <c r="S466" s="5"/>
      <c r="T466" s="5"/>
      <c r="U466" s="5"/>
      <c r="V466" s="5"/>
      <c r="W466" s="5"/>
      <c r="X466" s="5"/>
      <c r="Y466" s="5"/>
    </row>
    <row r="467" spans="1:25" ht="15.75" customHeight="1">
      <c r="A467" s="3"/>
      <c r="P467" s="5"/>
      <c r="Q467" s="5"/>
      <c r="R467" s="5"/>
      <c r="S467" s="5"/>
      <c r="T467" s="5"/>
      <c r="U467" s="5"/>
      <c r="V467" s="5"/>
      <c r="W467" s="5"/>
      <c r="X467" s="5"/>
      <c r="Y467" s="5"/>
    </row>
    <row r="468" spans="1:25" ht="15.75" customHeight="1">
      <c r="A468" s="3"/>
      <c r="P468" s="5"/>
      <c r="Q468" s="5"/>
      <c r="R468" s="5"/>
      <c r="S468" s="5"/>
      <c r="T468" s="5"/>
      <c r="U468" s="5"/>
      <c r="V468" s="5"/>
      <c r="W468" s="5"/>
      <c r="X468" s="5"/>
      <c r="Y468" s="5"/>
    </row>
    <row r="469" spans="1:25" ht="15.75" customHeight="1">
      <c r="A469" s="3"/>
      <c r="P469" s="5"/>
      <c r="Q469" s="5"/>
      <c r="R469" s="5"/>
      <c r="S469" s="5"/>
      <c r="T469" s="5"/>
      <c r="U469" s="5"/>
      <c r="V469" s="5"/>
      <c r="W469" s="5"/>
      <c r="X469" s="5"/>
      <c r="Y469" s="5"/>
    </row>
    <row r="470" spans="1:25" ht="15.75" customHeight="1">
      <c r="A470" s="3"/>
      <c r="P470" s="5"/>
      <c r="Q470" s="5"/>
      <c r="R470" s="5"/>
      <c r="S470" s="5"/>
      <c r="T470" s="5"/>
      <c r="U470" s="5"/>
      <c r="V470" s="5"/>
      <c r="W470" s="5"/>
      <c r="X470" s="5"/>
      <c r="Y470" s="5"/>
    </row>
    <row r="471" spans="1:25" ht="15.75" customHeight="1">
      <c r="A471" s="3"/>
      <c r="P471" s="5"/>
      <c r="Q471" s="5"/>
      <c r="R471" s="5"/>
      <c r="S471" s="5"/>
      <c r="T471" s="5"/>
      <c r="U471" s="5"/>
      <c r="V471" s="5"/>
      <c r="W471" s="5"/>
      <c r="X471" s="5"/>
      <c r="Y471" s="5"/>
    </row>
    <row r="472" spans="1:25" ht="15.75" customHeight="1">
      <c r="A472" s="3"/>
      <c r="P472" s="5"/>
      <c r="Q472" s="5"/>
      <c r="R472" s="5"/>
      <c r="S472" s="5"/>
      <c r="T472" s="5"/>
      <c r="U472" s="5"/>
      <c r="V472" s="5"/>
      <c r="W472" s="5"/>
      <c r="X472" s="5"/>
      <c r="Y472" s="5"/>
    </row>
    <row r="473" spans="1:25" ht="15.75" customHeight="1">
      <c r="A473" s="3"/>
      <c r="P473" s="5"/>
      <c r="Q473" s="5"/>
      <c r="R473" s="5"/>
      <c r="S473" s="5"/>
      <c r="T473" s="5"/>
      <c r="U473" s="5"/>
      <c r="V473" s="5"/>
      <c r="W473" s="5"/>
      <c r="X473" s="5"/>
      <c r="Y473" s="5"/>
    </row>
    <row r="474" spans="1:25" ht="15.75" customHeight="1">
      <c r="A474" s="3"/>
      <c r="P474" s="5"/>
      <c r="Q474" s="5"/>
      <c r="R474" s="5"/>
      <c r="S474" s="5"/>
      <c r="T474" s="5"/>
      <c r="U474" s="5"/>
      <c r="V474" s="5"/>
      <c r="W474" s="5"/>
      <c r="X474" s="5"/>
      <c r="Y474" s="5"/>
    </row>
    <row r="475" spans="1:25" ht="15.75" customHeight="1">
      <c r="A475" s="3"/>
      <c r="P475" s="5"/>
      <c r="Q475" s="5"/>
      <c r="R475" s="5"/>
      <c r="S475" s="5"/>
      <c r="T475" s="5"/>
      <c r="U475" s="5"/>
      <c r="V475" s="5"/>
      <c r="W475" s="5"/>
      <c r="X475" s="5"/>
      <c r="Y475" s="5"/>
    </row>
    <row r="476" spans="1:25" ht="15.75" customHeight="1">
      <c r="A476" s="3"/>
      <c r="P476" s="5"/>
      <c r="Q476" s="5"/>
      <c r="R476" s="5"/>
      <c r="S476" s="5"/>
      <c r="T476" s="5"/>
      <c r="U476" s="5"/>
      <c r="V476" s="5"/>
      <c r="W476" s="5"/>
      <c r="X476" s="5"/>
      <c r="Y476" s="5"/>
    </row>
    <row r="477" spans="1:25" ht="15.75" customHeight="1">
      <c r="A477" s="3"/>
      <c r="P477" s="5"/>
      <c r="Q477" s="5"/>
      <c r="R477" s="5"/>
      <c r="S477" s="5"/>
      <c r="T477" s="5"/>
      <c r="U477" s="5"/>
      <c r="V477" s="5"/>
      <c r="W477" s="5"/>
      <c r="X477" s="5"/>
      <c r="Y477" s="5"/>
    </row>
    <row r="478" spans="1:25" ht="15.75" customHeight="1">
      <c r="A478" s="3"/>
      <c r="P478" s="5"/>
      <c r="Q478" s="5"/>
      <c r="R478" s="5"/>
      <c r="S478" s="5"/>
      <c r="T478" s="5"/>
      <c r="U478" s="5"/>
      <c r="V478" s="5"/>
      <c r="W478" s="5"/>
      <c r="X478" s="5"/>
      <c r="Y478" s="5"/>
    </row>
    <row r="479" spans="1:25" ht="15.75" customHeight="1">
      <c r="A479" s="3"/>
      <c r="P479" s="5"/>
      <c r="Q479" s="5"/>
      <c r="R479" s="5"/>
      <c r="S479" s="5"/>
      <c r="T479" s="5"/>
      <c r="U479" s="5"/>
      <c r="V479" s="5"/>
      <c r="W479" s="5"/>
      <c r="X479" s="5"/>
      <c r="Y479" s="5"/>
    </row>
    <row r="480" spans="1:25" ht="15.75" customHeight="1">
      <c r="A480" s="3"/>
      <c r="P480" s="5"/>
      <c r="Q480" s="5"/>
      <c r="R480" s="5"/>
      <c r="S480" s="5"/>
      <c r="T480" s="5"/>
      <c r="U480" s="5"/>
      <c r="V480" s="5"/>
      <c r="W480" s="5"/>
      <c r="X480" s="5"/>
      <c r="Y480" s="5"/>
    </row>
    <row r="481" spans="1:25" ht="15.75" customHeight="1">
      <c r="A481" s="3"/>
      <c r="P481" s="5"/>
      <c r="Q481" s="5"/>
      <c r="R481" s="5"/>
      <c r="S481" s="5"/>
      <c r="T481" s="5"/>
      <c r="U481" s="5"/>
      <c r="V481" s="5"/>
      <c r="W481" s="5"/>
      <c r="X481" s="5"/>
      <c r="Y481" s="5"/>
    </row>
    <row r="482" spans="1:25" ht="15.75" customHeight="1">
      <c r="A482" s="3"/>
      <c r="P482" s="5"/>
      <c r="Q482" s="5"/>
      <c r="R482" s="5"/>
      <c r="S482" s="5"/>
      <c r="T482" s="5"/>
      <c r="U482" s="5"/>
      <c r="V482" s="5"/>
      <c r="W482" s="5"/>
      <c r="X482" s="5"/>
      <c r="Y482" s="5"/>
    </row>
    <row r="483" spans="1:25" ht="15.75" customHeight="1">
      <c r="A483" s="3"/>
      <c r="P483" s="5"/>
      <c r="Q483" s="5"/>
      <c r="R483" s="5"/>
      <c r="S483" s="5"/>
      <c r="T483" s="5"/>
      <c r="U483" s="5"/>
      <c r="V483" s="5"/>
      <c r="W483" s="5"/>
      <c r="X483" s="5"/>
      <c r="Y483" s="5"/>
    </row>
    <row r="484" spans="1:25" ht="15.75" customHeight="1">
      <c r="A484" s="3"/>
      <c r="P484" s="5"/>
      <c r="Q484" s="5"/>
      <c r="R484" s="5"/>
      <c r="S484" s="5"/>
      <c r="T484" s="5"/>
      <c r="U484" s="5"/>
      <c r="V484" s="5"/>
      <c r="W484" s="5"/>
      <c r="X484" s="5"/>
      <c r="Y484" s="5"/>
    </row>
    <row r="485" spans="1:25" ht="15.75" customHeight="1">
      <c r="A485" s="3"/>
      <c r="P485" s="5"/>
      <c r="Q485" s="5"/>
      <c r="R485" s="5"/>
      <c r="S485" s="5"/>
      <c r="T485" s="5"/>
      <c r="U485" s="5"/>
      <c r="V485" s="5"/>
      <c r="W485" s="5"/>
      <c r="X485" s="5"/>
      <c r="Y485" s="5"/>
    </row>
    <row r="486" spans="1:25" ht="15.75" customHeight="1">
      <c r="A486" s="3"/>
      <c r="P486" s="5"/>
      <c r="Q486" s="5"/>
      <c r="R486" s="5"/>
      <c r="S486" s="5"/>
      <c r="T486" s="5"/>
      <c r="U486" s="5"/>
      <c r="V486" s="5"/>
      <c r="W486" s="5"/>
      <c r="X486" s="5"/>
      <c r="Y486" s="5"/>
    </row>
    <row r="487" spans="1:25" ht="15.75" customHeight="1">
      <c r="A487" s="3"/>
      <c r="P487" s="5"/>
      <c r="Q487" s="5"/>
      <c r="R487" s="5"/>
      <c r="S487" s="5"/>
      <c r="T487" s="5"/>
      <c r="U487" s="5"/>
      <c r="V487" s="5"/>
      <c r="W487" s="5"/>
      <c r="X487" s="5"/>
      <c r="Y487" s="5"/>
    </row>
    <row r="488" spans="1:25" ht="15.75" customHeight="1">
      <c r="A488" s="3"/>
      <c r="P488" s="5"/>
      <c r="Q488" s="5"/>
      <c r="R488" s="5"/>
      <c r="S488" s="5"/>
      <c r="T488" s="5"/>
      <c r="U488" s="5"/>
      <c r="V488" s="5"/>
      <c r="W488" s="5"/>
      <c r="X488" s="5"/>
      <c r="Y488" s="5"/>
    </row>
    <row r="489" spans="1:25" ht="15.75" customHeight="1">
      <c r="A489" s="3"/>
      <c r="P489" s="5"/>
      <c r="Q489" s="5"/>
      <c r="R489" s="5"/>
      <c r="S489" s="5"/>
      <c r="T489" s="5"/>
      <c r="U489" s="5"/>
      <c r="V489" s="5"/>
      <c r="W489" s="5"/>
      <c r="X489" s="5"/>
      <c r="Y489" s="5"/>
    </row>
    <row r="490" spans="1:25" ht="15.75" customHeight="1">
      <c r="A490" s="3"/>
      <c r="P490" s="5"/>
      <c r="Q490" s="5"/>
      <c r="R490" s="5"/>
      <c r="S490" s="5"/>
      <c r="T490" s="5"/>
      <c r="U490" s="5"/>
      <c r="V490" s="5"/>
      <c r="W490" s="5"/>
      <c r="X490" s="5"/>
      <c r="Y490" s="5"/>
    </row>
    <row r="491" spans="1:25" ht="15.75" customHeight="1">
      <c r="A491" s="3"/>
      <c r="P491" s="5"/>
      <c r="Q491" s="5"/>
      <c r="R491" s="5"/>
      <c r="S491" s="5"/>
      <c r="T491" s="5"/>
      <c r="U491" s="5"/>
      <c r="V491" s="5"/>
      <c r="W491" s="5"/>
      <c r="X491" s="5"/>
      <c r="Y491" s="5"/>
    </row>
    <row r="492" spans="1:25" ht="15.75" customHeight="1">
      <c r="A492" s="3"/>
      <c r="P492" s="5"/>
      <c r="Q492" s="5"/>
      <c r="R492" s="5"/>
      <c r="S492" s="5"/>
      <c r="T492" s="5"/>
      <c r="U492" s="5"/>
      <c r="V492" s="5"/>
      <c r="W492" s="5"/>
      <c r="X492" s="5"/>
      <c r="Y492" s="5"/>
    </row>
    <row r="493" spans="1:25" ht="15.75" customHeight="1">
      <c r="A493" s="3"/>
      <c r="P493" s="5"/>
      <c r="Q493" s="5"/>
      <c r="R493" s="5"/>
      <c r="S493" s="5"/>
      <c r="T493" s="5"/>
      <c r="U493" s="5"/>
      <c r="V493" s="5"/>
      <c r="W493" s="5"/>
      <c r="X493" s="5"/>
      <c r="Y493" s="5"/>
    </row>
    <row r="494" spans="1:25" ht="15.75" customHeight="1">
      <c r="A494" s="3"/>
      <c r="P494" s="5"/>
      <c r="Q494" s="5"/>
      <c r="R494" s="5"/>
      <c r="S494" s="5"/>
      <c r="T494" s="5"/>
      <c r="U494" s="5"/>
      <c r="V494" s="5"/>
      <c r="W494" s="5"/>
      <c r="X494" s="5"/>
      <c r="Y494" s="5"/>
    </row>
    <row r="495" spans="1:25" ht="15.75" customHeight="1">
      <c r="A495" s="3"/>
      <c r="P495" s="5"/>
      <c r="Q495" s="5"/>
      <c r="R495" s="5"/>
      <c r="S495" s="5"/>
      <c r="T495" s="5"/>
      <c r="U495" s="5"/>
      <c r="V495" s="5"/>
      <c r="W495" s="5"/>
      <c r="X495" s="5"/>
      <c r="Y495" s="5"/>
    </row>
    <row r="496" spans="1:25" ht="15.75" customHeight="1">
      <c r="A496" s="3"/>
      <c r="P496" s="5"/>
      <c r="Q496" s="5"/>
      <c r="R496" s="5"/>
      <c r="S496" s="5"/>
      <c r="T496" s="5"/>
      <c r="U496" s="5"/>
      <c r="V496" s="5"/>
      <c r="W496" s="5"/>
      <c r="X496" s="5"/>
      <c r="Y496" s="5"/>
    </row>
    <row r="497" spans="1:25" ht="15.75" customHeight="1">
      <c r="A497" s="3"/>
      <c r="P497" s="5"/>
      <c r="Q497" s="5"/>
      <c r="R497" s="5"/>
      <c r="S497" s="5"/>
      <c r="T497" s="5"/>
      <c r="U497" s="5"/>
      <c r="V497" s="5"/>
      <c r="W497" s="5"/>
      <c r="X497" s="5"/>
      <c r="Y497" s="5"/>
    </row>
    <row r="498" spans="1:25" ht="15.75" customHeight="1">
      <c r="A498" s="3"/>
      <c r="P498" s="5"/>
      <c r="Q498" s="5"/>
      <c r="R498" s="5"/>
      <c r="S498" s="5"/>
      <c r="T498" s="5"/>
      <c r="U498" s="5"/>
      <c r="V498" s="5"/>
      <c r="W498" s="5"/>
      <c r="X498" s="5"/>
      <c r="Y498" s="5"/>
    </row>
    <row r="499" spans="1:25" ht="15.75" customHeight="1">
      <c r="A499" s="3"/>
      <c r="P499" s="5"/>
      <c r="Q499" s="5"/>
      <c r="R499" s="5"/>
      <c r="S499" s="5"/>
      <c r="T499" s="5"/>
      <c r="U499" s="5"/>
      <c r="V499" s="5"/>
      <c r="W499" s="5"/>
      <c r="X499" s="5"/>
      <c r="Y499" s="5"/>
    </row>
    <row r="500" spans="1:25" ht="15.75" customHeight="1">
      <c r="A500" s="3"/>
      <c r="P500" s="5"/>
      <c r="Q500" s="5"/>
      <c r="R500" s="5"/>
      <c r="S500" s="5"/>
      <c r="T500" s="5"/>
      <c r="U500" s="5"/>
      <c r="V500" s="5"/>
      <c r="W500" s="5"/>
      <c r="X500" s="5"/>
      <c r="Y500" s="5"/>
    </row>
    <row r="501" spans="1:25" ht="15.75" customHeight="1">
      <c r="A501" s="3"/>
      <c r="P501" s="5"/>
      <c r="Q501" s="5"/>
      <c r="R501" s="5"/>
      <c r="S501" s="5"/>
      <c r="T501" s="5"/>
      <c r="U501" s="5"/>
      <c r="V501" s="5"/>
      <c r="W501" s="5"/>
      <c r="X501" s="5"/>
      <c r="Y501" s="5"/>
    </row>
    <row r="502" spans="1:25" ht="15.75" customHeight="1">
      <c r="A502" s="3"/>
      <c r="P502" s="5"/>
      <c r="Q502" s="5"/>
      <c r="R502" s="5"/>
      <c r="S502" s="5"/>
      <c r="T502" s="5"/>
      <c r="U502" s="5"/>
      <c r="V502" s="5"/>
      <c r="W502" s="5"/>
      <c r="X502" s="5"/>
      <c r="Y502" s="5"/>
    </row>
    <row r="503" spans="1:25" ht="15.75" customHeight="1">
      <c r="A503" s="3"/>
      <c r="P503" s="5"/>
      <c r="Q503" s="5"/>
      <c r="R503" s="5"/>
      <c r="S503" s="5"/>
      <c r="T503" s="5"/>
      <c r="U503" s="5"/>
      <c r="V503" s="5"/>
      <c r="W503" s="5"/>
      <c r="X503" s="5"/>
      <c r="Y503" s="5"/>
    </row>
    <row r="504" spans="1:25" ht="15.75" customHeight="1">
      <c r="A504" s="3"/>
      <c r="P504" s="5"/>
      <c r="Q504" s="5"/>
      <c r="R504" s="5"/>
      <c r="S504" s="5"/>
      <c r="T504" s="5"/>
      <c r="U504" s="5"/>
      <c r="V504" s="5"/>
      <c r="W504" s="5"/>
      <c r="X504" s="5"/>
      <c r="Y504" s="5"/>
    </row>
    <row r="505" spans="1:25" ht="15.75" customHeight="1">
      <c r="A505" s="3"/>
      <c r="P505" s="5"/>
      <c r="Q505" s="5"/>
      <c r="R505" s="5"/>
      <c r="S505" s="5"/>
      <c r="T505" s="5"/>
      <c r="U505" s="5"/>
      <c r="V505" s="5"/>
      <c r="W505" s="5"/>
      <c r="X505" s="5"/>
      <c r="Y505" s="5"/>
    </row>
    <row r="506" spans="1:25" ht="15.75" customHeight="1">
      <c r="A506" s="3"/>
      <c r="P506" s="5"/>
      <c r="Q506" s="5"/>
      <c r="R506" s="5"/>
      <c r="S506" s="5"/>
      <c r="T506" s="5"/>
      <c r="U506" s="5"/>
      <c r="V506" s="5"/>
      <c r="W506" s="5"/>
      <c r="X506" s="5"/>
      <c r="Y506" s="5"/>
    </row>
    <row r="507" spans="1:25" ht="15.75" customHeight="1">
      <c r="A507" s="3"/>
      <c r="P507" s="5"/>
      <c r="Q507" s="5"/>
      <c r="R507" s="5"/>
      <c r="S507" s="5"/>
      <c r="T507" s="5"/>
      <c r="U507" s="5"/>
      <c r="V507" s="5"/>
      <c r="W507" s="5"/>
      <c r="X507" s="5"/>
      <c r="Y507" s="5"/>
    </row>
    <row r="508" spans="1:25" ht="15.75" customHeight="1">
      <c r="A508" s="3"/>
      <c r="P508" s="5"/>
      <c r="Q508" s="5"/>
      <c r="R508" s="5"/>
      <c r="S508" s="5"/>
      <c r="T508" s="5"/>
      <c r="U508" s="5"/>
      <c r="V508" s="5"/>
      <c r="W508" s="5"/>
      <c r="X508" s="5"/>
      <c r="Y508" s="5"/>
    </row>
    <row r="509" spans="1:25" ht="15.75" customHeight="1">
      <c r="A509" s="3"/>
      <c r="P509" s="5"/>
      <c r="Q509" s="5"/>
      <c r="R509" s="5"/>
      <c r="S509" s="5"/>
      <c r="T509" s="5"/>
      <c r="U509" s="5"/>
      <c r="V509" s="5"/>
      <c r="W509" s="5"/>
      <c r="X509" s="5"/>
      <c r="Y509" s="5"/>
    </row>
    <row r="510" spans="1:25" ht="15.75" customHeight="1">
      <c r="A510" s="3"/>
      <c r="P510" s="5"/>
      <c r="Q510" s="5"/>
      <c r="R510" s="5"/>
      <c r="S510" s="5"/>
      <c r="T510" s="5"/>
      <c r="U510" s="5"/>
      <c r="V510" s="5"/>
      <c r="W510" s="5"/>
      <c r="X510" s="5"/>
      <c r="Y510" s="5"/>
    </row>
    <row r="511" spans="1:25" ht="15.75" customHeight="1">
      <c r="A511" s="3"/>
      <c r="P511" s="5"/>
      <c r="Q511" s="5"/>
      <c r="R511" s="5"/>
      <c r="S511" s="5"/>
      <c r="T511" s="5"/>
      <c r="U511" s="5"/>
      <c r="V511" s="5"/>
      <c r="W511" s="5"/>
      <c r="X511" s="5"/>
      <c r="Y511" s="5"/>
    </row>
    <row r="512" spans="1:25" ht="15.75" customHeight="1">
      <c r="A512" s="3"/>
      <c r="P512" s="5"/>
      <c r="Q512" s="5"/>
      <c r="R512" s="5"/>
      <c r="S512" s="5"/>
      <c r="T512" s="5"/>
      <c r="U512" s="5"/>
      <c r="V512" s="5"/>
      <c r="W512" s="5"/>
      <c r="X512" s="5"/>
      <c r="Y512" s="5"/>
    </row>
    <row r="513" spans="1:25" ht="15.75" customHeight="1">
      <c r="A513" s="3"/>
      <c r="P513" s="5"/>
      <c r="Q513" s="5"/>
      <c r="R513" s="5"/>
      <c r="S513" s="5"/>
      <c r="T513" s="5"/>
      <c r="U513" s="5"/>
      <c r="V513" s="5"/>
      <c r="W513" s="5"/>
      <c r="X513" s="5"/>
      <c r="Y513" s="5"/>
    </row>
    <row r="514" spans="1:25" ht="15.75" customHeight="1">
      <c r="A514" s="3"/>
      <c r="P514" s="5"/>
      <c r="Q514" s="5"/>
      <c r="R514" s="5"/>
      <c r="S514" s="5"/>
      <c r="T514" s="5"/>
      <c r="U514" s="5"/>
      <c r="V514" s="5"/>
      <c r="W514" s="5"/>
      <c r="X514" s="5"/>
      <c r="Y514" s="5"/>
    </row>
    <row r="515" spans="1:25" ht="15.75" customHeight="1">
      <c r="A515" s="3"/>
      <c r="P515" s="5"/>
      <c r="Q515" s="5"/>
      <c r="R515" s="5"/>
      <c r="S515" s="5"/>
      <c r="T515" s="5"/>
      <c r="U515" s="5"/>
      <c r="V515" s="5"/>
      <c r="W515" s="5"/>
      <c r="X515" s="5"/>
      <c r="Y515" s="5"/>
    </row>
    <row r="516" spans="1:25" ht="15.75" customHeight="1">
      <c r="A516" s="3"/>
      <c r="P516" s="5"/>
      <c r="Q516" s="5"/>
      <c r="R516" s="5"/>
      <c r="S516" s="5"/>
      <c r="T516" s="5"/>
      <c r="U516" s="5"/>
      <c r="V516" s="5"/>
      <c r="W516" s="5"/>
      <c r="X516" s="5"/>
      <c r="Y516" s="5"/>
    </row>
    <row r="517" spans="1:25" ht="15.75" customHeight="1">
      <c r="A517" s="3"/>
      <c r="P517" s="5"/>
      <c r="Q517" s="5"/>
      <c r="R517" s="5"/>
      <c r="S517" s="5"/>
      <c r="T517" s="5"/>
      <c r="U517" s="5"/>
      <c r="V517" s="5"/>
      <c r="W517" s="5"/>
      <c r="X517" s="5"/>
      <c r="Y517" s="5"/>
    </row>
    <row r="518" spans="1:25" ht="15.75" customHeight="1">
      <c r="A518" s="3"/>
      <c r="P518" s="5"/>
      <c r="Q518" s="5"/>
      <c r="R518" s="5"/>
      <c r="S518" s="5"/>
      <c r="T518" s="5"/>
      <c r="U518" s="5"/>
      <c r="V518" s="5"/>
      <c r="W518" s="5"/>
      <c r="X518" s="5"/>
      <c r="Y518" s="5"/>
    </row>
    <row r="519" spans="1:25" ht="15.75" customHeight="1">
      <c r="A519" s="3"/>
      <c r="P519" s="5"/>
      <c r="Q519" s="5"/>
      <c r="R519" s="5"/>
      <c r="S519" s="5"/>
      <c r="T519" s="5"/>
      <c r="U519" s="5"/>
      <c r="V519" s="5"/>
      <c r="W519" s="5"/>
      <c r="X519" s="5"/>
      <c r="Y519" s="5"/>
    </row>
    <row r="520" spans="1:25" ht="15.75" customHeight="1">
      <c r="A520" s="3"/>
      <c r="P520" s="5"/>
      <c r="Q520" s="5"/>
      <c r="R520" s="5"/>
      <c r="S520" s="5"/>
      <c r="T520" s="5"/>
      <c r="U520" s="5"/>
      <c r="V520" s="5"/>
      <c r="W520" s="5"/>
      <c r="X520" s="5"/>
      <c r="Y520" s="5"/>
    </row>
    <row r="521" spans="1:25" ht="15.75" customHeight="1">
      <c r="A521" s="3"/>
      <c r="P521" s="5"/>
      <c r="Q521" s="5"/>
      <c r="R521" s="5"/>
      <c r="S521" s="5"/>
      <c r="T521" s="5"/>
      <c r="U521" s="5"/>
      <c r="V521" s="5"/>
      <c r="W521" s="5"/>
      <c r="X521" s="5"/>
      <c r="Y521" s="5"/>
    </row>
    <row r="522" spans="1:25" ht="15.75" customHeight="1">
      <c r="A522" s="3"/>
      <c r="P522" s="5"/>
      <c r="Q522" s="5"/>
      <c r="R522" s="5"/>
      <c r="S522" s="5"/>
      <c r="T522" s="5"/>
      <c r="U522" s="5"/>
      <c r="V522" s="5"/>
      <c r="W522" s="5"/>
      <c r="X522" s="5"/>
      <c r="Y522" s="5"/>
    </row>
    <row r="523" spans="1:25" ht="15.75" customHeight="1">
      <c r="A523" s="3"/>
      <c r="P523" s="5"/>
      <c r="Q523" s="5"/>
      <c r="R523" s="5"/>
      <c r="S523" s="5"/>
      <c r="T523" s="5"/>
      <c r="U523" s="5"/>
      <c r="V523" s="5"/>
      <c r="W523" s="5"/>
      <c r="X523" s="5"/>
      <c r="Y523" s="5"/>
    </row>
    <row r="524" spans="1:25" ht="15.75" customHeight="1">
      <c r="A524" s="3"/>
      <c r="P524" s="5"/>
      <c r="Q524" s="5"/>
      <c r="R524" s="5"/>
      <c r="S524" s="5"/>
      <c r="T524" s="5"/>
      <c r="U524" s="5"/>
      <c r="V524" s="5"/>
      <c r="W524" s="5"/>
      <c r="X524" s="5"/>
      <c r="Y524" s="5"/>
    </row>
    <row r="525" spans="1:25" ht="15.75" customHeight="1">
      <c r="A525" s="3"/>
      <c r="P525" s="5"/>
      <c r="Q525" s="5"/>
      <c r="R525" s="5"/>
      <c r="S525" s="5"/>
      <c r="T525" s="5"/>
      <c r="U525" s="5"/>
      <c r="V525" s="5"/>
      <c r="W525" s="5"/>
      <c r="X525" s="5"/>
      <c r="Y525" s="5"/>
    </row>
    <row r="526" spans="1:25" ht="15.75" customHeight="1">
      <c r="A526" s="3"/>
      <c r="P526" s="5"/>
      <c r="Q526" s="5"/>
      <c r="R526" s="5"/>
      <c r="S526" s="5"/>
      <c r="T526" s="5"/>
      <c r="U526" s="5"/>
      <c r="V526" s="5"/>
      <c r="W526" s="5"/>
      <c r="X526" s="5"/>
      <c r="Y526" s="5"/>
    </row>
    <row r="527" spans="1:25" ht="15.75" customHeight="1">
      <c r="A527" s="3"/>
      <c r="P527" s="5"/>
      <c r="Q527" s="5"/>
      <c r="R527" s="5"/>
      <c r="S527" s="5"/>
      <c r="T527" s="5"/>
      <c r="U527" s="5"/>
      <c r="V527" s="5"/>
      <c r="W527" s="5"/>
      <c r="X527" s="5"/>
      <c r="Y527" s="5"/>
    </row>
    <row r="528" spans="1:25" ht="15.75" customHeight="1">
      <c r="A528" s="3"/>
      <c r="P528" s="5"/>
      <c r="Q528" s="5"/>
      <c r="R528" s="5"/>
      <c r="S528" s="5"/>
      <c r="T528" s="5"/>
      <c r="U528" s="5"/>
      <c r="V528" s="5"/>
      <c r="W528" s="5"/>
      <c r="X528" s="5"/>
      <c r="Y528" s="5"/>
    </row>
    <row r="529" spans="1:25" ht="15.75" customHeight="1">
      <c r="A529" s="3"/>
      <c r="P529" s="5"/>
      <c r="Q529" s="5"/>
      <c r="R529" s="5"/>
      <c r="S529" s="5"/>
      <c r="T529" s="5"/>
      <c r="U529" s="5"/>
      <c r="V529" s="5"/>
      <c r="W529" s="5"/>
      <c r="X529" s="5"/>
      <c r="Y529" s="5"/>
    </row>
    <row r="530" spans="1:25" ht="15.75" customHeight="1">
      <c r="A530" s="3"/>
      <c r="P530" s="5"/>
      <c r="Q530" s="5"/>
      <c r="R530" s="5"/>
      <c r="S530" s="5"/>
      <c r="T530" s="5"/>
      <c r="U530" s="5"/>
      <c r="V530" s="5"/>
      <c r="W530" s="5"/>
      <c r="X530" s="5"/>
      <c r="Y530" s="5"/>
    </row>
    <row r="531" spans="1:25" ht="15.75" customHeight="1">
      <c r="A531" s="3"/>
      <c r="P531" s="5"/>
      <c r="Q531" s="5"/>
      <c r="R531" s="5"/>
      <c r="S531" s="5"/>
      <c r="T531" s="5"/>
      <c r="U531" s="5"/>
      <c r="V531" s="5"/>
      <c r="W531" s="5"/>
      <c r="X531" s="5"/>
      <c r="Y531" s="5"/>
    </row>
    <row r="532" spans="1:25" ht="15.75" customHeight="1">
      <c r="A532" s="3"/>
      <c r="P532" s="5"/>
      <c r="Q532" s="5"/>
      <c r="R532" s="5"/>
      <c r="S532" s="5"/>
      <c r="T532" s="5"/>
      <c r="U532" s="5"/>
      <c r="V532" s="5"/>
      <c r="W532" s="5"/>
      <c r="X532" s="5"/>
      <c r="Y532" s="5"/>
    </row>
    <row r="533" spans="1:25" ht="15.75" customHeight="1">
      <c r="A533" s="3"/>
      <c r="P533" s="5"/>
      <c r="Q533" s="5"/>
      <c r="R533" s="5"/>
      <c r="S533" s="5"/>
      <c r="T533" s="5"/>
      <c r="U533" s="5"/>
      <c r="V533" s="5"/>
      <c r="W533" s="5"/>
      <c r="X533" s="5"/>
      <c r="Y533" s="5"/>
    </row>
    <row r="534" spans="1:25" ht="15.75" customHeight="1">
      <c r="A534" s="3"/>
      <c r="P534" s="5"/>
      <c r="Q534" s="5"/>
      <c r="R534" s="5"/>
      <c r="S534" s="5"/>
      <c r="T534" s="5"/>
      <c r="U534" s="5"/>
      <c r="V534" s="5"/>
      <c r="W534" s="5"/>
      <c r="X534" s="5"/>
      <c r="Y534" s="5"/>
    </row>
    <row r="535" spans="1:25" ht="15.75" customHeight="1">
      <c r="A535" s="3"/>
      <c r="P535" s="5"/>
      <c r="Q535" s="5"/>
      <c r="R535" s="5"/>
      <c r="S535" s="5"/>
      <c r="T535" s="5"/>
      <c r="U535" s="5"/>
      <c r="V535" s="5"/>
      <c r="W535" s="5"/>
      <c r="X535" s="5"/>
      <c r="Y535" s="5"/>
    </row>
    <row r="536" spans="1:25" ht="15.75" customHeight="1">
      <c r="A536" s="3"/>
      <c r="P536" s="5"/>
      <c r="Q536" s="5"/>
      <c r="R536" s="5"/>
      <c r="S536" s="5"/>
      <c r="T536" s="5"/>
      <c r="U536" s="5"/>
      <c r="V536" s="5"/>
      <c r="W536" s="5"/>
      <c r="X536" s="5"/>
      <c r="Y536" s="5"/>
    </row>
    <row r="537" spans="1:25" ht="15.75" customHeight="1">
      <c r="A537" s="3"/>
      <c r="P537" s="5"/>
      <c r="Q537" s="5"/>
      <c r="R537" s="5"/>
      <c r="S537" s="5"/>
      <c r="T537" s="5"/>
      <c r="U537" s="5"/>
      <c r="V537" s="5"/>
      <c r="W537" s="5"/>
      <c r="X537" s="5"/>
      <c r="Y537" s="5"/>
    </row>
    <row r="538" spans="1:25" ht="15.75" customHeight="1">
      <c r="A538" s="3"/>
      <c r="P538" s="5"/>
      <c r="Q538" s="5"/>
      <c r="R538" s="5"/>
      <c r="S538" s="5"/>
      <c r="T538" s="5"/>
      <c r="U538" s="5"/>
      <c r="V538" s="5"/>
      <c r="W538" s="5"/>
      <c r="X538" s="5"/>
      <c r="Y538" s="5"/>
    </row>
    <row r="539" spans="1:25" ht="15.75" customHeight="1">
      <c r="A539" s="3"/>
      <c r="P539" s="5"/>
      <c r="Q539" s="5"/>
      <c r="R539" s="5"/>
      <c r="S539" s="5"/>
      <c r="T539" s="5"/>
      <c r="U539" s="5"/>
      <c r="V539" s="5"/>
      <c r="W539" s="5"/>
      <c r="X539" s="5"/>
      <c r="Y539" s="5"/>
    </row>
    <row r="540" spans="1:25" ht="15.75" customHeight="1">
      <c r="A540" s="3"/>
      <c r="P540" s="5"/>
      <c r="Q540" s="5"/>
      <c r="R540" s="5"/>
      <c r="S540" s="5"/>
      <c r="T540" s="5"/>
      <c r="U540" s="5"/>
      <c r="V540" s="5"/>
      <c r="W540" s="5"/>
      <c r="X540" s="5"/>
      <c r="Y540" s="5"/>
    </row>
    <row r="541" spans="1:25" ht="15.75" customHeight="1">
      <c r="A541" s="3"/>
      <c r="P541" s="5"/>
      <c r="Q541" s="5"/>
      <c r="R541" s="5"/>
      <c r="S541" s="5"/>
      <c r="T541" s="5"/>
      <c r="U541" s="5"/>
      <c r="V541" s="5"/>
      <c r="W541" s="5"/>
      <c r="X541" s="5"/>
      <c r="Y541" s="5"/>
    </row>
    <row r="542" spans="1:25" ht="15.75" customHeight="1">
      <c r="A542" s="3"/>
      <c r="P542" s="5"/>
      <c r="Q542" s="5"/>
      <c r="R542" s="5"/>
      <c r="S542" s="5"/>
      <c r="T542" s="5"/>
      <c r="U542" s="5"/>
      <c r="V542" s="5"/>
      <c r="W542" s="5"/>
      <c r="X542" s="5"/>
      <c r="Y542" s="5"/>
    </row>
    <row r="543" spans="1:25" ht="15.75" customHeight="1">
      <c r="A543" s="3"/>
      <c r="P543" s="5"/>
      <c r="Q543" s="5"/>
      <c r="R543" s="5"/>
      <c r="S543" s="5"/>
      <c r="T543" s="5"/>
      <c r="U543" s="5"/>
      <c r="V543" s="5"/>
      <c r="W543" s="5"/>
      <c r="X543" s="5"/>
      <c r="Y543" s="5"/>
    </row>
    <row r="544" spans="1:25" ht="15.75" customHeight="1">
      <c r="A544" s="3"/>
      <c r="P544" s="5"/>
      <c r="Q544" s="5"/>
      <c r="R544" s="5"/>
      <c r="S544" s="5"/>
      <c r="T544" s="5"/>
      <c r="U544" s="5"/>
      <c r="V544" s="5"/>
      <c r="W544" s="5"/>
      <c r="X544" s="5"/>
      <c r="Y544" s="5"/>
    </row>
    <row r="545" spans="1:25" ht="15.75" customHeight="1">
      <c r="A545" s="3"/>
      <c r="P545" s="5"/>
      <c r="Q545" s="5"/>
      <c r="R545" s="5"/>
      <c r="S545" s="5"/>
      <c r="T545" s="5"/>
      <c r="U545" s="5"/>
      <c r="V545" s="5"/>
      <c r="W545" s="5"/>
      <c r="X545" s="5"/>
      <c r="Y545" s="5"/>
    </row>
    <row r="546" spans="1:25" ht="15.75" customHeight="1">
      <c r="A546" s="3"/>
      <c r="P546" s="5"/>
      <c r="Q546" s="5"/>
      <c r="R546" s="5"/>
      <c r="S546" s="5"/>
      <c r="T546" s="5"/>
      <c r="U546" s="5"/>
      <c r="V546" s="5"/>
      <c r="W546" s="5"/>
      <c r="X546" s="5"/>
      <c r="Y546" s="5"/>
    </row>
    <row r="547" spans="1:25" ht="15.75" customHeight="1">
      <c r="A547" s="3"/>
      <c r="P547" s="5"/>
      <c r="Q547" s="5"/>
      <c r="R547" s="5"/>
      <c r="S547" s="5"/>
      <c r="T547" s="5"/>
      <c r="U547" s="5"/>
      <c r="V547" s="5"/>
      <c r="W547" s="5"/>
      <c r="X547" s="5"/>
      <c r="Y547" s="5"/>
    </row>
    <row r="548" spans="1:25" ht="15.75" customHeight="1">
      <c r="A548" s="3"/>
      <c r="P548" s="5"/>
      <c r="Q548" s="5"/>
      <c r="R548" s="5"/>
      <c r="S548" s="5"/>
      <c r="T548" s="5"/>
      <c r="U548" s="5"/>
      <c r="V548" s="5"/>
      <c r="W548" s="5"/>
      <c r="X548" s="5"/>
      <c r="Y548" s="5"/>
    </row>
    <row r="549" spans="1:25" ht="15.75" customHeight="1">
      <c r="A549" s="3"/>
      <c r="P549" s="5"/>
      <c r="Q549" s="5"/>
      <c r="R549" s="5"/>
      <c r="S549" s="5"/>
      <c r="T549" s="5"/>
      <c r="U549" s="5"/>
      <c r="V549" s="5"/>
      <c r="W549" s="5"/>
      <c r="X549" s="5"/>
      <c r="Y549" s="5"/>
    </row>
    <row r="550" spans="1:25" ht="15.75" customHeight="1">
      <c r="A550" s="3"/>
      <c r="P550" s="5"/>
      <c r="Q550" s="5"/>
      <c r="R550" s="5"/>
      <c r="S550" s="5"/>
      <c r="T550" s="5"/>
      <c r="U550" s="5"/>
      <c r="V550" s="5"/>
      <c r="W550" s="5"/>
      <c r="X550" s="5"/>
      <c r="Y550" s="5"/>
    </row>
    <row r="551" spans="1:25" ht="15.75" customHeight="1">
      <c r="A551" s="3"/>
      <c r="P551" s="5"/>
      <c r="Q551" s="5"/>
      <c r="R551" s="5"/>
      <c r="S551" s="5"/>
      <c r="T551" s="5"/>
      <c r="U551" s="5"/>
      <c r="V551" s="5"/>
      <c r="W551" s="5"/>
      <c r="X551" s="5"/>
      <c r="Y551" s="5"/>
    </row>
    <row r="552" spans="1:25" ht="15.75" customHeight="1">
      <c r="A552" s="3"/>
      <c r="P552" s="5"/>
      <c r="Q552" s="5"/>
      <c r="R552" s="5"/>
      <c r="S552" s="5"/>
      <c r="T552" s="5"/>
      <c r="U552" s="5"/>
      <c r="V552" s="5"/>
      <c r="W552" s="5"/>
      <c r="X552" s="5"/>
      <c r="Y552" s="5"/>
    </row>
    <row r="553" spans="1:25" ht="15.75" customHeight="1">
      <c r="A553" s="3"/>
      <c r="P553" s="5"/>
      <c r="Q553" s="5"/>
      <c r="R553" s="5"/>
      <c r="S553" s="5"/>
      <c r="T553" s="5"/>
      <c r="U553" s="5"/>
      <c r="V553" s="5"/>
      <c r="W553" s="5"/>
      <c r="X553" s="5"/>
      <c r="Y553" s="5"/>
    </row>
    <row r="554" spans="1:25" ht="15.75" customHeight="1">
      <c r="A554" s="3"/>
      <c r="P554" s="5"/>
      <c r="Q554" s="5"/>
      <c r="R554" s="5"/>
      <c r="S554" s="5"/>
      <c r="T554" s="5"/>
      <c r="U554" s="5"/>
      <c r="V554" s="5"/>
      <c r="W554" s="5"/>
      <c r="X554" s="5"/>
      <c r="Y554" s="5"/>
    </row>
    <row r="555" spans="1:25" ht="15.75" customHeight="1">
      <c r="A555" s="3"/>
      <c r="P555" s="5"/>
      <c r="Q555" s="5"/>
      <c r="R555" s="5"/>
      <c r="S555" s="5"/>
      <c r="T555" s="5"/>
      <c r="U555" s="5"/>
      <c r="V555" s="5"/>
      <c r="W555" s="5"/>
      <c r="X555" s="5"/>
      <c r="Y555" s="5"/>
    </row>
    <row r="556" spans="1:25" ht="15.75" customHeight="1">
      <c r="A556" s="3"/>
      <c r="P556" s="5"/>
      <c r="Q556" s="5"/>
      <c r="R556" s="5"/>
      <c r="S556" s="5"/>
      <c r="T556" s="5"/>
      <c r="U556" s="5"/>
      <c r="V556" s="5"/>
      <c r="W556" s="5"/>
      <c r="X556" s="5"/>
      <c r="Y556" s="5"/>
    </row>
    <row r="557" spans="1:25" ht="15.75" customHeight="1">
      <c r="A557" s="3"/>
      <c r="P557" s="5"/>
      <c r="Q557" s="5"/>
      <c r="R557" s="5"/>
      <c r="S557" s="5"/>
      <c r="T557" s="5"/>
      <c r="U557" s="5"/>
      <c r="V557" s="5"/>
      <c r="W557" s="5"/>
      <c r="X557" s="5"/>
      <c r="Y557" s="5"/>
    </row>
    <row r="558" spans="1:25" ht="15.75" customHeight="1">
      <c r="A558" s="3"/>
      <c r="P558" s="5"/>
      <c r="Q558" s="5"/>
      <c r="R558" s="5"/>
      <c r="S558" s="5"/>
      <c r="T558" s="5"/>
      <c r="U558" s="5"/>
      <c r="V558" s="5"/>
      <c r="W558" s="5"/>
      <c r="X558" s="5"/>
      <c r="Y558" s="5"/>
    </row>
    <row r="559" spans="1:25" ht="15.75" customHeight="1">
      <c r="A559" s="3"/>
      <c r="P559" s="5"/>
      <c r="Q559" s="5"/>
      <c r="R559" s="5"/>
      <c r="S559" s="5"/>
      <c r="T559" s="5"/>
      <c r="U559" s="5"/>
      <c r="V559" s="5"/>
      <c r="W559" s="5"/>
      <c r="X559" s="5"/>
      <c r="Y559" s="5"/>
    </row>
    <row r="560" spans="1:25" ht="15.75" customHeight="1">
      <c r="A560" s="3"/>
      <c r="P560" s="5"/>
      <c r="Q560" s="5"/>
      <c r="R560" s="5"/>
      <c r="S560" s="5"/>
      <c r="T560" s="5"/>
      <c r="U560" s="5"/>
      <c r="V560" s="5"/>
      <c r="W560" s="5"/>
      <c r="X560" s="5"/>
      <c r="Y560" s="5"/>
    </row>
    <row r="561" spans="1:25" ht="15.75" customHeight="1">
      <c r="A561" s="3"/>
      <c r="P561" s="5"/>
      <c r="Q561" s="5"/>
      <c r="R561" s="5"/>
      <c r="S561" s="5"/>
      <c r="T561" s="5"/>
      <c r="U561" s="5"/>
      <c r="V561" s="5"/>
      <c r="W561" s="5"/>
      <c r="X561" s="5"/>
      <c r="Y561" s="5"/>
    </row>
    <row r="562" spans="1:25" ht="15.75" customHeight="1">
      <c r="A562" s="3"/>
      <c r="P562" s="5"/>
      <c r="Q562" s="5"/>
      <c r="R562" s="5"/>
      <c r="S562" s="5"/>
      <c r="T562" s="5"/>
      <c r="U562" s="5"/>
      <c r="V562" s="5"/>
      <c r="W562" s="5"/>
      <c r="X562" s="5"/>
      <c r="Y562" s="5"/>
    </row>
    <row r="563" spans="1:25" ht="15.75" customHeight="1">
      <c r="A563" s="3"/>
      <c r="P563" s="5"/>
      <c r="Q563" s="5"/>
      <c r="R563" s="5"/>
      <c r="S563" s="5"/>
      <c r="T563" s="5"/>
      <c r="U563" s="5"/>
      <c r="V563" s="5"/>
      <c r="W563" s="5"/>
      <c r="X563" s="5"/>
      <c r="Y563" s="5"/>
    </row>
    <row r="564" spans="1:25" ht="15.75" customHeight="1">
      <c r="A564" s="3"/>
      <c r="P564" s="5"/>
      <c r="Q564" s="5"/>
      <c r="R564" s="5"/>
      <c r="S564" s="5"/>
      <c r="T564" s="5"/>
      <c r="U564" s="5"/>
      <c r="V564" s="5"/>
      <c r="W564" s="5"/>
      <c r="X564" s="5"/>
      <c r="Y564" s="5"/>
    </row>
    <row r="565" spans="1:25" ht="15.75" customHeight="1">
      <c r="A565" s="3"/>
      <c r="P565" s="5"/>
      <c r="Q565" s="5"/>
      <c r="R565" s="5"/>
      <c r="S565" s="5"/>
      <c r="T565" s="5"/>
      <c r="U565" s="5"/>
      <c r="V565" s="5"/>
      <c r="W565" s="5"/>
      <c r="X565" s="5"/>
      <c r="Y565" s="5"/>
    </row>
    <row r="566" spans="1:25" ht="15.75" customHeight="1">
      <c r="A566" s="3"/>
      <c r="P566" s="5"/>
      <c r="Q566" s="5"/>
      <c r="R566" s="5"/>
      <c r="S566" s="5"/>
      <c r="T566" s="5"/>
      <c r="U566" s="5"/>
      <c r="V566" s="5"/>
      <c r="W566" s="5"/>
      <c r="X566" s="5"/>
      <c r="Y566" s="5"/>
    </row>
    <row r="567" spans="1:25" ht="15.75" customHeight="1">
      <c r="A567" s="3"/>
      <c r="P567" s="5"/>
      <c r="Q567" s="5"/>
      <c r="R567" s="5"/>
      <c r="S567" s="5"/>
      <c r="T567" s="5"/>
      <c r="U567" s="5"/>
      <c r="V567" s="5"/>
      <c r="W567" s="5"/>
      <c r="X567" s="5"/>
      <c r="Y567" s="5"/>
    </row>
    <row r="568" spans="1:25" ht="15.75" customHeight="1">
      <c r="A568" s="3"/>
      <c r="P568" s="5"/>
      <c r="Q568" s="5"/>
      <c r="R568" s="5"/>
      <c r="S568" s="5"/>
      <c r="T568" s="5"/>
      <c r="U568" s="5"/>
      <c r="V568" s="5"/>
      <c r="W568" s="5"/>
      <c r="X568" s="5"/>
      <c r="Y568" s="5"/>
    </row>
    <row r="569" spans="1:25" ht="15.75" customHeight="1">
      <c r="A569" s="3"/>
      <c r="P569" s="5"/>
      <c r="Q569" s="5"/>
      <c r="R569" s="5"/>
      <c r="S569" s="5"/>
      <c r="T569" s="5"/>
      <c r="U569" s="5"/>
      <c r="V569" s="5"/>
      <c r="W569" s="5"/>
      <c r="X569" s="5"/>
      <c r="Y569" s="5"/>
    </row>
    <row r="570" spans="1:25" ht="15.75" customHeight="1">
      <c r="A570" s="3"/>
      <c r="P570" s="5"/>
      <c r="Q570" s="5"/>
      <c r="R570" s="5"/>
      <c r="S570" s="5"/>
      <c r="T570" s="5"/>
      <c r="U570" s="5"/>
      <c r="V570" s="5"/>
      <c r="W570" s="5"/>
      <c r="X570" s="5"/>
      <c r="Y570" s="5"/>
    </row>
    <row r="571" spans="1:25" ht="15.75" customHeight="1">
      <c r="A571" s="3"/>
      <c r="P571" s="5"/>
      <c r="Q571" s="5"/>
      <c r="R571" s="5"/>
      <c r="S571" s="5"/>
      <c r="T571" s="5"/>
      <c r="U571" s="5"/>
      <c r="V571" s="5"/>
      <c r="W571" s="5"/>
      <c r="X571" s="5"/>
      <c r="Y571" s="5"/>
    </row>
    <row r="572" spans="1:25" ht="15.75" customHeight="1">
      <c r="A572" s="3"/>
      <c r="P572" s="5"/>
      <c r="Q572" s="5"/>
      <c r="R572" s="5"/>
      <c r="S572" s="5"/>
      <c r="T572" s="5"/>
      <c r="U572" s="5"/>
      <c r="V572" s="5"/>
      <c r="W572" s="5"/>
      <c r="X572" s="5"/>
      <c r="Y572" s="5"/>
    </row>
    <row r="573" spans="1:25" ht="15.75" customHeight="1">
      <c r="A573" s="3"/>
      <c r="P573" s="5"/>
      <c r="Q573" s="5"/>
      <c r="R573" s="5"/>
      <c r="S573" s="5"/>
      <c r="T573" s="5"/>
      <c r="U573" s="5"/>
      <c r="V573" s="5"/>
      <c r="W573" s="5"/>
      <c r="X573" s="5"/>
      <c r="Y573" s="5"/>
    </row>
    <row r="574" spans="1:25" ht="15.75" customHeight="1">
      <c r="A574" s="3"/>
      <c r="P574" s="5"/>
      <c r="Q574" s="5"/>
      <c r="R574" s="5"/>
      <c r="S574" s="5"/>
      <c r="T574" s="5"/>
      <c r="U574" s="5"/>
      <c r="V574" s="5"/>
      <c r="W574" s="5"/>
      <c r="X574" s="5"/>
      <c r="Y574" s="5"/>
    </row>
    <row r="575" spans="1:25" ht="15.75" customHeight="1">
      <c r="A575" s="3"/>
      <c r="P575" s="5"/>
      <c r="Q575" s="5"/>
      <c r="R575" s="5"/>
      <c r="S575" s="5"/>
      <c r="T575" s="5"/>
      <c r="U575" s="5"/>
      <c r="V575" s="5"/>
      <c r="W575" s="5"/>
      <c r="X575" s="5"/>
      <c r="Y575" s="5"/>
    </row>
    <row r="576" spans="1:25" ht="15.75" customHeight="1">
      <c r="A576" s="3"/>
      <c r="P576" s="5"/>
      <c r="Q576" s="5"/>
      <c r="R576" s="5"/>
      <c r="S576" s="5"/>
      <c r="T576" s="5"/>
      <c r="U576" s="5"/>
      <c r="V576" s="5"/>
      <c r="W576" s="5"/>
      <c r="X576" s="5"/>
      <c r="Y576" s="5"/>
    </row>
    <row r="577" spans="1:25" ht="15.75" customHeight="1">
      <c r="A577" s="3"/>
      <c r="P577" s="5"/>
      <c r="Q577" s="5"/>
      <c r="R577" s="5"/>
      <c r="S577" s="5"/>
      <c r="T577" s="5"/>
      <c r="U577" s="5"/>
      <c r="V577" s="5"/>
      <c r="W577" s="5"/>
      <c r="X577" s="5"/>
      <c r="Y577" s="5"/>
    </row>
    <row r="578" spans="1:25" ht="15.75" customHeight="1">
      <c r="A578" s="3"/>
      <c r="P578" s="5"/>
      <c r="Q578" s="5"/>
      <c r="R578" s="5"/>
      <c r="S578" s="5"/>
      <c r="T578" s="5"/>
      <c r="U578" s="5"/>
      <c r="V578" s="5"/>
      <c r="W578" s="5"/>
      <c r="X578" s="5"/>
      <c r="Y578" s="5"/>
    </row>
    <row r="579" spans="1:25" ht="15.75" customHeight="1">
      <c r="A579" s="3"/>
      <c r="P579" s="5"/>
      <c r="Q579" s="5"/>
      <c r="R579" s="5"/>
      <c r="S579" s="5"/>
      <c r="T579" s="5"/>
      <c r="U579" s="5"/>
      <c r="V579" s="5"/>
      <c r="W579" s="5"/>
      <c r="X579" s="5"/>
      <c r="Y579" s="5"/>
    </row>
    <row r="580" spans="1:25" ht="15.75" customHeight="1">
      <c r="A580" s="3"/>
      <c r="P580" s="5"/>
      <c r="Q580" s="5"/>
      <c r="R580" s="5"/>
      <c r="S580" s="5"/>
      <c r="T580" s="5"/>
      <c r="U580" s="5"/>
      <c r="V580" s="5"/>
      <c r="W580" s="5"/>
      <c r="X580" s="5"/>
      <c r="Y580" s="5"/>
    </row>
    <row r="581" spans="1:25" ht="15.75" customHeight="1">
      <c r="A581" s="3"/>
      <c r="P581" s="5"/>
      <c r="Q581" s="5"/>
      <c r="R581" s="5"/>
      <c r="S581" s="5"/>
      <c r="T581" s="5"/>
      <c r="U581" s="5"/>
      <c r="V581" s="5"/>
      <c r="W581" s="5"/>
      <c r="X581" s="5"/>
      <c r="Y581" s="5"/>
    </row>
    <row r="582" spans="1:25" ht="15.75" customHeight="1">
      <c r="A582" s="3"/>
      <c r="P582" s="5"/>
      <c r="Q582" s="5"/>
      <c r="R582" s="5"/>
      <c r="S582" s="5"/>
      <c r="T582" s="5"/>
      <c r="U582" s="5"/>
      <c r="V582" s="5"/>
      <c r="W582" s="5"/>
      <c r="X582" s="5"/>
      <c r="Y582" s="5"/>
    </row>
    <row r="583" spans="1:25" ht="15.75" customHeight="1">
      <c r="A583" s="3"/>
      <c r="P583" s="5"/>
      <c r="Q583" s="5"/>
      <c r="R583" s="5"/>
      <c r="S583" s="5"/>
      <c r="T583" s="5"/>
      <c r="U583" s="5"/>
      <c r="V583" s="5"/>
      <c r="W583" s="5"/>
      <c r="X583" s="5"/>
      <c r="Y583" s="5"/>
    </row>
    <row r="584" spans="1:25" ht="15.75" customHeight="1">
      <c r="A584" s="3"/>
      <c r="P584" s="5"/>
      <c r="Q584" s="5"/>
      <c r="R584" s="5"/>
      <c r="S584" s="5"/>
      <c r="T584" s="5"/>
      <c r="U584" s="5"/>
      <c r="V584" s="5"/>
      <c r="W584" s="5"/>
      <c r="X584" s="5"/>
      <c r="Y584" s="5"/>
    </row>
    <row r="585" spans="1:25" ht="15.75" customHeight="1">
      <c r="A585" s="3"/>
      <c r="P585" s="5"/>
      <c r="Q585" s="5"/>
      <c r="R585" s="5"/>
      <c r="S585" s="5"/>
      <c r="T585" s="5"/>
      <c r="U585" s="5"/>
      <c r="V585" s="5"/>
      <c r="W585" s="5"/>
      <c r="X585" s="5"/>
      <c r="Y585" s="5"/>
    </row>
    <row r="586" spans="1:25" ht="15.75" customHeight="1">
      <c r="A586" s="3"/>
      <c r="P586" s="5"/>
      <c r="Q586" s="5"/>
      <c r="R586" s="5"/>
      <c r="S586" s="5"/>
      <c r="T586" s="5"/>
      <c r="U586" s="5"/>
      <c r="V586" s="5"/>
      <c r="W586" s="5"/>
      <c r="X586" s="5"/>
      <c r="Y586" s="5"/>
    </row>
    <row r="587" spans="1:25" ht="15.75" customHeight="1">
      <c r="A587" s="3"/>
      <c r="P587" s="5"/>
      <c r="Q587" s="5"/>
      <c r="R587" s="5"/>
      <c r="S587" s="5"/>
      <c r="T587" s="5"/>
      <c r="U587" s="5"/>
      <c r="V587" s="5"/>
      <c r="W587" s="5"/>
      <c r="X587" s="5"/>
      <c r="Y587" s="5"/>
    </row>
    <row r="588" spans="1:25" ht="15.75" customHeight="1">
      <c r="A588" s="3"/>
      <c r="P588" s="5"/>
      <c r="Q588" s="5"/>
      <c r="R588" s="5"/>
      <c r="S588" s="5"/>
      <c r="T588" s="5"/>
      <c r="U588" s="5"/>
      <c r="V588" s="5"/>
      <c r="W588" s="5"/>
      <c r="X588" s="5"/>
      <c r="Y588" s="5"/>
    </row>
    <row r="589" spans="1:25" ht="15.75" customHeight="1">
      <c r="A589" s="3"/>
      <c r="P589" s="5"/>
      <c r="Q589" s="5"/>
      <c r="R589" s="5"/>
      <c r="S589" s="5"/>
      <c r="T589" s="5"/>
      <c r="U589" s="5"/>
      <c r="V589" s="5"/>
      <c r="W589" s="5"/>
      <c r="X589" s="5"/>
      <c r="Y589" s="5"/>
    </row>
    <row r="590" spans="1:25" ht="15.75" customHeight="1">
      <c r="A590" s="3"/>
      <c r="P590" s="5"/>
      <c r="Q590" s="5"/>
      <c r="R590" s="5"/>
      <c r="S590" s="5"/>
      <c r="T590" s="5"/>
      <c r="U590" s="5"/>
      <c r="V590" s="5"/>
      <c r="W590" s="5"/>
      <c r="X590" s="5"/>
      <c r="Y590" s="5"/>
    </row>
    <row r="591" spans="1:25" ht="15.75" customHeight="1">
      <c r="A591" s="3"/>
      <c r="P591" s="5"/>
      <c r="Q591" s="5"/>
      <c r="R591" s="5"/>
      <c r="S591" s="5"/>
      <c r="T591" s="5"/>
      <c r="U591" s="5"/>
      <c r="V591" s="5"/>
      <c r="W591" s="5"/>
      <c r="X591" s="5"/>
      <c r="Y591" s="5"/>
    </row>
    <row r="592" spans="1:25" ht="15.75" customHeight="1">
      <c r="A592" s="3"/>
      <c r="P592" s="5"/>
      <c r="Q592" s="5"/>
      <c r="R592" s="5"/>
      <c r="S592" s="5"/>
      <c r="T592" s="5"/>
      <c r="U592" s="5"/>
      <c r="V592" s="5"/>
      <c r="W592" s="5"/>
      <c r="X592" s="5"/>
      <c r="Y592" s="5"/>
    </row>
    <row r="593" spans="1:25" ht="15.75" customHeight="1">
      <c r="A593" s="3"/>
      <c r="P593" s="5"/>
      <c r="Q593" s="5"/>
      <c r="R593" s="5"/>
      <c r="S593" s="5"/>
      <c r="T593" s="5"/>
      <c r="U593" s="5"/>
      <c r="V593" s="5"/>
      <c r="W593" s="5"/>
      <c r="X593" s="5"/>
      <c r="Y593" s="5"/>
    </row>
    <row r="594" spans="1:25" ht="15.75" customHeight="1">
      <c r="A594" s="3"/>
      <c r="P594" s="5"/>
      <c r="Q594" s="5"/>
      <c r="R594" s="5"/>
      <c r="S594" s="5"/>
      <c r="T594" s="5"/>
      <c r="U594" s="5"/>
      <c r="V594" s="5"/>
      <c r="W594" s="5"/>
      <c r="X594" s="5"/>
      <c r="Y594" s="5"/>
    </row>
    <row r="595" spans="1:25" ht="15.75" customHeight="1">
      <c r="A595" s="3"/>
      <c r="P595" s="5"/>
      <c r="Q595" s="5"/>
      <c r="R595" s="5"/>
      <c r="S595" s="5"/>
      <c r="T595" s="5"/>
      <c r="U595" s="5"/>
      <c r="V595" s="5"/>
      <c r="W595" s="5"/>
      <c r="X595" s="5"/>
      <c r="Y595" s="5"/>
    </row>
    <row r="596" spans="1:25" ht="15.75" customHeight="1">
      <c r="A596" s="3"/>
      <c r="P596" s="5"/>
      <c r="Q596" s="5"/>
      <c r="R596" s="5"/>
      <c r="S596" s="5"/>
      <c r="T596" s="5"/>
      <c r="U596" s="5"/>
      <c r="V596" s="5"/>
      <c r="W596" s="5"/>
      <c r="X596" s="5"/>
      <c r="Y596" s="5"/>
    </row>
    <row r="597" spans="1:25" ht="15.75" customHeight="1">
      <c r="A597" s="3"/>
      <c r="P597" s="5"/>
      <c r="Q597" s="5"/>
      <c r="R597" s="5"/>
      <c r="S597" s="5"/>
      <c r="T597" s="5"/>
      <c r="U597" s="5"/>
      <c r="V597" s="5"/>
      <c r="W597" s="5"/>
      <c r="X597" s="5"/>
      <c r="Y597" s="5"/>
    </row>
    <row r="598" spans="1:25" ht="15.75" customHeight="1">
      <c r="A598" s="3"/>
      <c r="P598" s="5"/>
      <c r="Q598" s="5"/>
      <c r="R598" s="5"/>
      <c r="S598" s="5"/>
      <c r="T598" s="5"/>
      <c r="U598" s="5"/>
      <c r="V598" s="5"/>
      <c r="W598" s="5"/>
      <c r="X598" s="5"/>
      <c r="Y598" s="5"/>
    </row>
    <row r="599" spans="1:25" ht="15.75" customHeight="1">
      <c r="A599" s="3"/>
      <c r="P599" s="5"/>
      <c r="Q599" s="5"/>
      <c r="R599" s="5"/>
      <c r="S599" s="5"/>
      <c r="T599" s="5"/>
      <c r="U599" s="5"/>
      <c r="V599" s="5"/>
      <c r="W599" s="5"/>
      <c r="X599" s="5"/>
      <c r="Y599" s="5"/>
    </row>
    <row r="600" spans="1:25" ht="15.75" customHeight="1">
      <c r="A600" s="3"/>
      <c r="P600" s="5"/>
      <c r="Q600" s="5"/>
      <c r="R600" s="5"/>
      <c r="S600" s="5"/>
      <c r="T600" s="5"/>
      <c r="U600" s="5"/>
      <c r="V600" s="5"/>
      <c r="W600" s="5"/>
      <c r="X600" s="5"/>
      <c r="Y600" s="5"/>
    </row>
    <row r="601" spans="1:25" ht="15.75" customHeight="1">
      <c r="A601" s="3"/>
      <c r="P601" s="5"/>
      <c r="Q601" s="5"/>
      <c r="R601" s="5"/>
      <c r="S601" s="5"/>
      <c r="T601" s="5"/>
      <c r="U601" s="5"/>
      <c r="V601" s="5"/>
      <c r="W601" s="5"/>
      <c r="X601" s="5"/>
      <c r="Y601" s="5"/>
    </row>
    <row r="602" spans="1:25" ht="15.75" customHeight="1">
      <c r="A602" s="3"/>
      <c r="P602" s="5"/>
      <c r="Q602" s="5"/>
      <c r="R602" s="5"/>
      <c r="S602" s="5"/>
      <c r="T602" s="5"/>
      <c r="U602" s="5"/>
      <c r="V602" s="5"/>
      <c r="W602" s="5"/>
      <c r="X602" s="5"/>
      <c r="Y602" s="5"/>
    </row>
    <row r="603" spans="1:25" ht="15.75" customHeight="1">
      <c r="A603" s="3"/>
      <c r="P603" s="5"/>
      <c r="Q603" s="5"/>
      <c r="R603" s="5"/>
      <c r="S603" s="5"/>
      <c r="T603" s="5"/>
      <c r="U603" s="5"/>
      <c r="V603" s="5"/>
      <c r="W603" s="5"/>
      <c r="X603" s="5"/>
      <c r="Y603" s="5"/>
    </row>
    <row r="604" spans="1:25" ht="15.75" customHeight="1">
      <c r="A604" s="3"/>
      <c r="P604" s="5"/>
      <c r="Q604" s="5"/>
      <c r="R604" s="5"/>
      <c r="S604" s="5"/>
      <c r="T604" s="5"/>
      <c r="U604" s="5"/>
      <c r="V604" s="5"/>
      <c r="W604" s="5"/>
      <c r="X604" s="5"/>
      <c r="Y604" s="5"/>
    </row>
    <row r="605" spans="1:25" ht="15.75" customHeight="1">
      <c r="A605" s="3"/>
      <c r="P605" s="5"/>
      <c r="Q605" s="5"/>
      <c r="R605" s="5"/>
      <c r="S605" s="5"/>
      <c r="T605" s="5"/>
      <c r="U605" s="5"/>
      <c r="V605" s="5"/>
      <c r="W605" s="5"/>
      <c r="X605" s="5"/>
      <c r="Y605" s="5"/>
    </row>
    <row r="606" spans="1:25" ht="15.75" customHeight="1">
      <c r="A606" s="3"/>
      <c r="P606" s="5"/>
      <c r="Q606" s="5"/>
      <c r="R606" s="5"/>
      <c r="S606" s="5"/>
      <c r="T606" s="5"/>
      <c r="U606" s="5"/>
      <c r="V606" s="5"/>
      <c r="W606" s="5"/>
      <c r="X606" s="5"/>
      <c r="Y606" s="5"/>
    </row>
    <row r="607" spans="1:25" ht="15.75" customHeight="1">
      <c r="A607" s="3"/>
      <c r="P607" s="5"/>
      <c r="Q607" s="5"/>
      <c r="R607" s="5"/>
      <c r="S607" s="5"/>
      <c r="T607" s="5"/>
      <c r="U607" s="5"/>
      <c r="V607" s="5"/>
      <c r="W607" s="5"/>
      <c r="X607" s="5"/>
      <c r="Y607" s="5"/>
    </row>
    <row r="608" spans="1:25" ht="15.75" customHeight="1">
      <c r="A608" s="3"/>
      <c r="P608" s="5"/>
      <c r="Q608" s="5"/>
      <c r="R608" s="5"/>
      <c r="S608" s="5"/>
      <c r="T608" s="5"/>
      <c r="U608" s="5"/>
      <c r="V608" s="5"/>
      <c r="W608" s="5"/>
      <c r="X608" s="5"/>
      <c r="Y608" s="5"/>
    </row>
    <row r="609" spans="1:25" ht="15.75" customHeight="1">
      <c r="A609" s="3"/>
      <c r="P609" s="5"/>
      <c r="Q609" s="5"/>
      <c r="R609" s="5"/>
      <c r="S609" s="5"/>
      <c r="T609" s="5"/>
      <c r="U609" s="5"/>
      <c r="V609" s="5"/>
      <c r="W609" s="5"/>
      <c r="X609" s="5"/>
      <c r="Y609" s="5"/>
    </row>
    <row r="610" spans="1:25" ht="15.75" customHeight="1">
      <c r="A610" s="3"/>
      <c r="P610" s="5"/>
      <c r="Q610" s="5"/>
      <c r="R610" s="5"/>
      <c r="S610" s="5"/>
      <c r="T610" s="5"/>
      <c r="U610" s="5"/>
      <c r="V610" s="5"/>
      <c r="W610" s="5"/>
      <c r="X610" s="5"/>
      <c r="Y610" s="5"/>
    </row>
    <row r="611" spans="1:25" ht="15.75" customHeight="1">
      <c r="A611" s="3"/>
      <c r="P611" s="5"/>
      <c r="Q611" s="5"/>
      <c r="R611" s="5"/>
      <c r="S611" s="5"/>
      <c r="T611" s="5"/>
      <c r="U611" s="5"/>
      <c r="V611" s="5"/>
      <c r="W611" s="5"/>
      <c r="X611" s="5"/>
      <c r="Y611" s="5"/>
    </row>
    <row r="612" spans="1:25" ht="15.75" customHeight="1">
      <c r="A612" s="3"/>
      <c r="P612" s="5"/>
      <c r="Q612" s="5"/>
      <c r="R612" s="5"/>
      <c r="S612" s="5"/>
      <c r="T612" s="5"/>
      <c r="U612" s="5"/>
      <c r="V612" s="5"/>
      <c r="W612" s="5"/>
      <c r="X612" s="5"/>
      <c r="Y612" s="5"/>
    </row>
    <row r="613" spans="1:25" ht="15.75" customHeight="1">
      <c r="A613" s="3"/>
      <c r="P613" s="5"/>
      <c r="Q613" s="5"/>
      <c r="R613" s="5"/>
      <c r="S613" s="5"/>
      <c r="T613" s="5"/>
      <c r="U613" s="5"/>
      <c r="V613" s="5"/>
      <c r="W613" s="5"/>
      <c r="X613" s="5"/>
      <c r="Y613" s="5"/>
    </row>
    <row r="614" spans="1:25" ht="15.75" customHeight="1">
      <c r="A614" s="3"/>
      <c r="P614" s="5"/>
      <c r="Q614" s="5"/>
      <c r="R614" s="5"/>
      <c r="S614" s="5"/>
      <c r="T614" s="5"/>
      <c r="U614" s="5"/>
      <c r="V614" s="5"/>
      <c r="W614" s="5"/>
      <c r="X614" s="5"/>
      <c r="Y614" s="5"/>
    </row>
    <row r="615" spans="1:25" ht="15.75" customHeight="1">
      <c r="A615" s="3"/>
      <c r="P615" s="5"/>
      <c r="Q615" s="5"/>
      <c r="R615" s="5"/>
      <c r="S615" s="5"/>
      <c r="T615" s="5"/>
      <c r="U615" s="5"/>
      <c r="V615" s="5"/>
      <c r="W615" s="5"/>
      <c r="X615" s="5"/>
      <c r="Y615" s="5"/>
    </row>
    <row r="616" spans="1:25" ht="15.75" customHeight="1">
      <c r="A616" s="3"/>
      <c r="P616" s="5"/>
      <c r="Q616" s="5"/>
      <c r="R616" s="5"/>
      <c r="S616" s="5"/>
      <c r="T616" s="5"/>
      <c r="U616" s="5"/>
      <c r="V616" s="5"/>
      <c r="W616" s="5"/>
      <c r="X616" s="5"/>
      <c r="Y616" s="5"/>
    </row>
    <row r="617" spans="1:25" ht="15.75" customHeight="1">
      <c r="A617" s="3"/>
      <c r="P617" s="5"/>
      <c r="Q617" s="5"/>
      <c r="R617" s="5"/>
      <c r="S617" s="5"/>
      <c r="T617" s="5"/>
      <c r="U617" s="5"/>
      <c r="V617" s="5"/>
      <c r="W617" s="5"/>
      <c r="X617" s="5"/>
      <c r="Y617" s="5"/>
    </row>
    <row r="618" spans="1:25" ht="15.75" customHeight="1">
      <c r="A618" s="3"/>
      <c r="P618" s="5"/>
      <c r="Q618" s="5"/>
      <c r="R618" s="5"/>
      <c r="S618" s="5"/>
      <c r="T618" s="5"/>
      <c r="U618" s="5"/>
      <c r="V618" s="5"/>
      <c r="W618" s="5"/>
      <c r="X618" s="5"/>
      <c r="Y618" s="5"/>
    </row>
    <row r="619" spans="1:25" ht="15.75" customHeight="1">
      <c r="A619" s="3"/>
      <c r="P619" s="5"/>
      <c r="Q619" s="5"/>
      <c r="R619" s="5"/>
      <c r="S619" s="5"/>
      <c r="T619" s="5"/>
      <c r="U619" s="5"/>
      <c r="V619" s="5"/>
      <c r="W619" s="5"/>
      <c r="X619" s="5"/>
      <c r="Y619" s="5"/>
    </row>
    <row r="620" spans="1:25" ht="15.75" customHeight="1">
      <c r="A620" s="3"/>
      <c r="P620" s="5"/>
      <c r="Q620" s="5"/>
      <c r="R620" s="5"/>
      <c r="S620" s="5"/>
      <c r="T620" s="5"/>
      <c r="U620" s="5"/>
      <c r="V620" s="5"/>
      <c r="W620" s="5"/>
      <c r="X620" s="5"/>
      <c r="Y620" s="5"/>
    </row>
    <row r="621" spans="1:25" ht="15.75" customHeight="1">
      <c r="A621" s="3"/>
      <c r="P621" s="5"/>
      <c r="Q621" s="5"/>
      <c r="R621" s="5"/>
      <c r="S621" s="5"/>
      <c r="T621" s="5"/>
      <c r="U621" s="5"/>
      <c r="V621" s="5"/>
      <c r="W621" s="5"/>
      <c r="X621" s="5"/>
      <c r="Y621" s="5"/>
    </row>
    <row r="622" spans="1:25" ht="15.75" customHeight="1">
      <c r="A622" s="3"/>
      <c r="P622" s="5"/>
      <c r="Q622" s="5"/>
      <c r="R622" s="5"/>
      <c r="S622" s="5"/>
      <c r="T622" s="5"/>
      <c r="U622" s="5"/>
      <c r="V622" s="5"/>
      <c r="W622" s="5"/>
      <c r="X622" s="5"/>
      <c r="Y622" s="5"/>
    </row>
    <row r="623" spans="1:25" ht="15.75" customHeight="1">
      <c r="A623" s="3"/>
      <c r="P623" s="5"/>
      <c r="Q623" s="5"/>
      <c r="R623" s="5"/>
      <c r="S623" s="5"/>
      <c r="T623" s="5"/>
      <c r="U623" s="5"/>
      <c r="V623" s="5"/>
      <c r="W623" s="5"/>
      <c r="X623" s="5"/>
      <c r="Y623" s="5"/>
    </row>
    <row r="624" spans="1:25" ht="15.75" customHeight="1">
      <c r="A624" s="3"/>
      <c r="P624" s="5"/>
      <c r="Q624" s="5"/>
      <c r="R624" s="5"/>
      <c r="S624" s="5"/>
      <c r="T624" s="5"/>
      <c r="U624" s="5"/>
      <c r="V624" s="5"/>
      <c r="W624" s="5"/>
      <c r="X624" s="5"/>
      <c r="Y624" s="5"/>
    </row>
    <row r="625" spans="1:25" ht="15.75" customHeight="1">
      <c r="A625" s="3"/>
      <c r="P625" s="5"/>
      <c r="Q625" s="5"/>
      <c r="R625" s="5"/>
      <c r="S625" s="5"/>
      <c r="T625" s="5"/>
      <c r="U625" s="5"/>
      <c r="V625" s="5"/>
      <c r="W625" s="5"/>
      <c r="X625" s="5"/>
      <c r="Y625" s="5"/>
    </row>
    <row r="626" spans="1:25" ht="15.75" customHeight="1">
      <c r="A626" s="3"/>
      <c r="P626" s="5"/>
      <c r="Q626" s="5"/>
      <c r="R626" s="5"/>
      <c r="S626" s="5"/>
      <c r="T626" s="5"/>
      <c r="U626" s="5"/>
      <c r="V626" s="5"/>
      <c r="W626" s="5"/>
      <c r="X626" s="5"/>
      <c r="Y626" s="5"/>
    </row>
    <row r="627" spans="1:25" ht="15.75" customHeight="1">
      <c r="A627" s="3"/>
      <c r="P627" s="5"/>
      <c r="Q627" s="5"/>
      <c r="R627" s="5"/>
      <c r="S627" s="5"/>
      <c r="T627" s="5"/>
      <c r="U627" s="5"/>
      <c r="V627" s="5"/>
      <c r="W627" s="5"/>
      <c r="X627" s="5"/>
      <c r="Y627" s="5"/>
    </row>
    <row r="628" spans="1:25" ht="15.75" customHeight="1">
      <c r="A628" s="3"/>
      <c r="P628" s="5"/>
      <c r="Q628" s="5"/>
      <c r="R628" s="5"/>
      <c r="S628" s="5"/>
      <c r="T628" s="5"/>
      <c r="U628" s="5"/>
      <c r="V628" s="5"/>
      <c r="W628" s="5"/>
      <c r="X628" s="5"/>
      <c r="Y628" s="5"/>
    </row>
    <row r="629" spans="1:25" ht="15.75" customHeight="1">
      <c r="A629" s="3"/>
      <c r="P629" s="5"/>
      <c r="Q629" s="5"/>
      <c r="R629" s="5"/>
      <c r="S629" s="5"/>
      <c r="T629" s="5"/>
      <c r="U629" s="5"/>
      <c r="V629" s="5"/>
      <c r="W629" s="5"/>
      <c r="X629" s="5"/>
      <c r="Y629" s="5"/>
    </row>
    <row r="630" spans="1:25" ht="15.75" customHeight="1">
      <c r="A630" s="3"/>
      <c r="P630" s="5"/>
      <c r="Q630" s="5"/>
      <c r="R630" s="5"/>
      <c r="S630" s="5"/>
      <c r="T630" s="5"/>
      <c r="U630" s="5"/>
      <c r="V630" s="5"/>
      <c r="W630" s="5"/>
      <c r="X630" s="5"/>
      <c r="Y630" s="5"/>
    </row>
    <row r="631" spans="1:25" ht="15.75" customHeight="1">
      <c r="A631" s="3"/>
      <c r="P631" s="5"/>
      <c r="Q631" s="5"/>
      <c r="R631" s="5"/>
      <c r="S631" s="5"/>
      <c r="T631" s="5"/>
      <c r="U631" s="5"/>
      <c r="V631" s="5"/>
      <c r="W631" s="5"/>
      <c r="X631" s="5"/>
      <c r="Y631" s="5"/>
    </row>
    <row r="632" spans="1:25" ht="15.75" customHeight="1">
      <c r="A632" s="3"/>
      <c r="P632" s="5"/>
      <c r="Q632" s="5"/>
      <c r="R632" s="5"/>
      <c r="S632" s="5"/>
      <c r="T632" s="5"/>
      <c r="U632" s="5"/>
      <c r="V632" s="5"/>
      <c r="W632" s="5"/>
      <c r="X632" s="5"/>
      <c r="Y632" s="5"/>
    </row>
    <row r="633" spans="1:25" ht="15.75" customHeight="1">
      <c r="A633" s="3"/>
      <c r="P633" s="5"/>
      <c r="Q633" s="5"/>
      <c r="R633" s="5"/>
      <c r="S633" s="5"/>
      <c r="T633" s="5"/>
      <c r="U633" s="5"/>
      <c r="V633" s="5"/>
      <c r="W633" s="5"/>
      <c r="X633" s="5"/>
      <c r="Y633" s="5"/>
    </row>
    <row r="634" spans="1:25" ht="15.75" customHeight="1">
      <c r="A634" s="3"/>
      <c r="P634" s="5"/>
      <c r="Q634" s="5"/>
      <c r="R634" s="5"/>
      <c r="S634" s="5"/>
      <c r="T634" s="5"/>
      <c r="U634" s="5"/>
      <c r="V634" s="5"/>
      <c r="W634" s="5"/>
      <c r="X634" s="5"/>
      <c r="Y634" s="5"/>
    </row>
    <row r="635" spans="1:25" ht="15.75" customHeight="1">
      <c r="A635" s="3"/>
      <c r="P635" s="5"/>
      <c r="Q635" s="5"/>
      <c r="R635" s="5"/>
      <c r="S635" s="5"/>
      <c r="T635" s="5"/>
      <c r="U635" s="5"/>
      <c r="V635" s="5"/>
      <c r="W635" s="5"/>
      <c r="X635" s="5"/>
      <c r="Y635" s="5"/>
    </row>
    <row r="636" spans="1:25" ht="15.75" customHeight="1">
      <c r="A636" s="3"/>
      <c r="P636" s="5"/>
      <c r="Q636" s="5"/>
      <c r="R636" s="5"/>
      <c r="S636" s="5"/>
      <c r="T636" s="5"/>
      <c r="U636" s="5"/>
      <c r="V636" s="5"/>
      <c r="W636" s="5"/>
      <c r="X636" s="5"/>
      <c r="Y636" s="5"/>
    </row>
    <row r="637" spans="1:25" ht="15.75" customHeight="1">
      <c r="A637" s="3"/>
      <c r="P637" s="5"/>
      <c r="Q637" s="5"/>
      <c r="R637" s="5"/>
      <c r="S637" s="5"/>
      <c r="T637" s="5"/>
      <c r="U637" s="5"/>
      <c r="V637" s="5"/>
      <c r="W637" s="5"/>
      <c r="X637" s="5"/>
      <c r="Y637" s="5"/>
    </row>
    <row r="638" spans="1:25" ht="15.75" customHeight="1">
      <c r="A638" s="3"/>
      <c r="P638" s="5"/>
      <c r="Q638" s="5"/>
      <c r="R638" s="5"/>
      <c r="S638" s="5"/>
      <c r="T638" s="5"/>
      <c r="U638" s="5"/>
      <c r="V638" s="5"/>
      <c r="W638" s="5"/>
      <c r="X638" s="5"/>
      <c r="Y638" s="5"/>
    </row>
    <row r="639" spans="1:25" ht="15.75" customHeight="1">
      <c r="A639" s="3"/>
      <c r="P639" s="5"/>
      <c r="Q639" s="5"/>
      <c r="R639" s="5"/>
      <c r="S639" s="5"/>
      <c r="T639" s="5"/>
      <c r="U639" s="5"/>
      <c r="V639" s="5"/>
      <c r="W639" s="5"/>
      <c r="X639" s="5"/>
      <c r="Y639" s="5"/>
    </row>
    <row r="640" spans="1:25" ht="15.75" customHeight="1">
      <c r="A640" s="3"/>
      <c r="P640" s="5"/>
      <c r="Q640" s="5"/>
      <c r="R640" s="5"/>
      <c r="S640" s="5"/>
      <c r="T640" s="5"/>
      <c r="U640" s="5"/>
      <c r="V640" s="5"/>
      <c r="W640" s="5"/>
      <c r="X640" s="5"/>
      <c r="Y640" s="5"/>
    </row>
    <row r="641" spans="1:25" ht="15.75" customHeight="1">
      <c r="A641" s="3"/>
      <c r="P641" s="5"/>
      <c r="Q641" s="5"/>
      <c r="R641" s="5"/>
      <c r="S641" s="5"/>
      <c r="T641" s="5"/>
      <c r="U641" s="5"/>
      <c r="V641" s="5"/>
      <c r="W641" s="5"/>
      <c r="X641" s="5"/>
      <c r="Y641" s="5"/>
    </row>
    <row r="642" spans="1:25" ht="15.75" customHeight="1">
      <c r="A642" s="3"/>
      <c r="P642" s="5"/>
      <c r="Q642" s="5"/>
      <c r="R642" s="5"/>
      <c r="S642" s="5"/>
      <c r="T642" s="5"/>
      <c r="U642" s="5"/>
      <c r="V642" s="5"/>
      <c r="W642" s="5"/>
      <c r="X642" s="5"/>
      <c r="Y642" s="5"/>
    </row>
    <row r="643" spans="1:25" ht="15.75" customHeight="1">
      <c r="A643" s="3"/>
      <c r="P643" s="5"/>
      <c r="Q643" s="5"/>
      <c r="R643" s="5"/>
      <c r="S643" s="5"/>
      <c r="T643" s="5"/>
      <c r="U643" s="5"/>
      <c r="V643" s="5"/>
      <c r="W643" s="5"/>
      <c r="X643" s="5"/>
      <c r="Y643" s="5"/>
    </row>
    <row r="644" spans="1:25" ht="15.75" customHeight="1">
      <c r="A644" s="3"/>
      <c r="P644" s="5"/>
      <c r="Q644" s="5"/>
      <c r="R644" s="5"/>
      <c r="S644" s="5"/>
      <c r="T644" s="5"/>
      <c r="U644" s="5"/>
      <c r="V644" s="5"/>
      <c r="W644" s="5"/>
      <c r="X644" s="5"/>
      <c r="Y644" s="5"/>
    </row>
    <row r="645" spans="1:25" ht="15.75" customHeight="1">
      <c r="A645" s="3"/>
      <c r="P645" s="5"/>
      <c r="Q645" s="5"/>
      <c r="R645" s="5"/>
      <c r="S645" s="5"/>
      <c r="T645" s="5"/>
      <c r="U645" s="5"/>
      <c r="V645" s="5"/>
      <c r="W645" s="5"/>
      <c r="X645" s="5"/>
      <c r="Y645" s="5"/>
    </row>
    <row r="646" spans="1:25" ht="15.75" customHeight="1">
      <c r="A646" s="3"/>
      <c r="P646" s="5"/>
      <c r="Q646" s="5"/>
      <c r="R646" s="5"/>
      <c r="S646" s="5"/>
      <c r="T646" s="5"/>
      <c r="U646" s="5"/>
      <c r="V646" s="5"/>
      <c r="W646" s="5"/>
      <c r="X646" s="5"/>
      <c r="Y646" s="5"/>
    </row>
    <row r="647" spans="1:25" ht="15.75" customHeight="1">
      <c r="A647" s="3"/>
      <c r="P647" s="5"/>
      <c r="Q647" s="5"/>
      <c r="R647" s="5"/>
      <c r="S647" s="5"/>
      <c r="T647" s="5"/>
      <c r="U647" s="5"/>
      <c r="V647" s="5"/>
      <c r="W647" s="5"/>
      <c r="X647" s="5"/>
      <c r="Y647" s="5"/>
    </row>
    <row r="648" spans="1:25" ht="15.75" customHeight="1">
      <c r="A648" s="3"/>
      <c r="P648" s="5"/>
      <c r="Q648" s="5"/>
      <c r="R648" s="5"/>
      <c r="S648" s="5"/>
      <c r="T648" s="5"/>
      <c r="U648" s="5"/>
      <c r="V648" s="5"/>
      <c r="W648" s="5"/>
      <c r="X648" s="5"/>
      <c r="Y648" s="5"/>
    </row>
    <row r="649" spans="1:25" ht="15.75" customHeight="1">
      <c r="A649" s="3"/>
      <c r="P649" s="5"/>
      <c r="Q649" s="5"/>
      <c r="R649" s="5"/>
      <c r="S649" s="5"/>
      <c r="T649" s="5"/>
      <c r="U649" s="5"/>
      <c r="V649" s="5"/>
      <c r="W649" s="5"/>
      <c r="X649" s="5"/>
      <c r="Y649" s="5"/>
    </row>
    <row r="650" spans="1:25" ht="15.75" customHeight="1">
      <c r="A650" s="3"/>
      <c r="P650" s="5"/>
      <c r="Q650" s="5"/>
      <c r="R650" s="5"/>
      <c r="S650" s="5"/>
      <c r="T650" s="5"/>
      <c r="U650" s="5"/>
      <c r="V650" s="5"/>
      <c r="W650" s="5"/>
      <c r="X650" s="5"/>
      <c r="Y650" s="5"/>
    </row>
    <row r="651" spans="1:25" ht="15.75" customHeight="1">
      <c r="A651" s="3"/>
      <c r="P651" s="5"/>
      <c r="Q651" s="5"/>
      <c r="R651" s="5"/>
      <c r="S651" s="5"/>
      <c r="T651" s="5"/>
      <c r="U651" s="5"/>
      <c r="V651" s="5"/>
      <c r="W651" s="5"/>
      <c r="X651" s="5"/>
      <c r="Y651" s="5"/>
    </row>
    <row r="652" spans="1:25" ht="15.75" customHeight="1">
      <c r="A652" s="3"/>
      <c r="P652" s="5"/>
      <c r="Q652" s="5"/>
      <c r="R652" s="5"/>
      <c r="S652" s="5"/>
      <c r="T652" s="5"/>
      <c r="U652" s="5"/>
      <c r="V652" s="5"/>
      <c r="W652" s="5"/>
      <c r="X652" s="5"/>
      <c r="Y652" s="5"/>
    </row>
    <row r="653" spans="1:25" ht="15.75" customHeight="1">
      <c r="A653" s="3"/>
      <c r="P653" s="5"/>
      <c r="Q653" s="5"/>
      <c r="R653" s="5"/>
      <c r="S653" s="5"/>
      <c r="T653" s="5"/>
      <c r="U653" s="5"/>
      <c r="V653" s="5"/>
      <c r="W653" s="5"/>
      <c r="X653" s="5"/>
      <c r="Y653" s="5"/>
    </row>
    <row r="654" spans="1:25" ht="15.75" customHeight="1">
      <c r="A654" s="3"/>
      <c r="P654" s="5"/>
      <c r="Q654" s="5"/>
      <c r="R654" s="5"/>
      <c r="S654" s="5"/>
      <c r="T654" s="5"/>
      <c r="U654" s="5"/>
      <c r="V654" s="5"/>
      <c r="W654" s="5"/>
      <c r="X654" s="5"/>
      <c r="Y654" s="5"/>
    </row>
    <row r="655" spans="1:25" ht="15.75" customHeight="1">
      <c r="A655" s="3"/>
      <c r="P655" s="5"/>
      <c r="Q655" s="5"/>
      <c r="R655" s="5"/>
      <c r="S655" s="5"/>
      <c r="T655" s="5"/>
      <c r="U655" s="5"/>
      <c r="V655" s="5"/>
      <c r="W655" s="5"/>
      <c r="X655" s="5"/>
      <c r="Y655" s="5"/>
    </row>
    <row r="656" spans="1:25" ht="15.75" customHeight="1">
      <c r="A656" s="3"/>
      <c r="P656" s="5"/>
      <c r="Q656" s="5"/>
      <c r="R656" s="5"/>
      <c r="S656" s="5"/>
      <c r="T656" s="5"/>
      <c r="U656" s="5"/>
      <c r="V656" s="5"/>
      <c r="W656" s="5"/>
      <c r="X656" s="5"/>
      <c r="Y656" s="5"/>
    </row>
    <row r="657" spans="1:25" ht="15.75" customHeight="1">
      <c r="A657" s="3"/>
      <c r="P657" s="5"/>
      <c r="Q657" s="5"/>
      <c r="R657" s="5"/>
      <c r="S657" s="5"/>
      <c r="T657" s="5"/>
      <c r="U657" s="5"/>
      <c r="V657" s="5"/>
      <c r="W657" s="5"/>
      <c r="X657" s="5"/>
      <c r="Y657" s="5"/>
    </row>
    <row r="658" spans="1:25" ht="15.75" customHeight="1">
      <c r="A658" s="3"/>
      <c r="P658" s="5"/>
      <c r="Q658" s="5"/>
      <c r="R658" s="5"/>
      <c r="S658" s="5"/>
      <c r="T658" s="5"/>
      <c r="U658" s="5"/>
      <c r="V658" s="5"/>
      <c r="W658" s="5"/>
      <c r="X658" s="5"/>
      <c r="Y658" s="5"/>
    </row>
    <row r="659" spans="1:25" ht="15.75" customHeight="1">
      <c r="A659" s="3"/>
      <c r="P659" s="5"/>
      <c r="Q659" s="5"/>
      <c r="R659" s="5"/>
      <c r="S659" s="5"/>
      <c r="T659" s="5"/>
      <c r="U659" s="5"/>
      <c r="V659" s="5"/>
      <c r="W659" s="5"/>
      <c r="X659" s="5"/>
      <c r="Y659" s="5"/>
    </row>
    <row r="660" spans="1:25" ht="15.75" customHeight="1">
      <c r="A660" s="3"/>
      <c r="P660" s="5"/>
      <c r="Q660" s="5"/>
      <c r="R660" s="5"/>
      <c r="S660" s="5"/>
      <c r="T660" s="5"/>
      <c r="U660" s="5"/>
      <c r="V660" s="5"/>
      <c r="W660" s="5"/>
      <c r="X660" s="5"/>
      <c r="Y660" s="5"/>
    </row>
    <row r="661" spans="1:25" ht="15.75" customHeight="1">
      <c r="A661" s="3"/>
      <c r="P661" s="5"/>
      <c r="Q661" s="5"/>
      <c r="R661" s="5"/>
      <c r="S661" s="5"/>
      <c r="T661" s="5"/>
      <c r="U661" s="5"/>
      <c r="V661" s="5"/>
      <c r="W661" s="5"/>
      <c r="X661" s="5"/>
      <c r="Y661" s="5"/>
    </row>
    <row r="662" spans="1:25" ht="15.75" customHeight="1">
      <c r="A662" s="3"/>
      <c r="P662" s="5"/>
      <c r="Q662" s="5"/>
      <c r="R662" s="5"/>
      <c r="S662" s="5"/>
      <c r="T662" s="5"/>
      <c r="U662" s="5"/>
      <c r="V662" s="5"/>
      <c r="W662" s="5"/>
      <c r="X662" s="5"/>
      <c r="Y662" s="5"/>
    </row>
    <row r="663" spans="1:25" ht="15.75" customHeight="1">
      <c r="A663" s="3"/>
      <c r="P663" s="5"/>
      <c r="Q663" s="5"/>
      <c r="R663" s="5"/>
      <c r="S663" s="5"/>
      <c r="T663" s="5"/>
      <c r="U663" s="5"/>
      <c r="V663" s="5"/>
      <c r="W663" s="5"/>
      <c r="X663" s="5"/>
      <c r="Y663" s="5"/>
    </row>
    <row r="664" spans="1:25" ht="15.75" customHeight="1">
      <c r="A664" s="3"/>
      <c r="P664" s="5"/>
      <c r="Q664" s="5"/>
      <c r="R664" s="5"/>
      <c r="S664" s="5"/>
      <c r="T664" s="5"/>
      <c r="U664" s="5"/>
      <c r="V664" s="5"/>
      <c r="W664" s="5"/>
      <c r="X664" s="5"/>
      <c r="Y664" s="5"/>
    </row>
    <row r="665" spans="1:25" ht="15.75" customHeight="1">
      <c r="A665" s="3"/>
      <c r="P665" s="5"/>
      <c r="Q665" s="5"/>
      <c r="R665" s="5"/>
      <c r="S665" s="5"/>
      <c r="T665" s="5"/>
      <c r="U665" s="5"/>
      <c r="V665" s="5"/>
      <c r="W665" s="5"/>
      <c r="X665" s="5"/>
      <c r="Y665" s="5"/>
    </row>
    <row r="666" spans="1:25" ht="15.75" customHeight="1">
      <c r="A666" s="3"/>
      <c r="P666" s="5"/>
      <c r="Q666" s="5"/>
      <c r="R666" s="5"/>
      <c r="S666" s="5"/>
      <c r="T666" s="5"/>
      <c r="U666" s="5"/>
      <c r="V666" s="5"/>
      <c r="W666" s="5"/>
      <c r="X666" s="5"/>
      <c r="Y666" s="5"/>
    </row>
    <row r="667" spans="1:25" ht="15.75" customHeight="1">
      <c r="A667" s="3"/>
      <c r="P667" s="5"/>
      <c r="Q667" s="5"/>
      <c r="R667" s="5"/>
      <c r="S667" s="5"/>
      <c r="T667" s="5"/>
      <c r="U667" s="5"/>
      <c r="V667" s="5"/>
      <c r="W667" s="5"/>
      <c r="X667" s="5"/>
      <c r="Y667" s="5"/>
    </row>
    <row r="668" spans="1:25" ht="15.75" customHeight="1">
      <c r="A668" s="3"/>
      <c r="P668" s="5"/>
      <c r="Q668" s="5"/>
      <c r="R668" s="5"/>
      <c r="S668" s="5"/>
      <c r="T668" s="5"/>
      <c r="U668" s="5"/>
      <c r="V668" s="5"/>
      <c r="W668" s="5"/>
      <c r="X668" s="5"/>
      <c r="Y668" s="5"/>
    </row>
    <row r="669" spans="1:25" ht="15.75" customHeight="1">
      <c r="A669" s="3"/>
      <c r="P669" s="5"/>
      <c r="Q669" s="5"/>
      <c r="R669" s="5"/>
      <c r="S669" s="5"/>
      <c r="T669" s="5"/>
      <c r="U669" s="5"/>
      <c r="V669" s="5"/>
      <c r="W669" s="5"/>
      <c r="X669" s="5"/>
      <c r="Y669" s="5"/>
    </row>
    <row r="670" spans="1:25" ht="15.75" customHeight="1">
      <c r="A670" s="3"/>
      <c r="P670" s="5"/>
      <c r="Q670" s="5"/>
      <c r="R670" s="5"/>
      <c r="S670" s="5"/>
      <c r="T670" s="5"/>
      <c r="U670" s="5"/>
      <c r="V670" s="5"/>
      <c r="W670" s="5"/>
      <c r="X670" s="5"/>
      <c r="Y670" s="5"/>
    </row>
    <row r="671" spans="1:25" ht="15.75" customHeight="1">
      <c r="A671" s="3"/>
      <c r="P671" s="5"/>
      <c r="Q671" s="5"/>
      <c r="R671" s="5"/>
      <c r="S671" s="5"/>
      <c r="T671" s="5"/>
      <c r="U671" s="5"/>
      <c r="V671" s="5"/>
      <c r="W671" s="5"/>
      <c r="X671" s="5"/>
      <c r="Y671" s="5"/>
    </row>
    <row r="672" spans="1:25" ht="15.75" customHeight="1">
      <c r="A672" s="3"/>
      <c r="P672" s="5"/>
      <c r="Q672" s="5"/>
      <c r="R672" s="5"/>
      <c r="S672" s="5"/>
      <c r="T672" s="5"/>
      <c r="U672" s="5"/>
      <c r="V672" s="5"/>
      <c r="W672" s="5"/>
      <c r="X672" s="5"/>
      <c r="Y672" s="5"/>
    </row>
    <row r="673" spans="1:25" ht="15.75" customHeight="1">
      <c r="A673" s="3"/>
      <c r="P673" s="5"/>
      <c r="Q673" s="5"/>
      <c r="R673" s="5"/>
      <c r="S673" s="5"/>
      <c r="T673" s="5"/>
      <c r="U673" s="5"/>
      <c r="V673" s="5"/>
      <c r="W673" s="5"/>
      <c r="X673" s="5"/>
      <c r="Y673" s="5"/>
    </row>
    <row r="674" spans="1:25" ht="15.75" customHeight="1">
      <c r="A674" s="3"/>
      <c r="P674" s="5"/>
      <c r="Q674" s="5"/>
      <c r="R674" s="5"/>
      <c r="S674" s="5"/>
      <c r="T674" s="5"/>
      <c r="U674" s="5"/>
      <c r="V674" s="5"/>
      <c r="W674" s="5"/>
      <c r="X674" s="5"/>
      <c r="Y674" s="5"/>
    </row>
    <row r="675" spans="1:25" ht="15.75" customHeight="1">
      <c r="A675" s="3"/>
      <c r="P675" s="5"/>
      <c r="Q675" s="5"/>
      <c r="R675" s="5"/>
      <c r="S675" s="5"/>
      <c r="T675" s="5"/>
      <c r="U675" s="5"/>
      <c r="V675" s="5"/>
      <c r="W675" s="5"/>
      <c r="X675" s="5"/>
      <c r="Y675" s="5"/>
    </row>
    <row r="676" spans="1:25" ht="15.75" customHeight="1">
      <c r="A676" s="3"/>
      <c r="P676" s="5"/>
      <c r="Q676" s="5"/>
      <c r="R676" s="5"/>
      <c r="S676" s="5"/>
      <c r="T676" s="5"/>
      <c r="U676" s="5"/>
      <c r="V676" s="5"/>
      <c r="W676" s="5"/>
      <c r="X676" s="5"/>
      <c r="Y676" s="5"/>
    </row>
    <row r="677" spans="1:25" ht="15.75" customHeight="1">
      <c r="A677" s="3"/>
      <c r="P677" s="5"/>
      <c r="Q677" s="5"/>
      <c r="R677" s="5"/>
      <c r="S677" s="5"/>
      <c r="T677" s="5"/>
      <c r="U677" s="5"/>
      <c r="V677" s="5"/>
      <c r="W677" s="5"/>
      <c r="X677" s="5"/>
      <c r="Y677" s="5"/>
    </row>
    <row r="678" spans="1:25" ht="15.75" customHeight="1">
      <c r="A678" s="3"/>
      <c r="P678" s="5"/>
      <c r="Q678" s="5"/>
      <c r="R678" s="5"/>
      <c r="S678" s="5"/>
      <c r="T678" s="5"/>
      <c r="U678" s="5"/>
      <c r="V678" s="5"/>
      <c r="W678" s="5"/>
      <c r="X678" s="5"/>
      <c r="Y678" s="5"/>
    </row>
    <row r="679" spans="1:25" ht="15.75" customHeight="1">
      <c r="A679" s="3"/>
      <c r="P679" s="5"/>
      <c r="Q679" s="5"/>
      <c r="R679" s="5"/>
      <c r="S679" s="5"/>
      <c r="T679" s="5"/>
      <c r="U679" s="5"/>
      <c r="V679" s="5"/>
      <c r="W679" s="5"/>
      <c r="X679" s="5"/>
      <c r="Y679" s="5"/>
    </row>
    <row r="680" spans="1:25" ht="15.75" customHeight="1">
      <c r="A680" s="3"/>
      <c r="P680" s="5"/>
      <c r="Q680" s="5"/>
      <c r="R680" s="5"/>
      <c r="S680" s="5"/>
      <c r="T680" s="5"/>
      <c r="U680" s="5"/>
      <c r="V680" s="5"/>
      <c r="W680" s="5"/>
      <c r="X680" s="5"/>
      <c r="Y680" s="5"/>
    </row>
    <row r="681" spans="1:25" ht="15.75" customHeight="1">
      <c r="A681" s="3"/>
      <c r="P681" s="5"/>
      <c r="Q681" s="5"/>
      <c r="R681" s="5"/>
      <c r="S681" s="5"/>
      <c r="T681" s="5"/>
      <c r="U681" s="5"/>
      <c r="V681" s="5"/>
      <c r="W681" s="5"/>
      <c r="X681" s="5"/>
      <c r="Y681" s="5"/>
    </row>
    <row r="682" spans="1:25" ht="15.75" customHeight="1">
      <c r="A682" s="3"/>
      <c r="P682" s="5"/>
      <c r="Q682" s="5"/>
      <c r="R682" s="5"/>
      <c r="S682" s="5"/>
      <c r="T682" s="5"/>
      <c r="U682" s="5"/>
      <c r="V682" s="5"/>
      <c r="W682" s="5"/>
      <c r="X682" s="5"/>
      <c r="Y682" s="5"/>
    </row>
    <row r="683" spans="1:25" ht="15.75" customHeight="1">
      <c r="A683" s="3"/>
      <c r="P683" s="5"/>
      <c r="Q683" s="5"/>
      <c r="R683" s="5"/>
      <c r="S683" s="5"/>
      <c r="T683" s="5"/>
      <c r="U683" s="5"/>
      <c r="V683" s="5"/>
      <c r="W683" s="5"/>
      <c r="X683" s="5"/>
      <c r="Y683" s="5"/>
    </row>
    <row r="684" spans="1:25" ht="15.75" customHeight="1">
      <c r="A684" s="3"/>
      <c r="P684" s="5"/>
      <c r="Q684" s="5"/>
      <c r="R684" s="5"/>
      <c r="S684" s="5"/>
      <c r="T684" s="5"/>
      <c r="U684" s="5"/>
      <c r="V684" s="5"/>
      <c r="W684" s="5"/>
      <c r="X684" s="5"/>
      <c r="Y684" s="5"/>
    </row>
    <row r="685" spans="1:25" ht="15.75" customHeight="1">
      <c r="A685" s="3"/>
      <c r="P685" s="5"/>
      <c r="Q685" s="5"/>
      <c r="R685" s="5"/>
      <c r="S685" s="5"/>
      <c r="T685" s="5"/>
      <c r="U685" s="5"/>
      <c r="V685" s="5"/>
      <c r="W685" s="5"/>
      <c r="X685" s="5"/>
      <c r="Y685" s="5"/>
    </row>
    <row r="686" spans="1:25" ht="15.75" customHeight="1">
      <c r="A686" s="3"/>
      <c r="P686" s="5"/>
      <c r="Q686" s="5"/>
      <c r="R686" s="5"/>
      <c r="S686" s="5"/>
      <c r="T686" s="5"/>
      <c r="U686" s="5"/>
      <c r="V686" s="5"/>
      <c r="W686" s="5"/>
      <c r="X686" s="5"/>
      <c r="Y686" s="5"/>
    </row>
    <row r="687" spans="1:25" ht="15.75" customHeight="1">
      <c r="A687" s="3"/>
      <c r="P687" s="5"/>
      <c r="Q687" s="5"/>
      <c r="R687" s="5"/>
      <c r="S687" s="5"/>
      <c r="T687" s="5"/>
      <c r="U687" s="5"/>
      <c r="V687" s="5"/>
      <c r="W687" s="5"/>
      <c r="X687" s="5"/>
      <c r="Y687" s="5"/>
    </row>
    <row r="688" spans="1:25" ht="15.75" customHeight="1">
      <c r="A688" s="3"/>
      <c r="P688" s="5"/>
      <c r="Q688" s="5"/>
      <c r="R688" s="5"/>
      <c r="S688" s="5"/>
      <c r="T688" s="5"/>
      <c r="U688" s="5"/>
      <c r="V688" s="5"/>
      <c r="W688" s="5"/>
      <c r="X688" s="5"/>
      <c r="Y688" s="5"/>
    </row>
    <row r="689" spans="1:25" ht="15.75" customHeight="1">
      <c r="A689" s="3"/>
      <c r="P689" s="5"/>
      <c r="Q689" s="5"/>
      <c r="R689" s="5"/>
      <c r="S689" s="5"/>
      <c r="T689" s="5"/>
      <c r="U689" s="5"/>
      <c r="V689" s="5"/>
      <c r="W689" s="5"/>
      <c r="X689" s="5"/>
      <c r="Y689" s="5"/>
    </row>
    <row r="690" spans="1:25" ht="15.75" customHeight="1">
      <c r="A690" s="3"/>
      <c r="P690" s="5"/>
      <c r="Q690" s="5"/>
      <c r="R690" s="5"/>
      <c r="S690" s="5"/>
      <c r="T690" s="5"/>
      <c r="U690" s="5"/>
      <c r="V690" s="5"/>
      <c r="W690" s="5"/>
      <c r="X690" s="5"/>
      <c r="Y690" s="5"/>
    </row>
    <row r="691" spans="1:25" ht="15.75" customHeight="1">
      <c r="A691" s="3"/>
      <c r="P691" s="5"/>
      <c r="Q691" s="5"/>
      <c r="R691" s="5"/>
      <c r="S691" s="5"/>
      <c r="T691" s="5"/>
      <c r="U691" s="5"/>
      <c r="V691" s="5"/>
      <c r="W691" s="5"/>
      <c r="X691" s="5"/>
      <c r="Y691" s="5"/>
    </row>
    <row r="692" spans="1:25" ht="15.75" customHeight="1">
      <c r="A692" s="3"/>
      <c r="P692" s="5"/>
      <c r="Q692" s="5"/>
      <c r="R692" s="5"/>
      <c r="S692" s="5"/>
      <c r="T692" s="5"/>
      <c r="U692" s="5"/>
      <c r="V692" s="5"/>
      <c r="W692" s="5"/>
      <c r="X692" s="5"/>
      <c r="Y692" s="5"/>
    </row>
    <row r="693" spans="1:25" ht="15.75" customHeight="1">
      <c r="A693" s="3"/>
      <c r="P693" s="5"/>
      <c r="Q693" s="5"/>
      <c r="R693" s="5"/>
      <c r="S693" s="5"/>
      <c r="T693" s="5"/>
      <c r="U693" s="5"/>
      <c r="V693" s="5"/>
      <c r="W693" s="5"/>
      <c r="X693" s="5"/>
      <c r="Y693" s="5"/>
    </row>
    <row r="694" spans="1:25" ht="15.75" customHeight="1">
      <c r="A694" s="3"/>
      <c r="P694" s="5"/>
      <c r="Q694" s="5"/>
      <c r="R694" s="5"/>
      <c r="S694" s="5"/>
      <c r="T694" s="5"/>
      <c r="U694" s="5"/>
      <c r="V694" s="5"/>
      <c r="W694" s="5"/>
      <c r="X694" s="5"/>
      <c r="Y694" s="5"/>
    </row>
    <row r="695" spans="1:25" ht="15.75" customHeight="1">
      <c r="A695" s="3"/>
      <c r="P695" s="5"/>
      <c r="Q695" s="5"/>
      <c r="R695" s="5"/>
      <c r="S695" s="5"/>
      <c r="T695" s="5"/>
      <c r="U695" s="5"/>
      <c r="V695" s="5"/>
      <c r="W695" s="5"/>
      <c r="X695" s="5"/>
      <c r="Y695" s="5"/>
    </row>
    <row r="696" spans="1:25" ht="15.75" customHeight="1">
      <c r="A696" s="3"/>
      <c r="P696" s="5"/>
      <c r="Q696" s="5"/>
      <c r="R696" s="5"/>
      <c r="S696" s="5"/>
      <c r="T696" s="5"/>
      <c r="U696" s="5"/>
      <c r="V696" s="5"/>
      <c r="W696" s="5"/>
      <c r="X696" s="5"/>
      <c r="Y696" s="5"/>
    </row>
    <row r="697" spans="1:25" ht="15.75" customHeight="1">
      <c r="A697" s="3"/>
      <c r="P697" s="5"/>
      <c r="Q697" s="5"/>
      <c r="R697" s="5"/>
      <c r="S697" s="5"/>
      <c r="T697" s="5"/>
      <c r="U697" s="5"/>
      <c r="V697" s="5"/>
      <c r="W697" s="5"/>
      <c r="X697" s="5"/>
      <c r="Y697" s="5"/>
    </row>
    <row r="698" spans="1:25" ht="15.75" customHeight="1">
      <c r="A698" s="3"/>
      <c r="P698" s="5"/>
      <c r="Q698" s="5"/>
      <c r="R698" s="5"/>
      <c r="S698" s="5"/>
      <c r="T698" s="5"/>
      <c r="U698" s="5"/>
      <c r="V698" s="5"/>
      <c r="W698" s="5"/>
      <c r="X698" s="5"/>
      <c r="Y698" s="5"/>
    </row>
    <row r="699" spans="1:25" ht="15.75" customHeight="1">
      <c r="A699" s="3"/>
      <c r="P699" s="5"/>
      <c r="Q699" s="5"/>
      <c r="R699" s="5"/>
      <c r="S699" s="5"/>
      <c r="T699" s="5"/>
      <c r="U699" s="5"/>
      <c r="V699" s="5"/>
      <c r="W699" s="5"/>
      <c r="X699" s="5"/>
      <c r="Y699" s="5"/>
    </row>
    <row r="700" spans="1:25" ht="15.75" customHeight="1">
      <c r="A700" s="3"/>
      <c r="P700" s="5"/>
      <c r="Q700" s="5"/>
      <c r="R700" s="5"/>
      <c r="S700" s="5"/>
      <c r="T700" s="5"/>
      <c r="U700" s="5"/>
      <c r="V700" s="5"/>
      <c r="W700" s="5"/>
      <c r="X700" s="5"/>
      <c r="Y700" s="5"/>
    </row>
    <row r="701" spans="1:25" ht="15.75" customHeight="1">
      <c r="A701" s="3"/>
      <c r="P701" s="5"/>
      <c r="Q701" s="5"/>
      <c r="R701" s="5"/>
      <c r="S701" s="5"/>
      <c r="T701" s="5"/>
      <c r="U701" s="5"/>
      <c r="V701" s="5"/>
      <c r="W701" s="5"/>
      <c r="X701" s="5"/>
      <c r="Y701" s="5"/>
    </row>
    <row r="702" spans="1:25" ht="15.75" customHeight="1">
      <c r="A702" s="3"/>
      <c r="P702" s="5"/>
      <c r="Q702" s="5"/>
      <c r="R702" s="5"/>
      <c r="S702" s="5"/>
      <c r="T702" s="5"/>
      <c r="U702" s="5"/>
      <c r="V702" s="5"/>
      <c r="W702" s="5"/>
      <c r="X702" s="5"/>
      <c r="Y702" s="5"/>
    </row>
    <row r="703" spans="1:25" ht="15.75" customHeight="1">
      <c r="A703" s="3"/>
      <c r="P703" s="5"/>
      <c r="Q703" s="5"/>
      <c r="R703" s="5"/>
      <c r="S703" s="5"/>
      <c r="T703" s="5"/>
      <c r="U703" s="5"/>
      <c r="V703" s="5"/>
      <c r="W703" s="5"/>
      <c r="X703" s="5"/>
      <c r="Y703" s="5"/>
    </row>
    <row r="704" spans="1:25" ht="15.75" customHeight="1">
      <c r="A704" s="3"/>
      <c r="P704" s="5"/>
      <c r="Q704" s="5"/>
      <c r="R704" s="5"/>
      <c r="S704" s="5"/>
      <c r="T704" s="5"/>
      <c r="U704" s="5"/>
      <c r="V704" s="5"/>
      <c r="W704" s="5"/>
      <c r="X704" s="5"/>
      <c r="Y704" s="5"/>
    </row>
    <row r="705" spans="1:25" ht="15.75" customHeight="1">
      <c r="A705" s="3"/>
      <c r="P705" s="5"/>
      <c r="Q705" s="5"/>
      <c r="R705" s="5"/>
      <c r="S705" s="5"/>
      <c r="T705" s="5"/>
      <c r="U705" s="5"/>
      <c r="V705" s="5"/>
      <c r="W705" s="5"/>
      <c r="X705" s="5"/>
      <c r="Y705" s="5"/>
    </row>
    <row r="706" spans="1:25" ht="15.75" customHeight="1">
      <c r="A706" s="3"/>
      <c r="P706" s="5"/>
      <c r="Q706" s="5"/>
      <c r="R706" s="5"/>
      <c r="S706" s="5"/>
      <c r="T706" s="5"/>
      <c r="U706" s="5"/>
      <c r="V706" s="5"/>
      <c r="W706" s="5"/>
      <c r="X706" s="5"/>
      <c r="Y706" s="5"/>
    </row>
    <row r="707" spans="1:25" ht="15.75" customHeight="1">
      <c r="A707" s="3"/>
      <c r="P707" s="5"/>
      <c r="Q707" s="5"/>
      <c r="R707" s="5"/>
      <c r="S707" s="5"/>
      <c r="T707" s="5"/>
      <c r="U707" s="5"/>
      <c r="V707" s="5"/>
      <c r="W707" s="5"/>
      <c r="X707" s="5"/>
      <c r="Y707" s="5"/>
    </row>
    <row r="708" spans="1:25" ht="15.75" customHeight="1">
      <c r="A708" s="3"/>
      <c r="P708" s="5"/>
      <c r="Q708" s="5"/>
      <c r="R708" s="5"/>
      <c r="S708" s="5"/>
      <c r="T708" s="5"/>
      <c r="U708" s="5"/>
      <c r="V708" s="5"/>
      <c r="W708" s="5"/>
      <c r="X708" s="5"/>
      <c r="Y708" s="5"/>
    </row>
    <row r="709" spans="1:25" ht="15.75" customHeight="1">
      <c r="A709" s="3"/>
      <c r="P709" s="5"/>
      <c r="Q709" s="5"/>
      <c r="R709" s="5"/>
      <c r="S709" s="5"/>
      <c r="T709" s="5"/>
      <c r="U709" s="5"/>
      <c r="V709" s="5"/>
      <c r="W709" s="5"/>
      <c r="X709" s="5"/>
      <c r="Y709" s="5"/>
    </row>
    <row r="710" spans="1:25" ht="15.75" customHeight="1">
      <c r="A710" s="3"/>
      <c r="P710" s="5"/>
      <c r="Q710" s="5"/>
      <c r="R710" s="5"/>
      <c r="S710" s="5"/>
      <c r="T710" s="5"/>
      <c r="U710" s="5"/>
      <c r="V710" s="5"/>
      <c r="W710" s="5"/>
      <c r="X710" s="5"/>
      <c r="Y710" s="5"/>
    </row>
    <row r="711" spans="1:25" ht="15.75" customHeight="1">
      <c r="A711" s="3"/>
      <c r="P711" s="5"/>
      <c r="Q711" s="5"/>
      <c r="R711" s="5"/>
      <c r="S711" s="5"/>
      <c r="T711" s="5"/>
      <c r="U711" s="5"/>
      <c r="V711" s="5"/>
      <c r="W711" s="5"/>
      <c r="X711" s="5"/>
      <c r="Y711" s="5"/>
    </row>
    <row r="712" spans="1:25" ht="15.75" customHeight="1">
      <c r="A712" s="3"/>
      <c r="P712" s="5"/>
      <c r="Q712" s="5"/>
      <c r="R712" s="5"/>
      <c r="S712" s="5"/>
      <c r="T712" s="5"/>
      <c r="U712" s="5"/>
      <c r="V712" s="5"/>
      <c r="W712" s="5"/>
      <c r="X712" s="5"/>
      <c r="Y712" s="5"/>
    </row>
    <row r="713" spans="1:25" ht="15.75" customHeight="1">
      <c r="A713" s="3"/>
      <c r="P713" s="5"/>
      <c r="Q713" s="5"/>
      <c r="R713" s="5"/>
      <c r="S713" s="5"/>
      <c r="T713" s="5"/>
      <c r="U713" s="5"/>
      <c r="V713" s="5"/>
      <c r="W713" s="5"/>
      <c r="X713" s="5"/>
      <c r="Y713" s="5"/>
    </row>
    <row r="714" spans="1:25" ht="15.75" customHeight="1">
      <c r="A714" s="3"/>
      <c r="P714" s="5"/>
      <c r="Q714" s="5"/>
      <c r="R714" s="5"/>
      <c r="S714" s="5"/>
      <c r="T714" s="5"/>
      <c r="U714" s="5"/>
      <c r="V714" s="5"/>
      <c r="W714" s="5"/>
      <c r="X714" s="5"/>
      <c r="Y714" s="5"/>
    </row>
    <row r="715" spans="1:25" ht="15.75" customHeight="1">
      <c r="A715" s="3"/>
      <c r="P715" s="5"/>
      <c r="Q715" s="5"/>
      <c r="R715" s="5"/>
      <c r="S715" s="5"/>
      <c r="T715" s="5"/>
      <c r="U715" s="5"/>
      <c r="V715" s="5"/>
      <c r="W715" s="5"/>
      <c r="X715" s="5"/>
      <c r="Y715" s="5"/>
    </row>
    <row r="716" spans="1:25" ht="15.75" customHeight="1">
      <c r="A716" s="3"/>
      <c r="P716" s="5"/>
      <c r="Q716" s="5"/>
      <c r="R716" s="5"/>
      <c r="S716" s="5"/>
      <c r="T716" s="5"/>
      <c r="U716" s="5"/>
      <c r="V716" s="5"/>
      <c r="W716" s="5"/>
      <c r="X716" s="5"/>
      <c r="Y716" s="5"/>
    </row>
    <row r="717" spans="1:25" ht="15.75" customHeight="1">
      <c r="A717" s="3"/>
      <c r="P717" s="5"/>
      <c r="Q717" s="5"/>
      <c r="R717" s="5"/>
      <c r="S717" s="5"/>
      <c r="T717" s="5"/>
      <c r="U717" s="5"/>
      <c r="V717" s="5"/>
      <c r="W717" s="5"/>
      <c r="X717" s="5"/>
      <c r="Y717" s="5"/>
    </row>
    <row r="718" spans="1:25" ht="15.75" customHeight="1">
      <c r="A718" s="3"/>
      <c r="P718" s="5"/>
      <c r="Q718" s="5"/>
      <c r="R718" s="5"/>
      <c r="S718" s="5"/>
      <c r="T718" s="5"/>
      <c r="U718" s="5"/>
      <c r="V718" s="5"/>
      <c r="W718" s="5"/>
      <c r="X718" s="5"/>
      <c r="Y718" s="5"/>
    </row>
    <row r="719" spans="1:25" ht="15.75" customHeight="1">
      <c r="A719" s="3"/>
      <c r="P719" s="5"/>
      <c r="Q719" s="5"/>
      <c r="R719" s="5"/>
      <c r="S719" s="5"/>
      <c r="T719" s="5"/>
      <c r="U719" s="5"/>
      <c r="V719" s="5"/>
      <c r="W719" s="5"/>
      <c r="X719" s="5"/>
      <c r="Y719" s="5"/>
    </row>
    <row r="720" spans="1:25" ht="15.75" customHeight="1">
      <c r="A720" s="3"/>
      <c r="P720" s="5"/>
      <c r="Q720" s="5"/>
      <c r="R720" s="5"/>
      <c r="S720" s="5"/>
      <c r="T720" s="5"/>
      <c r="U720" s="5"/>
      <c r="V720" s="5"/>
      <c r="W720" s="5"/>
      <c r="X720" s="5"/>
      <c r="Y720" s="5"/>
    </row>
    <row r="721" spans="1:25" ht="15.75" customHeight="1">
      <c r="A721" s="3"/>
      <c r="P721" s="5"/>
      <c r="Q721" s="5"/>
      <c r="R721" s="5"/>
      <c r="S721" s="5"/>
      <c r="T721" s="5"/>
      <c r="U721" s="5"/>
      <c r="V721" s="5"/>
      <c r="W721" s="5"/>
      <c r="X721" s="5"/>
      <c r="Y721" s="5"/>
    </row>
    <row r="722" spans="1:25" ht="15.75" customHeight="1">
      <c r="A722" s="3"/>
      <c r="P722" s="5"/>
      <c r="Q722" s="5"/>
      <c r="R722" s="5"/>
      <c r="S722" s="5"/>
      <c r="T722" s="5"/>
      <c r="U722" s="5"/>
      <c r="V722" s="5"/>
      <c r="W722" s="5"/>
      <c r="X722" s="5"/>
      <c r="Y722" s="5"/>
    </row>
    <row r="723" spans="1:25" ht="15.75" customHeight="1">
      <c r="A723" s="3"/>
      <c r="P723" s="5"/>
      <c r="Q723" s="5"/>
      <c r="R723" s="5"/>
      <c r="S723" s="5"/>
      <c r="T723" s="5"/>
      <c r="U723" s="5"/>
      <c r="V723" s="5"/>
      <c r="W723" s="5"/>
      <c r="X723" s="5"/>
      <c r="Y723" s="5"/>
    </row>
    <row r="724" spans="1:25" ht="15.75" customHeight="1">
      <c r="A724" s="3"/>
      <c r="P724" s="5"/>
      <c r="Q724" s="5"/>
      <c r="R724" s="5"/>
      <c r="S724" s="5"/>
      <c r="T724" s="5"/>
      <c r="U724" s="5"/>
      <c r="V724" s="5"/>
      <c r="W724" s="5"/>
      <c r="X724" s="5"/>
      <c r="Y724" s="5"/>
    </row>
    <row r="725" spans="1:25" ht="15.75" customHeight="1">
      <c r="A725" s="3"/>
      <c r="P725" s="5"/>
      <c r="Q725" s="5"/>
      <c r="R725" s="5"/>
      <c r="S725" s="5"/>
      <c r="T725" s="5"/>
      <c r="U725" s="5"/>
      <c r="V725" s="5"/>
      <c r="W725" s="5"/>
      <c r="X725" s="5"/>
      <c r="Y725" s="5"/>
    </row>
    <row r="726" spans="1:25" ht="15.75" customHeight="1">
      <c r="A726" s="3"/>
      <c r="P726" s="5"/>
      <c r="Q726" s="5"/>
      <c r="R726" s="5"/>
      <c r="S726" s="5"/>
      <c r="T726" s="5"/>
      <c r="U726" s="5"/>
      <c r="V726" s="5"/>
      <c r="W726" s="5"/>
      <c r="X726" s="5"/>
      <c r="Y726" s="5"/>
    </row>
    <row r="727" spans="1:25" ht="15.75" customHeight="1">
      <c r="A727" s="3"/>
      <c r="P727" s="5"/>
      <c r="Q727" s="5"/>
      <c r="R727" s="5"/>
      <c r="S727" s="5"/>
      <c r="T727" s="5"/>
      <c r="U727" s="5"/>
      <c r="V727" s="5"/>
      <c r="W727" s="5"/>
      <c r="X727" s="5"/>
      <c r="Y727" s="5"/>
    </row>
    <row r="728" spans="1:25" ht="15.75" customHeight="1">
      <c r="A728" s="3"/>
      <c r="P728" s="5"/>
      <c r="Q728" s="5"/>
      <c r="R728" s="5"/>
      <c r="S728" s="5"/>
      <c r="T728" s="5"/>
      <c r="U728" s="5"/>
      <c r="V728" s="5"/>
      <c r="W728" s="5"/>
      <c r="X728" s="5"/>
      <c r="Y728" s="5"/>
    </row>
    <row r="729" spans="1:25" ht="15.75" customHeight="1">
      <c r="A729" s="3"/>
      <c r="P729" s="5"/>
      <c r="Q729" s="5"/>
      <c r="R729" s="5"/>
      <c r="S729" s="5"/>
      <c r="T729" s="5"/>
      <c r="U729" s="5"/>
      <c r="V729" s="5"/>
      <c r="W729" s="5"/>
      <c r="X729" s="5"/>
      <c r="Y729" s="5"/>
    </row>
    <row r="730" spans="1:25" ht="15.75" customHeight="1">
      <c r="A730" s="3"/>
      <c r="P730" s="5"/>
      <c r="Q730" s="5"/>
      <c r="R730" s="5"/>
      <c r="S730" s="5"/>
      <c r="T730" s="5"/>
      <c r="U730" s="5"/>
      <c r="V730" s="5"/>
      <c r="W730" s="5"/>
      <c r="X730" s="5"/>
      <c r="Y730" s="5"/>
    </row>
    <row r="731" spans="1:25" ht="15.75" customHeight="1">
      <c r="A731" s="3"/>
      <c r="P731" s="5"/>
      <c r="Q731" s="5"/>
      <c r="R731" s="5"/>
      <c r="S731" s="5"/>
      <c r="T731" s="5"/>
      <c r="U731" s="5"/>
      <c r="V731" s="5"/>
      <c r="W731" s="5"/>
      <c r="X731" s="5"/>
      <c r="Y731" s="5"/>
    </row>
    <row r="732" spans="1:25" ht="15.75" customHeight="1">
      <c r="A732" s="3"/>
      <c r="P732" s="5"/>
      <c r="Q732" s="5"/>
      <c r="R732" s="5"/>
      <c r="S732" s="5"/>
      <c r="T732" s="5"/>
      <c r="U732" s="5"/>
      <c r="V732" s="5"/>
      <c r="W732" s="5"/>
      <c r="X732" s="5"/>
      <c r="Y732" s="5"/>
    </row>
    <row r="733" spans="1:25" ht="15.75" customHeight="1">
      <c r="A733" s="3"/>
      <c r="P733" s="5"/>
      <c r="Q733" s="5"/>
      <c r="R733" s="5"/>
      <c r="S733" s="5"/>
      <c r="T733" s="5"/>
      <c r="U733" s="5"/>
      <c r="V733" s="5"/>
      <c r="W733" s="5"/>
      <c r="X733" s="5"/>
      <c r="Y733" s="5"/>
    </row>
    <row r="734" spans="1:25" ht="15.75" customHeight="1">
      <c r="A734" s="3"/>
      <c r="P734" s="5"/>
      <c r="Q734" s="5"/>
      <c r="R734" s="5"/>
      <c r="S734" s="5"/>
      <c r="T734" s="5"/>
      <c r="U734" s="5"/>
      <c r="V734" s="5"/>
      <c r="W734" s="5"/>
      <c r="X734" s="5"/>
      <c r="Y734" s="5"/>
    </row>
    <row r="735" spans="1:25" ht="15.75" customHeight="1">
      <c r="A735" s="3"/>
      <c r="P735" s="5"/>
      <c r="Q735" s="5"/>
      <c r="R735" s="5"/>
      <c r="S735" s="5"/>
      <c r="T735" s="5"/>
      <c r="U735" s="5"/>
      <c r="V735" s="5"/>
      <c r="W735" s="5"/>
      <c r="X735" s="5"/>
      <c r="Y735" s="5"/>
    </row>
    <row r="736" spans="1:25" ht="15.75" customHeight="1">
      <c r="A736" s="3"/>
      <c r="P736" s="5"/>
      <c r="Q736" s="5"/>
      <c r="R736" s="5"/>
      <c r="S736" s="5"/>
      <c r="T736" s="5"/>
      <c r="U736" s="5"/>
      <c r="V736" s="5"/>
      <c r="W736" s="5"/>
      <c r="X736" s="5"/>
      <c r="Y736" s="5"/>
    </row>
    <row r="737" spans="1:25" ht="15.75" customHeight="1">
      <c r="A737" s="3"/>
      <c r="P737" s="5"/>
      <c r="Q737" s="5"/>
      <c r="R737" s="5"/>
      <c r="S737" s="5"/>
      <c r="T737" s="5"/>
      <c r="U737" s="5"/>
      <c r="V737" s="5"/>
      <c r="W737" s="5"/>
      <c r="X737" s="5"/>
      <c r="Y737" s="5"/>
    </row>
    <row r="738" spans="1:25" ht="15.75" customHeight="1">
      <c r="A738" s="3"/>
      <c r="P738" s="5"/>
      <c r="Q738" s="5"/>
      <c r="R738" s="5"/>
      <c r="S738" s="5"/>
      <c r="T738" s="5"/>
      <c r="U738" s="5"/>
      <c r="V738" s="5"/>
      <c r="W738" s="5"/>
      <c r="X738" s="5"/>
      <c r="Y738" s="5"/>
    </row>
    <row r="739" spans="1:25" ht="15.75" customHeight="1">
      <c r="A739" s="3"/>
      <c r="P739" s="5"/>
      <c r="Q739" s="5"/>
      <c r="R739" s="5"/>
      <c r="S739" s="5"/>
      <c r="T739" s="5"/>
      <c r="U739" s="5"/>
      <c r="V739" s="5"/>
      <c r="W739" s="5"/>
      <c r="X739" s="5"/>
      <c r="Y739" s="5"/>
    </row>
    <row r="740" spans="1:25" ht="15.75" customHeight="1">
      <c r="A740" s="3"/>
      <c r="P740" s="5"/>
      <c r="Q740" s="5"/>
      <c r="R740" s="5"/>
      <c r="S740" s="5"/>
      <c r="T740" s="5"/>
      <c r="U740" s="5"/>
      <c r="V740" s="5"/>
      <c r="W740" s="5"/>
      <c r="X740" s="5"/>
      <c r="Y740" s="5"/>
    </row>
    <row r="741" spans="1:25" ht="15.75" customHeight="1">
      <c r="A741" s="3"/>
      <c r="P741" s="5"/>
      <c r="Q741" s="5"/>
      <c r="R741" s="5"/>
      <c r="S741" s="5"/>
      <c r="T741" s="5"/>
      <c r="U741" s="5"/>
      <c r="V741" s="5"/>
      <c r="W741" s="5"/>
      <c r="X741" s="5"/>
      <c r="Y741" s="5"/>
    </row>
    <row r="742" spans="1:25" ht="15.75" customHeight="1">
      <c r="A742" s="3"/>
      <c r="P742" s="5"/>
      <c r="Q742" s="5"/>
      <c r="R742" s="5"/>
      <c r="S742" s="5"/>
      <c r="T742" s="5"/>
      <c r="U742" s="5"/>
      <c r="V742" s="5"/>
      <c r="W742" s="5"/>
      <c r="X742" s="5"/>
      <c r="Y742" s="5"/>
    </row>
    <row r="743" spans="1:25" ht="15.75" customHeight="1">
      <c r="A743" s="3"/>
      <c r="P743" s="5"/>
      <c r="Q743" s="5"/>
      <c r="R743" s="5"/>
      <c r="S743" s="5"/>
      <c r="T743" s="5"/>
      <c r="U743" s="5"/>
      <c r="V743" s="5"/>
      <c r="W743" s="5"/>
      <c r="X743" s="5"/>
      <c r="Y743" s="5"/>
    </row>
    <row r="744" spans="1:25" ht="15.75" customHeight="1">
      <c r="A744" s="3"/>
      <c r="P744" s="5"/>
      <c r="Q744" s="5"/>
      <c r="R744" s="5"/>
      <c r="S744" s="5"/>
      <c r="T744" s="5"/>
      <c r="U744" s="5"/>
      <c r="V744" s="5"/>
      <c r="W744" s="5"/>
      <c r="X744" s="5"/>
      <c r="Y744" s="5"/>
    </row>
    <row r="745" spans="1:25" ht="15.75" customHeight="1">
      <c r="A745" s="3"/>
      <c r="P745" s="5"/>
      <c r="Q745" s="5"/>
      <c r="R745" s="5"/>
      <c r="S745" s="5"/>
      <c r="T745" s="5"/>
      <c r="U745" s="5"/>
      <c r="V745" s="5"/>
      <c r="W745" s="5"/>
      <c r="X745" s="5"/>
      <c r="Y745" s="5"/>
    </row>
    <row r="746" spans="1:25" ht="15.75" customHeight="1">
      <c r="A746" s="3"/>
      <c r="P746" s="5"/>
      <c r="Q746" s="5"/>
      <c r="R746" s="5"/>
      <c r="S746" s="5"/>
      <c r="T746" s="5"/>
      <c r="U746" s="5"/>
      <c r="V746" s="5"/>
      <c r="W746" s="5"/>
      <c r="X746" s="5"/>
      <c r="Y746" s="5"/>
    </row>
    <row r="747" spans="1:25" ht="15.75" customHeight="1">
      <c r="A747" s="3"/>
      <c r="P747" s="5"/>
      <c r="Q747" s="5"/>
      <c r="R747" s="5"/>
      <c r="S747" s="5"/>
      <c r="T747" s="5"/>
      <c r="U747" s="5"/>
      <c r="V747" s="5"/>
      <c r="W747" s="5"/>
      <c r="X747" s="5"/>
      <c r="Y747" s="5"/>
    </row>
    <row r="748" spans="1:25" ht="15.75" customHeight="1">
      <c r="A748" s="3"/>
      <c r="P748" s="5"/>
      <c r="Q748" s="5"/>
      <c r="R748" s="5"/>
      <c r="S748" s="5"/>
      <c r="T748" s="5"/>
      <c r="U748" s="5"/>
      <c r="V748" s="5"/>
      <c r="W748" s="5"/>
      <c r="X748" s="5"/>
      <c r="Y748" s="5"/>
    </row>
    <row r="749" spans="1:25" ht="15.75" customHeight="1">
      <c r="A749" s="3"/>
      <c r="P749" s="5"/>
      <c r="Q749" s="5"/>
      <c r="R749" s="5"/>
      <c r="S749" s="5"/>
      <c r="T749" s="5"/>
      <c r="U749" s="5"/>
      <c r="V749" s="5"/>
      <c r="W749" s="5"/>
      <c r="X749" s="5"/>
      <c r="Y749" s="5"/>
    </row>
    <row r="750" spans="1:25" ht="15.75" customHeight="1">
      <c r="A750" s="3"/>
      <c r="P750" s="5"/>
      <c r="Q750" s="5"/>
      <c r="R750" s="5"/>
      <c r="S750" s="5"/>
      <c r="T750" s="5"/>
      <c r="U750" s="5"/>
      <c r="V750" s="5"/>
      <c r="W750" s="5"/>
      <c r="X750" s="5"/>
      <c r="Y750" s="5"/>
    </row>
    <row r="751" spans="1:25" ht="15.75" customHeight="1">
      <c r="A751" s="3"/>
      <c r="P751" s="5"/>
      <c r="Q751" s="5"/>
      <c r="R751" s="5"/>
      <c r="S751" s="5"/>
      <c r="T751" s="5"/>
      <c r="U751" s="5"/>
      <c r="V751" s="5"/>
      <c r="W751" s="5"/>
      <c r="X751" s="5"/>
      <c r="Y751" s="5"/>
    </row>
    <row r="752" spans="1:25" ht="15.75" customHeight="1">
      <c r="A752" s="3"/>
      <c r="P752" s="5"/>
      <c r="Q752" s="5"/>
      <c r="R752" s="5"/>
      <c r="S752" s="5"/>
      <c r="T752" s="5"/>
      <c r="U752" s="5"/>
      <c r="V752" s="5"/>
      <c r="W752" s="5"/>
      <c r="X752" s="5"/>
      <c r="Y752" s="5"/>
    </row>
    <row r="753" spans="1:25" ht="15.75" customHeight="1">
      <c r="A753" s="3"/>
      <c r="P753" s="5"/>
      <c r="Q753" s="5"/>
      <c r="R753" s="5"/>
      <c r="S753" s="5"/>
      <c r="T753" s="5"/>
      <c r="U753" s="5"/>
      <c r="V753" s="5"/>
      <c r="W753" s="5"/>
      <c r="X753" s="5"/>
      <c r="Y753" s="5"/>
    </row>
    <row r="754" spans="1:25" ht="15.75" customHeight="1">
      <c r="A754" s="3"/>
      <c r="P754" s="5"/>
      <c r="Q754" s="5"/>
      <c r="R754" s="5"/>
      <c r="S754" s="5"/>
      <c r="T754" s="5"/>
      <c r="U754" s="5"/>
      <c r="V754" s="5"/>
      <c r="W754" s="5"/>
      <c r="X754" s="5"/>
      <c r="Y754" s="5"/>
    </row>
    <row r="755" spans="1:25" ht="15.75" customHeight="1">
      <c r="A755" s="3"/>
      <c r="P755" s="5"/>
      <c r="Q755" s="5"/>
      <c r="R755" s="5"/>
      <c r="S755" s="5"/>
      <c r="T755" s="5"/>
      <c r="U755" s="5"/>
      <c r="V755" s="5"/>
      <c r="W755" s="5"/>
      <c r="X755" s="5"/>
      <c r="Y755" s="5"/>
    </row>
    <row r="756" spans="1:25" ht="15.75" customHeight="1">
      <c r="A756" s="3"/>
      <c r="P756" s="5"/>
      <c r="Q756" s="5"/>
      <c r="R756" s="5"/>
      <c r="S756" s="5"/>
      <c r="T756" s="5"/>
      <c r="U756" s="5"/>
      <c r="V756" s="5"/>
      <c r="W756" s="5"/>
      <c r="X756" s="5"/>
      <c r="Y756" s="5"/>
    </row>
    <row r="757" spans="1:25" ht="15.75" customHeight="1">
      <c r="A757" s="3"/>
      <c r="P757" s="5"/>
      <c r="Q757" s="5"/>
      <c r="R757" s="5"/>
      <c r="S757" s="5"/>
      <c r="T757" s="5"/>
      <c r="U757" s="5"/>
      <c r="V757" s="5"/>
      <c r="W757" s="5"/>
      <c r="X757" s="5"/>
      <c r="Y757" s="5"/>
    </row>
    <row r="758" spans="1:25" ht="15.75" customHeight="1">
      <c r="A758" s="3"/>
      <c r="P758" s="5"/>
      <c r="Q758" s="5"/>
      <c r="R758" s="5"/>
      <c r="S758" s="5"/>
      <c r="T758" s="5"/>
      <c r="U758" s="5"/>
      <c r="V758" s="5"/>
      <c r="W758" s="5"/>
      <c r="X758" s="5"/>
      <c r="Y758" s="5"/>
    </row>
    <row r="759" spans="1:25" ht="15.75" customHeight="1">
      <c r="A759" s="3"/>
      <c r="P759" s="5"/>
      <c r="Q759" s="5"/>
      <c r="R759" s="5"/>
      <c r="S759" s="5"/>
      <c r="T759" s="5"/>
      <c r="U759" s="5"/>
      <c r="V759" s="5"/>
      <c r="W759" s="5"/>
      <c r="X759" s="5"/>
      <c r="Y759" s="5"/>
    </row>
    <row r="760" spans="1:25" ht="15.75" customHeight="1">
      <c r="A760" s="3"/>
      <c r="P760" s="5"/>
      <c r="Q760" s="5"/>
      <c r="R760" s="5"/>
      <c r="S760" s="5"/>
      <c r="T760" s="5"/>
      <c r="U760" s="5"/>
      <c r="V760" s="5"/>
      <c r="W760" s="5"/>
      <c r="X760" s="5"/>
      <c r="Y760" s="5"/>
    </row>
    <row r="761" spans="1:25" ht="15.75" customHeight="1">
      <c r="A761" s="3"/>
      <c r="P761" s="5"/>
      <c r="Q761" s="5"/>
      <c r="R761" s="5"/>
      <c r="S761" s="5"/>
      <c r="T761" s="5"/>
      <c r="U761" s="5"/>
      <c r="V761" s="5"/>
      <c r="W761" s="5"/>
      <c r="X761" s="5"/>
      <c r="Y761" s="5"/>
    </row>
    <row r="762" spans="1:25" ht="15.75" customHeight="1">
      <c r="A762" s="3"/>
      <c r="P762" s="5"/>
      <c r="Q762" s="5"/>
      <c r="R762" s="5"/>
      <c r="S762" s="5"/>
      <c r="T762" s="5"/>
      <c r="U762" s="5"/>
      <c r="V762" s="5"/>
      <c r="W762" s="5"/>
      <c r="X762" s="5"/>
      <c r="Y762" s="5"/>
    </row>
    <row r="763" spans="1:25" ht="15.75" customHeight="1">
      <c r="A763" s="3"/>
      <c r="P763" s="5"/>
      <c r="Q763" s="5"/>
      <c r="R763" s="5"/>
      <c r="S763" s="5"/>
      <c r="T763" s="5"/>
      <c r="U763" s="5"/>
      <c r="V763" s="5"/>
      <c r="W763" s="5"/>
      <c r="X763" s="5"/>
      <c r="Y763" s="5"/>
    </row>
    <row r="764" spans="1:25" ht="15.75" customHeight="1">
      <c r="A764" s="3"/>
      <c r="P764" s="5"/>
      <c r="Q764" s="5"/>
      <c r="R764" s="5"/>
      <c r="S764" s="5"/>
      <c r="T764" s="5"/>
      <c r="U764" s="5"/>
      <c r="V764" s="5"/>
      <c r="W764" s="5"/>
      <c r="X764" s="5"/>
      <c r="Y764" s="5"/>
    </row>
    <row r="765" spans="1:25" ht="15.75" customHeight="1">
      <c r="A765" s="3"/>
      <c r="P765" s="5"/>
      <c r="Q765" s="5"/>
      <c r="R765" s="5"/>
      <c r="S765" s="5"/>
      <c r="T765" s="5"/>
      <c r="U765" s="5"/>
      <c r="V765" s="5"/>
      <c r="W765" s="5"/>
      <c r="X765" s="5"/>
      <c r="Y765" s="5"/>
    </row>
    <row r="766" spans="1:25" ht="15.75" customHeight="1">
      <c r="A766" s="3"/>
      <c r="P766" s="5"/>
      <c r="Q766" s="5"/>
      <c r="R766" s="5"/>
      <c r="S766" s="5"/>
      <c r="T766" s="5"/>
      <c r="U766" s="5"/>
      <c r="V766" s="5"/>
      <c r="W766" s="5"/>
      <c r="X766" s="5"/>
      <c r="Y766" s="5"/>
    </row>
    <row r="767" spans="1:25" ht="15.75" customHeight="1">
      <c r="A767" s="3"/>
      <c r="P767" s="5"/>
      <c r="Q767" s="5"/>
      <c r="R767" s="5"/>
      <c r="S767" s="5"/>
      <c r="T767" s="5"/>
      <c r="U767" s="5"/>
      <c r="V767" s="5"/>
      <c r="W767" s="5"/>
      <c r="X767" s="5"/>
      <c r="Y767" s="5"/>
    </row>
    <row r="768" spans="1:25" ht="15.75" customHeight="1">
      <c r="A768" s="3"/>
      <c r="P768" s="5"/>
      <c r="Q768" s="5"/>
      <c r="R768" s="5"/>
      <c r="S768" s="5"/>
      <c r="T768" s="5"/>
      <c r="U768" s="5"/>
      <c r="V768" s="5"/>
      <c r="W768" s="5"/>
      <c r="X768" s="5"/>
      <c r="Y768" s="5"/>
    </row>
    <row r="769" spans="1:25" ht="15.75" customHeight="1">
      <c r="A769" s="3"/>
      <c r="P769" s="5"/>
      <c r="Q769" s="5"/>
      <c r="R769" s="5"/>
      <c r="S769" s="5"/>
      <c r="T769" s="5"/>
      <c r="U769" s="5"/>
      <c r="V769" s="5"/>
      <c r="W769" s="5"/>
      <c r="X769" s="5"/>
      <c r="Y769" s="5"/>
    </row>
    <row r="770" spans="1:25" ht="15.75" customHeight="1">
      <c r="A770" s="3"/>
      <c r="P770" s="5"/>
      <c r="Q770" s="5"/>
      <c r="R770" s="5"/>
      <c r="S770" s="5"/>
      <c r="T770" s="5"/>
      <c r="U770" s="5"/>
      <c r="V770" s="5"/>
      <c r="W770" s="5"/>
      <c r="X770" s="5"/>
      <c r="Y770" s="5"/>
    </row>
    <row r="771" spans="1:25" ht="15.75" customHeight="1">
      <c r="A771" s="3"/>
      <c r="P771" s="5"/>
      <c r="Q771" s="5"/>
      <c r="R771" s="5"/>
      <c r="S771" s="5"/>
      <c r="T771" s="5"/>
      <c r="U771" s="5"/>
      <c r="V771" s="5"/>
      <c r="W771" s="5"/>
      <c r="X771" s="5"/>
      <c r="Y771" s="5"/>
    </row>
    <row r="772" spans="1:25" ht="15.75" customHeight="1">
      <c r="A772" s="3"/>
      <c r="P772" s="5"/>
      <c r="Q772" s="5"/>
      <c r="R772" s="5"/>
      <c r="S772" s="5"/>
      <c r="T772" s="5"/>
      <c r="U772" s="5"/>
      <c r="V772" s="5"/>
      <c r="W772" s="5"/>
      <c r="X772" s="5"/>
      <c r="Y772" s="5"/>
    </row>
    <row r="773" spans="1:25" ht="15.75" customHeight="1">
      <c r="A773" s="3"/>
      <c r="P773" s="5"/>
      <c r="Q773" s="5"/>
      <c r="R773" s="5"/>
      <c r="S773" s="5"/>
      <c r="T773" s="5"/>
      <c r="U773" s="5"/>
      <c r="V773" s="5"/>
      <c r="W773" s="5"/>
      <c r="X773" s="5"/>
      <c r="Y773" s="5"/>
    </row>
    <row r="774" spans="1:25" ht="15.75" customHeight="1">
      <c r="A774" s="3"/>
      <c r="P774" s="5"/>
      <c r="Q774" s="5"/>
      <c r="R774" s="5"/>
      <c r="S774" s="5"/>
      <c r="T774" s="5"/>
      <c r="U774" s="5"/>
      <c r="V774" s="5"/>
      <c r="W774" s="5"/>
      <c r="X774" s="5"/>
      <c r="Y774" s="5"/>
    </row>
    <row r="775" spans="1:25" ht="15.75" customHeight="1">
      <c r="A775" s="3"/>
      <c r="P775" s="5"/>
      <c r="Q775" s="5"/>
      <c r="R775" s="5"/>
      <c r="S775" s="5"/>
      <c r="T775" s="5"/>
      <c r="U775" s="5"/>
      <c r="V775" s="5"/>
      <c r="W775" s="5"/>
      <c r="X775" s="5"/>
      <c r="Y775" s="5"/>
    </row>
    <row r="776" spans="1:25" ht="15.75" customHeight="1">
      <c r="A776" s="3"/>
      <c r="P776" s="5"/>
      <c r="Q776" s="5"/>
      <c r="R776" s="5"/>
      <c r="S776" s="5"/>
      <c r="T776" s="5"/>
      <c r="U776" s="5"/>
      <c r="V776" s="5"/>
      <c r="W776" s="5"/>
      <c r="X776" s="5"/>
      <c r="Y776" s="5"/>
    </row>
    <row r="777" spans="1:25" ht="15.75" customHeight="1">
      <c r="A777" s="3"/>
      <c r="P777" s="5"/>
      <c r="Q777" s="5"/>
      <c r="R777" s="5"/>
      <c r="S777" s="5"/>
      <c r="T777" s="5"/>
      <c r="U777" s="5"/>
      <c r="V777" s="5"/>
      <c r="W777" s="5"/>
      <c r="X777" s="5"/>
      <c r="Y777" s="5"/>
    </row>
    <row r="778" spans="1:25" ht="15.75" customHeight="1">
      <c r="A778" s="3"/>
      <c r="P778" s="5"/>
      <c r="Q778" s="5"/>
      <c r="R778" s="5"/>
      <c r="S778" s="5"/>
      <c r="T778" s="5"/>
      <c r="U778" s="5"/>
      <c r="V778" s="5"/>
      <c r="W778" s="5"/>
      <c r="X778" s="5"/>
      <c r="Y778" s="5"/>
    </row>
    <row r="779" spans="1:25" ht="15.75" customHeight="1">
      <c r="A779" s="3"/>
      <c r="P779" s="5"/>
      <c r="Q779" s="5"/>
      <c r="R779" s="5"/>
      <c r="S779" s="5"/>
      <c r="T779" s="5"/>
      <c r="U779" s="5"/>
      <c r="V779" s="5"/>
      <c r="W779" s="5"/>
      <c r="X779" s="5"/>
      <c r="Y779" s="5"/>
    </row>
    <row r="780" spans="1:25" ht="15.75" customHeight="1">
      <c r="A780" s="3"/>
      <c r="P780" s="5"/>
      <c r="Q780" s="5"/>
      <c r="R780" s="5"/>
      <c r="S780" s="5"/>
      <c r="T780" s="5"/>
      <c r="U780" s="5"/>
      <c r="V780" s="5"/>
      <c r="W780" s="5"/>
      <c r="X780" s="5"/>
      <c r="Y780" s="5"/>
    </row>
    <row r="781" spans="1:25" ht="15.75" customHeight="1">
      <c r="A781" s="3"/>
      <c r="P781" s="5"/>
      <c r="Q781" s="5"/>
      <c r="R781" s="5"/>
      <c r="S781" s="5"/>
      <c r="T781" s="5"/>
      <c r="U781" s="5"/>
      <c r="V781" s="5"/>
      <c r="W781" s="5"/>
      <c r="X781" s="5"/>
      <c r="Y781" s="5"/>
    </row>
    <row r="782" spans="1:25" ht="15.75" customHeight="1">
      <c r="A782" s="3"/>
      <c r="P782" s="5"/>
      <c r="Q782" s="5"/>
      <c r="R782" s="5"/>
      <c r="S782" s="5"/>
      <c r="T782" s="5"/>
      <c r="U782" s="5"/>
      <c r="V782" s="5"/>
      <c r="W782" s="5"/>
      <c r="X782" s="5"/>
      <c r="Y782" s="5"/>
    </row>
    <row r="783" spans="1:25" ht="15.75" customHeight="1">
      <c r="A783" s="3"/>
      <c r="P783" s="5"/>
      <c r="Q783" s="5"/>
      <c r="R783" s="5"/>
      <c r="S783" s="5"/>
      <c r="T783" s="5"/>
      <c r="U783" s="5"/>
      <c r="V783" s="5"/>
      <c r="W783" s="5"/>
      <c r="X783" s="5"/>
      <c r="Y783" s="5"/>
    </row>
    <row r="784" spans="1:25" ht="15.75" customHeight="1">
      <c r="A784" s="3"/>
      <c r="P784" s="5"/>
      <c r="Q784" s="5"/>
      <c r="R784" s="5"/>
      <c r="S784" s="5"/>
      <c r="T784" s="5"/>
      <c r="U784" s="5"/>
      <c r="V784" s="5"/>
      <c r="W784" s="5"/>
      <c r="X784" s="5"/>
      <c r="Y784" s="5"/>
    </row>
    <row r="785" spans="1:25" ht="15.75" customHeight="1">
      <c r="A785" s="3"/>
      <c r="P785" s="5"/>
      <c r="Q785" s="5"/>
      <c r="R785" s="5"/>
      <c r="S785" s="5"/>
      <c r="T785" s="5"/>
      <c r="U785" s="5"/>
      <c r="V785" s="5"/>
      <c r="W785" s="5"/>
      <c r="X785" s="5"/>
      <c r="Y785" s="5"/>
    </row>
    <row r="786" spans="1:25" ht="15.75" customHeight="1">
      <c r="A786" s="3"/>
      <c r="P786" s="5"/>
      <c r="Q786" s="5"/>
      <c r="R786" s="5"/>
      <c r="S786" s="5"/>
      <c r="T786" s="5"/>
      <c r="U786" s="5"/>
      <c r="V786" s="5"/>
      <c r="W786" s="5"/>
      <c r="X786" s="5"/>
      <c r="Y786" s="5"/>
    </row>
    <row r="787" spans="1:25" ht="15.75" customHeight="1">
      <c r="A787" s="3"/>
      <c r="P787" s="5"/>
      <c r="Q787" s="5"/>
      <c r="R787" s="5"/>
      <c r="S787" s="5"/>
      <c r="T787" s="5"/>
      <c r="U787" s="5"/>
      <c r="V787" s="5"/>
      <c r="W787" s="5"/>
      <c r="X787" s="5"/>
      <c r="Y787" s="5"/>
    </row>
    <row r="788" spans="1:25" ht="15.75" customHeight="1">
      <c r="A788" s="3"/>
      <c r="P788" s="5"/>
      <c r="Q788" s="5"/>
      <c r="R788" s="5"/>
      <c r="S788" s="5"/>
      <c r="T788" s="5"/>
      <c r="U788" s="5"/>
      <c r="V788" s="5"/>
      <c r="W788" s="5"/>
      <c r="X788" s="5"/>
      <c r="Y788" s="5"/>
    </row>
    <row r="789" spans="1:25" ht="15.75" customHeight="1">
      <c r="A789" s="3"/>
      <c r="P789" s="5"/>
      <c r="Q789" s="5"/>
      <c r="R789" s="5"/>
      <c r="S789" s="5"/>
      <c r="T789" s="5"/>
      <c r="U789" s="5"/>
      <c r="V789" s="5"/>
      <c r="W789" s="5"/>
      <c r="X789" s="5"/>
      <c r="Y789" s="5"/>
    </row>
    <row r="790" spans="1:25" ht="15.75" customHeight="1">
      <c r="A790" s="3"/>
      <c r="P790" s="5"/>
      <c r="Q790" s="5"/>
      <c r="R790" s="5"/>
      <c r="S790" s="5"/>
      <c r="T790" s="5"/>
      <c r="U790" s="5"/>
      <c r="V790" s="5"/>
      <c r="W790" s="5"/>
      <c r="X790" s="5"/>
      <c r="Y790" s="5"/>
    </row>
    <row r="791" spans="1:25" ht="15.75" customHeight="1">
      <c r="A791" s="3"/>
      <c r="P791" s="5"/>
      <c r="Q791" s="5"/>
      <c r="R791" s="5"/>
      <c r="S791" s="5"/>
      <c r="T791" s="5"/>
      <c r="U791" s="5"/>
      <c r="V791" s="5"/>
      <c r="W791" s="5"/>
      <c r="X791" s="5"/>
      <c r="Y791" s="5"/>
    </row>
    <row r="792" spans="1:25" ht="15.75" customHeight="1">
      <c r="A792" s="3"/>
      <c r="P792" s="5"/>
      <c r="Q792" s="5"/>
      <c r="R792" s="5"/>
      <c r="S792" s="5"/>
      <c r="T792" s="5"/>
      <c r="U792" s="5"/>
      <c r="V792" s="5"/>
      <c r="W792" s="5"/>
      <c r="X792" s="5"/>
      <c r="Y792" s="5"/>
    </row>
    <row r="793" spans="1:25" ht="15.75" customHeight="1">
      <c r="A793" s="3"/>
      <c r="P793" s="5"/>
      <c r="Q793" s="5"/>
      <c r="R793" s="5"/>
      <c r="S793" s="5"/>
      <c r="T793" s="5"/>
      <c r="U793" s="5"/>
      <c r="V793" s="5"/>
      <c r="W793" s="5"/>
      <c r="X793" s="5"/>
      <c r="Y793" s="5"/>
    </row>
    <row r="794" spans="1:25" ht="15.75" customHeight="1">
      <c r="A794" s="3"/>
      <c r="P794" s="5"/>
      <c r="Q794" s="5"/>
      <c r="R794" s="5"/>
      <c r="S794" s="5"/>
      <c r="T794" s="5"/>
      <c r="U794" s="5"/>
      <c r="V794" s="5"/>
      <c r="W794" s="5"/>
      <c r="X794" s="5"/>
      <c r="Y794" s="5"/>
    </row>
    <row r="795" spans="1:25" ht="15.75" customHeight="1">
      <c r="A795" s="3"/>
      <c r="P795" s="5"/>
      <c r="Q795" s="5"/>
      <c r="R795" s="5"/>
      <c r="S795" s="5"/>
      <c r="T795" s="5"/>
      <c r="U795" s="5"/>
      <c r="V795" s="5"/>
      <c r="W795" s="5"/>
      <c r="X795" s="5"/>
      <c r="Y795" s="5"/>
    </row>
    <row r="796" spans="1:25" ht="15.75" customHeight="1">
      <c r="A796" s="3"/>
      <c r="P796" s="5"/>
      <c r="Q796" s="5"/>
      <c r="R796" s="5"/>
      <c r="S796" s="5"/>
      <c r="T796" s="5"/>
      <c r="U796" s="5"/>
      <c r="V796" s="5"/>
      <c r="W796" s="5"/>
      <c r="X796" s="5"/>
      <c r="Y796" s="5"/>
    </row>
    <row r="797" spans="1:25" ht="15.75" customHeight="1">
      <c r="A797" s="3"/>
      <c r="P797" s="5"/>
      <c r="Q797" s="5"/>
      <c r="R797" s="5"/>
      <c r="S797" s="5"/>
      <c r="T797" s="5"/>
      <c r="U797" s="5"/>
      <c r="V797" s="5"/>
      <c r="W797" s="5"/>
      <c r="X797" s="5"/>
      <c r="Y797" s="5"/>
    </row>
    <row r="798" spans="1:25" ht="15.75" customHeight="1">
      <c r="A798" s="3"/>
      <c r="P798" s="5"/>
      <c r="Q798" s="5"/>
      <c r="R798" s="5"/>
      <c r="S798" s="5"/>
      <c r="T798" s="5"/>
      <c r="U798" s="5"/>
      <c r="V798" s="5"/>
      <c r="W798" s="5"/>
      <c r="X798" s="5"/>
      <c r="Y798" s="5"/>
    </row>
    <row r="799" spans="1:25" ht="15.75" customHeight="1">
      <c r="A799" s="3"/>
      <c r="P799" s="5"/>
      <c r="Q799" s="5"/>
      <c r="R799" s="5"/>
      <c r="S799" s="5"/>
      <c r="T799" s="5"/>
      <c r="U799" s="5"/>
      <c r="V799" s="5"/>
      <c r="W799" s="5"/>
      <c r="X799" s="5"/>
      <c r="Y799" s="5"/>
    </row>
    <row r="800" spans="1:25" ht="15.75" customHeight="1">
      <c r="A800" s="3"/>
      <c r="P800" s="5"/>
      <c r="Q800" s="5"/>
      <c r="R800" s="5"/>
      <c r="S800" s="5"/>
      <c r="T800" s="5"/>
      <c r="U800" s="5"/>
      <c r="V800" s="5"/>
      <c r="W800" s="5"/>
      <c r="X800" s="5"/>
      <c r="Y800" s="5"/>
    </row>
    <row r="801" spans="1:25" ht="15.75" customHeight="1">
      <c r="A801" s="3"/>
      <c r="P801" s="5"/>
      <c r="Q801" s="5"/>
      <c r="R801" s="5"/>
      <c r="S801" s="5"/>
      <c r="T801" s="5"/>
      <c r="U801" s="5"/>
      <c r="V801" s="5"/>
      <c r="W801" s="5"/>
      <c r="X801" s="5"/>
      <c r="Y801" s="5"/>
    </row>
    <row r="802" spans="1:25" ht="15.75" customHeight="1">
      <c r="A802" s="3"/>
      <c r="P802" s="5"/>
      <c r="Q802" s="5"/>
      <c r="R802" s="5"/>
      <c r="S802" s="5"/>
      <c r="T802" s="5"/>
      <c r="U802" s="5"/>
      <c r="V802" s="5"/>
      <c r="W802" s="5"/>
      <c r="X802" s="5"/>
      <c r="Y802" s="5"/>
    </row>
    <row r="803" spans="1:25" ht="15.75" customHeight="1">
      <c r="A803" s="3"/>
      <c r="P803" s="5"/>
      <c r="Q803" s="5"/>
      <c r="R803" s="5"/>
      <c r="S803" s="5"/>
      <c r="T803" s="5"/>
      <c r="U803" s="5"/>
      <c r="V803" s="5"/>
      <c r="W803" s="5"/>
      <c r="X803" s="5"/>
      <c r="Y803" s="5"/>
    </row>
    <row r="804" spans="1:25" ht="15.75" customHeight="1">
      <c r="A804" s="3"/>
      <c r="P804" s="5"/>
      <c r="Q804" s="5"/>
      <c r="R804" s="5"/>
      <c r="S804" s="5"/>
      <c r="T804" s="5"/>
      <c r="U804" s="5"/>
      <c r="V804" s="5"/>
      <c r="W804" s="5"/>
      <c r="X804" s="5"/>
      <c r="Y804" s="5"/>
    </row>
    <row r="805" spans="1:25" ht="15.75" customHeight="1">
      <c r="A805" s="3"/>
      <c r="P805" s="5"/>
      <c r="Q805" s="5"/>
      <c r="R805" s="5"/>
      <c r="S805" s="5"/>
      <c r="T805" s="5"/>
      <c r="U805" s="5"/>
      <c r="V805" s="5"/>
      <c r="W805" s="5"/>
      <c r="X805" s="5"/>
      <c r="Y805" s="5"/>
    </row>
    <row r="806" spans="1:25" ht="15.75" customHeight="1">
      <c r="A806" s="3"/>
      <c r="P806" s="5"/>
      <c r="Q806" s="5"/>
      <c r="R806" s="5"/>
      <c r="S806" s="5"/>
      <c r="T806" s="5"/>
      <c r="U806" s="5"/>
      <c r="V806" s="5"/>
      <c r="W806" s="5"/>
      <c r="X806" s="5"/>
      <c r="Y806" s="5"/>
    </row>
    <row r="807" spans="1:25" ht="15.75" customHeight="1">
      <c r="A807" s="3"/>
      <c r="P807" s="5"/>
      <c r="Q807" s="5"/>
      <c r="R807" s="5"/>
      <c r="S807" s="5"/>
      <c r="T807" s="5"/>
      <c r="U807" s="5"/>
      <c r="V807" s="5"/>
      <c r="W807" s="5"/>
      <c r="X807" s="5"/>
      <c r="Y807" s="5"/>
    </row>
    <row r="808" spans="1:25" ht="15.75" customHeight="1">
      <c r="A808" s="3"/>
      <c r="P808" s="5"/>
      <c r="Q808" s="5"/>
      <c r="R808" s="5"/>
      <c r="S808" s="5"/>
      <c r="T808" s="5"/>
      <c r="U808" s="5"/>
      <c r="V808" s="5"/>
      <c r="W808" s="5"/>
      <c r="X808" s="5"/>
      <c r="Y808" s="5"/>
    </row>
    <row r="809" spans="1:25" ht="15.75" customHeight="1">
      <c r="A809" s="3"/>
      <c r="P809" s="5"/>
      <c r="Q809" s="5"/>
      <c r="R809" s="5"/>
      <c r="S809" s="5"/>
      <c r="T809" s="5"/>
      <c r="U809" s="5"/>
      <c r="V809" s="5"/>
      <c r="W809" s="5"/>
      <c r="X809" s="5"/>
      <c r="Y809" s="5"/>
    </row>
    <row r="810" spans="1:25" ht="15.75" customHeight="1">
      <c r="A810" s="3"/>
      <c r="P810" s="5"/>
      <c r="Q810" s="5"/>
      <c r="R810" s="5"/>
      <c r="S810" s="5"/>
      <c r="T810" s="5"/>
      <c r="U810" s="5"/>
      <c r="V810" s="5"/>
      <c r="W810" s="5"/>
      <c r="X810" s="5"/>
      <c r="Y810" s="5"/>
    </row>
    <row r="811" spans="1:25" ht="15.75" customHeight="1">
      <c r="A811" s="3"/>
      <c r="P811" s="5"/>
      <c r="Q811" s="5"/>
      <c r="R811" s="5"/>
      <c r="S811" s="5"/>
      <c r="T811" s="5"/>
      <c r="U811" s="5"/>
      <c r="V811" s="5"/>
      <c r="W811" s="5"/>
      <c r="X811" s="5"/>
      <c r="Y811" s="5"/>
    </row>
    <row r="812" spans="1:25" ht="15.75" customHeight="1">
      <c r="A812" s="3"/>
      <c r="P812" s="5"/>
      <c r="Q812" s="5"/>
      <c r="R812" s="5"/>
      <c r="S812" s="5"/>
      <c r="T812" s="5"/>
      <c r="U812" s="5"/>
      <c r="V812" s="5"/>
      <c r="W812" s="5"/>
      <c r="X812" s="5"/>
      <c r="Y812" s="5"/>
    </row>
    <row r="813" spans="1:25" ht="15.75" customHeight="1">
      <c r="A813" s="3"/>
      <c r="P813" s="5"/>
      <c r="Q813" s="5"/>
      <c r="R813" s="5"/>
      <c r="S813" s="5"/>
      <c r="T813" s="5"/>
      <c r="U813" s="5"/>
      <c r="V813" s="5"/>
      <c r="W813" s="5"/>
      <c r="X813" s="5"/>
      <c r="Y813" s="5"/>
    </row>
    <row r="814" spans="1:25" ht="15.75" customHeight="1">
      <c r="A814" s="3"/>
      <c r="P814" s="5"/>
      <c r="Q814" s="5"/>
      <c r="R814" s="5"/>
      <c r="S814" s="5"/>
      <c r="T814" s="5"/>
      <c r="U814" s="5"/>
      <c r="V814" s="5"/>
      <c r="W814" s="5"/>
      <c r="X814" s="5"/>
      <c r="Y814" s="5"/>
    </row>
    <row r="815" spans="1:25" ht="15.75" customHeight="1">
      <c r="A815" s="3"/>
      <c r="P815" s="5"/>
      <c r="Q815" s="5"/>
      <c r="R815" s="5"/>
      <c r="S815" s="5"/>
      <c r="T815" s="5"/>
      <c r="U815" s="5"/>
      <c r="V815" s="5"/>
      <c r="W815" s="5"/>
      <c r="X815" s="5"/>
      <c r="Y815" s="5"/>
    </row>
    <row r="816" spans="1:25" ht="15.75" customHeight="1">
      <c r="A816" s="3"/>
      <c r="P816" s="5"/>
      <c r="Q816" s="5"/>
      <c r="R816" s="5"/>
      <c r="S816" s="5"/>
      <c r="T816" s="5"/>
      <c r="U816" s="5"/>
      <c r="V816" s="5"/>
      <c r="W816" s="5"/>
      <c r="X816" s="5"/>
      <c r="Y816" s="5"/>
    </row>
    <row r="817" spans="1:25" ht="15.75" customHeight="1">
      <c r="A817" s="3"/>
      <c r="P817" s="5"/>
      <c r="Q817" s="5"/>
      <c r="R817" s="5"/>
      <c r="S817" s="5"/>
      <c r="T817" s="5"/>
      <c r="U817" s="5"/>
      <c r="V817" s="5"/>
      <c r="W817" s="5"/>
      <c r="X817" s="5"/>
      <c r="Y817" s="5"/>
    </row>
    <row r="818" spans="1:25" ht="15.75" customHeight="1">
      <c r="A818" s="3"/>
      <c r="P818" s="5"/>
      <c r="Q818" s="5"/>
      <c r="R818" s="5"/>
      <c r="S818" s="5"/>
      <c r="T818" s="5"/>
      <c r="U818" s="5"/>
      <c r="V818" s="5"/>
      <c r="W818" s="5"/>
      <c r="X818" s="5"/>
      <c r="Y818" s="5"/>
    </row>
    <row r="819" spans="1:25" ht="15.75" customHeight="1">
      <c r="A819" s="3"/>
      <c r="P819" s="5"/>
      <c r="Q819" s="5"/>
      <c r="R819" s="5"/>
      <c r="S819" s="5"/>
      <c r="T819" s="5"/>
      <c r="U819" s="5"/>
      <c r="V819" s="5"/>
      <c r="W819" s="5"/>
      <c r="X819" s="5"/>
      <c r="Y819" s="5"/>
    </row>
    <row r="820" spans="1:25" ht="15.75" customHeight="1">
      <c r="A820" s="3"/>
      <c r="P820" s="5"/>
      <c r="Q820" s="5"/>
      <c r="R820" s="5"/>
      <c r="S820" s="5"/>
      <c r="T820" s="5"/>
      <c r="U820" s="5"/>
      <c r="V820" s="5"/>
      <c r="W820" s="5"/>
      <c r="X820" s="5"/>
      <c r="Y820" s="5"/>
    </row>
    <row r="821" spans="1:25" ht="15.75" customHeight="1">
      <c r="A821" s="3"/>
      <c r="P821" s="5"/>
      <c r="Q821" s="5"/>
      <c r="R821" s="5"/>
      <c r="S821" s="5"/>
      <c r="T821" s="5"/>
      <c r="U821" s="5"/>
      <c r="V821" s="5"/>
      <c r="W821" s="5"/>
      <c r="X821" s="5"/>
      <c r="Y821" s="5"/>
    </row>
    <row r="822" spans="1:25" ht="15.75" customHeight="1">
      <c r="A822" s="3"/>
      <c r="P822" s="5"/>
      <c r="Q822" s="5"/>
      <c r="R822" s="5"/>
      <c r="S822" s="5"/>
      <c r="T822" s="5"/>
      <c r="U822" s="5"/>
      <c r="V822" s="5"/>
      <c r="W822" s="5"/>
      <c r="X822" s="5"/>
      <c r="Y822" s="5"/>
    </row>
    <row r="823" spans="1:25" ht="15.75" customHeight="1">
      <c r="A823" s="3"/>
      <c r="P823" s="5"/>
      <c r="Q823" s="5"/>
      <c r="R823" s="5"/>
      <c r="S823" s="5"/>
      <c r="T823" s="5"/>
      <c r="U823" s="5"/>
      <c r="V823" s="5"/>
      <c r="W823" s="5"/>
      <c r="X823" s="5"/>
      <c r="Y823" s="5"/>
    </row>
    <row r="824" spans="1:25" ht="15.75" customHeight="1">
      <c r="A824" s="3"/>
      <c r="P824" s="5"/>
      <c r="Q824" s="5"/>
      <c r="R824" s="5"/>
      <c r="S824" s="5"/>
      <c r="T824" s="5"/>
      <c r="U824" s="5"/>
      <c r="V824" s="5"/>
      <c r="W824" s="5"/>
      <c r="X824" s="5"/>
      <c r="Y824" s="5"/>
    </row>
    <row r="825" spans="1:25" ht="15.75" customHeight="1">
      <c r="A825" s="3"/>
      <c r="P825" s="5"/>
      <c r="Q825" s="5"/>
      <c r="R825" s="5"/>
      <c r="S825" s="5"/>
      <c r="T825" s="5"/>
      <c r="U825" s="5"/>
      <c r="V825" s="5"/>
      <c r="W825" s="5"/>
      <c r="X825" s="5"/>
      <c r="Y825" s="5"/>
    </row>
    <row r="826" spans="1:25" ht="15.75" customHeight="1">
      <c r="A826" s="3"/>
      <c r="P826" s="5"/>
      <c r="Q826" s="5"/>
      <c r="R826" s="5"/>
      <c r="S826" s="5"/>
      <c r="T826" s="5"/>
      <c r="U826" s="5"/>
      <c r="V826" s="5"/>
      <c r="W826" s="5"/>
      <c r="X826" s="5"/>
      <c r="Y826" s="5"/>
    </row>
    <row r="827" spans="1:25" ht="15.75" customHeight="1">
      <c r="A827" s="3"/>
      <c r="P827" s="5"/>
      <c r="Q827" s="5"/>
      <c r="R827" s="5"/>
      <c r="S827" s="5"/>
      <c r="T827" s="5"/>
      <c r="U827" s="5"/>
      <c r="V827" s="5"/>
      <c r="W827" s="5"/>
      <c r="X827" s="5"/>
      <c r="Y827" s="5"/>
    </row>
    <row r="828" spans="1:25" ht="15.75" customHeight="1">
      <c r="A828" s="3"/>
      <c r="P828" s="5"/>
      <c r="Q828" s="5"/>
      <c r="R828" s="5"/>
      <c r="S828" s="5"/>
      <c r="T828" s="5"/>
      <c r="U828" s="5"/>
      <c r="V828" s="5"/>
      <c r="W828" s="5"/>
      <c r="X828" s="5"/>
      <c r="Y828" s="5"/>
    </row>
    <row r="829" spans="1:25" ht="15.75" customHeight="1">
      <c r="A829" s="3"/>
      <c r="P829" s="5"/>
      <c r="Q829" s="5"/>
      <c r="R829" s="5"/>
      <c r="S829" s="5"/>
      <c r="T829" s="5"/>
      <c r="U829" s="5"/>
      <c r="V829" s="5"/>
      <c r="W829" s="5"/>
      <c r="X829" s="5"/>
      <c r="Y829" s="5"/>
    </row>
    <row r="830" spans="1:25" ht="15.75" customHeight="1">
      <c r="A830" s="3"/>
      <c r="P830" s="5"/>
      <c r="Q830" s="5"/>
      <c r="R830" s="5"/>
      <c r="S830" s="5"/>
      <c r="T830" s="5"/>
      <c r="U830" s="5"/>
      <c r="V830" s="5"/>
      <c r="W830" s="5"/>
      <c r="X830" s="5"/>
      <c r="Y830" s="5"/>
    </row>
    <row r="831" spans="1:25" ht="15.75" customHeight="1">
      <c r="A831" s="3"/>
      <c r="P831" s="5"/>
      <c r="Q831" s="5"/>
      <c r="R831" s="5"/>
      <c r="S831" s="5"/>
      <c r="T831" s="5"/>
      <c r="U831" s="5"/>
      <c r="V831" s="5"/>
      <c r="W831" s="5"/>
      <c r="X831" s="5"/>
      <c r="Y831" s="5"/>
    </row>
    <row r="832" spans="1:25" ht="15.75" customHeight="1">
      <c r="A832" s="3"/>
      <c r="P832" s="5"/>
      <c r="Q832" s="5"/>
      <c r="R832" s="5"/>
      <c r="S832" s="5"/>
      <c r="T832" s="5"/>
      <c r="U832" s="5"/>
      <c r="V832" s="5"/>
      <c r="W832" s="5"/>
      <c r="X832" s="5"/>
      <c r="Y832" s="5"/>
    </row>
    <row r="833" spans="1:25" ht="15.75" customHeight="1">
      <c r="A833" s="3"/>
      <c r="P833" s="5"/>
      <c r="Q833" s="5"/>
      <c r="R833" s="5"/>
      <c r="S833" s="5"/>
      <c r="T833" s="5"/>
      <c r="U833" s="5"/>
      <c r="V833" s="5"/>
      <c r="W833" s="5"/>
      <c r="X833" s="5"/>
      <c r="Y833" s="5"/>
    </row>
    <row r="834" spans="1:25" ht="15.75" customHeight="1">
      <c r="A834" s="3"/>
      <c r="P834" s="5"/>
      <c r="Q834" s="5"/>
      <c r="R834" s="5"/>
      <c r="S834" s="5"/>
      <c r="T834" s="5"/>
      <c r="U834" s="5"/>
      <c r="V834" s="5"/>
      <c r="W834" s="5"/>
      <c r="X834" s="5"/>
      <c r="Y834" s="5"/>
    </row>
    <row r="835" spans="1:25" ht="15.75" customHeight="1">
      <c r="A835" s="3"/>
      <c r="P835" s="5"/>
      <c r="Q835" s="5"/>
      <c r="R835" s="5"/>
      <c r="S835" s="5"/>
      <c r="T835" s="5"/>
      <c r="U835" s="5"/>
      <c r="V835" s="5"/>
      <c r="W835" s="5"/>
      <c r="X835" s="5"/>
      <c r="Y835" s="5"/>
    </row>
    <row r="836" spans="1:25" ht="15.75" customHeight="1">
      <c r="A836" s="3"/>
      <c r="P836" s="5"/>
      <c r="Q836" s="5"/>
      <c r="R836" s="5"/>
      <c r="S836" s="5"/>
      <c r="T836" s="5"/>
      <c r="U836" s="5"/>
      <c r="V836" s="5"/>
      <c r="W836" s="5"/>
      <c r="X836" s="5"/>
      <c r="Y836" s="5"/>
    </row>
    <row r="837" spans="1:25" ht="15.75" customHeight="1">
      <c r="A837" s="3"/>
      <c r="P837" s="5"/>
      <c r="Q837" s="5"/>
      <c r="R837" s="5"/>
      <c r="S837" s="5"/>
      <c r="T837" s="5"/>
      <c r="U837" s="5"/>
      <c r="V837" s="5"/>
      <c r="W837" s="5"/>
      <c r="X837" s="5"/>
      <c r="Y837" s="5"/>
    </row>
    <row r="838" spans="1:25" ht="15.75" customHeight="1">
      <c r="A838" s="3"/>
      <c r="P838" s="5"/>
      <c r="Q838" s="5"/>
      <c r="R838" s="5"/>
      <c r="S838" s="5"/>
      <c r="T838" s="5"/>
      <c r="U838" s="5"/>
      <c r="V838" s="5"/>
      <c r="W838" s="5"/>
      <c r="X838" s="5"/>
      <c r="Y838" s="5"/>
    </row>
    <row r="839" spans="1:25" ht="15.75" customHeight="1">
      <c r="A839" s="3"/>
      <c r="P839" s="5"/>
      <c r="Q839" s="5"/>
      <c r="R839" s="5"/>
      <c r="S839" s="5"/>
      <c r="T839" s="5"/>
      <c r="U839" s="5"/>
      <c r="V839" s="5"/>
      <c r="W839" s="5"/>
      <c r="X839" s="5"/>
      <c r="Y839" s="5"/>
    </row>
    <row r="840" spans="1:25" ht="15.75" customHeight="1">
      <c r="A840" s="3"/>
      <c r="P840" s="5"/>
      <c r="Q840" s="5"/>
      <c r="R840" s="5"/>
      <c r="S840" s="5"/>
      <c r="T840" s="5"/>
      <c r="U840" s="5"/>
      <c r="V840" s="5"/>
      <c r="W840" s="5"/>
      <c r="X840" s="5"/>
      <c r="Y840" s="5"/>
    </row>
    <row r="841" spans="1:25" ht="15.75" customHeight="1">
      <c r="A841" s="3"/>
      <c r="P841" s="5"/>
      <c r="Q841" s="5"/>
      <c r="R841" s="5"/>
      <c r="S841" s="5"/>
      <c r="T841" s="5"/>
      <c r="U841" s="5"/>
      <c r="V841" s="5"/>
      <c r="W841" s="5"/>
      <c r="X841" s="5"/>
      <c r="Y841" s="5"/>
    </row>
    <row r="842" spans="1:25" ht="15.75" customHeight="1">
      <c r="A842" s="3"/>
      <c r="P842" s="5"/>
      <c r="Q842" s="5"/>
      <c r="R842" s="5"/>
      <c r="S842" s="5"/>
      <c r="T842" s="5"/>
      <c r="U842" s="5"/>
      <c r="V842" s="5"/>
      <c r="W842" s="5"/>
      <c r="X842" s="5"/>
      <c r="Y842" s="5"/>
    </row>
    <row r="843" spans="1:25" ht="15.75" customHeight="1">
      <c r="A843" s="3"/>
      <c r="P843" s="5"/>
      <c r="Q843" s="5"/>
      <c r="R843" s="5"/>
      <c r="S843" s="5"/>
      <c r="T843" s="5"/>
      <c r="U843" s="5"/>
      <c r="V843" s="5"/>
      <c r="W843" s="5"/>
      <c r="X843" s="5"/>
      <c r="Y843" s="5"/>
    </row>
    <row r="844" spans="1:25" ht="15.75" customHeight="1">
      <c r="A844" s="3"/>
      <c r="P844" s="5"/>
      <c r="Q844" s="5"/>
      <c r="R844" s="5"/>
      <c r="S844" s="5"/>
      <c r="T844" s="5"/>
      <c r="U844" s="5"/>
      <c r="V844" s="5"/>
      <c r="W844" s="5"/>
      <c r="X844" s="5"/>
      <c r="Y844" s="5"/>
    </row>
    <row r="845" spans="1:25" ht="15.75" customHeight="1">
      <c r="A845" s="3"/>
      <c r="P845" s="5"/>
      <c r="Q845" s="5"/>
      <c r="R845" s="5"/>
      <c r="S845" s="5"/>
      <c r="T845" s="5"/>
      <c r="U845" s="5"/>
      <c r="V845" s="5"/>
      <c r="W845" s="5"/>
      <c r="X845" s="5"/>
      <c r="Y845" s="5"/>
    </row>
    <row r="846" spans="1:25" ht="15.75" customHeight="1">
      <c r="A846" s="3"/>
      <c r="P846" s="5"/>
      <c r="Q846" s="5"/>
      <c r="R846" s="5"/>
      <c r="S846" s="5"/>
      <c r="T846" s="5"/>
      <c r="U846" s="5"/>
      <c r="V846" s="5"/>
      <c r="W846" s="5"/>
      <c r="X846" s="5"/>
      <c r="Y846" s="5"/>
    </row>
    <row r="847" spans="1:25" ht="15.75" customHeight="1">
      <c r="A847" s="3"/>
      <c r="P847" s="5"/>
      <c r="Q847" s="5"/>
      <c r="R847" s="5"/>
      <c r="S847" s="5"/>
      <c r="T847" s="5"/>
      <c r="U847" s="5"/>
      <c r="V847" s="5"/>
      <c r="W847" s="5"/>
      <c r="X847" s="5"/>
      <c r="Y847" s="5"/>
    </row>
    <row r="848" spans="1:25" ht="15.75" customHeight="1">
      <c r="A848" s="3"/>
      <c r="P848" s="5"/>
      <c r="Q848" s="5"/>
      <c r="R848" s="5"/>
      <c r="S848" s="5"/>
      <c r="T848" s="5"/>
      <c r="U848" s="5"/>
      <c r="V848" s="5"/>
      <c r="W848" s="5"/>
      <c r="X848" s="5"/>
      <c r="Y848" s="5"/>
    </row>
    <row r="849" spans="1:25" ht="15.75" customHeight="1">
      <c r="A849" s="3"/>
      <c r="P849" s="5"/>
      <c r="Q849" s="5"/>
      <c r="R849" s="5"/>
      <c r="S849" s="5"/>
      <c r="T849" s="5"/>
      <c r="U849" s="5"/>
      <c r="V849" s="5"/>
      <c r="W849" s="5"/>
      <c r="X849" s="5"/>
      <c r="Y849" s="5"/>
    </row>
    <row r="850" spans="1:25" ht="15.75" customHeight="1">
      <c r="A850" s="3"/>
      <c r="P850" s="5"/>
      <c r="Q850" s="5"/>
      <c r="R850" s="5"/>
      <c r="S850" s="5"/>
      <c r="T850" s="5"/>
      <c r="U850" s="5"/>
      <c r="V850" s="5"/>
      <c r="W850" s="5"/>
      <c r="X850" s="5"/>
      <c r="Y850" s="5"/>
    </row>
    <row r="851" spans="1:25" ht="15.75" customHeight="1">
      <c r="A851" s="3"/>
      <c r="P851" s="5"/>
      <c r="Q851" s="5"/>
      <c r="R851" s="5"/>
      <c r="S851" s="5"/>
      <c r="T851" s="5"/>
      <c r="U851" s="5"/>
      <c r="V851" s="5"/>
      <c r="W851" s="5"/>
      <c r="X851" s="5"/>
      <c r="Y851" s="5"/>
    </row>
    <row r="852" spans="1:25" ht="15.75" customHeight="1">
      <c r="A852" s="3"/>
      <c r="P852" s="5"/>
      <c r="Q852" s="5"/>
      <c r="R852" s="5"/>
      <c r="S852" s="5"/>
      <c r="T852" s="5"/>
      <c r="U852" s="5"/>
      <c r="V852" s="5"/>
      <c r="W852" s="5"/>
      <c r="X852" s="5"/>
      <c r="Y852" s="5"/>
    </row>
    <row r="853" spans="1:25" ht="15.75" customHeight="1">
      <c r="A853" s="3"/>
      <c r="P853" s="5"/>
      <c r="Q853" s="5"/>
      <c r="R853" s="5"/>
      <c r="S853" s="5"/>
      <c r="T853" s="5"/>
      <c r="U853" s="5"/>
      <c r="V853" s="5"/>
      <c r="W853" s="5"/>
      <c r="X853" s="5"/>
      <c r="Y853" s="5"/>
    </row>
    <row r="854" spans="1:25" ht="15.75" customHeight="1">
      <c r="A854" s="3"/>
      <c r="P854" s="5"/>
      <c r="Q854" s="5"/>
      <c r="R854" s="5"/>
      <c r="S854" s="5"/>
      <c r="T854" s="5"/>
      <c r="U854" s="5"/>
      <c r="V854" s="5"/>
      <c r="W854" s="5"/>
      <c r="X854" s="5"/>
      <c r="Y854" s="5"/>
    </row>
    <row r="855" spans="1:25" ht="15.75" customHeight="1">
      <c r="A855" s="3"/>
      <c r="P855" s="5"/>
      <c r="Q855" s="5"/>
      <c r="R855" s="5"/>
      <c r="S855" s="5"/>
      <c r="T855" s="5"/>
      <c r="U855" s="5"/>
      <c r="V855" s="5"/>
      <c r="W855" s="5"/>
      <c r="X855" s="5"/>
      <c r="Y855" s="5"/>
    </row>
    <row r="856" spans="1:25" ht="15.75" customHeight="1">
      <c r="A856" s="3"/>
      <c r="P856" s="5"/>
      <c r="Q856" s="5"/>
      <c r="R856" s="5"/>
      <c r="S856" s="5"/>
      <c r="T856" s="5"/>
      <c r="U856" s="5"/>
      <c r="V856" s="5"/>
      <c r="W856" s="5"/>
      <c r="X856" s="5"/>
      <c r="Y856" s="5"/>
    </row>
    <row r="857" spans="1:25" ht="15.75" customHeight="1">
      <c r="A857" s="3"/>
      <c r="P857" s="5"/>
      <c r="Q857" s="5"/>
      <c r="R857" s="5"/>
      <c r="S857" s="5"/>
      <c r="T857" s="5"/>
      <c r="U857" s="5"/>
      <c r="V857" s="5"/>
      <c r="W857" s="5"/>
      <c r="X857" s="5"/>
      <c r="Y857" s="5"/>
    </row>
    <row r="858" spans="1:25" ht="15.75" customHeight="1">
      <c r="A858" s="3"/>
      <c r="P858" s="5"/>
      <c r="Q858" s="5"/>
      <c r="R858" s="5"/>
      <c r="S858" s="5"/>
      <c r="T858" s="5"/>
      <c r="U858" s="5"/>
      <c r="V858" s="5"/>
      <c r="W858" s="5"/>
      <c r="X858" s="5"/>
      <c r="Y858" s="5"/>
    </row>
    <row r="859" spans="1:25" ht="15.75" customHeight="1">
      <c r="A859" s="3"/>
      <c r="P859" s="5"/>
      <c r="Q859" s="5"/>
      <c r="R859" s="5"/>
      <c r="S859" s="5"/>
      <c r="T859" s="5"/>
      <c r="U859" s="5"/>
      <c r="V859" s="5"/>
      <c r="W859" s="5"/>
      <c r="X859" s="5"/>
      <c r="Y859" s="5"/>
    </row>
    <row r="860" spans="1:25" ht="15.75" customHeight="1">
      <c r="A860" s="3"/>
      <c r="P860" s="5"/>
      <c r="Q860" s="5"/>
      <c r="R860" s="5"/>
      <c r="S860" s="5"/>
      <c r="T860" s="5"/>
      <c r="U860" s="5"/>
      <c r="V860" s="5"/>
      <c r="W860" s="5"/>
      <c r="X860" s="5"/>
      <c r="Y860" s="5"/>
    </row>
    <row r="861" spans="1:25" ht="15.75" customHeight="1">
      <c r="A861" s="3"/>
      <c r="P861" s="5"/>
      <c r="Q861" s="5"/>
      <c r="R861" s="5"/>
      <c r="S861" s="5"/>
      <c r="T861" s="5"/>
      <c r="U861" s="5"/>
      <c r="V861" s="5"/>
      <c r="W861" s="5"/>
      <c r="X861" s="5"/>
      <c r="Y861" s="5"/>
    </row>
    <row r="862" spans="1:25" ht="15.75" customHeight="1">
      <c r="A862" s="3"/>
      <c r="P862" s="5"/>
      <c r="Q862" s="5"/>
      <c r="R862" s="5"/>
      <c r="S862" s="5"/>
      <c r="T862" s="5"/>
      <c r="U862" s="5"/>
      <c r="V862" s="5"/>
      <c r="W862" s="5"/>
      <c r="X862" s="5"/>
      <c r="Y862" s="5"/>
    </row>
    <row r="863" spans="1:25" ht="15.75" customHeight="1">
      <c r="A863" s="3"/>
      <c r="P863" s="5"/>
      <c r="Q863" s="5"/>
      <c r="R863" s="5"/>
      <c r="S863" s="5"/>
      <c r="T863" s="5"/>
      <c r="U863" s="5"/>
      <c r="V863" s="5"/>
      <c r="W863" s="5"/>
      <c r="X863" s="5"/>
      <c r="Y863" s="5"/>
    </row>
    <row r="864" spans="1:25" ht="15.75" customHeight="1">
      <c r="A864" s="3"/>
      <c r="P864" s="5"/>
      <c r="Q864" s="5"/>
      <c r="R864" s="5"/>
      <c r="S864" s="5"/>
      <c r="T864" s="5"/>
      <c r="U864" s="5"/>
      <c r="V864" s="5"/>
      <c r="W864" s="5"/>
      <c r="X864" s="5"/>
      <c r="Y864" s="5"/>
    </row>
    <row r="865" spans="1:25" ht="15.75" customHeight="1">
      <c r="A865" s="3"/>
      <c r="P865" s="5"/>
      <c r="Q865" s="5"/>
      <c r="R865" s="5"/>
      <c r="S865" s="5"/>
      <c r="T865" s="5"/>
      <c r="U865" s="5"/>
      <c r="V865" s="5"/>
      <c r="W865" s="5"/>
      <c r="X865" s="5"/>
      <c r="Y865" s="5"/>
    </row>
    <row r="866" spans="1:25" ht="15.75" customHeight="1">
      <c r="A866" s="3"/>
      <c r="P866" s="5"/>
      <c r="Q866" s="5"/>
      <c r="R866" s="5"/>
      <c r="S866" s="5"/>
      <c r="T866" s="5"/>
      <c r="U866" s="5"/>
      <c r="V866" s="5"/>
      <c r="W866" s="5"/>
      <c r="X866" s="5"/>
      <c r="Y866" s="5"/>
    </row>
    <row r="867" spans="1:25" ht="15.75" customHeight="1">
      <c r="A867" s="3"/>
      <c r="P867" s="5"/>
      <c r="Q867" s="5"/>
      <c r="R867" s="5"/>
      <c r="S867" s="5"/>
      <c r="T867" s="5"/>
      <c r="U867" s="5"/>
      <c r="V867" s="5"/>
      <c r="W867" s="5"/>
      <c r="X867" s="5"/>
      <c r="Y867" s="5"/>
    </row>
    <row r="868" spans="1:25" ht="15.75" customHeight="1">
      <c r="A868" s="3"/>
      <c r="P868" s="5"/>
      <c r="Q868" s="5"/>
      <c r="R868" s="5"/>
      <c r="S868" s="5"/>
      <c r="T868" s="5"/>
      <c r="U868" s="5"/>
      <c r="V868" s="5"/>
      <c r="W868" s="5"/>
      <c r="X868" s="5"/>
      <c r="Y868" s="5"/>
    </row>
    <row r="869" spans="1:25" ht="15.75" customHeight="1">
      <c r="A869" s="3"/>
      <c r="P869" s="5"/>
      <c r="Q869" s="5"/>
      <c r="R869" s="5"/>
      <c r="S869" s="5"/>
      <c r="T869" s="5"/>
      <c r="U869" s="5"/>
      <c r="V869" s="5"/>
      <c r="W869" s="5"/>
      <c r="X869" s="5"/>
      <c r="Y869" s="5"/>
    </row>
    <row r="870" spans="1:25" ht="15.75" customHeight="1">
      <c r="A870" s="3"/>
      <c r="P870" s="5"/>
      <c r="Q870" s="5"/>
      <c r="R870" s="5"/>
      <c r="S870" s="5"/>
      <c r="T870" s="5"/>
      <c r="U870" s="5"/>
      <c r="V870" s="5"/>
      <c r="W870" s="5"/>
      <c r="X870" s="5"/>
      <c r="Y870" s="5"/>
    </row>
    <row r="871" spans="1:25" ht="15.75" customHeight="1">
      <c r="A871" s="3"/>
      <c r="P871" s="5"/>
      <c r="Q871" s="5"/>
      <c r="R871" s="5"/>
      <c r="S871" s="5"/>
      <c r="T871" s="5"/>
      <c r="U871" s="5"/>
      <c r="V871" s="5"/>
      <c r="W871" s="5"/>
      <c r="X871" s="5"/>
      <c r="Y871" s="5"/>
    </row>
    <row r="872" spans="1:25" ht="15.75" customHeight="1">
      <c r="A872" s="3"/>
      <c r="P872" s="5"/>
      <c r="Q872" s="5"/>
      <c r="R872" s="5"/>
      <c r="S872" s="5"/>
      <c r="T872" s="5"/>
      <c r="U872" s="5"/>
      <c r="V872" s="5"/>
      <c r="W872" s="5"/>
      <c r="X872" s="5"/>
      <c r="Y872" s="5"/>
    </row>
    <row r="873" spans="1:25" ht="15.75" customHeight="1">
      <c r="A873" s="3"/>
      <c r="P873" s="5"/>
      <c r="Q873" s="5"/>
      <c r="R873" s="5"/>
      <c r="S873" s="5"/>
      <c r="T873" s="5"/>
      <c r="U873" s="5"/>
      <c r="V873" s="5"/>
      <c r="W873" s="5"/>
      <c r="X873" s="5"/>
      <c r="Y873" s="5"/>
    </row>
    <row r="874" spans="1:25" ht="15.75" customHeight="1">
      <c r="A874" s="3"/>
      <c r="P874" s="5"/>
      <c r="Q874" s="5"/>
      <c r="R874" s="5"/>
      <c r="S874" s="5"/>
      <c r="T874" s="5"/>
      <c r="U874" s="5"/>
      <c r="V874" s="5"/>
      <c r="W874" s="5"/>
      <c r="X874" s="5"/>
      <c r="Y874" s="5"/>
    </row>
    <row r="875" spans="1:25" ht="15.75" customHeight="1">
      <c r="A875" s="3"/>
      <c r="P875" s="5"/>
      <c r="Q875" s="5"/>
      <c r="R875" s="5"/>
      <c r="S875" s="5"/>
      <c r="T875" s="5"/>
      <c r="U875" s="5"/>
      <c r="V875" s="5"/>
      <c r="W875" s="5"/>
      <c r="X875" s="5"/>
      <c r="Y875" s="5"/>
    </row>
    <row r="876" spans="1:25" ht="15.75" customHeight="1">
      <c r="A876" s="3"/>
      <c r="P876" s="5"/>
      <c r="Q876" s="5"/>
      <c r="R876" s="5"/>
      <c r="S876" s="5"/>
      <c r="T876" s="5"/>
      <c r="U876" s="5"/>
      <c r="V876" s="5"/>
      <c r="W876" s="5"/>
      <c r="X876" s="5"/>
      <c r="Y876" s="5"/>
    </row>
    <row r="877" spans="1:25" ht="15.75" customHeight="1">
      <c r="A877" s="3"/>
      <c r="P877" s="5"/>
      <c r="Q877" s="5"/>
      <c r="R877" s="5"/>
      <c r="S877" s="5"/>
      <c r="T877" s="5"/>
      <c r="U877" s="5"/>
      <c r="V877" s="5"/>
      <c r="W877" s="5"/>
      <c r="X877" s="5"/>
      <c r="Y877" s="5"/>
    </row>
    <row r="878" spans="1:25" ht="15.75" customHeight="1">
      <c r="A878" s="3"/>
      <c r="P878" s="5"/>
      <c r="Q878" s="5"/>
      <c r="R878" s="5"/>
      <c r="S878" s="5"/>
      <c r="T878" s="5"/>
      <c r="U878" s="5"/>
      <c r="V878" s="5"/>
      <c r="W878" s="5"/>
      <c r="X878" s="5"/>
      <c r="Y878" s="5"/>
    </row>
    <row r="879" spans="1:25" ht="15.75" customHeight="1">
      <c r="A879" s="3"/>
      <c r="P879" s="5"/>
      <c r="Q879" s="5"/>
      <c r="R879" s="5"/>
      <c r="S879" s="5"/>
      <c r="T879" s="5"/>
      <c r="U879" s="5"/>
      <c r="V879" s="5"/>
      <c r="W879" s="5"/>
      <c r="X879" s="5"/>
      <c r="Y879" s="5"/>
    </row>
    <row r="880" spans="1:25" ht="15.75" customHeight="1">
      <c r="A880" s="3"/>
      <c r="P880" s="5"/>
      <c r="Q880" s="5"/>
      <c r="R880" s="5"/>
      <c r="S880" s="5"/>
      <c r="T880" s="5"/>
      <c r="U880" s="5"/>
      <c r="V880" s="5"/>
      <c r="W880" s="5"/>
      <c r="X880" s="5"/>
      <c r="Y880" s="5"/>
    </row>
    <row r="881" spans="1:25" ht="15.75" customHeight="1">
      <c r="A881" s="3"/>
      <c r="P881" s="5"/>
      <c r="Q881" s="5"/>
      <c r="R881" s="5"/>
      <c r="S881" s="5"/>
      <c r="T881" s="5"/>
      <c r="U881" s="5"/>
      <c r="V881" s="5"/>
      <c r="W881" s="5"/>
      <c r="X881" s="5"/>
      <c r="Y881" s="5"/>
    </row>
    <row r="882" spans="1:25" ht="15.75" customHeight="1">
      <c r="A882" s="3"/>
      <c r="P882" s="5"/>
      <c r="Q882" s="5"/>
      <c r="R882" s="5"/>
      <c r="S882" s="5"/>
      <c r="T882" s="5"/>
      <c r="U882" s="5"/>
      <c r="V882" s="5"/>
      <c r="W882" s="5"/>
      <c r="X882" s="5"/>
      <c r="Y882" s="5"/>
    </row>
    <row r="883" spans="1:25" ht="15.75" customHeight="1">
      <c r="A883" s="3"/>
      <c r="P883" s="5"/>
      <c r="Q883" s="5"/>
      <c r="R883" s="5"/>
      <c r="S883" s="5"/>
      <c r="T883" s="5"/>
      <c r="U883" s="5"/>
      <c r="V883" s="5"/>
      <c r="W883" s="5"/>
      <c r="X883" s="5"/>
      <c r="Y883" s="5"/>
    </row>
    <row r="884" spans="1:25" ht="15.75" customHeight="1">
      <c r="A884" s="3"/>
      <c r="P884" s="5"/>
      <c r="Q884" s="5"/>
      <c r="R884" s="5"/>
      <c r="S884" s="5"/>
      <c r="T884" s="5"/>
      <c r="U884" s="5"/>
      <c r="V884" s="5"/>
      <c r="W884" s="5"/>
      <c r="X884" s="5"/>
      <c r="Y884" s="5"/>
    </row>
    <row r="885" spans="1:25" ht="15.75" customHeight="1">
      <c r="A885" s="3"/>
      <c r="P885" s="5"/>
      <c r="Q885" s="5"/>
      <c r="R885" s="5"/>
      <c r="S885" s="5"/>
      <c r="T885" s="5"/>
      <c r="U885" s="5"/>
      <c r="V885" s="5"/>
      <c r="W885" s="5"/>
      <c r="X885" s="5"/>
      <c r="Y885" s="5"/>
    </row>
    <row r="886" spans="1:25" ht="15.75" customHeight="1">
      <c r="A886" s="3"/>
      <c r="P886" s="5"/>
      <c r="Q886" s="5"/>
      <c r="R886" s="5"/>
      <c r="S886" s="5"/>
      <c r="T886" s="5"/>
      <c r="U886" s="5"/>
      <c r="V886" s="5"/>
      <c r="W886" s="5"/>
      <c r="X886" s="5"/>
      <c r="Y886" s="5"/>
    </row>
    <row r="887" spans="1:25" ht="15.75" customHeight="1">
      <c r="A887" s="3"/>
      <c r="P887" s="5"/>
      <c r="Q887" s="5"/>
      <c r="R887" s="5"/>
      <c r="S887" s="5"/>
      <c r="T887" s="5"/>
      <c r="U887" s="5"/>
      <c r="V887" s="5"/>
      <c r="W887" s="5"/>
      <c r="X887" s="5"/>
      <c r="Y887" s="5"/>
    </row>
    <row r="888" spans="1:25" ht="15.75" customHeight="1">
      <c r="A888" s="3"/>
      <c r="P888" s="5"/>
      <c r="Q888" s="5"/>
      <c r="R888" s="5"/>
      <c r="S888" s="5"/>
      <c r="T888" s="5"/>
      <c r="U888" s="5"/>
      <c r="V888" s="5"/>
      <c r="W888" s="5"/>
      <c r="X888" s="5"/>
      <c r="Y888" s="5"/>
    </row>
    <row r="889" spans="1:25" ht="15.75" customHeight="1">
      <c r="A889" s="3"/>
      <c r="P889" s="5"/>
      <c r="Q889" s="5"/>
      <c r="R889" s="5"/>
      <c r="S889" s="5"/>
      <c r="T889" s="5"/>
      <c r="U889" s="5"/>
      <c r="V889" s="5"/>
      <c r="W889" s="5"/>
      <c r="X889" s="5"/>
      <c r="Y889" s="5"/>
    </row>
    <row r="890" spans="1:25" ht="15.75" customHeight="1">
      <c r="A890" s="3"/>
      <c r="P890" s="5"/>
      <c r="Q890" s="5"/>
      <c r="R890" s="5"/>
      <c r="S890" s="5"/>
      <c r="T890" s="5"/>
      <c r="U890" s="5"/>
      <c r="V890" s="5"/>
      <c r="W890" s="5"/>
      <c r="X890" s="5"/>
      <c r="Y890" s="5"/>
    </row>
    <row r="891" spans="1:25" ht="15.75" customHeight="1">
      <c r="A891" s="3"/>
      <c r="P891" s="5"/>
      <c r="Q891" s="5"/>
      <c r="R891" s="5"/>
      <c r="S891" s="5"/>
      <c r="T891" s="5"/>
      <c r="U891" s="5"/>
      <c r="V891" s="5"/>
      <c r="W891" s="5"/>
      <c r="X891" s="5"/>
      <c r="Y891" s="5"/>
    </row>
    <row r="892" spans="1:25" ht="15.75" customHeight="1">
      <c r="A892" s="3"/>
      <c r="P892" s="5"/>
      <c r="Q892" s="5"/>
      <c r="R892" s="5"/>
      <c r="S892" s="5"/>
      <c r="T892" s="5"/>
      <c r="U892" s="5"/>
      <c r="V892" s="5"/>
      <c r="W892" s="5"/>
      <c r="X892" s="5"/>
      <c r="Y892" s="5"/>
    </row>
    <row r="893" spans="1:25" ht="15.75" customHeight="1">
      <c r="A893" s="3"/>
      <c r="P893" s="5"/>
      <c r="Q893" s="5"/>
      <c r="R893" s="5"/>
      <c r="S893" s="5"/>
      <c r="T893" s="5"/>
      <c r="U893" s="5"/>
      <c r="V893" s="5"/>
      <c r="W893" s="5"/>
      <c r="X893" s="5"/>
      <c r="Y893" s="5"/>
    </row>
    <row r="894" spans="1:25" ht="15.75" customHeight="1">
      <c r="A894" s="3"/>
      <c r="P894" s="5"/>
      <c r="Q894" s="5"/>
      <c r="R894" s="5"/>
      <c r="S894" s="5"/>
      <c r="T894" s="5"/>
      <c r="U894" s="5"/>
      <c r="V894" s="5"/>
      <c r="W894" s="5"/>
      <c r="X894" s="5"/>
      <c r="Y894" s="5"/>
    </row>
    <row r="895" spans="1:25" ht="15.75" customHeight="1">
      <c r="A895" s="3"/>
      <c r="P895" s="5"/>
      <c r="Q895" s="5"/>
      <c r="R895" s="5"/>
      <c r="S895" s="5"/>
      <c r="T895" s="5"/>
      <c r="U895" s="5"/>
      <c r="V895" s="5"/>
      <c r="W895" s="5"/>
      <c r="X895" s="5"/>
      <c r="Y895" s="5"/>
    </row>
    <row r="896" spans="1:25" ht="15.75" customHeight="1">
      <c r="A896" s="3"/>
      <c r="P896" s="5"/>
      <c r="Q896" s="5"/>
      <c r="R896" s="5"/>
      <c r="S896" s="5"/>
      <c r="T896" s="5"/>
      <c r="U896" s="5"/>
      <c r="V896" s="5"/>
      <c r="W896" s="5"/>
      <c r="X896" s="5"/>
      <c r="Y896" s="5"/>
    </row>
    <row r="897" spans="1:25" ht="15.75" customHeight="1">
      <c r="A897" s="3"/>
      <c r="P897" s="5"/>
      <c r="Q897" s="5"/>
      <c r="R897" s="5"/>
      <c r="S897" s="5"/>
      <c r="T897" s="5"/>
      <c r="U897" s="5"/>
      <c r="V897" s="5"/>
      <c r="W897" s="5"/>
      <c r="X897" s="5"/>
      <c r="Y897" s="5"/>
    </row>
    <row r="898" spans="1:25" ht="15.75" customHeight="1">
      <c r="A898" s="3"/>
      <c r="P898" s="5"/>
      <c r="Q898" s="5"/>
      <c r="R898" s="5"/>
      <c r="S898" s="5"/>
      <c r="T898" s="5"/>
      <c r="U898" s="5"/>
      <c r="V898" s="5"/>
      <c r="W898" s="5"/>
      <c r="X898" s="5"/>
      <c r="Y898" s="5"/>
    </row>
    <row r="899" spans="1:25" ht="15.75" customHeight="1">
      <c r="A899" s="3"/>
      <c r="P899" s="5"/>
      <c r="Q899" s="5"/>
      <c r="R899" s="5"/>
      <c r="S899" s="5"/>
      <c r="T899" s="5"/>
      <c r="U899" s="5"/>
      <c r="V899" s="5"/>
      <c r="W899" s="5"/>
      <c r="X899" s="5"/>
      <c r="Y899" s="5"/>
    </row>
    <row r="900" spans="1:25" ht="15.75" customHeight="1">
      <c r="A900" s="3"/>
      <c r="P900" s="5"/>
      <c r="Q900" s="5"/>
      <c r="R900" s="5"/>
      <c r="S900" s="5"/>
      <c r="T900" s="5"/>
      <c r="U900" s="5"/>
      <c r="V900" s="5"/>
      <c r="W900" s="5"/>
      <c r="X900" s="5"/>
      <c r="Y900" s="5"/>
    </row>
    <row r="901" spans="1:25" ht="15.75" customHeight="1">
      <c r="A901" s="3"/>
      <c r="P901" s="5"/>
      <c r="Q901" s="5"/>
      <c r="R901" s="5"/>
      <c r="S901" s="5"/>
      <c r="T901" s="5"/>
      <c r="U901" s="5"/>
      <c r="V901" s="5"/>
      <c r="W901" s="5"/>
      <c r="X901" s="5"/>
      <c r="Y901" s="5"/>
    </row>
    <row r="902" spans="1:25" ht="15.75" customHeight="1">
      <c r="A902" s="3"/>
      <c r="P902" s="5"/>
      <c r="Q902" s="5"/>
      <c r="R902" s="5"/>
      <c r="S902" s="5"/>
      <c r="T902" s="5"/>
      <c r="U902" s="5"/>
      <c r="V902" s="5"/>
      <c r="W902" s="5"/>
      <c r="X902" s="5"/>
      <c r="Y902" s="5"/>
    </row>
    <row r="903" spans="1:25" ht="15.75" customHeight="1">
      <c r="A903" s="3"/>
      <c r="P903" s="5"/>
      <c r="Q903" s="5"/>
      <c r="R903" s="5"/>
      <c r="S903" s="5"/>
      <c r="T903" s="5"/>
      <c r="U903" s="5"/>
      <c r="V903" s="5"/>
      <c r="W903" s="5"/>
      <c r="X903" s="5"/>
      <c r="Y903" s="5"/>
    </row>
    <row r="904" spans="1:25" ht="15.75" customHeight="1">
      <c r="A904" s="3"/>
      <c r="P904" s="5"/>
      <c r="Q904" s="5"/>
      <c r="R904" s="5"/>
      <c r="S904" s="5"/>
      <c r="T904" s="5"/>
      <c r="U904" s="5"/>
      <c r="V904" s="5"/>
      <c r="W904" s="5"/>
      <c r="X904" s="5"/>
      <c r="Y904" s="5"/>
    </row>
    <row r="905" spans="1:25" ht="15.75" customHeight="1">
      <c r="A905" s="3"/>
      <c r="P905" s="5"/>
      <c r="Q905" s="5"/>
      <c r="R905" s="5"/>
      <c r="S905" s="5"/>
      <c r="T905" s="5"/>
      <c r="U905" s="5"/>
      <c r="V905" s="5"/>
      <c r="W905" s="5"/>
      <c r="X905" s="5"/>
      <c r="Y905" s="5"/>
    </row>
    <row r="906" spans="1:25" ht="15.75" customHeight="1">
      <c r="A906" s="3"/>
      <c r="P906" s="5"/>
      <c r="Q906" s="5"/>
      <c r="R906" s="5"/>
      <c r="S906" s="5"/>
      <c r="T906" s="5"/>
      <c r="U906" s="5"/>
      <c r="V906" s="5"/>
      <c r="W906" s="5"/>
      <c r="X906" s="5"/>
      <c r="Y906" s="5"/>
    </row>
    <row r="907" spans="1:25" ht="15.75" customHeight="1">
      <c r="A907" s="3"/>
      <c r="P907" s="5"/>
      <c r="Q907" s="5"/>
      <c r="R907" s="5"/>
      <c r="S907" s="5"/>
      <c r="T907" s="5"/>
      <c r="U907" s="5"/>
      <c r="V907" s="5"/>
      <c r="W907" s="5"/>
      <c r="X907" s="5"/>
      <c r="Y907" s="5"/>
    </row>
    <row r="908" spans="1:25" ht="15.75" customHeight="1">
      <c r="A908" s="3"/>
      <c r="P908" s="5"/>
      <c r="Q908" s="5"/>
      <c r="R908" s="5"/>
      <c r="S908" s="5"/>
      <c r="T908" s="5"/>
      <c r="U908" s="5"/>
      <c r="V908" s="5"/>
      <c r="W908" s="5"/>
      <c r="X908" s="5"/>
      <c r="Y908" s="5"/>
    </row>
    <row r="909" spans="1:25" ht="15.75" customHeight="1">
      <c r="A909" s="3"/>
      <c r="P909" s="5"/>
      <c r="Q909" s="5"/>
      <c r="R909" s="5"/>
      <c r="S909" s="5"/>
      <c r="T909" s="5"/>
      <c r="U909" s="5"/>
      <c r="V909" s="5"/>
      <c r="W909" s="5"/>
      <c r="X909" s="5"/>
      <c r="Y909" s="5"/>
    </row>
    <row r="910" spans="1:25" ht="15.75" customHeight="1">
      <c r="A910" s="3"/>
      <c r="P910" s="5"/>
      <c r="Q910" s="5"/>
      <c r="R910" s="5"/>
      <c r="S910" s="5"/>
      <c r="T910" s="5"/>
      <c r="U910" s="5"/>
      <c r="V910" s="5"/>
      <c r="W910" s="5"/>
      <c r="X910" s="5"/>
      <c r="Y910" s="5"/>
    </row>
    <row r="911" spans="1:25" ht="15.75" customHeight="1">
      <c r="A911" s="3"/>
      <c r="P911" s="5"/>
      <c r="Q911" s="5"/>
      <c r="R911" s="5"/>
      <c r="S911" s="5"/>
      <c r="T911" s="5"/>
      <c r="U911" s="5"/>
      <c r="V911" s="5"/>
      <c r="W911" s="5"/>
      <c r="X911" s="5"/>
      <c r="Y911" s="5"/>
    </row>
    <row r="912" spans="1:25" ht="15.75" customHeight="1">
      <c r="A912" s="3"/>
      <c r="P912" s="5"/>
      <c r="Q912" s="5"/>
      <c r="R912" s="5"/>
      <c r="S912" s="5"/>
      <c r="T912" s="5"/>
      <c r="U912" s="5"/>
      <c r="V912" s="5"/>
      <c r="W912" s="5"/>
      <c r="X912" s="5"/>
      <c r="Y912" s="5"/>
    </row>
    <row r="913" spans="1:25" ht="15.75" customHeight="1">
      <c r="A913" s="3"/>
      <c r="P913" s="5"/>
      <c r="Q913" s="5"/>
      <c r="R913" s="5"/>
      <c r="S913" s="5"/>
      <c r="T913" s="5"/>
      <c r="U913" s="5"/>
      <c r="V913" s="5"/>
      <c r="W913" s="5"/>
      <c r="X913" s="5"/>
      <c r="Y913" s="5"/>
    </row>
    <row r="914" spans="1:25" ht="15.75" customHeight="1">
      <c r="A914" s="3"/>
      <c r="P914" s="5"/>
      <c r="Q914" s="5"/>
      <c r="R914" s="5"/>
      <c r="S914" s="5"/>
      <c r="T914" s="5"/>
      <c r="U914" s="5"/>
      <c r="V914" s="5"/>
      <c r="W914" s="5"/>
      <c r="X914" s="5"/>
      <c r="Y914" s="5"/>
    </row>
    <row r="915" spans="1:25" ht="15.75" customHeight="1">
      <c r="A915" s="3"/>
      <c r="P915" s="5"/>
      <c r="Q915" s="5"/>
      <c r="R915" s="5"/>
      <c r="S915" s="5"/>
      <c r="T915" s="5"/>
      <c r="U915" s="5"/>
      <c r="V915" s="5"/>
      <c r="W915" s="5"/>
      <c r="X915" s="5"/>
      <c r="Y915" s="5"/>
    </row>
    <row r="916" spans="1:25" ht="15.75" customHeight="1">
      <c r="A916" s="3"/>
      <c r="P916" s="5"/>
      <c r="Q916" s="5"/>
      <c r="R916" s="5"/>
      <c r="S916" s="5"/>
      <c r="T916" s="5"/>
      <c r="U916" s="5"/>
      <c r="V916" s="5"/>
      <c r="W916" s="5"/>
      <c r="X916" s="5"/>
      <c r="Y916" s="5"/>
    </row>
    <row r="917" spans="1:25" ht="15.75" customHeight="1">
      <c r="A917" s="3"/>
      <c r="P917" s="5"/>
      <c r="Q917" s="5"/>
      <c r="R917" s="5"/>
      <c r="S917" s="5"/>
      <c r="T917" s="5"/>
      <c r="U917" s="5"/>
      <c r="V917" s="5"/>
      <c r="W917" s="5"/>
      <c r="X917" s="5"/>
      <c r="Y917" s="5"/>
    </row>
    <row r="918" spans="1:25" ht="15.75" customHeight="1">
      <c r="A918" s="3"/>
      <c r="P918" s="5"/>
      <c r="Q918" s="5"/>
      <c r="R918" s="5"/>
      <c r="S918" s="5"/>
      <c r="T918" s="5"/>
      <c r="U918" s="5"/>
      <c r="V918" s="5"/>
      <c r="W918" s="5"/>
      <c r="X918" s="5"/>
      <c r="Y918" s="5"/>
    </row>
    <row r="919" spans="1:25" ht="15.75" customHeight="1">
      <c r="A919" s="3"/>
      <c r="P919" s="5"/>
      <c r="Q919" s="5"/>
      <c r="R919" s="5"/>
      <c r="S919" s="5"/>
      <c r="T919" s="5"/>
      <c r="U919" s="5"/>
      <c r="V919" s="5"/>
      <c r="W919" s="5"/>
      <c r="X919" s="5"/>
      <c r="Y919" s="5"/>
    </row>
    <row r="920" spans="1:25" ht="15.75" customHeight="1">
      <c r="A920" s="3"/>
      <c r="P920" s="5"/>
      <c r="Q920" s="5"/>
      <c r="R920" s="5"/>
      <c r="S920" s="5"/>
      <c r="T920" s="5"/>
      <c r="U920" s="5"/>
      <c r="V920" s="5"/>
      <c r="W920" s="5"/>
      <c r="X920" s="5"/>
      <c r="Y920" s="5"/>
    </row>
    <row r="921" spans="1:25" ht="15.75" customHeight="1">
      <c r="A921" s="3"/>
      <c r="P921" s="5"/>
      <c r="Q921" s="5"/>
      <c r="R921" s="5"/>
      <c r="S921" s="5"/>
      <c r="T921" s="5"/>
      <c r="U921" s="5"/>
      <c r="V921" s="5"/>
      <c r="W921" s="5"/>
      <c r="X921" s="5"/>
      <c r="Y921" s="5"/>
    </row>
    <row r="922" spans="1:25" ht="15.75" customHeight="1">
      <c r="A922" s="3"/>
      <c r="P922" s="5"/>
      <c r="Q922" s="5"/>
      <c r="R922" s="5"/>
      <c r="S922" s="5"/>
      <c r="T922" s="5"/>
      <c r="U922" s="5"/>
      <c r="V922" s="5"/>
      <c r="W922" s="5"/>
      <c r="X922" s="5"/>
      <c r="Y922" s="5"/>
    </row>
    <row r="923" spans="1:25" ht="15.75" customHeight="1">
      <c r="A923" s="3"/>
      <c r="P923" s="5"/>
      <c r="Q923" s="5"/>
      <c r="R923" s="5"/>
      <c r="S923" s="5"/>
      <c r="T923" s="5"/>
      <c r="U923" s="5"/>
      <c r="V923" s="5"/>
      <c r="W923" s="5"/>
      <c r="X923" s="5"/>
      <c r="Y923" s="5"/>
    </row>
    <row r="924" spans="1:25" ht="15.75" customHeight="1">
      <c r="A924" s="3"/>
      <c r="P924" s="5"/>
      <c r="Q924" s="5"/>
      <c r="R924" s="5"/>
      <c r="S924" s="5"/>
      <c r="T924" s="5"/>
      <c r="U924" s="5"/>
      <c r="V924" s="5"/>
      <c r="W924" s="5"/>
      <c r="X924" s="5"/>
      <c r="Y924" s="5"/>
    </row>
    <row r="925" spans="1:25" ht="15.75" customHeight="1">
      <c r="A925" s="3"/>
      <c r="P925" s="5"/>
      <c r="Q925" s="5"/>
      <c r="R925" s="5"/>
      <c r="S925" s="5"/>
      <c r="T925" s="5"/>
      <c r="U925" s="5"/>
      <c r="V925" s="5"/>
      <c r="W925" s="5"/>
      <c r="X925" s="5"/>
      <c r="Y925" s="5"/>
    </row>
    <row r="926" spans="1:25" ht="15.75" customHeight="1">
      <c r="A926" s="3"/>
      <c r="P926" s="5"/>
      <c r="Q926" s="5"/>
      <c r="R926" s="5"/>
      <c r="S926" s="5"/>
      <c r="T926" s="5"/>
      <c r="U926" s="5"/>
      <c r="V926" s="5"/>
      <c r="W926" s="5"/>
      <c r="X926" s="5"/>
      <c r="Y926" s="5"/>
    </row>
    <row r="927" spans="1:25" ht="15.75" customHeight="1">
      <c r="A927" s="3"/>
      <c r="P927" s="5"/>
      <c r="Q927" s="5"/>
      <c r="R927" s="5"/>
      <c r="S927" s="5"/>
      <c r="T927" s="5"/>
      <c r="U927" s="5"/>
      <c r="V927" s="5"/>
      <c r="W927" s="5"/>
      <c r="X927" s="5"/>
      <c r="Y927" s="5"/>
    </row>
    <row r="928" spans="1:25" ht="15.75" customHeight="1">
      <c r="A928" s="3"/>
      <c r="P928" s="5"/>
      <c r="Q928" s="5"/>
      <c r="R928" s="5"/>
      <c r="S928" s="5"/>
      <c r="T928" s="5"/>
      <c r="U928" s="5"/>
      <c r="V928" s="5"/>
      <c r="W928" s="5"/>
      <c r="X928" s="5"/>
      <c r="Y928" s="5"/>
    </row>
    <row r="929" spans="1:25" ht="15.75" customHeight="1">
      <c r="A929" s="3"/>
      <c r="P929" s="5"/>
      <c r="Q929" s="5"/>
      <c r="R929" s="5"/>
      <c r="S929" s="5"/>
      <c r="T929" s="5"/>
      <c r="U929" s="5"/>
      <c r="V929" s="5"/>
      <c r="W929" s="5"/>
      <c r="X929" s="5"/>
      <c r="Y929" s="5"/>
    </row>
    <row r="930" spans="1:25" ht="15.75" customHeight="1">
      <c r="A930" s="3"/>
      <c r="P930" s="5"/>
      <c r="Q930" s="5"/>
      <c r="R930" s="5"/>
      <c r="S930" s="5"/>
      <c r="T930" s="5"/>
      <c r="U930" s="5"/>
      <c r="V930" s="5"/>
      <c r="W930" s="5"/>
      <c r="X930" s="5"/>
      <c r="Y930" s="5"/>
    </row>
    <row r="931" spans="1:25" ht="15.75" customHeight="1">
      <c r="A931" s="3"/>
      <c r="P931" s="5"/>
      <c r="Q931" s="5"/>
      <c r="R931" s="5"/>
      <c r="S931" s="5"/>
      <c r="T931" s="5"/>
      <c r="U931" s="5"/>
      <c r="V931" s="5"/>
      <c r="W931" s="5"/>
      <c r="X931" s="5"/>
      <c r="Y931" s="5"/>
    </row>
    <row r="932" spans="1:25" ht="15.75" customHeight="1">
      <c r="A932" s="3"/>
      <c r="P932" s="5"/>
      <c r="Q932" s="5"/>
      <c r="R932" s="5"/>
      <c r="S932" s="5"/>
      <c r="T932" s="5"/>
      <c r="U932" s="5"/>
      <c r="V932" s="5"/>
      <c r="W932" s="5"/>
      <c r="X932" s="5"/>
      <c r="Y932" s="5"/>
    </row>
    <row r="933" spans="1:25" ht="15.75" customHeight="1">
      <c r="A933" s="3"/>
      <c r="P933" s="5"/>
      <c r="Q933" s="5"/>
      <c r="R933" s="5"/>
      <c r="S933" s="5"/>
      <c r="T933" s="5"/>
      <c r="U933" s="5"/>
      <c r="V933" s="5"/>
      <c r="W933" s="5"/>
      <c r="X933" s="5"/>
      <c r="Y933" s="5"/>
    </row>
    <row r="934" spans="1:25" ht="15.75" customHeight="1">
      <c r="A934" s="3"/>
      <c r="P934" s="5"/>
      <c r="Q934" s="5"/>
      <c r="R934" s="5"/>
      <c r="S934" s="5"/>
      <c r="T934" s="5"/>
      <c r="U934" s="5"/>
      <c r="V934" s="5"/>
      <c r="W934" s="5"/>
      <c r="X934" s="5"/>
      <c r="Y934" s="5"/>
    </row>
    <row r="935" spans="1:25" ht="15.75" customHeight="1">
      <c r="A935" s="3"/>
      <c r="P935" s="5"/>
      <c r="Q935" s="5"/>
      <c r="R935" s="5"/>
      <c r="S935" s="5"/>
      <c r="T935" s="5"/>
      <c r="U935" s="5"/>
      <c r="V935" s="5"/>
      <c r="W935" s="5"/>
      <c r="X935" s="5"/>
      <c r="Y935" s="5"/>
    </row>
    <row r="936" spans="1:25" ht="15.75" customHeight="1">
      <c r="A936" s="3"/>
      <c r="P936" s="5"/>
      <c r="Q936" s="5"/>
      <c r="R936" s="5"/>
      <c r="S936" s="5"/>
      <c r="T936" s="5"/>
      <c r="U936" s="5"/>
      <c r="V936" s="5"/>
      <c r="W936" s="5"/>
      <c r="X936" s="5"/>
      <c r="Y936" s="5"/>
    </row>
    <row r="937" spans="1:25" ht="15.75" customHeight="1">
      <c r="A937" s="3"/>
      <c r="P937" s="5"/>
      <c r="Q937" s="5"/>
      <c r="R937" s="5"/>
      <c r="S937" s="5"/>
      <c r="T937" s="5"/>
      <c r="U937" s="5"/>
      <c r="V937" s="5"/>
      <c r="W937" s="5"/>
      <c r="X937" s="5"/>
      <c r="Y937" s="5"/>
    </row>
    <row r="938" spans="1:25" ht="15.75" customHeight="1">
      <c r="A938" s="3"/>
      <c r="P938" s="5"/>
      <c r="Q938" s="5"/>
      <c r="R938" s="5"/>
      <c r="S938" s="5"/>
      <c r="T938" s="5"/>
      <c r="U938" s="5"/>
      <c r="V938" s="5"/>
      <c r="W938" s="5"/>
      <c r="X938" s="5"/>
      <c r="Y938" s="5"/>
    </row>
    <row r="939" spans="1:25" ht="15.75" customHeight="1">
      <c r="A939" s="3"/>
      <c r="P939" s="5"/>
      <c r="Q939" s="5"/>
      <c r="R939" s="5"/>
      <c r="S939" s="5"/>
      <c r="T939" s="5"/>
      <c r="U939" s="5"/>
      <c r="V939" s="5"/>
      <c r="W939" s="5"/>
      <c r="X939" s="5"/>
      <c r="Y939" s="5"/>
    </row>
    <row r="940" spans="1:25" ht="15.75" customHeight="1">
      <c r="A940" s="3"/>
      <c r="P940" s="5"/>
      <c r="Q940" s="5"/>
      <c r="R940" s="5"/>
      <c r="S940" s="5"/>
      <c r="T940" s="5"/>
      <c r="U940" s="5"/>
      <c r="V940" s="5"/>
      <c r="W940" s="5"/>
      <c r="X940" s="5"/>
      <c r="Y940" s="5"/>
    </row>
    <row r="941" spans="1:25" ht="15.75" customHeight="1">
      <c r="A941" s="3"/>
      <c r="P941" s="5"/>
      <c r="Q941" s="5"/>
      <c r="R941" s="5"/>
      <c r="S941" s="5"/>
      <c r="T941" s="5"/>
      <c r="U941" s="5"/>
      <c r="V941" s="5"/>
      <c r="W941" s="5"/>
      <c r="X941" s="5"/>
      <c r="Y941" s="5"/>
    </row>
    <row r="942" spans="1:25" ht="15.75" customHeight="1">
      <c r="A942" s="3"/>
      <c r="P942" s="5"/>
      <c r="Q942" s="5"/>
      <c r="R942" s="5"/>
      <c r="S942" s="5"/>
      <c r="T942" s="5"/>
      <c r="U942" s="5"/>
      <c r="V942" s="5"/>
      <c r="W942" s="5"/>
      <c r="X942" s="5"/>
      <c r="Y942" s="5"/>
    </row>
    <row r="943" spans="1:25" ht="15.75" customHeight="1">
      <c r="A943" s="3"/>
      <c r="P943" s="5"/>
      <c r="Q943" s="5"/>
      <c r="R943" s="5"/>
      <c r="S943" s="5"/>
      <c r="T943" s="5"/>
      <c r="U943" s="5"/>
      <c r="V943" s="5"/>
      <c r="W943" s="5"/>
      <c r="X943" s="5"/>
      <c r="Y943" s="5"/>
    </row>
    <row r="944" spans="1:25" ht="15.75" customHeight="1">
      <c r="A944" s="3"/>
      <c r="P944" s="5"/>
      <c r="Q944" s="5"/>
      <c r="R944" s="5"/>
      <c r="S944" s="5"/>
      <c r="T944" s="5"/>
      <c r="U944" s="5"/>
      <c r="V944" s="5"/>
      <c r="W944" s="5"/>
      <c r="X944" s="5"/>
      <c r="Y944" s="5"/>
    </row>
    <row r="945" spans="1:25" ht="15.75" customHeight="1">
      <c r="A945" s="3"/>
      <c r="P945" s="5"/>
      <c r="Q945" s="5"/>
      <c r="R945" s="5"/>
      <c r="S945" s="5"/>
      <c r="T945" s="5"/>
      <c r="U945" s="5"/>
      <c r="V945" s="5"/>
      <c r="W945" s="5"/>
      <c r="X945" s="5"/>
      <c r="Y945" s="5"/>
    </row>
    <row r="946" spans="1:25" ht="15.75" customHeight="1">
      <c r="A946" s="3"/>
      <c r="P946" s="5"/>
      <c r="Q946" s="5"/>
      <c r="R946" s="5"/>
      <c r="S946" s="5"/>
      <c r="T946" s="5"/>
      <c r="U946" s="5"/>
      <c r="V946" s="5"/>
      <c r="W946" s="5"/>
      <c r="X946" s="5"/>
      <c r="Y946" s="5"/>
    </row>
    <row r="947" spans="1:25" ht="15.75" customHeight="1">
      <c r="A947" s="3"/>
      <c r="P947" s="5"/>
      <c r="Q947" s="5"/>
      <c r="R947" s="5"/>
      <c r="S947" s="5"/>
      <c r="T947" s="5"/>
      <c r="U947" s="5"/>
      <c r="V947" s="5"/>
      <c r="W947" s="5"/>
      <c r="X947" s="5"/>
      <c r="Y947" s="5"/>
    </row>
    <row r="948" spans="1:25" ht="15.75" customHeight="1">
      <c r="A948" s="3"/>
      <c r="P948" s="5"/>
      <c r="Q948" s="5"/>
      <c r="R948" s="5"/>
      <c r="S948" s="5"/>
      <c r="T948" s="5"/>
      <c r="U948" s="5"/>
      <c r="V948" s="5"/>
      <c r="W948" s="5"/>
      <c r="X948" s="5"/>
      <c r="Y948" s="5"/>
    </row>
    <row r="949" spans="1:25" ht="15.75" customHeight="1">
      <c r="A949" s="3"/>
      <c r="P949" s="5"/>
      <c r="Q949" s="5"/>
      <c r="R949" s="5"/>
      <c r="S949" s="5"/>
      <c r="T949" s="5"/>
      <c r="U949" s="5"/>
      <c r="V949" s="5"/>
      <c r="W949" s="5"/>
      <c r="X949" s="5"/>
      <c r="Y949" s="5"/>
    </row>
    <row r="950" spans="1:25" ht="15.75" customHeight="1">
      <c r="A950" s="3"/>
      <c r="P950" s="5"/>
      <c r="Q950" s="5"/>
      <c r="R950" s="5"/>
      <c r="S950" s="5"/>
      <c r="T950" s="5"/>
      <c r="U950" s="5"/>
      <c r="V950" s="5"/>
      <c r="W950" s="5"/>
      <c r="X950" s="5"/>
      <c r="Y950" s="5"/>
    </row>
    <row r="951" spans="1:25" ht="15.75" customHeight="1">
      <c r="A951" s="3"/>
      <c r="P951" s="5"/>
      <c r="Q951" s="5"/>
      <c r="R951" s="5"/>
      <c r="S951" s="5"/>
      <c r="T951" s="5"/>
      <c r="U951" s="5"/>
      <c r="V951" s="5"/>
      <c r="W951" s="5"/>
      <c r="X951" s="5"/>
      <c r="Y951" s="5"/>
    </row>
    <row r="952" spans="1:25" ht="15.75" customHeight="1">
      <c r="A952" s="3"/>
      <c r="P952" s="5"/>
      <c r="Q952" s="5"/>
      <c r="R952" s="5"/>
      <c r="S952" s="5"/>
      <c r="T952" s="5"/>
      <c r="U952" s="5"/>
      <c r="V952" s="5"/>
      <c r="W952" s="5"/>
      <c r="X952" s="5"/>
      <c r="Y952" s="5"/>
    </row>
    <row r="953" spans="1:25" ht="15.75" customHeight="1">
      <c r="A953" s="3"/>
      <c r="P953" s="5"/>
      <c r="Q953" s="5"/>
      <c r="R953" s="5"/>
      <c r="S953" s="5"/>
      <c r="T953" s="5"/>
      <c r="U953" s="5"/>
      <c r="V953" s="5"/>
      <c r="W953" s="5"/>
      <c r="X953" s="5"/>
      <c r="Y953" s="5"/>
    </row>
    <row r="954" spans="1:25" ht="15.75" customHeight="1">
      <c r="A954" s="3"/>
      <c r="P954" s="5"/>
      <c r="Q954" s="5"/>
      <c r="R954" s="5"/>
      <c r="S954" s="5"/>
      <c r="T954" s="5"/>
      <c r="U954" s="5"/>
      <c r="V954" s="5"/>
      <c r="W954" s="5"/>
      <c r="X954" s="5"/>
      <c r="Y954" s="5"/>
    </row>
    <row r="955" spans="1:25" ht="15.75" customHeight="1">
      <c r="A955" s="3"/>
      <c r="P955" s="5"/>
      <c r="Q955" s="5"/>
      <c r="R955" s="5"/>
      <c r="S955" s="5"/>
      <c r="T955" s="5"/>
      <c r="U955" s="5"/>
      <c r="V955" s="5"/>
      <c r="W955" s="5"/>
      <c r="X955" s="5"/>
      <c r="Y955" s="5"/>
    </row>
    <row r="956" spans="1:25" ht="15.75" customHeight="1">
      <c r="A956" s="3"/>
      <c r="P956" s="5"/>
      <c r="Q956" s="5"/>
      <c r="R956" s="5"/>
      <c r="S956" s="5"/>
      <c r="T956" s="5"/>
      <c r="U956" s="5"/>
      <c r="V956" s="5"/>
      <c r="W956" s="5"/>
      <c r="X956" s="5"/>
      <c r="Y956" s="5"/>
    </row>
    <row r="957" spans="1:25" ht="15.75" customHeight="1">
      <c r="A957" s="3"/>
      <c r="P957" s="5"/>
      <c r="Q957" s="5"/>
      <c r="R957" s="5"/>
      <c r="S957" s="5"/>
      <c r="T957" s="5"/>
      <c r="U957" s="5"/>
      <c r="V957" s="5"/>
      <c r="W957" s="5"/>
      <c r="X957" s="5"/>
      <c r="Y957" s="5"/>
    </row>
    <row r="958" spans="1:25" ht="15.75" customHeight="1">
      <c r="A958" s="3"/>
      <c r="P958" s="5"/>
      <c r="Q958" s="5"/>
      <c r="R958" s="5"/>
      <c r="S958" s="5"/>
      <c r="T958" s="5"/>
      <c r="U958" s="5"/>
      <c r="V958" s="5"/>
      <c r="W958" s="5"/>
      <c r="X958" s="5"/>
      <c r="Y958" s="5"/>
    </row>
    <row r="959" spans="1:25" ht="15.75" customHeight="1">
      <c r="A959" s="3"/>
      <c r="P959" s="5"/>
      <c r="Q959" s="5"/>
      <c r="R959" s="5"/>
      <c r="S959" s="5"/>
      <c r="T959" s="5"/>
      <c r="U959" s="5"/>
      <c r="V959" s="5"/>
      <c r="W959" s="5"/>
      <c r="X959" s="5"/>
      <c r="Y959" s="5"/>
    </row>
    <row r="960" spans="1:25" ht="15.75" customHeight="1">
      <c r="A960" s="3"/>
      <c r="P960" s="5"/>
      <c r="Q960" s="5"/>
      <c r="R960" s="5"/>
      <c r="S960" s="5"/>
      <c r="T960" s="5"/>
      <c r="U960" s="5"/>
      <c r="V960" s="5"/>
      <c r="W960" s="5"/>
      <c r="X960" s="5"/>
      <c r="Y960" s="5"/>
    </row>
    <row r="961" spans="1:25" ht="15.75" customHeight="1">
      <c r="A961" s="3"/>
      <c r="P961" s="5"/>
      <c r="Q961" s="5"/>
      <c r="R961" s="5"/>
      <c r="S961" s="5"/>
      <c r="T961" s="5"/>
      <c r="U961" s="5"/>
      <c r="V961" s="5"/>
      <c r="W961" s="5"/>
      <c r="X961" s="5"/>
      <c r="Y961" s="5"/>
    </row>
    <row r="962" spans="1:25" ht="15.75" customHeight="1">
      <c r="A962" s="3"/>
      <c r="P962" s="5"/>
      <c r="Q962" s="5"/>
      <c r="R962" s="5"/>
      <c r="S962" s="5"/>
      <c r="T962" s="5"/>
      <c r="U962" s="5"/>
      <c r="V962" s="5"/>
      <c r="W962" s="5"/>
      <c r="X962" s="5"/>
      <c r="Y962" s="5"/>
    </row>
    <row r="963" spans="1:25" ht="15.75" customHeight="1">
      <c r="A963" s="3"/>
      <c r="P963" s="5"/>
      <c r="Q963" s="5"/>
      <c r="R963" s="5"/>
      <c r="S963" s="5"/>
      <c r="T963" s="5"/>
      <c r="U963" s="5"/>
      <c r="V963" s="5"/>
      <c r="W963" s="5"/>
      <c r="X963" s="5"/>
      <c r="Y963" s="5"/>
    </row>
    <row r="964" spans="1:25" ht="15.75" customHeight="1">
      <c r="A964" s="3"/>
      <c r="P964" s="5"/>
      <c r="Q964" s="5"/>
      <c r="R964" s="5"/>
      <c r="S964" s="5"/>
      <c r="T964" s="5"/>
      <c r="U964" s="5"/>
      <c r="V964" s="5"/>
      <c r="W964" s="5"/>
      <c r="X964" s="5"/>
      <c r="Y964" s="5"/>
    </row>
    <row r="965" spans="1:25" ht="15.75" customHeight="1">
      <c r="A965" s="3"/>
      <c r="P965" s="5"/>
      <c r="Q965" s="5"/>
      <c r="R965" s="5"/>
      <c r="S965" s="5"/>
      <c r="T965" s="5"/>
      <c r="U965" s="5"/>
      <c r="V965" s="5"/>
      <c r="W965" s="5"/>
      <c r="X965" s="5"/>
      <c r="Y965" s="5"/>
    </row>
    <row r="966" spans="1:25" ht="15.75" customHeight="1">
      <c r="A966" s="3"/>
      <c r="P966" s="5"/>
      <c r="Q966" s="5"/>
      <c r="R966" s="5"/>
      <c r="S966" s="5"/>
      <c r="T966" s="5"/>
      <c r="U966" s="5"/>
      <c r="V966" s="5"/>
      <c r="W966" s="5"/>
      <c r="X966" s="5"/>
      <c r="Y966" s="5"/>
    </row>
    <row r="967" spans="1:25" ht="15.75" customHeight="1">
      <c r="A967" s="3"/>
      <c r="P967" s="5"/>
      <c r="Q967" s="5"/>
      <c r="R967" s="5"/>
      <c r="S967" s="5"/>
      <c r="T967" s="5"/>
      <c r="U967" s="5"/>
      <c r="V967" s="5"/>
      <c r="W967" s="5"/>
      <c r="X967" s="5"/>
      <c r="Y967" s="5"/>
    </row>
    <row r="968" spans="1:25" ht="15.75" customHeight="1">
      <c r="A968" s="3"/>
      <c r="P968" s="5"/>
      <c r="Q968" s="5"/>
      <c r="R968" s="5"/>
      <c r="S968" s="5"/>
      <c r="T968" s="5"/>
      <c r="U968" s="5"/>
      <c r="V968" s="5"/>
      <c r="W968" s="5"/>
      <c r="X968" s="5"/>
      <c r="Y968" s="5"/>
    </row>
    <row r="969" spans="1:25" ht="15.75" customHeight="1">
      <c r="A969" s="3"/>
      <c r="P969" s="5"/>
      <c r="Q969" s="5"/>
      <c r="R969" s="5"/>
      <c r="S969" s="5"/>
      <c r="T969" s="5"/>
      <c r="U969" s="5"/>
      <c r="V969" s="5"/>
      <c r="W969" s="5"/>
      <c r="X969" s="5"/>
      <c r="Y969" s="5"/>
    </row>
    <row r="970" spans="1:25" ht="15.75" customHeight="1">
      <c r="A970" s="3"/>
      <c r="P970" s="5"/>
      <c r="Q970" s="5"/>
      <c r="R970" s="5"/>
      <c r="S970" s="5"/>
      <c r="T970" s="5"/>
      <c r="U970" s="5"/>
      <c r="V970" s="5"/>
      <c r="W970" s="5"/>
      <c r="X970" s="5"/>
      <c r="Y970" s="5"/>
    </row>
    <row r="971" spans="1:25" ht="15.75" customHeight="1">
      <c r="A971" s="3"/>
      <c r="P971" s="5"/>
      <c r="Q971" s="5"/>
      <c r="R971" s="5"/>
      <c r="S971" s="5"/>
      <c r="T971" s="5"/>
      <c r="U971" s="5"/>
      <c r="V971" s="5"/>
      <c r="W971" s="5"/>
      <c r="X971" s="5"/>
      <c r="Y971" s="5"/>
    </row>
    <row r="972" spans="1:25" ht="15.75" customHeight="1">
      <c r="A972" s="3"/>
      <c r="P972" s="5"/>
      <c r="Q972" s="5"/>
      <c r="R972" s="5"/>
      <c r="S972" s="5"/>
      <c r="T972" s="5"/>
      <c r="U972" s="5"/>
      <c r="V972" s="5"/>
      <c r="W972" s="5"/>
      <c r="X972" s="5"/>
      <c r="Y972" s="5"/>
    </row>
    <row r="973" spans="1:25" ht="15.75" customHeight="1">
      <c r="A973" s="3"/>
      <c r="P973" s="5"/>
      <c r="Q973" s="5"/>
      <c r="R973" s="5"/>
      <c r="S973" s="5"/>
      <c r="T973" s="5"/>
      <c r="U973" s="5"/>
      <c r="V973" s="5"/>
      <c r="W973" s="5"/>
      <c r="X973" s="5"/>
      <c r="Y973" s="5"/>
    </row>
    <row r="974" spans="1:25" ht="15.75" customHeight="1">
      <c r="A974" s="3"/>
      <c r="P974" s="5"/>
      <c r="Q974" s="5"/>
      <c r="R974" s="5"/>
      <c r="S974" s="5"/>
      <c r="T974" s="5"/>
      <c r="U974" s="5"/>
      <c r="V974" s="5"/>
      <c r="W974" s="5"/>
      <c r="X974" s="5"/>
      <c r="Y974" s="5"/>
    </row>
    <row r="975" spans="1:25" ht="15.75" customHeight="1">
      <c r="A975" s="3"/>
      <c r="P975" s="5"/>
      <c r="Q975" s="5"/>
      <c r="R975" s="5"/>
      <c r="S975" s="5"/>
      <c r="T975" s="5"/>
      <c r="U975" s="5"/>
      <c r="V975" s="5"/>
      <c r="W975" s="5"/>
      <c r="X975" s="5"/>
      <c r="Y975" s="5"/>
    </row>
    <row r="976" spans="1:25" ht="15.75" customHeight="1">
      <c r="A976" s="3"/>
      <c r="P976" s="5"/>
      <c r="Q976" s="5"/>
      <c r="R976" s="5"/>
      <c r="S976" s="5"/>
      <c r="T976" s="5"/>
      <c r="U976" s="5"/>
      <c r="V976" s="5"/>
      <c r="W976" s="5"/>
      <c r="X976" s="5"/>
      <c r="Y976" s="5"/>
    </row>
    <row r="977" spans="1:25" ht="15.75" customHeight="1">
      <c r="A977" s="3"/>
      <c r="P977" s="5"/>
      <c r="Q977" s="5"/>
      <c r="R977" s="5"/>
      <c r="S977" s="5"/>
      <c r="T977" s="5"/>
      <c r="U977" s="5"/>
      <c r="V977" s="5"/>
      <c r="W977" s="5"/>
      <c r="X977" s="5"/>
      <c r="Y977" s="5"/>
    </row>
    <row r="978" spans="1:25" ht="15.75" customHeight="1">
      <c r="A978" s="3"/>
      <c r="P978" s="5"/>
      <c r="Q978" s="5"/>
      <c r="R978" s="5"/>
      <c r="S978" s="5"/>
      <c r="T978" s="5"/>
      <c r="U978" s="5"/>
      <c r="V978" s="5"/>
      <c r="W978" s="5"/>
      <c r="X978" s="5"/>
      <c r="Y978" s="5"/>
    </row>
    <row r="979" spans="1:25" ht="15.75" customHeight="1">
      <c r="A979" s="3"/>
      <c r="P979" s="5"/>
      <c r="Q979" s="5"/>
      <c r="R979" s="5"/>
      <c r="S979" s="5"/>
      <c r="T979" s="5"/>
      <c r="U979" s="5"/>
      <c r="V979" s="5"/>
      <c r="W979" s="5"/>
      <c r="X979" s="5"/>
      <c r="Y979" s="5"/>
    </row>
    <row r="980" spans="1:25" ht="15.75" customHeight="1">
      <c r="A980" s="3"/>
      <c r="P980" s="5"/>
      <c r="Q980" s="5"/>
      <c r="R980" s="5"/>
      <c r="S980" s="5"/>
      <c r="T980" s="5"/>
      <c r="U980" s="5"/>
      <c r="V980" s="5"/>
      <c r="W980" s="5"/>
      <c r="X980" s="5"/>
      <c r="Y980" s="5"/>
    </row>
    <row r="981" spans="1:25" ht="15.75" customHeight="1">
      <c r="A981" s="3"/>
      <c r="P981" s="5"/>
      <c r="Q981" s="5"/>
      <c r="R981" s="5"/>
      <c r="S981" s="5"/>
      <c r="T981" s="5"/>
      <c r="U981" s="5"/>
      <c r="V981" s="5"/>
      <c r="W981" s="5"/>
      <c r="X981" s="5"/>
      <c r="Y981" s="5"/>
    </row>
    <row r="982" spans="1:25" ht="15.75" customHeight="1">
      <c r="A982" s="3"/>
      <c r="P982" s="5"/>
      <c r="Q982" s="5"/>
      <c r="R982" s="5"/>
      <c r="S982" s="5"/>
      <c r="T982" s="5"/>
      <c r="U982" s="5"/>
      <c r="V982" s="5"/>
      <c r="W982" s="5"/>
      <c r="X982" s="5"/>
      <c r="Y982" s="5"/>
    </row>
    <row r="983" spans="1:25" ht="15.75" customHeight="1">
      <c r="A983" s="3"/>
      <c r="P983" s="5"/>
      <c r="Q983" s="5"/>
      <c r="R983" s="5"/>
      <c r="S983" s="5"/>
      <c r="T983" s="5"/>
      <c r="U983" s="5"/>
      <c r="V983" s="5"/>
      <c r="W983" s="5"/>
      <c r="X983" s="5"/>
      <c r="Y983" s="5"/>
    </row>
    <row r="984" spans="1:25" ht="15.75" customHeight="1">
      <c r="A984" s="3"/>
      <c r="P984" s="5"/>
      <c r="Q984" s="5"/>
      <c r="R984" s="5"/>
      <c r="S984" s="5"/>
      <c r="T984" s="5"/>
      <c r="U984" s="5"/>
      <c r="V984" s="5"/>
      <c r="W984" s="5"/>
      <c r="X984" s="5"/>
      <c r="Y984" s="5"/>
    </row>
    <row r="985" spans="1:25" ht="15.75" customHeight="1">
      <c r="A985" s="3"/>
      <c r="P985" s="5"/>
      <c r="Q985" s="5"/>
      <c r="R985" s="5"/>
      <c r="S985" s="5"/>
      <c r="T985" s="5"/>
      <c r="U985" s="5"/>
      <c r="V985" s="5"/>
      <c r="W985" s="5"/>
      <c r="X985" s="5"/>
      <c r="Y985" s="5"/>
    </row>
    <row r="986" spans="1:25" ht="15.75" customHeight="1">
      <c r="A986" s="3"/>
      <c r="P986" s="5"/>
      <c r="Q986" s="5"/>
      <c r="R986" s="5"/>
      <c r="S986" s="5"/>
      <c r="T986" s="5"/>
      <c r="U986" s="5"/>
      <c r="V986" s="5"/>
      <c r="W986" s="5"/>
      <c r="X986" s="5"/>
      <c r="Y986" s="5"/>
    </row>
    <row r="987" spans="1:25" ht="15.75" customHeight="1">
      <c r="A987" s="3"/>
      <c r="P987" s="5"/>
      <c r="Q987" s="5"/>
      <c r="R987" s="5"/>
      <c r="S987" s="5"/>
      <c r="T987" s="5"/>
      <c r="U987" s="5"/>
      <c r="V987" s="5"/>
      <c r="W987" s="5"/>
      <c r="X987" s="5"/>
      <c r="Y987" s="5"/>
    </row>
    <row r="988" spans="1:25" ht="15.75" customHeight="1">
      <c r="A988" s="3"/>
      <c r="P988" s="5"/>
      <c r="Q988" s="5"/>
      <c r="R988" s="5"/>
      <c r="S988" s="5"/>
      <c r="T988" s="5"/>
      <c r="U988" s="5"/>
      <c r="V988" s="5"/>
      <c r="W988" s="5"/>
      <c r="X988" s="5"/>
      <c r="Y988" s="5"/>
    </row>
    <row r="989" spans="1:25" ht="15.75" customHeight="1">
      <c r="A989" s="3"/>
      <c r="P989" s="5"/>
      <c r="Q989" s="5"/>
      <c r="R989" s="5"/>
      <c r="S989" s="5"/>
      <c r="T989" s="5"/>
      <c r="U989" s="5"/>
      <c r="V989" s="5"/>
      <c r="W989" s="5"/>
      <c r="X989" s="5"/>
      <c r="Y989" s="5"/>
    </row>
    <row r="990" spans="1:25" ht="15.75" customHeight="1">
      <c r="A990" s="3"/>
      <c r="P990" s="5"/>
      <c r="Q990" s="5"/>
      <c r="R990" s="5"/>
      <c r="S990" s="5"/>
      <c r="T990" s="5"/>
      <c r="U990" s="5"/>
      <c r="V990" s="5"/>
      <c r="W990" s="5"/>
      <c r="X990" s="5"/>
      <c r="Y990" s="5"/>
    </row>
    <row r="991" spans="1:25" ht="15.75" customHeight="1">
      <c r="A991" s="3"/>
      <c r="P991" s="5"/>
      <c r="Q991" s="5"/>
      <c r="R991" s="5"/>
      <c r="S991" s="5"/>
      <c r="T991" s="5"/>
      <c r="U991" s="5"/>
      <c r="V991" s="5"/>
      <c r="W991" s="5"/>
      <c r="X991" s="5"/>
      <c r="Y991" s="5"/>
    </row>
    <row r="992" spans="1:25" ht="15.75" customHeight="1">
      <c r="A992" s="3"/>
      <c r="P992" s="5"/>
      <c r="Q992" s="5"/>
      <c r="R992" s="5"/>
      <c r="S992" s="5"/>
      <c r="T992" s="5"/>
      <c r="U992" s="5"/>
      <c r="V992" s="5"/>
      <c r="W992" s="5"/>
      <c r="X992" s="5"/>
      <c r="Y992" s="5"/>
    </row>
    <row r="993" spans="1:25" ht="15.75" customHeight="1">
      <c r="A993" s="3"/>
      <c r="P993" s="5"/>
      <c r="Q993" s="5"/>
      <c r="R993" s="5"/>
      <c r="S993" s="5"/>
      <c r="T993" s="5"/>
      <c r="U993" s="5"/>
      <c r="V993" s="5"/>
      <c r="W993" s="5"/>
      <c r="X993" s="5"/>
      <c r="Y993" s="5"/>
    </row>
    <row r="994" spans="1:25" ht="15.75" customHeight="1">
      <c r="A994" s="3"/>
      <c r="P994" s="5"/>
      <c r="Q994" s="5"/>
      <c r="R994" s="5"/>
      <c r="S994" s="5"/>
      <c r="T994" s="5"/>
      <c r="U994" s="5"/>
      <c r="V994" s="5"/>
      <c r="W994" s="5"/>
      <c r="X994" s="5"/>
      <c r="Y994" s="5"/>
    </row>
    <row r="995" spans="1:25" ht="15.75" customHeight="1">
      <c r="A995" s="3"/>
      <c r="P995" s="5"/>
      <c r="Q995" s="5"/>
      <c r="R995" s="5"/>
      <c r="S995" s="5"/>
      <c r="T995" s="5"/>
      <c r="U995" s="5"/>
      <c r="V995" s="5"/>
      <c r="W995" s="5"/>
      <c r="X995" s="5"/>
      <c r="Y995" s="5"/>
    </row>
    <row r="996" spans="1:25" ht="15.75" customHeight="1">
      <c r="A996" s="3"/>
      <c r="P996" s="5"/>
      <c r="Q996" s="5"/>
      <c r="R996" s="5"/>
      <c r="S996" s="5"/>
      <c r="T996" s="5"/>
      <c r="U996" s="5"/>
      <c r="V996" s="5"/>
      <c r="W996" s="5"/>
      <c r="X996" s="5"/>
      <c r="Y996" s="5"/>
    </row>
    <row r="997" spans="1:25" ht="15.75" customHeight="1">
      <c r="A997" s="3"/>
      <c r="P997" s="5"/>
      <c r="Q997" s="5"/>
      <c r="R997" s="5"/>
      <c r="S997" s="5"/>
      <c r="T997" s="5"/>
      <c r="U997" s="5"/>
      <c r="V997" s="5"/>
      <c r="W997" s="5"/>
      <c r="X997" s="5"/>
      <c r="Y997" s="5"/>
    </row>
    <row r="998" spans="1:25" ht="15.75" customHeight="1">
      <c r="A998" s="3"/>
      <c r="P998" s="5"/>
      <c r="Q998" s="5"/>
      <c r="R998" s="5"/>
      <c r="S998" s="5"/>
      <c r="T998" s="5"/>
      <c r="U998" s="5"/>
      <c r="V998" s="5"/>
      <c r="W998" s="5"/>
      <c r="X998" s="5"/>
      <c r="Y998" s="5"/>
    </row>
    <row r="999" spans="1:25" ht="15.75" customHeight="1">
      <c r="A999" s="3"/>
      <c r="P999" s="5"/>
      <c r="Q999" s="5"/>
      <c r="R999" s="5"/>
      <c r="S999" s="5"/>
      <c r="T999" s="5"/>
      <c r="U999" s="5"/>
      <c r="V999" s="5"/>
      <c r="W999" s="5"/>
      <c r="X999" s="5"/>
      <c r="Y999" s="5"/>
    </row>
    <row r="1000" spans="1:25" ht="15.75" customHeight="1">
      <c r="A1000" s="3"/>
      <c r="P1000" s="5"/>
      <c r="Q1000" s="5"/>
      <c r="R1000" s="5"/>
      <c r="S1000" s="5"/>
      <c r="T1000" s="5"/>
      <c r="U1000" s="5"/>
      <c r="V1000" s="5"/>
      <c r="W1000" s="5"/>
      <c r="X1000" s="5"/>
      <c r="Y1000" s="5"/>
    </row>
    <row r="1001" spans="1:25" ht="15.75" customHeight="1">
      <c r="A1001" s="3"/>
      <c r="P1001" s="5"/>
      <c r="Q1001" s="5"/>
      <c r="R1001" s="5"/>
      <c r="S1001" s="5"/>
      <c r="T1001" s="5"/>
      <c r="U1001" s="5"/>
      <c r="V1001" s="5"/>
      <c r="W1001" s="5"/>
      <c r="X1001" s="5"/>
      <c r="Y1001" s="5"/>
    </row>
  </sheetData>
  <mergeCells count="5">
    <mergeCell ref="A1:B1"/>
    <mergeCell ref="C2:G2"/>
    <mergeCell ref="O2:R2"/>
    <mergeCell ref="A16:B16"/>
    <mergeCell ref="A30:B30"/>
  </mergeCells>
  <pageMargins left="0.7" right="0.7" top="0.75" bottom="0.75" header="0" footer="0"/>
  <pageSetup paperSize="9" orientation="portrait"/>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9E2F3"/>
  </sheetPr>
  <dimension ref="A1:I1000"/>
  <sheetViews>
    <sheetView workbookViewId="0"/>
  </sheetViews>
  <sheetFormatPr baseColWidth="10" defaultColWidth="12.6640625" defaultRowHeight="15" customHeight="1"/>
  <cols>
    <col min="1" max="1" width="28.6640625" customWidth="1"/>
    <col min="2" max="2" width="29.5" customWidth="1"/>
    <col min="3" max="3" width="12.83203125" customWidth="1"/>
    <col min="4" max="4" width="26.1640625" customWidth="1"/>
    <col min="5" max="5" width="14.6640625" customWidth="1"/>
    <col min="6" max="6" width="11.33203125" customWidth="1"/>
    <col min="7" max="7" width="14.33203125" customWidth="1"/>
    <col min="8" max="8" width="14.6640625" customWidth="1"/>
    <col min="9" max="9" width="14.1640625" customWidth="1"/>
    <col min="10" max="26" width="7.6640625" customWidth="1"/>
  </cols>
  <sheetData>
    <row r="1" spans="1:9">
      <c r="A1" s="155" t="s">
        <v>466</v>
      </c>
      <c r="B1" s="155" t="s">
        <v>467</v>
      </c>
      <c r="C1" s="155" t="s">
        <v>468</v>
      </c>
      <c r="D1" s="155" t="s">
        <v>469</v>
      </c>
      <c r="E1" s="155" t="s">
        <v>470</v>
      </c>
      <c r="F1" s="155" t="s">
        <v>471</v>
      </c>
      <c r="G1" s="155" t="s">
        <v>472</v>
      </c>
      <c r="H1" s="155" t="s">
        <v>473</v>
      </c>
      <c r="I1" s="155" t="s">
        <v>474</v>
      </c>
    </row>
    <row r="2" spans="1:9">
      <c r="A2" s="159" t="s">
        <v>7091</v>
      </c>
      <c r="B2" s="159" t="s">
        <v>7101</v>
      </c>
      <c r="C2" s="159" t="s">
        <v>477</v>
      </c>
      <c r="D2" s="159">
        <v>10</v>
      </c>
      <c r="E2" s="159">
        <v>0</v>
      </c>
      <c r="F2" s="159">
        <v>0</v>
      </c>
      <c r="G2" s="159" t="s">
        <v>479</v>
      </c>
      <c r="H2" s="159" t="s">
        <v>479</v>
      </c>
      <c r="I2" s="159">
        <v>1</v>
      </c>
    </row>
    <row r="3" spans="1:9">
      <c r="A3" s="159" t="s">
        <v>7091</v>
      </c>
      <c r="B3" s="159" t="s">
        <v>7102</v>
      </c>
      <c r="C3" s="159" t="s">
        <v>484</v>
      </c>
      <c r="D3" s="159">
        <v>4</v>
      </c>
      <c r="E3" s="159">
        <v>10</v>
      </c>
      <c r="F3" s="159">
        <v>0</v>
      </c>
      <c r="G3" s="159" t="s">
        <v>479</v>
      </c>
      <c r="H3" s="159" t="s">
        <v>479</v>
      </c>
      <c r="I3" s="159">
        <v>1</v>
      </c>
    </row>
    <row r="4" spans="1:9">
      <c r="A4" s="159" t="s">
        <v>7091</v>
      </c>
      <c r="B4" s="159" t="s">
        <v>1070</v>
      </c>
      <c r="C4" s="159" t="s">
        <v>978</v>
      </c>
      <c r="D4" s="159">
        <v>2</v>
      </c>
      <c r="E4" s="159">
        <v>5</v>
      </c>
      <c r="F4" s="159">
        <v>0</v>
      </c>
      <c r="G4" s="159" t="s">
        <v>479</v>
      </c>
      <c r="H4" s="159" t="s">
        <v>479</v>
      </c>
      <c r="I4" s="159">
        <v>1</v>
      </c>
    </row>
    <row r="5" spans="1:9">
      <c r="A5" s="159" t="s">
        <v>7091</v>
      </c>
      <c r="B5" s="159" t="s">
        <v>5217</v>
      </c>
      <c r="C5" s="159" t="s">
        <v>477</v>
      </c>
      <c r="D5" s="159">
        <v>10</v>
      </c>
      <c r="E5" s="159">
        <v>0</v>
      </c>
      <c r="F5" s="159">
        <v>0</v>
      </c>
      <c r="G5" s="159" t="s">
        <v>479</v>
      </c>
      <c r="H5" s="159" t="s">
        <v>479</v>
      </c>
      <c r="I5" s="159">
        <v>1</v>
      </c>
    </row>
    <row r="6" spans="1:9">
      <c r="A6" s="159" t="s">
        <v>7091</v>
      </c>
      <c r="B6" s="159" t="s">
        <v>7103</v>
      </c>
      <c r="C6" s="159" t="s">
        <v>1796</v>
      </c>
      <c r="D6" s="159">
        <v>400</v>
      </c>
      <c r="E6" s="159">
        <v>0</v>
      </c>
      <c r="F6" s="159">
        <v>0</v>
      </c>
      <c r="G6" s="159" t="s">
        <v>479</v>
      </c>
      <c r="H6" s="159" t="s">
        <v>479</v>
      </c>
      <c r="I6" s="159">
        <v>1</v>
      </c>
    </row>
    <row r="7" spans="1:9">
      <c r="A7" s="159" t="s">
        <v>7091</v>
      </c>
      <c r="B7" s="159" t="s">
        <v>7103</v>
      </c>
      <c r="C7" s="159" t="s">
        <v>7104</v>
      </c>
      <c r="D7" s="159">
        <v>400</v>
      </c>
      <c r="E7" s="159">
        <v>0</v>
      </c>
      <c r="F7" s="159">
        <v>0</v>
      </c>
      <c r="G7" s="159" t="s">
        <v>479</v>
      </c>
      <c r="H7" s="159" t="s">
        <v>479</v>
      </c>
      <c r="I7" s="159">
        <v>1</v>
      </c>
    </row>
    <row r="8" spans="1:9">
      <c r="A8" s="159" t="s">
        <v>7091</v>
      </c>
      <c r="B8" s="159" t="s">
        <v>7105</v>
      </c>
      <c r="C8" s="159" t="s">
        <v>1796</v>
      </c>
      <c r="D8" s="159">
        <v>400</v>
      </c>
      <c r="E8" s="159">
        <v>0</v>
      </c>
      <c r="F8" s="159">
        <v>0</v>
      </c>
      <c r="G8" s="159" t="s">
        <v>479</v>
      </c>
      <c r="H8" s="159" t="s">
        <v>479</v>
      </c>
      <c r="I8" s="159">
        <v>1</v>
      </c>
    </row>
    <row r="9" spans="1:9">
      <c r="A9" s="159" t="s">
        <v>7091</v>
      </c>
      <c r="B9" s="159" t="s">
        <v>7105</v>
      </c>
      <c r="C9" s="159" t="s">
        <v>7104</v>
      </c>
      <c r="D9" s="159">
        <v>400</v>
      </c>
      <c r="E9" s="159">
        <v>0</v>
      </c>
      <c r="F9" s="159">
        <v>0</v>
      </c>
      <c r="G9" s="159" t="s">
        <v>479</v>
      </c>
      <c r="H9" s="159" t="s">
        <v>479</v>
      </c>
      <c r="I9" s="159">
        <v>1</v>
      </c>
    </row>
    <row r="10" spans="1:9">
      <c r="A10" s="159" t="s">
        <v>7091</v>
      </c>
      <c r="B10" s="159" t="s">
        <v>4643</v>
      </c>
      <c r="C10" s="159" t="s">
        <v>1807</v>
      </c>
      <c r="D10" s="159">
        <v>8</v>
      </c>
      <c r="E10" s="159">
        <v>53</v>
      </c>
      <c r="F10" s="159">
        <v>0</v>
      </c>
      <c r="G10" s="159" t="s">
        <v>479</v>
      </c>
      <c r="H10" s="159" t="s">
        <v>479</v>
      </c>
      <c r="I10" s="159">
        <v>1</v>
      </c>
    </row>
    <row r="11" spans="1:9">
      <c r="A11" s="159" t="s">
        <v>7091</v>
      </c>
      <c r="B11" s="159" t="s">
        <v>5166</v>
      </c>
      <c r="C11" s="159" t="s">
        <v>1807</v>
      </c>
      <c r="D11" s="159">
        <v>8</v>
      </c>
      <c r="E11" s="159">
        <v>53</v>
      </c>
      <c r="F11" s="159">
        <v>0</v>
      </c>
      <c r="G11" s="159" t="s">
        <v>479</v>
      </c>
      <c r="H11" s="159" t="s">
        <v>479</v>
      </c>
      <c r="I11" s="159">
        <v>1</v>
      </c>
    </row>
    <row r="12" spans="1:9">
      <c r="A12" s="159" t="s">
        <v>7092</v>
      </c>
      <c r="B12" s="159" t="s">
        <v>7101</v>
      </c>
      <c r="C12" s="159" t="s">
        <v>3520</v>
      </c>
      <c r="D12" s="159">
        <v>20</v>
      </c>
      <c r="E12" s="159">
        <v>0</v>
      </c>
      <c r="F12" s="159">
        <v>0</v>
      </c>
      <c r="G12" s="159" t="s">
        <v>479</v>
      </c>
      <c r="H12" s="159" t="s">
        <v>479</v>
      </c>
      <c r="I12" s="159">
        <v>1</v>
      </c>
    </row>
    <row r="13" spans="1:9">
      <c r="A13" s="159" t="s">
        <v>7092</v>
      </c>
      <c r="B13" s="159" t="s">
        <v>7106</v>
      </c>
      <c r="C13" s="159" t="s">
        <v>1796</v>
      </c>
      <c r="D13" s="159">
        <v>24</v>
      </c>
      <c r="E13" s="159">
        <v>0</v>
      </c>
      <c r="F13" s="159">
        <v>0</v>
      </c>
      <c r="G13" s="159" t="s">
        <v>479</v>
      </c>
      <c r="H13" s="159" t="s">
        <v>479</v>
      </c>
      <c r="I13" s="159">
        <v>1</v>
      </c>
    </row>
    <row r="14" spans="1:9">
      <c r="A14" s="159" t="s">
        <v>7092</v>
      </c>
      <c r="B14" s="159" t="s">
        <v>7106</v>
      </c>
      <c r="C14" s="159" t="s">
        <v>7104</v>
      </c>
      <c r="D14" s="159">
        <v>24</v>
      </c>
      <c r="E14" s="159">
        <v>0</v>
      </c>
      <c r="F14" s="159">
        <v>0</v>
      </c>
      <c r="G14" s="159" t="s">
        <v>479</v>
      </c>
      <c r="H14" s="159" t="s">
        <v>479</v>
      </c>
      <c r="I14" s="159">
        <v>1</v>
      </c>
    </row>
    <row r="15" spans="1:9">
      <c r="A15" s="159" t="s">
        <v>7092</v>
      </c>
      <c r="B15" s="159" t="s">
        <v>7107</v>
      </c>
      <c r="C15" s="159" t="s">
        <v>1796</v>
      </c>
      <c r="D15" s="159">
        <v>24</v>
      </c>
      <c r="E15" s="159">
        <v>0</v>
      </c>
      <c r="F15" s="159">
        <v>0</v>
      </c>
      <c r="G15" s="159" t="s">
        <v>479</v>
      </c>
      <c r="H15" s="159" t="s">
        <v>479</v>
      </c>
      <c r="I15" s="159">
        <v>1</v>
      </c>
    </row>
    <row r="16" spans="1:9">
      <c r="A16" s="159" t="s">
        <v>7092</v>
      </c>
      <c r="B16" s="159" t="s">
        <v>7107</v>
      </c>
      <c r="C16" s="159" t="s">
        <v>7104</v>
      </c>
      <c r="D16" s="159">
        <v>24</v>
      </c>
      <c r="E16" s="159">
        <v>0</v>
      </c>
      <c r="F16" s="159">
        <v>0</v>
      </c>
      <c r="G16" s="159" t="s">
        <v>479</v>
      </c>
      <c r="H16" s="159" t="s">
        <v>479</v>
      </c>
      <c r="I16" s="159">
        <v>1</v>
      </c>
    </row>
    <row r="17" spans="1:9">
      <c r="A17" s="159" t="s">
        <v>7092</v>
      </c>
      <c r="B17" s="159" t="s">
        <v>7108</v>
      </c>
      <c r="C17" s="159" t="s">
        <v>1796</v>
      </c>
      <c r="D17" s="159">
        <v>400</v>
      </c>
      <c r="E17" s="159">
        <v>0</v>
      </c>
      <c r="F17" s="159">
        <v>0</v>
      </c>
      <c r="G17" s="159" t="s">
        <v>479</v>
      </c>
      <c r="H17" s="159" t="s">
        <v>479</v>
      </c>
      <c r="I17" s="159">
        <v>1</v>
      </c>
    </row>
    <row r="18" spans="1:9">
      <c r="A18" s="159" t="s">
        <v>7092</v>
      </c>
      <c r="B18" s="159" t="s">
        <v>7108</v>
      </c>
      <c r="C18" s="159" t="s">
        <v>7104</v>
      </c>
      <c r="D18" s="159">
        <v>400</v>
      </c>
      <c r="E18" s="159">
        <v>0</v>
      </c>
      <c r="F18" s="159">
        <v>0</v>
      </c>
      <c r="G18" s="159" t="s">
        <v>479</v>
      </c>
      <c r="H18" s="159" t="s">
        <v>479</v>
      </c>
      <c r="I18" s="159">
        <v>1</v>
      </c>
    </row>
    <row r="19" spans="1:9">
      <c r="A19" s="159" t="s">
        <v>7092</v>
      </c>
      <c r="B19" s="159" t="s">
        <v>7109</v>
      </c>
      <c r="C19" s="159" t="s">
        <v>1796</v>
      </c>
      <c r="D19" s="159">
        <v>400</v>
      </c>
      <c r="E19" s="159">
        <v>0</v>
      </c>
      <c r="F19" s="159">
        <v>0</v>
      </c>
      <c r="G19" s="159" t="s">
        <v>479</v>
      </c>
      <c r="H19" s="159" t="s">
        <v>479</v>
      </c>
      <c r="I19" s="159">
        <v>1</v>
      </c>
    </row>
    <row r="20" spans="1:9">
      <c r="A20" s="159" t="s">
        <v>7092</v>
      </c>
      <c r="B20" s="159" t="s">
        <v>7109</v>
      </c>
      <c r="C20" s="159" t="s">
        <v>7104</v>
      </c>
      <c r="D20" s="159">
        <v>400</v>
      </c>
      <c r="E20" s="159">
        <v>0</v>
      </c>
      <c r="F20" s="159">
        <v>0</v>
      </c>
      <c r="G20" s="159" t="s">
        <v>479</v>
      </c>
      <c r="H20" s="159" t="s">
        <v>479</v>
      </c>
      <c r="I20" s="159">
        <v>1</v>
      </c>
    </row>
    <row r="21" spans="1:9" ht="15.75" customHeight="1">
      <c r="A21" s="159" t="s">
        <v>7092</v>
      </c>
      <c r="B21" s="159" t="s">
        <v>7110</v>
      </c>
      <c r="C21" s="159" t="s">
        <v>1796</v>
      </c>
      <c r="D21" s="159">
        <v>400</v>
      </c>
      <c r="E21" s="159">
        <v>0</v>
      </c>
      <c r="F21" s="159">
        <v>0</v>
      </c>
      <c r="G21" s="159" t="s">
        <v>479</v>
      </c>
      <c r="H21" s="159" t="s">
        <v>479</v>
      </c>
      <c r="I21" s="159">
        <v>1</v>
      </c>
    </row>
    <row r="22" spans="1:9" ht="15.75" customHeight="1">
      <c r="A22" s="159" t="s">
        <v>7092</v>
      </c>
      <c r="B22" s="159" t="s">
        <v>7110</v>
      </c>
      <c r="C22" s="159" t="s">
        <v>7104</v>
      </c>
      <c r="D22" s="159">
        <v>400</v>
      </c>
      <c r="E22" s="159">
        <v>0</v>
      </c>
      <c r="F22" s="159">
        <v>0</v>
      </c>
      <c r="G22" s="159" t="s">
        <v>479</v>
      </c>
      <c r="H22" s="159" t="s">
        <v>479</v>
      </c>
      <c r="I22" s="159">
        <v>1</v>
      </c>
    </row>
    <row r="23" spans="1:9" ht="15.75" customHeight="1">
      <c r="A23" s="159" t="s">
        <v>7092</v>
      </c>
      <c r="B23" s="159" t="s">
        <v>7111</v>
      </c>
      <c r="C23" s="159" t="s">
        <v>1796</v>
      </c>
      <c r="D23" s="159">
        <v>400</v>
      </c>
      <c r="E23" s="159">
        <v>0</v>
      </c>
      <c r="F23" s="159">
        <v>0</v>
      </c>
      <c r="G23" s="159" t="s">
        <v>479</v>
      </c>
      <c r="H23" s="159" t="s">
        <v>479</v>
      </c>
      <c r="I23" s="159">
        <v>1</v>
      </c>
    </row>
    <row r="24" spans="1:9" ht="15.75" customHeight="1">
      <c r="A24" s="159" t="s">
        <v>7092</v>
      </c>
      <c r="B24" s="159" t="s">
        <v>7111</v>
      </c>
      <c r="C24" s="159" t="s">
        <v>7104</v>
      </c>
      <c r="D24" s="159">
        <v>400</v>
      </c>
      <c r="E24" s="159">
        <v>0</v>
      </c>
      <c r="F24" s="159">
        <v>0</v>
      </c>
      <c r="G24" s="159" t="s">
        <v>479</v>
      </c>
      <c r="H24" s="159" t="s">
        <v>479</v>
      </c>
      <c r="I24" s="159">
        <v>1</v>
      </c>
    </row>
    <row r="25" spans="1:9" ht="15.75" customHeight="1">
      <c r="A25" s="159" t="s">
        <v>7092</v>
      </c>
      <c r="B25" s="159" t="s">
        <v>2321</v>
      </c>
      <c r="C25" s="159" t="s">
        <v>1796</v>
      </c>
      <c r="D25" s="159">
        <v>400</v>
      </c>
      <c r="E25" s="159">
        <v>0</v>
      </c>
      <c r="F25" s="159">
        <v>0</v>
      </c>
      <c r="G25" s="159" t="s">
        <v>479</v>
      </c>
      <c r="H25" s="159" t="s">
        <v>479</v>
      </c>
      <c r="I25" s="159">
        <v>1</v>
      </c>
    </row>
    <row r="26" spans="1:9" ht="15.75" customHeight="1">
      <c r="A26" s="159" t="s">
        <v>7092</v>
      </c>
      <c r="B26" s="159" t="s">
        <v>2321</v>
      </c>
      <c r="C26" s="159" t="s">
        <v>7104</v>
      </c>
      <c r="D26" s="159">
        <v>400</v>
      </c>
      <c r="E26" s="159">
        <v>0</v>
      </c>
      <c r="F26" s="159">
        <v>0</v>
      </c>
      <c r="G26" s="159" t="s">
        <v>479</v>
      </c>
      <c r="H26" s="159" t="s">
        <v>479</v>
      </c>
      <c r="I26" s="159">
        <v>1</v>
      </c>
    </row>
    <row r="27" spans="1:9" ht="15.75" customHeight="1">
      <c r="A27" s="159" t="s">
        <v>7093</v>
      </c>
      <c r="B27" s="159" t="s">
        <v>7112</v>
      </c>
      <c r="C27" s="159" t="s">
        <v>1796</v>
      </c>
      <c r="D27" s="159">
        <v>200</v>
      </c>
      <c r="E27" s="159">
        <v>0</v>
      </c>
      <c r="F27" s="159">
        <v>0</v>
      </c>
      <c r="G27" s="159" t="s">
        <v>479</v>
      </c>
      <c r="H27" s="159" t="s">
        <v>479</v>
      </c>
      <c r="I27" s="159">
        <v>1</v>
      </c>
    </row>
    <row r="28" spans="1:9" ht="15.75" customHeight="1">
      <c r="A28" s="159" t="s">
        <v>7093</v>
      </c>
      <c r="B28" s="159" t="s">
        <v>7112</v>
      </c>
      <c r="C28" s="159" t="s">
        <v>7104</v>
      </c>
      <c r="D28" s="159">
        <v>200</v>
      </c>
      <c r="E28" s="159">
        <v>0</v>
      </c>
      <c r="F28" s="159">
        <v>0</v>
      </c>
      <c r="G28" s="159" t="s">
        <v>479</v>
      </c>
      <c r="H28" s="159" t="s">
        <v>479</v>
      </c>
      <c r="I28" s="159">
        <v>1</v>
      </c>
    </row>
    <row r="29" spans="1:9" ht="15.75" customHeight="1">
      <c r="A29" s="159" t="s">
        <v>7093</v>
      </c>
      <c r="B29" s="159" t="s">
        <v>5158</v>
      </c>
      <c r="C29" s="159" t="s">
        <v>6118</v>
      </c>
      <c r="D29" s="159">
        <v>16</v>
      </c>
      <c r="E29" s="159">
        <v>0</v>
      </c>
      <c r="F29" s="159">
        <v>0</v>
      </c>
      <c r="G29" s="159" t="s">
        <v>479</v>
      </c>
      <c r="H29" s="159" t="s">
        <v>479</v>
      </c>
      <c r="I29" s="159">
        <v>1</v>
      </c>
    </row>
    <row r="30" spans="1:9" ht="15.75" customHeight="1">
      <c r="A30" s="159" t="s">
        <v>7093</v>
      </c>
      <c r="B30" s="159" t="s">
        <v>5285</v>
      </c>
      <c r="C30" s="159" t="s">
        <v>538</v>
      </c>
      <c r="D30" s="159">
        <v>8</v>
      </c>
      <c r="E30" s="159">
        <v>23</v>
      </c>
      <c r="F30" s="159">
        <v>3</v>
      </c>
      <c r="G30" s="159" t="s">
        <v>479</v>
      </c>
      <c r="H30" s="159" t="s">
        <v>479</v>
      </c>
      <c r="I30" s="159">
        <v>1</v>
      </c>
    </row>
    <row r="31" spans="1:9" ht="15.75" customHeight="1">
      <c r="A31" s="159" t="s">
        <v>7093</v>
      </c>
      <c r="B31" s="159" t="s">
        <v>7113</v>
      </c>
      <c r="C31" s="159" t="s">
        <v>477</v>
      </c>
      <c r="D31" s="159">
        <v>50</v>
      </c>
      <c r="E31" s="159">
        <v>0</v>
      </c>
      <c r="F31" s="159">
        <v>0</v>
      </c>
      <c r="G31" s="159" t="s">
        <v>479</v>
      </c>
      <c r="H31" s="159" t="s">
        <v>479</v>
      </c>
      <c r="I31" s="159">
        <v>1</v>
      </c>
    </row>
    <row r="32" spans="1:9" ht="15.75" customHeight="1">
      <c r="A32" s="159" t="s">
        <v>7093</v>
      </c>
      <c r="B32" s="159" t="s">
        <v>7114</v>
      </c>
      <c r="C32" s="159" t="s">
        <v>538</v>
      </c>
      <c r="D32" s="159">
        <v>8</v>
      </c>
      <c r="E32" s="159">
        <v>23</v>
      </c>
      <c r="F32" s="159">
        <v>3</v>
      </c>
      <c r="G32" s="159" t="s">
        <v>479</v>
      </c>
      <c r="H32" s="159" t="s">
        <v>479</v>
      </c>
      <c r="I32" s="159">
        <v>1</v>
      </c>
    </row>
    <row r="33" spans="1:9" ht="15.75" customHeight="1">
      <c r="A33" s="159" t="s">
        <v>7093</v>
      </c>
      <c r="B33" s="159" t="s">
        <v>7115</v>
      </c>
      <c r="C33" s="159" t="s">
        <v>477</v>
      </c>
      <c r="D33" s="159">
        <v>1000</v>
      </c>
      <c r="E33" s="159">
        <v>0</v>
      </c>
      <c r="F33" s="159">
        <v>0</v>
      </c>
      <c r="G33" s="159" t="s">
        <v>479</v>
      </c>
      <c r="H33" s="159" t="s">
        <v>479</v>
      </c>
      <c r="I33" s="159">
        <v>1</v>
      </c>
    </row>
    <row r="34" spans="1:9" ht="15.75" customHeight="1">
      <c r="A34" s="159" t="s">
        <v>7093</v>
      </c>
      <c r="B34" s="159" t="s">
        <v>7116</v>
      </c>
      <c r="C34" s="159" t="s">
        <v>484</v>
      </c>
      <c r="D34" s="159">
        <v>4</v>
      </c>
      <c r="E34" s="159">
        <v>10</v>
      </c>
      <c r="F34" s="159">
        <v>0</v>
      </c>
      <c r="G34" s="159" t="s">
        <v>479</v>
      </c>
      <c r="H34" s="159" t="s">
        <v>479</v>
      </c>
      <c r="I34" s="159">
        <v>1</v>
      </c>
    </row>
    <row r="35" spans="1:9" ht="15.75" customHeight="1">
      <c r="A35" s="159" t="s">
        <v>7093</v>
      </c>
      <c r="B35" s="159" t="s">
        <v>7117</v>
      </c>
      <c r="C35" s="159" t="s">
        <v>477</v>
      </c>
      <c r="D35" s="159">
        <v>400</v>
      </c>
      <c r="E35" s="159">
        <v>0</v>
      </c>
      <c r="F35" s="159">
        <v>0</v>
      </c>
      <c r="G35" s="159" t="s">
        <v>479</v>
      </c>
      <c r="H35" s="159" t="s">
        <v>479</v>
      </c>
      <c r="I35" s="159">
        <v>1</v>
      </c>
    </row>
    <row r="36" spans="1:9" ht="15.75" customHeight="1">
      <c r="A36" s="159" t="s">
        <v>7093</v>
      </c>
      <c r="B36" s="159" t="s">
        <v>7118</v>
      </c>
      <c r="C36" s="159" t="s">
        <v>477</v>
      </c>
      <c r="D36" s="159">
        <v>400</v>
      </c>
      <c r="E36" s="159">
        <v>0</v>
      </c>
      <c r="F36" s="159">
        <v>0</v>
      </c>
      <c r="G36" s="159" t="s">
        <v>479</v>
      </c>
      <c r="H36" s="159" t="s">
        <v>479</v>
      </c>
      <c r="I36" s="159">
        <v>1</v>
      </c>
    </row>
    <row r="37" spans="1:9" ht="15.75" customHeight="1">
      <c r="A37" s="159" t="s">
        <v>7093</v>
      </c>
      <c r="B37" s="159" t="s">
        <v>7119</v>
      </c>
      <c r="C37" s="159" t="s">
        <v>477</v>
      </c>
      <c r="D37" s="159">
        <v>400</v>
      </c>
      <c r="E37" s="159">
        <v>0</v>
      </c>
      <c r="F37" s="159">
        <v>0</v>
      </c>
      <c r="G37" s="159" t="s">
        <v>479</v>
      </c>
      <c r="H37" s="159" t="s">
        <v>479</v>
      </c>
      <c r="I37" s="159">
        <v>1</v>
      </c>
    </row>
    <row r="38" spans="1:9" ht="15.75" customHeight="1">
      <c r="A38" s="159" t="s">
        <v>7093</v>
      </c>
      <c r="B38" s="159" t="s">
        <v>7120</v>
      </c>
      <c r="C38" s="159" t="s">
        <v>477</v>
      </c>
      <c r="D38" s="159">
        <v>5</v>
      </c>
      <c r="E38" s="159">
        <v>0</v>
      </c>
      <c r="F38" s="159">
        <v>0</v>
      </c>
      <c r="G38" s="159" t="s">
        <v>479</v>
      </c>
      <c r="H38" s="159" t="s">
        <v>479</v>
      </c>
      <c r="I38" s="159">
        <v>1</v>
      </c>
    </row>
    <row r="39" spans="1:9" ht="15.75" customHeight="1">
      <c r="A39" s="159" t="s">
        <v>7093</v>
      </c>
      <c r="B39" s="159" t="s">
        <v>7121</v>
      </c>
      <c r="C39" s="159" t="s">
        <v>477</v>
      </c>
      <c r="D39" s="159">
        <v>1000</v>
      </c>
      <c r="E39" s="159">
        <v>0</v>
      </c>
      <c r="F39" s="159">
        <v>0</v>
      </c>
      <c r="G39" s="159" t="s">
        <v>479</v>
      </c>
      <c r="H39" s="159" t="s">
        <v>479</v>
      </c>
      <c r="I39" s="159">
        <v>1</v>
      </c>
    </row>
    <row r="40" spans="1:9" ht="15.75" customHeight="1">
      <c r="A40" s="159" t="s">
        <v>7093</v>
      </c>
      <c r="B40" s="159" t="s">
        <v>7122</v>
      </c>
      <c r="C40" s="159" t="s">
        <v>477</v>
      </c>
      <c r="D40" s="159">
        <v>1000</v>
      </c>
      <c r="E40" s="159">
        <v>0</v>
      </c>
      <c r="F40" s="159">
        <v>0</v>
      </c>
      <c r="G40" s="159" t="s">
        <v>479</v>
      </c>
      <c r="H40" s="159" t="s">
        <v>479</v>
      </c>
      <c r="I40" s="159">
        <v>1</v>
      </c>
    </row>
    <row r="41" spans="1:9" ht="15.75" customHeight="1">
      <c r="A41" s="159" t="s">
        <v>7093</v>
      </c>
      <c r="B41" s="159" t="s">
        <v>7123</v>
      </c>
      <c r="C41" s="159" t="s">
        <v>477</v>
      </c>
      <c r="D41" s="159">
        <v>1000</v>
      </c>
      <c r="E41" s="159">
        <v>0</v>
      </c>
      <c r="F41" s="159">
        <v>0</v>
      </c>
      <c r="G41" s="159" t="s">
        <v>479</v>
      </c>
      <c r="H41" s="159" t="s">
        <v>479</v>
      </c>
      <c r="I41" s="159">
        <v>1</v>
      </c>
    </row>
    <row r="42" spans="1:9" ht="15.75" customHeight="1">
      <c r="A42" s="159" t="s">
        <v>7093</v>
      </c>
      <c r="B42" s="159" t="s">
        <v>7124</v>
      </c>
      <c r="C42" s="159" t="s">
        <v>477</v>
      </c>
      <c r="D42" s="159">
        <v>1000</v>
      </c>
      <c r="E42" s="159">
        <v>0</v>
      </c>
      <c r="F42" s="159">
        <v>0</v>
      </c>
      <c r="G42" s="159" t="s">
        <v>479</v>
      </c>
      <c r="H42" s="159" t="s">
        <v>479</v>
      </c>
      <c r="I42" s="159">
        <v>1</v>
      </c>
    </row>
    <row r="43" spans="1:9" ht="15.75" customHeight="1">
      <c r="A43" s="159" t="s">
        <v>7093</v>
      </c>
      <c r="B43" s="159" t="s">
        <v>7125</v>
      </c>
      <c r="C43" s="159" t="s">
        <v>477</v>
      </c>
      <c r="D43" s="159">
        <v>1000</v>
      </c>
      <c r="E43" s="159">
        <v>0</v>
      </c>
      <c r="F43" s="159">
        <v>0</v>
      </c>
      <c r="G43" s="159" t="s">
        <v>479</v>
      </c>
      <c r="H43" s="159" t="s">
        <v>479</v>
      </c>
      <c r="I43" s="159">
        <v>1</v>
      </c>
    </row>
    <row r="44" spans="1:9" ht="15.75" customHeight="1">
      <c r="A44" s="159" t="s">
        <v>7093</v>
      </c>
      <c r="B44" s="159" t="s">
        <v>7126</v>
      </c>
      <c r="C44" s="159" t="s">
        <v>477</v>
      </c>
      <c r="D44" s="159">
        <v>1</v>
      </c>
      <c r="E44" s="159">
        <v>0</v>
      </c>
      <c r="F44" s="159">
        <v>0</v>
      </c>
      <c r="G44" s="159" t="s">
        <v>479</v>
      </c>
      <c r="H44" s="159" t="s">
        <v>479</v>
      </c>
      <c r="I44" s="159">
        <v>1</v>
      </c>
    </row>
    <row r="45" spans="1:9" ht="15.75" customHeight="1">
      <c r="A45" s="159" t="s">
        <v>7093</v>
      </c>
      <c r="B45" s="159" t="s">
        <v>7127</v>
      </c>
      <c r="C45" s="159" t="s">
        <v>477</v>
      </c>
      <c r="D45" s="159">
        <v>1</v>
      </c>
      <c r="E45" s="159">
        <v>0</v>
      </c>
      <c r="F45" s="159">
        <v>0</v>
      </c>
      <c r="G45" s="159" t="s">
        <v>479</v>
      </c>
      <c r="H45" s="159" t="s">
        <v>479</v>
      </c>
      <c r="I45" s="159">
        <v>1</v>
      </c>
    </row>
    <row r="46" spans="1:9" ht="15.75" customHeight="1">
      <c r="A46" s="159" t="s">
        <v>7093</v>
      </c>
      <c r="B46" s="159" t="s">
        <v>7128</v>
      </c>
      <c r="C46" s="159" t="s">
        <v>477</v>
      </c>
      <c r="D46" s="159">
        <v>1</v>
      </c>
      <c r="E46" s="159">
        <v>0</v>
      </c>
      <c r="F46" s="159">
        <v>0</v>
      </c>
      <c r="G46" s="159" t="s">
        <v>479</v>
      </c>
      <c r="H46" s="159" t="s">
        <v>479</v>
      </c>
      <c r="I46" s="159">
        <v>1</v>
      </c>
    </row>
    <row r="47" spans="1:9" ht="15.75" customHeight="1">
      <c r="A47" s="159" t="s">
        <v>7093</v>
      </c>
      <c r="B47" s="159" t="s">
        <v>7129</v>
      </c>
      <c r="C47" s="159" t="s">
        <v>477</v>
      </c>
      <c r="D47" s="159">
        <v>100</v>
      </c>
      <c r="E47" s="159">
        <v>0</v>
      </c>
      <c r="F47" s="159">
        <v>0</v>
      </c>
      <c r="G47" s="159" t="s">
        <v>479</v>
      </c>
      <c r="H47" s="159" t="s">
        <v>479</v>
      </c>
      <c r="I47" s="159">
        <v>1</v>
      </c>
    </row>
    <row r="48" spans="1:9" ht="15.75" customHeight="1">
      <c r="A48" s="159" t="s">
        <v>7093</v>
      </c>
      <c r="B48" s="159" t="s">
        <v>7130</v>
      </c>
      <c r="C48" s="159" t="s">
        <v>477</v>
      </c>
      <c r="D48" s="159">
        <v>1000</v>
      </c>
      <c r="E48" s="159">
        <v>0</v>
      </c>
      <c r="F48" s="159">
        <v>0</v>
      </c>
      <c r="G48" s="159" t="s">
        <v>479</v>
      </c>
      <c r="H48" s="159" t="s">
        <v>479</v>
      </c>
      <c r="I48" s="159">
        <v>1</v>
      </c>
    </row>
    <row r="49" spans="1:9" ht="15.75" customHeight="1">
      <c r="A49" s="159" t="s">
        <v>7093</v>
      </c>
      <c r="B49" s="159" t="s">
        <v>7131</v>
      </c>
      <c r="C49" s="159" t="s">
        <v>477</v>
      </c>
      <c r="D49" s="159">
        <v>3</v>
      </c>
      <c r="E49" s="159">
        <v>0</v>
      </c>
      <c r="F49" s="159">
        <v>0</v>
      </c>
      <c r="G49" s="159" t="s">
        <v>479</v>
      </c>
      <c r="H49" s="159" t="s">
        <v>479</v>
      </c>
      <c r="I49" s="159">
        <v>1</v>
      </c>
    </row>
    <row r="50" spans="1:9" ht="15.75" customHeight="1">
      <c r="A50" s="159" t="s">
        <v>7093</v>
      </c>
      <c r="B50" s="159" t="s">
        <v>7101</v>
      </c>
      <c r="C50" s="159" t="s">
        <v>477</v>
      </c>
      <c r="D50" s="159">
        <v>10</v>
      </c>
      <c r="E50" s="159">
        <v>0</v>
      </c>
      <c r="F50" s="159">
        <v>0</v>
      </c>
      <c r="G50" s="159" t="s">
        <v>479</v>
      </c>
      <c r="H50" s="159" t="s">
        <v>479</v>
      </c>
      <c r="I50" s="159">
        <v>1</v>
      </c>
    </row>
    <row r="51" spans="1:9" ht="15.75" customHeight="1">
      <c r="A51" s="159" t="s">
        <v>7094</v>
      </c>
      <c r="B51" s="159" t="s">
        <v>7101</v>
      </c>
      <c r="C51" s="159" t="s">
        <v>1796</v>
      </c>
      <c r="D51" s="159">
        <v>20</v>
      </c>
      <c r="E51" s="159">
        <v>0</v>
      </c>
      <c r="F51" s="159">
        <v>0</v>
      </c>
      <c r="G51" s="159" t="s">
        <v>479</v>
      </c>
      <c r="H51" s="159" t="s">
        <v>479</v>
      </c>
      <c r="I51" s="159">
        <v>1</v>
      </c>
    </row>
    <row r="52" spans="1:9" ht="15.75" customHeight="1">
      <c r="A52" s="159" t="s">
        <v>7094</v>
      </c>
      <c r="B52" s="159" t="s">
        <v>7101</v>
      </c>
      <c r="C52" s="159" t="s">
        <v>7104</v>
      </c>
      <c r="D52" s="159">
        <v>20</v>
      </c>
      <c r="E52" s="159">
        <v>0</v>
      </c>
      <c r="F52" s="159">
        <v>0</v>
      </c>
      <c r="G52" s="159" t="s">
        <v>479</v>
      </c>
      <c r="H52" s="159" t="s">
        <v>479</v>
      </c>
      <c r="I52" s="159">
        <v>1</v>
      </c>
    </row>
    <row r="53" spans="1:9" ht="15.75" customHeight="1">
      <c r="A53" s="159" t="s">
        <v>7094</v>
      </c>
      <c r="B53" s="159" t="s">
        <v>7132</v>
      </c>
      <c r="C53" s="159" t="s">
        <v>1796</v>
      </c>
      <c r="D53" s="159">
        <v>20</v>
      </c>
      <c r="E53" s="159">
        <v>0</v>
      </c>
      <c r="F53" s="159">
        <v>0</v>
      </c>
      <c r="G53" s="159" t="s">
        <v>479</v>
      </c>
      <c r="H53" s="159" t="s">
        <v>479</v>
      </c>
      <c r="I53" s="159">
        <v>0</v>
      </c>
    </row>
    <row r="54" spans="1:9" ht="15.75" customHeight="1">
      <c r="A54" s="159" t="s">
        <v>7094</v>
      </c>
      <c r="B54" s="159" t="s">
        <v>7132</v>
      </c>
      <c r="C54" s="159" t="s">
        <v>7104</v>
      </c>
      <c r="D54" s="159">
        <v>20</v>
      </c>
      <c r="E54" s="159">
        <v>0</v>
      </c>
      <c r="F54" s="159">
        <v>0</v>
      </c>
      <c r="G54" s="159" t="s">
        <v>479</v>
      </c>
      <c r="H54" s="159" t="s">
        <v>479</v>
      </c>
      <c r="I54" s="159">
        <v>0</v>
      </c>
    </row>
    <row r="55" spans="1:9" ht="15.75" customHeight="1">
      <c r="A55" s="159" t="s">
        <v>7094</v>
      </c>
      <c r="B55" s="159" t="s">
        <v>7133</v>
      </c>
      <c r="C55" s="159" t="s">
        <v>1796</v>
      </c>
      <c r="D55" s="159">
        <v>200</v>
      </c>
      <c r="E55" s="159">
        <v>0</v>
      </c>
      <c r="F55" s="159">
        <v>0</v>
      </c>
      <c r="G55" s="159" t="s">
        <v>479</v>
      </c>
      <c r="H55" s="159" t="s">
        <v>479</v>
      </c>
      <c r="I55" s="159">
        <v>0</v>
      </c>
    </row>
    <row r="56" spans="1:9" ht="15.75" customHeight="1">
      <c r="A56" s="159" t="s">
        <v>7094</v>
      </c>
      <c r="B56" s="159" t="s">
        <v>7133</v>
      </c>
      <c r="C56" s="159" t="s">
        <v>7104</v>
      </c>
      <c r="D56" s="159">
        <v>200</v>
      </c>
      <c r="E56" s="159">
        <v>0</v>
      </c>
      <c r="F56" s="159">
        <v>0</v>
      </c>
      <c r="G56" s="159" t="s">
        <v>479</v>
      </c>
      <c r="H56" s="159" t="s">
        <v>479</v>
      </c>
      <c r="I56" s="159">
        <v>0</v>
      </c>
    </row>
    <row r="57" spans="1:9" ht="15.75" customHeight="1">
      <c r="A57" s="159" t="s">
        <v>7094</v>
      </c>
      <c r="B57" s="159" t="s">
        <v>4674</v>
      </c>
      <c r="C57" s="159" t="s">
        <v>1796</v>
      </c>
      <c r="D57" s="159">
        <v>72</v>
      </c>
      <c r="E57" s="159">
        <v>0</v>
      </c>
      <c r="F57" s="159">
        <v>0</v>
      </c>
      <c r="G57" s="159" t="s">
        <v>479</v>
      </c>
      <c r="H57" s="159" t="s">
        <v>479</v>
      </c>
      <c r="I57" s="159">
        <v>0</v>
      </c>
    </row>
    <row r="58" spans="1:9" ht="15.75" customHeight="1">
      <c r="A58" s="159" t="s">
        <v>7094</v>
      </c>
      <c r="B58" s="159" t="s">
        <v>4674</v>
      </c>
      <c r="C58" s="159" t="s">
        <v>7104</v>
      </c>
      <c r="D58" s="159">
        <v>72</v>
      </c>
      <c r="E58" s="159">
        <v>0</v>
      </c>
      <c r="F58" s="159">
        <v>0</v>
      </c>
      <c r="G58" s="159" t="s">
        <v>479</v>
      </c>
      <c r="H58" s="159" t="s">
        <v>479</v>
      </c>
      <c r="I58" s="159">
        <v>0</v>
      </c>
    </row>
    <row r="59" spans="1:9" ht="15.75" customHeight="1">
      <c r="A59" s="159" t="s">
        <v>7094</v>
      </c>
      <c r="B59" s="159" t="s">
        <v>7134</v>
      </c>
      <c r="C59" s="159" t="s">
        <v>1796</v>
      </c>
      <c r="D59" s="159">
        <v>100</v>
      </c>
      <c r="E59" s="159">
        <v>0</v>
      </c>
      <c r="F59" s="159">
        <v>0</v>
      </c>
      <c r="G59" s="159" t="s">
        <v>479</v>
      </c>
      <c r="H59" s="159" t="s">
        <v>479</v>
      </c>
      <c r="I59" s="159">
        <v>1</v>
      </c>
    </row>
    <row r="60" spans="1:9" ht="15.75" customHeight="1">
      <c r="A60" s="159" t="s">
        <v>7094</v>
      </c>
      <c r="B60" s="159" t="s">
        <v>7134</v>
      </c>
      <c r="C60" s="159" t="s">
        <v>7104</v>
      </c>
      <c r="D60" s="159">
        <v>100</v>
      </c>
      <c r="E60" s="159">
        <v>0</v>
      </c>
      <c r="F60" s="159">
        <v>0</v>
      </c>
      <c r="G60" s="159" t="s">
        <v>479</v>
      </c>
      <c r="H60" s="159" t="s">
        <v>479</v>
      </c>
      <c r="I60" s="159">
        <v>1</v>
      </c>
    </row>
    <row r="61" spans="1:9" ht="15.75" customHeight="1">
      <c r="A61" s="159" t="s">
        <v>7094</v>
      </c>
      <c r="B61" s="159" t="s">
        <v>7135</v>
      </c>
      <c r="C61" s="159" t="s">
        <v>538</v>
      </c>
      <c r="D61" s="159">
        <v>8</v>
      </c>
      <c r="E61" s="159">
        <v>23</v>
      </c>
      <c r="F61" s="159">
        <v>3</v>
      </c>
      <c r="G61" s="159" t="s">
        <v>479</v>
      </c>
      <c r="H61" s="159" t="s">
        <v>479</v>
      </c>
      <c r="I61" s="159">
        <v>0</v>
      </c>
    </row>
    <row r="62" spans="1:9" ht="15.75" customHeight="1">
      <c r="A62" s="159" t="s">
        <v>7095</v>
      </c>
      <c r="B62" s="159" t="s">
        <v>7101</v>
      </c>
      <c r="C62" s="159" t="s">
        <v>477</v>
      </c>
      <c r="D62" s="159">
        <v>10</v>
      </c>
      <c r="E62" s="159">
        <v>0</v>
      </c>
      <c r="F62" s="159">
        <v>0</v>
      </c>
      <c r="G62" s="159" t="s">
        <v>479</v>
      </c>
      <c r="H62" s="159" t="s">
        <v>548</v>
      </c>
      <c r="I62" s="159">
        <v>1</v>
      </c>
    </row>
    <row r="63" spans="1:9" ht="15.75" customHeight="1">
      <c r="A63" s="159" t="s">
        <v>7095</v>
      </c>
      <c r="B63" s="159" t="s">
        <v>7136</v>
      </c>
      <c r="C63" s="159" t="s">
        <v>477</v>
      </c>
      <c r="D63" s="159">
        <v>50</v>
      </c>
      <c r="E63" s="159">
        <v>0</v>
      </c>
      <c r="F63" s="159">
        <v>0</v>
      </c>
      <c r="G63" s="159" t="s">
        <v>479</v>
      </c>
      <c r="H63" s="159" t="s">
        <v>479</v>
      </c>
      <c r="I63" s="159">
        <v>1</v>
      </c>
    </row>
    <row r="64" spans="1:9" ht="15.75" customHeight="1">
      <c r="A64" s="159" t="s">
        <v>7095</v>
      </c>
      <c r="B64" s="159" t="s">
        <v>7137</v>
      </c>
      <c r="C64" s="159" t="s">
        <v>477</v>
      </c>
      <c r="D64" s="159">
        <v>50</v>
      </c>
      <c r="E64" s="159">
        <v>0</v>
      </c>
      <c r="F64" s="159">
        <v>0</v>
      </c>
      <c r="G64" s="159" t="s">
        <v>479</v>
      </c>
      <c r="H64" s="159" t="s">
        <v>479</v>
      </c>
      <c r="I64" s="159">
        <v>1</v>
      </c>
    </row>
    <row r="65" spans="1:9" ht="15.75" customHeight="1">
      <c r="A65" s="159" t="s">
        <v>7095</v>
      </c>
      <c r="B65" s="159" t="s">
        <v>5158</v>
      </c>
      <c r="C65" s="159" t="s">
        <v>6118</v>
      </c>
      <c r="D65" s="159">
        <v>16</v>
      </c>
      <c r="E65" s="159">
        <v>0</v>
      </c>
      <c r="F65" s="159">
        <v>0</v>
      </c>
      <c r="G65" s="159" t="s">
        <v>479</v>
      </c>
      <c r="H65" s="159" t="s">
        <v>479</v>
      </c>
      <c r="I65" s="159">
        <v>1</v>
      </c>
    </row>
    <row r="66" spans="1:9" ht="15.75" customHeight="1">
      <c r="A66" s="159" t="s">
        <v>7095</v>
      </c>
      <c r="B66" s="159" t="s">
        <v>7138</v>
      </c>
      <c r="C66" s="159" t="s">
        <v>477</v>
      </c>
      <c r="D66" s="159">
        <v>50</v>
      </c>
      <c r="E66" s="159">
        <v>0</v>
      </c>
      <c r="F66" s="159">
        <v>0</v>
      </c>
      <c r="G66" s="159" t="s">
        <v>479</v>
      </c>
      <c r="H66" s="159" t="s">
        <v>479</v>
      </c>
      <c r="I66" s="159">
        <v>1</v>
      </c>
    </row>
    <row r="67" spans="1:9" ht="15.75" customHeight="1">
      <c r="A67" s="159" t="s">
        <v>7095</v>
      </c>
      <c r="B67" s="159" t="s">
        <v>7139</v>
      </c>
      <c r="C67" s="159" t="s">
        <v>477</v>
      </c>
      <c r="D67" s="159">
        <v>50</v>
      </c>
      <c r="E67" s="159">
        <v>0</v>
      </c>
      <c r="F67" s="159">
        <v>0</v>
      </c>
      <c r="G67" s="159" t="s">
        <v>479</v>
      </c>
      <c r="H67" s="159" t="s">
        <v>479</v>
      </c>
      <c r="I67" s="159">
        <v>1</v>
      </c>
    </row>
    <row r="68" spans="1:9" ht="15.75" customHeight="1">
      <c r="A68" s="159" t="s">
        <v>7095</v>
      </c>
      <c r="B68" s="159" t="s">
        <v>7140</v>
      </c>
      <c r="C68" s="159" t="s">
        <v>538</v>
      </c>
      <c r="D68" s="159">
        <v>8</v>
      </c>
      <c r="E68" s="159">
        <v>23</v>
      </c>
      <c r="F68" s="159">
        <v>3</v>
      </c>
      <c r="G68" s="159" t="s">
        <v>479</v>
      </c>
      <c r="H68" s="159" t="s">
        <v>479</v>
      </c>
      <c r="I68" s="159">
        <v>1</v>
      </c>
    </row>
    <row r="69" spans="1:9" ht="15.75" customHeight="1">
      <c r="A69" s="159" t="s">
        <v>7095</v>
      </c>
      <c r="B69" s="159" t="s">
        <v>7141</v>
      </c>
      <c r="C69" s="159" t="s">
        <v>538</v>
      </c>
      <c r="D69" s="159">
        <v>8</v>
      </c>
      <c r="E69" s="159">
        <v>23</v>
      </c>
      <c r="F69" s="159">
        <v>3</v>
      </c>
      <c r="G69" s="159" t="s">
        <v>479</v>
      </c>
      <c r="H69" s="159" t="s">
        <v>479</v>
      </c>
      <c r="I69" s="159">
        <v>1</v>
      </c>
    </row>
    <row r="70" spans="1:9" ht="15.75" customHeight="1">
      <c r="A70" s="159" t="s">
        <v>7096</v>
      </c>
      <c r="B70" s="159" t="s">
        <v>7101</v>
      </c>
      <c r="C70" s="159" t="s">
        <v>3520</v>
      </c>
      <c r="D70" s="159">
        <v>20</v>
      </c>
      <c r="E70" s="159">
        <v>0</v>
      </c>
      <c r="F70" s="159">
        <v>0</v>
      </c>
      <c r="G70" s="159" t="s">
        <v>479</v>
      </c>
      <c r="H70" s="159" t="s">
        <v>479</v>
      </c>
      <c r="I70" s="159">
        <v>1</v>
      </c>
    </row>
    <row r="71" spans="1:9" ht="15.75" customHeight="1">
      <c r="A71" s="159" t="s">
        <v>7096</v>
      </c>
      <c r="B71" s="159" t="s">
        <v>7142</v>
      </c>
      <c r="C71" s="159" t="s">
        <v>717</v>
      </c>
      <c r="D71" s="159">
        <v>17</v>
      </c>
      <c r="E71" s="159">
        <v>36</v>
      </c>
      <c r="F71" s="159">
        <v>0</v>
      </c>
      <c r="G71" s="159" t="s">
        <v>479</v>
      </c>
      <c r="H71" s="159" t="s">
        <v>479</v>
      </c>
      <c r="I71" s="159">
        <v>0</v>
      </c>
    </row>
    <row r="72" spans="1:9" ht="15.75" customHeight="1">
      <c r="A72" s="159" t="s">
        <v>7096</v>
      </c>
      <c r="B72" s="159" t="s">
        <v>2321</v>
      </c>
      <c r="C72" s="159" t="s">
        <v>1796</v>
      </c>
      <c r="D72" s="159">
        <v>1000</v>
      </c>
      <c r="E72" s="159">
        <v>0</v>
      </c>
      <c r="F72" s="159">
        <v>0</v>
      </c>
      <c r="G72" s="159" t="s">
        <v>479</v>
      </c>
      <c r="H72" s="159" t="s">
        <v>479</v>
      </c>
      <c r="I72" s="159">
        <v>1</v>
      </c>
    </row>
    <row r="73" spans="1:9" ht="15.75" customHeight="1">
      <c r="A73" s="159" t="s">
        <v>7096</v>
      </c>
      <c r="B73" s="159" t="s">
        <v>2321</v>
      </c>
      <c r="C73" s="159" t="s">
        <v>7104</v>
      </c>
      <c r="D73" s="159">
        <v>1000</v>
      </c>
      <c r="E73" s="159">
        <v>0</v>
      </c>
      <c r="F73" s="159">
        <v>0</v>
      </c>
      <c r="G73" s="159" t="s">
        <v>479</v>
      </c>
      <c r="H73" s="159" t="s">
        <v>479</v>
      </c>
      <c r="I73" s="159">
        <v>1</v>
      </c>
    </row>
    <row r="74" spans="1:9" ht="15.75" customHeight="1">
      <c r="A74" s="159" t="s">
        <v>7096</v>
      </c>
      <c r="B74" s="159" t="s">
        <v>303</v>
      </c>
      <c r="C74" s="159" t="s">
        <v>1796</v>
      </c>
      <c r="D74" s="159">
        <v>20</v>
      </c>
      <c r="E74" s="159">
        <v>0</v>
      </c>
      <c r="F74" s="159">
        <v>0</v>
      </c>
      <c r="G74" s="159" t="s">
        <v>479</v>
      </c>
      <c r="H74" s="159" t="s">
        <v>479</v>
      </c>
      <c r="I74" s="159">
        <v>1</v>
      </c>
    </row>
    <row r="75" spans="1:9" ht="15.75" customHeight="1">
      <c r="A75" s="159" t="s">
        <v>7096</v>
      </c>
      <c r="B75" s="159" t="s">
        <v>303</v>
      </c>
      <c r="C75" s="159" t="s">
        <v>7104</v>
      </c>
      <c r="D75" s="159">
        <v>20</v>
      </c>
      <c r="E75" s="159">
        <v>0</v>
      </c>
      <c r="F75" s="159">
        <v>0</v>
      </c>
      <c r="G75" s="159" t="s">
        <v>479</v>
      </c>
      <c r="H75" s="159" t="s">
        <v>479</v>
      </c>
      <c r="I75" s="159">
        <v>1</v>
      </c>
    </row>
    <row r="76" spans="1:9" ht="15.75" customHeight="1">
      <c r="A76" s="159" t="s">
        <v>7096</v>
      </c>
      <c r="B76" s="159" t="s">
        <v>4805</v>
      </c>
      <c r="C76" s="159" t="s">
        <v>1796</v>
      </c>
      <c r="D76" s="159">
        <v>1000</v>
      </c>
      <c r="E76" s="159">
        <v>0</v>
      </c>
      <c r="F76" s="159">
        <v>0</v>
      </c>
      <c r="G76" s="159" t="s">
        <v>479</v>
      </c>
      <c r="H76" s="159" t="s">
        <v>479</v>
      </c>
      <c r="I76" s="159">
        <v>1</v>
      </c>
    </row>
    <row r="77" spans="1:9" ht="15.75" customHeight="1">
      <c r="A77" s="159" t="s">
        <v>7096</v>
      </c>
      <c r="B77" s="159" t="s">
        <v>4805</v>
      </c>
      <c r="C77" s="159" t="s">
        <v>7104</v>
      </c>
      <c r="D77" s="159">
        <v>1000</v>
      </c>
      <c r="E77" s="159">
        <v>0</v>
      </c>
      <c r="F77" s="159">
        <v>0</v>
      </c>
      <c r="G77" s="159" t="s">
        <v>479</v>
      </c>
      <c r="H77" s="159" t="s">
        <v>479</v>
      </c>
      <c r="I77" s="159">
        <v>1</v>
      </c>
    </row>
    <row r="78" spans="1:9" ht="15.75" customHeight="1">
      <c r="A78" s="159" t="s">
        <v>7096</v>
      </c>
      <c r="B78" s="159" t="s">
        <v>7143</v>
      </c>
      <c r="C78" s="159" t="s">
        <v>1796</v>
      </c>
      <c r="D78" s="159">
        <v>20</v>
      </c>
      <c r="E78" s="159">
        <v>0</v>
      </c>
      <c r="F78" s="159">
        <v>0</v>
      </c>
      <c r="G78" s="159" t="s">
        <v>479</v>
      </c>
      <c r="H78" s="159" t="s">
        <v>479</v>
      </c>
      <c r="I78" s="159">
        <v>1</v>
      </c>
    </row>
    <row r="79" spans="1:9" ht="15.75" customHeight="1">
      <c r="A79" s="159" t="s">
        <v>7096</v>
      </c>
      <c r="B79" s="159" t="s">
        <v>7143</v>
      </c>
      <c r="C79" s="159" t="s">
        <v>7104</v>
      </c>
      <c r="D79" s="159">
        <v>20</v>
      </c>
      <c r="E79" s="159">
        <v>0</v>
      </c>
      <c r="F79" s="159">
        <v>0</v>
      </c>
      <c r="G79" s="159" t="s">
        <v>479</v>
      </c>
      <c r="H79" s="159" t="s">
        <v>479</v>
      </c>
      <c r="I79" s="159">
        <v>1</v>
      </c>
    </row>
    <row r="80" spans="1:9" ht="15.75" customHeight="1">
      <c r="A80" s="159" t="s">
        <v>7096</v>
      </c>
      <c r="B80" s="159" t="s">
        <v>6120</v>
      </c>
      <c r="C80" s="159" t="s">
        <v>1796</v>
      </c>
      <c r="D80" s="159">
        <v>1000</v>
      </c>
      <c r="E80" s="159">
        <v>0</v>
      </c>
      <c r="F80" s="159">
        <v>0</v>
      </c>
      <c r="G80" s="159" t="s">
        <v>479</v>
      </c>
      <c r="H80" s="159" t="s">
        <v>479</v>
      </c>
      <c r="I80" s="159">
        <v>1</v>
      </c>
    </row>
    <row r="81" spans="1:9" ht="15.75" customHeight="1">
      <c r="A81" s="159" t="s">
        <v>7096</v>
      </c>
      <c r="B81" s="159" t="s">
        <v>6120</v>
      </c>
      <c r="C81" s="159" t="s">
        <v>7104</v>
      </c>
      <c r="D81" s="159">
        <v>1000</v>
      </c>
      <c r="E81" s="159">
        <v>0</v>
      </c>
      <c r="F81" s="159">
        <v>0</v>
      </c>
      <c r="G81" s="159" t="s">
        <v>479</v>
      </c>
      <c r="H81" s="159" t="s">
        <v>479</v>
      </c>
      <c r="I81" s="159">
        <v>1</v>
      </c>
    </row>
    <row r="82" spans="1:9" ht="15.75" customHeight="1">
      <c r="A82" s="159" t="s">
        <v>7096</v>
      </c>
      <c r="B82" s="159" t="s">
        <v>7144</v>
      </c>
      <c r="C82" s="159" t="s">
        <v>1796</v>
      </c>
      <c r="D82" s="159">
        <v>20</v>
      </c>
      <c r="E82" s="159">
        <v>0</v>
      </c>
      <c r="F82" s="159">
        <v>0</v>
      </c>
      <c r="G82" s="159" t="s">
        <v>479</v>
      </c>
      <c r="H82" s="159" t="s">
        <v>479</v>
      </c>
      <c r="I82" s="159">
        <v>1</v>
      </c>
    </row>
    <row r="83" spans="1:9" ht="15.75" customHeight="1">
      <c r="A83" s="159" t="s">
        <v>7096</v>
      </c>
      <c r="B83" s="159" t="s">
        <v>7144</v>
      </c>
      <c r="C83" s="159" t="s">
        <v>7104</v>
      </c>
      <c r="D83" s="159">
        <v>20</v>
      </c>
      <c r="E83" s="159">
        <v>0</v>
      </c>
      <c r="F83" s="159">
        <v>0</v>
      </c>
      <c r="G83" s="159" t="s">
        <v>479</v>
      </c>
      <c r="H83" s="159" t="s">
        <v>479</v>
      </c>
      <c r="I83" s="159">
        <v>1</v>
      </c>
    </row>
    <row r="84" spans="1:9" ht="15.75" customHeight="1">
      <c r="A84" s="159" t="s">
        <v>7096</v>
      </c>
      <c r="B84" s="159" t="s">
        <v>6127</v>
      </c>
      <c r="C84" s="159" t="s">
        <v>1796</v>
      </c>
      <c r="D84" s="159">
        <v>1000</v>
      </c>
      <c r="E84" s="159">
        <v>0</v>
      </c>
      <c r="F84" s="159">
        <v>0</v>
      </c>
      <c r="G84" s="159" t="s">
        <v>479</v>
      </c>
      <c r="H84" s="159" t="s">
        <v>479</v>
      </c>
      <c r="I84" s="159">
        <v>1</v>
      </c>
    </row>
    <row r="85" spans="1:9" ht="15.75" customHeight="1">
      <c r="A85" s="159" t="s">
        <v>7096</v>
      </c>
      <c r="B85" s="159" t="s">
        <v>6127</v>
      </c>
      <c r="C85" s="159" t="s">
        <v>7104</v>
      </c>
      <c r="D85" s="159">
        <v>1000</v>
      </c>
      <c r="E85" s="159">
        <v>0</v>
      </c>
      <c r="F85" s="159">
        <v>0</v>
      </c>
      <c r="G85" s="159" t="s">
        <v>479</v>
      </c>
      <c r="H85" s="159" t="s">
        <v>479</v>
      </c>
      <c r="I85" s="159">
        <v>1</v>
      </c>
    </row>
    <row r="86" spans="1:9" ht="15.75" customHeight="1">
      <c r="A86" s="159" t="s">
        <v>7096</v>
      </c>
      <c r="B86" s="159" t="s">
        <v>7145</v>
      </c>
      <c r="C86" s="159" t="s">
        <v>1796</v>
      </c>
      <c r="D86" s="159">
        <v>20</v>
      </c>
      <c r="E86" s="159">
        <v>0</v>
      </c>
      <c r="F86" s="159">
        <v>0</v>
      </c>
      <c r="G86" s="159" t="s">
        <v>479</v>
      </c>
      <c r="H86" s="159" t="s">
        <v>479</v>
      </c>
      <c r="I86" s="159">
        <v>1</v>
      </c>
    </row>
    <row r="87" spans="1:9" ht="15.75" customHeight="1">
      <c r="A87" s="159" t="s">
        <v>7096</v>
      </c>
      <c r="B87" s="159" t="s">
        <v>7145</v>
      </c>
      <c r="C87" s="159" t="s">
        <v>7104</v>
      </c>
      <c r="D87" s="159">
        <v>20</v>
      </c>
      <c r="E87" s="159">
        <v>0</v>
      </c>
      <c r="F87" s="159">
        <v>0</v>
      </c>
      <c r="G87" s="159" t="s">
        <v>479</v>
      </c>
      <c r="H87" s="159" t="s">
        <v>479</v>
      </c>
      <c r="I87" s="159">
        <v>1</v>
      </c>
    </row>
    <row r="88" spans="1:9" ht="15.75" customHeight="1">
      <c r="A88" s="159" t="s">
        <v>7096</v>
      </c>
      <c r="B88" s="159" t="s">
        <v>6129</v>
      </c>
      <c r="C88" s="159" t="s">
        <v>1796</v>
      </c>
      <c r="D88" s="159">
        <v>1000</v>
      </c>
      <c r="E88" s="159">
        <v>0</v>
      </c>
      <c r="F88" s="159">
        <v>0</v>
      </c>
      <c r="G88" s="159" t="s">
        <v>479</v>
      </c>
      <c r="H88" s="159" t="s">
        <v>479</v>
      </c>
      <c r="I88" s="159">
        <v>1</v>
      </c>
    </row>
    <row r="89" spans="1:9" ht="15.75" customHeight="1">
      <c r="A89" s="159" t="s">
        <v>7096</v>
      </c>
      <c r="B89" s="159" t="s">
        <v>6129</v>
      </c>
      <c r="C89" s="159" t="s">
        <v>7104</v>
      </c>
      <c r="D89" s="159">
        <v>1000</v>
      </c>
      <c r="E89" s="159">
        <v>0</v>
      </c>
      <c r="F89" s="159">
        <v>0</v>
      </c>
      <c r="G89" s="159" t="s">
        <v>479</v>
      </c>
      <c r="H89" s="159" t="s">
        <v>479</v>
      </c>
      <c r="I89" s="159">
        <v>1</v>
      </c>
    </row>
    <row r="90" spans="1:9" ht="15.75" customHeight="1">
      <c r="A90" s="159" t="s">
        <v>7096</v>
      </c>
      <c r="B90" s="159" t="s">
        <v>2284</v>
      </c>
      <c r="C90" s="159" t="s">
        <v>717</v>
      </c>
      <c r="D90" s="159">
        <v>17</v>
      </c>
      <c r="E90" s="159">
        <v>36</v>
      </c>
      <c r="F90" s="159">
        <v>0</v>
      </c>
      <c r="G90" s="159" t="s">
        <v>479</v>
      </c>
      <c r="H90" s="159" t="s">
        <v>479</v>
      </c>
      <c r="I90" s="159">
        <v>1</v>
      </c>
    </row>
    <row r="91" spans="1:9" ht="15.75" customHeight="1">
      <c r="A91" s="159" t="s">
        <v>7096</v>
      </c>
      <c r="B91" s="159" t="s">
        <v>4953</v>
      </c>
      <c r="C91" s="159" t="s">
        <v>1796</v>
      </c>
      <c r="D91" s="159">
        <v>1000</v>
      </c>
      <c r="E91" s="159">
        <v>0</v>
      </c>
      <c r="F91" s="159">
        <v>0</v>
      </c>
      <c r="G91" s="159" t="s">
        <v>479</v>
      </c>
      <c r="H91" s="159" t="s">
        <v>479</v>
      </c>
      <c r="I91" s="159">
        <v>1</v>
      </c>
    </row>
    <row r="92" spans="1:9" ht="15.75" customHeight="1">
      <c r="A92" s="159" t="s">
        <v>7096</v>
      </c>
      <c r="B92" s="159" t="s">
        <v>4953</v>
      </c>
      <c r="C92" s="159" t="s">
        <v>7104</v>
      </c>
      <c r="D92" s="159">
        <v>1000</v>
      </c>
      <c r="E92" s="159">
        <v>0</v>
      </c>
      <c r="F92" s="159">
        <v>0</v>
      </c>
      <c r="G92" s="159" t="s">
        <v>479</v>
      </c>
      <c r="H92" s="159" t="s">
        <v>479</v>
      </c>
      <c r="I92" s="159">
        <v>1</v>
      </c>
    </row>
    <row r="93" spans="1:9" ht="15.75" customHeight="1">
      <c r="A93" s="159" t="s">
        <v>7096</v>
      </c>
      <c r="B93" s="159" t="s">
        <v>1954</v>
      </c>
      <c r="C93" s="159" t="s">
        <v>717</v>
      </c>
      <c r="D93" s="159">
        <v>17</v>
      </c>
      <c r="E93" s="159">
        <v>36</v>
      </c>
      <c r="F93" s="159">
        <v>0</v>
      </c>
      <c r="G93" s="159" t="s">
        <v>479</v>
      </c>
      <c r="H93" s="159" t="s">
        <v>479</v>
      </c>
      <c r="I93" s="159">
        <v>1</v>
      </c>
    </row>
    <row r="94" spans="1:9" ht="15.75" customHeight="1">
      <c r="A94" s="159" t="s">
        <v>7096</v>
      </c>
      <c r="B94" s="159" t="s">
        <v>7146</v>
      </c>
      <c r="C94" s="159" t="s">
        <v>1796</v>
      </c>
      <c r="D94" s="159">
        <v>1000</v>
      </c>
      <c r="E94" s="159">
        <v>0</v>
      </c>
      <c r="F94" s="159">
        <v>0</v>
      </c>
      <c r="G94" s="159" t="s">
        <v>479</v>
      </c>
      <c r="H94" s="159" t="s">
        <v>479</v>
      </c>
      <c r="I94" s="159">
        <v>1</v>
      </c>
    </row>
    <row r="95" spans="1:9" ht="15.75" customHeight="1">
      <c r="A95" s="159" t="s">
        <v>7096</v>
      </c>
      <c r="B95" s="159" t="s">
        <v>7146</v>
      </c>
      <c r="C95" s="159" t="s">
        <v>7104</v>
      </c>
      <c r="D95" s="159">
        <v>1000</v>
      </c>
      <c r="E95" s="159">
        <v>0</v>
      </c>
      <c r="F95" s="159">
        <v>0</v>
      </c>
      <c r="G95" s="159" t="s">
        <v>479</v>
      </c>
      <c r="H95" s="159" t="s">
        <v>479</v>
      </c>
      <c r="I95" s="159">
        <v>1</v>
      </c>
    </row>
    <row r="96" spans="1:9" ht="15.75" customHeight="1">
      <c r="A96" s="159" t="s">
        <v>7096</v>
      </c>
      <c r="B96" s="159" t="s">
        <v>7147</v>
      </c>
      <c r="C96" s="159" t="s">
        <v>484</v>
      </c>
      <c r="D96" s="159">
        <v>4</v>
      </c>
      <c r="E96" s="159">
        <v>10</v>
      </c>
      <c r="F96" s="159">
        <v>0</v>
      </c>
      <c r="G96" s="159" t="s">
        <v>479</v>
      </c>
      <c r="H96" s="159" t="s">
        <v>479</v>
      </c>
      <c r="I96" s="159">
        <v>1</v>
      </c>
    </row>
    <row r="97" spans="1:9" ht="15.75" customHeight="1">
      <c r="A97" s="159" t="s">
        <v>7096</v>
      </c>
      <c r="B97" s="159" t="s">
        <v>7148</v>
      </c>
      <c r="C97" s="159" t="s">
        <v>1796</v>
      </c>
      <c r="D97" s="159">
        <v>200</v>
      </c>
      <c r="E97" s="159">
        <v>0</v>
      </c>
      <c r="F97" s="159">
        <v>0</v>
      </c>
      <c r="G97" s="159" t="s">
        <v>479</v>
      </c>
      <c r="H97" s="159" t="s">
        <v>479</v>
      </c>
      <c r="I97" s="159">
        <v>1</v>
      </c>
    </row>
    <row r="98" spans="1:9" ht="15.75" customHeight="1">
      <c r="A98" s="159" t="s">
        <v>7096</v>
      </c>
      <c r="B98" s="159" t="s">
        <v>7148</v>
      </c>
      <c r="C98" s="159" t="s">
        <v>7104</v>
      </c>
      <c r="D98" s="159">
        <v>200</v>
      </c>
      <c r="E98" s="159">
        <v>0</v>
      </c>
      <c r="F98" s="159">
        <v>0</v>
      </c>
      <c r="G98" s="159" t="s">
        <v>479</v>
      </c>
      <c r="H98" s="159" t="s">
        <v>479</v>
      </c>
      <c r="I98" s="159">
        <v>1</v>
      </c>
    </row>
    <row r="99" spans="1:9" ht="15.75" customHeight="1">
      <c r="A99" s="159" t="s">
        <v>7096</v>
      </c>
      <c r="B99" s="159" t="s">
        <v>7140</v>
      </c>
      <c r="C99" s="159" t="s">
        <v>538</v>
      </c>
      <c r="D99" s="159">
        <v>8</v>
      </c>
      <c r="E99" s="159">
        <v>23</v>
      </c>
      <c r="F99" s="159">
        <v>3</v>
      </c>
      <c r="G99" s="159" t="s">
        <v>479</v>
      </c>
      <c r="H99" s="159" t="s">
        <v>479</v>
      </c>
      <c r="I99" s="159">
        <v>1</v>
      </c>
    </row>
    <row r="100" spans="1:9" ht="15.75" customHeight="1">
      <c r="A100" s="159" t="s">
        <v>7097</v>
      </c>
      <c r="B100" s="159" t="s">
        <v>7101</v>
      </c>
      <c r="C100" s="159" t="s">
        <v>3520</v>
      </c>
      <c r="D100" s="159">
        <v>20</v>
      </c>
      <c r="E100" s="159">
        <v>0</v>
      </c>
      <c r="F100" s="159">
        <v>0</v>
      </c>
      <c r="G100" s="159" t="s">
        <v>479</v>
      </c>
      <c r="H100" s="159" t="s">
        <v>479</v>
      </c>
      <c r="I100" s="159">
        <v>1</v>
      </c>
    </row>
    <row r="101" spans="1:9" ht="15.75" customHeight="1">
      <c r="A101" s="159" t="s">
        <v>7097</v>
      </c>
      <c r="B101" s="159" t="s">
        <v>7149</v>
      </c>
      <c r="C101" s="159" t="s">
        <v>1796</v>
      </c>
      <c r="D101" s="159">
        <v>100</v>
      </c>
      <c r="E101" s="159">
        <v>0</v>
      </c>
      <c r="F101" s="159">
        <v>0</v>
      </c>
      <c r="G101" s="159" t="s">
        <v>479</v>
      </c>
      <c r="H101" s="159" t="s">
        <v>479</v>
      </c>
      <c r="I101" s="159">
        <v>1</v>
      </c>
    </row>
    <row r="102" spans="1:9" ht="15.75" customHeight="1">
      <c r="A102" s="159" t="s">
        <v>7097</v>
      </c>
      <c r="B102" s="159" t="s">
        <v>7149</v>
      </c>
      <c r="C102" s="159" t="s">
        <v>7104</v>
      </c>
      <c r="D102" s="159">
        <v>100</v>
      </c>
      <c r="E102" s="159">
        <v>0</v>
      </c>
      <c r="F102" s="159">
        <v>0</v>
      </c>
      <c r="G102" s="159" t="s">
        <v>479</v>
      </c>
      <c r="H102" s="159" t="s">
        <v>479</v>
      </c>
      <c r="I102" s="159">
        <v>1</v>
      </c>
    </row>
    <row r="103" spans="1:9" ht="15.75" customHeight="1">
      <c r="A103" s="159" t="s">
        <v>7097</v>
      </c>
      <c r="B103" s="159" t="s">
        <v>7150</v>
      </c>
      <c r="C103" s="159" t="s">
        <v>1796</v>
      </c>
      <c r="D103" s="159">
        <v>1000</v>
      </c>
      <c r="E103" s="159">
        <v>0</v>
      </c>
      <c r="F103" s="159">
        <v>0</v>
      </c>
      <c r="G103" s="159" t="s">
        <v>479</v>
      </c>
      <c r="H103" s="159" t="s">
        <v>479</v>
      </c>
      <c r="I103" s="159">
        <v>0</v>
      </c>
    </row>
    <row r="104" spans="1:9" ht="15.75" customHeight="1">
      <c r="A104" s="159" t="s">
        <v>7097</v>
      </c>
      <c r="B104" s="159" t="s">
        <v>7150</v>
      </c>
      <c r="C104" s="159" t="s">
        <v>7104</v>
      </c>
      <c r="D104" s="159">
        <v>1000</v>
      </c>
      <c r="E104" s="159">
        <v>0</v>
      </c>
      <c r="F104" s="159">
        <v>0</v>
      </c>
      <c r="G104" s="159" t="s">
        <v>479</v>
      </c>
      <c r="H104" s="159" t="s">
        <v>479</v>
      </c>
      <c r="I104" s="159">
        <v>0</v>
      </c>
    </row>
    <row r="105" spans="1:9" ht="15.75" customHeight="1">
      <c r="A105" s="159" t="s">
        <v>7097</v>
      </c>
      <c r="B105" s="159" t="s">
        <v>7151</v>
      </c>
      <c r="C105" s="159" t="s">
        <v>484</v>
      </c>
      <c r="D105" s="159">
        <v>4</v>
      </c>
      <c r="E105" s="159">
        <v>10</v>
      </c>
      <c r="F105" s="159">
        <v>0</v>
      </c>
      <c r="G105" s="159" t="s">
        <v>479</v>
      </c>
      <c r="H105" s="159" t="s">
        <v>479</v>
      </c>
      <c r="I105" s="159">
        <v>0</v>
      </c>
    </row>
    <row r="106" spans="1:9" ht="15.75" customHeight="1">
      <c r="A106" s="159" t="s">
        <v>7097</v>
      </c>
      <c r="B106" s="159" t="s">
        <v>7152</v>
      </c>
      <c r="C106" s="159" t="s">
        <v>1796</v>
      </c>
      <c r="D106" s="159">
        <v>1000</v>
      </c>
      <c r="E106" s="159">
        <v>0</v>
      </c>
      <c r="F106" s="159">
        <v>0</v>
      </c>
      <c r="G106" s="159" t="s">
        <v>479</v>
      </c>
      <c r="H106" s="159" t="s">
        <v>479</v>
      </c>
      <c r="I106" s="159">
        <v>0</v>
      </c>
    </row>
    <row r="107" spans="1:9" ht="15.75" customHeight="1">
      <c r="A107" s="159" t="s">
        <v>7097</v>
      </c>
      <c r="B107" s="159" t="s">
        <v>7152</v>
      </c>
      <c r="C107" s="159" t="s">
        <v>7104</v>
      </c>
      <c r="D107" s="159">
        <v>1000</v>
      </c>
      <c r="E107" s="159">
        <v>0</v>
      </c>
      <c r="F107" s="159">
        <v>0</v>
      </c>
      <c r="G107" s="159" t="s">
        <v>479</v>
      </c>
      <c r="H107" s="159" t="s">
        <v>479</v>
      </c>
      <c r="I107" s="159">
        <v>0</v>
      </c>
    </row>
    <row r="108" spans="1:9" ht="15.75" customHeight="1">
      <c r="A108" s="159" t="s">
        <v>7097</v>
      </c>
      <c r="B108" s="159" t="s">
        <v>537</v>
      </c>
      <c r="C108" s="159" t="s">
        <v>496</v>
      </c>
      <c r="D108" s="159">
        <v>4</v>
      </c>
      <c r="E108" s="159">
        <v>16</v>
      </c>
      <c r="F108" s="159">
        <v>0</v>
      </c>
      <c r="G108" s="159" t="s">
        <v>479</v>
      </c>
      <c r="H108" s="159" t="s">
        <v>479</v>
      </c>
      <c r="I108" s="159">
        <v>1</v>
      </c>
    </row>
    <row r="109" spans="1:9" ht="15.75" customHeight="1">
      <c r="A109" s="159" t="s">
        <v>7097</v>
      </c>
      <c r="B109" s="159" t="s">
        <v>7153</v>
      </c>
      <c r="C109" s="159" t="s">
        <v>1796</v>
      </c>
      <c r="D109" s="159">
        <v>1000</v>
      </c>
      <c r="E109" s="159">
        <v>0</v>
      </c>
      <c r="F109" s="159">
        <v>0</v>
      </c>
      <c r="G109" s="159" t="s">
        <v>479</v>
      </c>
      <c r="H109" s="159" t="s">
        <v>479</v>
      </c>
      <c r="I109" s="159">
        <v>1</v>
      </c>
    </row>
    <row r="110" spans="1:9" ht="15.75" customHeight="1">
      <c r="A110" s="159" t="s">
        <v>7097</v>
      </c>
      <c r="B110" s="159" t="s">
        <v>7153</v>
      </c>
      <c r="C110" s="159" t="s">
        <v>7104</v>
      </c>
      <c r="D110" s="159">
        <v>1000</v>
      </c>
      <c r="E110" s="159">
        <v>0</v>
      </c>
      <c r="F110" s="159">
        <v>0</v>
      </c>
      <c r="G110" s="159" t="s">
        <v>479</v>
      </c>
      <c r="H110" s="159" t="s">
        <v>479</v>
      </c>
      <c r="I110" s="159">
        <v>1</v>
      </c>
    </row>
    <row r="111" spans="1:9" ht="15.75" customHeight="1">
      <c r="A111" s="159" t="s">
        <v>7097</v>
      </c>
      <c r="B111" s="159" t="s">
        <v>4376</v>
      </c>
      <c r="C111" s="159" t="s">
        <v>1796</v>
      </c>
      <c r="D111" s="159">
        <v>1000</v>
      </c>
      <c r="E111" s="159">
        <v>0</v>
      </c>
      <c r="F111" s="159">
        <v>0</v>
      </c>
      <c r="G111" s="159" t="s">
        <v>479</v>
      </c>
      <c r="H111" s="159" t="s">
        <v>479</v>
      </c>
      <c r="I111" s="159">
        <v>1</v>
      </c>
    </row>
    <row r="112" spans="1:9" ht="15.75" customHeight="1">
      <c r="A112" s="159" t="s">
        <v>7097</v>
      </c>
      <c r="B112" s="159" t="s">
        <v>4376</v>
      </c>
      <c r="C112" s="159" t="s">
        <v>7104</v>
      </c>
      <c r="D112" s="159">
        <v>1000</v>
      </c>
      <c r="E112" s="159">
        <v>0</v>
      </c>
      <c r="F112" s="159">
        <v>0</v>
      </c>
      <c r="G112" s="159" t="s">
        <v>479</v>
      </c>
      <c r="H112" s="159" t="s">
        <v>479</v>
      </c>
      <c r="I112" s="159">
        <v>1</v>
      </c>
    </row>
    <row r="113" spans="1:9" ht="15.75" customHeight="1">
      <c r="A113" s="159" t="s">
        <v>7097</v>
      </c>
      <c r="B113" s="159" t="s">
        <v>5158</v>
      </c>
      <c r="C113" s="159" t="s">
        <v>6118</v>
      </c>
      <c r="D113" s="159">
        <v>16</v>
      </c>
      <c r="E113" s="159">
        <v>0</v>
      </c>
      <c r="F113" s="159">
        <v>0</v>
      </c>
      <c r="G113" s="159" t="s">
        <v>479</v>
      </c>
      <c r="H113" s="159" t="s">
        <v>479</v>
      </c>
      <c r="I113" s="159">
        <v>1</v>
      </c>
    </row>
    <row r="114" spans="1:9" ht="15.75" customHeight="1">
      <c r="A114" s="159" t="s">
        <v>7097</v>
      </c>
      <c r="B114" s="159" t="s">
        <v>6163</v>
      </c>
      <c r="C114" s="159" t="s">
        <v>484</v>
      </c>
      <c r="D114" s="159">
        <v>4</v>
      </c>
      <c r="E114" s="159">
        <v>10</v>
      </c>
      <c r="F114" s="159">
        <v>0</v>
      </c>
      <c r="G114" s="159" t="s">
        <v>479</v>
      </c>
      <c r="H114" s="159" t="s">
        <v>479</v>
      </c>
      <c r="I114" s="159">
        <v>1</v>
      </c>
    </row>
    <row r="115" spans="1:9" ht="15.75" customHeight="1">
      <c r="A115" s="159" t="s">
        <v>7097</v>
      </c>
      <c r="B115" s="159" t="s">
        <v>7154</v>
      </c>
      <c r="C115" s="159" t="s">
        <v>484</v>
      </c>
      <c r="D115" s="159">
        <v>4</v>
      </c>
      <c r="E115" s="159">
        <v>10</v>
      </c>
      <c r="F115" s="159">
        <v>0</v>
      </c>
      <c r="G115" s="159" t="s">
        <v>479</v>
      </c>
      <c r="H115" s="159" t="s">
        <v>479</v>
      </c>
      <c r="I115" s="159">
        <v>1</v>
      </c>
    </row>
    <row r="116" spans="1:9" ht="15.75" customHeight="1">
      <c r="A116" s="159" t="s">
        <v>7098</v>
      </c>
      <c r="B116" s="159" t="s">
        <v>7102</v>
      </c>
      <c r="C116" s="159" t="s">
        <v>484</v>
      </c>
      <c r="D116" s="159">
        <v>4</v>
      </c>
      <c r="E116" s="159">
        <v>10</v>
      </c>
      <c r="F116" s="159">
        <v>0</v>
      </c>
      <c r="G116" s="159" t="s">
        <v>479</v>
      </c>
      <c r="H116" s="159" t="s">
        <v>479</v>
      </c>
      <c r="I116" s="159">
        <v>1</v>
      </c>
    </row>
    <row r="117" spans="1:9" ht="15.75" customHeight="1">
      <c r="A117" s="159" t="s">
        <v>7098</v>
      </c>
      <c r="B117" s="159" t="s">
        <v>7155</v>
      </c>
      <c r="C117" s="159" t="s">
        <v>484</v>
      </c>
      <c r="D117" s="159">
        <v>4</v>
      </c>
      <c r="E117" s="159">
        <v>10</v>
      </c>
      <c r="F117" s="159">
        <v>0</v>
      </c>
      <c r="G117" s="159" t="s">
        <v>479</v>
      </c>
      <c r="H117" s="159" t="s">
        <v>479</v>
      </c>
      <c r="I117" s="159">
        <v>1</v>
      </c>
    </row>
    <row r="118" spans="1:9" ht="15.75" customHeight="1">
      <c r="A118" s="159" t="s">
        <v>7098</v>
      </c>
      <c r="B118" s="159" t="s">
        <v>7156</v>
      </c>
      <c r="C118" s="159" t="s">
        <v>477</v>
      </c>
      <c r="D118" s="159">
        <v>10</v>
      </c>
      <c r="E118" s="159">
        <v>0</v>
      </c>
      <c r="F118" s="159">
        <v>0</v>
      </c>
      <c r="G118" s="159" t="s">
        <v>479</v>
      </c>
      <c r="H118" s="159" t="s">
        <v>479</v>
      </c>
      <c r="I118" s="159">
        <v>1</v>
      </c>
    </row>
    <row r="119" spans="1:9" ht="15.75" customHeight="1">
      <c r="A119" s="159" t="s">
        <v>7098</v>
      </c>
      <c r="B119" s="159" t="s">
        <v>7157</v>
      </c>
      <c r="C119" s="159" t="s">
        <v>484</v>
      </c>
      <c r="D119" s="159">
        <v>4</v>
      </c>
      <c r="E119" s="159">
        <v>10</v>
      </c>
      <c r="F119" s="159">
        <v>0</v>
      </c>
      <c r="G119" s="159" t="s">
        <v>479</v>
      </c>
      <c r="H119" s="159" t="s">
        <v>479</v>
      </c>
      <c r="I119" s="159">
        <v>1</v>
      </c>
    </row>
    <row r="120" spans="1:9" ht="15.75" customHeight="1">
      <c r="A120" s="159" t="s">
        <v>7098</v>
      </c>
      <c r="B120" s="159" t="s">
        <v>7158</v>
      </c>
      <c r="C120" s="159" t="s">
        <v>1796</v>
      </c>
      <c r="D120" s="159">
        <v>60</v>
      </c>
      <c r="E120" s="159">
        <v>0</v>
      </c>
      <c r="F120" s="159">
        <v>0</v>
      </c>
      <c r="G120" s="159" t="s">
        <v>479</v>
      </c>
      <c r="H120" s="159" t="s">
        <v>479</v>
      </c>
      <c r="I120" s="159">
        <v>1</v>
      </c>
    </row>
    <row r="121" spans="1:9" ht="15.75" customHeight="1">
      <c r="A121" s="159" t="s">
        <v>7098</v>
      </c>
      <c r="B121" s="159" t="s">
        <v>7158</v>
      </c>
      <c r="C121" s="159" t="s">
        <v>7104</v>
      </c>
      <c r="D121" s="159">
        <v>60</v>
      </c>
      <c r="E121" s="159">
        <v>0</v>
      </c>
      <c r="F121" s="159">
        <v>0</v>
      </c>
      <c r="G121" s="159" t="s">
        <v>479</v>
      </c>
      <c r="H121" s="159" t="s">
        <v>479</v>
      </c>
      <c r="I121" s="159">
        <v>1</v>
      </c>
    </row>
    <row r="122" spans="1:9" ht="15.75" customHeight="1">
      <c r="A122" s="159" t="s">
        <v>7098</v>
      </c>
      <c r="B122" s="159" t="s">
        <v>4674</v>
      </c>
      <c r="C122" s="159" t="s">
        <v>6118</v>
      </c>
      <c r="D122" s="159">
        <v>16</v>
      </c>
      <c r="E122" s="159">
        <v>0</v>
      </c>
      <c r="F122" s="159">
        <v>0</v>
      </c>
      <c r="G122" s="159" t="s">
        <v>479</v>
      </c>
      <c r="H122" s="159" t="s">
        <v>479</v>
      </c>
      <c r="I122" s="159">
        <v>1</v>
      </c>
    </row>
    <row r="123" spans="1:9" ht="15.75" customHeight="1">
      <c r="A123" s="159" t="s">
        <v>7098</v>
      </c>
      <c r="B123" s="159" t="s">
        <v>7134</v>
      </c>
      <c r="C123" s="159" t="s">
        <v>1796</v>
      </c>
      <c r="D123" s="159">
        <v>100</v>
      </c>
      <c r="E123" s="159">
        <v>0</v>
      </c>
      <c r="F123" s="159">
        <v>0</v>
      </c>
      <c r="G123" s="159" t="s">
        <v>479</v>
      </c>
      <c r="H123" s="159" t="s">
        <v>479</v>
      </c>
      <c r="I123" s="159">
        <v>1</v>
      </c>
    </row>
    <row r="124" spans="1:9" ht="15.75" customHeight="1">
      <c r="A124" s="159" t="s">
        <v>7098</v>
      </c>
      <c r="B124" s="159" t="s">
        <v>7134</v>
      </c>
      <c r="C124" s="159" t="s">
        <v>7104</v>
      </c>
      <c r="D124" s="159">
        <v>100</v>
      </c>
      <c r="E124" s="159">
        <v>0</v>
      </c>
      <c r="F124" s="159">
        <v>0</v>
      </c>
      <c r="G124" s="159" t="s">
        <v>479</v>
      </c>
      <c r="H124" s="159" t="s">
        <v>479</v>
      </c>
      <c r="I124" s="159">
        <v>1</v>
      </c>
    </row>
    <row r="125" spans="1:9" ht="15.75" customHeight="1">
      <c r="A125" s="159" t="s">
        <v>7098</v>
      </c>
      <c r="B125" s="159" t="s">
        <v>7159</v>
      </c>
      <c r="C125" s="159" t="s">
        <v>477</v>
      </c>
      <c r="D125" s="159">
        <v>25</v>
      </c>
      <c r="E125" s="159">
        <v>0</v>
      </c>
      <c r="F125" s="159">
        <v>0</v>
      </c>
      <c r="G125" s="159" t="s">
        <v>479</v>
      </c>
      <c r="H125" s="159" t="s">
        <v>479</v>
      </c>
      <c r="I125" s="159">
        <v>1</v>
      </c>
    </row>
    <row r="126" spans="1:9" ht="15.75" customHeight="1">
      <c r="A126" s="159" t="s">
        <v>7098</v>
      </c>
      <c r="B126" s="159" t="s">
        <v>7160</v>
      </c>
      <c r="C126" s="159" t="s">
        <v>1796</v>
      </c>
      <c r="D126" s="159">
        <v>100</v>
      </c>
      <c r="E126" s="159">
        <v>0</v>
      </c>
      <c r="F126" s="159">
        <v>0</v>
      </c>
      <c r="G126" s="159" t="s">
        <v>479</v>
      </c>
      <c r="H126" s="159" t="s">
        <v>479</v>
      </c>
      <c r="I126" s="159">
        <v>1</v>
      </c>
    </row>
    <row r="127" spans="1:9" ht="15.75" customHeight="1">
      <c r="A127" s="159" t="s">
        <v>7098</v>
      </c>
      <c r="B127" s="159" t="s">
        <v>7160</v>
      </c>
      <c r="C127" s="159" t="s">
        <v>7104</v>
      </c>
      <c r="D127" s="159">
        <v>100</v>
      </c>
      <c r="E127" s="159">
        <v>0</v>
      </c>
      <c r="F127" s="159">
        <v>0</v>
      </c>
      <c r="G127" s="159" t="s">
        <v>479</v>
      </c>
      <c r="H127" s="159" t="s">
        <v>479</v>
      </c>
      <c r="I127" s="159">
        <v>1</v>
      </c>
    </row>
    <row r="128" spans="1:9" ht="15.75" customHeight="1">
      <c r="A128" s="159" t="s">
        <v>7098</v>
      </c>
      <c r="B128" s="159" t="s">
        <v>6207</v>
      </c>
      <c r="C128" s="159" t="s">
        <v>717</v>
      </c>
      <c r="D128" s="159">
        <v>17</v>
      </c>
      <c r="E128" s="159">
        <v>38</v>
      </c>
      <c r="F128" s="159">
        <v>2</v>
      </c>
      <c r="G128" s="159" t="s">
        <v>479</v>
      </c>
      <c r="H128" s="159" t="s">
        <v>479</v>
      </c>
      <c r="I128" s="159">
        <v>1</v>
      </c>
    </row>
    <row r="129" spans="1:9" ht="15.75" customHeight="1">
      <c r="A129" s="159" t="s">
        <v>7098</v>
      </c>
      <c r="B129" s="159" t="s">
        <v>7161</v>
      </c>
      <c r="C129" s="159" t="s">
        <v>477</v>
      </c>
      <c r="D129" s="159">
        <v>50</v>
      </c>
      <c r="E129" s="159">
        <v>0</v>
      </c>
      <c r="F129" s="159">
        <v>0</v>
      </c>
      <c r="G129" s="159" t="s">
        <v>479</v>
      </c>
      <c r="H129" s="159" t="s">
        <v>479</v>
      </c>
      <c r="I129" s="159">
        <v>1</v>
      </c>
    </row>
    <row r="130" spans="1:9" ht="15.75" customHeight="1">
      <c r="A130" s="159" t="s">
        <v>7098</v>
      </c>
      <c r="B130" s="159" t="s">
        <v>7162</v>
      </c>
      <c r="C130" s="159" t="s">
        <v>538</v>
      </c>
      <c r="D130" s="159">
        <v>8</v>
      </c>
      <c r="E130" s="159">
        <v>23</v>
      </c>
      <c r="F130" s="159">
        <v>3</v>
      </c>
      <c r="G130" s="159" t="s">
        <v>479</v>
      </c>
      <c r="H130" s="159" t="s">
        <v>479</v>
      </c>
      <c r="I130" s="159">
        <v>1</v>
      </c>
    </row>
    <row r="131" spans="1:9" ht="15.75" customHeight="1">
      <c r="A131" s="159" t="s">
        <v>7098</v>
      </c>
      <c r="B131" s="159" t="s">
        <v>7163</v>
      </c>
      <c r="C131" s="159" t="s">
        <v>477</v>
      </c>
      <c r="D131" s="159">
        <v>100</v>
      </c>
      <c r="E131" s="159">
        <v>0</v>
      </c>
      <c r="F131" s="159">
        <v>0</v>
      </c>
      <c r="G131" s="159" t="s">
        <v>479</v>
      </c>
      <c r="H131" s="159" t="s">
        <v>479</v>
      </c>
      <c r="I131" s="159">
        <v>1</v>
      </c>
    </row>
    <row r="132" spans="1:9" ht="15.75" customHeight="1">
      <c r="A132" s="159" t="s">
        <v>7098</v>
      </c>
      <c r="B132" s="159" t="s">
        <v>7164</v>
      </c>
      <c r="C132" s="159" t="s">
        <v>538</v>
      </c>
      <c r="D132" s="159">
        <v>8</v>
      </c>
      <c r="E132" s="159">
        <v>23</v>
      </c>
      <c r="F132" s="159">
        <v>3</v>
      </c>
      <c r="G132" s="159" t="s">
        <v>479</v>
      </c>
      <c r="H132" s="159" t="s">
        <v>479</v>
      </c>
      <c r="I132" s="159">
        <v>1</v>
      </c>
    </row>
    <row r="133" spans="1:9" ht="15.75" customHeight="1">
      <c r="A133" s="159" t="s">
        <v>7098</v>
      </c>
      <c r="B133" s="159" t="s">
        <v>7165</v>
      </c>
      <c r="C133" s="159" t="s">
        <v>477</v>
      </c>
      <c r="D133" s="159">
        <v>1000</v>
      </c>
      <c r="E133" s="159">
        <v>0</v>
      </c>
      <c r="F133" s="159">
        <v>0</v>
      </c>
      <c r="G133" s="159" t="s">
        <v>479</v>
      </c>
      <c r="H133" s="159" t="s">
        <v>479</v>
      </c>
      <c r="I133" s="159">
        <v>1</v>
      </c>
    </row>
    <row r="134" spans="1:9" ht="15.75" customHeight="1">
      <c r="A134" s="159" t="s">
        <v>7099</v>
      </c>
      <c r="B134" s="159" t="s">
        <v>7157</v>
      </c>
      <c r="C134" s="159" t="s">
        <v>484</v>
      </c>
      <c r="D134" s="159">
        <v>4</v>
      </c>
      <c r="E134" s="159">
        <v>10</v>
      </c>
      <c r="F134" s="159">
        <v>0</v>
      </c>
      <c r="G134" s="159" t="s">
        <v>479</v>
      </c>
      <c r="H134" s="159" t="s">
        <v>479</v>
      </c>
      <c r="I134" s="159">
        <v>1</v>
      </c>
    </row>
    <row r="135" spans="1:9" ht="15.75" customHeight="1">
      <c r="A135" s="159" t="s">
        <v>7099</v>
      </c>
      <c r="B135" s="159" t="s">
        <v>7102</v>
      </c>
      <c r="C135" s="159" t="s">
        <v>484</v>
      </c>
      <c r="D135" s="159">
        <v>4</v>
      </c>
      <c r="E135" s="159">
        <v>10</v>
      </c>
      <c r="F135" s="159">
        <v>0</v>
      </c>
      <c r="G135" s="159" t="s">
        <v>479</v>
      </c>
      <c r="H135" s="159" t="s">
        <v>479</v>
      </c>
      <c r="I135" s="159">
        <v>1</v>
      </c>
    </row>
    <row r="136" spans="1:9" ht="15.75" customHeight="1">
      <c r="A136" s="159" t="s">
        <v>7099</v>
      </c>
      <c r="B136" s="159" t="s">
        <v>1070</v>
      </c>
      <c r="C136" s="159" t="s">
        <v>484</v>
      </c>
      <c r="D136" s="159">
        <v>4</v>
      </c>
      <c r="E136" s="159">
        <v>10</v>
      </c>
      <c r="F136" s="159">
        <v>0</v>
      </c>
      <c r="G136" s="159" t="s">
        <v>479</v>
      </c>
      <c r="H136" s="159" t="s">
        <v>479</v>
      </c>
      <c r="I136" s="159">
        <v>1</v>
      </c>
    </row>
    <row r="137" spans="1:9" ht="15.75" customHeight="1">
      <c r="A137" s="159" t="s">
        <v>7099</v>
      </c>
      <c r="B137" s="159" t="s">
        <v>7166</v>
      </c>
      <c r="C137" s="159" t="s">
        <v>538</v>
      </c>
      <c r="D137" s="159">
        <v>8</v>
      </c>
      <c r="E137" s="159">
        <v>23</v>
      </c>
      <c r="F137" s="159">
        <v>3</v>
      </c>
      <c r="G137" s="159" t="s">
        <v>479</v>
      </c>
      <c r="H137" s="159" t="s">
        <v>479</v>
      </c>
      <c r="I137" s="159">
        <v>1</v>
      </c>
    </row>
    <row r="138" spans="1:9" ht="15.75" customHeight="1">
      <c r="A138" s="159" t="s">
        <v>7099</v>
      </c>
      <c r="B138" s="159" t="s">
        <v>5158</v>
      </c>
      <c r="C138" s="159" t="s">
        <v>6118</v>
      </c>
      <c r="D138" s="159">
        <v>16</v>
      </c>
      <c r="E138" s="159">
        <v>0</v>
      </c>
      <c r="F138" s="159">
        <v>0</v>
      </c>
      <c r="G138" s="159" t="s">
        <v>479</v>
      </c>
      <c r="H138" s="159" t="s">
        <v>479</v>
      </c>
      <c r="I138" s="159">
        <v>1</v>
      </c>
    </row>
    <row r="139" spans="1:9" ht="15.75" customHeight="1">
      <c r="A139" s="159" t="s">
        <v>7099</v>
      </c>
      <c r="B139" s="159" t="s">
        <v>7134</v>
      </c>
      <c r="C139" s="159" t="s">
        <v>477</v>
      </c>
      <c r="D139" s="159">
        <v>50</v>
      </c>
      <c r="E139" s="159">
        <v>0</v>
      </c>
      <c r="F139" s="159">
        <v>0</v>
      </c>
      <c r="G139" s="159" t="s">
        <v>479</v>
      </c>
      <c r="H139" s="159" t="s">
        <v>479</v>
      </c>
      <c r="I139" s="159">
        <v>1</v>
      </c>
    </row>
    <row r="140" spans="1:9" ht="15.75" customHeight="1">
      <c r="A140" s="159" t="s">
        <v>7099</v>
      </c>
      <c r="B140" s="159" t="s">
        <v>7160</v>
      </c>
      <c r="C140" s="159" t="s">
        <v>477</v>
      </c>
      <c r="D140" s="159">
        <v>50</v>
      </c>
      <c r="E140" s="159">
        <v>0</v>
      </c>
      <c r="F140" s="159">
        <v>0</v>
      </c>
      <c r="G140" s="159" t="s">
        <v>479</v>
      </c>
      <c r="H140" s="159" t="s">
        <v>479</v>
      </c>
      <c r="I140" s="159">
        <v>1</v>
      </c>
    </row>
    <row r="141" spans="1:9" ht="15.75" customHeight="1">
      <c r="A141" s="159" t="s">
        <v>7099</v>
      </c>
      <c r="B141" s="159" t="s">
        <v>1993</v>
      </c>
      <c r="C141" s="159" t="s">
        <v>1631</v>
      </c>
      <c r="D141" s="159">
        <v>8</v>
      </c>
      <c r="E141" s="159">
        <v>19</v>
      </c>
      <c r="F141" s="159">
        <v>0</v>
      </c>
      <c r="G141" s="159" t="s">
        <v>479</v>
      </c>
      <c r="H141" s="159" t="s">
        <v>479</v>
      </c>
      <c r="I141" s="159">
        <v>1</v>
      </c>
    </row>
    <row r="142" spans="1:9" ht="15.75" customHeight="1">
      <c r="A142" s="159" t="s">
        <v>7099</v>
      </c>
      <c r="B142" s="159" t="s">
        <v>7167</v>
      </c>
      <c r="C142" s="159" t="s">
        <v>717</v>
      </c>
      <c r="D142" s="159">
        <v>13</v>
      </c>
      <c r="E142" s="159">
        <v>21</v>
      </c>
      <c r="F142" s="159">
        <v>2</v>
      </c>
      <c r="G142" s="159" t="s">
        <v>479</v>
      </c>
      <c r="H142" s="159" t="s">
        <v>479</v>
      </c>
      <c r="I142" s="159">
        <v>1</v>
      </c>
    </row>
    <row r="143" spans="1:9" ht="15.75" customHeight="1">
      <c r="A143" s="159" t="s">
        <v>7099</v>
      </c>
      <c r="B143" s="159" t="s">
        <v>6119</v>
      </c>
      <c r="C143" s="159" t="s">
        <v>477</v>
      </c>
      <c r="D143" s="159">
        <v>50</v>
      </c>
      <c r="E143" s="159">
        <v>0</v>
      </c>
      <c r="F143" s="159">
        <v>0</v>
      </c>
      <c r="G143" s="159" t="s">
        <v>479</v>
      </c>
      <c r="H143" s="159" t="s">
        <v>479</v>
      </c>
      <c r="I143" s="159">
        <v>1</v>
      </c>
    </row>
    <row r="144" spans="1:9" ht="15.75" customHeight="1">
      <c r="A144" s="159" t="s">
        <v>7099</v>
      </c>
      <c r="B144" s="159" t="s">
        <v>7168</v>
      </c>
      <c r="C144" s="159" t="s">
        <v>477</v>
      </c>
      <c r="D144" s="159">
        <v>50</v>
      </c>
      <c r="E144" s="159">
        <v>0</v>
      </c>
      <c r="F144" s="159">
        <v>0</v>
      </c>
      <c r="G144" s="159" t="s">
        <v>479</v>
      </c>
      <c r="H144" s="159" t="s">
        <v>479</v>
      </c>
      <c r="I144" s="159">
        <v>1</v>
      </c>
    </row>
    <row r="145" spans="1:9" ht="15.75" customHeight="1">
      <c r="A145" s="159" t="s">
        <v>7099</v>
      </c>
      <c r="B145" s="159" t="s">
        <v>6163</v>
      </c>
      <c r="C145" s="159" t="s">
        <v>1631</v>
      </c>
      <c r="D145" s="159">
        <v>8</v>
      </c>
      <c r="E145" s="159">
        <v>19</v>
      </c>
      <c r="F145" s="159">
        <v>0</v>
      </c>
      <c r="G145" s="159" t="s">
        <v>479</v>
      </c>
      <c r="H145" s="159" t="s">
        <v>479</v>
      </c>
      <c r="I145" s="159">
        <v>1</v>
      </c>
    </row>
    <row r="146" spans="1:9" ht="15.75" customHeight="1">
      <c r="A146" s="159" t="s">
        <v>7099</v>
      </c>
      <c r="B146" s="159" t="s">
        <v>7169</v>
      </c>
      <c r="C146" s="159" t="s">
        <v>1796</v>
      </c>
      <c r="D146" s="159">
        <v>100</v>
      </c>
      <c r="E146" s="159">
        <v>0</v>
      </c>
      <c r="F146" s="159">
        <v>0</v>
      </c>
      <c r="G146" s="159" t="s">
        <v>479</v>
      </c>
      <c r="H146" s="159" t="s">
        <v>479</v>
      </c>
      <c r="I146" s="159">
        <v>1</v>
      </c>
    </row>
    <row r="147" spans="1:9" ht="15.75" customHeight="1">
      <c r="A147" s="159" t="s">
        <v>7099</v>
      </c>
      <c r="B147" s="159" t="s">
        <v>7169</v>
      </c>
      <c r="C147" s="159" t="s">
        <v>7104</v>
      </c>
      <c r="D147" s="159">
        <v>100</v>
      </c>
      <c r="E147" s="159">
        <v>0</v>
      </c>
      <c r="F147" s="159">
        <v>0</v>
      </c>
      <c r="G147" s="159" t="s">
        <v>479</v>
      </c>
      <c r="H147" s="159" t="s">
        <v>479</v>
      </c>
      <c r="I147" s="159">
        <v>1</v>
      </c>
    </row>
    <row r="148" spans="1:9" ht="15.75" customHeight="1">
      <c r="A148" s="159" t="s">
        <v>7099</v>
      </c>
      <c r="B148" s="159" t="s">
        <v>7162</v>
      </c>
      <c r="C148" s="159" t="s">
        <v>538</v>
      </c>
      <c r="D148" s="159">
        <v>8</v>
      </c>
      <c r="E148" s="159">
        <v>23</v>
      </c>
      <c r="F148" s="159">
        <v>3</v>
      </c>
      <c r="G148" s="159" t="s">
        <v>479</v>
      </c>
      <c r="H148" s="159" t="s">
        <v>479</v>
      </c>
      <c r="I148" s="159">
        <v>1</v>
      </c>
    </row>
    <row r="149" spans="1:9" ht="15.75" customHeight="1">
      <c r="A149" s="159" t="s">
        <v>7099</v>
      </c>
      <c r="B149" s="159" t="s">
        <v>7163</v>
      </c>
      <c r="C149" s="159" t="s">
        <v>477</v>
      </c>
      <c r="D149" s="159">
        <v>100</v>
      </c>
      <c r="E149" s="159">
        <v>0</v>
      </c>
      <c r="F149" s="159">
        <v>0</v>
      </c>
      <c r="G149" s="159" t="s">
        <v>479</v>
      </c>
      <c r="H149" s="159" t="s">
        <v>479</v>
      </c>
      <c r="I149" s="159">
        <v>1</v>
      </c>
    </row>
    <row r="150" spans="1:9" ht="15.75" customHeight="1">
      <c r="A150" s="159" t="s">
        <v>7099</v>
      </c>
      <c r="B150" s="159" t="s">
        <v>7164</v>
      </c>
      <c r="C150" s="159" t="s">
        <v>538</v>
      </c>
      <c r="D150" s="159">
        <v>8</v>
      </c>
      <c r="E150" s="159">
        <v>23</v>
      </c>
      <c r="F150" s="159">
        <v>3</v>
      </c>
      <c r="G150" s="159" t="s">
        <v>479</v>
      </c>
      <c r="H150" s="159" t="s">
        <v>479</v>
      </c>
      <c r="I150" s="159">
        <v>1</v>
      </c>
    </row>
    <row r="151" spans="1:9" ht="15.75" customHeight="1">
      <c r="A151" s="159" t="s">
        <v>7099</v>
      </c>
      <c r="B151" s="159" t="s">
        <v>7165</v>
      </c>
      <c r="C151" s="159" t="s">
        <v>477</v>
      </c>
      <c r="D151" s="159">
        <v>1000</v>
      </c>
      <c r="E151" s="159">
        <v>0</v>
      </c>
      <c r="F151" s="159">
        <v>0</v>
      </c>
      <c r="G151" s="159" t="s">
        <v>479</v>
      </c>
      <c r="H151" s="159" t="s">
        <v>479</v>
      </c>
      <c r="I151" s="159">
        <v>1</v>
      </c>
    </row>
    <row r="152" spans="1:9" ht="15.75" customHeight="1">
      <c r="A152" s="159" t="s">
        <v>7100</v>
      </c>
      <c r="B152" s="159" t="s">
        <v>7102</v>
      </c>
      <c r="C152" s="159" t="s">
        <v>484</v>
      </c>
      <c r="D152" s="159">
        <v>4</v>
      </c>
      <c r="E152" s="159">
        <v>10</v>
      </c>
      <c r="F152" s="159">
        <v>0</v>
      </c>
      <c r="G152" s="159" t="s">
        <v>479</v>
      </c>
      <c r="H152" s="159" t="s">
        <v>479</v>
      </c>
      <c r="I152" s="159">
        <v>0</v>
      </c>
    </row>
    <row r="153" spans="1:9" ht="15.75" customHeight="1">
      <c r="A153" s="159" t="s">
        <v>7100</v>
      </c>
      <c r="B153" s="159" t="s">
        <v>7155</v>
      </c>
      <c r="C153" s="159" t="s">
        <v>484</v>
      </c>
      <c r="D153" s="159">
        <v>4</v>
      </c>
      <c r="E153" s="159">
        <v>10</v>
      </c>
      <c r="F153" s="159">
        <v>0</v>
      </c>
      <c r="G153" s="159" t="s">
        <v>479</v>
      </c>
      <c r="H153" s="159" t="s">
        <v>479</v>
      </c>
      <c r="I153" s="159">
        <v>0</v>
      </c>
    </row>
    <row r="154" spans="1:9" ht="15.75" customHeight="1">
      <c r="A154" s="159" t="s">
        <v>7100</v>
      </c>
      <c r="B154" s="159" t="s">
        <v>7156</v>
      </c>
      <c r="C154" s="159" t="s">
        <v>1974</v>
      </c>
      <c r="D154" s="159">
        <v>3</v>
      </c>
      <c r="E154" s="159">
        <v>10</v>
      </c>
      <c r="F154" s="159">
        <v>0</v>
      </c>
      <c r="G154" s="159" t="s">
        <v>479</v>
      </c>
      <c r="H154" s="159" t="s">
        <v>479</v>
      </c>
      <c r="I154" s="159">
        <v>0</v>
      </c>
    </row>
    <row r="155" spans="1:9" ht="15.75" customHeight="1">
      <c r="A155" s="159" t="s">
        <v>7100</v>
      </c>
      <c r="B155" s="159" t="s">
        <v>4674</v>
      </c>
      <c r="C155" s="159" t="s">
        <v>1796</v>
      </c>
      <c r="D155" s="159">
        <v>200</v>
      </c>
      <c r="E155" s="159">
        <v>0</v>
      </c>
      <c r="F155" s="159">
        <v>0</v>
      </c>
      <c r="G155" s="159" t="s">
        <v>479</v>
      </c>
      <c r="H155" s="159" t="s">
        <v>479</v>
      </c>
      <c r="I155" s="159">
        <v>1</v>
      </c>
    </row>
    <row r="156" spans="1:9" ht="15.75" customHeight="1">
      <c r="A156" s="159" t="s">
        <v>7100</v>
      </c>
      <c r="B156" s="159" t="s">
        <v>4674</v>
      </c>
      <c r="C156" s="159" t="s">
        <v>7104</v>
      </c>
      <c r="D156" s="159">
        <v>200</v>
      </c>
      <c r="E156" s="159">
        <v>0</v>
      </c>
      <c r="F156" s="159">
        <v>0</v>
      </c>
      <c r="G156" s="159" t="s">
        <v>479</v>
      </c>
      <c r="H156" s="159" t="s">
        <v>479</v>
      </c>
      <c r="I156" s="159">
        <v>1</v>
      </c>
    </row>
    <row r="157" spans="1:9" ht="15.75" customHeight="1">
      <c r="A157" s="159" t="s">
        <v>7100</v>
      </c>
      <c r="B157" s="159" t="s">
        <v>7134</v>
      </c>
      <c r="C157" s="159" t="s">
        <v>1796</v>
      </c>
      <c r="D157" s="159">
        <v>100</v>
      </c>
      <c r="E157" s="159">
        <v>0</v>
      </c>
      <c r="F157" s="159">
        <v>0</v>
      </c>
      <c r="G157" s="159" t="s">
        <v>479</v>
      </c>
      <c r="H157" s="159" t="s">
        <v>479</v>
      </c>
      <c r="I157" s="159">
        <v>1</v>
      </c>
    </row>
    <row r="158" spans="1:9" ht="15.75" customHeight="1">
      <c r="A158" s="159" t="s">
        <v>7100</v>
      </c>
      <c r="B158" s="159" t="s">
        <v>7134</v>
      </c>
      <c r="C158" s="159" t="s">
        <v>7104</v>
      </c>
      <c r="D158" s="159">
        <v>100</v>
      </c>
      <c r="E158" s="159">
        <v>0</v>
      </c>
      <c r="F158" s="159">
        <v>0</v>
      </c>
      <c r="G158" s="159" t="s">
        <v>479</v>
      </c>
      <c r="H158" s="159" t="s">
        <v>479</v>
      </c>
      <c r="I158" s="159">
        <v>1</v>
      </c>
    </row>
    <row r="159" spans="1:9" ht="15.75" customHeight="1">
      <c r="A159" s="159" t="s">
        <v>7100</v>
      </c>
      <c r="B159" s="159" t="s">
        <v>7159</v>
      </c>
      <c r="C159" s="159" t="s">
        <v>477</v>
      </c>
      <c r="D159" s="159">
        <v>25</v>
      </c>
      <c r="E159" s="159">
        <v>0</v>
      </c>
      <c r="F159" s="159">
        <v>0</v>
      </c>
      <c r="G159" s="159" t="s">
        <v>479</v>
      </c>
      <c r="H159" s="159" t="s">
        <v>479</v>
      </c>
      <c r="I159" s="159">
        <v>1</v>
      </c>
    </row>
    <row r="160" spans="1:9" ht="15.75" customHeight="1">
      <c r="A160" s="159" t="s">
        <v>7100</v>
      </c>
      <c r="B160" s="159" t="s">
        <v>7160</v>
      </c>
      <c r="C160" s="159" t="s">
        <v>1796</v>
      </c>
      <c r="D160" s="159">
        <v>100</v>
      </c>
      <c r="E160" s="159">
        <v>0</v>
      </c>
      <c r="F160" s="159">
        <v>0</v>
      </c>
      <c r="G160" s="159" t="s">
        <v>479</v>
      </c>
      <c r="H160" s="159" t="s">
        <v>479</v>
      </c>
      <c r="I160" s="159">
        <v>0</v>
      </c>
    </row>
    <row r="161" spans="1:9" ht="15.75" customHeight="1">
      <c r="A161" s="159" t="s">
        <v>7100</v>
      </c>
      <c r="B161" s="159" t="s">
        <v>7160</v>
      </c>
      <c r="C161" s="159" t="s">
        <v>7104</v>
      </c>
      <c r="D161" s="159">
        <v>100</v>
      </c>
      <c r="E161" s="159">
        <v>0</v>
      </c>
      <c r="F161" s="159">
        <v>0</v>
      </c>
      <c r="G161" s="159" t="s">
        <v>479</v>
      </c>
      <c r="H161" s="159" t="s">
        <v>479</v>
      </c>
      <c r="I161" s="159">
        <v>0</v>
      </c>
    </row>
    <row r="162" spans="1:9" ht="15.75" customHeight="1">
      <c r="A162" s="159" t="s">
        <v>7100</v>
      </c>
      <c r="B162" s="159" t="s">
        <v>6207</v>
      </c>
      <c r="C162" s="159" t="s">
        <v>717</v>
      </c>
      <c r="D162" s="159">
        <v>17</v>
      </c>
      <c r="E162" s="159">
        <v>38</v>
      </c>
      <c r="F162" s="159">
        <v>2</v>
      </c>
      <c r="G162" s="159" t="s">
        <v>479</v>
      </c>
      <c r="H162" s="159" t="s">
        <v>479</v>
      </c>
      <c r="I162" s="159">
        <v>1</v>
      </c>
    </row>
    <row r="163" spans="1:9" ht="15.75" customHeight="1">
      <c r="A163" s="159" t="s">
        <v>7100</v>
      </c>
      <c r="B163" s="159" t="s">
        <v>7161</v>
      </c>
      <c r="C163" s="159" t="s">
        <v>477</v>
      </c>
      <c r="D163" s="159">
        <v>50</v>
      </c>
      <c r="E163" s="159">
        <v>0</v>
      </c>
      <c r="F163" s="159">
        <v>0</v>
      </c>
      <c r="G163" s="159" t="s">
        <v>479</v>
      </c>
      <c r="H163" s="159" t="s">
        <v>479</v>
      </c>
      <c r="I163" s="159">
        <v>1</v>
      </c>
    </row>
    <row r="164" spans="1:9" ht="15.75" customHeight="1">
      <c r="A164" s="159" t="s">
        <v>7100</v>
      </c>
      <c r="B164" s="159" t="s">
        <v>7162</v>
      </c>
      <c r="C164" s="159" t="s">
        <v>538</v>
      </c>
      <c r="D164" s="159">
        <v>8</v>
      </c>
      <c r="E164" s="159">
        <v>23</v>
      </c>
      <c r="F164" s="159">
        <v>3</v>
      </c>
      <c r="G164" s="159" t="s">
        <v>479</v>
      </c>
      <c r="H164" s="159" t="s">
        <v>479</v>
      </c>
      <c r="I164" s="159">
        <v>1</v>
      </c>
    </row>
    <row r="165" spans="1:9" ht="15.75" customHeight="1">
      <c r="A165" s="159" t="s">
        <v>7100</v>
      </c>
      <c r="B165" s="159" t="s">
        <v>7163</v>
      </c>
      <c r="C165" s="159" t="s">
        <v>477</v>
      </c>
      <c r="D165" s="159">
        <v>100</v>
      </c>
      <c r="E165" s="159">
        <v>0</v>
      </c>
      <c r="F165" s="159">
        <v>0</v>
      </c>
      <c r="G165" s="159" t="s">
        <v>479</v>
      </c>
      <c r="H165" s="159" t="s">
        <v>479</v>
      </c>
      <c r="I165" s="159">
        <v>1</v>
      </c>
    </row>
    <row r="166" spans="1:9" ht="15.75" customHeight="1">
      <c r="A166" s="159" t="s">
        <v>7100</v>
      </c>
      <c r="B166" s="159" t="s">
        <v>7164</v>
      </c>
      <c r="C166" s="159" t="s">
        <v>538</v>
      </c>
      <c r="D166" s="159">
        <v>8</v>
      </c>
      <c r="E166" s="159">
        <v>23</v>
      </c>
      <c r="F166" s="159">
        <v>3</v>
      </c>
      <c r="G166" s="159" t="s">
        <v>479</v>
      </c>
      <c r="H166" s="159" t="s">
        <v>479</v>
      </c>
      <c r="I166" s="159">
        <v>1</v>
      </c>
    </row>
    <row r="167" spans="1:9" ht="15.75" customHeight="1">
      <c r="A167" s="159" t="s">
        <v>7100</v>
      </c>
      <c r="B167" s="159" t="s">
        <v>7165</v>
      </c>
      <c r="C167" s="159" t="s">
        <v>477</v>
      </c>
      <c r="D167" s="159">
        <v>1000</v>
      </c>
      <c r="E167" s="159">
        <v>0</v>
      </c>
      <c r="F167" s="159">
        <v>0</v>
      </c>
      <c r="G167" s="159" t="s">
        <v>479</v>
      </c>
      <c r="H167" s="159" t="s">
        <v>479</v>
      </c>
      <c r="I167" s="159">
        <v>1</v>
      </c>
    </row>
    <row r="168" spans="1:9" ht="15.75" customHeight="1">
      <c r="A168" s="159" t="s">
        <v>7100</v>
      </c>
      <c r="B168" s="159" t="s">
        <v>7170</v>
      </c>
      <c r="C168" s="159" t="s">
        <v>484</v>
      </c>
      <c r="D168" s="159">
        <v>4</v>
      </c>
      <c r="E168" s="159">
        <v>10</v>
      </c>
      <c r="F168" s="159">
        <v>0</v>
      </c>
      <c r="G168" s="159" t="s">
        <v>479</v>
      </c>
      <c r="H168" s="159" t="s">
        <v>479</v>
      </c>
      <c r="I168" s="159">
        <v>1</v>
      </c>
    </row>
    <row r="169" spans="1:9" ht="15.75" customHeight="1">
      <c r="A169" s="159" t="s">
        <v>7100</v>
      </c>
      <c r="B169" s="159" t="s">
        <v>7171</v>
      </c>
      <c r="C169" s="159" t="s">
        <v>1631</v>
      </c>
      <c r="D169" s="159">
        <v>8</v>
      </c>
      <c r="E169" s="159">
        <v>19</v>
      </c>
      <c r="F169" s="159">
        <v>0</v>
      </c>
      <c r="G169" s="159" t="s">
        <v>479</v>
      </c>
      <c r="H169" s="159" t="s">
        <v>479</v>
      </c>
      <c r="I169" s="159">
        <v>1</v>
      </c>
    </row>
    <row r="170" spans="1:9" ht="15.75" customHeight="1">
      <c r="A170" s="159" t="s">
        <v>7100</v>
      </c>
      <c r="B170" s="159" t="s">
        <v>7172</v>
      </c>
      <c r="C170" s="159" t="s">
        <v>1631</v>
      </c>
      <c r="D170" s="159">
        <v>8</v>
      </c>
      <c r="E170" s="159">
        <v>19</v>
      </c>
      <c r="F170" s="159">
        <v>0</v>
      </c>
      <c r="G170" s="159" t="s">
        <v>479</v>
      </c>
      <c r="H170" s="159" t="s">
        <v>479</v>
      </c>
      <c r="I170" s="159">
        <v>1</v>
      </c>
    </row>
    <row r="171" spans="1:9" ht="15.75" customHeight="1"/>
    <row r="172" spans="1:9" ht="15.75" customHeight="1"/>
    <row r="173" spans="1:9" ht="15.75" customHeight="1"/>
    <row r="174" spans="1:9" ht="15.75" customHeight="1"/>
    <row r="175" spans="1:9" ht="15.75" customHeight="1"/>
    <row r="176" spans="1:9"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O1000"/>
  <sheetViews>
    <sheetView workbookViewId="0"/>
  </sheetViews>
  <sheetFormatPr baseColWidth="10" defaultColWidth="12.6640625" defaultRowHeight="15" customHeight="1"/>
  <cols>
    <col min="1" max="1" width="10.6640625" customWidth="1"/>
    <col min="2" max="2" width="18.5" customWidth="1"/>
    <col min="3" max="3" width="26.5" customWidth="1"/>
    <col min="4" max="4" width="9.6640625" customWidth="1"/>
    <col min="5" max="6" width="7.6640625" customWidth="1"/>
    <col min="7" max="7" width="9" customWidth="1"/>
    <col min="8" max="8" width="6.6640625" customWidth="1"/>
    <col min="9" max="10" width="7.6640625" customWidth="1"/>
    <col min="11" max="11" width="1.6640625" customWidth="1"/>
    <col min="12" max="12" width="19" customWidth="1"/>
    <col min="13" max="13" width="16.1640625" customWidth="1"/>
    <col min="14" max="14" width="22.83203125" customWidth="1"/>
    <col min="15" max="15" width="13.6640625" customWidth="1"/>
    <col min="16" max="26" width="7.6640625" customWidth="1"/>
  </cols>
  <sheetData>
    <row r="1" spans="1:15">
      <c r="A1" s="214" t="s">
        <v>154</v>
      </c>
      <c r="B1" s="214" t="s">
        <v>155</v>
      </c>
      <c r="C1" s="214" t="s">
        <v>156</v>
      </c>
      <c r="D1" s="214" t="s">
        <v>157</v>
      </c>
      <c r="E1" s="214" t="s">
        <v>158</v>
      </c>
      <c r="F1" s="214" t="s">
        <v>159</v>
      </c>
      <c r="G1" s="214" t="s">
        <v>7173</v>
      </c>
      <c r="H1" s="214" t="s">
        <v>161</v>
      </c>
      <c r="I1" s="214" t="s">
        <v>162</v>
      </c>
      <c r="J1" s="215" t="s">
        <v>163</v>
      </c>
      <c r="K1" s="245" t="s">
        <v>164</v>
      </c>
      <c r="L1" s="176" t="s">
        <v>165</v>
      </c>
      <c r="M1" s="176" t="s">
        <v>3632</v>
      </c>
      <c r="N1" s="104" t="s">
        <v>167</v>
      </c>
      <c r="O1" s="105" t="s">
        <v>168</v>
      </c>
    </row>
    <row r="2" spans="1:15">
      <c r="A2" s="2" t="s">
        <v>7174</v>
      </c>
      <c r="B2" s="2" t="s">
        <v>6774</v>
      </c>
      <c r="C2" s="2" t="s">
        <v>7175</v>
      </c>
      <c r="D2" s="246">
        <v>2170343</v>
      </c>
      <c r="G2" s="2">
        <v>4.0999999999999996</v>
      </c>
      <c r="K2" s="247"/>
      <c r="L2" s="176" t="s">
        <v>59</v>
      </c>
      <c r="M2" s="176" t="s">
        <v>11</v>
      </c>
      <c r="N2" s="98" t="s">
        <v>7176</v>
      </c>
      <c r="O2" s="208" t="s">
        <v>176</v>
      </c>
    </row>
    <row r="3" spans="1:15">
      <c r="A3" s="2" t="s">
        <v>7174</v>
      </c>
      <c r="B3" s="2" t="s">
        <v>7177</v>
      </c>
      <c r="C3" s="2" t="s">
        <v>7178</v>
      </c>
      <c r="D3" s="246">
        <v>1912955</v>
      </c>
      <c r="G3" s="2">
        <v>3.6</v>
      </c>
      <c r="L3" s="176" t="s">
        <v>59</v>
      </c>
      <c r="M3" s="176" t="s">
        <v>11</v>
      </c>
      <c r="N3" s="98" t="s">
        <v>7176</v>
      </c>
      <c r="O3" s="208" t="s">
        <v>176</v>
      </c>
    </row>
    <row r="4" spans="1:15">
      <c r="A4" s="2" t="s">
        <v>7174</v>
      </c>
      <c r="B4" s="2" t="s">
        <v>7177</v>
      </c>
      <c r="C4" s="2" t="s">
        <v>7179</v>
      </c>
      <c r="D4" s="246">
        <v>438017</v>
      </c>
      <c r="G4" s="2">
        <v>3.1</v>
      </c>
      <c r="L4" s="176" t="s">
        <v>59</v>
      </c>
      <c r="M4" s="176" t="s">
        <v>11</v>
      </c>
      <c r="N4" s="98" t="s">
        <v>7176</v>
      </c>
      <c r="O4" s="208" t="s">
        <v>176</v>
      </c>
    </row>
    <row r="5" spans="1:15">
      <c r="A5" s="2" t="s">
        <v>7174</v>
      </c>
      <c r="B5" s="2" t="s">
        <v>7180</v>
      </c>
      <c r="C5" s="2" t="s">
        <v>7181</v>
      </c>
      <c r="D5" s="246">
        <v>1563173</v>
      </c>
      <c r="G5" s="2">
        <v>3</v>
      </c>
      <c r="L5" s="176" t="s">
        <v>59</v>
      </c>
      <c r="M5" s="176" t="s">
        <v>11</v>
      </c>
      <c r="N5" s="98" t="s">
        <v>7176</v>
      </c>
      <c r="O5" s="208" t="s">
        <v>176</v>
      </c>
    </row>
    <row r="6" spans="1:15">
      <c r="A6" s="2" t="s">
        <v>7174</v>
      </c>
      <c r="B6" s="2" t="s">
        <v>7182</v>
      </c>
      <c r="C6" s="2" t="s">
        <v>7182</v>
      </c>
      <c r="D6" s="246">
        <v>1470402</v>
      </c>
      <c r="G6" s="2">
        <v>2.8</v>
      </c>
      <c r="L6" s="176" t="s">
        <v>59</v>
      </c>
      <c r="M6" s="176" t="s">
        <v>11</v>
      </c>
      <c r="N6" s="98" t="s">
        <v>7176</v>
      </c>
      <c r="O6" s="208" t="s">
        <v>176</v>
      </c>
    </row>
    <row r="7" spans="1:15">
      <c r="A7" s="2" t="s">
        <v>7174</v>
      </c>
      <c r="B7" s="2" t="s">
        <v>7182</v>
      </c>
      <c r="C7" s="2" t="s">
        <v>7183</v>
      </c>
      <c r="D7" s="246">
        <v>2887641</v>
      </c>
      <c r="G7" s="2">
        <v>2.8</v>
      </c>
      <c r="L7" s="176" t="s">
        <v>59</v>
      </c>
      <c r="M7" s="176" t="s">
        <v>11</v>
      </c>
      <c r="N7" s="98" t="s">
        <v>7176</v>
      </c>
      <c r="O7" s="208" t="s">
        <v>176</v>
      </c>
    </row>
    <row r="8" spans="1:15">
      <c r="A8" s="2" t="s">
        <v>7174</v>
      </c>
      <c r="B8" s="2" t="s">
        <v>7184</v>
      </c>
      <c r="C8" s="2" t="s">
        <v>7184</v>
      </c>
      <c r="D8" s="246">
        <v>929033</v>
      </c>
      <c r="G8" s="2">
        <v>1.8</v>
      </c>
      <c r="L8" s="176" t="s">
        <v>59</v>
      </c>
      <c r="M8" s="176" t="s">
        <v>11</v>
      </c>
      <c r="N8" s="98" t="s">
        <v>7176</v>
      </c>
      <c r="O8" s="208" t="s">
        <v>176</v>
      </c>
    </row>
    <row r="9" spans="1:15">
      <c r="A9" s="2" t="s">
        <v>7174</v>
      </c>
      <c r="B9" s="2" t="s">
        <v>7184</v>
      </c>
      <c r="C9" s="2" t="s">
        <v>7185</v>
      </c>
      <c r="D9" s="246">
        <v>696209</v>
      </c>
      <c r="G9" s="2">
        <v>1.3</v>
      </c>
      <c r="L9" s="176" t="s">
        <v>59</v>
      </c>
      <c r="M9" s="176" t="s">
        <v>11</v>
      </c>
      <c r="N9" s="98" t="s">
        <v>7176</v>
      </c>
      <c r="O9" s="208" t="s">
        <v>176</v>
      </c>
    </row>
    <row r="10" spans="1:15">
      <c r="A10" s="2" t="s">
        <v>7174</v>
      </c>
      <c r="B10" s="2" t="s">
        <v>7184</v>
      </c>
      <c r="C10" s="2" t="s">
        <v>7186</v>
      </c>
      <c r="D10" s="246">
        <v>564192</v>
      </c>
      <c r="G10" s="2">
        <v>1.1000000000000001</v>
      </c>
      <c r="L10" s="176" t="s">
        <v>59</v>
      </c>
      <c r="M10" s="176" t="s">
        <v>11</v>
      </c>
      <c r="N10" s="98" t="s">
        <v>7176</v>
      </c>
      <c r="O10" s="208" t="s">
        <v>176</v>
      </c>
    </row>
    <row r="11" spans="1:15">
      <c r="A11" s="2" t="s">
        <v>7174</v>
      </c>
      <c r="B11" s="2" t="s">
        <v>7184</v>
      </c>
      <c r="C11" s="2" t="s">
        <v>7187</v>
      </c>
      <c r="D11" s="246">
        <v>448933</v>
      </c>
      <c r="G11" s="2">
        <v>0.9</v>
      </c>
      <c r="L11" s="176" t="s">
        <v>59</v>
      </c>
      <c r="M11" s="176" t="s">
        <v>11</v>
      </c>
      <c r="N11" s="98" t="s">
        <v>7176</v>
      </c>
      <c r="O11" s="208" t="s">
        <v>176</v>
      </c>
    </row>
    <row r="12" spans="1:15">
      <c r="A12" s="2" t="s">
        <v>7174</v>
      </c>
      <c r="B12" s="2" t="s">
        <v>7184</v>
      </c>
      <c r="C12" s="2" t="s">
        <v>7188</v>
      </c>
      <c r="D12" s="246">
        <v>381105</v>
      </c>
      <c r="G12" s="2">
        <v>0.7</v>
      </c>
      <c r="L12" s="176" t="s">
        <v>59</v>
      </c>
      <c r="M12" s="176" t="s">
        <v>11</v>
      </c>
      <c r="N12" s="98" t="s">
        <v>7176</v>
      </c>
      <c r="O12" s="208" t="s">
        <v>176</v>
      </c>
    </row>
    <row r="13" spans="1:15">
      <c r="A13" s="2" t="s">
        <v>7174</v>
      </c>
      <c r="B13" s="2" t="s">
        <v>7184</v>
      </c>
      <c r="C13" s="2" t="s">
        <v>7189</v>
      </c>
      <c r="D13" s="246">
        <v>360645</v>
      </c>
      <c r="G13" s="2">
        <v>0.7</v>
      </c>
      <c r="L13" s="176" t="s">
        <v>59</v>
      </c>
      <c r="M13" s="176" t="s">
        <v>11</v>
      </c>
      <c r="N13" s="98" t="s">
        <v>7176</v>
      </c>
      <c r="O13" s="208" t="s">
        <v>176</v>
      </c>
    </row>
    <row r="14" spans="1:15">
      <c r="A14" s="2" t="s">
        <v>7174</v>
      </c>
      <c r="B14" s="2" t="s">
        <v>7190</v>
      </c>
      <c r="C14" s="2" t="s">
        <v>7190</v>
      </c>
      <c r="D14" s="246">
        <v>360407</v>
      </c>
      <c r="G14" s="2">
        <v>0.7</v>
      </c>
      <c r="L14" s="176" t="s">
        <v>59</v>
      </c>
      <c r="M14" s="176" t="s">
        <v>11</v>
      </c>
      <c r="N14" s="98" t="s">
        <v>7176</v>
      </c>
      <c r="O14" s="208" t="s">
        <v>176</v>
      </c>
    </row>
    <row r="15" spans="1:15">
      <c r="A15" s="2" t="s">
        <v>7174</v>
      </c>
      <c r="B15" s="2" t="s">
        <v>7191</v>
      </c>
      <c r="C15" s="2" t="s">
        <v>7192</v>
      </c>
      <c r="D15" s="246">
        <v>358113</v>
      </c>
      <c r="G15" s="2">
        <v>0.7</v>
      </c>
      <c r="L15" s="176" t="s">
        <v>59</v>
      </c>
      <c r="M15" s="176" t="s">
        <v>11</v>
      </c>
      <c r="N15" s="98" t="s">
        <v>7176</v>
      </c>
      <c r="O15" s="208" t="s">
        <v>176</v>
      </c>
    </row>
    <row r="16" spans="1:15">
      <c r="A16" s="2" t="s">
        <v>7174</v>
      </c>
      <c r="B16" s="2" t="s">
        <v>7191</v>
      </c>
      <c r="C16" s="2" t="s">
        <v>7193</v>
      </c>
      <c r="D16" s="246">
        <v>348278</v>
      </c>
      <c r="G16" s="2">
        <v>0.7</v>
      </c>
      <c r="L16" s="176" t="s">
        <v>59</v>
      </c>
      <c r="M16" s="176" t="s">
        <v>11</v>
      </c>
      <c r="N16" s="98" t="s">
        <v>7176</v>
      </c>
      <c r="O16" s="208" t="s">
        <v>176</v>
      </c>
    </row>
    <row r="17" spans="1:15">
      <c r="A17" s="2" t="s">
        <v>7174</v>
      </c>
      <c r="B17" s="2" t="s">
        <v>107</v>
      </c>
      <c r="C17" s="2" t="s">
        <v>107</v>
      </c>
      <c r="D17" s="246">
        <v>333141</v>
      </c>
      <c r="G17" s="2">
        <v>0.7</v>
      </c>
      <c r="L17" s="176" t="s">
        <v>59</v>
      </c>
      <c r="M17" s="176" t="s">
        <v>11</v>
      </c>
      <c r="N17" s="98" t="s">
        <v>7176</v>
      </c>
      <c r="O17" s="208" t="s">
        <v>176</v>
      </c>
    </row>
    <row r="18" spans="1:15">
      <c r="A18" s="2" t="s">
        <v>7174</v>
      </c>
      <c r="B18" s="2" t="s">
        <v>7194</v>
      </c>
      <c r="C18" s="2" t="s">
        <v>7194</v>
      </c>
      <c r="D18" s="246">
        <v>280868</v>
      </c>
      <c r="G18" s="2">
        <v>0.6</v>
      </c>
      <c r="L18" s="176" t="s">
        <v>59</v>
      </c>
      <c r="M18" s="176" t="s">
        <v>11</v>
      </c>
      <c r="N18" s="98" t="s">
        <v>7176</v>
      </c>
      <c r="O18" s="208" t="s">
        <v>176</v>
      </c>
    </row>
    <row r="19" spans="1:15">
      <c r="A19" s="2" t="s">
        <v>7174</v>
      </c>
      <c r="B19" s="2" t="s">
        <v>7195</v>
      </c>
      <c r="C19" s="2" t="s">
        <v>7196</v>
      </c>
      <c r="D19" s="246">
        <v>30286</v>
      </c>
      <c r="G19" s="2">
        <v>0.3</v>
      </c>
      <c r="L19" s="176" t="s">
        <v>59</v>
      </c>
      <c r="M19" s="176" t="s">
        <v>7197</v>
      </c>
      <c r="N19" s="98" t="s">
        <v>7198</v>
      </c>
      <c r="O19" s="248" t="s">
        <v>185</v>
      </c>
    </row>
    <row r="20" spans="1:15">
      <c r="A20" s="2" t="s">
        <v>7174</v>
      </c>
      <c r="B20" s="2" t="s">
        <v>7195</v>
      </c>
      <c r="C20" s="2" t="s">
        <v>7199</v>
      </c>
      <c r="D20" s="246">
        <v>65477</v>
      </c>
      <c r="G20" s="2">
        <v>0.1</v>
      </c>
      <c r="L20" s="176" t="s">
        <v>59</v>
      </c>
      <c r="M20" s="176" t="s">
        <v>7197</v>
      </c>
      <c r="N20" s="98" t="s">
        <v>7198</v>
      </c>
      <c r="O20" s="248" t="s">
        <v>185</v>
      </c>
    </row>
    <row r="21" spans="1:15" ht="15.75" customHeight="1">
      <c r="A21" s="2" t="s">
        <v>7174</v>
      </c>
      <c r="B21" s="2" t="s">
        <v>7195</v>
      </c>
      <c r="C21" s="2" t="s">
        <v>7200</v>
      </c>
      <c r="D21" s="246">
        <v>33190</v>
      </c>
      <c r="G21" s="2">
        <v>0.1</v>
      </c>
      <c r="L21" s="176" t="s">
        <v>59</v>
      </c>
      <c r="M21" s="176" t="s">
        <v>7197</v>
      </c>
      <c r="N21" s="98" t="s">
        <v>7198</v>
      </c>
      <c r="O21" s="248" t="s">
        <v>185</v>
      </c>
    </row>
    <row r="22" spans="1:15" ht="15.75" customHeight="1">
      <c r="A22" s="2" t="s">
        <v>7174</v>
      </c>
      <c r="B22" s="2" t="s">
        <v>7201</v>
      </c>
      <c r="C22" s="2" t="s">
        <v>7202</v>
      </c>
      <c r="D22" s="246">
        <v>31549</v>
      </c>
      <c r="G22" s="2">
        <v>0.06</v>
      </c>
      <c r="L22" s="176" t="s">
        <v>59</v>
      </c>
      <c r="M22" s="176" t="s">
        <v>11</v>
      </c>
      <c r="N22" s="98" t="s">
        <v>7176</v>
      </c>
      <c r="O22" s="208" t="s">
        <v>176</v>
      </c>
    </row>
    <row r="23" spans="1:15" ht="15.75" customHeight="1">
      <c r="A23" s="2" t="s">
        <v>7174</v>
      </c>
      <c r="B23" s="2" t="s">
        <v>7203</v>
      </c>
      <c r="C23" s="2" t="s">
        <v>7203</v>
      </c>
      <c r="D23" s="246">
        <v>26798</v>
      </c>
      <c r="G23" s="2">
        <v>0.05</v>
      </c>
      <c r="L23" s="176" t="s">
        <v>59</v>
      </c>
      <c r="M23" s="176" t="s">
        <v>11</v>
      </c>
      <c r="N23" s="98" t="s">
        <v>7176</v>
      </c>
      <c r="O23" s="208" t="s">
        <v>176</v>
      </c>
    </row>
    <row r="24" spans="1:15" ht="15.75" customHeight="1">
      <c r="A24" s="2" t="s">
        <v>7174</v>
      </c>
      <c r="B24" s="2" t="s">
        <v>7204</v>
      </c>
      <c r="C24" s="2" t="s">
        <v>7204</v>
      </c>
      <c r="D24" s="246">
        <v>7504</v>
      </c>
      <c r="G24" s="2">
        <v>0.01</v>
      </c>
      <c r="L24" s="176" t="s">
        <v>59</v>
      </c>
      <c r="M24" s="176" t="s">
        <v>11</v>
      </c>
      <c r="N24" s="98" t="s">
        <v>7176</v>
      </c>
      <c r="O24" s="208" t="s">
        <v>176</v>
      </c>
    </row>
    <row r="25" spans="1:15" ht="15.75" customHeight="1">
      <c r="A25" s="2" t="s">
        <v>7174</v>
      </c>
      <c r="B25" s="2" t="s">
        <v>7205</v>
      </c>
      <c r="C25" s="2" t="s">
        <v>7206</v>
      </c>
      <c r="D25" s="246">
        <v>495</v>
      </c>
      <c r="G25" s="2">
        <v>0.01</v>
      </c>
      <c r="L25" s="176" t="s">
        <v>59</v>
      </c>
      <c r="M25" s="176" t="s">
        <v>11</v>
      </c>
      <c r="N25" s="98" t="s">
        <v>7176</v>
      </c>
      <c r="O25" s="208" t="s">
        <v>176</v>
      </c>
    </row>
    <row r="26" spans="1:15" ht="15.75" customHeight="1">
      <c r="L26" s="183"/>
      <c r="M26" s="183"/>
    </row>
    <row r="27" spans="1:15" ht="15.75" customHeight="1">
      <c r="L27" s="183"/>
      <c r="M27" s="183"/>
    </row>
    <row r="28" spans="1:15" ht="15.75" customHeight="1">
      <c r="L28" s="183"/>
      <c r="M28" s="183"/>
    </row>
    <row r="29" spans="1:15" ht="15.75" customHeight="1">
      <c r="L29" s="183"/>
      <c r="M29" s="183"/>
    </row>
    <row r="30" spans="1:15" ht="15.75" customHeight="1">
      <c r="L30" s="183"/>
      <c r="M30" s="183"/>
    </row>
    <row r="31" spans="1:15" ht="15.75" customHeight="1">
      <c r="L31" s="183"/>
      <c r="M31" s="183"/>
    </row>
    <row r="32" spans="1:15" ht="15.75" customHeight="1">
      <c r="L32" s="183"/>
      <c r="M32" s="183"/>
    </row>
    <row r="33" spans="12:13" ht="15.75" customHeight="1">
      <c r="L33" s="183"/>
      <c r="M33" s="183"/>
    </row>
    <row r="34" spans="12:13" ht="15.75" customHeight="1">
      <c r="L34" s="183"/>
      <c r="M34" s="183"/>
    </row>
    <row r="35" spans="12:13" ht="15.75" customHeight="1">
      <c r="L35" s="183"/>
      <c r="M35" s="183"/>
    </row>
    <row r="36" spans="12:13" ht="15.75" customHeight="1">
      <c r="L36" s="183"/>
      <c r="M36" s="183"/>
    </row>
    <row r="37" spans="12:13" ht="15.75" customHeight="1">
      <c r="L37" s="183"/>
      <c r="M37" s="183"/>
    </row>
    <row r="38" spans="12:13" ht="15.75" customHeight="1">
      <c r="L38" s="183"/>
      <c r="M38" s="183"/>
    </row>
    <row r="39" spans="12:13" ht="15.75" customHeight="1">
      <c r="L39" s="183"/>
      <c r="M39" s="183"/>
    </row>
    <row r="40" spans="12:13" ht="15.75" customHeight="1">
      <c r="L40" s="183"/>
      <c r="M40" s="183"/>
    </row>
    <row r="41" spans="12:13" ht="15.75" customHeight="1">
      <c r="L41" s="183"/>
      <c r="M41" s="183"/>
    </row>
    <row r="42" spans="12:13" ht="15.75" customHeight="1">
      <c r="L42" s="183"/>
      <c r="M42" s="183"/>
    </row>
    <row r="43" spans="12:13" ht="15.75" customHeight="1">
      <c r="L43" s="183"/>
      <c r="M43" s="183"/>
    </row>
    <row r="44" spans="12:13" ht="15.75" customHeight="1">
      <c r="L44" s="183"/>
      <c r="M44" s="183"/>
    </row>
    <row r="45" spans="12:13" ht="15.75" customHeight="1">
      <c r="L45" s="183"/>
      <c r="M45" s="183"/>
    </row>
    <row r="46" spans="12:13" ht="15.75" customHeight="1">
      <c r="L46" s="183"/>
      <c r="M46" s="183"/>
    </row>
    <row r="47" spans="12:13" ht="15.75" customHeight="1">
      <c r="L47" s="183"/>
      <c r="M47" s="183"/>
    </row>
    <row r="48" spans="12:13" ht="15.75" customHeight="1">
      <c r="L48" s="183"/>
      <c r="M48" s="183"/>
    </row>
    <row r="49" spans="12:13" ht="15.75" customHeight="1">
      <c r="L49" s="183"/>
      <c r="M49" s="183"/>
    </row>
    <row r="50" spans="12:13" ht="15.75" customHeight="1">
      <c r="L50" s="183"/>
      <c r="M50" s="183"/>
    </row>
    <row r="51" spans="12:13" ht="15.75" customHeight="1">
      <c r="L51" s="183"/>
      <c r="M51" s="183"/>
    </row>
    <row r="52" spans="12:13" ht="15.75" customHeight="1">
      <c r="L52" s="183"/>
      <c r="M52" s="183"/>
    </row>
    <row r="53" spans="12:13" ht="15.75" customHeight="1">
      <c r="L53" s="183"/>
      <c r="M53" s="183"/>
    </row>
    <row r="54" spans="12:13" ht="15.75" customHeight="1">
      <c r="L54" s="183"/>
      <c r="M54" s="183"/>
    </row>
    <row r="55" spans="12:13" ht="15.75" customHeight="1">
      <c r="L55" s="183"/>
      <c r="M55" s="183"/>
    </row>
    <row r="56" spans="12:13" ht="15.75" customHeight="1">
      <c r="L56" s="183"/>
      <c r="M56" s="183"/>
    </row>
    <row r="57" spans="12:13" ht="15.75" customHeight="1">
      <c r="L57" s="183"/>
      <c r="M57" s="183"/>
    </row>
    <row r="58" spans="12:13" ht="15.75" customHeight="1">
      <c r="L58" s="183"/>
      <c r="M58" s="183"/>
    </row>
    <row r="59" spans="12:13" ht="15.75" customHeight="1">
      <c r="L59" s="183"/>
      <c r="M59" s="183"/>
    </row>
    <row r="60" spans="12:13" ht="15.75" customHeight="1">
      <c r="L60" s="183"/>
      <c r="M60" s="183"/>
    </row>
    <row r="61" spans="12:13" ht="15.75" customHeight="1">
      <c r="L61" s="183"/>
      <c r="M61" s="183"/>
    </row>
    <row r="62" spans="12:13" ht="15.75" customHeight="1">
      <c r="L62" s="183"/>
      <c r="M62" s="183"/>
    </row>
    <row r="63" spans="12:13" ht="15.75" customHeight="1">
      <c r="L63" s="183"/>
      <c r="M63" s="183"/>
    </row>
    <row r="64" spans="12:13" ht="15.75" customHeight="1">
      <c r="L64" s="183"/>
      <c r="M64" s="183"/>
    </row>
    <row r="65" spans="12:13" ht="15.75" customHeight="1">
      <c r="L65" s="183"/>
      <c r="M65" s="183"/>
    </row>
    <row r="66" spans="12:13" ht="15.75" customHeight="1">
      <c r="L66" s="183"/>
      <c r="M66" s="183"/>
    </row>
    <row r="67" spans="12:13" ht="15.75" customHeight="1">
      <c r="L67" s="183"/>
      <c r="M67" s="183"/>
    </row>
    <row r="68" spans="12:13" ht="15.75" customHeight="1">
      <c r="L68" s="183"/>
      <c r="M68" s="183"/>
    </row>
    <row r="69" spans="12:13" ht="15.75" customHeight="1">
      <c r="L69" s="183"/>
      <c r="M69" s="183"/>
    </row>
    <row r="70" spans="12:13" ht="15.75" customHeight="1">
      <c r="L70" s="183"/>
      <c r="M70" s="183"/>
    </row>
    <row r="71" spans="12:13" ht="15.75" customHeight="1">
      <c r="L71" s="183"/>
      <c r="M71" s="183"/>
    </row>
    <row r="72" spans="12:13" ht="15.75" customHeight="1">
      <c r="L72" s="183"/>
      <c r="M72" s="183"/>
    </row>
    <row r="73" spans="12:13" ht="15.75" customHeight="1">
      <c r="L73" s="183"/>
      <c r="M73" s="183"/>
    </row>
    <row r="74" spans="12:13" ht="15.75" customHeight="1">
      <c r="L74" s="183"/>
      <c r="M74" s="183"/>
    </row>
    <row r="75" spans="12:13" ht="15.75" customHeight="1">
      <c r="L75" s="183"/>
      <c r="M75" s="183"/>
    </row>
    <row r="76" spans="12:13" ht="15.75" customHeight="1">
      <c r="L76" s="183"/>
      <c r="M76" s="183"/>
    </row>
    <row r="77" spans="12:13" ht="15.75" customHeight="1">
      <c r="L77" s="183"/>
      <c r="M77" s="183"/>
    </row>
    <row r="78" spans="12:13" ht="15.75" customHeight="1">
      <c r="L78" s="183"/>
      <c r="M78" s="183"/>
    </row>
    <row r="79" spans="12:13" ht="15.75" customHeight="1">
      <c r="L79" s="183"/>
      <c r="M79" s="183"/>
    </row>
    <row r="80" spans="12:13" ht="15.75" customHeight="1">
      <c r="L80" s="183"/>
      <c r="M80" s="183"/>
    </row>
    <row r="81" spans="12:13" ht="15.75" customHeight="1">
      <c r="L81" s="183"/>
      <c r="M81" s="183"/>
    </row>
    <row r="82" spans="12:13" ht="15.75" customHeight="1">
      <c r="L82" s="183"/>
      <c r="M82" s="183"/>
    </row>
    <row r="83" spans="12:13" ht="15.75" customHeight="1">
      <c r="L83" s="183"/>
      <c r="M83" s="183"/>
    </row>
    <row r="84" spans="12:13" ht="15.75" customHeight="1">
      <c r="L84" s="183"/>
      <c r="M84" s="183"/>
    </row>
    <row r="85" spans="12:13" ht="15.75" customHeight="1">
      <c r="L85" s="183"/>
      <c r="M85" s="183"/>
    </row>
    <row r="86" spans="12:13" ht="15.75" customHeight="1">
      <c r="L86" s="183"/>
      <c r="M86" s="183"/>
    </row>
    <row r="87" spans="12:13" ht="15.75" customHeight="1">
      <c r="L87" s="183"/>
      <c r="M87" s="183"/>
    </row>
    <row r="88" spans="12:13" ht="15.75" customHeight="1">
      <c r="L88" s="183"/>
      <c r="M88" s="183"/>
    </row>
    <row r="89" spans="12:13" ht="15.75" customHeight="1">
      <c r="L89" s="183"/>
      <c r="M89" s="183"/>
    </row>
    <row r="90" spans="12:13" ht="15.75" customHeight="1">
      <c r="L90" s="183"/>
      <c r="M90" s="183"/>
    </row>
    <row r="91" spans="12:13" ht="15.75" customHeight="1">
      <c r="L91" s="183"/>
      <c r="M91" s="183"/>
    </row>
    <row r="92" spans="12:13" ht="15.75" customHeight="1">
      <c r="L92" s="183"/>
      <c r="M92" s="183"/>
    </row>
    <row r="93" spans="12:13" ht="15.75" customHeight="1">
      <c r="L93" s="183"/>
      <c r="M93" s="183"/>
    </row>
    <row r="94" spans="12:13" ht="15.75" customHeight="1">
      <c r="L94" s="183"/>
      <c r="M94" s="183"/>
    </row>
    <row r="95" spans="12:13" ht="15.75" customHeight="1">
      <c r="L95" s="183"/>
      <c r="M95" s="183"/>
    </row>
    <row r="96" spans="12:13" ht="15.75" customHeight="1">
      <c r="L96" s="183"/>
      <c r="M96" s="183"/>
    </row>
    <row r="97" spans="12:13" ht="15.75" customHeight="1">
      <c r="L97" s="183"/>
      <c r="M97" s="183"/>
    </row>
    <row r="98" spans="12:13" ht="15.75" customHeight="1">
      <c r="L98" s="183"/>
      <c r="M98" s="183"/>
    </row>
    <row r="99" spans="12:13" ht="15.75" customHeight="1">
      <c r="L99" s="183"/>
      <c r="M99" s="183"/>
    </row>
    <row r="100" spans="12:13" ht="15.75" customHeight="1">
      <c r="L100" s="183"/>
      <c r="M100" s="183"/>
    </row>
    <row r="101" spans="12:13" ht="15.75" customHeight="1">
      <c r="L101" s="183"/>
      <c r="M101" s="183"/>
    </row>
    <row r="102" spans="12:13" ht="15.75" customHeight="1">
      <c r="L102" s="183"/>
      <c r="M102" s="183"/>
    </row>
    <row r="103" spans="12:13" ht="15.75" customHeight="1">
      <c r="L103" s="183"/>
      <c r="M103" s="183"/>
    </row>
    <row r="104" spans="12:13" ht="15.75" customHeight="1">
      <c r="L104" s="183"/>
      <c r="M104" s="183"/>
    </row>
    <row r="105" spans="12:13" ht="15.75" customHeight="1">
      <c r="L105" s="183"/>
      <c r="M105" s="183"/>
    </row>
    <row r="106" spans="12:13" ht="15.75" customHeight="1">
      <c r="L106" s="183"/>
      <c r="M106" s="183"/>
    </row>
    <row r="107" spans="12:13" ht="15.75" customHeight="1">
      <c r="L107" s="183"/>
      <c r="M107" s="183"/>
    </row>
    <row r="108" spans="12:13" ht="15.75" customHeight="1">
      <c r="L108" s="183"/>
      <c r="M108" s="183"/>
    </row>
    <row r="109" spans="12:13" ht="15.75" customHeight="1">
      <c r="L109" s="183"/>
      <c r="M109" s="183"/>
    </row>
    <row r="110" spans="12:13" ht="15.75" customHeight="1">
      <c r="L110" s="183"/>
      <c r="M110" s="183"/>
    </row>
    <row r="111" spans="12:13" ht="15.75" customHeight="1">
      <c r="L111" s="183"/>
      <c r="M111" s="183"/>
    </row>
    <row r="112" spans="12:13" ht="15.75" customHeight="1">
      <c r="L112" s="183"/>
      <c r="M112" s="183"/>
    </row>
    <row r="113" spans="12:13" ht="15.75" customHeight="1">
      <c r="L113" s="183"/>
      <c r="M113" s="183"/>
    </row>
    <row r="114" spans="12:13" ht="15.75" customHeight="1">
      <c r="L114" s="183"/>
      <c r="M114" s="183"/>
    </row>
    <row r="115" spans="12:13" ht="15.75" customHeight="1">
      <c r="L115" s="183"/>
      <c r="M115" s="183"/>
    </row>
    <row r="116" spans="12:13" ht="15.75" customHeight="1">
      <c r="L116" s="183"/>
      <c r="M116" s="183"/>
    </row>
    <row r="117" spans="12:13" ht="15.75" customHeight="1">
      <c r="L117" s="183"/>
      <c r="M117" s="183"/>
    </row>
    <row r="118" spans="12:13" ht="15.75" customHeight="1">
      <c r="L118" s="183"/>
      <c r="M118" s="183"/>
    </row>
    <row r="119" spans="12:13" ht="15.75" customHeight="1">
      <c r="L119" s="183"/>
      <c r="M119" s="183"/>
    </row>
    <row r="120" spans="12:13" ht="15.75" customHeight="1">
      <c r="L120" s="183"/>
      <c r="M120" s="183"/>
    </row>
    <row r="121" spans="12:13" ht="15.75" customHeight="1">
      <c r="L121" s="183"/>
      <c r="M121" s="183"/>
    </row>
    <row r="122" spans="12:13" ht="15.75" customHeight="1">
      <c r="L122" s="183"/>
      <c r="M122" s="183"/>
    </row>
    <row r="123" spans="12:13" ht="15.75" customHeight="1">
      <c r="L123" s="183"/>
      <c r="M123" s="183"/>
    </row>
    <row r="124" spans="12:13" ht="15.75" customHeight="1">
      <c r="L124" s="183"/>
      <c r="M124" s="183"/>
    </row>
    <row r="125" spans="12:13" ht="15.75" customHeight="1">
      <c r="L125" s="183"/>
      <c r="M125" s="183"/>
    </row>
    <row r="126" spans="12:13" ht="15.75" customHeight="1">
      <c r="L126" s="183"/>
      <c r="M126" s="183"/>
    </row>
    <row r="127" spans="12:13" ht="15.75" customHeight="1">
      <c r="L127" s="183"/>
      <c r="M127" s="183"/>
    </row>
    <row r="128" spans="12:13" ht="15.75" customHeight="1">
      <c r="L128" s="183"/>
      <c r="M128" s="183"/>
    </row>
    <row r="129" spans="12:13" ht="15.75" customHeight="1">
      <c r="L129" s="183"/>
      <c r="M129" s="183"/>
    </row>
    <row r="130" spans="12:13" ht="15.75" customHeight="1">
      <c r="L130" s="183"/>
      <c r="M130" s="183"/>
    </row>
    <row r="131" spans="12:13" ht="15.75" customHeight="1">
      <c r="L131" s="183"/>
      <c r="M131" s="183"/>
    </row>
    <row r="132" spans="12:13" ht="15.75" customHeight="1">
      <c r="L132" s="183"/>
      <c r="M132" s="183"/>
    </row>
    <row r="133" spans="12:13" ht="15.75" customHeight="1">
      <c r="L133" s="183"/>
      <c r="M133" s="183"/>
    </row>
    <row r="134" spans="12:13" ht="15.75" customHeight="1">
      <c r="L134" s="183"/>
      <c r="M134" s="183"/>
    </row>
    <row r="135" spans="12:13" ht="15.75" customHeight="1">
      <c r="L135" s="183"/>
      <c r="M135" s="183"/>
    </row>
    <row r="136" spans="12:13" ht="15.75" customHeight="1">
      <c r="L136" s="183"/>
      <c r="M136" s="183"/>
    </row>
    <row r="137" spans="12:13" ht="15.75" customHeight="1">
      <c r="L137" s="183"/>
      <c r="M137" s="183"/>
    </row>
    <row r="138" spans="12:13" ht="15.75" customHeight="1">
      <c r="L138" s="183"/>
      <c r="M138" s="183"/>
    </row>
    <row r="139" spans="12:13" ht="15.75" customHeight="1">
      <c r="L139" s="183"/>
      <c r="M139" s="183"/>
    </row>
    <row r="140" spans="12:13" ht="15.75" customHeight="1">
      <c r="L140" s="183"/>
      <c r="M140" s="183"/>
    </row>
    <row r="141" spans="12:13" ht="15.75" customHeight="1">
      <c r="L141" s="183"/>
      <c r="M141" s="183"/>
    </row>
    <row r="142" spans="12:13" ht="15.75" customHeight="1">
      <c r="L142" s="183"/>
      <c r="M142" s="183"/>
    </row>
    <row r="143" spans="12:13" ht="15.75" customHeight="1">
      <c r="L143" s="183"/>
      <c r="M143" s="183"/>
    </row>
    <row r="144" spans="12:13" ht="15.75" customHeight="1">
      <c r="L144" s="183"/>
      <c r="M144" s="183"/>
    </row>
    <row r="145" spans="12:13" ht="15.75" customHeight="1">
      <c r="L145" s="183"/>
      <c r="M145" s="183"/>
    </row>
    <row r="146" spans="12:13" ht="15.75" customHeight="1">
      <c r="L146" s="183"/>
      <c r="M146" s="183"/>
    </row>
    <row r="147" spans="12:13" ht="15.75" customHeight="1">
      <c r="L147" s="183"/>
      <c r="M147" s="183"/>
    </row>
    <row r="148" spans="12:13" ht="15.75" customHeight="1">
      <c r="L148" s="183"/>
      <c r="M148" s="183"/>
    </row>
    <row r="149" spans="12:13" ht="15.75" customHeight="1">
      <c r="L149" s="183"/>
      <c r="M149" s="183"/>
    </row>
    <row r="150" spans="12:13" ht="15.75" customHeight="1">
      <c r="L150" s="183"/>
      <c r="M150" s="183"/>
    </row>
    <row r="151" spans="12:13" ht="15.75" customHeight="1">
      <c r="L151" s="183"/>
      <c r="M151" s="183"/>
    </row>
    <row r="152" spans="12:13" ht="15.75" customHeight="1">
      <c r="L152" s="183"/>
      <c r="M152" s="183"/>
    </row>
    <row r="153" spans="12:13" ht="15.75" customHeight="1">
      <c r="L153" s="183"/>
      <c r="M153" s="183"/>
    </row>
    <row r="154" spans="12:13" ht="15.75" customHeight="1">
      <c r="L154" s="183"/>
      <c r="M154" s="183"/>
    </row>
    <row r="155" spans="12:13" ht="15.75" customHeight="1">
      <c r="L155" s="183"/>
      <c r="M155" s="183"/>
    </row>
    <row r="156" spans="12:13" ht="15.75" customHeight="1">
      <c r="L156" s="183"/>
      <c r="M156" s="183"/>
    </row>
    <row r="157" spans="12:13" ht="15.75" customHeight="1">
      <c r="L157" s="183"/>
      <c r="M157" s="183"/>
    </row>
    <row r="158" spans="12:13" ht="15.75" customHeight="1">
      <c r="L158" s="183"/>
      <c r="M158" s="183"/>
    </row>
    <row r="159" spans="12:13" ht="15.75" customHeight="1">
      <c r="L159" s="183"/>
      <c r="M159" s="183"/>
    </row>
    <row r="160" spans="12:13" ht="15.75" customHeight="1">
      <c r="L160" s="183"/>
      <c r="M160" s="183"/>
    </row>
    <row r="161" spans="12:13" ht="15.75" customHeight="1">
      <c r="L161" s="183"/>
      <c r="M161" s="183"/>
    </row>
    <row r="162" spans="12:13" ht="15.75" customHeight="1">
      <c r="L162" s="183"/>
      <c r="M162" s="183"/>
    </row>
    <row r="163" spans="12:13" ht="15.75" customHeight="1">
      <c r="L163" s="183"/>
      <c r="M163" s="183"/>
    </row>
    <row r="164" spans="12:13" ht="15.75" customHeight="1">
      <c r="L164" s="183"/>
      <c r="M164" s="183"/>
    </row>
    <row r="165" spans="12:13" ht="15.75" customHeight="1">
      <c r="L165" s="183"/>
      <c r="M165" s="183"/>
    </row>
    <row r="166" spans="12:13" ht="15.75" customHeight="1">
      <c r="L166" s="183"/>
      <c r="M166" s="183"/>
    </row>
    <row r="167" spans="12:13" ht="15.75" customHeight="1">
      <c r="L167" s="183"/>
      <c r="M167" s="183"/>
    </row>
    <row r="168" spans="12:13" ht="15.75" customHeight="1">
      <c r="L168" s="183"/>
      <c r="M168" s="183"/>
    </row>
    <row r="169" spans="12:13" ht="15.75" customHeight="1">
      <c r="L169" s="183"/>
      <c r="M169" s="183"/>
    </row>
    <row r="170" spans="12:13" ht="15.75" customHeight="1">
      <c r="L170" s="183"/>
      <c r="M170" s="183"/>
    </row>
    <row r="171" spans="12:13" ht="15.75" customHeight="1">
      <c r="L171" s="183"/>
      <c r="M171" s="183"/>
    </row>
    <row r="172" spans="12:13" ht="15.75" customHeight="1">
      <c r="L172" s="183"/>
      <c r="M172" s="183"/>
    </row>
    <row r="173" spans="12:13" ht="15.75" customHeight="1">
      <c r="L173" s="183"/>
      <c r="M173" s="183"/>
    </row>
    <row r="174" spans="12:13" ht="15.75" customHeight="1">
      <c r="L174" s="183"/>
      <c r="M174" s="183"/>
    </row>
    <row r="175" spans="12:13" ht="15.75" customHeight="1">
      <c r="L175" s="183"/>
      <c r="M175" s="183"/>
    </row>
    <row r="176" spans="12:13" ht="15.75" customHeight="1">
      <c r="L176" s="183"/>
      <c r="M176" s="183"/>
    </row>
    <row r="177" spans="12:13" ht="15.75" customHeight="1">
      <c r="L177" s="183"/>
      <c r="M177" s="183"/>
    </row>
    <row r="178" spans="12:13" ht="15.75" customHeight="1">
      <c r="L178" s="183"/>
      <c r="M178" s="183"/>
    </row>
    <row r="179" spans="12:13" ht="15.75" customHeight="1">
      <c r="L179" s="183"/>
      <c r="M179" s="183"/>
    </row>
    <row r="180" spans="12:13" ht="15.75" customHeight="1">
      <c r="L180" s="183"/>
      <c r="M180" s="183"/>
    </row>
    <row r="181" spans="12:13" ht="15.75" customHeight="1">
      <c r="L181" s="183"/>
      <c r="M181" s="183"/>
    </row>
    <row r="182" spans="12:13" ht="15.75" customHeight="1">
      <c r="L182" s="183"/>
      <c r="M182" s="183"/>
    </row>
    <row r="183" spans="12:13" ht="15.75" customHeight="1">
      <c r="L183" s="183"/>
      <c r="M183" s="183"/>
    </row>
    <row r="184" spans="12:13" ht="15.75" customHeight="1">
      <c r="L184" s="183"/>
      <c r="M184" s="183"/>
    </row>
    <row r="185" spans="12:13" ht="15.75" customHeight="1">
      <c r="L185" s="183"/>
      <c r="M185" s="183"/>
    </row>
    <row r="186" spans="12:13" ht="15.75" customHeight="1">
      <c r="L186" s="183"/>
      <c r="M186" s="183"/>
    </row>
    <row r="187" spans="12:13" ht="15.75" customHeight="1">
      <c r="L187" s="183"/>
      <c r="M187" s="183"/>
    </row>
    <row r="188" spans="12:13" ht="15.75" customHeight="1">
      <c r="L188" s="183"/>
      <c r="M188" s="183"/>
    </row>
    <row r="189" spans="12:13" ht="15.75" customHeight="1">
      <c r="L189" s="183"/>
      <c r="M189" s="183"/>
    </row>
    <row r="190" spans="12:13" ht="15.75" customHeight="1">
      <c r="L190" s="183"/>
      <c r="M190" s="183"/>
    </row>
    <row r="191" spans="12:13" ht="15.75" customHeight="1">
      <c r="L191" s="183"/>
      <c r="M191" s="183"/>
    </row>
    <row r="192" spans="12:13" ht="15.75" customHeight="1">
      <c r="L192" s="183"/>
      <c r="M192" s="183"/>
    </row>
    <row r="193" spans="12:13" ht="15.75" customHeight="1">
      <c r="L193" s="183"/>
      <c r="M193" s="183"/>
    </row>
    <row r="194" spans="12:13" ht="15.75" customHeight="1">
      <c r="L194" s="183"/>
      <c r="M194" s="183"/>
    </row>
    <row r="195" spans="12:13" ht="15.75" customHeight="1">
      <c r="L195" s="183"/>
      <c r="M195" s="183"/>
    </row>
    <row r="196" spans="12:13" ht="15.75" customHeight="1">
      <c r="L196" s="183"/>
      <c r="M196" s="183"/>
    </row>
    <row r="197" spans="12:13" ht="15.75" customHeight="1">
      <c r="L197" s="183"/>
      <c r="M197" s="183"/>
    </row>
    <row r="198" spans="12:13" ht="15.75" customHeight="1">
      <c r="L198" s="183"/>
      <c r="M198" s="183"/>
    </row>
    <row r="199" spans="12:13" ht="15.75" customHeight="1">
      <c r="L199" s="183"/>
      <c r="M199" s="183"/>
    </row>
    <row r="200" spans="12:13" ht="15.75" customHeight="1">
      <c r="L200" s="183"/>
      <c r="M200" s="183"/>
    </row>
    <row r="201" spans="12:13" ht="15.75" customHeight="1">
      <c r="L201" s="183"/>
      <c r="M201" s="183"/>
    </row>
    <row r="202" spans="12:13" ht="15.75" customHeight="1">
      <c r="L202" s="183"/>
      <c r="M202" s="183"/>
    </row>
    <row r="203" spans="12:13" ht="15.75" customHeight="1">
      <c r="L203" s="183"/>
      <c r="M203" s="183"/>
    </row>
    <row r="204" spans="12:13" ht="15.75" customHeight="1">
      <c r="L204" s="183"/>
      <c r="M204" s="183"/>
    </row>
    <row r="205" spans="12:13" ht="15.75" customHeight="1">
      <c r="L205" s="183"/>
      <c r="M205" s="183"/>
    </row>
    <row r="206" spans="12:13" ht="15.75" customHeight="1">
      <c r="L206" s="183"/>
      <c r="M206" s="183"/>
    </row>
    <row r="207" spans="12:13" ht="15.75" customHeight="1">
      <c r="L207" s="183"/>
      <c r="M207" s="183"/>
    </row>
    <row r="208" spans="12:13" ht="15.75" customHeight="1">
      <c r="L208" s="183"/>
      <c r="M208" s="183"/>
    </row>
    <row r="209" spans="12:13" ht="15.75" customHeight="1">
      <c r="L209" s="183"/>
      <c r="M209" s="183"/>
    </row>
    <row r="210" spans="12:13" ht="15.75" customHeight="1">
      <c r="L210" s="183"/>
      <c r="M210" s="183"/>
    </row>
    <row r="211" spans="12:13" ht="15.75" customHeight="1">
      <c r="L211" s="183"/>
      <c r="M211" s="183"/>
    </row>
    <row r="212" spans="12:13" ht="15.75" customHeight="1">
      <c r="L212" s="183"/>
      <c r="M212" s="183"/>
    </row>
    <row r="213" spans="12:13" ht="15.75" customHeight="1">
      <c r="L213" s="183"/>
      <c r="M213" s="183"/>
    </row>
    <row r="214" spans="12:13" ht="15.75" customHeight="1">
      <c r="L214" s="183"/>
      <c r="M214" s="183"/>
    </row>
    <row r="215" spans="12:13" ht="15.75" customHeight="1">
      <c r="L215" s="183"/>
      <c r="M215" s="183"/>
    </row>
    <row r="216" spans="12:13" ht="15.75" customHeight="1">
      <c r="L216" s="183"/>
      <c r="M216" s="183"/>
    </row>
    <row r="217" spans="12:13" ht="15.75" customHeight="1">
      <c r="L217" s="183"/>
      <c r="M217" s="183"/>
    </row>
    <row r="218" spans="12:13" ht="15.75" customHeight="1">
      <c r="L218" s="183"/>
      <c r="M218" s="183"/>
    </row>
    <row r="219" spans="12:13" ht="15.75" customHeight="1">
      <c r="L219" s="183"/>
      <c r="M219" s="183"/>
    </row>
    <row r="220" spans="12:13" ht="15.75" customHeight="1">
      <c r="L220" s="183"/>
      <c r="M220" s="183"/>
    </row>
    <row r="221" spans="12:13" ht="15.75" customHeight="1">
      <c r="L221" s="183"/>
      <c r="M221" s="183"/>
    </row>
    <row r="222" spans="12:13" ht="15.75" customHeight="1">
      <c r="L222" s="183"/>
      <c r="M222" s="183"/>
    </row>
    <row r="223" spans="12:13" ht="15.75" customHeight="1">
      <c r="L223" s="183"/>
      <c r="M223" s="183"/>
    </row>
    <row r="224" spans="12:13" ht="15.75" customHeight="1">
      <c r="L224" s="183"/>
      <c r="M224" s="183"/>
    </row>
    <row r="225" spans="12:13" ht="15.75" customHeight="1">
      <c r="L225" s="183"/>
      <c r="M225" s="183"/>
    </row>
    <row r="226" spans="12:13" ht="15.75" customHeight="1">
      <c r="L226" s="183"/>
      <c r="M226" s="183"/>
    </row>
    <row r="227" spans="12:13" ht="15.75" customHeight="1">
      <c r="L227" s="183"/>
      <c r="M227" s="183"/>
    </row>
    <row r="228" spans="12:13" ht="15.75" customHeight="1">
      <c r="L228" s="183"/>
      <c r="M228" s="183"/>
    </row>
    <row r="229" spans="12:13" ht="15.75" customHeight="1">
      <c r="L229" s="183"/>
      <c r="M229" s="183"/>
    </row>
    <row r="230" spans="12:13" ht="15.75" customHeight="1">
      <c r="L230" s="183"/>
      <c r="M230" s="183"/>
    </row>
    <row r="231" spans="12:13" ht="15.75" customHeight="1">
      <c r="L231" s="183"/>
      <c r="M231" s="183"/>
    </row>
    <row r="232" spans="12:13" ht="15.75" customHeight="1">
      <c r="L232" s="183"/>
      <c r="M232" s="183"/>
    </row>
    <row r="233" spans="12:13" ht="15.75" customHeight="1">
      <c r="L233" s="183"/>
      <c r="M233" s="183"/>
    </row>
    <row r="234" spans="12:13" ht="15.75" customHeight="1">
      <c r="L234" s="183"/>
      <c r="M234" s="183"/>
    </row>
    <row r="235" spans="12:13" ht="15.75" customHeight="1">
      <c r="L235" s="183"/>
      <c r="M235" s="183"/>
    </row>
    <row r="236" spans="12:13" ht="15.75" customHeight="1">
      <c r="L236" s="183"/>
      <c r="M236" s="183"/>
    </row>
    <row r="237" spans="12:13" ht="15.75" customHeight="1">
      <c r="L237" s="183"/>
      <c r="M237" s="183"/>
    </row>
    <row r="238" spans="12:13" ht="15.75" customHeight="1">
      <c r="L238" s="183"/>
      <c r="M238" s="183"/>
    </row>
    <row r="239" spans="12:13" ht="15.75" customHeight="1">
      <c r="L239" s="183"/>
      <c r="M239" s="183"/>
    </row>
    <row r="240" spans="12:13" ht="15.75" customHeight="1">
      <c r="L240" s="183"/>
      <c r="M240" s="183"/>
    </row>
    <row r="241" spans="12:13" ht="15.75" customHeight="1">
      <c r="L241" s="183"/>
      <c r="M241" s="183"/>
    </row>
    <row r="242" spans="12:13" ht="15.75" customHeight="1">
      <c r="L242" s="183"/>
      <c r="M242" s="183"/>
    </row>
    <row r="243" spans="12:13" ht="15.75" customHeight="1">
      <c r="L243" s="183"/>
      <c r="M243" s="183"/>
    </row>
    <row r="244" spans="12:13" ht="15.75" customHeight="1">
      <c r="L244" s="183"/>
      <c r="M244" s="183"/>
    </row>
    <row r="245" spans="12:13" ht="15.75" customHeight="1">
      <c r="L245" s="183"/>
      <c r="M245" s="183"/>
    </row>
    <row r="246" spans="12:13" ht="15.75" customHeight="1">
      <c r="L246" s="183"/>
      <c r="M246" s="183"/>
    </row>
    <row r="247" spans="12:13" ht="15.75" customHeight="1">
      <c r="L247" s="183"/>
      <c r="M247" s="183"/>
    </row>
    <row r="248" spans="12:13" ht="15.75" customHeight="1">
      <c r="L248" s="183"/>
      <c r="M248" s="183"/>
    </row>
    <row r="249" spans="12:13" ht="15.75" customHeight="1">
      <c r="L249" s="183"/>
      <c r="M249" s="183"/>
    </row>
    <row r="250" spans="12:13" ht="15.75" customHeight="1">
      <c r="L250" s="183"/>
      <c r="M250" s="183"/>
    </row>
    <row r="251" spans="12:13" ht="15.75" customHeight="1">
      <c r="L251" s="183"/>
      <c r="M251" s="183"/>
    </row>
    <row r="252" spans="12:13" ht="15.75" customHeight="1">
      <c r="L252" s="183"/>
      <c r="M252" s="183"/>
    </row>
    <row r="253" spans="12:13" ht="15.75" customHeight="1">
      <c r="L253" s="183"/>
      <c r="M253" s="183"/>
    </row>
    <row r="254" spans="12:13" ht="15.75" customHeight="1">
      <c r="L254" s="183"/>
      <c r="M254" s="183"/>
    </row>
    <row r="255" spans="12:13" ht="15.75" customHeight="1">
      <c r="L255" s="183"/>
      <c r="M255" s="183"/>
    </row>
    <row r="256" spans="12:13" ht="15.75" customHeight="1">
      <c r="L256" s="183"/>
      <c r="M256" s="183"/>
    </row>
    <row r="257" spans="12:13" ht="15.75" customHeight="1">
      <c r="L257" s="183"/>
      <c r="M257" s="183"/>
    </row>
    <row r="258" spans="12:13" ht="15.75" customHeight="1">
      <c r="L258" s="183"/>
      <c r="M258" s="183"/>
    </row>
    <row r="259" spans="12:13" ht="15.75" customHeight="1">
      <c r="L259" s="183"/>
      <c r="M259" s="183"/>
    </row>
    <row r="260" spans="12:13" ht="15.75" customHeight="1">
      <c r="L260" s="183"/>
      <c r="M260" s="183"/>
    </row>
    <row r="261" spans="12:13" ht="15.75" customHeight="1">
      <c r="L261" s="183"/>
      <c r="M261" s="183"/>
    </row>
    <row r="262" spans="12:13" ht="15.75" customHeight="1">
      <c r="L262" s="183"/>
      <c r="M262" s="183"/>
    </row>
    <row r="263" spans="12:13" ht="15.75" customHeight="1">
      <c r="L263" s="183"/>
      <c r="M263" s="183"/>
    </row>
    <row r="264" spans="12:13" ht="15.75" customHeight="1">
      <c r="L264" s="183"/>
      <c r="M264" s="183"/>
    </row>
    <row r="265" spans="12:13" ht="15.75" customHeight="1">
      <c r="L265" s="183"/>
      <c r="M265" s="183"/>
    </row>
    <row r="266" spans="12:13" ht="15.75" customHeight="1">
      <c r="L266" s="183"/>
      <c r="M266" s="183"/>
    </row>
    <row r="267" spans="12:13" ht="15.75" customHeight="1">
      <c r="L267" s="183"/>
      <c r="M267" s="183"/>
    </row>
    <row r="268" spans="12:13" ht="15.75" customHeight="1">
      <c r="L268" s="183"/>
      <c r="M268" s="183"/>
    </row>
    <row r="269" spans="12:13" ht="15.75" customHeight="1">
      <c r="L269" s="183"/>
      <c r="M269" s="183"/>
    </row>
    <row r="270" spans="12:13" ht="15.75" customHeight="1">
      <c r="L270" s="183"/>
      <c r="M270" s="183"/>
    </row>
    <row r="271" spans="12:13" ht="15.75" customHeight="1">
      <c r="L271" s="183"/>
      <c r="M271" s="183"/>
    </row>
    <row r="272" spans="12:13" ht="15.75" customHeight="1">
      <c r="L272" s="183"/>
      <c r="M272" s="183"/>
    </row>
    <row r="273" spans="12:13" ht="15.75" customHeight="1">
      <c r="L273" s="183"/>
      <c r="M273" s="183"/>
    </row>
    <row r="274" spans="12:13" ht="15.75" customHeight="1">
      <c r="L274" s="183"/>
      <c r="M274" s="183"/>
    </row>
    <row r="275" spans="12:13" ht="15.75" customHeight="1">
      <c r="L275" s="183"/>
      <c r="M275" s="183"/>
    </row>
    <row r="276" spans="12:13" ht="15.75" customHeight="1">
      <c r="L276" s="183"/>
      <c r="M276" s="183"/>
    </row>
    <row r="277" spans="12:13" ht="15.75" customHeight="1">
      <c r="L277" s="183"/>
      <c r="M277" s="183"/>
    </row>
    <row r="278" spans="12:13" ht="15.75" customHeight="1">
      <c r="L278" s="183"/>
      <c r="M278" s="183"/>
    </row>
    <row r="279" spans="12:13" ht="15.75" customHeight="1">
      <c r="L279" s="183"/>
      <c r="M279" s="183"/>
    </row>
    <row r="280" spans="12:13" ht="15.75" customHeight="1">
      <c r="L280" s="183"/>
      <c r="M280" s="183"/>
    </row>
    <row r="281" spans="12:13" ht="15.75" customHeight="1">
      <c r="L281" s="183"/>
      <c r="M281" s="183"/>
    </row>
    <row r="282" spans="12:13" ht="15.75" customHeight="1">
      <c r="L282" s="183"/>
      <c r="M282" s="183"/>
    </row>
    <row r="283" spans="12:13" ht="15.75" customHeight="1">
      <c r="L283" s="183"/>
      <c r="M283" s="183"/>
    </row>
    <row r="284" spans="12:13" ht="15.75" customHeight="1">
      <c r="L284" s="183"/>
      <c r="M284" s="183"/>
    </row>
    <row r="285" spans="12:13" ht="15.75" customHeight="1">
      <c r="L285" s="183"/>
      <c r="M285" s="183"/>
    </row>
    <row r="286" spans="12:13" ht="15.75" customHeight="1">
      <c r="L286" s="183"/>
      <c r="M286" s="183"/>
    </row>
    <row r="287" spans="12:13" ht="15.75" customHeight="1">
      <c r="L287" s="183"/>
      <c r="M287" s="183"/>
    </row>
    <row r="288" spans="12:13" ht="15.75" customHeight="1">
      <c r="L288" s="183"/>
      <c r="M288" s="183"/>
    </row>
    <row r="289" spans="12:13" ht="15.75" customHeight="1">
      <c r="L289" s="183"/>
      <c r="M289" s="183"/>
    </row>
    <row r="290" spans="12:13" ht="15.75" customHeight="1">
      <c r="L290" s="183"/>
      <c r="M290" s="183"/>
    </row>
    <row r="291" spans="12:13" ht="15.75" customHeight="1">
      <c r="L291" s="183"/>
      <c r="M291" s="183"/>
    </row>
    <row r="292" spans="12:13" ht="15.75" customHeight="1">
      <c r="L292" s="183"/>
      <c r="M292" s="183"/>
    </row>
    <row r="293" spans="12:13" ht="15.75" customHeight="1">
      <c r="L293" s="183"/>
      <c r="M293" s="183"/>
    </row>
    <row r="294" spans="12:13" ht="15.75" customHeight="1">
      <c r="L294" s="183"/>
      <c r="M294" s="183"/>
    </row>
    <row r="295" spans="12:13" ht="15.75" customHeight="1">
      <c r="L295" s="183"/>
      <c r="M295" s="183"/>
    </row>
    <row r="296" spans="12:13" ht="15.75" customHeight="1">
      <c r="L296" s="183"/>
      <c r="M296" s="183"/>
    </row>
    <row r="297" spans="12:13" ht="15.75" customHeight="1">
      <c r="L297" s="183"/>
      <c r="M297" s="183"/>
    </row>
    <row r="298" spans="12:13" ht="15.75" customHeight="1">
      <c r="L298" s="183"/>
      <c r="M298" s="183"/>
    </row>
    <row r="299" spans="12:13" ht="15.75" customHeight="1">
      <c r="L299" s="183"/>
      <c r="M299" s="183"/>
    </row>
    <row r="300" spans="12:13" ht="15.75" customHeight="1">
      <c r="L300" s="183"/>
      <c r="M300" s="183"/>
    </row>
    <row r="301" spans="12:13" ht="15.75" customHeight="1">
      <c r="L301" s="183"/>
      <c r="M301" s="183"/>
    </row>
    <row r="302" spans="12:13" ht="15.75" customHeight="1">
      <c r="L302" s="183"/>
      <c r="M302" s="183"/>
    </row>
    <row r="303" spans="12:13" ht="15.75" customHeight="1">
      <c r="L303" s="183"/>
      <c r="M303" s="183"/>
    </row>
    <row r="304" spans="12:13" ht="15.75" customHeight="1">
      <c r="L304" s="183"/>
      <c r="M304" s="183"/>
    </row>
    <row r="305" spans="12:13" ht="15.75" customHeight="1">
      <c r="L305" s="183"/>
      <c r="M305" s="183"/>
    </row>
    <row r="306" spans="12:13" ht="15.75" customHeight="1">
      <c r="L306" s="183"/>
      <c r="M306" s="183"/>
    </row>
    <row r="307" spans="12:13" ht="15.75" customHeight="1">
      <c r="L307" s="183"/>
      <c r="M307" s="183"/>
    </row>
    <row r="308" spans="12:13" ht="15.75" customHeight="1">
      <c r="L308" s="183"/>
      <c r="M308" s="183"/>
    </row>
    <row r="309" spans="12:13" ht="15.75" customHeight="1">
      <c r="L309" s="183"/>
      <c r="M309" s="183"/>
    </row>
    <row r="310" spans="12:13" ht="15.75" customHeight="1">
      <c r="L310" s="183"/>
      <c r="M310" s="183"/>
    </row>
    <row r="311" spans="12:13" ht="15.75" customHeight="1">
      <c r="L311" s="183"/>
      <c r="M311" s="183"/>
    </row>
    <row r="312" spans="12:13" ht="15.75" customHeight="1">
      <c r="L312" s="183"/>
      <c r="M312" s="183"/>
    </row>
    <row r="313" spans="12:13" ht="15.75" customHeight="1">
      <c r="L313" s="183"/>
      <c r="M313" s="183"/>
    </row>
    <row r="314" spans="12:13" ht="15.75" customHeight="1">
      <c r="L314" s="183"/>
      <c r="M314" s="183"/>
    </row>
    <row r="315" spans="12:13" ht="15.75" customHeight="1">
      <c r="L315" s="183"/>
      <c r="M315" s="183"/>
    </row>
    <row r="316" spans="12:13" ht="15.75" customHeight="1">
      <c r="L316" s="183"/>
      <c r="M316" s="183"/>
    </row>
    <row r="317" spans="12:13" ht="15.75" customHeight="1">
      <c r="L317" s="183"/>
      <c r="M317" s="183"/>
    </row>
    <row r="318" spans="12:13" ht="15.75" customHeight="1">
      <c r="L318" s="183"/>
      <c r="M318" s="183"/>
    </row>
    <row r="319" spans="12:13" ht="15.75" customHeight="1">
      <c r="L319" s="183"/>
      <c r="M319" s="183"/>
    </row>
    <row r="320" spans="12:13" ht="15.75" customHeight="1">
      <c r="L320" s="183"/>
      <c r="M320" s="183"/>
    </row>
    <row r="321" spans="12:13" ht="15.75" customHeight="1">
      <c r="L321" s="183"/>
      <c r="M321" s="183"/>
    </row>
    <row r="322" spans="12:13" ht="15.75" customHeight="1">
      <c r="L322" s="183"/>
      <c r="M322" s="183"/>
    </row>
    <row r="323" spans="12:13" ht="15.75" customHeight="1">
      <c r="L323" s="183"/>
      <c r="M323" s="183"/>
    </row>
    <row r="324" spans="12:13" ht="15.75" customHeight="1">
      <c r="L324" s="183"/>
      <c r="M324" s="183"/>
    </row>
    <row r="325" spans="12:13" ht="15.75" customHeight="1">
      <c r="L325" s="183"/>
      <c r="M325" s="183"/>
    </row>
    <row r="326" spans="12:13" ht="15.75" customHeight="1">
      <c r="L326" s="183"/>
      <c r="M326" s="183"/>
    </row>
    <row r="327" spans="12:13" ht="15.75" customHeight="1">
      <c r="L327" s="183"/>
      <c r="M327" s="183"/>
    </row>
    <row r="328" spans="12:13" ht="15.75" customHeight="1">
      <c r="L328" s="183"/>
      <c r="M328" s="183"/>
    </row>
    <row r="329" spans="12:13" ht="15.75" customHeight="1">
      <c r="L329" s="183"/>
      <c r="M329" s="183"/>
    </row>
    <row r="330" spans="12:13" ht="15.75" customHeight="1">
      <c r="L330" s="183"/>
      <c r="M330" s="183"/>
    </row>
    <row r="331" spans="12:13" ht="15.75" customHeight="1">
      <c r="L331" s="183"/>
      <c r="M331" s="183"/>
    </row>
    <row r="332" spans="12:13" ht="15.75" customHeight="1">
      <c r="L332" s="183"/>
      <c r="M332" s="183"/>
    </row>
    <row r="333" spans="12:13" ht="15.75" customHeight="1">
      <c r="L333" s="183"/>
      <c r="M333" s="183"/>
    </row>
    <row r="334" spans="12:13" ht="15.75" customHeight="1">
      <c r="L334" s="183"/>
      <c r="M334" s="183"/>
    </row>
    <row r="335" spans="12:13" ht="15.75" customHeight="1">
      <c r="L335" s="183"/>
      <c r="M335" s="183"/>
    </row>
    <row r="336" spans="12:13" ht="15.75" customHeight="1">
      <c r="L336" s="183"/>
      <c r="M336" s="183"/>
    </row>
    <row r="337" spans="12:13" ht="15.75" customHeight="1">
      <c r="L337" s="183"/>
      <c r="M337" s="183"/>
    </row>
    <row r="338" spans="12:13" ht="15.75" customHeight="1">
      <c r="L338" s="183"/>
      <c r="M338" s="183"/>
    </row>
    <row r="339" spans="12:13" ht="15.75" customHeight="1">
      <c r="L339" s="183"/>
      <c r="M339" s="183"/>
    </row>
    <row r="340" spans="12:13" ht="15.75" customHeight="1">
      <c r="L340" s="183"/>
      <c r="M340" s="183"/>
    </row>
    <row r="341" spans="12:13" ht="15.75" customHeight="1">
      <c r="L341" s="183"/>
      <c r="M341" s="183"/>
    </row>
    <row r="342" spans="12:13" ht="15.75" customHeight="1">
      <c r="L342" s="183"/>
      <c r="M342" s="183"/>
    </row>
    <row r="343" spans="12:13" ht="15.75" customHeight="1">
      <c r="L343" s="183"/>
      <c r="M343" s="183"/>
    </row>
    <row r="344" spans="12:13" ht="15.75" customHeight="1">
      <c r="L344" s="183"/>
      <c r="M344" s="183"/>
    </row>
    <row r="345" spans="12:13" ht="15.75" customHeight="1">
      <c r="L345" s="183"/>
      <c r="M345" s="183"/>
    </row>
    <row r="346" spans="12:13" ht="15.75" customHeight="1">
      <c r="L346" s="183"/>
      <c r="M346" s="183"/>
    </row>
    <row r="347" spans="12:13" ht="15.75" customHeight="1">
      <c r="L347" s="183"/>
      <c r="M347" s="183"/>
    </row>
    <row r="348" spans="12:13" ht="15.75" customHeight="1">
      <c r="L348" s="183"/>
      <c r="M348" s="183"/>
    </row>
    <row r="349" spans="12:13" ht="15.75" customHeight="1">
      <c r="L349" s="183"/>
      <c r="M349" s="183"/>
    </row>
    <row r="350" spans="12:13" ht="15.75" customHeight="1">
      <c r="L350" s="183"/>
      <c r="M350" s="183"/>
    </row>
    <row r="351" spans="12:13" ht="15.75" customHeight="1">
      <c r="L351" s="183"/>
      <c r="M351" s="183"/>
    </row>
    <row r="352" spans="12:13" ht="15.75" customHeight="1">
      <c r="L352" s="183"/>
      <c r="M352" s="183"/>
    </row>
    <row r="353" spans="12:13" ht="15.75" customHeight="1">
      <c r="L353" s="183"/>
      <c r="M353" s="183"/>
    </row>
    <row r="354" spans="12:13" ht="15.75" customHeight="1">
      <c r="L354" s="183"/>
      <c r="M354" s="183"/>
    </row>
    <row r="355" spans="12:13" ht="15.75" customHeight="1">
      <c r="L355" s="183"/>
      <c r="M355" s="183"/>
    </row>
    <row r="356" spans="12:13" ht="15.75" customHeight="1">
      <c r="L356" s="183"/>
      <c r="M356" s="183"/>
    </row>
    <row r="357" spans="12:13" ht="15.75" customHeight="1">
      <c r="L357" s="183"/>
      <c r="M357" s="183"/>
    </row>
    <row r="358" spans="12:13" ht="15.75" customHeight="1">
      <c r="L358" s="183"/>
      <c r="M358" s="183"/>
    </row>
    <row r="359" spans="12:13" ht="15.75" customHeight="1">
      <c r="L359" s="183"/>
      <c r="M359" s="183"/>
    </row>
    <row r="360" spans="12:13" ht="15.75" customHeight="1">
      <c r="L360" s="183"/>
      <c r="M360" s="183"/>
    </row>
    <row r="361" spans="12:13" ht="15.75" customHeight="1">
      <c r="L361" s="183"/>
      <c r="M361" s="183"/>
    </row>
    <row r="362" spans="12:13" ht="15.75" customHeight="1">
      <c r="L362" s="183"/>
      <c r="M362" s="183"/>
    </row>
    <row r="363" spans="12:13" ht="15.75" customHeight="1">
      <c r="L363" s="183"/>
      <c r="M363" s="183"/>
    </row>
    <row r="364" spans="12:13" ht="15.75" customHeight="1">
      <c r="L364" s="183"/>
      <c r="M364" s="183"/>
    </row>
    <row r="365" spans="12:13" ht="15.75" customHeight="1">
      <c r="L365" s="183"/>
      <c r="M365" s="183"/>
    </row>
    <row r="366" spans="12:13" ht="15.75" customHeight="1">
      <c r="L366" s="183"/>
      <c r="M366" s="183"/>
    </row>
    <row r="367" spans="12:13" ht="15.75" customHeight="1">
      <c r="L367" s="183"/>
      <c r="M367" s="183"/>
    </row>
    <row r="368" spans="12:13" ht="15.75" customHeight="1">
      <c r="L368" s="183"/>
      <c r="M368" s="183"/>
    </row>
    <row r="369" spans="12:13" ht="15.75" customHeight="1">
      <c r="L369" s="183"/>
      <c r="M369" s="183"/>
    </row>
    <row r="370" spans="12:13" ht="15.75" customHeight="1">
      <c r="L370" s="183"/>
      <c r="M370" s="183"/>
    </row>
    <row r="371" spans="12:13" ht="15.75" customHeight="1">
      <c r="L371" s="183"/>
      <c r="M371" s="183"/>
    </row>
    <row r="372" spans="12:13" ht="15.75" customHeight="1">
      <c r="L372" s="183"/>
      <c r="M372" s="183"/>
    </row>
    <row r="373" spans="12:13" ht="15.75" customHeight="1">
      <c r="L373" s="183"/>
      <c r="M373" s="183"/>
    </row>
    <row r="374" spans="12:13" ht="15.75" customHeight="1">
      <c r="L374" s="183"/>
      <c r="M374" s="183"/>
    </row>
    <row r="375" spans="12:13" ht="15.75" customHeight="1">
      <c r="L375" s="183"/>
      <c r="M375" s="183"/>
    </row>
    <row r="376" spans="12:13" ht="15.75" customHeight="1">
      <c r="L376" s="183"/>
      <c r="M376" s="183"/>
    </row>
    <row r="377" spans="12:13" ht="15.75" customHeight="1">
      <c r="L377" s="183"/>
      <c r="M377" s="183"/>
    </row>
    <row r="378" spans="12:13" ht="15.75" customHeight="1">
      <c r="L378" s="183"/>
      <c r="M378" s="183"/>
    </row>
    <row r="379" spans="12:13" ht="15.75" customHeight="1">
      <c r="L379" s="183"/>
      <c r="M379" s="183"/>
    </row>
    <row r="380" spans="12:13" ht="15.75" customHeight="1">
      <c r="L380" s="183"/>
      <c r="M380" s="183"/>
    </row>
    <row r="381" spans="12:13" ht="15.75" customHeight="1">
      <c r="L381" s="183"/>
      <c r="M381" s="183"/>
    </row>
    <row r="382" spans="12:13" ht="15.75" customHeight="1">
      <c r="L382" s="183"/>
      <c r="M382" s="183"/>
    </row>
    <row r="383" spans="12:13" ht="15.75" customHeight="1">
      <c r="L383" s="183"/>
      <c r="M383" s="183"/>
    </row>
    <row r="384" spans="12:13" ht="15.75" customHeight="1">
      <c r="L384" s="183"/>
      <c r="M384" s="183"/>
    </row>
    <row r="385" spans="12:13" ht="15.75" customHeight="1">
      <c r="L385" s="183"/>
      <c r="M385" s="183"/>
    </row>
    <row r="386" spans="12:13" ht="15.75" customHeight="1">
      <c r="L386" s="183"/>
      <c r="M386" s="183"/>
    </row>
    <row r="387" spans="12:13" ht="15.75" customHeight="1">
      <c r="L387" s="183"/>
      <c r="M387" s="183"/>
    </row>
    <row r="388" spans="12:13" ht="15.75" customHeight="1">
      <c r="L388" s="183"/>
      <c r="M388" s="183"/>
    </row>
    <row r="389" spans="12:13" ht="15.75" customHeight="1">
      <c r="L389" s="183"/>
      <c r="M389" s="183"/>
    </row>
    <row r="390" spans="12:13" ht="15.75" customHeight="1">
      <c r="L390" s="183"/>
      <c r="M390" s="183"/>
    </row>
    <row r="391" spans="12:13" ht="15.75" customHeight="1">
      <c r="L391" s="183"/>
      <c r="M391" s="183"/>
    </row>
    <row r="392" spans="12:13" ht="15.75" customHeight="1">
      <c r="L392" s="183"/>
      <c r="M392" s="183"/>
    </row>
    <row r="393" spans="12:13" ht="15.75" customHeight="1">
      <c r="L393" s="183"/>
      <c r="M393" s="183"/>
    </row>
    <row r="394" spans="12:13" ht="15.75" customHeight="1">
      <c r="L394" s="183"/>
      <c r="M394" s="183"/>
    </row>
    <row r="395" spans="12:13" ht="15.75" customHeight="1">
      <c r="L395" s="183"/>
      <c r="M395" s="183"/>
    </row>
    <row r="396" spans="12:13" ht="15.75" customHeight="1">
      <c r="L396" s="183"/>
      <c r="M396" s="183"/>
    </row>
    <row r="397" spans="12:13" ht="15.75" customHeight="1">
      <c r="L397" s="183"/>
      <c r="M397" s="183"/>
    </row>
    <row r="398" spans="12:13" ht="15.75" customHeight="1">
      <c r="L398" s="183"/>
      <c r="M398" s="183"/>
    </row>
    <row r="399" spans="12:13" ht="15.75" customHeight="1">
      <c r="L399" s="183"/>
      <c r="M399" s="183"/>
    </row>
    <row r="400" spans="12:13" ht="15.75" customHeight="1">
      <c r="L400" s="183"/>
      <c r="M400" s="183"/>
    </row>
    <row r="401" spans="12:13" ht="15.75" customHeight="1">
      <c r="L401" s="183"/>
      <c r="M401" s="183"/>
    </row>
    <row r="402" spans="12:13" ht="15.75" customHeight="1">
      <c r="L402" s="183"/>
      <c r="M402" s="183"/>
    </row>
    <row r="403" spans="12:13" ht="15.75" customHeight="1">
      <c r="L403" s="183"/>
      <c r="M403" s="183"/>
    </row>
    <row r="404" spans="12:13" ht="15.75" customHeight="1">
      <c r="L404" s="183"/>
      <c r="M404" s="183"/>
    </row>
    <row r="405" spans="12:13" ht="15.75" customHeight="1">
      <c r="L405" s="183"/>
      <c r="M405" s="183"/>
    </row>
    <row r="406" spans="12:13" ht="15.75" customHeight="1">
      <c r="L406" s="183"/>
      <c r="M406" s="183"/>
    </row>
    <row r="407" spans="12:13" ht="15.75" customHeight="1">
      <c r="L407" s="183"/>
      <c r="M407" s="183"/>
    </row>
    <row r="408" spans="12:13" ht="15.75" customHeight="1">
      <c r="L408" s="183"/>
      <c r="M408" s="183"/>
    </row>
    <row r="409" spans="12:13" ht="15.75" customHeight="1">
      <c r="L409" s="183"/>
      <c r="M409" s="183"/>
    </row>
    <row r="410" spans="12:13" ht="15.75" customHeight="1">
      <c r="L410" s="183"/>
      <c r="M410" s="183"/>
    </row>
    <row r="411" spans="12:13" ht="15.75" customHeight="1">
      <c r="L411" s="183"/>
      <c r="M411" s="183"/>
    </row>
    <row r="412" spans="12:13" ht="15.75" customHeight="1">
      <c r="L412" s="183"/>
      <c r="M412" s="183"/>
    </row>
    <row r="413" spans="12:13" ht="15.75" customHeight="1">
      <c r="L413" s="183"/>
      <c r="M413" s="183"/>
    </row>
    <row r="414" spans="12:13" ht="15.75" customHeight="1">
      <c r="L414" s="183"/>
      <c r="M414" s="183"/>
    </row>
    <row r="415" spans="12:13" ht="15.75" customHeight="1">
      <c r="L415" s="183"/>
      <c r="M415" s="183"/>
    </row>
    <row r="416" spans="12:13" ht="15.75" customHeight="1">
      <c r="L416" s="183"/>
      <c r="M416" s="183"/>
    </row>
    <row r="417" spans="12:13" ht="15.75" customHeight="1">
      <c r="L417" s="183"/>
      <c r="M417" s="183"/>
    </row>
    <row r="418" spans="12:13" ht="15.75" customHeight="1">
      <c r="L418" s="183"/>
      <c r="M418" s="183"/>
    </row>
    <row r="419" spans="12:13" ht="15.75" customHeight="1">
      <c r="L419" s="183"/>
      <c r="M419" s="183"/>
    </row>
    <row r="420" spans="12:13" ht="15.75" customHeight="1">
      <c r="L420" s="183"/>
      <c r="M420" s="183"/>
    </row>
    <row r="421" spans="12:13" ht="15.75" customHeight="1">
      <c r="L421" s="183"/>
      <c r="M421" s="183"/>
    </row>
    <row r="422" spans="12:13" ht="15.75" customHeight="1">
      <c r="L422" s="183"/>
      <c r="M422" s="183"/>
    </row>
    <row r="423" spans="12:13" ht="15.75" customHeight="1">
      <c r="L423" s="183"/>
      <c r="M423" s="183"/>
    </row>
    <row r="424" spans="12:13" ht="15.75" customHeight="1">
      <c r="L424" s="183"/>
      <c r="M424" s="183"/>
    </row>
    <row r="425" spans="12:13" ht="15.75" customHeight="1">
      <c r="L425" s="183"/>
      <c r="M425" s="183"/>
    </row>
    <row r="426" spans="12:13" ht="15.75" customHeight="1">
      <c r="L426" s="183"/>
      <c r="M426" s="183"/>
    </row>
    <row r="427" spans="12:13" ht="15.75" customHeight="1">
      <c r="L427" s="183"/>
      <c r="M427" s="183"/>
    </row>
    <row r="428" spans="12:13" ht="15.75" customHeight="1">
      <c r="L428" s="183"/>
      <c r="M428" s="183"/>
    </row>
    <row r="429" spans="12:13" ht="15.75" customHeight="1">
      <c r="L429" s="183"/>
      <c r="M429" s="183"/>
    </row>
    <row r="430" spans="12:13" ht="15.75" customHeight="1">
      <c r="L430" s="183"/>
      <c r="M430" s="183"/>
    </row>
    <row r="431" spans="12:13" ht="15.75" customHeight="1">
      <c r="L431" s="183"/>
      <c r="M431" s="183"/>
    </row>
    <row r="432" spans="12:13" ht="15.75" customHeight="1">
      <c r="L432" s="183"/>
      <c r="M432" s="183"/>
    </row>
    <row r="433" spans="12:13" ht="15.75" customHeight="1">
      <c r="L433" s="183"/>
      <c r="M433" s="183"/>
    </row>
    <row r="434" spans="12:13" ht="15.75" customHeight="1">
      <c r="L434" s="183"/>
      <c r="M434" s="183"/>
    </row>
    <row r="435" spans="12:13" ht="15.75" customHeight="1">
      <c r="L435" s="183"/>
      <c r="M435" s="183"/>
    </row>
    <row r="436" spans="12:13" ht="15.75" customHeight="1">
      <c r="L436" s="183"/>
      <c r="M436" s="183"/>
    </row>
    <row r="437" spans="12:13" ht="15.75" customHeight="1">
      <c r="L437" s="183"/>
      <c r="M437" s="183"/>
    </row>
    <row r="438" spans="12:13" ht="15.75" customHeight="1">
      <c r="L438" s="183"/>
      <c r="M438" s="183"/>
    </row>
    <row r="439" spans="12:13" ht="15.75" customHeight="1">
      <c r="L439" s="183"/>
      <c r="M439" s="183"/>
    </row>
    <row r="440" spans="12:13" ht="15.75" customHeight="1">
      <c r="L440" s="183"/>
      <c r="M440" s="183"/>
    </row>
    <row r="441" spans="12:13" ht="15.75" customHeight="1">
      <c r="L441" s="183"/>
      <c r="M441" s="183"/>
    </row>
    <row r="442" spans="12:13" ht="15.75" customHeight="1">
      <c r="L442" s="183"/>
      <c r="M442" s="183"/>
    </row>
    <row r="443" spans="12:13" ht="15.75" customHeight="1">
      <c r="L443" s="183"/>
      <c r="M443" s="183"/>
    </row>
    <row r="444" spans="12:13" ht="15.75" customHeight="1">
      <c r="L444" s="183"/>
      <c r="M444" s="183"/>
    </row>
    <row r="445" spans="12:13" ht="15.75" customHeight="1">
      <c r="L445" s="183"/>
      <c r="M445" s="183"/>
    </row>
    <row r="446" spans="12:13" ht="15.75" customHeight="1">
      <c r="L446" s="183"/>
      <c r="M446" s="183"/>
    </row>
    <row r="447" spans="12:13" ht="15.75" customHeight="1">
      <c r="L447" s="183"/>
      <c r="M447" s="183"/>
    </row>
    <row r="448" spans="12:13" ht="15.75" customHeight="1">
      <c r="L448" s="183"/>
      <c r="M448" s="183"/>
    </row>
    <row r="449" spans="12:13" ht="15.75" customHeight="1">
      <c r="L449" s="183"/>
      <c r="M449" s="183"/>
    </row>
    <row r="450" spans="12:13" ht="15.75" customHeight="1">
      <c r="L450" s="183"/>
      <c r="M450" s="183"/>
    </row>
    <row r="451" spans="12:13" ht="15.75" customHeight="1">
      <c r="L451" s="183"/>
      <c r="M451" s="183"/>
    </row>
    <row r="452" spans="12:13" ht="15.75" customHeight="1">
      <c r="L452" s="183"/>
      <c r="M452" s="183"/>
    </row>
    <row r="453" spans="12:13" ht="15.75" customHeight="1">
      <c r="L453" s="183"/>
      <c r="M453" s="183"/>
    </row>
    <row r="454" spans="12:13" ht="15.75" customHeight="1">
      <c r="L454" s="183"/>
      <c r="M454" s="183"/>
    </row>
    <row r="455" spans="12:13" ht="15.75" customHeight="1">
      <c r="L455" s="183"/>
      <c r="M455" s="183"/>
    </row>
    <row r="456" spans="12:13" ht="15.75" customHeight="1">
      <c r="L456" s="183"/>
      <c r="M456" s="183"/>
    </row>
    <row r="457" spans="12:13" ht="15.75" customHeight="1">
      <c r="L457" s="183"/>
      <c r="M457" s="183"/>
    </row>
    <row r="458" spans="12:13" ht="15.75" customHeight="1">
      <c r="L458" s="183"/>
      <c r="M458" s="183"/>
    </row>
    <row r="459" spans="12:13" ht="15.75" customHeight="1">
      <c r="L459" s="183"/>
      <c r="M459" s="183"/>
    </row>
    <row r="460" spans="12:13" ht="15.75" customHeight="1">
      <c r="L460" s="183"/>
      <c r="M460" s="183"/>
    </row>
    <row r="461" spans="12:13" ht="15.75" customHeight="1">
      <c r="L461" s="183"/>
      <c r="M461" s="183"/>
    </row>
    <row r="462" spans="12:13" ht="15.75" customHeight="1">
      <c r="L462" s="183"/>
      <c r="M462" s="183"/>
    </row>
    <row r="463" spans="12:13" ht="15.75" customHeight="1">
      <c r="L463" s="183"/>
      <c r="M463" s="183"/>
    </row>
    <row r="464" spans="12:13" ht="15.75" customHeight="1">
      <c r="L464" s="183"/>
      <c r="M464" s="183"/>
    </row>
    <row r="465" spans="12:13" ht="15.75" customHeight="1">
      <c r="L465" s="183"/>
      <c r="M465" s="183"/>
    </row>
    <row r="466" spans="12:13" ht="15.75" customHeight="1">
      <c r="L466" s="183"/>
      <c r="M466" s="183"/>
    </row>
    <row r="467" spans="12:13" ht="15.75" customHeight="1">
      <c r="L467" s="183"/>
      <c r="M467" s="183"/>
    </row>
    <row r="468" spans="12:13" ht="15.75" customHeight="1">
      <c r="L468" s="183"/>
      <c r="M468" s="183"/>
    </row>
    <row r="469" spans="12:13" ht="15.75" customHeight="1">
      <c r="L469" s="183"/>
      <c r="M469" s="183"/>
    </row>
    <row r="470" spans="12:13" ht="15.75" customHeight="1">
      <c r="L470" s="183"/>
      <c r="M470" s="183"/>
    </row>
    <row r="471" spans="12:13" ht="15.75" customHeight="1">
      <c r="L471" s="183"/>
      <c r="M471" s="183"/>
    </row>
    <row r="472" spans="12:13" ht="15.75" customHeight="1">
      <c r="L472" s="183"/>
      <c r="M472" s="183"/>
    </row>
    <row r="473" spans="12:13" ht="15.75" customHeight="1">
      <c r="L473" s="183"/>
      <c r="M473" s="183"/>
    </row>
    <row r="474" spans="12:13" ht="15.75" customHeight="1">
      <c r="L474" s="183"/>
      <c r="M474" s="183"/>
    </row>
    <row r="475" spans="12:13" ht="15.75" customHeight="1">
      <c r="L475" s="183"/>
      <c r="M475" s="183"/>
    </row>
    <row r="476" spans="12:13" ht="15.75" customHeight="1">
      <c r="L476" s="183"/>
      <c r="M476" s="183"/>
    </row>
    <row r="477" spans="12:13" ht="15.75" customHeight="1">
      <c r="L477" s="183"/>
      <c r="M477" s="183"/>
    </row>
    <row r="478" spans="12:13" ht="15.75" customHeight="1">
      <c r="L478" s="183"/>
      <c r="M478" s="183"/>
    </row>
    <row r="479" spans="12:13" ht="15.75" customHeight="1">
      <c r="L479" s="183"/>
      <c r="M479" s="183"/>
    </row>
    <row r="480" spans="12:13" ht="15.75" customHeight="1">
      <c r="L480" s="183"/>
      <c r="M480" s="183"/>
    </row>
    <row r="481" spans="12:13" ht="15.75" customHeight="1">
      <c r="L481" s="183"/>
      <c r="M481" s="183"/>
    </row>
    <row r="482" spans="12:13" ht="15.75" customHeight="1">
      <c r="L482" s="183"/>
      <c r="M482" s="183"/>
    </row>
    <row r="483" spans="12:13" ht="15.75" customHeight="1">
      <c r="L483" s="183"/>
      <c r="M483" s="183"/>
    </row>
    <row r="484" spans="12:13" ht="15.75" customHeight="1">
      <c r="L484" s="183"/>
      <c r="M484" s="183"/>
    </row>
    <row r="485" spans="12:13" ht="15.75" customHeight="1">
      <c r="L485" s="183"/>
      <c r="M485" s="183"/>
    </row>
    <row r="486" spans="12:13" ht="15.75" customHeight="1">
      <c r="L486" s="183"/>
      <c r="M486" s="183"/>
    </row>
    <row r="487" spans="12:13" ht="15.75" customHeight="1">
      <c r="L487" s="183"/>
      <c r="M487" s="183"/>
    </row>
    <row r="488" spans="12:13" ht="15.75" customHeight="1">
      <c r="L488" s="183"/>
      <c r="M488" s="183"/>
    </row>
    <row r="489" spans="12:13" ht="15.75" customHeight="1">
      <c r="L489" s="183"/>
      <c r="M489" s="183"/>
    </row>
    <row r="490" spans="12:13" ht="15.75" customHeight="1">
      <c r="L490" s="183"/>
      <c r="M490" s="183"/>
    </row>
    <row r="491" spans="12:13" ht="15.75" customHeight="1">
      <c r="L491" s="183"/>
      <c r="M491" s="183"/>
    </row>
    <row r="492" spans="12:13" ht="15.75" customHeight="1">
      <c r="L492" s="183"/>
      <c r="M492" s="183"/>
    </row>
    <row r="493" spans="12:13" ht="15.75" customHeight="1">
      <c r="L493" s="183"/>
      <c r="M493" s="183"/>
    </row>
    <row r="494" spans="12:13" ht="15.75" customHeight="1">
      <c r="L494" s="183"/>
      <c r="M494" s="183"/>
    </row>
    <row r="495" spans="12:13" ht="15.75" customHeight="1">
      <c r="L495" s="183"/>
      <c r="M495" s="183"/>
    </row>
    <row r="496" spans="12:13" ht="15.75" customHeight="1">
      <c r="L496" s="183"/>
      <c r="M496" s="183"/>
    </row>
    <row r="497" spans="12:13" ht="15.75" customHeight="1">
      <c r="L497" s="183"/>
      <c r="M497" s="183"/>
    </row>
    <row r="498" spans="12:13" ht="15.75" customHeight="1">
      <c r="L498" s="183"/>
      <c r="M498" s="183"/>
    </row>
    <row r="499" spans="12:13" ht="15.75" customHeight="1">
      <c r="L499" s="183"/>
      <c r="M499" s="183"/>
    </row>
    <row r="500" spans="12:13" ht="15.75" customHeight="1">
      <c r="L500" s="183"/>
      <c r="M500" s="183"/>
    </row>
    <row r="501" spans="12:13" ht="15.75" customHeight="1">
      <c r="L501" s="183"/>
      <c r="M501" s="183"/>
    </row>
    <row r="502" spans="12:13" ht="15.75" customHeight="1">
      <c r="L502" s="183"/>
      <c r="M502" s="183"/>
    </row>
    <row r="503" spans="12:13" ht="15.75" customHeight="1">
      <c r="L503" s="183"/>
      <c r="M503" s="183"/>
    </row>
    <row r="504" spans="12:13" ht="15.75" customHeight="1">
      <c r="L504" s="183"/>
      <c r="M504" s="183"/>
    </row>
    <row r="505" spans="12:13" ht="15.75" customHeight="1">
      <c r="L505" s="183"/>
      <c r="M505" s="183"/>
    </row>
    <row r="506" spans="12:13" ht="15.75" customHeight="1">
      <c r="L506" s="183"/>
      <c r="M506" s="183"/>
    </row>
    <row r="507" spans="12:13" ht="15.75" customHeight="1">
      <c r="L507" s="183"/>
      <c r="M507" s="183"/>
    </row>
    <row r="508" spans="12:13" ht="15.75" customHeight="1">
      <c r="L508" s="183"/>
      <c r="M508" s="183"/>
    </row>
    <row r="509" spans="12:13" ht="15.75" customHeight="1">
      <c r="L509" s="183"/>
      <c r="M509" s="183"/>
    </row>
    <row r="510" spans="12:13" ht="15.75" customHeight="1">
      <c r="L510" s="183"/>
      <c r="M510" s="183"/>
    </row>
    <row r="511" spans="12:13" ht="15.75" customHeight="1">
      <c r="L511" s="183"/>
      <c r="M511" s="183"/>
    </row>
    <row r="512" spans="12:13" ht="15.75" customHeight="1">
      <c r="L512" s="183"/>
      <c r="M512" s="183"/>
    </row>
    <row r="513" spans="12:13" ht="15.75" customHeight="1">
      <c r="L513" s="183"/>
      <c r="M513" s="183"/>
    </row>
    <row r="514" spans="12:13" ht="15.75" customHeight="1">
      <c r="L514" s="183"/>
      <c r="M514" s="183"/>
    </row>
    <row r="515" spans="12:13" ht="15.75" customHeight="1">
      <c r="L515" s="183"/>
      <c r="M515" s="183"/>
    </row>
    <row r="516" spans="12:13" ht="15.75" customHeight="1">
      <c r="L516" s="183"/>
      <c r="M516" s="183"/>
    </row>
    <row r="517" spans="12:13" ht="15.75" customHeight="1">
      <c r="L517" s="183"/>
      <c r="M517" s="183"/>
    </row>
    <row r="518" spans="12:13" ht="15.75" customHeight="1">
      <c r="L518" s="183"/>
      <c r="M518" s="183"/>
    </row>
    <row r="519" spans="12:13" ht="15.75" customHeight="1">
      <c r="L519" s="183"/>
      <c r="M519" s="183"/>
    </row>
    <row r="520" spans="12:13" ht="15.75" customHeight="1">
      <c r="L520" s="183"/>
      <c r="M520" s="183"/>
    </row>
    <row r="521" spans="12:13" ht="15.75" customHeight="1">
      <c r="L521" s="183"/>
      <c r="M521" s="183"/>
    </row>
    <row r="522" spans="12:13" ht="15.75" customHeight="1">
      <c r="L522" s="183"/>
      <c r="M522" s="183"/>
    </row>
    <row r="523" spans="12:13" ht="15.75" customHeight="1">
      <c r="L523" s="183"/>
      <c r="M523" s="183"/>
    </row>
    <row r="524" spans="12:13" ht="15.75" customHeight="1">
      <c r="L524" s="183"/>
      <c r="M524" s="183"/>
    </row>
    <row r="525" spans="12:13" ht="15.75" customHeight="1">
      <c r="L525" s="183"/>
      <c r="M525" s="183"/>
    </row>
    <row r="526" spans="12:13" ht="15.75" customHeight="1">
      <c r="L526" s="183"/>
      <c r="M526" s="183"/>
    </row>
    <row r="527" spans="12:13" ht="15.75" customHeight="1">
      <c r="L527" s="183"/>
      <c r="M527" s="183"/>
    </row>
    <row r="528" spans="12:13" ht="15.75" customHeight="1">
      <c r="L528" s="183"/>
      <c r="M528" s="183"/>
    </row>
    <row r="529" spans="12:13" ht="15.75" customHeight="1">
      <c r="L529" s="183"/>
      <c r="M529" s="183"/>
    </row>
    <row r="530" spans="12:13" ht="15.75" customHeight="1">
      <c r="L530" s="183"/>
      <c r="M530" s="183"/>
    </row>
    <row r="531" spans="12:13" ht="15.75" customHeight="1">
      <c r="L531" s="183"/>
      <c r="M531" s="183"/>
    </row>
    <row r="532" spans="12:13" ht="15.75" customHeight="1">
      <c r="L532" s="183"/>
      <c r="M532" s="183"/>
    </row>
    <row r="533" spans="12:13" ht="15.75" customHeight="1">
      <c r="L533" s="183"/>
      <c r="M533" s="183"/>
    </row>
    <row r="534" spans="12:13" ht="15.75" customHeight="1">
      <c r="L534" s="183"/>
      <c r="M534" s="183"/>
    </row>
    <row r="535" spans="12:13" ht="15.75" customHeight="1">
      <c r="L535" s="183"/>
      <c r="M535" s="183"/>
    </row>
    <row r="536" spans="12:13" ht="15.75" customHeight="1">
      <c r="L536" s="183"/>
      <c r="M536" s="183"/>
    </row>
    <row r="537" spans="12:13" ht="15.75" customHeight="1">
      <c r="L537" s="183"/>
      <c r="M537" s="183"/>
    </row>
    <row r="538" spans="12:13" ht="15.75" customHeight="1">
      <c r="L538" s="183"/>
      <c r="M538" s="183"/>
    </row>
    <row r="539" spans="12:13" ht="15.75" customHeight="1">
      <c r="L539" s="183"/>
      <c r="M539" s="183"/>
    </row>
    <row r="540" spans="12:13" ht="15.75" customHeight="1">
      <c r="L540" s="183"/>
      <c r="M540" s="183"/>
    </row>
    <row r="541" spans="12:13" ht="15.75" customHeight="1">
      <c r="L541" s="183"/>
      <c r="M541" s="183"/>
    </row>
    <row r="542" spans="12:13" ht="15.75" customHeight="1">
      <c r="L542" s="183"/>
      <c r="M542" s="183"/>
    </row>
    <row r="543" spans="12:13" ht="15.75" customHeight="1">
      <c r="L543" s="183"/>
      <c r="M543" s="183"/>
    </row>
    <row r="544" spans="12:13" ht="15.75" customHeight="1">
      <c r="L544" s="183"/>
      <c r="M544" s="183"/>
    </row>
    <row r="545" spans="12:13" ht="15.75" customHeight="1">
      <c r="L545" s="183"/>
      <c r="M545" s="183"/>
    </row>
    <row r="546" spans="12:13" ht="15.75" customHeight="1">
      <c r="L546" s="183"/>
      <c r="M546" s="183"/>
    </row>
    <row r="547" spans="12:13" ht="15.75" customHeight="1">
      <c r="L547" s="183"/>
      <c r="M547" s="183"/>
    </row>
    <row r="548" spans="12:13" ht="15.75" customHeight="1">
      <c r="L548" s="183"/>
      <c r="M548" s="183"/>
    </row>
    <row r="549" spans="12:13" ht="15.75" customHeight="1">
      <c r="L549" s="183"/>
      <c r="M549" s="183"/>
    </row>
    <row r="550" spans="12:13" ht="15.75" customHeight="1">
      <c r="L550" s="183"/>
      <c r="M550" s="183"/>
    </row>
    <row r="551" spans="12:13" ht="15.75" customHeight="1">
      <c r="L551" s="183"/>
      <c r="M551" s="183"/>
    </row>
    <row r="552" spans="12:13" ht="15.75" customHeight="1">
      <c r="L552" s="183"/>
      <c r="M552" s="183"/>
    </row>
    <row r="553" spans="12:13" ht="15.75" customHeight="1">
      <c r="L553" s="183"/>
      <c r="M553" s="183"/>
    </row>
    <row r="554" spans="12:13" ht="15.75" customHeight="1">
      <c r="L554" s="183"/>
      <c r="M554" s="183"/>
    </row>
    <row r="555" spans="12:13" ht="15.75" customHeight="1">
      <c r="L555" s="183"/>
      <c r="M555" s="183"/>
    </row>
    <row r="556" spans="12:13" ht="15.75" customHeight="1">
      <c r="L556" s="183"/>
      <c r="M556" s="183"/>
    </row>
    <row r="557" spans="12:13" ht="15.75" customHeight="1">
      <c r="L557" s="183"/>
      <c r="M557" s="183"/>
    </row>
    <row r="558" spans="12:13" ht="15.75" customHeight="1">
      <c r="L558" s="183"/>
      <c r="M558" s="183"/>
    </row>
    <row r="559" spans="12:13" ht="15.75" customHeight="1">
      <c r="L559" s="183"/>
      <c r="M559" s="183"/>
    </row>
    <row r="560" spans="12:13" ht="15.75" customHeight="1">
      <c r="L560" s="183"/>
      <c r="M560" s="183"/>
    </row>
    <row r="561" spans="12:13" ht="15.75" customHeight="1">
      <c r="L561" s="183"/>
      <c r="M561" s="183"/>
    </row>
    <row r="562" spans="12:13" ht="15.75" customHeight="1">
      <c r="L562" s="183"/>
      <c r="M562" s="183"/>
    </row>
    <row r="563" spans="12:13" ht="15.75" customHeight="1">
      <c r="L563" s="183"/>
      <c r="M563" s="183"/>
    </row>
    <row r="564" spans="12:13" ht="15.75" customHeight="1">
      <c r="L564" s="183"/>
      <c r="M564" s="183"/>
    </row>
    <row r="565" spans="12:13" ht="15.75" customHeight="1">
      <c r="L565" s="183"/>
      <c r="M565" s="183"/>
    </row>
    <row r="566" spans="12:13" ht="15.75" customHeight="1">
      <c r="L566" s="183"/>
      <c r="M566" s="183"/>
    </row>
    <row r="567" spans="12:13" ht="15.75" customHeight="1">
      <c r="L567" s="183"/>
      <c r="M567" s="183"/>
    </row>
    <row r="568" spans="12:13" ht="15.75" customHeight="1">
      <c r="L568" s="183"/>
      <c r="M568" s="183"/>
    </row>
    <row r="569" spans="12:13" ht="15.75" customHeight="1">
      <c r="L569" s="183"/>
      <c r="M569" s="183"/>
    </row>
    <row r="570" spans="12:13" ht="15.75" customHeight="1">
      <c r="L570" s="183"/>
      <c r="M570" s="183"/>
    </row>
    <row r="571" spans="12:13" ht="15.75" customHeight="1">
      <c r="L571" s="183"/>
      <c r="M571" s="183"/>
    </row>
    <row r="572" spans="12:13" ht="15.75" customHeight="1">
      <c r="L572" s="183"/>
      <c r="M572" s="183"/>
    </row>
    <row r="573" spans="12:13" ht="15.75" customHeight="1">
      <c r="L573" s="183"/>
      <c r="M573" s="183"/>
    </row>
    <row r="574" spans="12:13" ht="15.75" customHeight="1">
      <c r="L574" s="183"/>
      <c r="M574" s="183"/>
    </row>
    <row r="575" spans="12:13" ht="15.75" customHeight="1">
      <c r="L575" s="183"/>
      <c r="M575" s="183"/>
    </row>
    <row r="576" spans="12:13" ht="15.75" customHeight="1">
      <c r="L576" s="183"/>
      <c r="M576" s="183"/>
    </row>
    <row r="577" spans="12:13" ht="15.75" customHeight="1">
      <c r="L577" s="183"/>
      <c r="M577" s="183"/>
    </row>
    <row r="578" spans="12:13" ht="15.75" customHeight="1">
      <c r="L578" s="183"/>
      <c r="M578" s="183"/>
    </row>
    <row r="579" spans="12:13" ht="15.75" customHeight="1">
      <c r="L579" s="183"/>
      <c r="M579" s="183"/>
    </row>
    <row r="580" spans="12:13" ht="15.75" customHeight="1">
      <c r="L580" s="183"/>
      <c r="M580" s="183"/>
    </row>
    <row r="581" spans="12:13" ht="15.75" customHeight="1">
      <c r="L581" s="183"/>
      <c r="M581" s="183"/>
    </row>
    <row r="582" spans="12:13" ht="15.75" customHeight="1">
      <c r="L582" s="183"/>
      <c r="M582" s="183"/>
    </row>
    <row r="583" spans="12:13" ht="15.75" customHeight="1">
      <c r="L583" s="183"/>
      <c r="M583" s="183"/>
    </row>
    <row r="584" spans="12:13" ht="15.75" customHeight="1">
      <c r="L584" s="183"/>
      <c r="M584" s="183"/>
    </row>
    <row r="585" spans="12:13" ht="15.75" customHeight="1">
      <c r="L585" s="183"/>
      <c r="M585" s="183"/>
    </row>
    <row r="586" spans="12:13" ht="15.75" customHeight="1">
      <c r="L586" s="183"/>
      <c r="M586" s="183"/>
    </row>
    <row r="587" spans="12:13" ht="15.75" customHeight="1">
      <c r="L587" s="183"/>
      <c r="M587" s="183"/>
    </row>
    <row r="588" spans="12:13" ht="15.75" customHeight="1">
      <c r="L588" s="183"/>
      <c r="M588" s="183"/>
    </row>
    <row r="589" spans="12:13" ht="15.75" customHeight="1">
      <c r="L589" s="183"/>
      <c r="M589" s="183"/>
    </row>
    <row r="590" spans="12:13" ht="15.75" customHeight="1">
      <c r="L590" s="183"/>
      <c r="M590" s="183"/>
    </row>
    <row r="591" spans="12:13" ht="15.75" customHeight="1">
      <c r="L591" s="183"/>
      <c r="M591" s="183"/>
    </row>
    <row r="592" spans="12:13" ht="15.75" customHeight="1">
      <c r="L592" s="183"/>
      <c r="M592" s="183"/>
    </row>
    <row r="593" spans="12:13" ht="15.75" customHeight="1">
      <c r="L593" s="183"/>
      <c r="M593" s="183"/>
    </row>
    <row r="594" spans="12:13" ht="15.75" customHeight="1">
      <c r="L594" s="183"/>
      <c r="M594" s="183"/>
    </row>
    <row r="595" spans="12:13" ht="15.75" customHeight="1">
      <c r="L595" s="183"/>
      <c r="M595" s="183"/>
    </row>
    <row r="596" spans="12:13" ht="15.75" customHeight="1">
      <c r="L596" s="183"/>
      <c r="M596" s="183"/>
    </row>
    <row r="597" spans="12:13" ht="15.75" customHeight="1">
      <c r="L597" s="183"/>
      <c r="M597" s="183"/>
    </row>
    <row r="598" spans="12:13" ht="15.75" customHeight="1">
      <c r="L598" s="183"/>
      <c r="M598" s="183"/>
    </row>
    <row r="599" spans="12:13" ht="15.75" customHeight="1">
      <c r="L599" s="183"/>
      <c r="M599" s="183"/>
    </row>
    <row r="600" spans="12:13" ht="15.75" customHeight="1">
      <c r="L600" s="183"/>
      <c r="M600" s="183"/>
    </row>
    <row r="601" spans="12:13" ht="15.75" customHeight="1">
      <c r="L601" s="183"/>
      <c r="M601" s="183"/>
    </row>
    <row r="602" spans="12:13" ht="15.75" customHeight="1">
      <c r="L602" s="183"/>
      <c r="M602" s="183"/>
    </row>
    <row r="603" spans="12:13" ht="15.75" customHeight="1">
      <c r="L603" s="183"/>
      <c r="M603" s="183"/>
    </row>
    <row r="604" spans="12:13" ht="15.75" customHeight="1">
      <c r="L604" s="183"/>
      <c r="M604" s="183"/>
    </row>
    <row r="605" spans="12:13" ht="15.75" customHeight="1">
      <c r="L605" s="183"/>
      <c r="M605" s="183"/>
    </row>
    <row r="606" spans="12:13" ht="15.75" customHeight="1">
      <c r="L606" s="183"/>
      <c r="M606" s="183"/>
    </row>
    <row r="607" spans="12:13" ht="15.75" customHeight="1">
      <c r="L607" s="183"/>
      <c r="M607" s="183"/>
    </row>
    <row r="608" spans="12:13" ht="15.75" customHeight="1">
      <c r="L608" s="183"/>
      <c r="M608" s="183"/>
    </row>
    <row r="609" spans="12:13" ht="15.75" customHeight="1">
      <c r="L609" s="183"/>
      <c r="M609" s="183"/>
    </row>
    <row r="610" spans="12:13" ht="15.75" customHeight="1">
      <c r="L610" s="183"/>
      <c r="M610" s="183"/>
    </row>
    <row r="611" spans="12:13" ht="15.75" customHeight="1">
      <c r="L611" s="183"/>
      <c r="M611" s="183"/>
    </row>
    <row r="612" spans="12:13" ht="15.75" customHeight="1">
      <c r="L612" s="183"/>
      <c r="M612" s="183"/>
    </row>
    <row r="613" spans="12:13" ht="15.75" customHeight="1">
      <c r="L613" s="183"/>
      <c r="M613" s="183"/>
    </row>
    <row r="614" spans="12:13" ht="15.75" customHeight="1">
      <c r="L614" s="183"/>
      <c r="M614" s="183"/>
    </row>
    <row r="615" spans="12:13" ht="15.75" customHeight="1">
      <c r="L615" s="183"/>
      <c r="M615" s="183"/>
    </row>
    <row r="616" spans="12:13" ht="15.75" customHeight="1">
      <c r="L616" s="183"/>
      <c r="M616" s="183"/>
    </row>
    <row r="617" spans="12:13" ht="15.75" customHeight="1">
      <c r="L617" s="183"/>
      <c r="M617" s="183"/>
    </row>
    <row r="618" spans="12:13" ht="15.75" customHeight="1">
      <c r="L618" s="183"/>
      <c r="M618" s="183"/>
    </row>
    <row r="619" spans="12:13" ht="15.75" customHeight="1">
      <c r="L619" s="183"/>
      <c r="M619" s="183"/>
    </row>
    <row r="620" spans="12:13" ht="15.75" customHeight="1">
      <c r="L620" s="183"/>
      <c r="M620" s="183"/>
    </row>
    <row r="621" spans="12:13" ht="15.75" customHeight="1">
      <c r="L621" s="183"/>
      <c r="M621" s="183"/>
    </row>
    <row r="622" spans="12:13" ht="15.75" customHeight="1">
      <c r="L622" s="183"/>
      <c r="M622" s="183"/>
    </row>
    <row r="623" spans="12:13" ht="15.75" customHeight="1">
      <c r="L623" s="183"/>
      <c r="M623" s="183"/>
    </row>
    <row r="624" spans="12:13" ht="15.75" customHeight="1">
      <c r="L624" s="183"/>
      <c r="M624" s="183"/>
    </row>
    <row r="625" spans="12:13" ht="15.75" customHeight="1">
      <c r="L625" s="183"/>
      <c r="M625" s="183"/>
    </row>
    <row r="626" spans="12:13" ht="15.75" customHeight="1">
      <c r="L626" s="183"/>
      <c r="M626" s="183"/>
    </row>
    <row r="627" spans="12:13" ht="15.75" customHeight="1">
      <c r="L627" s="183"/>
      <c r="M627" s="183"/>
    </row>
    <row r="628" spans="12:13" ht="15.75" customHeight="1">
      <c r="L628" s="183"/>
      <c r="M628" s="183"/>
    </row>
    <row r="629" spans="12:13" ht="15.75" customHeight="1">
      <c r="L629" s="183"/>
      <c r="M629" s="183"/>
    </row>
    <row r="630" spans="12:13" ht="15.75" customHeight="1">
      <c r="L630" s="183"/>
      <c r="M630" s="183"/>
    </row>
    <row r="631" spans="12:13" ht="15.75" customHeight="1">
      <c r="L631" s="183"/>
      <c r="M631" s="183"/>
    </row>
    <row r="632" spans="12:13" ht="15.75" customHeight="1">
      <c r="L632" s="183"/>
      <c r="M632" s="183"/>
    </row>
    <row r="633" spans="12:13" ht="15.75" customHeight="1">
      <c r="L633" s="183"/>
      <c r="M633" s="183"/>
    </row>
    <row r="634" spans="12:13" ht="15.75" customHeight="1">
      <c r="L634" s="183"/>
      <c r="M634" s="183"/>
    </row>
    <row r="635" spans="12:13" ht="15.75" customHeight="1">
      <c r="L635" s="183"/>
      <c r="M635" s="183"/>
    </row>
    <row r="636" spans="12:13" ht="15.75" customHeight="1">
      <c r="L636" s="183"/>
      <c r="M636" s="183"/>
    </row>
    <row r="637" spans="12:13" ht="15.75" customHeight="1">
      <c r="L637" s="183"/>
      <c r="M637" s="183"/>
    </row>
    <row r="638" spans="12:13" ht="15.75" customHeight="1">
      <c r="L638" s="183"/>
      <c r="M638" s="183"/>
    </row>
    <row r="639" spans="12:13" ht="15.75" customHeight="1">
      <c r="L639" s="183"/>
      <c r="M639" s="183"/>
    </row>
    <row r="640" spans="12:13" ht="15.75" customHeight="1">
      <c r="L640" s="183"/>
      <c r="M640" s="183"/>
    </row>
    <row r="641" spans="12:13" ht="15.75" customHeight="1">
      <c r="L641" s="183"/>
      <c r="M641" s="183"/>
    </row>
    <row r="642" spans="12:13" ht="15.75" customHeight="1">
      <c r="L642" s="183"/>
      <c r="M642" s="183"/>
    </row>
    <row r="643" spans="12:13" ht="15.75" customHeight="1">
      <c r="L643" s="183"/>
      <c r="M643" s="183"/>
    </row>
    <row r="644" spans="12:13" ht="15.75" customHeight="1">
      <c r="L644" s="183"/>
      <c r="M644" s="183"/>
    </row>
    <row r="645" spans="12:13" ht="15.75" customHeight="1">
      <c r="L645" s="183"/>
      <c r="M645" s="183"/>
    </row>
    <row r="646" spans="12:13" ht="15.75" customHeight="1">
      <c r="L646" s="183"/>
      <c r="M646" s="183"/>
    </row>
    <row r="647" spans="12:13" ht="15.75" customHeight="1">
      <c r="L647" s="183"/>
      <c r="M647" s="183"/>
    </row>
    <row r="648" spans="12:13" ht="15.75" customHeight="1">
      <c r="L648" s="183"/>
      <c r="M648" s="183"/>
    </row>
    <row r="649" spans="12:13" ht="15.75" customHeight="1">
      <c r="L649" s="183"/>
      <c r="M649" s="183"/>
    </row>
    <row r="650" spans="12:13" ht="15.75" customHeight="1">
      <c r="L650" s="183"/>
      <c r="M650" s="183"/>
    </row>
    <row r="651" spans="12:13" ht="15.75" customHeight="1">
      <c r="L651" s="183"/>
      <c r="M651" s="183"/>
    </row>
    <row r="652" spans="12:13" ht="15.75" customHeight="1">
      <c r="L652" s="183"/>
      <c r="M652" s="183"/>
    </row>
    <row r="653" spans="12:13" ht="15.75" customHeight="1">
      <c r="L653" s="183"/>
      <c r="M653" s="183"/>
    </row>
    <row r="654" spans="12:13" ht="15.75" customHeight="1">
      <c r="L654" s="183"/>
      <c r="M654" s="183"/>
    </row>
    <row r="655" spans="12:13" ht="15.75" customHeight="1">
      <c r="L655" s="183"/>
      <c r="M655" s="183"/>
    </row>
    <row r="656" spans="12:13" ht="15.75" customHeight="1">
      <c r="L656" s="183"/>
      <c r="M656" s="183"/>
    </row>
    <row r="657" spans="12:13" ht="15.75" customHeight="1">
      <c r="L657" s="183"/>
      <c r="M657" s="183"/>
    </row>
    <row r="658" spans="12:13" ht="15.75" customHeight="1">
      <c r="L658" s="183"/>
      <c r="M658" s="183"/>
    </row>
    <row r="659" spans="12:13" ht="15.75" customHeight="1">
      <c r="L659" s="183"/>
      <c r="M659" s="183"/>
    </row>
    <row r="660" spans="12:13" ht="15.75" customHeight="1">
      <c r="L660" s="183"/>
      <c r="M660" s="183"/>
    </row>
    <row r="661" spans="12:13" ht="15.75" customHeight="1">
      <c r="L661" s="183"/>
      <c r="M661" s="183"/>
    </row>
    <row r="662" spans="12:13" ht="15.75" customHeight="1">
      <c r="L662" s="183"/>
      <c r="M662" s="183"/>
    </row>
    <row r="663" spans="12:13" ht="15.75" customHeight="1">
      <c r="L663" s="183"/>
      <c r="M663" s="183"/>
    </row>
    <row r="664" spans="12:13" ht="15.75" customHeight="1">
      <c r="L664" s="183"/>
      <c r="M664" s="183"/>
    </row>
    <row r="665" spans="12:13" ht="15.75" customHeight="1">
      <c r="L665" s="183"/>
      <c r="M665" s="183"/>
    </row>
    <row r="666" spans="12:13" ht="15.75" customHeight="1">
      <c r="L666" s="183"/>
      <c r="M666" s="183"/>
    </row>
    <row r="667" spans="12:13" ht="15.75" customHeight="1">
      <c r="L667" s="183"/>
      <c r="M667" s="183"/>
    </row>
    <row r="668" spans="12:13" ht="15.75" customHeight="1">
      <c r="L668" s="183"/>
      <c r="M668" s="183"/>
    </row>
    <row r="669" spans="12:13" ht="15.75" customHeight="1">
      <c r="L669" s="183"/>
      <c r="M669" s="183"/>
    </row>
    <row r="670" spans="12:13" ht="15.75" customHeight="1">
      <c r="L670" s="183"/>
      <c r="M670" s="183"/>
    </row>
    <row r="671" spans="12:13" ht="15.75" customHeight="1">
      <c r="L671" s="183"/>
      <c r="M671" s="183"/>
    </row>
    <row r="672" spans="12:13" ht="15.75" customHeight="1">
      <c r="L672" s="183"/>
      <c r="M672" s="183"/>
    </row>
    <row r="673" spans="12:13" ht="15.75" customHeight="1">
      <c r="L673" s="183"/>
      <c r="M673" s="183"/>
    </row>
    <row r="674" spans="12:13" ht="15.75" customHeight="1">
      <c r="L674" s="183"/>
      <c r="M674" s="183"/>
    </row>
    <row r="675" spans="12:13" ht="15.75" customHeight="1">
      <c r="L675" s="183"/>
      <c r="M675" s="183"/>
    </row>
    <row r="676" spans="12:13" ht="15.75" customHeight="1">
      <c r="L676" s="183"/>
      <c r="M676" s="183"/>
    </row>
    <row r="677" spans="12:13" ht="15.75" customHeight="1">
      <c r="L677" s="183"/>
      <c r="M677" s="183"/>
    </row>
    <row r="678" spans="12:13" ht="15.75" customHeight="1">
      <c r="L678" s="183"/>
      <c r="M678" s="183"/>
    </row>
    <row r="679" spans="12:13" ht="15.75" customHeight="1">
      <c r="L679" s="183"/>
      <c r="M679" s="183"/>
    </row>
    <row r="680" spans="12:13" ht="15.75" customHeight="1">
      <c r="L680" s="183"/>
      <c r="M680" s="183"/>
    </row>
    <row r="681" spans="12:13" ht="15.75" customHeight="1">
      <c r="L681" s="183"/>
      <c r="M681" s="183"/>
    </row>
    <row r="682" spans="12:13" ht="15.75" customHeight="1">
      <c r="L682" s="183"/>
      <c r="M682" s="183"/>
    </row>
    <row r="683" spans="12:13" ht="15.75" customHeight="1">
      <c r="L683" s="183"/>
      <c r="M683" s="183"/>
    </row>
    <row r="684" spans="12:13" ht="15.75" customHeight="1">
      <c r="L684" s="183"/>
      <c r="M684" s="183"/>
    </row>
    <row r="685" spans="12:13" ht="15.75" customHeight="1">
      <c r="L685" s="183"/>
      <c r="M685" s="183"/>
    </row>
    <row r="686" spans="12:13" ht="15.75" customHeight="1">
      <c r="L686" s="183"/>
      <c r="M686" s="183"/>
    </row>
    <row r="687" spans="12:13" ht="15.75" customHeight="1">
      <c r="L687" s="183"/>
      <c r="M687" s="183"/>
    </row>
    <row r="688" spans="12:13" ht="15.75" customHeight="1">
      <c r="L688" s="183"/>
      <c r="M688" s="183"/>
    </row>
    <row r="689" spans="12:13" ht="15.75" customHeight="1">
      <c r="L689" s="183"/>
      <c r="M689" s="183"/>
    </row>
    <row r="690" spans="12:13" ht="15.75" customHeight="1">
      <c r="L690" s="183"/>
      <c r="M690" s="183"/>
    </row>
    <row r="691" spans="12:13" ht="15.75" customHeight="1">
      <c r="L691" s="183"/>
      <c r="M691" s="183"/>
    </row>
    <row r="692" spans="12:13" ht="15.75" customHeight="1">
      <c r="L692" s="183"/>
      <c r="M692" s="183"/>
    </row>
    <row r="693" spans="12:13" ht="15.75" customHeight="1">
      <c r="L693" s="183"/>
      <c r="M693" s="183"/>
    </row>
    <row r="694" spans="12:13" ht="15.75" customHeight="1">
      <c r="L694" s="183"/>
      <c r="M694" s="183"/>
    </row>
    <row r="695" spans="12:13" ht="15.75" customHeight="1">
      <c r="L695" s="183"/>
      <c r="M695" s="183"/>
    </row>
    <row r="696" spans="12:13" ht="15.75" customHeight="1">
      <c r="L696" s="183"/>
      <c r="M696" s="183"/>
    </row>
    <row r="697" spans="12:13" ht="15.75" customHeight="1">
      <c r="L697" s="183"/>
      <c r="M697" s="183"/>
    </row>
    <row r="698" spans="12:13" ht="15.75" customHeight="1">
      <c r="L698" s="183"/>
      <c r="M698" s="183"/>
    </row>
    <row r="699" spans="12:13" ht="15.75" customHeight="1">
      <c r="L699" s="183"/>
      <c r="M699" s="183"/>
    </row>
    <row r="700" spans="12:13" ht="15.75" customHeight="1">
      <c r="L700" s="183"/>
      <c r="M700" s="183"/>
    </row>
    <row r="701" spans="12:13" ht="15.75" customHeight="1">
      <c r="L701" s="183"/>
      <c r="M701" s="183"/>
    </row>
    <row r="702" spans="12:13" ht="15.75" customHeight="1">
      <c r="L702" s="183"/>
      <c r="M702" s="183"/>
    </row>
    <row r="703" spans="12:13" ht="15.75" customHeight="1">
      <c r="L703" s="183"/>
      <c r="M703" s="183"/>
    </row>
    <row r="704" spans="12:13" ht="15.75" customHeight="1">
      <c r="L704" s="183"/>
      <c r="M704" s="183"/>
    </row>
    <row r="705" spans="12:13" ht="15.75" customHeight="1">
      <c r="L705" s="183"/>
      <c r="M705" s="183"/>
    </row>
    <row r="706" spans="12:13" ht="15.75" customHeight="1">
      <c r="L706" s="183"/>
      <c r="M706" s="183"/>
    </row>
    <row r="707" spans="12:13" ht="15.75" customHeight="1">
      <c r="L707" s="183"/>
      <c r="M707" s="183"/>
    </row>
    <row r="708" spans="12:13" ht="15.75" customHeight="1">
      <c r="L708" s="183"/>
      <c r="M708" s="183"/>
    </row>
    <row r="709" spans="12:13" ht="15.75" customHeight="1">
      <c r="L709" s="183"/>
      <c r="M709" s="183"/>
    </row>
    <row r="710" spans="12:13" ht="15.75" customHeight="1">
      <c r="L710" s="183"/>
      <c r="M710" s="183"/>
    </row>
    <row r="711" spans="12:13" ht="15.75" customHeight="1">
      <c r="L711" s="183"/>
      <c r="M711" s="183"/>
    </row>
    <row r="712" spans="12:13" ht="15.75" customHeight="1">
      <c r="L712" s="183"/>
      <c r="M712" s="183"/>
    </row>
    <row r="713" spans="12:13" ht="15.75" customHeight="1">
      <c r="L713" s="183"/>
      <c r="M713" s="183"/>
    </row>
    <row r="714" spans="12:13" ht="15.75" customHeight="1">
      <c r="L714" s="183"/>
      <c r="M714" s="183"/>
    </row>
    <row r="715" spans="12:13" ht="15.75" customHeight="1">
      <c r="L715" s="183"/>
      <c r="M715" s="183"/>
    </row>
    <row r="716" spans="12:13" ht="15.75" customHeight="1">
      <c r="L716" s="183"/>
      <c r="M716" s="183"/>
    </row>
    <row r="717" spans="12:13" ht="15.75" customHeight="1">
      <c r="L717" s="183"/>
      <c r="M717" s="183"/>
    </row>
    <row r="718" spans="12:13" ht="15.75" customHeight="1">
      <c r="L718" s="183"/>
      <c r="M718" s="183"/>
    </row>
    <row r="719" spans="12:13" ht="15.75" customHeight="1">
      <c r="L719" s="183"/>
      <c r="M719" s="183"/>
    </row>
    <row r="720" spans="12:13" ht="15.75" customHeight="1">
      <c r="L720" s="183"/>
      <c r="M720" s="183"/>
    </row>
    <row r="721" spans="12:13" ht="15.75" customHeight="1">
      <c r="L721" s="183"/>
      <c r="M721" s="183"/>
    </row>
    <row r="722" spans="12:13" ht="15.75" customHeight="1">
      <c r="L722" s="183"/>
      <c r="M722" s="183"/>
    </row>
    <row r="723" spans="12:13" ht="15.75" customHeight="1">
      <c r="L723" s="183"/>
      <c r="M723" s="183"/>
    </row>
    <row r="724" spans="12:13" ht="15.75" customHeight="1">
      <c r="L724" s="183"/>
      <c r="M724" s="183"/>
    </row>
    <row r="725" spans="12:13" ht="15.75" customHeight="1">
      <c r="L725" s="183"/>
      <c r="M725" s="183"/>
    </row>
    <row r="726" spans="12:13" ht="15.75" customHeight="1">
      <c r="L726" s="183"/>
      <c r="M726" s="183"/>
    </row>
    <row r="727" spans="12:13" ht="15.75" customHeight="1">
      <c r="L727" s="183"/>
      <c r="M727" s="183"/>
    </row>
    <row r="728" spans="12:13" ht="15.75" customHeight="1">
      <c r="L728" s="183"/>
      <c r="M728" s="183"/>
    </row>
    <row r="729" spans="12:13" ht="15.75" customHeight="1">
      <c r="L729" s="183"/>
      <c r="M729" s="183"/>
    </row>
    <row r="730" spans="12:13" ht="15.75" customHeight="1">
      <c r="L730" s="183"/>
      <c r="M730" s="183"/>
    </row>
    <row r="731" spans="12:13" ht="15.75" customHeight="1">
      <c r="L731" s="183"/>
      <c r="M731" s="183"/>
    </row>
    <row r="732" spans="12:13" ht="15.75" customHeight="1">
      <c r="L732" s="183"/>
      <c r="M732" s="183"/>
    </row>
    <row r="733" spans="12:13" ht="15.75" customHeight="1">
      <c r="L733" s="183"/>
      <c r="M733" s="183"/>
    </row>
    <row r="734" spans="12:13" ht="15.75" customHeight="1">
      <c r="L734" s="183"/>
      <c r="M734" s="183"/>
    </row>
    <row r="735" spans="12:13" ht="15.75" customHeight="1">
      <c r="L735" s="183"/>
      <c r="M735" s="183"/>
    </row>
    <row r="736" spans="12:13" ht="15.75" customHeight="1">
      <c r="L736" s="183"/>
      <c r="M736" s="183"/>
    </row>
    <row r="737" spans="12:13" ht="15.75" customHeight="1">
      <c r="L737" s="183"/>
      <c r="M737" s="183"/>
    </row>
    <row r="738" spans="12:13" ht="15.75" customHeight="1">
      <c r="L738" s="183"/>
      <c r="M738" s="183"/>
    </row>
    <row r="739" spans="12:13" ht="15.75" customHeight="1">
      <c r="L739" s="183"/>
      <c r="M739" s="183"/>
    </row>
    <row r="740" spans="12:13" ht="15.75" customHeight="1">
      <c r="L740" s="183"/>
      <c r="M740" s="183"/>
    </row>
    <row r="741" spans="12:13" ht="15.75" customHeight="1">
      <c r="L741" s="183"/>
      <c r="M741" s="183"/>
    </row>
    <row r="742" spans="12:13" ht="15.75" customHeight="1">
      <c r="L742" s="183"/>
      <c r="M742" s="183"/>
    </row>
    <row r="743" spans="12:13" ht="15.75" customHeight="1">
      <c r="L743" s="183"/>
      <c r="M743" s="183"/>
    </row>
    <row r="744" spans="12:13" ht="15.75" customHeight="1">
      <c r="L744" s="183"/>
      <c r="M744" s="183"/>
    </row>
    <row r="745" spans="12:13" ht="15.75" customHeight="1">
      <c r="L745" s="183"/>
      <c r="M745" s="183"/>
    </row>
    <row r="746" spans="12:13" ht="15.75" customHeight="1">
      <c r="L746" s="183"/>
      <c r="M746" s="183"/>
    </row>
    <row r="747" spans="12:13" ht="15.75" customHeight="1">
      <c r="L747" s="183"/>
      <c r="M747" s="183"/>
    </row>
    <row r="748" spans="12:13" ht="15.75" customHeight="1">
      <c r="L748" s="183"/>
      <c r="M748" s="183"/>
    </row>
    <row r="749" spans="12:13" ht="15.75" customHeight="1">
      <c r="L749" s="183"/>
      <c r="M749" s="183"/>
    </row>
    <row r="750" spans="12:13" ht="15.75" customHeight="1">
      <c r="L750" s="183"/>
      <c r="M750" s="183"/>
    </row>
    <row r="751" spans="12:13" ht="15.75" customHeight="1">
      <c r="L751" s="183"/>
      <c r="M751" s="183"/>
    </row>
    <row r="752" spans="12:13" ht="15.75" customHeight="1">
      <c r="L752" s="183"/>
      <c r="M752" s="183"/>
    </row>
    <row r="753" spans="12:13" ht="15.75" customHeight="1">
      <c r="L753" s="183"/>
      <c r="M753" s="183"/>
    </row>
    <row r="754" spans="12:13" ht="15.75" customHeight="1">
      <c r="L754" s="183"/>
      <c r="M754" s="183"/>
    </row>
    <row r="755" spans="12:13" ht="15.75" customHeight="1">
      <c r="L755" s="183"/>
      <c r="M755" s="183"/>
    </row>
    <row r="756" spans="12:13" ht="15.75" customHeight="1">
      <c r="L756" s="183"/>
      <c r="M756" s="183"/>
    </row>
    <row r="757" spans="12:13" ht="15.75" customHeight="1">
      <c r="L757" s="183"/>
      <c r="M757" s="183"/>
    </row>
    <row r="758" spans="12:13" ht="15.75" customHeight="1">
      <c r="L758" s="183"/>
      <c r="M758" s="183"/>
    </row>
    <row r="759" spans="12:13" ht="15.75" customHeight="1">
      <c r="L759" s="183"/>
      <c r="M759" s="183"/>
    </row>
    <row r="760" spans="12:13" ht="15.75" customHeight="1">
      <c r="L760" s="183"/>
      <c r="M760" s="183"/>
    </row>
    <row r="761" spans="12:13" ht="15.75" customHeight="1">
      <c r="L761" s="183"/>
      <c r="M761" s="183"/>
    </row>
    <row r="762" spans="12:13" ht="15.75" customHeight="1">
      <c r="L762" s="183"/>
      <c r="M762" s="183"/>
    </row>
    <row r="763" spans="12:13" ht="15.75" customHeight="1">
      <c r="L763" s="183"/>
      <c r="M763" s="183"/>
    </row>
    <row r="764" spans="12:13" ht="15.75" customHeight="1">
      <c r="L764" s="183"/>
      <c r="M764" s="183"/>
    </row>
    <row r="765" spans="12:13" ht="15.75" customHeight="1">
      <c r="L765" s="183"/>
      <c r="M765" s="183"/>
    </row>
    <row r="766" spans="12:13" ht="15.75" customHeight="1">
      <c r="L766" s="183"/>
      <c r="M766" s="183"/>
    </row>
    <row r="767" spans="12:13" ht="15.75" customHeight="1">
      <c r="L767" s="183"/>
      <c r="M767" s="183"/>
    </row>
    <row r="768" spans="12:13" ht="15.75" customHeight="1">
      <c r="L768" s="183"/>
      <c r="M768" s="183"/>
    </row>
    <row r="769" spans="12:13" ht="15.75" customHeight="1">
      <c r="L769" s="183"/>
      <c r="M769" s="183"/>
    </row>
    <row r="770" spans="12:13" ht="15.75" customHeight="1">
      <c r="L770" s="183"/>
      <c r="M770" s="183"/>
    </row>
    <row r="771" spans="12:13" ht="15.75" customHeight="1">
      <c r="L771" s="183"/>
      <c r="M771" s="183"/>
    </row>
    <row r="772" spans="12:13" ht="15.75" customHeight="1">
      <c r="L772" s="183"/>
      <c r="M772" s="183"/>
    </row>
    <row r="773" spans="12:13" ht="15.75" customHeight="1">
      <c r="L773" s="183"/>
      <c r="M773" s="183"/>
    </row>
    <row r="774" spans="12:13" ht="15.75" customHeight="1">
      <c r="L774" s="183"/>
      <c r="M774" s="183"/>
    </row>
    <row r="775" spans="12:13" ht="15.75" customHeight="1">
      <c r="L775" s="183"/>
      <c r="M775" s="183"/>
    </row>
    <row r="776" spans="12:13" ht="15.75" customHeight="1">
      <c r="L776" s="183"/>
      <c r="M776" s="183"/>
    </row>
    <row r="777" spans="12:13" ht="15.75" customHeight="1">
      <c r="L777" s="183"/>
      <c r="M777" s="183"/>
    </row>
    <row r="778" spans="12:13" ht="15.75" customHeight="1">
      <c r="L778" s="183"/>
      <c r="M778" s="183"/>
    </row>
    <row r="779" spans="12:13" ht="15.75" customHeight="1">
      <c r="L779" s="183"/>
      <c r="M779" s="183"/>
    </row>
    <row r="780" spans="12:13" ht="15.75" customHeight="1">
      <c r="L780" s="183"/>
      <c r="M780" s="183"/>
    </row>
    <row r="781" spans="12:13" ht="15.75" customHeight="1">
      <c r="L781" s="183"/>
      <c r="M781" s="183"/>
    </row>
    <row r="782" spans="12:13" ht="15.75" customHeight="1">
      <c r="L782" s="183"/>
      <c r="M782" s="183"/>
    </row>
    <row r="783" spans="12:13" ht="15.75" customHeight="1">
      <c r="L783" s="183"/>
      <c r="M783" s="183"/>
    </row>
    <row r="784" spans="12:13" ht="15.75" customHeight="1">
      <c r="L784" s="183"/>
      <c r="M784" s="183"/>
    </row>
    <row r="785" spans="12:13" ht="15.75" customHeight="1">
      <c r="L785" s="183"/>
      <c r="M785" s="183"/>
    </row>
    <row r="786" spans="12:13" ht="15.75" customHeight="1">
      <c r="L786" s="183"/>
      <c r="M786" s="183"/>
    </row>
    <row r="787" spans="12:13" ht="15.75" customHeight="1">
      <c r="L787" s="183"/>
      <c r="M787" s="183"/>
    </row>
    <row r="788" spans="12:13" ht="15.75" customHeight="1">
      <c r="L788" s="183"/>
      <c r="M788" s="183"/>
    </row>
    <row r="789" spans="12:13" ht="15.75" customHeight="1">
      <c r="L789" s="183"/>
      <c r="M789" s="183"/>
    </row>
    <row r="790" spans="12:13" ht="15.75" customHeight="1">
      <c r="L790" s="183"/>
      <c r="M790" s="183"/>
    </row>
    <row r="791" spans="12:13" ht="15.75" customHeight="1">
      <c r="L791" s="183"/>
      <c r="M791" s="183"/>
    </row>
    <row r="792" spans="12:13" ht="15.75" customHeight="1">
      <c r="L792" s="183"/>
      <c r="M792" s="183"/>
    </row>
    <row r="793" spans="12:13" ht="15.75" customHeight="1">
      <c r="L793" s="183"/>
      <c r="M793" s="183"/>
    </row>
    <row r="794" spans="12:13" ht="15.75" customHeight="1">
      <c r="L794" s="183"/>
      <c r="M794" s="183"/>
    </row>
    <row r="795" spans="12:13" ht="15.75" customHeight="1">
      <c r="L795" s="183"/>
      <c r="M795" s="183"/>
    </row>
    <row r="796" spans="12:13" ht="15.75" customHeight="1">
      <c r="L796" s="183"/>
      <c r="M796" s="183"/>
    </row>
    <row r="797" spans="12:13" ht="15.75" customHeight="1">
      <c r="L797" s="183"/>
      <c r="M797" s="183"/>
    </row>
    <row r="798" spans="12:13" ht="15.75" customHeight="1">
      <c r="L798" s="183"/>
      <c r="M798" s="183"/>
    </row>
    <row r="799" spans="12:13" ht="15.75" customHeight="1">
      <c r="L799" s="183"/>
      <c r="M799" s="183"/>
    </row>
    <row r="800" spans="12:13" ht="15.75" customHeight="1">
      <c r="L800" s="183"/>
      <c r="M800" s="183"/>
    </row>
    <row r="801" spans="12:13" ht="15.75" customHeight="1">
      <c r="L801" s="183"/>
      <c r="M801" s="183"/>
    </row>
    <row r="802" spans="12:13" ht="15.75" customHeight="1">
      <c r="L802" s="183"/>
      <c r="M802" s="183"/>
    </row>
    <row r="803" spans="12:13" ht="15.75" customHeight="1">
      <c r="L803" s="183"/>
      <c r="M803" s="183"/>
    </row>
    <row r="804" spans="12:13" ht="15.75" customHeight="1">
      <c r="L804" s="183"/>
      <c r="M804" s="183"/>
    </row>
    <row r="805" spans="12:13" ht="15.75" customHeight="1">
      <c r="L805" s="183"/>
      <c r="M805" s="183"/>
    </row>
    <row r="806" spans="12:13" ht="15.75" customHeight="1">
      <c r="L806" s="183"/>
      <c r="M806" s="183"/>
    </row>
    <row r="807" spans="12:13" ht="15.75" customHeight="1">
      <c r="L807" s="183"/>
      <c r="M807" s="183"/>
    </row>
    <row r="808" spans="12:13" ht="15.75" customHeight="1">
      <c r="L808" s="183"/>
      <c r="M808" s="183"/>
    </row>
    <row r="809" spans="12:13" ht="15.75" customHeight="1">
      <c r="L809" s="183"/>
      <c r="M809" s="183"/>
    </row>
    <row r="810" spans="12:13" ht="15.75" customHeight="1">
      <c r="L810" s="183"/>
      <c r="M810" s="183"/>
    </row>
    <row r="811" spans="12:13" ht="15.75" customHeight="1">
      <c r="L811" s="183"/>
      <c r="M811" s="183"/>
    </row>
    <row r="812" spans="12:13" ht="15.75" customHeight="1">
      <c r="L812" s="183"/>
      <c r="M812" s="183"/>
    </row>
    <row r="813" spans="12:13" ht="15.75" customHeight="1">
      <c r="L813" s="183"/>
      <c r="M813" s="183"/>
    </row>
    <row r="814" spans="12:13" ht="15.75" customHeight="1">
      <c r="L814" s="183"/>
      <c r="M814" s="183"/>
    </row>
    <row r="815" spans="12:13" ht="15.75" customHeight="1">
      <c r="L815" s="183"/>
      <c r="M815" s="183"/>
    </row>
    <row r="816" spans="12:13" ht="15.75" customHeight="1">
      <c r="L816" s="183"/>
      <c r="M816" s="183"/>
    </row>
    <row r="817" spans="12:13" ht="15.75" customHeight="1">
      <c r="L817" s="183"/>
      <c r="M817" s="183"/>
    </row>
    <row r="818" spans="12:13" ht="15.75" customHeight="1">
      <c r="L818" s="183"/>
      <c r="M818" s="183"/>
    </row>
    <row r="819" spans="12:13" ht="15.75" customHeight="1">
      <c r="L819" s="183"/>
      <c r="M819" s="183"/>
    </row>
    <row r="820" spans="12:13" ht="15.75" customHeight="1">
      <c r="L820" s="183"/>
      <c r="M820" s="183"/>
    </row>
    <row r="821" spans="12:13" ht="15.75" customHeight="1">
      <c r="L821" s="183"/>
      <c r="M821" s="183"/>
    </row>
    <row r="822" spans="12:13" ht="15.75" customHeight="1">
      <c r="L822" s="183"/>
      <c r="M822" s="183"/>
    </row>
    <row r="823" spans="12:13" ht="15.75" customHeight="1">
      <c r="L823" s="183"/>
      <c r="M823" s="183"/>
    </row>
    <row r="824" spans="12:13" ht="15.75" customHeight="1">
      <c r="L824" s="183"/>
      <c r="M824" s="183"/>
    </row>
    <row r="825" spans="12:13" ht="15.75" customHeight="1">
      <c r="L825" s="183"/>
      <c r="M825" s="183"/>
    </row>
    <row r="826" spans="12:13" ht="15.75" customHeight="1">
      <c r="L826" s="183"/>
      <c r="M826" s="183"/>
    </row>
    <row r="827" spans="12:13" ht="15.75" customHeight="1">
      <c r="L827" s="183"/>
      <c r="M827" s="183"/>
    </row>
    <row r="828" spans="12:13" ht="15.75" customHeight="1">
      <c r="L828" s="183"/>
      <c r="M828" s="183"/>
    </row>
    <row r="829" spans="12:13" ht="15.75" customHeight="1">
      <c r="L829" s="183"/>
      <c r="M829" s="183"/>
    </row>
    <row r="830" spans="12:13" ht="15.75" customHeight="1">
      <c r="L830" s="183"/>
      <c r="M830" s="183"/>
    </row>
    <row r="831" spans="12:13" ht="15.75" customHeight="1">
      <c r="L831" s="183"/>
      <c r="M831" s="183"/>
    </row>
    <row r="832" spans="12:13" ht="15.75" customHeight="1">
      <c r="L832" s="183"/>
      <c r="M832" s="183"/>
    </row>
    <row r="833" spans="12:13" ht="15.75" customHeight="1">
      <c r="L833" s="183"/>
      <c r="M833" s="183"/>
    </row>
    <row r="834" spans="12:13" ht="15.75" customHeight="1">
      <c r="L834" s="183"/>
      <c r="M834" s="183"/>
    </row>
    <row r="835" spans="12:13" ht="15.75" customHeight="1">
      <c r="L835" s="183"/>
      <c r="M835" s="183"/>
    </row>
    <row r="836" spans="12:13" ht="15.75" customHeight="1">
      <c r="L836" s="183"/>
      <c r="M836" s="183"/>
    </row>
    <row r="837" spans="12:13" ht="15.75" customHeight="1">
      <c r="L837" s="183"/>
      <c r="M837" s="183"/>
    </row>
    <row r="838" spans="12:13" ht="15.75" customHeight="1">
      <c r="L838" s="183"/>
      <c r="M838" s="183"/>
    </row>
    <row r="839" spans="12:13" ht="15.75" customHeight="1">
      <c r="L839" s="183"/>
      <c r="M839" s="183"/>
    </row>
    <row r="840" spans="12:13" ht="15.75" customHeight="1">
      <c r="L840" s="183"/>
      <c r="M840" s="183"/>
    </row>
    <row r="841" spans="12:13" ht="15.75" customHeight="1">
      <c r="L841" s="183"/>
      <c r="M841" s="183"/>
    </row>
    <row r="842" spans="12:13" ht="15.75" customHeight="1">
      <c r="L842" s="183"/>
      <c r="M842" s="183"/>
    </row>
    <row r="843" spans="12:13" ht="15.75" customHeight="1">
      <c r="L843" s="183"/>
      <c r="M843" s="183"/>
    </row>
    <row r="844" spans="12:13" ht="15.75" customHeight="1">
      <c r="L844" s="183"/>
      <c r="M844" s="183"/>
    </row>
    <row r="845" spans="12:13" ht="15.75" customHeight="1">
      <c r="L845" s="183"/>
      <c r="M845" s="183"/>
    </row>
    <row r="846" spans="12:13" ht="15.75" customHeight="1">
      <c r="L846" s="183"/>
      <c r="M846" s="183"/>
    </row>
    <row r="847" spans="12:13" ht="15.75" customHeight="1">
      <c r="L847" s="183"/>
      <c r="M847" s="183"/>
    </row>
    <row r="848" spans="12:13" ht="15.75" customHeight="1">
      <c r="L848" s="183"/>
      <c r="M848" s="183"/>
    </row>
    <row r="849" spans="12:13" ht="15.75" customHeight="1">
      <c r="L849" s="183"/>
      <c r="M849" s="183"/>
    </row>
    <row r="850" spans="12:13" ht="15.75" customHeight="1">
      <c r="L850" s="183"/>
      <c r="M850" s="183"/>
    </row>
    <row r="851" spans="12:13" ht="15.75" customHeight="1">
      <c r="L851" s="183"/>
      <c r="M851" s="183"/>
    </row>
    <row r="852" spans="12:13" ht="15.75" customHeight="1">
      <c r="L852" s="183"/>
      <c r="M852" s="183"/>
    </row>
    <row r="853" spans="12:13" ht="15.75" customHeight="1">
      <c r="L853" s="183"/>
      <c r="M853" s="183"/>
    </row>
    <row r="854" spans="12:13" ht="15.75" customHeight="1">
      <c r="L854" s="183"/>
      <c r="M854" s="183"/>
    </row>
    <row r="855" spans="12:13" ht="15.75" customHeight="1">
      <c r="L855" s="183"/>
      <c r="M855" s="183"/>
    </row>
    <row r="856" spans="12:13" ht="15.75" customHeight="1">
      <c r="L856" s="183"/>
      <c r="M856" s="183"/>
    </row>
    <row r="857" spans="12:13" ht="15.75" customHeight="1">
      <c r="L857" s="183"/>
      <c r="M857" s="183"/>
    </row>
    <row r="858" spans="12:13" ht="15.75" customHeight="1">
      <c r="L858" s="183"/>
      <c r="M858" s="183"/>
    </row>
    <row r="859" spans="12:13" ht="15.75" customHeight="1">
      <c r="L859" s="183"/>
      <c r="M859" s="183"/>
    </row>
    <row r="860" spans="12:13" ht="15.75" customHeight="1">
      <c r="L860" s="183"/>
      <c r="M860" s="183"/>
    </row>
    <row r="861" spans="12:13" ht="15.75" customHeight="1">
      <c r="L861" s="183"/>
      <c r="M861" s="183"/>
    </row>
    <row r="862" spans="12:13" ht="15.75" customHeight="1">
      <c r="L862" s="183"/>
      <c r="M862" s="183"/>
    </row>
    <row r="863" spans="12:13" ht="15.75" customHeight="1">
      <c r="L863" s="183"/>
      <c r="M863" s="183"/>
    </row>
    <row r="864" spans="12:13" ht="15.75" customHeight="1">
      <c r="L864" s="183"/>
      <c r="M864" s="183"/>
    </row>
    <row r="865" spans="12:13" ht="15.75" customHeight="1">
      <c r="L865" s="183"/>
      <c r="M865" s="183"/>
    </row>
    <row r="866" spans="12:13" ht="15.75" customHeight="1">
      <c r="L866" s="183"/>
      <c r="M866" s="183"/>
    </row>
    <row r="867" spans="12:13" ht="15.75" customHeight="1">
      <c r="L867" s="183"/>
      <c r="M867" s="183"/>
    </row>
    <row r="868" spans="12:13" ht="15.75" customHeight="1">
      <c r="L868" s="183"/>
      <c r="M868" s="183"/>
    </row>
    <row r="869" spans="12:13" ht="15.75" customHeight="1">
      <c r="L869" s="183"/>
      <c r="M869" s="183"/>
    </row>
    <row r="870" spans="12:13" ht="15.75" customHeight="1">
      <c r="L870" s="183"/>
      <c r="M870" s="183"/>
    </row>
    <row r="871" spans="12:13" ht="15.75" customHeight="1">
      <c r="L871" s="183"/>
      <c r="M871" s="183"/>
    </row>
    <row r="872" spans="12:13" ht="15.75" customHeight="1">
      <c r="L872" s="183"/>
      <c r="M872" s="183"/>
    </row>
    <row r="873" spans="12:13" ht="15.75" customHeight="1">
      <c r="L873" s="183"/>
      <c r="M873" s="183"/>
    </row>
    <row r="874" spans="12:13" ht="15.75" customHeight="1">
      <c r="L874" s="183"/>
      <c r="M874" s="183"/>
    </row>
    <row r="875" spans="12:13" ht="15.75" customHeight="1">
      <c r="L875" s="183"/>
      <c r="M875" s="183"/>
    </row>
    <row r="876" spans="12:13" ht="15.75" customHeight="1">
      <c r="L876" s="183"/>
      <c r="M876" s="183"/>
    </row>
    <row r="877" spans="12:13" ht="15.75" customHeight="1">
      <c r="L877" s="183"/>
      <c r="M877" s="183"/>
    </row>
    <row r="878" spans="12:13" ht="15.75" customHeight="1">
      <c r="L878" s="183"/>
      <c r="M878" s="183"/>
    </row>
    <row r="879" spans="12:13" ht="15.75" customHeight="1">
      <c r="L879" s="183"/>
      <c r="M879" s="183"/>
    </row>
    <row r="880" spans="12:13" ht="15.75" customHeight="1">
      <c r="L880" s="183"/>
      <c r="M880" s="183"/>
    </row>
    <row r="881" spans="12:13" ht="15.75" customHeight="1">
      <c r="L881" s="183"/>
      <c r="M881" s="183"/>
    </row>
    <row r="882" spans="12:13" ht="15.75" customHeight="1">
      <c r="L882" s="183"/>
      <c r="M882" s="183"/>
    </row>
    <row r="883" spans="12:13" ht="15.75" customHeight="1">
      <c r="L883" s="183"/>
      <c r="M883" s="183"/>
    </row>
    <row r="884" spans="12:13" ht="15.75" customHeight="1">
      <c r="L884" s="183"/>
      <c r="M884" s="183"/>
    </row>
    <row r="885" spans="12:13" ht="15.75" customHeight="1">
      <c r="L885" s="183"/>
      <c r="M885" s="183"/>
    </row>
    <row r="886" spans="12:13" ht="15.75" customHeight="1">
      <c r="L886" s="183"/>
      <c r="M886" s="183"/>
    </row>
    <row r="887" spans="12:13" ht="15.75" customHeight="1">
      <c r="L887" s="183"/>
      <c r="M887" s="183"/>
    </row>
    <row r="888" spans="12:13" ht="15.75" customHeight="1">
      <c r="L888" s="183"/>
      <c r="M888" s="183"/>
    </row>
    <row r="889" spans="12:13" ht="15.75" customHeight="1">
      <c r="L889" s="183"/>
      <c r="M889" s="183"/>
    </row>
    <row r="890" spans="12:13" ht="15.75" customHeight="1">
      <c r="L890" s="183"/>
      <c r="M890" s="183"/>
    </row>
    <row r="891" spans="12:13" ht="15.75" customHeight="1">
      <c r="L891" s="183"/>
      <c r="M891" s="183"/>
    </row>
    <row r="892" spans="12:13" ht="15.75" customHeight="1">
      <c r="L892" s="183"/>
      <c r="M892" s="183"/>
    </row>
    <row r="893" spans="12:13" ht="15.75" customHeight="1">
      <c r="L893" s="183"/>
      <c r="M893" s="183"/>
    </row>
    <row r="894" spans="12:13" ht="15.75" customHeight="1">
      <c r="L894" s="183"/>
      <c r="M894" s="183"/>
    </row>
    <row r="895" spans="12:13" ht="15.75" customHeight="1">
      <c r="L895" s="183"/>
      <c r="M895" s="183"/>
    </row>
    <row r="896" spans="12:13" ht="15.75" customHeight="1">
      <c r="L896" s="183"/>
      <c r="M896" s="183"/>
    </row>
    <row r="897" spans="12:13" ht="15.75" customHeight="1">
      <c r="L897" s="183"/>
      <c r="M897" s="183"/>
    </row>
    <row r="898" spans="12:13" ht="15.75" customHeight="1">
      <c r="L898" s="183"/>
      <c r="M898" s="183"/>
    </row>
    <row r="899" spans="12:13" ht="15.75" customHeight="1">
      <c r="L899" s="183"/>
      <c r="M899" s="183"/>
    </row>
    <row r="900" spans="12:13" ht="15.75" customHeight="1">
      <c r="L900" s="183"/>
      <c r="M900" s="183"/>
    </row>
    <row r="901" spans="12:13" ht="15.75" customHeight="1">
      <c r="L901" s="183"/>
      <c r="M901" s="183"/>
    </row>
    <row r="902" spans="12:13" ht="15.75" customHeight="1">
      <c r="L902" s="183"/>
      <c r="M902" s="183"/>
    </row>
    <row r="903" spans="12:13" ht="15.75" customHeight="1">
      <c r="L903" s="183"/>
      <c r="M903" s="183"/>
    </row>
    <row r="904" spans="12:13" ht="15.75" customHeight="1">
      <c r="L904" s="183"/>
      <c r="M904" s="183"/>
    </row>
    <row r="905" spans="12:13" ht="15.75" customHeight="1">
      <c r="L905" s="183"/>
      <c r="M905" s="183"/>
    </row>
    <row r="906" spans="12:13" ht="15.75" customHeight="1">
      <c r="L906" s="183"/>
      <c r="M906" s="183"/>
    </row>
    <row r="907" spans="12:13" ht="15.75" customHeight="1">
      <c r="L907" s="183"/>
      <c r="M907" s="183"/>
    </row>
    <row r="908" spans="12:13" ht="15.75" customHeight="1">
      <c r="L908" s="183"/>
      <c r="M908" s="183"/>
    </row>
    <row r="909" spans="12:13" ht="15.75" customHeight="1">
      <c r="L909" s="183"/>
      <c r="M909" s="183"/>
    </row>
    <row r="910" spans="12:13" ht="15.75" customHeight="1">
      <c r="L910" s="183"/>
      <c r="M910" s="183"/>
    </row>
    <row r="911" spans="12:13" ht="15.75" customHeight="1">
      <c r="L911" s="183"/>
      <c r="M911" s="183"/>
    </row>
    <row r="912" spans="12:13" ht="15.75" customHeight="1">
      <c r="L912" s="183"/>
      <c r="M912" s="183"/>
    </row>
    <row r="913" spans="12:13" ht="15.75" customHeight="1">
      <c r="L913" s="183"/>
      <c r="M913" s="183"/>
    </row>
    <row r="914" spans="12:13" ht="15.75" customHeight="1">
      <c r="L914" s="183"/>
      <c r="M914" s="183"/>
    </row>
    <row r="915" spans="12:13" ht="15.75" customHeight="1">
      <c r="L915" s="183"/>
      <c r="M915" s="183"/>
    </row>
    <row r="916" spans="12:13" ht="15.75" customHeight="1">
      <c r="L916" s="183"/>
      <c r="M916" s="183"/>
    </row>
    <row r="917" spans="12:13" ht="15.75" customHeight="1">
      <c r="L917" s="183"/>
      <c r="M917" s="183"/>
    </row>
    <row r="918" spans="12:13" ht="15.75" customHeight="1">
      <c r="L918" s="183"/>
      <c r="M918" s="183"/>
    </row>
    <row r="919" spans="12:13" ht="15.75" customHeight="1">
      <c r="L919" s="183"/>
      <c r="M919" s="183"/>
    </row>
    <row r="920" spans="12:13" ht="15.75" customHeight="1">
      <c r="L920" s="183"/>
      <c r="M920" s="183"/>
    </row>
    <row r="921" spans="12:13" ht="15.75" customHeight="1">
      <c r="L921" s="183"/>
      <c r="M921" s="183"/>
    </row>
    <row r="922" spans="12:13" ht="15.75" customHeight="1">
      <c r="L922" s="183"/>
      <c r="M922" s="183"/>
    </row>
    <row r="923" spans="12:13" ht="15.75" customHeight="1">
      <c r="L923" s="183"/>
      <c r="M923" s="183"/>
    </row>
    <row r="924" spans="12:13" ht="15.75" customHeight="1">
      <c r="L924" s="183"/>
      <c r="M924" s="183"/>
    </row>
    <row r="925" spans="12:13" ht="15.75" customHeight="1">
      <c r="L925" s="183"/>
      <c r="M925" s="183"/>
    </row>
    <row r="926" spans="12:13" ht="15.75" customHeight="1">
      <c r="L926" s="183"/>
      <c r="M926" s="183"/>
    </row>
    <row r="927" spans="12:13" ht="15.75" customHeight="1">
      <c r="L927" s="183"/>
      <c r="M927" s="183"/>
    </row>
    <row r="928" spans="12:13" ht="15.75" customHeight="1">
      <c r="L928" s="183"/>
      <c r="M928" s="183"/>
    </row>
    <row r="929" spans="12:13" ht="15.75" customHeight="1">
      <c r="L929" s="183"/>
      <c r="M929" s="183"/>
    </row>
    <row r="930" spans="12:13" ht="15.75" customHeight="1">
      <c r="L930" s="183"/>
      <c r="M930" s="183"/>
    </row>
    <row r="931" spans="12:13" ht="15.75" customHeight="1">
      <c r="L931" s="183"/>
      <c r="M931" s="183"/>
    </row>
    <row r="932" spans="12:13" ht="15.75" customHeight="1">
      <c r="L932" s="183"/>
      <c r="M932" s="183"/>
    </row>
    <row r="933" spans="12:13" ht="15.75" customHeight="1">
      <c r="L933" s="183"/>
      <c r="M933" s="183"/>
    </row>
    <row r="934" spans="12:13" ht="15.75" customHeight="1">
      <c r="L934" s="183"/>
      <c r="M934" s="183"/>
    </row>
    <row r="935" spans="12:13" ht="15.75" customHeight="1">
      <c r="L935" s="183"/>
      <c r="M935" s="183"/>
    </row>
    <row r="936" spans="12:13" ht="15.75" customHeight="1">
      <c r="L936" s="183"/>
      <c r="M936" s="183"/>
    </row>
    <row r="937" spans="12:13" ht="15.75" customHeight="1">
      <c r="L937" s="183"/>
      <c r="M937" s="183"/>
    </row>
    <row r="938" spans="12:13" ht="15.75" customHeight="1">
      <c r="L938" s="183"/>
      <c r="M938" s="183"/>
    </row>
    <row r="939" spans="12:13" ht="15.75" customHeight="1">
      <c r="L939" s="183"/>
      <c r="M939" s="183"/>
    </row>
    <row r="940" spans="12:13" ht="15.75" customHeight="1">
      <c r="L940" s="183"/>
      <c r="M940" s="183"/>
    </row>
    <row r="941" spans="12:13" ht="15.75" customHeight="1">
      <c r="L941" s="183"/>
      <c r="M941" s="183"/>
    </row>
    <row r="942" spans="12:13" ht="15.75" customHeight="1">
      <c r="L942" s="183"/>
      <c r="M942" s="183"/>
    </row>
    <row r="943" spans="12:13" ht="15.75" customHeight="1">
      <c r="L943" s="183"/>
      <c r="M943" s="183"/>
    </row>
    <row r="944" spans="12:13" ht="15.75" customHeight="1">
      <c r="L944" s="183"/>
      <c r="M944" s="183"/>
    </row>
    <row r="945" spans="12:13" ht="15.75" customHeight="1">
      <c r="L945" s="183"/>
      <c r="M945" s="183"/>
    </row>
    <row r="946" spans="12:13" ht="15.75" customHeight="1">
      <c r="L946" s="183"/>
      <c r="M946" s="183"/>
    </row>
    <row r="947" spans="12:13" ht="15.75" customHeight="1">
      <c r="L947" s="183"/>
      <c r="M947" s="183"/>
    </row>
    <row r="948" spans="12:13" ht="15.75" customHeight="1">
      <c r="L948" s="183"/>
      <c r="M948" s="183"/>
    </row>
    <row r="949" spans="12:13" ht="15.75" customHeight="1">
      <c r="L949" s="183"/>
      <c r="M949" s="183"/>
    </row>
    <row r="950" spans="12:13" ht="15.75" customHeight="1">
      <c r="L950" s="183"/>
      <c r="M950" s="183"/>
    </row>
    <row r="951" spans="12:13" ht="15.75" customHeight="1">
      <c r="L951" s="183"/>
      <c r="M951" s="183"/>
    </row>
    <row r="952" spans="12:13" ht="15.75" customHeight="1">
      <c r="L952" s="183"/>
      <c r="M952" s="183"/>
    </row>
    <row r="953" spans="12:13" ht="15.75" customHeight="1">
      <c r="L953" s="183"/>
      <c r="M953" s="183"/>
    </row>
    <row r="954" spans="12:13" ht="15.75" customHeight="1">
      <c r="L954" s="183"/>
      <c r="M954" s="183"/>
    </row>
    <row r="955" spans="12:13" ht="15.75" customHeight="1">
      <c r="L955" s="183"/>
      <c r="M955" s="183"/>
    </row>
    <row r="956" spans="12:13" ht="15.75" customHeight="1">
      <c r="L956" s="183"/>
      <c r="M956" s="183"/>
    </row>
    <row r="957" spans="12:13" ht="15.75" customHeight="1">
      <c r="L957" s="183"/>
      <c r="M957" s="183"/>
    </row>
    <row r="958" spans="12:13" ht="15.75" customHeight="1">
      <c r="L958" s="183"/>
      <c r="M958" s="183"/>
    </row>
    <row r="959" spans="12:13" ht="15.75" customHeight="1">
      <c r="L959" s="183"/>
      <c r="M959" s="183"/>
    </row>
    <row r="960" spans="12:13" ht="15.75" customHeight="1">
      <c r="L960" s="183"/>
      <c r="M960" s="183"/>
    </row>
    <row r="961" spans="12:13" ht="15.75" customHeight="1">
      <c r="L961" s="183"/>
      <c r="M961" s="183"/>
    </row>
    <row r="962" spans="12:13" ht="15.75" customHeight="1">
      <c r="L962" s="183"/>
      <c r="M962" s="183"/>
    </row>
    <row r="963" spans="12:13" ht="15.75" customHeight="1">
      <c r="L963" s="183"/>
      <c r="M963" s="183"/>
    </row>
    <row r="964" spans="12:13" ht="15.75" customHeight="1">
      <c r="L964" s="183"/>
      <c r="M964" s="183"/>
    </row>
    <row r="965" spans="12:13" ht="15.75" customHeight="1">
      <c r="L965" s="183"/>
      <c r="M965" s="183"/>
    </row>
    <row r="966" spans="12:13" ht="15.75" customHeight="1">
      <c r="L966" s="183"/>
      <c r="M966" s="183"/>
    </row>
    <row r="967" spans="12:13" ht="15.75" customHeight="1">
      <c r="L967" s="183"/>
      <c r="M967" s="183"/>
    </row>
    <row r="968" spans="12:13" ht="15.75" customHeight="1">
      <c r="L968" s="183"/>
      <c r="M968" s="183"/>
    </row>
    <row r="969" spans="12:13" ht="15.75" customHeight="1">
      <c r="L969" s="183"/>
      <c r="M969" s="183"/>
    </row>
    <row r="970" spans="12:13" ht="15.75" customHeight="1">
      <c r="L970" s="183"/>
      <c r="M970" s="183"/>
    </row>
    <row r="971" spans="12:13" ht="15.75" customHeight="1">
      <c r="L971" s="183"/>
      <c r="M971" s="183"/>
    </row>
    <row r="972" spans="12:13" ht="15.75" customHeight="1">
      <c r="L972" s="183"/>
      <c r="M972" s="183"/>
    </row>
    <row r="973" spans="12:13" ht="15.75" customHeight="1">
      <c r="L973" s="183"/>
      <c r="M973" s="183"/>
    </row>
    <row r="974" spans="12:13" ht="15.75" customHeight="1">
      <c r="L974" s="183"/>
      <c r="M974" s="183"/>
    </row>
    <row r="975" spans="12:13" ht="15.75" customHeight="1">
      <c r="L975" s="183"/>
      <c r="M975" s="183"/>
    </row>
    <row r="976" spans="12:13" ht="15.75" customHeight="1">
      <c r="L976" s="183"/>
      <c r="M976" s="183"/>
    </row>
    <row r="977" spans="12:13" ht="15.75" customHeight="1">
      <c r="L977" s="183"/>
      <c r="M977" s="183"/>
    </row>
    <row r="978" spans="12:13" ht="15.75" customHeight="1">
      <c r="L978" s="183"/>
      <c r="M978" s="183"/>
    </row>
    <row r="979" spans="12:13" ht="15.75" customHeight="1">
      <c r="L979" s="183"/>
      <c r="M979" s="183"/>
    </row>
    <row r="980" spans="12:13" ht="15.75" customHeight="1">
      <c r="L980" s="183"/>
      <c r="M980" s="183"/>
    </row>
    <row r="981" spans="12:13" ht="15.75" customHeight="1">
      <c r="L981" s="183"/>
      <c r="M981" s="183"/>
    </row>
    <row r="982" spans="12:13" ht="15.75" customHeight="1">
      <c r="L982" s="183"/>
      <c r="M982" s="183"/>
    </row>
    <row r="983" spans="12:13" ht="15.75" customHeight="1">
      <c r="L983" s="183"/>
      <c r="M983" s="183"/>
    </row>
    <row r="984" spans="12:13" ht="15.75" customHeight="1">
      <c r="L984" s="183"/>
      <c r="M984" s="183"/>
    </row>
    <row r="985" spans="12:13" ht="15.75" customHeight="1">
      <c r="L985" s="183"/>
      <c r="M985" s="183"/>
    </row>
    <row r="986" spans="12:13" ht="15.75" customHeight="1">
      <c r="L986" s="183"/>
      <c r="M986" s="183"/>
    </row>
    <row r="987" spans="12:13" ht="15.75" customHeight="1">
      <c r="L987" s="183"/>
      <c r="M987" s="183"/>
    </row>
    <row r="988" spans="12:13" ht="15.75" customHeight="1">
      <c r="L988" s="183"/>
      <c r="M988" s="183"/>
    </row>
    <row r="989" spans="12:13" ht="15.75" customHeight="1">
      <c r="L989" s="183"/>
      <c r="M989" s="183"/>
    </row>
    <row r="990" spans="12:13" ht="15.75" customHeight="1">
      <c r="L990" s="183"/>
      <c r="M990" s="183"/>
    </row>
    <row r="991" spans="12:13" ht="15.75" customHeight="1">
      <c r="L991" s="183"/>
      <c r="M991" s="183"/>
    </row>
    <row r="992" spans="12:13" ht="15.75" customHeight="1">
      <c r="L992" s="183"/>
      <c r="M992" s="183"/>
    </row>
    <row r="993" spans="12:13" ht="15.75" customHeight="1">
      <c r="L993" s="183"/>
      <c r="M993" s="183"/>
    </row>
    <row r="994" spans="12:13" ht="15.75" customHeight="1">
      <c r="L994" s="183"/>
      <c r="M994" s="183"/>
    </row>
    <row r="995" spans="12:13" ht="15.75" customHeight="1">
      <c r="L995" s="183"/>
      <c r="M995" s="183"/>
    </row>
    <row r="996" spans="12:13" ht="15.75" customHeight="1">
      <c r="L996" s="183"/>
      <c r="M996" s="183"/>
    </row>
    <row r="997" spans="12:13" ht="15.75" customHeight="1">
      <c r="L997" s="183"/>
      <c r="M997" s="183"/>
    </row>
    <row r="998" spans="12:13" ht="15.75" customHeight="1">
      <c r="L998" s="183"/>
      <c r="M998" s="183"/>
    </row>
    <row r="999" spans="12:13" ht="15.75" customHeight="1">
      <c r="L999" s="183"/>
      <c r="M999" s="183"/>
    </row>
    <row r="1000" spans="12:13" ht="15.75" customHeight="1">
      <c r="L1000" s="183"/>
      <c r="M1000" s="183"/>
    </row>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9E2F3"/>
  </sheetPr>
  <dimension ref="A1:G1843"/>
  <sheetViews>
    <sheetView workbookViewId="0"/>
  </sheetViews>
  <sheetFormatPr baseColWidth="10" defaultColWidth="12.6640625" defaultRowHeight="15" customHeight="1"/>
  <cols>
    <col min="1" max="2" width="19.33203125" customWidth="1"/>
    <col min="3" max="3" width="35.5" customWidth="1"/>
    <col min="4" max="4" width="16.5" hidden="1" customWidth="1"/>
    <col min="5" max="5" width="19.33203125" hidden="1" customWidth="1"/>
    <col min="6" max="6" width="19.33203125" customWidth="1"/>
    <col min="7" max="7" width="13.1640625" customWidth="1"/>
    <col min="8" max="26" width="7.6640625" customWidth="1"/>
  </cols>
  <sheetData>
    <row r="1" spans="1:7">
      <c r="A1" s="232" t="s">
        <v>154</v>
      </c>
      <c r="B1" s="232" t="s">
        <v>7079</v>
      </c>
      <c r="C1" s="232" t="s">
        <v>6088</v>
      </c>
      <c r="D1" s="232" t="s">
        <v>7207</v>
      </c>
      <c r="E1" s="232" t="s">
        <v>7208</v>
      </c>
      <c r="F1" s="232" t="s">
        <v>6089</v>
      </c>
      <c r="G1" s="232" t="s">
        <v>4337</v>
      </c>
    </row>
    <row r="2" spans="1:7">
      <c r="A2" s="2" t="s">
        <v>7174</v>
      </c>
      <c r="B2" s="2" t="s">
        <v>7175</v>
      </c>
      <c r="C2" s="2" t="s">
        <v>4304</v>
      </c>
      <c r="D2" s="2" t="s">
        <v>7209</v>
      </c>
      <c r="E2" s="2" t="s">
        <v>3897</v>
      </c>
      <c r="F2" s="2" t="s">
        <v>7210</v>
      </c>
      <c r="G2" s="2">
        <v>18</v>
      </c>
    </row>
    <row r="3" spans="1:7">
      <c r="A3" s="2" t="s">
        <v>7174</v>
      </c>
      <c r="B3" s="2" t="s">
        <v>7175</v>
      </c>
      <c r="C3" s="2" t="s">
        <v>7211</v>
      </c>
      <c r="D3" s="2" t="s">
        <v>7212</v>
      </c>
      <c r="E3" s="2" t="s">
        <v>5672</v>
      </c>
      <c r="F3" s="2" t="s">
        <v>5672</v>
      </c>
      <c r="G3" s="2">
        <v>0</v>
      </c>
    </row>
    <row r="4" spans="1:7">
      <c r="A4" s="2" t="s">
        <v>7174</v>
      </c>
      <c r="B4" s="2" t="s">
        <v>7175</v>
      </c>
      <c r="C4" s="2" t="s">
        <v>7213</v>
      </c>
      <c r="D4" s="2" t="s">
        <v>7214</v>
      </c>
      <c r="E4" s="2" t="s">
        <v>3897</v>
      </c>
      <c r="F4" s="2" t="s">
        <v>7210</v>
      </c>
      <c r="G4" s="2">
        <v>18</v>
      </c>
    </row>
    <row r="5" spans="1:7">
      <c r="A5" s="2" t="s">
        <v>7174</v>
      </c>
      <c r="B5" s="2" t="s">
        <v>7175</v>
      </c>
      <c r="C5" s="2" t="s">
        <v>4306</v>
      </c>
      <c r="D5" s="2" t="s">
        <v>4306</v>
      </c>
      <c r="E5" s="2" t="s">
        <v>7215</v>
      </c>
      <c r="F5" s="2" t="s">
        <v>7215</v>
      </c>
      <c r="G5" s="2">
        <v>255</v>
      </c>
    </row>
    <row r="6" spans="1:7">
      <c r="A6" s="2" t="s">
        <v>7174</v>
      </c>
      <c r="B6" s="2" t="s">
        <v>7175</v>
      </c>
      <c r="C6" s="2" t="s">
        <v>1611</v>
      </c>
      <c r="D6" s="2" t="s">
        <v>7216</v>
      </c>
      <c r="E6" s="2" t="s">
        <v>7215</v>
      </c>
      <c r="F6" s="2" t="s">
        <v>7215</v>
      </c>
      <c r="G6" s="2">
        <v>255</v>
      </c>
    </row>
    <row r="7" spans="1:7">
      <c r="A7" s="2" t="s">
        <v>7174</v>
      </c>
      <c r="B7" s="2" t="s">
        <v>7175</v>
      </c>
      <c r="C7" s="2" t="s">
        <v>7217</v>
      </c>
      <c r="D7" s="2" t="s">
        <v>7218</v>
      </c>
      <c r="E7" s="2" t="s">
        <v>3897</v>
      </c>
      <c r="F7" s="2" t="s">
        <v>7210</v>
      </c>
      <c r="G7" s="2">
        <v>18</v>
      </c>
    </row>
    <row r="8" spans="1:7">
      <c r="A8" s="2" t="s">
        <v>7174</v>
      </c>
      <c r="B8" s="2" t="s">
        <v>7175</v>
      </c>
      <c r="C8" s="2" t="s">
        <v>7219</v>
      </c>
      <c r="D8" s="2" t="s">
        <v>7220</v>
      </c>
      <c r="E8" s="2" t="s">
        <v>3897</v>
      </c>
      <c r="F8" s="2" t="s">
        <v>7210</v>
      </c>
      <c r="G8" s="2">
        <v>18</v>
      </c>
    </row>
    <row r="9" spans="1:7">
      <c r="A9" s="2" t="s">
        <v>7174</v>
      </c>
      <c r="B9" s="2" t="s">
        <v>7175</v>
      </c>
      <c r="C9" s="2" t="s">
        <v>7221</v>
      </c>
      <c r="D9" s="2" t="s">
        <v>7222</v>
      </c>
      <c r="E9" s="2" t="s">
        <v>7223</v>
      </c>
      <c r="F9" s="2" t="s">
        <v>7210</v>
      </c>
      <c r="G9" s="2">
        <v>0</v>
      </c>
    </row>
    <row r="10" spans="1:7">
      <c r="A10" s="2" t="s">
        <v>7174</v>
      </c>
      <c r="B10" s="2" t="s">
        <v>7175</v>
      </c>
      <c r="C10" s="2" t="s">
        <v>5160</v>
      </c>
      <c r="D10" s="2" t="s">
        <v>7222</v>
      </c>
      <c r="E10" s="2" t="s">
        <v>7223</v>
      </c>
      <c r="F10" s="2" t="s">
        <v>7210</v>
      </c>
      <c r="G10" s="2">
        <v>0</v>
      </c>
    </row>
    <row r="11" spans="1:7">
      <c r="A11" s="2" t="s">
        <v>7174</v>
      </c>
      <c r="B11" s="2" t="s">
        <v>7175</v>
      </c>
      <c r="C11" s="2" t="s">
        <v>7224</v>
      </c>
      <c r="D11" s="2" t="s">
        <v>7224</v>
      </c>
      <c r="E11" s="2" t="s">
        <v>7215</v>
      </c>
      <c r="F11" s="2" t="s">
        <v>7215</v>
      </c>
      <c r="G11" s="2">
        <v>40</v>
      </c>
    </row>
    <row r="12" spans="1:7">
      <c r="A12" s="2" t="s">
        <v>7174</v>
      </c>
      <c r="B12" s="2" t="s">
        <v>7175</v>
      </c>
      <c r="C12" s="2" t="s">
        <v>7225</v>
      </c>
      <c r="D12" s="2" t="s">
        <v>7225</v>
      </c>
      <c r="E12" s="2" t="s">
        <v>7215</v>
      </c>
      <c r="F12" s="2" t="s">
        <v>7215</v>
      </c>
      <c r="G12" s="2">
        <v>40</v>
      </c>
    </row>
    <row r="13" spans="1:7">
      <c r="A13" s="2" t="s">
        <v>7174</v>
      </c>
      <c r="B13" s="2" t="s">
        <v>7175</v>
      </c>
      <c r="C13" s="2" t="s">
        <v>7226</v>
      </c>
      <c r="D13" s="2" t="s">
        <v>7227</v>
      </c>
      <c r="E13" s="2" t="s">
        <v>7215</v>
      </c>
      <c r="F13" s="2" t="s">
        <v>7215</v>
      </c>
      <c r="G13" s="2">
        <v>255</v>
      </c>
    </row>
    <row r="14" spans="1:7">
      <c r="A14" s="2" t="s">
        <v>7174</v>
      </c>
      <c r="B14" s="2" t="s">
        <v>7175</v>
      </c>
      <c r="C14" s="2" t="s">
        <v>7228</v>
      </c>
      <c r="D14" s="2" t="s">
        <v>7227</v>
      </c>
      <c r="E14" s="2" t="s">
        <v>7215</v>
      </c>
      <c r="F14" s="2" t="s">
        <v>7215</v>
      </c>
      <c r="G14" s="2">
        <v>255</v>
      </c>
    </row>
    <row r="15" spans="1:7">
      <c r="A15" s="2" t="s">
        <v>7174</v>
      </c>
      <c r="B15" s="2" t="s">
        <v>7175</v>
      </c>
      <c r="C15" s="2" t="s">
        <v>7229</v>
      </c>
      <c r="D15" s="2" t="s">
        <v>7216</v>
      </c>
      <c r="E15" s="2" t="s">
        <v>7215</v>
      </c>
      <c r="F15" s="2" t="s">
        <v>7215</v>
      </c>
      <c r="G15" s="2">
        <v>255</v>
      </c>
    </row>
    <row r="16" spans="1:7">
      <c r="A16" s="2" t="s">
        <v>7174</v>
      </c>
      <c r="B16" s="2" t="s">
        <v>7175</v>
      </c>
      <c r="C16" s="2" t="s">
        <v>7230</v>
      </c>
      <c r="D16" s="2" t="s">
        <v>7231</v>
      </c>
      <c r="E16" s="2" t="s">
        <v>5664</v>
      </c>
      <c r="F16" s="2" t="s">
        <v>5664</v>
      </c>
      <c r="G16" s="2">
        <v>0</v>
      </c>
    </row>
    <row r="17" spans="1:7">
      <c r="A17" s="2" t="s">
        <v>7174</v>
      </c>
      <c r="B17" s="2" t="s">
        <v>7175</v>
      </c>
      <c r="C17" s="2" t="s">
        <v>1729</v>
      </c>
      <c r="D17" s="2" t="s">
        <v>7232</v>
      </c>
      <c r="E17" s="2" t="s">
        <v>7215</v>
      </c>
      <c r="F17" s="2" t="s">
        <v>7215</v>
      </c>
      <c r="G17" s="2">
        <v>32000</v>
      </c>
    </row>
    <row r="18" spans="1:7">
      <c r="A18" s="2" t="s">
        <v>7174</v>
      </c>
      <c r="B18" s="2" t="s">
        <v>7175</v>
      </c>
      <c r="C18" s="2" t="s">
        <v>7233</v>
      </c>
      <c r="D18" s="2" t="s">
        <v>7234</v>
      </c>
      <c r="E18" s="2" t="s">
        <v>3897</v>
      </c>
      <c r="F18" s="2" t="s">
        <v>7210</v>
      </c>
      <c r="G18" s="2">
        <v>18</v>
      </c>
    </row>
    <row r="19" spans="1:7">
      <c r="A19" s="2" t="s">
        <v>7174</v>
      </c>
      <c r="B19" s="2" t="s">
        <v>7175</v>
      </c>
      <c r="C19" s="2" t="s">
        <v>7135</v>
      </c>
      <c r="D19" s="2" t="s">
        <v>7235</v>
      </c>
      <c r="E19" s="2" t="s">
        <v>538</v>
      </c>
      <c r="F19" s="2" t="s">
        <v>538</v>
      </c>
      <c r="G19" s="2">
        <v>0</v>
      </c>
    </row>
    <row r="20" spans="1:7">
      <c r="A20" s="2" t="s">
        <v>7174</v>
      </c>
      <c r="B20" s="2" t="s">
        <v>7175</v>
      </c>
      <c r="C20" s="2" t="s">
        <v>7236</v>
      </c>
      <c r="D20" s="2" t="s">
        <v>7234</v>
      </c>
      <c r="E20" s="2" t="s">
        <v>3897</v>
      </c>
      <c r="F20" s="2" t="s">
        <v>7210</v>
      </c>
      <c r="G20" s="2">
        <v>18</v>
      </c>
    </row>
    <row r="21" spans="1:7" ht="15.75" customHeight="1">
      <c r="A21" s="2" t="s">
        <v>7174</v>
      </c>
      <c r="B21" s="2" t="s">
        <v>7175</v>
      </c>
      <c r="C21" s="2" t="s">
        <v>7176</v>
      </c>
      <c r="D21" s="2" t="s">
        <v>7235</v>
      </c>
      <c r="E21" s="2" t="s">
        <v>538</v>
      </c>
      <c r="F21" s="2" t="s">
        <v>538</v>
      </c>
      <c r="G21" s="2">
        <v>0</v>
      </c>
    </row>
    <row r="22" spans="1:7" ht="15.75" customHeight="1">
      <c r="A22" s="2" t="s">
        <v>7174</v>
      </c>
      <c r="B22" s="2" t="s">
        <v>7175</v>
      </c>
      <c r="C22" s="2" t="s">
        <v>7237</v>
      </c>
      <c r="D22" s="2" t="s">
        <v>7234</v>
      </c>
      <c r="E22" s="2" t="s">
        <v>3897</v>
      </c>
      <c r="F22" s="2" t="s">
        <v>7210</v>
      </c>
      <c r="G22" s="2">
        <v>18</v>
      </c>
    </row>
    <row r="23" spans="1:7" ht="15.75" customHeight="1">
      <c r="A23" s="2" t="s">
        <v>7174</v>
      </c>
      <c r="B23" s="2" t="s">
        <v>7175</v>
      </c>
      <c r="C23" s="2" t="s">
        <v>7238</v>
      </c>
      <c r="D23" s="2" t="s">
        <v>7235</v>
      </c>
      <c r="E23" s="2" t="s">
        <v>538</v>
      </c>
      <c r="F23" s="2" t="s">
        <v>538</v>
      </c>
      <c r="G23" s="2">
        <v>0</v>
      </c>
    </row>
    <row r="24" spans="1:7" ht="15.75" customHeight="1">
      <c r="A24" s="2" t="s">
        <v>7174</v>
      </c>
      <c r="B24" s="2" t="s">
        <v>7175</v>
      </c>
      <c r="C24" s="2" t="s">
        <v>7239</v>
      </c>
      <c r="D24" s="2" t="s">
        <v>6212</v>
      </c>
      <c r="E24" s="2" t="s">
        <v>1974</v>
      </c>
      <c r="F24" s="2" t="s">
        <v>1974</v>
      </c>
      <c r="G24" s="2">
        <v>0</v>
      </c>
    </row>
    <row r="25" spans="1:7" ht="15.75" customHeight="1">
      <c r="A25" s="2" t="s">
        <v>7174</v>
      </c>
      <c r="B25" s="2" t="s">
        <v>7175</v>
      </c>
      <c r="C25" s="2" t="s">
        <v>7240</v>
      </c>
      <c r="D25" s="2" t="s">
        <v>7235</v>
      </c>
      <c r="E25" s="2" t="s">
        <v>538</v>
      </c>
      <c r="F25" s="2" t="s">
        <v>538</v>
      </c>
      <c r="G25" s="2">
        <v>0</v>
      </c>
    </row>
    <row r="26" spans="1:7" ht="15.75" customHeight="1">
      <c r="A26" s="2" t="s">
        <v>7174</v>
      </c>
      <c r="B26" s="2" t="s">
        <v>7175</v>
      </c>
      <c r="C26" s="2" t="s">
        <v>7241</v>
      </c>
      <c r="D26" s="2" t="s">
        <v>7235</v>
      </c>
      <c r="E26" s="2" t="s">
        <v>538</v>
      </c>
      <c r="F26" s="2" t="s">
        <v>538</v>
      </c>
      <c r="G26" s="2">
        <v>0</v>
      </c>
    </row>
    <row r="27" spans="1:7" ht="15.75" customHeight="1">
      <c r="A27" s="2" t="s">
        <v>7174</v>
      </c>
      <c r="B27" s="2" t="s">
        <v>7175</v>
      </c>
      <c r="C27" s="2" t="s">
        <v>7242</v>
      </c>
      <c r="D27" s="2" t="s">
        <v>7243</v>
      </c>
      <c r="E27" s="2" t="s">
        <v>3897</v>
      </c>
      <c r="F27" s="2" t="s">
        <v>7210</v>
      </c>
      <c r="G27" s="2">
        <v>18</v>
      </c>
    </row>
    <row r="28" spans="1:7" ht="15.75" customHeight="1">
      <c r="A28" s="2" t="s">
        <v>7174</v>
      </c>
      <c r="B28" s="2" t="s">
        <v>7175</v>
      </c>
      <c r="C28" s="2" t="s">
        <v>7244</v>
      </c>
      <c r="D28" s="2" t="s">
        <v>7245</v>
      </c>
      <c r="E28" s="2" t="s">
        <v>3897</v>
      </c>
      <c r="F28" s="2" t="s">
        <v>7210</v>
      </c>
      <c r="G28" s="2">
        <v>18</v>
      </c>
    </row>
    <row r="29" spans="1:7" ht="15.75" customHeight="1">
      <c r="A29" s="2" t="s">
        <v>7174</v>
      </c>
      <c r="B29" s="2" t="s">
        <v>7175</v>
      </c>
      <c r="C29" s="2" t="s">
        <v>7246</v>
      </c>
      <c r="D29" s="2" t="s">
        <v>7212</v>
      </c>
      <c r="E29" s="2" t="s">
        <v>5672</v>
      </c>
      <c r="F29" s="2" t="s">
        <v>5672</v>
      </c>
      <c r="G29" s="2">
        <v>0</v>
      </c>
    </row>
    <row r="30" spans="1:7" ht="15.75" customHeight="1">
      <c r="A30" s="2" t="s">
        <v>7174</v>
      </c>
      <c r="B30" s="2" t="s">
        <v>7175</v>
      </c>
      <c r="C30" s="2" t="s">
        <v>7247</v>
      </c>
      <c r="D30" s="2" t="s">
        <v>7222</v>
      </c>
      <c r="E30" s="2" t="s">
        <v>7223</v>
      </c>
      <c r="F30" s="2" t="s">
        <v>7210</v>
      </c>
      <c r="G30" s="2">
        <v>0</v>
      </c>
    </row>
    <row r="31" spans="1:7" ht="15.75" customHeight="1">
      <c r="A31" s="2" t="s">
        <v>7174</v>
      </c>
      <c r="B31" s="2" t="s">
        <v>7175</v>
      </c>
      <c r="C31" s="2" t="s">
        <v>7248</v>
      </c>
      <c r="D31" s="2" t="s">
        <v>7224</v>
      </c>
      <c r="E31" s="2" t="s">
        <v>7215</v>
      </c>
      <c r="F31" s="2" t="s">
        <v>7215</v>
      </c>
      <c r="G31" s="2">
        <v>40</v>
      </c>
    </row>
    <row r="32" spans="1:7" ht="15.75" customHeight="1">
      <c r="A32" s="2" t="s">
        <v>7174</v>
      </c>
      <c r="B32" s="2" t="s">
        <v>7175</v>
      </c>
      <c r="C32" s="2" t="s">
        <v>7249</v>
      </c>
      <c r="D32" s="2" t="s">
        <v>7224</v>
      </c>
      <c r="E32" s="2" t="s">
        <v>7215</v>
      </c>
      <c r="F32" s="2" t="s">
        <v>7215</v>
      </c>
      <c r="G32" s="2">
        <v>40</v>
      </c>
    </row>
    <row r="33" spans="1:7" ht="15.75" customHeight="1">
      <c r="A33" s="2" t="s">
        <v>7174</v>
      </c>
      <c r="B33" s="2" t="s">
        <v>7175</v>
      </c>
      <c r="C33" s="2" t="s">
        <v>7250</v>
      </c>
      <c r="D33" s="2" t="s">
        <v>7224</v>
      </c>
      <c r="E33" s="2" t="s">
        <v>7215</v>
      </c>
      <c r="F33" s="2" t="s">
        <v>7215</v>
      </c>
      <c r="G33" s="2">
        <v>40</v>
      </c>
    </row>
    <row r="34" spans="1:7" ht="15.75" customHeight="1">
      <c r="A34" s="2" t="s">
        <v>7174</v>
      </c>
      <c r="B34" s="2" t="s">
        <v>7175</v>
      </c>
      <c r="C34" s="2" t="s">
        <v>7251</v>
      </c>
      <c r="D34" s="2" t="s">
        <v>7224</v>
      </c>
      <c r="E34" s="2" t="s">
        <v>7215</v>
      </c>
      <c r="F34" s="2" t="s">
        <v>7215</v>
      </c>
      <c r="G34" s="2">
        <v>40</v>
      </c>
    </row>
    <row r="35" spans="1:7" ht="15.75" customHeight="1">
      <c r="A35" s="2" t="s">
        <v>7174</v>
      </c>
      <c r="B35" s="2" t="s">
        <v>7175</v>
      </c>
      <c r="C35" s="2" t="s">
        <v>7252</v>
      </c>
      <c r="D35" s="2" t="s">
        <v>5204</v>
      </c>
      <c r="E35" s="2" t="s">
        <v>7215</v>
      </c>
      <c r="F35" s="2" t="s">
        <v>7215</v>
      </c>
      <c r="G35" s="2">
        <v>80</v>
      </c>
    </row>
    <row r="36" spans="1:7" ht="15.75" customHeight="1">
      <c r="A36" s="2" t="s">
        <v>7174</v>
      </c>
      <c r="B36" s="2" t="s">
        <v>7175</v>
      </c>
      <c r="C36" s="2" t="s">
        <v>7253</v>
      </c>
      <c r="D36" s="2" t="s">
        <v>7254</v>
      </c>
      <c r="E36" s="2" t="s">
        <v>7215</v>
      </c>
      <c r="F36" s="2" t="s">
        <v>7215</v>
      </c>
      <c r="G36" s="2">
        <v>80</v>
      </c>
    </row>
    <row r="37" spans="1:7" ht="15.75" customHeight="1">
      <c r="A37" s="2" t="s">
        <v>7174</v>
      </c>
      <c r="B37" s="2" t="s">
        <v>7175</v>
      </c>
      <c r="C37" s="2" t="s">
        <v>7255</v>
      </c>
      <c r="D37" s="2" t="s">
        <v>7254</v>
      </c>
      <c r="E37" s="2" t="s">
        <v>7215</v>
      </c>
      <c r="F37" s="2" t="s">
        <v>7215</v>
      </c>
      <c r="G37" s="2">
        <v>80</v>
      </c>
    </row>
    <row r="38" spans="1:7" ht="15.75" customHeight="1">
      <c r="A38" s="2" t="s">
        <v>7174</v>
      </c>
      <c r="B38" s="2" t="s">
        <v>7175</v>
      </c>
      <c r="C38" s="2" t="s">
        <v>7256</v>
      </c>
      <c r="D38" s="2" t="s">
        <v>7235</v>
      </c>
      <c r="E38" s="2" t="s">
        <v>538</v>
      </c>
      <c r="F38" s="2" t="s">
        <v>538</v>
      </c>
      <c r="G38" s="2">
        <v>0</v>
      </c>
    </row>
    <row r="39" spans="1:7" ht="15.75" customHeight="1">
      <c r="A39" s="2" t="s">
        <v>7174</v>
      </c>
      <c r="B39" s="2" t="s">
        <v>7175</v>
      </c>
      <c r="C39" s="2" t="s">
        <v>7257</v>
      </c>
      <c r="D39" s="2" t="s">
        <v>7235</v>
      </c>
      <c r="E39" s="2" t="s">
        <v>538</v>
      </c>
      <c r="F39" s="2" t="s">
        <v>538</v>
      </c>
      <c r="G39" s="2">
        <v>0</v>
      </c>
    </row>
    <row r="40" spans="1:7" ht="15.75" customHeight="1">
      <c r="A40" s="2" t="s">
        <v>7174</v>
      </c>
      <c r="B40" s="2" t="s">
        <v>7175</v>
      </c>
      <c r="C40" s="2" t="s">
        <v>7258</v>
      </c>
      <c r="D40" s="2" t="s">
        <v>7259</v>
      </c>
      <c r="E40" s="2" t="s">
        <v>7215</v>
      </c>
      <c r="F40" s="2" t="s">
        <v>7215</v>
      </c>
      <c r="G40" s="2">
        <v>255</v>
      </c>
    </row>
    <row r="41" spans="1:7" ht="15.75" customHeight="1">
      <c r="A41" s="2" t="s">
        <v>7174</v>
      </c>
      <c r="B41" s="2" t="s">
        <v>7175</v>
      </c>
      <c r="C41" s="2" t="s">
        <v>7260</v>
      </c>
      <c r="D41" s="2" t="s">
        <v>7235</v>
      </c>
      <c r="E41" s="2" t="s">
        <v>538</v>
      </c>
      <c r="F41" s="2" t="s">
        <v>538</v>
      </c>
      <c r="G41" s="2">
        <v>0</v>
      </c>
    </row>
    <row r="42" spans="1:7" ht="15.75" customHeight="1">
      <c r="A42" s="2" t="s">
        <v>7174</v>
      </c>
      <c r="B42" s="2" t="s">
        <v>7175</v>
      </c>
      <c r="C42" s="2" t="s">
        <v>7261</v>
      </c>
      <c r="D42" s="2" t="s">
        <v>7262</v>
      </c>
      <c r="E42" s="2" t="s">
        <v>3897</v>
      </c>
      <c r="F42" s="2" t="s">
        <v>7210</v>
      </c>
      <c r="G42" s="2">
        <v>18</v>
      </c>
    </row>
    <row r="43" spans="1:7" ht="15.75" customHeight="1">
      <c r="A43" s="2" t="s">
        <v>7174</v>
      </c>
      <c r="B43" s="2" t="s">
        <v>7175</v>
      </c>
      <c r="C43" s="2" t="s">
        <v>7263</v>
      </c>
      <c r="D43" s="2" t="s">
        <v>7264</v>
      </c>
      <c r="E43" s="2" t="s">
        <v>7215</v>
      </c>
      <c r="F43" s="2" t="s">
        <v>7215</v>
      </c>
      <c r="G43" s="2">
        <v>20</v>
      </c>
    </row>
    <row r="44" spans="1:7" ht="15.75" customHeight="1">
      <c r="A44" s="2" t="s">
        <v>7174</v>
      </c>
      <c r="B44" s="2" t="s">
        <v>7175</v>
      </c>
      <c r="C44" s="2" t="s">
        <v>7265</v>
      </c>
      <c r="D44" s="2" t="s">
        <v>7266</v>
      </c>
      <c r="E44" s="2" t="s">
        <v>7215</v>
      </c>
      <c r="F44" s="2" t="s">
        <v>7215</v>
      </c>
      <c r="G44" s="2">
        <v>20</v>
      </c>
    </row>
    <row r="45" spans="1:7" ht="15.75" customHeight="1">
      <c r="A45" s="2" t="s">
        <v>7174</v>
      </c>
      <c r="B45" s="2" t="s">
        <v>7175</v>
      </c>
      <c r="C45" s="2" t="s">
        <v>7267</v>
      </c>
      <c r="D45" s="2" t="s">
        <v>7216</v>
      </c>
      <c r="E45" s="2" t="s">
        <v>7215</v>
      </c>
      <c r="F45" s="2" t="s">
        <v>7215</v>
      </c>
      <c r="G45" s="2">
        <v>255</v>
      </c>
    </row>
    <row r="46" spans="1:7" ht="15.75" customHeight="1">
      <c r="A46" s="2" t="s">
        <v>7174</v>
      </c>
      <c r="B46" s="2" t="s">
        <v>7175</v>
      </c>
      <c r="C46" s="2" t="s">
        <v>7268</v>
      </c>
      <c r="D46" s="2" t="s">
        <v>7254</v>
      </c>
      <c r="E46" s="2" t="s">
        <v>7215</v>
      </c>
      <c r="F46" s="2" t="s">
        <v>7215</v>
      </c>
      <c r="G46" s="2">
        <v>80</v>
      </c>
    </row>
    <row r="47" spans="1:7" ht="15.75" customHeight="1">
      <c r="A47" s="2" t="s">
        <v>7174</v>
      </c>
      <c r="B47" s="2" t="s">
        <v>7175</v>
      </c>
      <c r="C47" s="2" t="s">
        <v>7269</v>
      </c>
      <c r="D47" s="2" t="s">
        <v>7270</v>
      </c>
      <c r="E47" s="2" t="s">
        <v>7215</v>
      </c>
      <c r="F47" s="2" t="s">
        <v>7215</v>
      </c>
      <c r="G47" s="2">
        <v>32768</v>
      </c>
    </row>
    <row r="48" spans="1:7" ht="15.75" customHeight="1">
      <c r="A48" s="2" t="s">
        <v>7174</v>
      </c>
      <c r="B48" s="2" t="s">
        <v>7175</v>
      </c>
      <c r="C48" s="2" t="s">
        <v>7271</v>
      </c>
      <c r="D48" s="2" t="s">
        <v>7270</v>
      </c>
      <c r="E48" s="2" t="s">
        <v>7215</v>
      </c>
      <c r="F48" s="2" t="s">
        <v>7215</v>
      </c>
      <c r="G48" s="2">
        <v>32768</v>
      </c>
    </row>
    <row r="49" spans="1:7" ht="15.75" customHeight="1">
      <c r="A49" s="2" t="s">
        <v>7174</v>
      </c>
      <c r="B49" s="2" t="s">
        <v>7175</v>
      </c>
      <c r="C49" s="2" t="s">
        <v>7272</v>
      </c>
      <c r="D49" s="2" t="s">
        <v>7235</v>
      </c>
      <c r="E49" s="2" t="s">
        <v>538</v>
      </c>
      <c r="F49" s="2" t="s">
        <v>538</v>
      </c>
      <c r="G49" s="2">
        <v>0</v>
      </c>
    </row>
    <row r="50" spans="1:7" ht="15.75" customHeight="1">
      <c r="A50" s="2" t="s">
        <v>7174</v>
      </c>
      <c r="B50" s="2" t="s">
        <v>7175</v>
      </c>
      <c r="C50" s="2" t="s">
        <v>7273</v>
      </c>
      <c r="D50" s="2" t="s">
        <v>7212</v>
      </c>
      <c r="E50" s="2" t="s">
        <v>5672</v>
      </c>
      <c r="F50" s="2" t="s">
        <v>5672</v>
      </c>
      <c r="G50" s="2">
        <v>0</v>
      </c>
    </row>
    <row r="51" spans="1:7" ht="15.75" customHeight="1">
      <c r="A51" s="2" t="s">
        <v>7174</v>
      </c>
      <c r="B51" s="2" t="s">
        <v>7175</v>
      </c>
      <c r="C51" s="2" t="s">
        <v>7274</v>
      </c>
      <c r="D51" s="2" t="s">
        <v>7235</v>
      </c>
      <c r="E51" s="2" t="s">
        <v>538</v>
      </c>
      <c r="F51" s="2" t="s">
        <v>538</v>
      </c>
      <c r="G51" s="2">
        <v>0</v>
      </c>
    </row>
    <row r="52" spans="1:7" ht="15.75" customHeight="1">
      <c r="A52" s="2" t="s">
        <v>7174</v>
      </c>
      <c r="B52" s="2" t="s">
        <v>7175</v>
      </c>
      <c r="C52" s="2" t="s">
        <v>7275</v>
      </c>
      <c r="D52" s="2" t="s">
        <v>6212</v>
      </c>
      <c r="E52" s="2" t="s">
        <v>1974</v>
      </c>
      <c r="F52" s="2" t="s">
        <v>1974</v>
      </c>
      <c r="G52" s="2">
        <v>0</v>
      </c>
    </row>
    <row r="53" spans="1:7" ht="15.75" customHeight="1">
      <c r="A53" s="2" t="s">
        <v>7174</v>
      </c>
      <c r="B53" s="2" t="s">
        <v>7175</v>
      </c>
      <c r="C53" s="2" t="s">
        <v>7276</v>
      </c>
      <c r="D53" s="2" t="s">
        <v>7277</v>
      </c>
      <c r="E53" s="2" t="s">
        <v>7278</v>
      </c>
      <c r="F53" s="2" t="s">
        <v>7278</v>
      </c>
      <c r="G53" s="2">
        <v>0</v>
      </c>
    </row>
    <row r="54" spans="1:7" ht="15.75" customHeight="1">
      <c r="A54" s="2" t="s">
        <v>7174</v>
      </c>
      <c r="B54" s="2" t="s">
        <v>7175</v>
      </c>
      <c r="C54" s="2" t="s">
        <v>7279</v>
      </c>
      <c r="D54" s="2" t="s">
        <v>7280</v>
      </c>
      <c r="E54" s="2" t="s">
        <v>7215</v>
      </c>
      <c r="F54" s="2" t="s">
        <v>7215</v>
      </c>
      <c r="G54" s="2">
        <v>35</v>
      </c>
    </row>
    <row r="55" spans="1:7" ht="15.75" customHeight="1">
      <c r="A55" s="2" t="s">
        <v>7174</v>
      </c>
      <c r="B55" s="2" t="s">
        <v>7175</v>
      </c>
      <c r="C55" s="2" t="s">
        <v>7281</v>
      </c>
      <c r="D55" s="2" t="s">
        <v>7282</v>
      </c>
      <c r="E55" s="2" t="s">
        <v>7215</v>
      </c>
      <c r="F55" s="2" t="s">
        <v>7215</v>
      </c>
      <c r="G55" s="2">
        <v>100</v>
      </c>
    </row>
    <row r="56" spans="1:7" ht="15.75" customHeight="1">
      <c r="A56" s="2" t="s">
        <v>7174</v>
      </c>
      <c r="B56" s="2" t="s">
        <v>7175</v>
      </c>
      <c r="C56" s="2" t="s">
        <v>7283</v>
      </c>
      <c r="D56" s="2" t="s">
        <v>7284</v>
      </c>
      <c r="E56" s="2" t="s">
        <v>7215</v>
      </c>
      <c r="F56" s="2" t="s">
        <v>7215</v>
      </c>
      <c r="G56" s="2">
        <v>1300</v>
      </c>
    </row>
    <row r="57" spans="1:7" ht="15.75" customHeight="1">
      <c r="A57" s="2" t="s">
        <v>7174</v>
      </c>
      <c r="B57" s="2" t="s">
        <v>7175</v>
      </c>
      <c r="C57" s="2" t="s">
        <v>7285</v>
      </c>
      <c r="D57" s="2" t="s">
        <v>7259</v>
      </c>
      <c r="E57" s="2" t="s">
        <v>7215</v>
      </c>
      <c r="F57" s="2" t="s">
        <v>7215</v>
      </c>
      <c r="G57" s="2">
        <v>255</v>
      </c>
    </row>
    <row r="58" spans="1:7" ht="15.75" customHeight="1">
      <c r="A58" s="2" t="s">
        <v>7174</v>
      </c>
      <c r="B58" s="2" t="s">
        <v>7175</v>
      </c>
      <c r="C58" s="2" t="s">
        <v>7286</v>
      </c>
      <c r="D58" s="2" t="s">
        <v>7287</v>
      </c>
      <c r="E58" s="2" t="s">
        <v>7215</v>
      </c>
      <c r="F58" s="2" t="s">
        <v>7215</v>
      </c>
      <c r="G58" s="2">
        <v>55</v>
      </c>
    </row>
    <row r="59" spans="1:7" ht="15.75" customHeight="1">
      <c r="A59" s="2" t="s">
        <v>7174</v>
      </c>
      <c r="B59" s="2" t="s">
        <v>7175</v>
      </c>
      <c r="C59" s="2" t="s">
        <v>7288</v>
      </c>
      <c r="D59" s="2" t="s">
        <v>7259</v>
      </c>
      <c r="E59" s="2" t="s">
        <v>7215</v>
      </c>
      <c r="F59" s="2" t="s">
        <v>7215</v>
      </c>
      <c r="G59" s="2">
        <v>255</v>
      </c>
    </row>
    <row r="60" spans="1:7" ht="15.75" customHeight="1">
      <c r="A60" s="2" t="s">
        <v>7174</v>
      </c>
      <c r="B60" s="2" t="s">
        <v>7175</v>
      </c>
      <c r="C60" s="2" t="s">
        <v>7289</v>
      </c>
      <c r="D60" s="2" t="s">
        <v>7287</v>
      </c>
      <c r="E60" s="2" t="s">
        <v>7215</v>
      </c>
      <c r="F60" s="2" t="s">
        <v>7215</v>
      </c>
      <c r="G60" s="2">
        <v>55</v>
      </c>
    </row>
    <row r="61" spans="1:7" ht="15.75" customHeight="1">
      <c r="A61" s="2" t="s">
        <v>7174</v>
      </c>
      <c r="B61" s="2" t="s">
        <v>7175</v>
      </c>
      <c r="C61" s="2" t="s">
        <v>7290</v>
      </c>
      <c r="D61" s="2" t="s">
        <v>7287</v>
      </c>
      <c r="E61" s="2" t="s">
        <v>7215</v>
      </c>
      <c r="F61" s="2" t="s">
        <v>7215</v>
      </c>
      <c r="G61" s="2">
        <v>55</v>
      </c>
    </row>
    <row r="62" spans="1:7" ht="15.75" customHeight="1">
      <c r="A62" s="2" t="s">
        <v>7174</v>
      </c>
      <c r="B62" s="2" t="s">
        <v>7175</v>
      </c>
      <c r="C62" s="2" t="s">
        <v>7291</v>
      </c>
      <c r="D62" s="2" t="s">
        <v>7292</v>
      </c>
      <c r="E62" s="2" t="s">
        <v>7215</v>
      </c>
      <c r="F62" s="2" t="s">
        <v>7215</v>
      </c>
      <c r="G62" s="2">
        <v>7</v>
      </c>
    </row>
    <row r="63" spans="1:7" ht="15.75" customHeight="1">
      <c r="A63" s="2" t="s">
        <v>7174</v>
      </c>
      <c r="B63" s="2" t="s">
        <v>7175</v>
      </c>
      <c r="C63" s="2" t="s">
        <v>7293</v>
      </c>
      <c r="D63" s="2" t="s">
        <v>7294</v>
      </c>
      <c r="E63" s="2" t="s">
        <v>3897</v>
      </c>
      <c r="F63" s="2" t="s">
        <v>7210</v>
      </c>
      <c r="G63" s="2">
        <v>18</v>
      </c>
    </row>
    <row r="64" spans="1:7" ht="15.75" customHeight="1">
      <c r="A64" s="2" t="s">
        <v>7174</v>
      </c>
      <c r="B64" s="2" t="s">
        <v>7175</v>
      </c>
      <c r="C64" s="2" t="s">
        <v>7295</v>
      </c>
      <c r="D64" s="2" t="s">
        <v>7216</v>
      </c>
      <c r="E64" s="2" t="s">
        <v>7215</v>
      </c>
      <c r="F64" s="2" t="s">
        <v>7215</v>
      </c>
      <c r="G64" s="2">
        <v>255</v>
      </c>
    </row>
    <row r="65" spans="1:7" ht="15.75" customHeight="1">
      <c r="A65" s="2" t="s">
        <v>7174</v>
      </c>
      <c r="B65" s="2" t="s">
        <v>7175</v>
      </c>
      <c r="C65" s="2" t="s">
        <v>7296</v>
      </c>
      <c r="D65" s="2" t="s">
        <v>7284</v>
      </c>
      <c r="E65" s="2" t="s">
        <v>7215</v>
      </c>
      <c r="F65" s="2" t="s">
        <v>7215</v>
      </c>
      <c r="G65" s="2">
        <v>1300</v>
      </c>
    </row>
    <row r="66" spans="1:7" ht="15.75" customHeight="1">
      <c r="A66" s="2" t="s">
        <v>7174</v>
      </c>
      <c r="B66" s="2" t="s">
        <v>7175</v>
      </c>
      <c r="C66" s="2" t="s">
        <v>7297</v>
      </c>
      <c r="D66" s="2" t="s">
        <v>7284</v>
      </c>
      <c r="E66" s="2" t="s">
        <v>7215</v>
      </c>
      <c r="F66" s="2" t="s">
        <v>7215</v>
      </c>
      <c r="G66" s="2">
        <v>1300</v>
      </c>
    </row>
    <row r="67" spans="1:7" ht="15.75" customHeight="1">
      <c r="A67" s="2" t="s">
        <v>7174</v>
      </c>
      <c r="B67" s="2" t="s">
        <v>7175</v>
      </c>
      <c r="C67" s="2" t="s">
        <v>7298</v>
      </c>
      <c r="D67" s="2" t="s">
        <v>7284</v>
      </c>
      <c r="E67" s="2" t="s">
        <v>7215</v>
      </c>
      <c r="F67" s="2" t="s">
        <v>7215</v>
      </c>
      <c r="G67" s="2">
        <v>1300</v>
      </c>
    </row>
    <row r="68" spans="1:7" ht="15.75" customHeight="1">
      <c r="A68" s="2" t="s">
        <v>7174</v>
      </c>
      <c r="B68" s="2" t="s">
        <v>7175</v>
      </c>
      <c r="C68" s="2" t="s">
        <v>7299</v>
      </c>
      <c r="D68" s="2" t="s">
        <v>7284</v>
      </c>
      <c r="E68" s="2" t="s">
        <v>7215</v>
      </c>
      <c r="F68" s="2" t="s">
        <v>7215</v>
      </c>
      <c r="G68" s="2">
        <v>1300</v>
      </c>
    </row>
    <row r="69" spans="1:7" ht="15.75" customHeight="1">
      <c r="A69" s="2" t="s">
        <v>7174</v>
      </c>
      <c r="B69" s="2" t="s">
        <v>7175</v>
      </c>
      <c r="C69" s="2" t="s">
        <v>7300</v>
      </c>
      <c r="D69" s="2" t="s">
        <v>7284</v>
      </c>
      <c r="E69" s="2" t="s">
        <v>7215</v>
      </c>
      <c r="F69" s="2" t="s">
        <v>7215</v>
      </c>
      <c r="G69" s="2">
        <v>1300</v>
      </c>
    </row>
    <row r="70" spans="1:7" ht="15.75" customHeight="1">
      <c r="A70" s="2" t="s">
        <v>7174</v>
      </c>
      <c r="B70" s="2" t="s">
        <v>7175</v>
      </c>
      <c r="C70" s="2" t="s">
        <v>7301</v>
      </c>
      <c r="D70" s="2" t="s">
        <v>7302</v>
      </c>
      <c r="E70" s="2" t="s">
        <v>7215</v>
      </c>
      <c r="F70" s="2" t="s">
        <v>7215</v>
      </c>
      <c r="G70" s="2">
        <v>5</v>
      </c>
    </row>
    <row r="71" spans="1:7" ht="15.75" customHeight="1">
      <c r="A71" s="2" t="s">
        <v>7174</v>
      </c>
      <c r="B71" s="2" t="s">
        <v>7175</v>
      </c>
      <c r="C71" s="2" t="s">
        <v>7303</v>
      </c>
      <c r="D71" s="2" t="s">
        <v>7282</v>
      </c>
      <c r="E71" s="2" t="s">
        <v>7215</v>
      </c>
      <c r="F71" s="2" t="s">
        <v>7215</v>
      </c>
      <c r="G71" s="2">
        <v>100</v>
      </c>
    </row>
    <row r="72" spans="1:7" ht="15.75" customHeight="1">
      <c r="A72" s="2" t="s">
        <v>7174</v>
      </c>
      <c r="B72" s="2" t="s">
        <v>7175</v>
      </c>
      <c r="C72" s="2" t="s">
        <v>7304</v>
      </c>
      <c r="D72" s="2" t="s">
        <v>7259</v>
      </c>
      <c r="E72" s="2" t="s">
        <v>7215</v>
      </c>
      <c r="F72" s="2" t="s">
        <v>7215</v>
      </c>
      <c r="G72" s="2">
        <v>255</v>
      </c>
    </row>
    <row r="73" spans="1:7" ht="15.75" customHeight="1">
      <c r="A73" s="2" t="s">
        <v>7174</v>
      </c>
      <c r="B73" s="2" t="s">
        <v>7175</v>
      </c>
      <c r="C73" s="2" t="s">
        <v>7305</v>
      </c>
      <c r="D73" s="2" t="s">
        <v>7216</v>
      </c>
      <c r="E73" s="2" t="s">
        <v>7215</v>
      </c>
      <c r="F73" s="2" t="s">
        <v>7215</v>
      </c>
      <c r="G73" s="2">
        <v>255</v>
      </c>
    </row>
    <row r="74" spans="1:7" ht="15.75" customHeight="1">
      <c r="A74" s="2" t="s">
        <v>7174</v>
      </c>
      <c r="B74" s="2" t="s">
        <v>7175</v>
      </c>
      <c r="C74" s="2" t="s">
        <v>7306</v>
      </c>
      <c r="D74" s="2" t="s">
        <v>7216</v>
      </c>
      <c r="E74" s="2" t="s">
        <v>7215</v>
      </c>
      <c r="F74" s="2" t="s">
        <v>7215</v>
      </c>
      <c r="G74" s="2">
        <v>255</v>
      </c>
    </row>
    <row r="75" spans="1:7" ht="15.75" customHeight="1">
      <c r="A75" s="2" t="s">
        <v>7174</v>
      </c>
      <c r="B75" s="2" t="s">
        <v>7175</v>
      </c>
      <c r="C75" s="2" t="s">
        <v>7307</v>
      </c>
      <c r="D75" s="2" t="s">
        <v>7308</v>
      </c>
      <c r="E75" s="2" t="s">
        <v>7215</v>
      </c>
      <c r="F75" s="2" t="s">
        <v>7215</v>
      </c>
      <c r="G75" s="2">
        <v>60</v>
      </c>
    </row>
    <row r="76" spans="1:7" ht="15.75" customHeight="1">
      <c r="A76" s="2" t="s">
        <v>7174</v>
      </c>
      <c r="B76" s="2" t="s">
        <v>7175</v>
      </c>
      <c r="C76" s="2" t="s">
        <v>7309</v>
      </c>
      <c r="D76" s="2" t="s">
        <v>7310</v>
      </c>
      <c r="E76" s="2" t="s">
        <v>7215</v>
      </c>
      <c r="F76" s="2" t="s">
        <v>7215</v>
      </c>
      <c r="G76" s="2">
        <v>18</v>
      </c>
    </row>
    <row r="77" spans="1:7" ht="15.75" customHeight="1">
      <c r="A77" s="2" t="s">
        <v>7174</v>
      </c>
      <c r="B77" s="2" t="s">
        <v>7175</v>
      </c>
      <c r="C77" s="2" t="s">
        <v>7311</v>
      </c>
      <c r="D77" s="2" t="s">
        <v>7312</v>
      </c>
      <c r="E77" s="2" t="s">
        <v>7278</v>
      </c>
      <c r="F77" s="2" t="s">
        <v>7278</v>
      </c>
      <c r="G77" s="2">
        <v>0</v>
      </c>
    </row>
    <row r="78" spans="1:7" ht="15.75" customHeight="1">
      <c r="A78" s="2" t="s">
        <v>7174</v>
      </c>
      <c r="B78" s="2" t="s">
        <v>7175</v>
      </c>
      <c r="C78" s="2" t="s">
        <v>7313</v>
      </c>
      <c r="D78" s="2" t="s">
        <v>7314</v>
      </c>
      <c r="E78" s="2" t="s">
        <v>7215</v>
      </c>
      <c r="F78" s="2" t="s">
        <v>7215</v>
      </c>
      <c r="G78" s="2">
        <v>32768</v>
      </c>
    </row>
    <row r="79" spans="1:7" ht="15.75" customHeight="1">
      <c r="A79" s="2" t="s">
        <v>7174</v>
      </c>
      <c r="B79" s="2" t="s">
        <v>7175</v>
      </c>
      <c r="C79" s="2" t="s">
        <v>7315</v>
      </c>
      <c r="D79" s="2" t="s">
        <v>7284</v>
      </c>
      <c r="E79" s="2" t="s">
        <v>7215</v>
      </c>
      <c r="F79" s="2" t="s">
        <v>7215</v>
      </c>
      <c r="G79" s="2">
        <v>1300</v>
      </c>
    </row>
    <row r="80" spans="1:7" ht="15.75" customHeight="1">
      <c r="A80" s="2" t="s">
        <v>7174</v>
      </c>
      <c r="B80" s="2" t="s">
        <v>7175</v>
      </c>
      <c r="C80" s="2" t="s">
        <v>7316</v>
      </c>
      <c r="D80" s="2" t="s">
        <v>7284</v>
      </c>
      <c r="E80" s="2" t="s">
        <v>7215</v>
      </c>
      <c r="F80" s="2" t="s">
        <v>7215</v>
      </c>
      <c r="G80" s="2">
        <v>1300</v>
      </c>
    </row>
    <row r="81" spans="1:7" ht="15.75" customHeight="1">
      <c r="A81" s="2" t="s">
        <v>7174</v>
      </c>
      <c r="B81" s="2" t="s">
        <v>7175</v>
      </c>
      <c r="C81" s="2" t="s">
        <v>7317</v>
      </c>
      <c r="D81" s="2" t="s">
        <v>7284</v>
      </c>
      <c r="E81" s="2" t="s">
        <v>7215</v>
      </c>
      <c r="F81" s="2" t="s">
        <v>7215</v>
      </c>
      <c r="G81" s="2">
        <v>1300</v>
      </c>
    </row>
    <row r="82" spans="1:7" ht="15.75" customHeight="1">
      <c r="A82" s="2" t="s">
        <v>7174</v>
      </c>
      <c r="B82" s="2" t="s">
        <v>7175</v>
      </c>
      <c r="C82" s="2" t="s">
        <v>7318</v>
      </c>
      <c r="D82" s="2" t="s">
        <v>7284</v>
      </c>
      <c r="E82" s="2" t="s">
        <v>7215</v>
      </c>
      <c r="F82" s="2" t="s">
        <v>7215</v>
      </c>
      <c r="G82" s="2">
        <v>1300</v>
      </c>
    </row>
    <row r="83" spans="1:7" ht="15.75" customHeight="1">
      <c r="A83" s="2" t="s">
        <v>7174</v>
      </c>
      <c r="B83" s="2" t="s">
        <v>7175</v>
      </c>
      <c r="C83" s="2" t="s">
        <v>7319</v>
      </c>
      <c r="D83" s="2" t="s">
        <v>7284</v>
      </c>
      <c r="E83" s="2" t="s">
        <v>7215</v>
      </c>
      <c r="F83" s="2" t="s">
        <v>7215</v>
      </c>
      <c r="G83" s="2">
        <v>1300</v>
      </c>
    </row>
    <row r="84" spans="1:7" ht="15.75" customHeight="1">
      <c r="A84" s="2" t="s">
        <v>7174</v>
      </c>
      <c r="B84" s="2" t="s">
        <v>7175</v>
      </c>
      <c r="C84" s="2" t="s">
        <v>7320</v>
      </c>
      <c r="D84" s="2" t="s">
        <v>7287</v>
      </c>
      <c r="E84" s="2" t="s">
        <v>7215</v>
      </c>
      <c r="F84" s="2" t="s">
        <v>7215</v>
      </c>
      <c r="G84" s="2">
        <v>55</v>
      </c>
    </row>
    <row r="85" spans="1:7" ht="15.75" customHeight="1">
      <c r="A85" s="2" t="s">
        <v>7174</v>
      </c>
      <c r="B85" s="2" t="s">
        <v>7175</v>
      </c>
      <c r="C85" s="2" t="s">
        <v>7321</v>
      </c>
      <c r="D85" s="2" t="s">
        <v>7259</v>
      </c>
      <c r="E85" s="2" t="s">
        <v>7215</v>
      </c>
      <c r="F85" s="2" t="s">
        <v>7215</v>
      </c>
      <c r="G85" s="2">
        <v>255</v>
      </c>
    </row>
    <row r="86" spans="1:7" ht="15.75" customHeight="1">
      <c r="A86" s="2" t="s">
        <v>7174</v>
      </c>
      <c r="B86" s="2" t="s">
        <v>7175</v>
      </c>
      <c r="C86" s="2" t="s">
        <v>7322</v>
      </c>
      <c r="D86" s="2" t="s">
        <v>7287</v>
      </c>
      <c r="E86" s="2" t="s">
        <v>7215</v>
      </c>
      <c r="F86" s="2" t="s">
        <v>7215</v>
      </c>
      <c r="G86" s="2">
        <v>55</v>
      </c>
    </row>
    <row r="87" spans="1:7" ht="15.75" customHeight="1">
      <c r="A87" s="2" t="s">
        <v>7174</v>
      </c>
      <c r="B87" s="2" t="s">
        <v>7175</v>
      </c>
      <c r="C87" s="2" t="s">
        <v>7323</v>
      </c>
      <c r="D87" s="2" t="s">
        <v>7287</v>
      </c>
      <c r="E87" s="2" t="s">
        <v>7215</v>
      </c>
      <c r="F87" s="2" t="s">
        <v>7215</v>
      </c>
      <c r="G87" s="2">
        <v>55</v>
      </c>
    </row>
    <row r="88" spans="1:7" ht="15.75" customHeight="1">
      <c r="A88" s="2" t="s">
        <v>7174</v>
      </c>
      <c r="B88" s="2" t="s">
        <v>7175</v>
      </c>
      <c r="C88" s="2" t="s">
        <v>7324</v>
      </c>
      <c r="D88" s="2" t="s">
        <v>7292</v>
      </c>
      <c r="E88" s="2" t="s">
        <v>7215</v>
      </c>
      <c r="F88" s="2" t="s">
        <v>7215</v>
      </c>
      <c r="G88" s="2">
        <v>7</v>
      </c>
    </row>
    <row r="89" spans="1:7" ht="15.75" customHeight="1">
      <c r="A89" s="2" t="s">
        <v>7174</v>
      </c>
      <c r="B89" s="2" t="s">
        <v>7175</v>
      </c>
      <c r="C89" s="2" t="s">
        <v>7325</v>
      </c>
      <c r="D89" s="2" t="s">
        <v>7294</v>
      </c>
      <c r="E89" s="2" t="s">
        <v>3897</v>
      </c>
      <c r="F89" s="2" t="s">
        <v>7210</v>
      </c>
      <c r="G89" s="2">
        <v>18</v>
      </c>
    </row>
    <row r="90" spans="1:7" ht="15.75" customHeight="1">
      <c r="A90" s="2" t="s">
        <v>7174</v>
      </c>
      <c r="B90" s="2" t="s">
        <v>7175</v>
      </c>
      <c r="C90" s="2" t="s">
        <v>7326</v>
      </c>
      <c r="D90" s="2" t="s">
        <v>7327</v>
      </c>
      <c r="E90" s="2" t="s">
        <v>7215</v>
      </c>
      <c r="F90" s="2" t="s">
        <v>7215</v>
      </c>
      <c r="G90" s="2">
        <v>5000</v>
      </c>
    </row>
    <row r="91" spans="1:7" ht="15.75" customHeight="1">
      <c r="A91" s="2" t="s">
        <v>7174</v>
      </c>
      <c r="B91" s="2" t="s">
        <v>7175</v>
      </c>
      <c r="C91" s="2" t="s">
        <v>7328</v>
      </c>
      <c r="D91" s="2" t="s">
        <v>7216</v>
      </c>
      <c r="E91" s="2" t="s">
        <v>7215</v>
      </c>
      <c r="F91" s="2" t="s">
        <v>7215</v>
      </c>
      <c r="G91" s="2">
        <v>255</v>
      </c>
    </row>
    <row r="92" spans="1:7" ht="15.75" customHeight="1">
      <c r="A92" s="2" t="s">
        <v>7174</v>
      </c>
      <c r="B92" s="2" t="s">
        <v>7175</v>
      </c>
      <c r="C92" s="2" t="s">
        <v>7329</v>
      </c>
      <c r="D92" s="2" t="s">
        <v>7259</v>
      </c>
      <c r="E92" s="2" t="s">
        <v>7215</v>
      </c>
      <c r="F92" s="2" t="s">
        <v>7215</v>
      </c>
      <c r="G92" s="2">
        <v>255</v>
      </c>
    </row>
    <row r="93" spans="1:7" ht="15.75" customHeight="1">
      <c r="A93" s="2" t="s">
        <v>7174</v>
      </c>
      <c r="B93" s="2" t="s">
        <v>7175</v>
      </c>
      <c r="C93" s="2" t="s">
        <v>7330</v>
      </c>
      <c r="D93" s="2" t="s">
        <v>7331</v>
      </c>
      <c r="E93" s="2" t="s">
        <v>7278</v>
      </c>
      <c r="F93" s="2" t="s">
        <v>7278</v>
      </c>
      <c r="G93" s="2">
        <v>0</v>
      </c>
    </row>
    <row r="94" spans="1:7" ht="15.75" customHeight="1">
      <c r="A94" s="2" t="s">
        <v>7174</v>
      </c>
      <c r="B94" s="2" t="s">
        <v>7175</v>
      </c>
      <c r="C94" s="2" t="s">
        <v>7332</v>
      </c>
      <c r="D94" s="2" t="s">
        <v>7333</v>
      </c>
      <c r="E94" s="2" t="s">
        <v>7278</v>
      </c>
      <c r="F94" s="2" t="s">
        <v>7278</v>
      </c>
      <c r="G94" s="2">
        <v>0</v>
      </c>
    </row>
    <row r="95" spans="1:7" ht="15.75" customHeight="1">
      <c r="A95" s="2" t="s">
        <v>7174</v>
      </c>
      <c r="B95" s="2" t="s">
        <v>7175</v>
      </c>
      <c r="C95" s="2" t="s">
        <v>7334</v>
      </c>
      <c r="D95" s="2" t="s">
        <v>7335</v>
      </c>
      <c r="E95" s="2" t="s">
        <v>7278</v>
      </c>
      <c r="F95" s="2" t="s">
        <v>7278</v>
      </c>
      <c r="G95" s="2">
        <v>0</v>
      </c>
    </row>
    <row r="96" spans="1:7" ht="15.75" customHeight="1">
      <c r="A96" s="2" t="s">
        <v>7174</v>
      </c>
      <c r="B96" s="2" t="s">
        <v>7175</v>
      </c>
      <c r="C96" s="2" t="s">
        <v>7336</v>
      </c>
      <c r="D96" s="2" t="s">
        <v>7216</v>
      </c>
      <c r="E96" s="2" t="s">
        <v>7215</v>
      </c>
      <c r="F96" s="2" t="s">
        <v>7215</v>
      </c>
      <c r="G96" s="2">
        <v>255</v>
      </c>
    </row>
    <row r="97" spans="1:7" ht="15.75" customHeight="1">
      <c r="A97" s="2" t="s">
        <v>7174</v>
      </c>
      <c r="B97" s="2" t="s">
        <v>7175</v>
      </c>
      <c r="C97" s="2" t="s">
        <v>7337</v>
      </c>
      <c r="D97" s="2" t="s">
        <v>7216</v>
      </c>
      <c r="E97" s="2" t="s">
        <v>7215</v>
      </c>
      <c r="F97" s="2" t="s">
        <v>7215</v>
      </c>
      <c r="G97" s="2">
        <v>255</v>
      </c>
    </row>
    <row r="98" spans="1:7" ht="15.75" customHeight="1">
      <c r="A98" s="2" t="s">
        <v>7174</v>
      </c>
      <c r="B98" s="2" t="s">
        <v>7175</v>
      </c>
      <c r="C98" s="2" t="s">
        <v>7338</v>
      </c>
      <c r="D98" s="2" t="s">
        <v>7339</v>
      </c>
      <c r="E98" s="2" t="s">
        <v>7215</v>
      </c>
      <c r="F98" s="2" t="s">
        <v>7215</v>
      </c>
      <c r="G98" s="2">
        <v>9</v>
      </c>
    </row>
    <row r="99" spans="1:7" ht="15.75" customHeight="1">
      <c r="A99" s="2" t="s">
        <v>7174</v>
      </c>
      <c r="B99" s="2" t="s">
        <v>7175</v>
      </c>
      <c r="C99" s="2" t="s">
        <v>7340</v>
      </c>
      <c r="D99" s="2" t="s">
        <v>7341</v>
      </c>
      <c r="E99" s="2" t="s">
        <v>7215</v>
      </c>
      <c r="F99" s="2" t="s">
        <v>7215</v>
      </c>
      <c r="G99" s="2">
        <v>20</v>
      </c>
    </row>
    <row r="100" spans="1:7" ht="15.75" customHeight="1">
      <c r="A100" s="2" t="s">
        <v>7174</v>
      </c>
      <c r="B100" s="2" t="s">
        <v>7175</v>
      </c>
      <c r="C100" s="2" t="s">
        <v>7342</v>
      </c>
      <c r="D100" s="2" t="s">
        <v>7216</v>
      </c>
      <c r="E100" s="2" t="s">
        <v>7215</v>
      </c>
      <c r="F100" s="2" t="s">
        <v>7215</v>
      </c>
      <c r="G100" s="2">
        <v>255</v>
      </c>
    </row>
    <row r="101" spans="1:7" ht="15.75" customHeight="1">
      <c r="A101" s="2" t="s">
        <v>7174</v>
      </c>
      <c r="B101" s="2" t="s">
        <v>7175</v>
      </c>
      <c r="C101" s="2" t="s">
        <v>7343</v>
      </c>
      <c r="D101" s="2" t="s">
        <v>7344</v>
      </c>
      <c r="E101" s="2" t="s">
        <v>7215</v>
      </c>
      <c r="F101" s="2" t="s">
        <v>7215</v>
      </c>
      <c r="G101" s="2">
        <v>13</v>
      </c>
    </row>
    <row r="102" spans="1:7" ht="15.75" customHeight="1">
      <c r="A102" s="2" t="s">
        <v>7174</v>
      </c>
      <c r="B102" s="2" t="s">
        <v>7175</v>
      </c>
      <c r="C102" s="2" t="s">
        <v>7345</v>
      </c>
      <c r="D102" s="2" t="s">
        <v>7216</v>
      </c>
      <c r="E102" s="2" t="s">
        <v>7215</v>
      </c>
      <c r="F102" s="2" t="s">
        <v>7215</v>
      </c>
      <c r="G102" s="2">
        <v>255</v>
      </c>
    </row>
    <row r="103" spans="1:7" ht="15.75" customHeight="1">
      <c r="A103" s="2" t="s">
        <v>7174</v>
      </c>
      <c r="B103" s="2" t="s">
        <v>7175</v>
      </c>
      <c r="C103" s="2" t="s">
        <v>7346</v>
      </c>
      <c r="D103" s="2" t="s">
        <v>7347</v>
      </c>
      <c r="E103" s="2" t="s">
        <v>7215</v>
      </c>
      <c r="F103" s="2" t="s">
        <v>7215</v>
      </c>
      <c r="G103" s="2">
        <v>10</v>
      </c>
    </row>
    <row r="104" spans="1:7" ht="15.75" customHeight="1">
      <c r="A104" s="2" t="s">
        <v>7174</v>
      </c>
      <c r="B104" s="2" t="s">
        <v>7175</v>
      </c>
      <c r="C104" s="2" t="s">
        <v>7348</v>
      </c>
      <c r="D104" s="2" t="s">
        <v>7216</v>
      </c>
      <c r="E104" s="2" t="s">
        <v>7215</v>
      </c>
      <c r="F104" s="2" t="s">
        <v>7215</v>
      </c>
      <c r="G104" s="2">
        <v>255</v>
      </c>
    </row>
    <row r="105" spans="1:7" ht="15.75" customHeight="1">
      <c r="A105" s="2" t="s">
        <v>7174</v>
      </c>
      <c r="B105" s="2" t="s">
        <v>7175</v>
      </c>
      <c r="C105" s="2" t="s">
        <v>7349</v>
      </c>
      <c r="D105" s="2" t="s">
        <v>7350</v>
      </c>
      <c r="E105" s="2" t="s">
        <v>7215</v>
      </c>
      <c r="F105" s="2" t="s">
        <v>7215</v>
      </c>
      <c r="G105" s="2">
        <v>2</v>
      </c>
    </row>
    <row r="106" spans="1:7" ht="15.75" customHeight="1">
      <c r="A106" s="2" t="s">
        <v>7174</v>
      </c>
      <c r="B106" s="2" t="s">
        <v>7175</v>
      </c>
      <c r="C106" s="2" t="s">
        <v>7351</v>
      </c>
      <c r="D106" s="2" t="s">
        <v>7352</v>
      </c>
      <c r="E106" s="2" t="s">
        <v>7278</v>
      </c>
      <c r="F106" s="2" t="s">
        <v>7278</v>
      </c>
      <c r="G106" s="2">
        <v>0</v>
      </c>
    </row>
    <row r="107" spans="1:7" ht="15.75" customHeight="1">
      <c r="A107" s="2" t="s">
        <v>7174</v>
      </c>
      <c r="B107" s="2" t="s">
        <v>7175</v>
      </c>
      <c r="C107" s="2" t="s">
        <v>7353</v>
      </c>
      <c r="D107" s="2" t="s">
        <v>7354</v>
      </c>
      <c r="E107" s="2" t="s">
        <v>7215</v>
      </c>
      <c r="F107" s="2" t="s">
        <v>7215</v>
      </c>
      <c r="G107" s="2">
        <v>50</v>
      </c>
    </row>
    <row r="108" spans="1:7" ht="15.75" customHeight="1">
      <c r="A108" s="2" t="s">
        <v>7174</v>
      </c>
      <c r="B108" s="2" t="s">
        <v>7175</v>
      </c>
      <c r="C108" s="2" t="s">
        <v>7355</v>
      </c>
      <c r="D108" s="2" t="s">
        <v>7284</v>
      </c>
      <c r="E108" s="2" t="s">
        <v>7215</v>
      </c>
      <c r="F108" s="2" t="s">
        <v>7215</v>
      </c>
      <c r="G108" s="2">
        <v>1300</v>
      </c>
    </row>
    <row r="109" spans="1:7" ht="15.75" customHeight="1">
      <c r="A109" s="2" t="s">
        <v>7174</v>
      </c>
      <c r="B109" s="2" t="s">
        <v>7175</v>
      </c>
      <c r="C109" s="2" t="s">
        <v>7356</v>
      </c>
      <c r="D109" s="2" t="s">
        <v>7357</v>
      </c>
      <c r="E109" s="2" t="s">
        <v>7215</v>
      </c>
      <c r="F109" s="2" t="s">
        <v>7215</v>
      </c>
      <c r="G109" s="2">
        <v>5</v>
      </c>
    </row>
    <row r="110" spans="1:7" ht="15.75" customHeight="1">
      <c r="A110" s="2" t="s">
        <v>7174</v>
      </c>
      <c r="B110" s="2" t="s">
        <v>7175</v>
      </c>
      <c r="C110" s="2" t="s">
        <v>7358</v>
      </c>
      <c r="D110" s="2" t="s">
        <v>7212</v>
      </c>
      <c r="E110" s="2" t="s">
        <v>5672</v>
      </c>
      <c r="F110" s="2" t="s">
        <v>5672</v>
      </c>
      <c r="G110" s="2">
        <v>0</v>
      </c>
    </row>
    <row r="111" spans="1:7" ht="15.75" customHeight="1">
      <c r="A111" s="2" t="s">
        <v>7174</v>
      </c>
      <c r="B111" s="2" t="s">
        <v>7175</v>
      </c>
      <c r="C111" s="2" t="s">
        <v>7359</v>
      </c>
      <c r="D111" s="2" t="s">
        <v>7277</v>
      </c>
      <c r="E111" s="2" t="s">
        <v>7278</v>
      </c>
      <c r="F111" s="2" t="s">
        <v>7278</v>
      </c>
      <c r="G111" s="2">
        <v>0</v>
      </c>
    </row>
    <row r="112" spans="1:7" ht="15.75" customHeight="1">
      <c r="A112" s="2" t="s">
        <v>7174</v>
      </c>
      <c r="B112" s="2" t="s">
        <v>7175</v>
      </c>
      <c r="C112" s="2" t="s">
        <v>7360</v>
      </c>
      <c r="D112" s="2" t="s">
        <v>7361</v>
      </c>
      <c r="E112" s="2" t="s">
        <v>7215</v>
      </c>
      <c r="F112" s="2" t="s">
        <v>7215</v>
      </c>
      <c r="G112" s="2">
        <v>4099</v>
      </c>
    </row>
    <row r="113" spans="1:7" ht="15.75" customHeight="1">
      <c r="A113" s="2" t="s">
        <v>7174</v>
      </c>
      <c r="B113" s="2" t="s">
        <v>7175</v>
      </c>
      <c r="C113" s="2" t="s">
        <v>7362</v>
      </c>
      <c r="D113" s="2" t="s">
        <v>7270</v>
      </c>
      <c r="E113" s="2" t="s">
        <v>7215</v>
      </c>
      <c r="F113" s="2" t="s">
        <v>7215</v>
      </c>
      <c r="G113" s="2">
        <v>32768</v>
      </c>
    </row>
    <row r="114" spans="1:7" ht="15.75" customHeight="1">
      <c r="A114" s="2" t="s">
        <v>7174</v>
      </c>
      <c r="B114" s="2" t="s">
        <v>7175</v>
      </c>
      <c r="C114" s="2" t="s">
        <v>7363</v>
      </c>
      <c r="D114" s="2" t="s">
        <v>7259</v>
      </c>
      <c r="E114" s="2" t="s">
        <v>7215</v>
      </c>
      <c r="F114" s="2" t="s">
        <v>7215</v>
      </c>
      <c r="G114" s="2">
        <v>255</v>
      </c>
    </row>
    <row r="115" spans="1:7" ht="15.75" customHeight="1">
      <c r="A115" s="2" t="s">
        <v>7174</v>
      </c>
      <c r="B115" s="2" t="s">
        <v>7175</v>
      </c>
      <c r="C115" s="2" t="s">
        <v>7364</v>
      </c>
      <c r="D115" s="2" t="s">
        <v>7365</v>
      </c>
      <c r="E115" s="2" t="s">
        <v>7215</v>
      </c>
      <c r="F115" s="2" t="s">
        <v>7215</v>
      </c>
      <c r="G115" s="2">
        <v>255</v>
      </c>
    </row>
    <row r="116" spans="1:7" ht="15.75" customHeight="1">
      <c r="A116" s="2" t="s">
        <v>7174</v>
      </c>
      <c r="B116" s="2" t="s">
        <v>7175</v>
      </c>
      <c r="C116" s="2" t="s">
        <v>7366</v>
      </c>
      <c r="D116" s="2" t="s">
        <v>7367</v>
      </c>
      <c r="E116" s="2" t="s">
        <v>7215</v>
      </c>
      <c r="F116" s="2" t="s">
        <v>7215</v>
      </c>
      <c r="G116" s="2">
        <v>100</v>
      </c>
    </row>
    <row r="117" spans="1:7" ht="15.75" customHeight="1">
      <c r="A117" s="2" t="s">
        <v>7174</v>
      </c>
      <c r="B117" s="2" t="s">
        <v>7175</v>
      </c>
      <c r="C117" s="2" t="s">
        <v>7368</v>
      </c>
      <c r="D117" s="2" t="s">
        <v>7282</v>
      </c>
      <c r="E117" s="2" t="s">
        <v>7215</v>
      </c>
      <c r="F117" s="2" t="s">
        <v>7215</v>
      </c>
      <c r="G117" s="2">
        <v>100</v>
      </c>
    </row>
    <row r="118" spans="1:7" ht="15.75" customHeight="1">
      <c r="A118" s="2" t="s">
        <v>7174</v>
      </c>
      <c r="B118" s="2" t="s">
        <v>7175</v>
      </c>
      <c r="C118" s="2" t="s">
        <v>7369</v>
      </c>
      <c r="D118" s="2" t="s">
        <v>7212</v>
      </c>
      <c r="E118" s="2" t="s">
        <v>5672</v>
      </c>
      <c r="F118" s="2" t="s">
        <v>5672</v>
      </c>
      <c r="G118" s="2">
        <v>0</v>
      </c>
    </row>
    <row r="119" spans="1:7" ht="15.75" customHeight="1">
      <c r="A119" s="2" t="s">
        <v>7174</v>
      </c>
      <c r="B119" s="2" t="s">
        <v>7175</v>
      </c>
      <c r="C119" s="2" t="s">
        <v>7370</v>
      </c>
      <c r="D119" s="2" t="s">
        <v>7216</v>
      </c>
      <c r="E119" s="2" t="s">
        <v>7215</v>
      </c>
      <c r="F119" s="2" t="s">
        <v>7215</v>
      </c>
      <c r="G119" s="2">
        <v>255</v>
      </c>
    </row>
    <row r="120" spans="1:7" ht="15.75" customHeight="1">
      <c r="A120" s="2" t="s">
        <v>7174</v>
      </c>
      <c r="B120" s="2" t="s">
        <v>7175</v>
      </c>
      <c r="C120" s="2" t="s">
        <v>7371</v>
      </c>
      <c r="D120" s="2" t="s">
        <v>7216</v>
      </c>
      <c r="E120" s="2" t="s">
        <v>7215</v>
      </c>
      <c r="F120" s="2" t="s">
        <v>7215</v>
      </c>
      <c r="G120" s="2">
        <v>255</v>
      </c>
    </row>
    <row r="121" spans="1:7" ht="15.75" customHeight="1">
      <c r="A121" s="2" t="s">
        <v>7174</v>
      </c>
      <c r="B121" s="2" t="s">
        <v>7175</v>
      </c>
      <c r="C121" s="2" t="s">
        <v>7372</v>
      </c>
      <c r="D121" s="2" t="s">
        <v>7312</v>
      </c>
      <c r="E121" s="2" t="s">
        <v>7278</v>
      </c>
      <c r="F121" s="2" t="s">
        <v>7278</v>
      </c>
      <c r="G121" s="2">
        <v>0</v>
      </c>
    </row>
    <row r="122" spans="1:7" ht="15.75" customHeight="1">
      <c r="A122" s="2" t="s">
        <v>7174</v>
      </c>
      <c r="B122" s="2" t="s">
        <v>7175</v>
      </c>
      <c r="C122" s="2" t="s">
        <v>7373</v>
      </c>
      <c r="D122" s="2" t="s">
        <v>7312</v>
      </c>
      <c r="E122" s="2" t="s">
        <v>7278</v>
      </c>
      <c r="F122" s="2" t="s">
        <v>7278</v>
      </c>
      <c r="G122" s="2">
        <v>0</v>
      </c>
    </row>
    <row r="123" spans="1:7" ht="15.75" customHeight="1">
      <c r="A123" s="2" t="s">
        <v>7174</v>
      </c>
      <c r="B123" s="2" t="s">
        <v>7175</v>
      </c>
      <c r="C123" s="2" t="s">
        <v>7374</v>
      </c>
      <c r="D123" s="2" t="s">
        <v>7312</v>
      </c>
      <c r="E123" s="2" t="s">
        <v>7278</v>
      </c>
      <c r="F123" s="2" t="s">
        <v>7278</v>
      </c>
      <c r="G123" s="2">
        <v>0</v>
      </c>
    </row>
    <row r="124" spans="1:7" ht="15.75" customHeight="1">
      <c r="A124" s="2" t="s">
        <v>7174</v>
      </c>
      <c r="B124" s="2" t="s">
        <v>7175</v>
      </c>
      <c r="C124" s="2" t="s">
        <v>7375</v>
      </c>
      <c r="D124" s="2" t="s">
        <v>6212</v>
      </c>
      <c r="E124" s="2" t="s">
        <v>1974</v>
      </c>
      <c r="F124" s="2" t="s">
        <v>1974</v>
      </c>
      <c r="G124" s="2">
        <v>0</v>
      </c>
    </row>
    <row r="125" spans="1:7" ht="15.75" customHeight="1">
      <c r="A125" s="2" t="s">
        <v>7174</v>
      </c>
      <c r="B125" s="2" t="s">
        <v>7175</v>
      </c>
      <c r="C125" s="2" t="s">
        <v>7376</v>
      </c>
      <c r="D125" s="2" t="s">
        <v>7377</v>
      </c>
      <c r="E125" s="2" t="s">
        <v>7378</v>
      </c>
      <c r="F125" s="2" t="s">
        <v>7378</v>
      </c>
      <c r="G125" s="2">
        <v>0</v>
      </c>
    </row>
    <row r="126" spans="1:7" ht="15.75" customHeight="1">
      <c r="A126" s="2" t="s">
        <v>7174</v>
      </c>
      <c r="B126" s="2" t="s">
        <v>7175</v>
      </c>
      <c r="C126" s="2" t="s">
        <v>7379</v>
      </c>
      <c r="D126" s="2" t="s">
        <v>7335</v>
      </c>
      <c r="E126" s="2" t="s">
        <v>7278</v>
      </c>
      <c r="F126" s="2" t="s">
        <v>7278</v>
      </c>
      <c r="G126" s="2">
        <v>0</v>
      </c>
    </row>
    <row r="127" spans="1:7" ht="15.75" customHeight="1">
      <c r="A127" s="2" t="s">
        <v>7174</v>
      </c>
      <c r="B127" s="2" t="s">
        <v>7175</v>
      </c>
      <c r="C127" s="2" t="s">
        <v>7380</v>
      </c>
      <c r="D127" s="2" t="s">
        <v>7259</v>
      </c>
      <c r="E127" s="2" t="s">
        <v>7215</v>
      </c>
      <c r="F127" s="2" t="s">
        <v>7215</v>
      </c>
      <c r="G127" s="2">
        <v>255</v>
      </c>
    </row>
    <row r="128" spans="1:7" ht="15.75" customHeight="1">
      <c r="A128" s="2" t="s">
        <v>7174</v>
      </c>
      <c r="B128" s="2" t="s">
        <v>7175</v>
      </c>
      <c r="C128" s="2" t="s">
        <v>7202</v>
      </c>
      <c r="D128" s="2" t="s">
        <v>7294</v>
      </c>
      <c r="E128" s="2" t="s">
        <v>3897</v>
      </c>
      <c r="F128" s="2" t="s">
        <v>7210</v>
      </c>
      <c r="G128" s="2">
        <v>18</v>
      </c>
    </row>
    <row r="129" spans="1:7" ht="15.75" customHeight="1">
      <c r="A129" s="2" t="s">
        <v>7174</v>
      </c>
      <c r="B129" s="2" t="s">
        <v>7175</v>
      </c>
      <c r="C129" s="2" t="s">
        <v>7381</v>
      </c>
      <c r="D129" s="2" t="s">
        <v>7292</v>
      </c>
      <c r="E129" s="2" t="s">
        <v>7215</v>
      </c>
      <c r="F129" s="2" t="s">
        <v>7215</v>
      </c>
      <c r="G129" s="2">
        <v>7</v>
      </c>
    </row>
    <row r="130" spans="1:7" ht="15.75" customHeight="1">
      <c r="A130" s="2" t="s">
        <v>7174</v>
      </c>
      <c r="B130" s="2" t="s">
        <v>7175</v>
      </c>
      <c r="C130" s="2" t="s">
        <v>7382</v>
      </c>
      <c r="D130" s="2" t="s">
        <v>7212</v>
      </c>
      <c r="E130" s="2" t="s">
        <v>5672</v>
      </c>
      <c r="F130" s="2" t="s">
        <v>5672</v>
      </c>
      <c r="G130" s="2">
        <v>0</v>
      </c>
    </row>
    <row r="131" spans="1:7" ht="15.75" customHeight="1">
      <c r="A131" s="2" t="s">
        <v>7174</v>
      </c>
      <c r="B131" s="2" t="s">
        <v>7175</v>
      </c>
      <c r="C131" s="2" t="s">
        <v>7383</v>
      </c>
      <c r="D131" s="2" t="s">
        <v>7292</v>
      </c>
      <c r="E131" s="2" t="s">
        <v>7215</v>
      </c>
      <c r="F131" s="2" t="s">
        <v>7215</v>
      </c>
      <c r="G131" s="2">
        <v>7</v>
      </c>
    </row>
    <row r="132" spans="1:7" ht="15.75" customHeight="1">
      <c r="A132" s="2" t="s">
        <v>7174</v>
      </c>
      <c r="B132" s="2" t="s">
        <v>7175</v>
      </c>
      <c r="C132" s="2" t="s">
        <v>7384</v>
      </c>
      <c r="D132" s="2" t="s">
        <v>7216</v>
      </c>
      <c r="E132" s="2" t="s">
        <v>7215</v>
      </c>
      <c r="F132" s="2" t="s">
        <v>7215</v>
      </c>
      <c r="G132" s="2">
        <v>255</v>
      </c>
    </row>
    <row r="133" spans="1:7" ht="15.75" customHeight="1">
      <c r="A133" s="2" t="s">
        <v>7174</v>
      </c>
      <c r="B133" s="2" t="s">
        <v>7175</v>
      </c>
      <c r="C133" s="2" t="s">
        <v>7385</v>
      </c>
      <c r="D133" s="2" t="s">
        <v>7224</v>
      </c>
      <c r="E133" s="2" t="s">
        <v>7215</v>
      </c>
      <c r="F133" s="2" t="s">
        <v>7215</v>
      </c>
      <c r="G133" s="2">
        <v>40</v>
      </c>
    </row>
    <row r="134" spans="1:7" ht="15.75" customHeight="1">
      <c r="A134" s="2" t="s">
        <v>7174</v>
      </c>
      <c r="B134" s="2" t="s">
        <v>7175</v>
      </c>
      <c r="C134" s="2" t="s">
        <v>7386</v>
      </c>
      <c r="D134" s="2" t="s">
        <v>7224</v>
      </c>
      <c r="E134" s="2" t="s">
        <v>7215</v>
      </c>
      <c r="F134" s="2" t="s">
        <v>7215</v>
      </c>
      <c r="G134" s="2">
        <v>40</v>
      </c>
    </row>
    <row r="135" spans="1:7" ht="15.75" customHeight="1">
      <c r="A135" s="2" t="s">
        <v>7174</v>
      </c>
      <c r="B135" s="2" t="s">
        <v>7175</v>
      </c>
      <c r="C135" s="2" t="s">
        <v>7387</v>
      </c>
      <c r="D135" s="2" t="s">
        <v>7224</v>
      </c>
      <c r="E135" s="2" t="s">
        <v>7215</v>
      </c>
      <c r="F135" s="2" t="s">
        <v>7215</v>
      </c>
      <c r="G135" s="2">
        <v>40</v>
      </c>
    </row>
    <row r="136" spans="1:7" ht="15.75" customHeight="1">
      <c r="A136" s="2" t="s">
        <v>7174</v>
      </c>
      <c r="B136" s="2" t="s">
        <v>7175</v>
      </c>
      <c r="C136" s="2" t="s">
        <v>7388</v>
      </c>
      <c r="D136" s="2" t="s">
        <v>7264</v>
      </c>
      <c r="E136" s="2" t="s">
        <v>7215</v>
      </c>
      <c r="F136" s="2" t="s">
        <v>7215</v>
      </c>
      <c r="G136" s="2">
        <v>20</v>
      </c>
    </row>
    <row r="137" spans="1:7" ht="15.75" customHeight="1">
      <c r="A137" s="2" t="s">
        <v>7174</v>
      </c>
      <c r="B137" s="2" t="s">
        <v>7175</v>
      </c>
      <c r="C137" s="2" t="s">
        <v>7389</v>
      </c>
      <c r="D137" s="2" t="s">
        <v>7284</v>
      </c>
      <c r="E137" s="2" t="s">
        <v>7215</v>
      </c>
      <c r="F137" s="2" t="s">
        <v>7215</v>
      </c>
      <c r="G137" s="2">
        <v>1300</v>
      </c>
    </row>
    <row r="138" spans="1:7" ht="15.75" customHeight="1">
      <c r="A138" s="2" t="s">
        <v>7174</v>
      </c>
      <c r="B138" s="2" t="s">
        <v>7175</v>
      </c>
      <c r="C138" s="2" t="s">
        <v>7390</v>
      </c>
      <c r="D138" s="2" t="s">
        <v>7282</v>
      </c>
      <c r="E138" s="2" t="s">
        <v>7215</v>
      </c>
      <c r="F138" s="2" t="s">
        <v>7215</v>
      </c>
      <c r="G138" s="2">
        <v>100</v>
      </c>
    </row>
    <row r="139" spans="1:7" ht="15.75" customHeight="1">
      <c r="A139" s="2" t="s">
        <v>7174</v>
      </c>
      <c r="B139" s="2" t="s">
        <v>7175</v>
      </c>
      <c r="C139" s="2" t="s">
        <v>7391</v>
      </c>
      <c r="D139" s="2" t="s">
        <v>7259</v>
      </c>
      <c r="E139" s="2" t="s">
        <v>7215</v>
      </c>
      <c r="F139" s="2" t="s">
        <v>7215</v>
      </c>
      <c r="G139" s="2">
        <v>255</v>
      </c>
    </row>
    <row r="140" spans="1:7" ht="15.75" customHeight="1">
      <c r="A140" s="2" t="s">
        <v>7174</v>
      </c>
      <c r="B140" s="2" t="s">
        <v>7175</v>
      </c>
      <c r="C140" s="2" t="s">
        <v>7392</v>
      </c>
      <c r="D140" s="2" t="s">
        <v>7259</v>
      </c>
      <c r="E140" s="2" t="s">
        <v>7215</v>
      </c>
      <c r="F140" s="2" t="s">
        <v>7215</v>
      </c>
      <c r="G140" s="2">
        <v>255</v>
      </c>
    </row>
    <row r="141" spans="1:7" ht="15.75" customHeight="1">
      <c r="A141" s="2" t="s">
        <v>7174</v>
      </c>
      <c r="B141" s="2" t="s">
        <v>7175</v>
      </c>
      <c r="C141" s="2" t="s">
        <v>7393</v>
      </c>
      <c r="D141" s="2" t="s">
        <v>7354</v>
      </c>
      <c r="E141" s="2" t="s">
        <v>7215</v>
      </c>
      <c r="F141" s="2" t="s">
        <v>7215</v>
      </c>
      <c r="G141" s="2">
        <v>50</v>
      </c>
    </row>
    <row r="142" spans="1:7" ht="15.75" customHeight="1">
      <c r="A142" s="2" t="s">
        <v>7174</v>
      </c>
      <c r="B142" s="2" t="s">
        <v>7175</v>
      </c>
      <c r="C142" s="2" t="s">
        <v>7394</v>
      </c>
      <c r="D142" s="2" t="s">
        <v>7282</v>
      </c>
      <c r="E142" s="2" t="s">
        <v>7215</v>
      </c>
      <c r="F142" s="2" t="s">
        <v>7215</v>
      </c>
      <c r="G142" s="2">
        <v>100</v>
      </c>
    </row>
    <row r="143" spans="1:7" ht="15.75" customHeight="1">
      <c r="A143" s="2" t="s">
        <v>7174</v>
      </c>
      <c r="B143" s="2" t="s">
        <v>7175</v>
      </c>
      <c r="C143" s="2" t="s">
        <v>7395</v>
      </c>
      <c r="D143" s="2" t="s">
        <v>7284</v>
      </c>
      <c r="E143" s="2" t="s">
        <v>7215</v>
      </c>
      <c r="F143" s="2" t="s">
        <v>7215</v>
      </c>
      <c r="G143" s="2">
        <v>1300</v>
      </c>
    </row>
    <row r="144" spans="1:7" ht="15.75" customHeight="1">
      <c r="A144" s="2" t="s">
        <v>7174</v>
      </c>
      <c r="B144" s="2" t="s">
        <v>7175</v>
      </c>
      <c r="C144" s="2" t="s">
        <v>7396</v>
      </c>
      <c r="D144" s="2" t="s">
        <v>7397</v>
      </c>
      <c r="E144" s="2" t="s">
        <v>7215</v>
      </c>
      <c r="F144" s="2" t="s">
        <v>7215</v>
      </c>
      <c r="G144" s="2">
        <v>13</v>
      </c>
    </row>
    <row r="145" spans="1:7" ht="15.75" customHeight="1">
      <c r="A145" s="2" t="s">
        <v>7174</v>
      </c>
      <c r="B145" s="2" t="s">
        <v>7175</v>
      </c>
      <c r="C145" s="2" t="s">
        <v>7398</v>
      </c>
      <c r="D145" s="2" t="s">
        <v>7399</v>
      </c>
      <c r="E145" s="2" t="s">
        <v>7215</v>
      </c>
      <c r="F145" s="2" t="s">
        <v>7215</v>
      </c>
      <c r="G145" s="2">
        <v>120</v>
      </c>
    </row>
    <row r="146" spans="1:7" ht="15.75" customHeight="1">
      <c r="A146" s="2" t="s">
        <v>7174</v>
      </c>
      <c r="B146" s="2" t="s">
        <v>7175</v>
      </c>
      <c r="C146" s="2" t="s">
        <v>7400</v>
      </c>
      <c r="D146" s="2" t="s">
        <v>7399</v>
      </c>
      <c r="E146" s="2" t="s">
        <v>7215</v>
      </c>
      <c r="F146" s="2" t="s">
        <v>7215</v>
      </c>
      <c r="G146" s="2">
        <v>120</v>
      </c>
    </row>
    <row r="147" spans="1:7" ht="15.75" customHeight="1">
      <c r="A147" s="2" t="s">
        <v>7174</v>
      </c>
      <c r="B147" s="2" t="s">
        <v>7175</v>
      </c>
      <c r="C147" s="2" t="s">
        <v>7401</v>
      </c>
      <c r="D147" s="2" t="s">
        <v>7259</v>
      </c>
      <c r="E147" s="2" t="s">
        <v>7215</v>
      </c>
      <c r="F147" s="2" t="s">
        <v>7215</v>
      </c>
      <c r="G147" s="2">
        <v>255</v>
      </c>
    </row>
    <row r="148" spans="1:7" ht="15.75" customHeight="1">
      <c r="A148" s="2" t="s">
        <v>7174</v>
      </c>
      <c r="B148" s="2" t="s">
        <v>7175</v>
      </c>
      <c r="C148" s="2" t="s">
        <v>7402</v>
      </c>
      <c r="D148" s="2" t="s">
        <v>7292</v>
      </c>
      <c r="E148" s="2" t="s">
        <v>7215</v>
      </c>
      <c r="F148" s="2" t="s">
        <v>7215</v>
      </c>
      <c r="G148" s="2">
        <v>7</v>
      </c>
    </row>
    <row r="149" spans="1:7" ht="15.75" customHeight="1">
      <c r="A149" s="2" t="s">
        <v>7174</v>
      </c>
      <c r="B149" s="2" t="s">
        <v>7175</v>
      </c>
      <c r="C149" s="2" t="s">
        <v>7403</v>
      </c>
      <c r="D149" s="2" t="s">
        <v>7292</v>
      </c>
      <c r="E149" s="2" t="s">
        <v>7215</v>
      </c>
      <c r="F149" s="2" t="s">
        <v>7215</v>
      </c>
      <c r="G149" s="2">
        <v>7</v>
      </c>
    </row>
    <row r="150" spans="1:7" ht="15.75" customHeight="1">
      <c r="A150" s="2" t="s">
        <v>7174</v>
      </c>
      <c r="B150" s="2" t="s">
        <v>7175</v>
      </c>
      <c r="C150" s="2" t="s">
        <v>7404</v>
      </c>
      <c r="D150" s="2" t="s">
        <v>7282</v>
      </c>
      <c r="E150" s="2" t="s">
        <v>7215</v>
      </c>
      <c r="F150" s="2" t="s">
        <v>7215</v>
      </c>
      <c r="G150" s="2">
        <v>100</v>
      </c>
    </row>
    <row r="151" spans="1:7" ht="15.75" customHeight="1">
      <c r="A151" s="2" t="s">
        <v>7174</v>
      </c>
      <c r="B151" s="2" t="s">
        <v>7175</v>
      </c>
      <c r="C151" s="2" t="s">
        <v>7405</v>
      </c>
      <c r="D151" s="2" t="s">
        <v>7216</v>
      </c>
      <c r="E151" s="2" t="s">
        <v>7215</v>
      </c>
      <c r="F151" s="2" t="s">
        <v>7215</v>
      </c>
      <c r="G151" s="2">
        <v>255</v>
      </c>
    </row>
    <row r="152" spans="1:7" ht="15.75" customHeight="1">
      <c r="A152" s="2" t="s">
        <v>7174</v>
      </c>
      <c r="B152" s="2" t="s">
        <v>7175</v>
      </c>
      <c r="C152" s="2" t="s">
        <v>7406</v>
      </c>
      <c r="D152" s="2" t="s">
        <v>7280</v>
      </c>
      <c r="E152" s="2" t="s">
        <v>7215</v>
      </c>
      <c r="F152" s="2" t="s">
        <v>7215</v>
      </c>
      <c r="G152" s="2">
        <v>35</v>
      </c>
    </row>
    <row r="153" spans="1:7" ht="15.75" customHeight="1">
      <c r="A153" s="2" t="s">
        <v>7174</v>
      </c>
      <c r="B153" s="2" t="s">
        <v>7175</v>
      </c>
      <c r="C153" s="2" t="s">
        <v>7407</v>
      </c>
      <c r="D153" s="2" t="s">
        <v>7216</v>
      </c>
      <c r="E153" s="2" t="s">
        <v>7215</v>
      </c>
      <c r="F153" s="2" t="s">
        <v>7215</v>
      </c>
      <c r="G153" s="2">
        <v>255</v>
      </c>
    </row>
    <row r="154" spans="1:7" ht="15.75" customHeight="1">
      <c r="A154" s="2" t="s">
        <v>7174</v>
      </c>
      <c r="B154" s="2" t="s">
        <v>7175</v>
      </c>
      <c r="C154" s="2" t="s">
        <v>7408</v>
      </c>
      <c r="D154" s="2" t="s">
        <v>7280</v>
      </c>
      <c r="E154" s="2" t="s">
        <v>7215</v>
      </c>
      <c r="F154" s="2" t="s">
        <v>7215</v>
      </c>
      <c r="G154" s="2">
        <v>35</v>
      </c>
    </row>
    <row r="155" spans="1:7" ht="15.75" customHeight="1">
      <c r="A155" s="2" t="s">
        <v>7174</v>
      </c>
      <c r="B155" s="2" t="s">
        <v>7175</v>
      </c>
      <c r="C155" s="2" t="s">
        <v>7409</v>
      </c>
      <c r="D155" s="2" t="s">
        <v>7410</v>
      </c>
      <c r="E155" s="2" t="s">
        <v>7215</v>
      </c>
      <c r="F155" s="2" t="s">
        <v>7215</v>
      </c>
      <c r="G155" s="2">
        <v>6</v>
      </c>
    </row>
    <row r="156" spans="1:7" ht="15.75" customHeight="1">
      <c r="A156" s="2" t="s">
        <v>7174</v>
      </c>
      <c r="B156" s="2" t="s">
        <v>7175</v>
      </c>
      <c r="C156" s="2" t="s">
        <v>7411</v>
      </c>
      <c r="D156" s="2" t="s">
        <v>7284</v>
      </c>
      <c r="E156" s="2" t="s">
        <v>7215</v>
      </c>
      <c r="F156" s="2" t="s">
        <v>7215</v>
      </c>
      <c r="G156" s="2">
        <v>1300</v>
      </c>
    </row>
    <row r="157" spans="1:7" ht="15.75" customHeight="1">
      <c r="A157" s="2" t="s">
        <v>7174</v>
      </c>
      <c r="B157" s="2" t="s">
        <v>7175</v>
      </c>
      <c r="C157" s="2" t="s">
        <v>7412</v>
      </c>
      <c r="D157" s="2" t="s">
        <v>7212</v>
      </c>
      <c r="E157" s="2" t="s">
        <v>5672</v>
      </c>
      <c r="F157" s="2" t="s">
        <v>5672</v>
      </c>
      <c r="G157" s="2">
        <v>0</v>
      </c>
    </row>
    <row r="158" spans="1:7" ht="15.75" customHeight="1">
      <c r="A158" s="2" t="s">
        <v>7174</v>
      </c>
      <c r="B158" s="2" t="s">
        <v>7175</v>
      </c>
      <c r="C158" s="2" t="s">
        <v>7413</v>
      </c>
      <c r="D158" s="2" t="s">
        <v>7270</v>
      </c>
      <c r="E158" s="2" t="s">
        <v>7215</v>
      </c>
      <c r="F158" s="2" t="s">
        <v>7215</v>
      </c>
      <c r="G158" s="2">
        <v>32768</v>
      </c>
    </row>
    <row r="159" spans="1:7" ht="15.75" customHeight="1">
      <c r="A159" s="2" t="s">
        <v>7174</v>
      </c>
      <c r="B159" s="2" t="s">
        <v>7175</v>
      </c>
      <c r="C159" s="2" t="s">
        <v>7414</v>
      </c>
      <c r="D159" s="2" t="s">
        <v>7264</v>
      </c>
      <c r="E159" s="2" t="s">
        <v>7215</v>
      </c>
      <c r="F159" s="2" t="s">
        <v>7215</v>
      </c>
      <c r="G159" s="2">
        <v>20</v>
      </c>
    </row>
    <row r="160" spans="1:7" ht="15.75" customHeight="1">
      <c r="A160" s="2" t="s">
        <v>7174</v>
      </c>
      <c r="B160" s="2" t="s">
        <v>7175</v>
      </c>
      <c r="C160" s="2" t="s">
        <v>7415</v>
      </c>
      <c r="D160" s="2" t="s">
        <v>7259</v>
      </c>
      <c r="E160" s="2" t="s">
        <v>7215</v>
      </c>
      <c r="F160" s="2" t="s">
        <v>7215</v>
      </c>
      <c r="G160" s="2">
        <v>255</v>
      </c>
    </row>
    <row r="161" spans="1:7" ht="15.75" customHeight="1">
      <c r="A161" s="2" t="s">
        <v>7174</v>
      </c>
      <c r="B161" s="2" t="s">
        <v>7175</v>
      </c>
      <c r="C161" s="2" t="s">
        <v>7416</v>
      </c>
      <c r="D161" s="2" t="s">
        <v>7417</v>
      </c>
      <c r="E161" s="2" t="s">
        <v>7215</v>
      </c>
      <c r="F161" s="2" t="s">
        <v>7215</v>
      </c>
      <c r="G161" s="2">
        <v>16</v>
      </c>
    </row>
    <row r="162" spans="1:7" ht="15.75" customHeight="1">
      <c r="A162" s="2" t="s">
        <v>7174</v>
      </c>
      <c r="B162" s="2" t="s">
        <v>7175</v>
      </c>
      <c r="C162" s="2" t="s">
        <v>7418</v>
      </c>
      <c r="D162" s="2" t="s">
        <v>7312</v>
      </c>
      <c r="E162" s="2" t="s">
        <v>7278</v>
      </c>
      <c r="F162" s="2" t="s">
        <v>7278</v>
      </c>
      <c r="G162" s="2">
        <v>0</v>
      </c>
    </row>
    <row r="163" spans="1:7" ht="15.75" customHeight="1">
      <c r="A163" s="2" t="s">
        <v>7174</v>
      </c>
      <c r="B163" s="2" t="s">
        <v>7175</v>
      </c>
      <c r="C163" s="2" t="s">
        <v>7419</v>
      </c>
      <c r="D163" s="2" t="s">
        <v>7216</v>
      </c>
      <c r="E163" s="2" t="s">
        <v>7215</v>
      </c>
      <c r="F163" s="2" t="s">
        <v>7215</v>
      </c>
      <c r="G163" s="2">
        <v>255</v>
      </c>
    </row>
    <row r="164" spans="1:7" ht="15.75" customHeight="1">
      <c r="A164" s="2" t="s">
        <v>7174</v>
      </c>
      <c r="B164" s="2" t="s">
        <v>7175</v>
      </c>
      <c r="C164" s="2" t="s">
        <v>7420</v>
      </c>
      <c r="D164" s="2" t="s">
        <v>7216</v>
      </c>
      <c r="E164" s="2" t="s">
        <v>7215</v>
      </c>
      <c r="F164" s="2" t="s">
        <v>7215</v>
      </c>
      <c r="G164" s="2">
        <v>255</v>
      </c>
    </row>
    <row r="165" spans="1:7" ht="15.75" customHeight="1">
      <c r="A165" s="2" t="s">
        <v>7174</v>
      </c>
      <c r="B165" s="2" t="s">
        <v>7175</v>
      </c>
      <c r="C165" s="2" t="s">
        <v>7421</v>
      </c>
      <c r="D165" s="2" t="s">
        <v>7422</v>
      </c>
      <c r="E165" s="2" t="s">
        <v>7278</v>
      </c>
      <c r="F165" s="2" t="s">
        <v>7278</v>
      </c>
      <c r="G165" s="2">
        <v>0</v>
      </c>
    </row>
    <row r="166" spans="1:7" ht="15.75" customHeight="1">
      <c r="A166" s="2" t="s">
        <v>7174</v>
      </c>
      <c r="B166" s="2" t="s">
        <v>7175</v>
      </c>
      <c r="C166" s="2" t="s">
        <v>7423</v>
      </c>
      <c r="D166" s="2" t="s">
        <v>7212</v>
      </c>
      <c r="E166" s="2" t="s">
        <v>5672</v>
      </c>
      <c r="F166" s="2" t="s">
        <v>5672</v>
      </c>
      <c r="G166" s="2">
        <v>0</v>
      </c>
    </row>
    <row r="167" spans="1:7" ht="15.75" customHeight="1">
      <c r="A167" s="2" t="s">
        <v>7174</v>
      </c>
      <c r="B167" s="2" t="s">
        <v>7175</v>
      </c>
      <c r="C167" s="2" t="s">
        <v>7424</v>
      </c>
      <c r="D167" s="2" t="s">
        <v>7284</v>
      </c>
      <c r="E167" s="2" t="s">
        <v>7215</v>
      </c>
      <c r="F167" s="2" t="s">
        <v>7215</v>
      </c>
      <c r="G167" s="2">
        <v>1300</v>
      </c>
    </row>
    <row r="168" spans="1:7" ht="15.75" customHeight="1">
      <c r="A168" s="2" t="s">
        <v>7174</v>
      </c>
      <c r="B168" s="2" t="s">
        <v>7175</v>
      </c>
      <c r="C168" s="2" t="s">
        <v>7425</v>
      </c>
      <c r="D168" s="2" t="s">
        <v>7216</v>
      </c>
      <c r="E168" s="2" t="s">
        <v>7215</v>
      </c>
      <c r="F168" s="2" t="s">
        <v>7215</v>
      </c>
      <c r="G168" s="2">
        <v>255</v>
      </c>
    </row>
    <row r="169" spans="1:7" ht="15.75" customHeight="1">
      <c r="A169" s="2" t="s">
        <v>7174</v>
      </c>
      <c r="B169" s="2" t="s">
        <v>7175</v>
      </c>
      <c r="C169" s="2" t="s">
        <v>7426</v>
      </c>
      <c r="D169" s="2" t="s">
        <v>7216</v>
      </c>
      <c r="E169" s="2" t="s">
        <v>7215</v>
      </c>
      <c r="F169" s="2" t="s">
        <v>7215</v>
      </c>
      <c r="G169" s="2">
        <v>255</v>
      </c>
    </row>
    <row r="170" spans="1:7" ht="15.75" customHeight="1">
      <c r="A170" s="2" t="s">
        <v>7174</v>
      </c>
      <c r="B170" s="2" t="s">
        <v>7175</v>
      </c>
      <c r="C170" s="2" t="s">
        <v>7427</v>
      </c>
      <c r="D170" s="2" t="s">
        <v>7357</v>
      </c>
      <c r="E170" s="2" t="s">
        <v>7215</v>
      </c>
      <c r="F170" s="2" t="s">
        <v>7215</v>
      </c>
      <c r="G170" s="2">
        <v>5</v>
      </c>
    </row>
    <row r="171" spans="1:7" ht="15.75" customHeight="1">
      <c r="A171" s="2" t="s">
        <v>7174</v>
      </c>
      <c r="B171" s="2" t="s">
        <v>7175</v>
      </c>
      <c r="C171" s="2" t="s">
        <v>7428</v>
      </c>
      <c r="D171" s="2" t="s">
        <v>7284</v>
      </c>
      <c r="E171" s="2" t="s">
        <v>7215</v>
      </c>
      <c r="F171" s="2" t="s">
        <v>7215</v>
      </c>
      <c r="G171" s="2">
        <v>1300</v>
      </c>
    </row>
    <row r="172" spans="1:7" ht="15.75" customHeight="1">
      <c r="A172" s="2" t="s">
        <v>7174</v>
      </c>
      <c r="B172" s="2" t="s">
        <v>7175</v>
      </c>
      <c r="C172" s="2" t="s">
        <v>7429</v>
      </c>
      <c r="D172" s="2" t="s">
        <v>7259</v>
      </c>
      <c r="E172" s="2" t="s">
        <v>7215</v>
      </c>
      <c r="F172" s="2" t="s">
        <v>7215</v>
      </c>
      <c r="G172" s="2">
        <v>255</v>
      </c>
    </row>
    <row r="173" spans="1:7" ht="15.75" customHeight="1">
      <c r="A173" s="2" t="s">
        <v>7174</v>
      </c>
      <c r="B173" s="2" t="s">
        <v>7175</v>
      </c>
      <c r="C173" s="2" t="s">
        <v>7430</v>
      </c>
      <c r="D173" s="2" t="s">
        <v>7312</v>
      </c>
      <c r="E173" s="2" t="s">
        <v>7278</v>
      </c>
      <c r="F173" s="2" t="s">
        <v>7278</v>
      </c>
      <c r="G173" s="2">
        <v>0</v>
      </c>
    </row>
    <row r="174" spans="1:7" ht="15.75" customHeight="1">
      <c r="A174" s="2" t="s">
        <v>7174</v>
      </c>
      <c r="B174" s="2" t="s">
        <v>7175</v>
      </c>
      <c r="C174" s="2" t="s">
        <v>7431</v>
      </c>
      <c r="D174" s="2" t="s">
        <v>7212</v>
      </c>
      <c r="E174" s="2" t="s">
        <v>5672</v>
      </c>
      <c r="F174" s="2" t="s">
        <v>5672</v>
      </c>
      <c r="G174" s="2">
        <v>0</v>
      </c>
    </row>
    <row r="175" spans="1:7" ht="15.75" customHeight="1">
      <c r="A175" s="2" t="s">
        <v>7174</v>
      </c>
      <c r="B175" s="2" t="s">
        <v>7175</v>
      </c>
      <c r="C175" s="2" t="s">
        <v>7432</v>
      </c>
      <c r="D175" s="2" t="s">
        <v>7212</v>
      </c>
      <c r="E175" s="2" t="s">
        <v>5672</v>
      </c>
      <c r="F175" s="2" t="s">
        <v>5672</v>
      </c>
      <c r="G175" s="2">
        <v>0</v>
      </c>
    </row>
    <row r="176" spans="1:7" ht="15.75" customHeight="1">
      <c r="A176" s="2" t="s">
        <v>7174</v>
      </c>
      <c r="B176" s="2" t="s">
        <v>7175</v>
      </c>
      <c r="C176" s="2" t="s">
        <v>7433</v>
      </c>
      <c r="D176" s="2" t="s">
        <v>7434</v>
      </c>
      <c r="E176" s="2" t="s">
        <v>7278</v>
      </c>
      <c r="F176" s="2" t="s">
        <v>7278</v>
      </c>
      <c r="G176" s="2">
        <v>0</v>
      </c>
    </row>
    <row r="177" spans="1:7" ht="15.75" customHeight="1">
      <c r="A177" s="2" t="s">
        <v>7174</v>
      </c>
      <c r="B177" s="2" t="s">
        <v>7175</v>
      </c>
      <c r="C177" s="2" t="s">
        <v>7435</v>
      </c>
      <c r="D177" s="2" t="s">
        <v>7434</v>
      </c>
      <c r="E177" s="2" t="s">
        <v>7278</v>
      </c>
      <c r="F177" s="2" t="s">
        <v>7278</v>
      </c>
      <c r="G177" s="2">
        <v>0</v>
      </c>
    </row>
    <row r="178" spans="1:7" ht="15.75" customHeight="1">
      <c r="A178" s="2" t="s">
        <v>7174</v>
      </c>
      <c r="B178" s="2" t="s">
        <v>7175</v>
      </c>
      <c r="C178" s="2" t="s">
        <v>7436</v>
      </c>
      <c r="D178" s="2" t="s">
        <v>7437</v>
      </c>
      <c r="E178" s="2" t="s">
        <v>7278</v>
      </c>
      <c r="F178" s="2" t="s">
        <v>7278</v>
      </c>
      <c r="G178" s="2">
        <v>0</v>
      </c>
    </row>
    <row r="179" spans="1:7" ht="15.75" customHeight="1">
      <c r="A179" s="2" t="s">
        <v>7174</v>
      </c>
      <c r="B179" s="2" t="s">
        <v>7175</v>
      </c>
      <c r="C179" s="2" t="s">
        <v>7438</v>
      </c>
      <c r="D179" s="2" t="s">
        <v>7439</v>
      </c>
      <c r="E179" s="2" t="s">
        <v>5672</v>
      </c>
      <c r="F179" s="2" t="s">
        <v>5672</v>
      </c>
      <c r="G179" s="2">
        <v>0</v>
      </c>
    </row>
    <row r="180" spans="1:7" ht="15.75" customHeight="1">
      <c r="A180" s="2" t="s">
        <v>7174</v>
      </c>
      <c r="B180" s="2" t="s">
        <v>7175</v>
      </c>
      <c r="C180" s="2" t="s">
        <v>7440</v>
      </c>
      <c r="D180" s="2" t="s">
        <v>6212</v>
      </c>
      <c r="E180" s="2" t="s">
        <v>1974</v>
      </c>
      <c r="F180" s="2" t="s">
        <v>1974</v>
      </c>
      <c r="G180" s="2">
        <v>0</v>
      </c>
    </row>
    <row r="181" spans="1:7" ht="15.75" customHeight="1">
      <c r="A181" s="2" t="s">
        <v>7174</v>
      </c>
      <c r="B181" s="2" t="s">
        <v>7175</v>
      </c>
      <c r="C181" s="2" t="s">
        <v>7441</v>
      </c>
      <c r="D181" s="2" t="s">
        <v>7277</v>
      </c>
      <c r="E181" s="2" t="s">
        <v>7278</v>
      </c>
      <c r="F181" s="2" t="s">
        <v>7278</v>
      </c>
      <c r="G181" s="2">
        <v>0</v>
      </c>
    </row>
    <row r="182" spans="1:7" ht="15.75" customHeight="1">
      <c r="A182" s="2" t="s">
        <v>7174</v>
      </c>
      <c r="B182" s="2" t="s">
        <v>7175</v>
      </c>
      <c r="C182" s="2" t="s">
        <v>7442</v>
      </c>
      <c r="D182" s="2" t="s">
        <v>7277</v>
      </c>
      <c r="E182" s="2" t="s">
        <v>7278</v>
      </c>
      <c r="F182" s="2" t="s">
        <v>7278</v>
      </c>
      <c r="G182" s="2">
        <v>0</v>
      </c>
    </row>
    <row r="183" spans="1:7" ht="15.75" customHeight="1">
      <c r="A183" s="2" t="s">
        <v>7174</v>
      </c>
      <c r="B183" s="2" t="s">
        <v>7175</v>
      </c>
      <c r="C183" s="2" t="s">
        <v>7443</v>
      </c>
      <c r="D183" s="2" t="s">
        <v>7444</v>
      </c>
      <c r="E183" s="2" t="s">
        <v>3897</v>
      </c>
      <c r="F183" s="2" t="s">
        <v>7210</v>
      </c>
      <c r="G183" s="2">
        <v>18</v>
      </c>
    </row>
    <row r="184" spans="1:7" ht="15.75" customHeight="1">
      <c r="A184" s="2" t="s">
        <v>7174</v>
      </c>
      <c r="B184" s="2" t="s">
        <v>7175</v>
      </c>
      <c r="C184" s="2" t="s">
        <v>7445</v>
      </c>
      <c r="D184" s="2" t="s">
        <v>7284</v>
      </c>
      <c r="E184" s="2" t="s">
        <v>7215</v>
      </c>
      <c r="F184" s="2" t="s">
        <v>7215</v>
      </c>
      <c r="G184" s="2">
        <v>1300</v>
      </c>
    </row>
    <row r="185" spans="1:7" ht="15.75" customHeight="1">
      <c r="A185" s="2" t="s">
        <v>7174</v>
      </c>
      <c r="B185" s="2" t="s">
        <v>7175</v>
      </c>
      <c r="C185" s="2" t="s">
        <v>7446</v>
      </c>
      <c r="D185" s="2" t="s">
        <v>7447</v>
      </c>
      <c r="E185" s="2" t="s">
        <v>3897</v>
      </c>
      <c r="F185" s="2" t="s">
        <v>7210</v>
      </c>
      <c r="G185" s="2">
        <v>18</v>
      </c>
    </row>
    <row r="186" spans="1:7" ht="15.75" customHeight="1">
      <c r="A186" s="2" t="s">
        <v>7174</v>
      </c>
      <c r="B186" s="2" t="s">
        <v>7175</v>
      </c>
      <c r="C186" s="2" t="s">
        <v>7448</v>
      </c>
      <c r="D186" s="2" t="s">
        <v>7284</v>
      </c>
      <c r="E186" s="2" t="s">
        <v>7215</v>
      </c>
      <c r="F186" s="2" t="s">
        <v>7215</v>
      </c>
      <c r="G186" s="2">
        <v>1300</v>
      </c>
    </row>
    <row r="187" spans="1:7" ht="15.75" customHeight="1">
      <c r="A187" s="2" t="s">
        <v>7174</v>
      </c>
      <c r="B187" s="2" t="s">
        <v>7175</v>
      </c>
      <c r="C187" s="2" t="s">
        <v>7449</v>
      </c>
      <c r="D187" s="2" t="s">
        <v>7450</v>
      </c>
      <c r="E187" s="2" t="s">
        <v>7215</v>
      </c>
      <c r="F187" s="2" t="s">
        <v>7215</v>
      </c>
      <c r="G187" s="2">
        <v>200</v>
      </c>
    </row>
    <row r="188" spans="1:7" ht="15.75" customHeight="1">
      <c r="A188" s="2" t="s">
        <v>7174</v>
      </c>
      <c r="B188" s="2" t="s">
        <v>7175</v>
      </c>
      <c r="C188" s="2" t="s">
        <v>7451</v>
      </c>
      <c r="D188" s="2" t="s">
        <v>7277</v>
      </c>
      <c r="E188" s="2" t="s">
        <v>7278</v>
      </c>
      <c r="F188" s="2" t="s">
        <v>7278</v>
      </c>
      <c r="G188" s="2">
        <v>0</v>
      </c>
    </row>
    <row r="189" spans="1:7" ht="15.75" customHeight="1">
      <c r="A189" s="2" t="s">
        <v>7174</v>
      </c>
      <c r="B189" s="2" t="s">
        <v>7175</v>
      </c>
      <c r="C189" s="2" t="s">
        <v>7452</v>
      </c>
      <c r="D189" s="2" t="s">
        <v>7277</v>
      </c>
      <c r="E189" s="2" t="s">
        <v>7278</v>
      </c>
      <c r="F189" s="2" t="s">
        <v>7278</v>
      </c>
      <c r="G189" s="2">
        <v>0</v>
      </c>
    </row>
    <row r="190" spans="1:7" ht="15.75" customHeight="1">
      <c r="A190" s="2" t="s">
        <v>7174</v>
      </c>
      <c r="B190" s="2" t="s">
        <v>7175</v>
      </c>
      <c r="C190" s="2" t="s">
        <v>7453</v>
      </c>
      <c r="D190" s="2" t="s">
        <v>7277</v>
      </c>
      <c r="E190" s="2" t="s">
        <v>7278</v>
      </c>
      <c r="F190" s="2" t="s">
        <v>7278</v>
      </c>
      <c r="G190" s="2">
        <v>0</v>
      </c>
    </row>
    <row r="191" spans="1:7" ht="15.75" customHeight="1">
      <c r="A191" s="2" t="s">
        <v>7174</v>
      </c>
      <c r="B191" s="2" t="s">
        <v>7175</v>
      </c>
      <c r="C191" s="2" t="s">
        <v>7454</v>
      </c>
      <c r="D191" s="2" t="s">
        <v>7455</v>
      </c>
      <c r="E191" s="2" t="s">
        <v>7278</v>
      </c>
      <c r="F191" s="2" t="s">
        <v>7278</v>
      </c>
      <c r="G191" s="2">
        <v>0</v>
      </c>
    </row>
    <row r="192" spans="1:7" ht="15.75" customHeight="1">
      <c r="A192" s="2" t="s">
        <v>7174</v>
      </c>
      <c r="B192" s="2" t="s">
        <v>7175</v>
      </c>
      <c r="C192" s="2" t="s">
        <v>7456</v>
      </c>
      <c r="D192" s="2" t="s">
        <v>7216</v>
      </c>
      <c r="E192" s="2" t="s">
        <v>7215</v>
      </c>
      <c r="F192" s="2" t="s">
        <v>7215</v>
      </c>
      <c r="G192" s="2">
        <v>255</v>
      </c>
    </row>
    <row r="193" spans="1:7" ht="15.75" customHeight="1">
      <c r="A193" s="2" t="s">
        <v>7174</v>
      </c>
      <c r="B193" s="2" t="s">
        <v>7175</v>
      </c>
      <c r="C193" s="2" t="s">
        <v>7457</v>
      </c>
      <c r="D193" s="2" t="s">
        <v>7439</v>
      </c>
      <c r="E193" s="2" t="s">
        <v>5672</v>
      </c>
      <c r="F193" s="2" t="s">
        <v>5672</v>
      </c>
      <c r="G193" s="2">
        <v>0</v>
      </c>
    </row>
    <row r="194" spans="1:7" ht="15.75" customHeight="1">
      <c r="A194" s="2" t="s">
        <v>7174</v>
      </c>
      <c r="B194" s="2" t="s">
        <v>7175</v>
      </c>
      <c r="C194" s="2" t="s">
        <v>7458</v>
      </c>
      <c r="D194" s="2" t="s">
        <v>7437</v>
      </c>
      <c r="E194" s="2" t="s">
        <v>7278</v>
      </c>
      <c r="F194" s="2" t="s">
        <v>7278</v>
      </c>
      <c r="G194" s="2">
        <v>0</v>
      </c>
    </row>
    <row r="195" spans="1:7" ht="15.75" customHeight="1">
      <c r="A195" s="2" t="s">
        <v>7174</v>
      </c>
      <c r="B195" s="2" t="s">
        <v>7175</v>
      </c>
      <c r="C195" s="2" t="s">
        <v>7459</v>
      </c>
      <c r="D195" s="2" t="s">
        <v>7460</v>
      </c>
      <c r="E195" s="2" t="s">
        <v>7278</v>
      </c>
      <c r="F195" s="2" t="s">
        <v>7278</v>
      </c>
      <c r="G195" s="2">
        <v>0</v>
      </c>
    </row>
    <row r="196" spans="1:7" ht="15.75" customHeight="1">
      <c r="A196" s="2" t="s">
        <v>7174</v>
      </c>
      <c r="B196" s="2" t="s">
        <v>7175</v>
      </c>
      <c r="C196" s="2" t="s">
        <v>7461</v>
      </c>
      <c r="D196" s="2" t="s">
        <v>7277</v>
      </c>
      <c r="E196" s="2" t="s">
        <v>7278</v>
      </c>
      <c r="F196" s="2" t="s">
        <v>7278</v>
      </c>
      <c r="G196" s="2">
        <v>0</v>
      </c>
    </row>
    <row r="197" spans="1:7" ht="15.75" customHeight="1">
      <c r="A197" s="2" t="s">
        <v>7174</v>
      </c>
      <c r="B197" s="2" t="s">
        <v>7175</v>
      </c>
      <c r="C197" s="2" t="s">
        <v>7462</v>
      </c>
      <c r="D197" s="2" t="s">
        <v>7463</v>
      </c>
      <c r="E197" s="2" t="s">
        <v>7215</v>
      </c>
      <c r="F197" s="2" t="s">
        <v>7215</v>
      </c>
      <c r="G197" s="2">
        <v>20</v>
      </c>
    </row>
    <row r="198" spans="1:7" ht="15.75" customHeight="1">
      <c r="A198" s="2" t="s">
        <v>7174</v>
      </c>
      <c r="B198" s="2" t="s">
        <v>7175</v>
      </c>
      <c r="C198" s="2" t="s">
        <v>7464</v>
      </c>
      <c r="D198" s="2" t="s">
        <v>7284</v>
      </c>
      <c r="E198" s="2" t="s">
        <v>7215</v>
      </c>
      <c r="F198" s="2" t="s">
        <v>7215</v>
      </c>
      <c r="G198" s="2">
        <v>1300</v>
      </c>
    </row>
    <row r="199" spans="1:7" ht="15.75" customHeight="1">
      <c r="A199" s="2" t="s">
        <v>7174</v>
      </c>
      <c r="B199" s="2" t="s">
        <v>7175</v>
      </c>
      <c r="C199" s="2" t="s">
        <v>7465</v>
      </c>
      <c r="D199" s="2" t="s">
        <v>7212</v>
      </c>
      <c r="E199" s="2" t="s">
        <v>5672</v>
      </c>
      <c r="F199" s="2" t="s">
        <v>5672</v>
      </c>
      <c r="G199" s="2">
        <v>0</v>
      </c>
    </row>
    <row r="200" spans="1:7" ht="15.75" customHeight="1">
      <c r="A200" s="2" t="s">
        <v>7174</v>
      </c>
      <c r="B200" s="2" t="s">
        <v>7175</v>
      </c>
      <c r="C200" s="2" t="s">
        <v>7466</v>
      </c>
      <c r="D200" s="2" t="s">
        <v>7216</v>
      </c>
      <c r="E200" s="2" t="s">
        <v>7215</v>
      </c>
      <c r="F200" s="2" t="s">
        <v>7215</v>
      </c>
      <c r="G200" s="2">
        <v>255</v>
      </c>
    </row>
    <row r="201" spans="1:7" ht="15.75" customHeight="1">
      <c r="A201" s="2" t="s">
        <v>7174</v>
      </c>
      <c r="B201" s="2" t="s">
        <v>7175</v>
      </c>
      <c r="C201" s="2" t="s">
        <v>7467</v>
      </c>
      <c r="D201" s="2" t="s">
        <v>7284</v>
      </c>
      <c r="E201" s="2" t="s">
        <v>7215</v>
      </c>
      <c r="F201" s="2" t="s">
        <v>7215</v>
      </c>
      <c r="G201" s="2">
        <v>1300</v>
      </c>
    </row>
    <row r="202" spans="1:7" ht="15.75" customHeight="1">
      <c r="A202" s="2" t="s">
        <v>7174</v>
      </c>
      <c r="B202" s="2" t="s">
        <v>7175</v>
      </c>
      <c r="C202" s="2" t="s">
        <v>7468</v>
      </c>
      <c r="D202" s="2" t="s">
        <v>7277</v>
      </c>
      <c r="E202" s="2" t="s">
        <v>7278</v>
      </c>
      <c r="F202" s="2" t="s">
        <v>7278</v>
      </c>
      <c r="G202" s="2">
        <v>0</v>
      </c>
    </row>
    <row r="203" spans="1:7" ht="15.75" customHeight="1">
      <c r="A203" s="2" t="s">
        <v>7174</v>
      </c>
      <c r="B203" s="2" t="s">
        <v>7175</v>
      </c>
      <c r="C203" s="2" t="s">
        <v>7469</v>
      </c>
      <c r="D203" s="2" t="s">
        <v>7284</v>
      </c>
      <c r="E203" s="2" t="s">
        <v>7215</v>
      </c>
      <c r="F203" s="2" t="s">
        <v>7215</v>
      </c>
      <c r="G203" s="2">
        <v>1300</v>
      </c>
    </row>
    <row r="204" spans="1:7" ht="15.75" customHeight="1">
      <c r="A204" s="2" t="s">
        <v>7174</v>
      </c>
      <c r="B204" s="2" t="s">
        <v>7175</v>
      </c>
      <c r="C204" s="2" t="s">
        <v>7470</v>
      </c>
      <c r="D204" s="2" t="s">
        <v>7216</v>
      </c>
      <c r="E204" s="2" t="s">
        <v>7215</v>
      </c>
      <c r="F204" s="2" t="s">
        <v>7215</v>
      </c>
      <c r="G204" s="2">
        <v>255</v>
      </c>
    </row>
    <row r="205" spans="1:7" ht="15.75" customHeight="1">
      <c r="A205" s="2" t="s">
        <v>7174</v>
      </c>
      <c r="B205" s="2" t="s">
        <v>7175</v>
      </c>
      <c r="C205" s="2" t="s">
        <v>7471</v>
      </c>
      <c r="D205" s="2" t="s">
        <v>7216</v>
      </c>
      <c r="E205" s="2" t="s">
        <v>7215</v>
      </c>
      <c r="F205" s="2" t="s">
        <v>7215</v>
      </c>
      <c r="G205" s="2">
        <v>255</v>
      </c>
    </row>
    <row r="206" spans="1:7" ht="15.75" customHeight="1">
      <c r="A206" s="2" t="s">
        <v>7174</v>
      </c>
      <c r="B206" s="2" t="s">
        <v>7175</v>
      </c>
      <c r="C206" s="2" t="s">
        <v>7472</v>
      </c>
      <c r="D206" s="2" t="s">
        <v>7354</v>
      </c>
      <c r="E206" s="2" t="s">
        <v>7215</v>
      </c>
      <c r="F206" s="2" t="s">
        <v>7215</v>
      </c>
      <c r="G206" s="2">
        <v>50</v>
      </c>
    </row>
    <row r="207" spans="1:7" ht="15.75" customHeight="1">
      <c r="A207" s="2" t="s">
        <v>7174</v>
      </c>
      <c r="B207" s="2" t="s">
        <v>7175</v>
      </c>
      <c r="C207" s="2" t="s">
        <v>7473</v>
      </c>
      <c r="D207" s="2" t="s">
        <v>7259</v>
      </c>
      <c r="E207" s="2" t="s">
        <v>7215</v>
      </c>
      <c r="F207" s="2" t="s">
        <v>7215</v>
      </c>
      <c r="G207" s="2">
        <v>255</v>
      </c>
    </row>
    <row r="208" spans="1:7" ht="15.75" customHeight="1">
      <c r="A208" s="2" t="s">
        <v>7174</v>
      </c>
      <c r="B208" s="2" t="s">
        <v>7175</v>
      </c>
      <c r="C208" s="2" t="s">
        <v>7474</v>
      </c>
      <c r="D208" s="2" t="s">
        <v>7354</v>
      </c>
      <c r="E208" s="2" t="s">
        <v>7215</v>
      </c>
      <c r="F208" s="2" t="s">
        <v>7215</v>
      </c>
      <c r="G208" s="2">
        <v>50</v>
      </c>
    </row>
    <row r="209" spans="1:7" ht="15.75" customHeight="1">
      <c r="A209" s="2" t="s">
        <v>7174</v>
      </c>
      <c r="B209" s="2" t="s">
        <v>7175</v>
      </c>
      <c r="C209" s="2" t="s">
        <v>7475</v>
      </c>
      <c r="D209" s="2" t="s">
        <v>7216</v>
      </c>
      <c r="E209" s="2" t="s">
        <v>7215</v>
      </c>
      <c r="F209" s="2" t="s">
        <v>7215</v>
      </c>
      <c r="G209" s="2">
        <v>255</v>
      </c>
    </row>
    <row r="210" spans="1:7" ht="15.75" customHeight="1">
      <c r="A210" s="2" t="s">
        <v>7174</v>
      </c>
      <c r="B210" s="2" t="s">
        <v>7175</v>
      </c>
      <c r="C210" s="2" t="s">
        <v>7476</v>
      </c>
      <c r="D210" s="2" t="s">
        <v>7477</v>
      </c>
      <c r="E210" s="2" t="s">
        <v>7215</v>
      </c>
      <c r="F210" s="2" t="s">
        <v>7215</v>
      </c>
      <c r="G210" s="2">
        <v>1000</v>
      </c>
    </row>
    <row r="211" spans="1:7" ht="15.75" customHeight="1">
      <c r="A211" s="2" t="s">
        <v>7174</v>
      </c>
      <c r="B211" s="2" t="s">
        <v>7175</v>
      </c>
      <c r="C211" s="2" t="s">
        <v>7478</v>
      </c>
      <c r="D211" s="2" t="s">
        <v>7216</v>
      </c>
      <c r="E211" s="2" t="s">
        <v>7215</v>
      </c>
      <c r="F211" s="2" t="s">
        <v>7215</v>
      </c>
      <c r="G211" s="2">
        <v>255</v>
      </c>
    </row>
    <row r="212" spans="1:7" ht="15.75" customHeight="1">
      <c r="A212" s="2" t="s">
        <v>7174</v>
      </c>
      <c r="B212" s="2" t="s">
        <v>7175</v>
      </c>
      <c r="C212" s="2" t="s">
        <v>7479</v>
      </c>
      <c r="D212" s="2" t="s">
        <v>7259</v>
      </c>
      <c r="E212" s="2" t="s">
        <v>7215</v>
      </c>
      <c r="F212" s="2" t="s">
        <v>7215</v>
      </c>
      <c r="G212" s="2">
        <v>255</v>
      </c>
    </row>
    <row r="213" spans="1:7" ht="15.75" customHeight="1">
      <c r="A213" s="2" t="s">
        <v>7174</v>
      </c>
      <c r="B213" s="2" t="s">
        <v>7175</v>
      </c>
      <c r="C213" s="2" t="s">
        <v>7480</v>
      </c>
      <c r="D213" s="2" t="s">
        <v>7216</v>
      </c>
      <c r="E213" s="2" t="s">
        <v>7215</v>
      </c>
      <c r="F213" s="2" t="s">
        <v>7215</v>
      </c>
      <c r="G213" s="2">
        <v>255</v>
      </c>
    </row>
    <row r="214" spans="1:7" ht="15.75" customHeight="1">
      <c r="A214" s="2" t="s">
        <v>7174</v>
      </c>
      <c r="B214" s="2" t="s">
        <v>7175</v>
      </c>
      <c r="C214" s="2" t="s">
        <v>7481</v>
      </c>
      <c r="D214" s="2" t="s">
        <v>7259</v>
      </c>
      <c r="E214" s="2" t="s">
        <v>7215</v>
      </c>
      <c r="F214" s="2" t="s">
        <v>7215</v>
      </c>
      <c r="G214" s="2">
        <v>255</v>
      </c>
    </row>
    <row r="215" spans="1:7" ht="15.75" customHeight="1">
      <c r="A215" s="2" t="s">
        <v>7174</v>
      </c>
      <c r="B215" s="2" t="s">
        <v>7175</v>
      </c>
      <c r="C215" s="2" t="s">
        <v>7482</v>
      </c>
      <c r="D215" s="2" t="s">
        <v>7216</v>
      </c>
      <c r="E215" s="2" t="s">
        <v>7215</v>
      </c>
      <c r="F215" s="2" t="s">
        <v>7215</v>
      </c>
      <c r="G215" s="2">
        <v>255</v>
      </c>
    </row>
    <row r="216" spans="1:7" ht="15.75" customHeight="1">
      <c r="A216" s="2" t="s">
        <v>7174</v>
      </c>
      <c r="B216" s="2" t="s">
        <v>7175</v>
      </c>
      <c r="C216" s="2" t="s">
        <v>7483</v>
      </c>
      <c r="D216" s="2" t="s">
        <v>7259</v>
      </c>
      <c r="E216" s="2" t="s">
        <v>7215</v>
      </c>
      <c r="F216" s="2" t="s">
        <v>7215</v>
      </c>
      <c r="G216" s="2">
        <v>255</v>
      </c>
    </row>
    <row r="217" spans="1:7" ht="15.75" customHeight="1">
      <c r="A217" s="2" t="s">
        <v>7174</v>
      </c>
      <c r="B217" s="2" t="s">
        <v>7175</v>
      </c>
      <c r="C217" s="2" t="s">
        <v>7484</v>
      </c>
      <c r="D217" s="2" t="s">
        <v>7216</v>
      </c>
      <c r="E217" s="2" t="s">
        <v>7215</v>
      </c>
      <c r="F217" s="2" t="s">
        <v>7215</v>
      </c>
      <c r="G217" s="2">
        <v>255</v>
      </c>
    </row>
    <row r="218" spans="1:7" ht="15.75" customHeight="1">
      <c r="A218" s="2" t="s">
        <v>7174</v>
      </c>
      <c r="B218" s="2" t="s">
        <v>7175</v>
      </c>
      <c r="C218" s="2" t="s">
        <v>7485</v>
      </c>
      <c r="D218" s="2" t="s">
        <v>7216</v>
      </c>
      <c r="E218" s="2" t="s">
        <v>7215</v>
      </c>
      <c r="F218" s="2" t="s">
        <v>7215</v>
      </c>
      <c r="G218" s="2">
        <v>255</v>
      </c>
    </row>
    <row r="219" spans="1:7" ht="15.75" customHeight="1">
      <c r="A219" s="2" t="s">
        <v>7174</v>
      </c>
      <c r="B219" s="2" t="s">
        <v>7175</v>
      </c>
      <c r="C219" s="2" t="s">
        <v>7486</v>
      </c>
      <c r="D219" s="2" t="s">
        <v>7259</v>
      </c>
      <c r="E219" s="2" t="s">
        <v>7215</v>
      </c>
      <c r="F219" s="2" t="s">
        <v>7215</v>
      </c>
      <c r="G219" s="2">
        <v>255</v>
      </c>
    </row>
    <row r="220" spans="1:7" ht="15.75" customHeight="1">
      <c r="A220" s="2" t="s">
        <v>7174</v>
      </c>
      <c r="B220" s="2" t="s">
        <v>7175</v>
      </c>
      <c r="C220" s="2" t="s">
        <v>7487</v>
      </c>
      <c r="D220" s="2" t="s">
        <v>7259</v>
      </c>
      <c r="E220" s="2" t="s">
        <v>7215</v>
      </c>
      <c r="F220" s="2" t="s">
        <v>7215</v>
      </c>
      <c r="G220" s="2">
        <v>255</v>
      </c>
    </row>
    <row r="221" spans="1:7" ht="15.75" customHeight="1">
      <c r="A221" s="2" t="s">
        <v>7174</v>
      </c>
      <c r="B221" s="2" t="s">
        <v>7175</v>
      </c>
      <c r="C221" s="2" t="s">
        <v>7488</v>
      </c>
      <c r="D221" s="2" t="s">
        <v>7259</v>
      </c>
      <c r="E221" s="2" t="s">
        <v>7215</v>
      </c>
      <c r="F221" s="2" t="s">
        <v>7215</v>
      </c>
      <c r="G221" s="2">
        <v>255</v>
      </c>
    </row>
    <row r="222" spans="1:7" ht="15.75" customHeight="1">
      <c r="A222" s="2" t="s">
        <v>7174</v>
      </c>
      <c r="B222" s="2" t="s">
        <v>7175</v>
      </c>
      <c r="C222" s="2" t="s">
        <v>7489</v>
      </c>
      <c r="D222" s="2" t="s">
        <v>7259</v>
      </c>
      <c r="E222" s="2" t="s">
        <v>7215</v>
      </c>
      <c r="F222" s="2" t="s">
        <v>7215</v>
      </c>
      <c r="G222" s="2">
        <v>255</v>
      </c>
    </row>
    <row r="223" spans="1:7" ht="15.75" customHeight="1">
      <c r="A223" s="2" t="s">
        <v>7174</v>
      </c>
      <c r="B223" s="2" t="s">
        <v>7175</v>
      </c>
      <c r="C223" s="2" t="s">
        <v>7490</v>
      </c>
      <c r="D223" s="2" t="s">
        <v>7259</v>
      </c>
      <c r="E223" s="2" t="s">
        <v>7215</v>
      </c>
      <c r="F223" s="2" t="s">
        <v>7215</v>
      </c>
      <c r="G223" s="2">
        <v>255</v>
      </c>
    </row>
    <row r="224" spans="1:7" ht="15.75" customHeight="1">
      <c r="A224" s="2" t="s">
        <v>7174</v>
      </c>
      <c r="B224" s="2" t="s">
        <v>7175</v>
      </c>
      <c r="C224" s="2" t="s">
        <v>7491</v>
      </c>
      <c r="D224" s="2" t="s">
        <v>7259</v>
      </c>
      <c r="E224" s="2" t="s">
        <v>7215</v>
      </c>
      <c r="F224" s="2" t="s">
        <v>7215</v>
      </c>
      <c r="G224" s="2">
        <v>255</v>
      </c>
    </row>
    <row r="225" spans="1:7" ht="15.75" customHeight="1">
      <c r="A225" s="2" t="s">
        <v>7174</v>
      </c>
      <c r="B225" s="2" t="s">
        <v>7175</v>
      </c>
      <c r="C225" s="2" t="s">
        <v>7492</v>
      </c>
      <c r="D225" s="2" t="s">
        <v>7259</v>
      </c>
      <c r="E225" s="2" t="s">
        <v>7215</v>
      </c>
      <c r="F225" s="2" t="s">
        <v>7215</v>
      </c>
      <c r="G225" s="2">
        <v>255</v>
      </c>
    </row>
    <row r="226" spans="1:7" ht="15.75" customHeight="1">
      <c r="A226" s="2" t="s">
        <v>7174</v>
      </c>
      <c r="B226" s="2" t="s">
        <v>7175</v>
      </c>
      <c r="C226" s="2" t="s">
        <v>7493</v>
      </c>
      <c r="D226" s="2" t="s">
        <v>7259</v>
      </c>
      <c r="E226" s="2" t="s">
        <v>7215</v>
      </c>
      <c r="F226" s="2" t="s">
        <v>7215</v>
      </c>
      <c r="G226" s="2">
        <v>255</v>
      </c>
    </row>
    <row r="227" spans="1:7" ht="15.75" customHeight="1">
      <c r="A227" s="2" t="s">
        <v>7174</v>
      </c>
      <c r="B227" s="2" t="s">
        <v>7175</v>
      </c>
      <c r="C227" s="2" t="s">
        <v>7494</v>
      </c>
      <c r="D227" s="2" t="s">
        <v>7259</v>
      </c>
      <c r="E227" s="2" t="s">
        <v>7215</v>
      </c>
      <c r="F227" s="2" t="s">
        <v>7215</v>
      </c>
      <c r="G227" s="2">
        <v>255</v>
      </c>
    </row>
    <row r="228" spans="1:7" ht="15.75" customHeight="1">
      <c r="A228" s="2" t="s">
        <v>7174</v>
      </c>
      <c r="B228" s="2" t="s">
        <v>7175</v>
      </c>
      <c r="C228" s="2" t="s">
        <v>7495</v>
      </c>
      <c r="D228" s="2" t="s">
        <v>7259</v>
      </c>
      <c r="E228" s="2" t="s">
        <v>7215</v>
      </c>
      <c r="F228" s="2" t="s">
        <v>7215</v>
      </c>
      <c r="G228" s="2">
        <v>255</v>
      </c>
    </row>
    <row r="229" spans="1:7" ht="15.75" customHeight="1">
      <c r="A229" s="2" t="s">
        <v>7174</v>
      </c>
      <c r="B229" s="2" t="s">
        <v>7175</v>
      </c>
      <c r="C229" s="2" t="s">
        <v>7496</v>
      </c>
      <c r="D229" s="2" t="s">
        <v>7497</v>
      </c>
      <c r="E229" s="2" t="s">
        <v>7215</v>
      </c>
      <c r="F229" s="2" t="s">
        <v>7215</v>
      </c>
      <c r="G229" s="2">
        <v>15</v>
      </c>
    </row>
    <row r="230" spans="1:7" ht="15.75" customHeight="1">
      <c r="A230" s="2" t="s">
        <v>7174</v>
      </c>
      <c r="B230" s="2" t="s">
        <v>7175</v>
      </c>
      <c r="C230" s="2" t="s">
        <v>7498</v>
      </c>
      <c r="D230" s="2" t="s">
        <v>7499</v>
      </c>
      <c r="E230" s="2" t="s">
        <v>3897</v>
      </c>
      <c r="F230" s="2" t="s">
        <v>7210</v>
      </c>
      <c r="G230" s="2">
        <v>18</v>
      </c>
    </row>
    <row r="231" spans="1:7" ht="15.75" customHeight="1">
      <c r="A231" s="2" t="s">
        <v>7174</v>
      </c>
      <c r="B231" s="2" t="s">
        <v>7175</v>
      </c>
      <c r="C231" s="2" t="s">
        <v>7500</v>
      </c>
      <c r="D231" s="2" t="s">
        <v>7501</v>
      </c>
      <c r="E231" s="2" t="s">
        <v>7278</v>
      </c>
      <c r="F231" s="2" t="s">
        <v>7278</v>
      </c>
      <c r="G231" s="2">
        <v>0</v>
      </c>
    </row>
    <row r="232" spans="1:7" ht="15.75" customHeight="1">
      <c r="A232" s="2" t="s">
        <v>7174</v>
      </c>
      <c r="B232" s="2" t="s">
        <v>7175</v>
      </c>
      <c r="C232" s="2" t="s">
        <v>7502</v>
      </c>
      <c r="D232" s="2" t="s">
        <v>7501</v>
      </c>
      <c r="E232" s="2" t="s">
        <v>7278</v>
      </c>
      <c r="F232" s="2" t="s">
        <v>7278</v>
      </c>
      <c r="G232" s="2">
        <v>0</v>
      </c>
    </row>
    <row r="233" spans="1:7" ht="15.75" customHeight="1">
      <c r="A233" s="2" t="s">
        <v>7174</v>
      </c>
      <c r="B233" s="2" t="s">
        <v>7175</v>
      </c>
      <c r="C233" s="2" t="s">
        <v>7503</v>
      </c>
      <c r="D233" s="2" t="s">
        <v>7504</v>
      </c>
      <c r="E233" s="2" t="s">
        <v>7278</v>
      </c>
      <c r="F233" s="2" t="s">
        <v>7278</v>
      </c>
      <c r="G233" s="2">
        <v>0</v>
      </c>
    </row>
    <row r="234" spans="1:7" ht="15.75" customHeight="1">
      <c r="A234" s="2" t="s">
        <v>7174</v>
      </c>
      <c r="B234" s="2" t="s">
        <v>7175</v>
      </c>
      <c r="C234" s="2" t="s">
        <v>7505</v>
      </c>
      <c r="D234" s="2" t="s">
        <v>7504</v>
      </c>
      <c r="E234" s="2" t="s">
        <v>7278</v>
      </c>
      <c r="F234" s="2" t="s">
        <v>7278</v>
      </c>
      <c r="G234" s="2">
        <v>0</v>
      </c>
    </row>
    <row r="235" spans="1:7" ht="15.75" customHeight="1">
      <c r="A235" s="2" t="s">
        <v>7174</v>
      </c>
      <c r="B235" s="2" t="s">
        <v>7175</v>
      </c>
      <c r="C235" s="2" t="s">
        <v>7506</v>
      </c>
      <c r="D235" s="2" t="s">
        <v>7501</v>
      </c>
      <c r="E235" s="2" t="s">
        <v>7278</v>
      </c>
      <c r="F235" s="2" t="s">
        <v>7278</v>
      </c>
      <c r="G235" s="2">
        <v>0</v>
      </c>
    </row>
    <row r="236" spans="1:7" ht="15.75" customHeight="1">
      <c r="A236" s="2" t="s">
        <v>7174</v>
      </c>
      <c r="B236" s="2" t="s">
        <v>7175</v>
      </c>
      <c r="C236" s="2" t="s">
        <v>7507</v>
      </c>
      <c r="D236" s="2" t="s">
        <v>7259</v>
      </c>
      <c r="E236" s="2" t="s">
        <v>7215</v>
      </c>
      <c r="F236" s="2" t="s">
        <v>7215</v>
      </c>
      <c r="G236" s="2">
        <v>255</v>
      </c>
    </row>
    <row r="237" spans="1:7" ht="15.75" customHeight="1">
      <c r="A237" s="2" t="s">
        <v>7174</v>
      </c>
      <c r="B237" s="2" t="s">
        <v>7175</v>
      </c>
      <c r="C237" s="2" t="s">
        <v>7508</v>
      </c>
      <c r="D237" s="2" t="s">
        <v>7501</v>
      </c>
      <c r="E237" s="2" t="s">
        <v>7278</v>
      </c>
      <c r="F237" s="2" t="s">
        <v>7278</v>
      </c>
      <c r="G237" s="2">
        <v>0</v>
      </c>
    </row>
    <row r="238" spans="1:7" ht="15.75" customHeight="1">
      <c r="A238" s="2" t="s">
        <v>7174</v>
      </c>
      <c r="B238" s="2" t="s">
        <v>7175</v>
      </c>
      <c r="C238" s="2" t="s">
        <v>7509</v>
      </c>
      <c r="D238" s="2" t="s">
        <v>7501</v>
      </c>
      <c r="E238" s="2" t="s">
        <v>7278</v>
      </c>
      <c r="F238" s="2" t="s">
        <v>7278</v>
      </c>
      <c r="G238" s="2">
        <v>0</v>
      </c>
    </row>
    <row r="239" spans="1:7" ht="15.75" customHeight="1">
      <c r="A239" s="2" t="s">
        <v>7174</v>
      </c>
      <c r="B239" s="2" t="s">
        <v>7175</v>
      </c>
      <c r="C239" s="2" t="s">
        <v>7510</v>
      </c>
      <c r="D239" s="2" t="s">
        <v>7282</v>
      </c>
      <c r="E239" s="2" t="s">
        <v>7215</v>
      </c>
      <c r="F239" s="2" t="s">
        <v>7215</v>
      </c>
      <c r="G239" s="2">
        <v>100</v>
      </c>
    </row>
    <row r="240" spans="1:7" ht="15.75" customHeight="1">
      <c r="A240" s="2" t="s">
        <v>7174</v>
      </c>
      <c r="B240" s="2" t="s">
        <v>7175</v>
      </c>
      <c r="C240" s="2" t="s">
        <v>7511</v>
      </c>
      <c r="D240" s="2" t="s">
        <v>7512</v>
      </c>
      <c r="E240" s="2" t="s">
        <v>7278</v>
      </c>
      <c r="F240" s="2" t="s">
        <v>7278</v>
      </c>
      <c r="G240" s="2">
        <v>0</v>
      </c>
    </row>
    <row r="241" spans="1:7" ht="15.75" customHeight="1">
      <c r="A241" s="2" t="s">
        <v>7174</v>
      </c>
      <c r="B241" s="2" t="s">
        <v>7175</v>
      </c>
      <c r="C241" s="2" t="s">
        <v>7513</v>
      </c>
      <c r="D241" s="2" t="s">
        <v>7512</v>
      </c>
      <c r="E241" s="2" t="s">
        <v>7278</v>
      </c>
      <c r="F241" s="2" t="s">
        <v>7278</v>
      </c>
      <c r="G241" s="2">
        <v>0</v>
      </c>
    </row>
    <row r="242" spans="1:7" ht="15.75" customHeight="1">
      <c r="A242" s="2" t="s">
        <v>7174</v>
      </c>
      <c r="B242" s="2" t="s">
        <v>7175</v>
      </c>
      <c r="C242" s="2" t="s">
        <v>7514</v>
      </c>
      <c r="D242" s="2" t="s">
        <v>7515</v>
      </c>
      <c r="E242" s="2" t="s">
        <v>7278</v>
      </c>
      <c r="F242" s="2" t="s">
        <v>7278</v>
      </c>
      <c r="G242" s="2">
        <v>0</v>
      </c>
    </row>
    <row r="243" spans="1:7" ht="15.75" customHeight="1">
      <c r="A243" s="2" t="s">
        <v>7174</v>
      </c>
      <c r="B243" s="2" t="s">
        <v>7175</v>
      </c>
      <c r="C243" s="2" t="s">
        <v>7516</v>
      </c>
      <c r="D243" s="2" t="s">
        <v>7314</v>
      </c>
      <c r="E243" s="2" t="s">
        <v>7215</v>
      </c>
      <c r="F243" s="2" t="s">
        <v>7215</v>
      </c>
      <c r="G243" s="2">
        <v>32768</v>
      </c>
    </row>
    <row r="244" spans="1:7" ht="15.75" customHeight="1">
      <c r="A244" s="2" t="s">
        <v>7174</v>
      </c>
      <c r="B244" s="2" t="s">
        <v>7175</v>
      </c>
      <c r="C244" s="2" t="s">
        <v>7517</v>
      </c>
      <c r="D244" s="2" t="s">
        <v>7259</v>
      </c>
      <c r="E244" s="2" t="s">
        <v>7215</v>
      </c>
      <c r="F244" s="2" t="s">
        <v>7215</v>
      </c>
      <c r="G244" s="2">
        <v>255</v>
      </c>
    </row>
    <row r="245" spans="1:7" ht="15.75" customHeight="1">
      <c r="A245" s="2" t="s">
        <v>7174</v>
      </c>
      <c r="B245" s="2" t="s">
        <v>7175</v>
      </c>
      <c r="C245" s="2" t="s">
        <v>7518</v>
      </c>
      <c r="D245" s="2" t="s">
        <v>7259</v>
      </c>
      <c r="E245" s="2" t="s">
        <v>7215</v>
      </c>
      <c r="F245" s="2" t="s">
        <v>7215</v>
      </c>
      <c r="G245" s="2">
        <v>255</v>
      </c>
    </row>
    <row r="246" spans="1:7" ht="15.75" customHeight="1">
      <c r="A246" s="2" t="s">
        <v>7174</v>
      </c>
      <c r="B246" s="2" t="s">
        <v>7175</v>
      </c>
      <c r="C246" s="2" t="s">
        <v>7519</v>
      </c>
      <c r="D246" s="2" t="s">
        <v>7216</v>
      </c>
      <c r="E246" s="2" t="s">
        <v>7215</v>
      </c>
      <c r="F246" s="2" t="s">
        <v>7215</v>
      </c>
      <c r="G246" s="2">
        <v>255</v>
      </c>
    </row>
    <row r="247" spans="1:7" ht="15.75" customHeight="1">
      <c r="A247" s="2" t="s">
        <v>7174</v>
      </c>
      <c r="B247" s="2" t="s">
        <v>7175</v>
      </c>
      <c r="C247" s="2" t="s">
        <v>7520</v>
      </c>
      <c r="D247" s="2" t="s">
        <v>7521</v>
      </c>
      <c r="E247" s="2" t="s">
        <v>7215</v>
      </c>
      <c r="F247" s="2" t="s">
        <v>7215</v>
      </c>
      <c r="G247" s="2">
        <v>255</v>
      </c>
    </row>
    <row r="248" spans="1:7" ht="15.75" customHeight="1">
      <c r="A248" s="2" t="s">
        <v>7174</v>
      </c>
      <c r="B248" s="2" t="s">
        <v>7175</v>
      </c>
      <c r="C248" s="2" t="s">
        <v>7522</v>
      </c>
      <c r="D248" s="2" t="s">
        <v>7270</v>
      </c>
      <c r="E248" s="2" t="s">
        <v>7215</v>
      </c>
      <c r="F248" s="2" t="s">
        <v>7215</v>
      </c>
      <c r="G248" s="2">
        <v>32768</v>
      </c>
    </row>
    <row r="249" spans="1:7" ht="15.75" customHeight="1">
      <c r="A249" s="2" t="s">
        <v>7174</v>
      </c>
      <c r="B249" s="2" t="s">
        <v>7175</v>
      </c>
      <c r="C249" s="2" t="s">
        <v>7523</v>
      </c>
      <c r="D249" s="2" t="s">
        <v>7259</v>
      </c>
      <c r="E249" s="2" t="s">
        <v>7215</v>
      </c>
      <c r="F249" s="2" t="s">
        <v>7215</v>
      </c>
      <c r="G249" s="2">
        <v>255</v>
      </c>
    </row>
    <row r="250" spans="1:7" ht="15.75" customHeight="1">
      <c r="A250" s="2" t="s">
        <v>7174</v>
      </c>
      <c r="B250" s="2" t="s">
        <v>7175</v>
      </c>
      <c r="C250" s="2" t="s">
        <v>7524</v>
      </c>
      <c r="D250" s="2" t="s">
        <v>7259</v>
      </c>
      <c r="E250" s="2" t="s">
        <v>7215</v>
      </c>
      <c r="F250" s="2" t="s">
        <v>7215</v>
      </c>
      <c r="G250" s="2">
        <v>255</v>
      </c>
    </row>
    <row r="251" spans="1:7" ht="15.75" customHeight="1">
      <c r="A251" s="2" t="s">
        <v>7174</v>
      </c>
      <c r="B251" s="2" t="s">
        <v>7175</v>
      </c>
      <c r="C251" s="2" t="s">
        <v>7525</v>
      </c>
      <c r="D251" s="2" t="s">
        <v>7216</v>
      </c>
      <c r="E251" s="2" t="s">
        <v>7215</v>
      </c>
      <c r="F251" s="2" t="s">
        <v>7215</v>
      </c>
      <c r="G251" s="2">
        <v>255</v>
      </c>
    </row>
    <row r="252" spans="1:7" ht="15.75" customHeight="1">
      <c r="A252" s="2" t="s">
        <v>7174</v>
      </c>
      <c r="B252" s="2" t="s">
        <v>7175</v>
      </c>
      <c r="C252" s="2" t="s">
        <v>7526</v>
      </c>
      <c r="D252" s="2" t="s">
        <v>7521</v>
      </c>
      <c r="E252" s="2" t="s">
        <v>7215</v>
      </c>
      <c r="F252" s="2" t="s">
        <v>7215</v>
      </c>
      <c r="G252" s="2">
        <v>255</v>
      </c>
    </row>
    <row r="253" spans="1:7" ht="15.75" customHeight="1">
      <c r="A253" s="2" t="s">
        <v>7174</v>
      </c>
      <c r="B253" s="2" t="s">
        <v>7175</v>
      </c>
      <c r="C253" s="2" t="s">
        <v>7527</v>
      </c>
      <c r="D253" s="2" t="s">
        <v>7235</v>
      </c>
      <c r="E253" s="2" t="s">
        <v>538</v>
      </c>
      <c r="F253" s="2" t="s">
        <v>538</v>
      </c>
      <c r="G253" s="2">
        <v>0</v>
      </c>
    </row>
    <row r="254" spans="1:7" ht="15.75" customHeight="1">
      <c r="A254" s="2" t="s">
        <v>7174</v>
      </c>
      <c r="B254" s="2" t="s">
        <v>7175</v>
      </c>
      <c r="C254" s="2" t="s">
        <v>7528</v>
      </c>
      <c r="D254" s="2" t="s">
        <v>7216</v>
      </c>
      <c r="E254" s="2" t="s">
        <v>7215</v>
      </c>
      <c r="F254" s="2" t="s">
        <v>7215</v>
      </c>
      <c r="G254" s="2">
        <v>255</v>
      </c>
    </row>
    <row r="255" spans="1:7" ht="15.75" customHeight="1">
      <c r="A255" s="2" t="s">
        <v>7174</v>
      </c>
      <c r="B255" s="2" t="s">
        <v>7175</v>
      </c>
      <c r="C255" s="2" t="s">
        <v>7529</v>
      </c>
      <c r="D255" s="2" t="s">
        <v>7216</v>
      </c>
      <c r="E255" s="2" t="s">
        <v>7215</v>
      </c>
      <c r="F255" s="2" t="s">
        <v>7215</v>
      </c>
      <c r="G255" s="2">
        <v>255</v>
      </c>
    </row>
    <row r="256" spans="1:7" ht="15.75" customHeight="1">
      <c r="A256" s="2" t="s">
        <v>7174</v>
      </c>
      <c r="B256" s="2" t="s">
        <v>7175</v>
      </c>
      <c r="C256" s="2" t="s">
        <v>7530</v>
      </c>
      <c r="D256" s="2" t="s">
        <v>7216</v>
      </c>
      <c r="E256" s="2" t="s">
        <v>7215</v>
      </c>
      <c r="F256" s="2" t="s">
        <v>7215</v>
      </c>
      <c r="G256" s="2">
        <v>255</v>
      </c>
    </row>
    <row r="257" spans="1:7" ht="15.75" customHeight="1">
      <c r="A257" s="2" t="s">
        <v>7174</v>
      </c>
      <c r="B257" s="2" t="s">
        <v>7175</v>
      </c>
      <c r="C257" s="2" t="s">
        <v>7531</v>
      </c>
      <c r="D257" s="2" t="s">
        <v>7216</v>
      </c>
      <c r="E257" s="2" t="s">
        <v>7215</v>
      </c>
      <c r="F257" s="2" t="s">
        <v>7215</v>
      </c>
      <c r="G257" s="2">
        <v>255</v>
      </c>
    </row>
    <row r="258" spans="1:7" ht="15.75" customHeight="1">
      <c r="A258" s="2" t="s">
        <v>7174</v>
      </c>
      <c r="B258" s="2" t="s">
        <v>7175</v>
      </c>
      <c r="C258" s="2" t="s">
        <v>7532</v>
      </c>
      <c r="D258" s="2" t="s">
        <v>7216</v>
      </c>
      <c r="E258" s="2" t="s">
        <v>7215</v>
      </c>
      <c r="F258" s="2" t="s">
        <v>7215</v>
      </c>
      <c r="G258" s="2">
        <v>255</v>
      </c>
    </row>
    <row r="259" spans="1:7" ht="15.75" customHeight="1">
      <c r="A259" s="2" t="s">
        <v>7174</v>
      </c>
      <c r="B259" s="2" t="s">
        <v>7175</v>
      </c>
      <c r="C259" s="2" t="s">
        <v>7533</v>
      </c>
      <c r="D259" s="2" t="s">
        <v>7216</v>
      </c>
      <c r="E259" s="2" t="s">
        <v>7215</v>
      </c>
      <c r="F259" s="2" t="s">
        <v>7215</v>
      </c>
      <c r="G259" s="2">
        <v>255</v>
      </c>
    </row>
    <row r="260" spans="1:7" ht="15.75" customHeight="1">
      <c r="A260" s="2" t="s">
        <v>7174</v>
      </c>
      <c r="B260" s="2" t="s">
        <v>7175</v>
      </c>
      <c r="C260" s="2" t="s">
        <v>7534</v>
      </c>
      <c r="D260" s="2" t="s">
        <v>7216</v>
      </c>
      <c r="E260" s="2" t="s">
        <v>7215</v>
      </c>
      <c r="F260" s="2" t="s">
        <v>7215</v>
      </c>
      <c r="G260" s="2">
        <v>255</v>
      </c>
    </row>
    <row r="261" spans="1:7" ht="15.75" customHeight="1">
      <c r="A261" s="2" t="s">
        <v>7174</v>
      </c>
      <c r="B261" s="2" t="s">
        <v>7175</v>
      </c>
      <c r="C261" s="2" t="s">
        <v>7535</v>
      </c>
      <c r="D261" s="2" t="s">
        <v>7216</v>
      </c>
      <c r="E261" s="2" t="s">
        <v>7215</v>
      </c>
      <c r="F261" s="2" t="s">
        <v>7215</v>
      </c>
      <c r="G261" s="2">
        <v>255</v>
      </c>
    </row>
    <row r="262" spans="1:7" ht="15.75" customHeight="1">
      <c r="A262" s="2" t="s">
        <v>7174</v>
      </c>
      <c r="B262" s="2" t="s">
        <v>7175</v>
      </c>
      <c r="C262" s="2" t="s">
        <v>7536</v>
      </c>
      <c r="D262" s="2" t="s">
        <v>7216</v>
      </c>
      <c r="E262" s="2" t="s">
        <v>7215</v>
      </c>
      <c r="F262" s="2" t="s">
        <v>7215</v>
      </c>
      <c r="G262" s="2">
        <v>255</v>
      </c>
    </row>
    <row r="263" spans="1:7" ht="15.75" customHeight="1">
      <c r="A263" s="2" t="s">
        <v>7174</v>
      </c>
      <c r="B263" s="2" t="s">
        <v>7175</v>
      </c>
      <c r="C263" s="2" t="s">
        <v>7537</v>
      </c>
      <c r="D263" s="2" t="s">
        <v>7538</v>
      </c>
      <c r="E263" s="2" t="s">
        <v>7215</v>
      </c>
      <c r="F263" s="2" t="s">
        <v>7215</v>
      </c>
      <c r="G263" s="2">
        <v>3000</v>
      </c>
    </row>
    <row r="264" spans="1:7" ht="15.75" customHeight="1">
      <c r="A264" s="2" t="s">
        <v>7174</v>
      </c>
      <c r="B264" s="2" t="s">
        <v>7175</v>
      </c>
      <c r="C264" s="2" t="s">
        <v>7539</v>
      </c>
      <c r="D264" s="2" t="s">
        <v>7224</v>
      </c>
      <c r="E264" s="2" t="s">
        <v>7215</v>
      </c>
      <c r="F264" s="2" t="s">
        <v>7215</v>
      </c>
      <c r="G264" s="2">
        <v>40</v>
      </c>
    </row>
    <row r="265" spans="1:7" ht="15.75" customHeight="1">
      <c r="A265" s="2" t="s">
        <v>7174</v>
      </c>
      <c r="B265" s="2" t="s">
        <v>7175</v>
      </c>
      <c r="C265" s="2" t="s">
        <v>7540</v>
      </c>
      <c r="D265" s="2" t="s">
        <v>7259</v>
      </c>
      <c r="E265" s="2" t="s">
        <v>7215</v>
      </c>
      <c r="F265" s="2" t="s">
        <v>7215</v>
      </c>
      <c r="G265" s="2">
        <v>255</v>
      </c>
    </row>
    <row r="266" spans="1:7" ht="15.75" customHeight="1">
      <c r="A266" s="2" t="s">
        <v>7174</v>
      </c>
      <c r="B266" s="2" t="s">
        <v>7175</v>
      </c>
      <c r="C266" s="2" t="s">
        <v>7541</v>
      </c>
      <c r="D266" s="2" t="s">
        <v>7497</v>
      </c>
      <c r="E266" s="2" t="s">
        <v>7215</v>
      </c>
      <c r="F266" s="2" t="s">
        <v>7215</v>
      </c>
      <c r="G266" s="2">
        <v>15</v>
      </c>
    </row>
    <row r="267" spans="1:7" ht="15.75" customHeight="1">
      <c r="A267" s="2" t="s">
        <v>7174</v>
      </c>
      <c r="B267" s="2" t="s">
        <v>7175</v>
      </c>
      <c r="C267" s="2" t="s">
        <v>7542</v>
      </c>
      <c r="D267" s="2" t="s">
        <v>7354</v>
      </c>
      <c r="E267" s="2" t="s">
        <v>7215</v>
      </c>
      <c r="F267" s="2" t="s">
        <v>7215</v>
      </c>
      <c r="G267" s="2">
        <v>50</v>
      </c>
    </row>
    <row r="268" spans="1:7" ht="15.75" customHeight="1">
      <c r="A268" s="2" t="s">
        <v>7174</v>
      </c>
      <c r="B268" s="2" t="s">
        <v>7175</v>
      </c>
      <c r="C268" s="2" t="s">
        <v>7543</v>
      </c>
      <c r="D268" s="2" t="s">
        <v>7259</v>
      </c>
      <c r="E268" s="2" t="s">
        <v>7215</v>
      </c>
      <c r="F268" s="2" t="s">
        <v>7215</v>
      </c>
      <c r="G268" s="2">
        <v>255</v>
      </c>
    </row>
    <row r="269" spans="1:7" ht="15.75" customHeight="1">
      <c r="A269" s="2" t="s">
        <v>7174</v>
      </c>
      <c r="B269" s="2" t="s">
        <v>7175</v>
      </c>
      <c r="C269" s="2" t="s">
        <v>7544</v>
      </c>
      <c r="D269" s="2" t="s">
        <v>7216</v>
      </c>
      <c r="E269" s="2" t="s">
        <v>7215</v>
      </c>
      <c r="F269" s="2" t="s">
        <v>7215</v>
      </c>
      <c r="G269" s="2">
        <v>255</v>
      </c>
    </row>
    <row r="270" spans="1:7" ht="15.75" customHeight="1">
      <c r="A270" s="2" t="s">
        <v>7174</v>
      </c>
      <c r="B270" s="2" t="s">
        <v>7175</v>
      </c>
      <c r="C270" s="2" t="s">
        <v>7545</v>
      </c>
      <c r="D270" s="2" t="s">
        <v>7259</v>
      </c>
      <c r="E270" s="2" t="s">
        <v>7215</v>
      </c>
      <c r="F270" s="2" t="s">
        <v>7215</v>
      </c>
      <c r="G270" s="2">
        <v>255</v>
      </c>
    </row>
    <row r="271" spans="1:7" ht="15.75" customHeight="1">
      <c r="A271" s="2" t="s">
        <v>7174</v>
      </c>
      <c r="B271" s="2" t="s">
        <v>7175</v>
      </c>
      <c r="C271" s="2" t="s">
        <v>7546</v>
      </c>
      <c r="D271" s="2" t="s">
        <v>7216</v>
      </c>
      <c r="E271" s="2" t="s">
        <v>7215</v>
      </c>
      <c r="F271" s="2" t="s">
        <v>7215</v>
      </c>
      <c r="G271" s="2">
        <v>255</v>
      </c>
    </row>
    <row r="272" spans="1:7" ht="15.75" customHeight="1">
      <c r="A272" s="2" t="s">
        <v>7174</v>
      </c>
      <c r="B272" s="2" t="s">
        <v>7175</v>
      </c>
      <c r="C272" s="2" t="s">
        <v>7547</v>
      </c>
      <c r="D272" s="2" t="s">
        <v>7212</v>
      </c>
      <c r="E272" s="2" t="s">
        <v>5672</v>
      </c>
      <c r="F272" s="2" t="s">
        <v>5672</v>
      </c>
      <c r="G272" s="2">
        <v>0</v>
      </c>
    </row>
    <row r="273" spans="1:7" ht="15.75" customHeight="1">
      <c r="A273" s="2" t="s">
        <v>7174</v>
      </c>
      <c r="B273" s="2" t="s">
        <v>7175</v>
      </c>
      <c r="C273" s="2" t="s">
        <v>7548</v>
      </c>
      <c r="D273" s="2" t="s">
        <v>7224</v>
      </c>
      <c r="E273" s="2" t="s">
        <v>7215</v>
      </c>
      <c r="F273" s="2" t="s">
        <v>7215</v>
      </c>
      <c r="G273" s="2">
        <v>40</v>
      </c>
    </row>
    <row r="274" spans="1:7" ht="15.75" customHeight="1">
      <c r="A274" s="2" t="s">
        <v>7174</v>
      </c>
      <c r="B274" s="2" t="s">
        <v>7175</v>
      </c>
      <c r="C274" s="2" t="s">
        <v>7549</v>
      </c>
      <c r="D274" s="2" t="s">
        <v>7224</v>
      </c>
      <c r="E274" s="2" t="s">
        <v>7215</v>
      </c>
      <c r="F274" s="2" t="s">
        <v>7215</v>
      </c>
      <c r="G274" s="2">
        <v>40</v>
      </c>
    </row>
    <row r="275" spans="1:7" ht="15.75" customHeight="1">
      <c r="A275" s="2" t="s">
        <v>7174</v>
      </c>
      <c r="B275" s="2" t="s">
        <v>7175</v>
      </c>
      <c r="C275" s="2" t="s">
        <v>7550</v>
      </c>
      <c r="D275" s="2" t="s">
        <v>7224</v>
      </c>
      <c r="E275" s="2" t="s">
        <v>7215</v>
      </c>
      <c r="F275" s="2" t="s">
        <v>7215</v>
      </c>
      <c r="G275" s="2">
        <v>40</v>
      </c>
    </row>
    <row r="276" spans="1:7" ht="15.75" customHeight="1">
      <c r="A276" s="2" t="s">
        <v>7174</v>
      </c>
      <c r="B276" s="2" t="s">
        <v>7175</v>
      </c>
      <c r="C276" s="2" t="s">
        <v>7551</v>
      </c>
      <c r="D276" s="2" t="s">
        <v>7224</v>
      </c>
      <c r="E276" s="2" t="s">
        <v>7215</v>
      </c>
      <c r="F276" s="2" t="s">
        <v>7215</v>
      </c>
      <c r="G276" s="2">
        <v>40</v>
      </c>
    </row>
    <row r="277" spans="1:7" ht="15.75" customHeight="1">
      <c r="A277" s="2" t="s">
        <v>7174</v>
      </c>
      <c r="B277" s="2" t="s">
        <v>7175</v>
      </c>
      <c r="C277" s="2" t="s">
        <v>7552</v>
      </c>
      <c r="D277" s="2" t="s">
        <v>7284</v>
      </c>
      <c r="E277" s="2" t="s">
        <v>7215</v>
      </c>
      <c r="F277" s="2" t="s">
        <v>7215</v>
      </c>
      <c r="G277" s="2">
        <v>1300</v>
      </c>
    </row>
    <row r="278" spans="1:7" ht="15.75" customHeight="1">
      <c r="A278" s="2" t="s">
        <v>7174</v>
      </c>
      <c r="B278" s="2" t="s">
        <v>7175</v>
      </c>
      <c r="C278" s="2" t="s">
        <v>7553</v>
      </c>
      <c r="D278" s="2" t="s">
        <v>7224</v>
      </c>
      <c r="E278" s="2" t="s">
        <v>7215</v>
      </c>
      <c r="F278" s="2" t="s">
        <v>7215</v>
      </c>
      <c r="G278" s="2">
        <v>40</v>
      </c>
    </row>
    <row r="279" spans="1:7" ht="15.75" customHeight="1">
      <c r="A279" s="2" t="s">
        <v>7174</v>
      </c>
      <c r="B279" s="2" t="s">
        <v>7175</v>
      </c>
      <c r="C279" s="2" t="s">
        <v>7554</v>
      </c>
      <c r="D279" s="2" t="s">
        <v>7224</v>
      </c>
      <c r="E279" s="2" t="s">
        <v>7215</v>
      </c>
      <c r="F279" s="2" t="s">
        <v>7215</v>
      </c>
      <c r="G279" s="2">
        <v>40</v>
      </c>
    </row>
    <row r="280" spans="1:7" ht="15.75" customHeight="1">
      <c r="A280" s="2" t="s">
        <v>7174</v>
      </c>
      <c r="B280" s="2" t="s">
        <v>7175</v>
      </c>
      <c r="C280" s="2" t="s">
        <v>7555</v>
      </c>
      <c r="D280" s="2" t="s">
        <v>7224</v>
      </c>
      <c r="E280" s="2" t="s">
        <v>7215</v>
      </c>
      <c r="F280" s="2" t="s">
        <v>7215</v>
      </c>
      <c r="G280" s="2">
        <v>40</v>
      </c>
    </row>
    <row r="281" spans="1:7" ht="15.75" customHeight="1">
      <c r="A281" s="2" t="s">
        <v>7174</v>
      </c>
      <c r="B281" s="2" t="s">
        <v>7175</v>
      </c>
      <c r="C281" s="2" t="s">
        <v>7556</v>
      </c>
      <c r="D281" s="2" t="s">
        <v>7224</v>
      </c>
      <c r="E281" s="2" t="s">
        <v>7215</v>
      </c>
      <c r="F281" s="2" t="s">
        <v>7215</v>
      </c>
      <c r="G281" s="2">
        <v>40</v>
      </c>
    </row>
    <row r="282" spans="1:7" ht="15.75" customHeight="1">
      <c r="A282" s="2" t="s">
        <v>7174</v>
      </c>
      <c r="B282" s="2" t="s">
        <v>7175</v>
      </c>
      <c r="C282" s="2" t="s">
        <v>7557</v>
      </c>
      <c r="D282" s="2" t="s">
        <v>7224</v>
      </c>
      <c r="E282" s="2" t="s">
        <v>7215</v>
      </c>
      <c r="F282" s="2" t="s">
        <v>7215</v>
      </c>
      <c r="G282" s="2">
        <v>40</v>
      </c>
    </row>
    <row r="283" spans="1:7" ht="15.75" customHeight="1">
      <c r="A283" s="2" t="s">
        <v>7174</v>
      </c>
      <c r="B283" s="2" t="s">
        <v>7175</v>
      </c>
      <c r="C283" s="2" t="s">
        <v>7558</v>
      </c>
      <c r="D283" s="2" t="s">
        <v>7559</v>
      </c>
      <c r="E283" s="2" t="s">
        <v>7215</v>
      </c>
      <c r="F283" s="2" t="s">
        <v>7215</v>
      </c>
      <c r="G283" s="2">
        <v>30</v>
      </c>
    </row>
    <row r="284" spans="1:7" ht="15.75" customHeight="1">
      <c r="A284" s="2" t="s">
        <v>7174</v>
      </c>
      <c r="B284" s="2" t="s">
        <v>7175</v>
      </c>
      <c r="C284" s="2" t="s">
        <v>7560</v>
      </c>
      <c r="D284" s="2" t="s">
        <v>7284</v>
      </c>
      <c r="E284" s="2" t="s">
        <v>7215</v>
      </c>
      <c r="F284" s="2" t="s">
        <v>7215</v>
      </c>
      <c r="G284" s="2">
        <v>1300</v>
      </c>
    </row>
    <row r="285" spans="1:7" ht="15.75" customHeight="1">
      <c r="A285" s="2" t="s">
        <v>7174</v>
      </c>
      <c r="B285" s="2" t="s">
        <v>7175</v>
      </c>
      <c r="C285" s="2" t="s">
        <v>7561</v>
      </c>
      <c r="D285" s="2" t="s">
        <v>7284</v>
      </c>
      <c r="E285" s="2" t="s">
        <v>7215</v>
      </c>
      <c r="F285" s="2" t="s">
        <v>7215</v>
      </c>
      <c r="G285" s="2">
        <v>1300</v>
      </c>
    </row>
    <row r="286" spans="1:7" ht="15.75" customHeight="1">
      <c r="A286" s="2" t="s">
        <v>7174</v>
      </c>
      <c r="B286" s="2" t="s">
        <v>7175</v>
      </c>
      <c r="C286" s="2" t="s">
        <v>7562</v>
      </c>
      <c r="D286" s="2" t="s">
        <v>7450</v>
      </c>
      <c r="E286" s="2" t="s">
        <v>7215</v>
      </c>
      <c r="F286" s="2" t="s">
        <v>7215</v>
      </c>
      <c r="G286" s="2">
        <v>200</v>
      </c>
    </row>
    <row r="287" spans="1:7" ht="15.75" customHeight="1">
      <c r="A287" s="2" t="s">
        <v>7174</v>
      </c>
      <c r="B287" s="2" t="s">
        <v>7175</v>
      </c>
      <c r="C287" s="2" t="s">
        <v>7563</v>
      </c>
      <c r="D287" s="2" t="s">
        <v>7347</v>
      </c>
      <c r="E287" s="2" t="s">
        <v>7215</v>
      </c>
      <c r="F287" s="2" t="s">
        <v>7215</v>
      </c>
      <c r="G287" s="2">
        <v>10</v>
      </c>
    </row>
    <row r="288" spans="1:7" ht="15.75" customHeight="1">
      <c r="A288" s="2" t="s">
        <v>7174</v>
      </c>
      <c r="B288" s="2" t="s">
        <v>7175</v>
      </c>
      <c r="C288" s="2" t="s">
        <v>7564</v>
      </c>
      <c r="D288" s="2" t="s">
        <v>7264</v>
      </c>
      <c r="E288" s="2" t="s">
        <v>7215</v>
      </c>
      <c r="F288" s="2" t="s">
        <v>7215</v>
      </c>
      <c r="G288" s="2">
        <v>20</v>
      </c>
    </row>
    <row r="289" spans="1:7" ht="15.75" customHeight="1">
      <c r="A289" s="2" t="s">
        <v>7174</v>
      </c>
      <c r="B289" s="2" t="s">
        <v>7175</v>
      </c>
      <c r="C289" s="2" t="s">
        <v>7565</v>
      </c>
      <c r="D289" s="2" t="s">
        <v>7264</v>
      </c>
      <c r="E289" s="2" t="s">
        <v>7215</v>
      </c>
      <c r="F289" s="2" t="s">
        <v>7215</v>
      </c>
      <c r="G289" s="2">
        <v>20</v>
      </c>
    </row>
    <row r="290" spans="1:7" ht="15.75" customHeight="1">
      <c r="A290" s="2" t="s">
        <v>7174</v>
      </c>
      <c r="B290" s="2" t="s">
        <v>7175</v>
      </c>
      <c r="C290" s="2" t="s">
        <v>7566</v>
      </c>
      <c r="D290" s="2" t="s">
        <v>7354</v>
      </c>
      <c r="E290" s="2" t="s">
        <v>7215</v>
      </c>
      <c r="F290" s="2" t="s">
        <v>7215</v>
      </c>
      <c r="G290" s="2">
        <v>50</v>
      </c>
    </row>
    <row r="291" spans="1:7" ht="15.75" customHeight="1">
      <c r="A291" s="2" t="s">
        <v>7174</v>
      </c>
      <c r="B291" s="2" t="s">
        <v>7175</v>
      </c>
      <c r="C291" s="2" t="s">
        <v>7567</v>
      </c>
      <c r="D291" s="2" t="s">
        <v>7264</v>
      </c>
      <c r="E291" s="2" t="s">
        <v>7215</v>
      </c>
      <c r="F291" s="2" t="s">
        <v>7215</v>
      </c>
      <c r="G291" s="2">
        <v>20</v>
      </c>
    </row>
    <row r="292" spans="1:7" ht="15.75" customHeight="1">
      <c r="A292" s="2" t="s">
        <v>7174</v>
      </c>
      <c r="B292" s="2" t="s">
        <v>7175</v>
      </c>
      <c r="C292" s="2" t="s">
        <v>7568</v>
      </c>
      <c r="D292" s="2" t="s">
        <v>7264</v>
      </c>
      <c r="E292" s="2" t="s">
        <v>7215</v>
      </c>
      <c r="F292" s="2" t="s">
        <v>7215</v>
      </c>
      <c r="G292" s="2">
        <v>20</v>
      </c>
    </row>
    <row r="293" spans="1:7" ht="15.75" customHeight="1">
      <c r="A293" s="2" t="s">
        <v>7174</v>
      </c>
      <c r="B293" s="2" t="s">
        <v>7175</v>
      </c>
      <c r="C293" s="2" t="s">
        <v>7569</v>
      </c>
      <c r="D293" s="2" t="s">
        <v>7354</v>
      </c>
      <c r="E293" s="2" t="s">
        <v>7215</v>
      </c>
      <c r="F293" s="2" t="s">
        <v>7215</v>
      </c>
      <c r="G293" s="2">
        <v>50</v>
      </c>
    </row>
    <row r="294" spans="1:7" ht="15.75" customHeight="1">
      <c r="A294" s="2" t="s">
        <v>7174</v>
      </c>
      <c r="B294" s="2" t="s">
        <v>7175</v>
      </c>
      <c r="C294" s="2" t="s">
        <v>7570</v>
      </c>
      <c r="D294" s="2" t="s">
        <v>7284</v>
      </c>
      <c r="E294" s="2" t="s">
        <v>7215</v>
      </c>
      <c r="F294" s="2" t="s">
        <v>7215</v>
      </c>
      <c r="G294" s="2">
        <v>1300</v>
      </c>
    </row>
    <row r="295" spans="1:7" ht="15.75" customHeight="1">
      <c r="A295" s="2" t="s">
        <v>7174</v>
      </c>
      <c r="B295" s="2" t="s">
        <v>7175</v>
      </c>
      <c r="C295" s="2" t="s">
        <v>7571</v>
      </c>
      <c r="D295" s="2" t="s">
        <v>7284</v>
      </c>
      <c r="E295" s="2" t="s">
        <v>7215</v>
      </c>
      <c r="F295" s="2" t="s">
        <v>7215</v>
      </c>
      <c r="G295" s="2">
        <v>1300</v>
      </c>
    </row>
    <row r="296" spans="1:7" ht="15.75" customHeight="1">
      <c r="A296" s="2" t="s">
        <v>7174</v>
      </c>
      <c r="B296" s="2" t="s">
        <v>7175</v>
      </c>
      <c r="C296" s="2" t="s">
        <v>7572</v>
      </c>
      <c r="D296" s="2" t="s">
        <v>7573</v>
      </c>
      <c r="E296" s="2" t="s">
        <v>7215</v>
      </c>
      <c r="F296" s="2" t="s">
        <v>7215</v>
      </c>
      <c r="G296" s="2">
        <v>33</v>
      </c>
    </row>
    <row r="297" spans="1:7" ht="15.75" customHeight="1">
      <c r="A297" s="2" t="s">
        <v>7174</v>
      </c>
      <c r="B297" s="2" t="s">
        <v>7178</v>
      </c>
      <c r="C297" s="2" t="s">
        <v>4304</v>
      </c>
      <c r="D297" s="2" t="s">
        <v>7209</v>
      </c>
      <c r="E297" s="2" t="s">
        <v>3897</v>
      </c>
      <c r="F297" s="2" t="s">
        <v>7210</v>
      </c>
      <c r="G297" s="2">
        <v>18</v>
      </c>
    </row>
    <row r="298" spans="1:7" ht="15.75" customHeight="1">
      <c r="A298" s="2" t="s">
        <v>7174</v>
      </c>
      <c r="B298" s="2" t="s">
        <v>7178</v>
      </c>
      <c r="C298" s="2" t="s">
        <v>7233</v>
      </c>
      <c r="D298" s="2" t="s">
        <v>7574</v>
      </c>
      <c r="E298" s="2" t="s">
        <v>3897</v>
      </c>
      <c r="F298" s="2" t="s">
        <v>7210</v>
      </c>
      <c r="G298" s="2">
        <v>18</v>
      </c>
    </row>
    <row r="299" spans="1:7" ht="15.75" customHeight="1">
      <c r="A299" s="2" t="s">
        <v>7174</v>
      </c>
      <c r="B299" s="2" t="s">
        <v>7178</v>
      </c>
      <c r="C299" s="2" t="s">
        <v>7211</v>
      </c>
      <c r="D299" s="2" t="s">
        <v>7212</v>
      </c>
      <c r="E299" s="2" t="s">
        <v>5672</v>
      </c>
      <c r="F299" s="2" t="s">
        <v>5672</v>
      </c>
      <c r="G299" s="2">
        <v>0</v>
      </c>
    </row>
    <row r="300" spans="1:7" ht="15.75" customHeight="1">
      <c r="A300" s="2" t="s">
        <v>7174</v>
      </c>
      <c r="B300" s="2" t="s">
        <v>7178</v>
      </c>
      <c r="C300" s="2" t="s">
        <v>4306</v>
      </c>
      <c r="D300" s="2" t="s">
        <v>6840</v>
      </c>
      <c r="E300" s="2" t="s">
        <v>7215</v>
      </c>
      <c r="F300" s="2" t="s">
        <v>7215</v>
      </c>
      <c r="G300" s="2">
        <v>80</v>
      </c>
    </row>
    <row r="301" spans="1:7" ht="15.75" customHeight="1">
      <c r="A301" s="2" t="s">
        <v>7174</v>
      </c>
      <c r="B301" s="2" t="s">
        <v>7178</v>
      </c>
      <c r="C301" s="2" t="s">
        <v>7135</v>
      </c>
      <c r="D301" s="2" t="s">
        <v>7235</v>
      </c>
      <c r="E301" s="2" t="s">
        <v>538</v>
      </c>
      <c r="F301" s="2" t="s">
        <v>538</v>
      </c>
      <c r="G301" s="2">
        <v>0</v>
      </c>
    </row>
    <row r="302" spans="1:7" ht="15.75" customHeight="1">
      <c r="A302" s="2" t="s">
        <v>7174</v>
      </c>
      <c r="B302" s="2" t="s">
        <v>7178</v>
      </c>
      <c r="C302" s="2" t="s">
        <v>7236</v>
      </c>
      <c r="D302" s="2" t="s">
        <v>7234</v>
      </c>
      <c r="E302" s="2" t="s">
        <v>3897</v>
      </c>
      <c r="F302" s="2" t="s">
        <v>7210</v>
      </c>
      <c r="G302" s="2">
        <v>18</v>
      </c>
    </row>
    <row r="303" spans="1:7" ht="15.75" customHeight="1">
      <c r="A303" s="2" t="s">
        <v>7174</v>
      </c>
      <c r="B303" s="2" t="s">
        <v>7178</v>
      </c>
      <c r="C303" s="2" t="s">
        <v>7176</v>
      </c>
      <c r="D303" s="2" t="s">
        <v>7235</v>
      </c>
      <c r="E303" s="2" t="s">
        <v>538</v>
      </c>
      <c r="F303" s="2" t="s">
        <v>538</v>
      </c>
      <c r="G303" s="2">
        <v>0</v>
      </c>
    </row>
    <row r="304" spans="1:7" ht="15.75" customHeight="1">
      <c r="A304" s="2" t="s">
        <v>7174</v>
      </c>
      <c r="B304" s="2" t="s">
        <v>7178</v>
      </c>
      <c r="C304" s="2" t="s">
        <v>7237</v>
      </c>
      <c r="D304" s="2" t="s">
        <v>7234</v>
      </c>
      <c r="E304" s="2" t="s">
        <v>3897</v>
      </c>
      <c r="F304" s="2" t="s">
        <v>7210</v>
      </c>
      <c r="G304" s="2">
        <v>18</v>
      </c>
    </row>
    <row r="305" spans="1:7" ht="15.75" customHeight="1">
      <c r="A305" s="2" t="s">
        <v>7174</v>
      </c>
      <c r="B305" s="2" t="s">
        <v>7178</v>
      </c>
      <c r="C305" s="2" t="s">
        <v>7238</v>
      </c>
      <c r="D305" s="2" t="s">
        <v>7235</v>
      </c>
      <c r="E305" s="2" t="s">
        <v>538</v>
      </c>
      <c r="F305" s="2" t="s">
        <v>538</v>
      </c>
      <c r="G305" s="2">
        <v>0</v>
      </c>
    </row>
    <row r="306" spans="1:7" ht="15.75" customHeight="1">
      <c r="A306" s="2" t="s">
        <v>7174</v>
      </c>
      <c r="B306" s="2" t="s">
        <v>7178</v>
      </c>
      <c r="C306" s="2" t="s">
        <v>7239</v>
      </c>
      <c r="D306" s="2" t="s">
        <v>6212</v>
      </c>
      <c r="E306" s="2" t="s">
        <v>1974</v>
      </c>
      <c r="F306" s="2" t="s">
        <v>1974</v>
      </c>
      <c r="G306" s="2">
        <v>0</v>
      </c>
    </row>
    <row r="307" spans="1:7" ht="15.75" customHeight="1">
      <c r="A307" s="2" t="s">
        <v>7174</v>
      </c>
      <c r="B307" s="2" t="s">
        <v>7178</v>
      </c>
      <c r="C307" s="2" t="s">
        <v>7240</v>
      </c>
      <c r="D307" s="2" t="s">
        <v>7235</v>
      </c>
      <c r="E307" s="2" t="s">
        <v>538</v>
      </c>
      <c r="F307" s="2" t="s">
        <v>538</v>
      </c>
      <c r="G307" s="2">
        <v>0</v>
      </c>
    </row>
    <row r="308" spans="1:7" ht="15.75" customHeight="1">
      <c r="A308" s="2" t="s">
        <v>7174</v>
      </c>
      <c r="B308" s="2" t="s">
        <v>7178</v>
      </c>
      <c r="C308" s="2" t="s">
        <v>7241</v>
      </c>
      <c r="D308" s="2" t="s">
        <v>7235</v>
      </c>
      <c r="E308" s="2" t="s">
        <v>538</v>
      </c>
      <c r="F308" s="2" t="s">
        <v>538</v>
      </c>
      <c r="G308" s="2">
        <v>0</v>
      </c>
    </row>
    <row r="309" spans="1:7" ht="15.75" customHeight="1">
      <c r="A309" s="2" t="s">
        <v>7174</v>
      </c>
      <c r="B309" s="2" t="s">
        <v>7178</v>
      </c>
      <c r="C309" s="2" t="s">
        <v>7242</v>
      </c>
      <c r="D309" s="2" t="s">
        <v>7243</v>
      </c>
      <c r="E309" s="2" t="s">
        <v>3897</v>
      </c>
      <c r="F309" s="2" t="s">
        <v>7210</v>
      </c>
      <c r="G309" s="2">
        <v>18</v>
      </c>
    </row>
    <row r="310" spans="1:7" ht="15.75" customHeight="1">
      <c r="A310" s="2" t="s">
        <v>7174</v>
      </c>
      <c r="B310" s="2" t="s">
        <v>7178</v>
      </c>
      <c r="C310" s="2" t="s">
        <v>7575</v>
      </c>
      <c r="D310" s="2" t="s">
        <v>7216</v>
      </c>
      <c r="E310" s="2" t="s">
        <v>7215</v>
      </c>
      <c r="F310" s="2" t="s">
        <v>7215</v>
      </c>
      <c r="G310" s="2">
        <v>255</v>
      </c>
    </row>
    <row r="311" spans="1:7" ht="15.75" customHeight="1">
      <c r="A311" s="2" t="s">
        <v>7174</v>
      </c>
      <c r="B311" s="2" t="s">
        <v>7178</v>
      </c>
      <c r="C311" s="2" t="s">
        <v>7576</v>
      </c>
      <c r="D311" s="2" t="s">
        <v>6212</v>
      </c>
      <c r="E311" s="2" t="s">
        <v>1974</v>
      </c>
      <c r="F311" s="2" t="s">
        <v>1974</v>
      </c>
      <c r="G311" s="2">
        <v>0</v>
      </c>
    </row>
    <row r="312" spans="1:7" ht="15.75" customHeight="1">
      <c r="A312" s="2" t="s">
        <v>7174</v>
      </c>
      <c r="B312" s="2" t="s">
        <v>7178</v>
      </c>
      <c r="C312" s="2" t="s">
        <v>7577</v>
      </c>
      <c r="D312" s="2" t="s">
        <v>6212</v>
      </c>
      <c r="E312" s="2" t="s">
        <v>1974</v>
      </c>
      <c r="F312" s="2" t="s">
        <v>1974</v>
      </c>
      <c r="G312" s="2">
        <v>0</v>
      </c>
    </row>
    <row r="313" spans="1:7" ht="15.75" customHeight="1">
      <c r="A313" s="2" t="s">
        <v>7174</v>
      </c>
      <c r="B313" s="2" t="s">
        <v>7178</v>
      </c>
      <c r="C313" s="2" t="s">
        <v>7407</v>
      </c>
      <c r="D313" s="2" t="s">
        <v>7216</v>
      </c>
      <c r="E313" s="2" t="s">
        <v>7215</v>
      </c>
      <c r="F313" s="2" t="s">
        <v>7215</v>
      </c>
      <c r="G313" s="2">
        <v>255</v>
      </c>
    </row>
    <row r="314" spans="1:7" ht="15.75" customHeight="1">
      <c r="A314" s="2" t="s">
        <v>7174</v>
      </c>
      <c r="B314" s="2" t="s">
        <v>7178</v>
      </c>
      <c r="C314" s="2" t="s">
        <v>7578</v>
      </c>
      <c r="D314" s="2" t="s">
        <v>7284</v>
      </c>
      <c r="E314" s="2" t="s">
        <v>7215</v>
      </c>
      <c r="F314" s="2" t="s">
        <v>7215</v>
      </c>
      <c r="G314" s="2">
        <v>1300</v>
      </c>
    </row>
    <row r="315" spans="1:7" ht="15.75" customHeight="1">
      <c r="A315" s="2" t="s">
        <v>7174</v>
      </c>
      <c r="B315" s="2" t="s">
        <v>7178</v>
      </c>
      <c r="C315" s="2" t="s">
        <v>7579</v>
      </c>
      <c r="D315" s="2" t="s">
        <v>7284</v>
      </c>
      <c r="E315" s="2" t="s">
        <v>7215</v>
      </c>
      <c r="F315" s="2" t="s">
        <v>7215</v>
      </c>
      <c r="G315" s="2">
        <v>1300</v>
      </c>
    </row>
    <row r="316" spans="1:7" ht="15.75" customHeight="1">
      <c r="A316" s="2" t="s">
        <v>7174</v>
      </c>
      <c r="B316" s="2" t="s">
        <v>7178</v>
      </c>
      <c r="C316" s="2" t="s">
        <v>7580</v>
      </c>
      <c r="D316" s="2" t="s">
        <v>7284</v>
      </c>
      <c r="E316" s="2" t="s">
        <v>7215</v>
      </c>
      <c r="F316" s="2" t="s">
        <v>7215</v>
      </c>
      <c r="G316" s="2">
        <v>1300</v>
      </c>
    </row>
    <row r="317" spans="1:7" ht="15.75" customHeight="1">
      <c r="A317" s="2" t="s">
        <v>7174</v>
      </c>
      <c r="B317" s="2" t="s">
        <v>7178</v>
      </c>
      <c r="C317" s="2" t="s">
        <v>7581</v>
      </c>
      <c r="D317" s="2" t="s">
        <v>7582</v>
      </c>
      <c r="E317" s="2" t="s">
        <v>538</v>
      </c>
      <c r="F317" s="2" t="s">
        <v>538</v>
      </c>
      <c r="G317" s="2">
        <v>0</v>
      </c>
    </row>
    <row r="318" spans="1:7" ht="15.75" customHeight="1">
      <c r="A318" s="2" t="s">
        <v>7174</v>
      </c>
      <c r="B318" s="2" t="s">
        <v>7178</v>
      </c>
      <c r="C318" s="2" t="s">
        <v>7583</v>
      </c>
      <c r="D318" s="2" t="s">
        <v>7284</v>
      </c>
      <c r="E318" s="2" t="s">
        <v>7215</v>
      </c>
      <c r="F318" s="2" t="s">
        <v>7215</v>
      </c>
      <c r="G318" s="2">
        <v>1300</v>
      </c>
    </row>
    <row r="319" spans="1:7" ht="15.75" customHeight="1">
      <c r="A319" s="2" t="s">
        <v>7174</v>
      </c>
      <c r="B319" s="2" t="s">
        <v>7178</v>
      </c>
      <c r="C319" s="2" t="s">
        <v>7584</v>
      </c>
      <c r="D319" s="2" t="s">
        <v>7284</v>
      </c>
      <c r="E319" s="2" t="s">
        <v>7215</v>
      </c>
      <c r="F319" s="2" t="s">
        <v>7215</v>
      </c>
      <c r="G319" s="2">
        <v>1300</v>
      </c>
    </row>
    <row r="320" spans="1:7" ht="15.75" customHeight="1">
      <c r="A320" s="2" t="s">
        <v>7174</v>
      </c>
      <c r="B320" s="2" t="s">
        <v>7178</v>
      </c>
      <c r="C320" s="2" t="s">
        <v>7585</v>
      </c>
      <c r="D320" s="2" t="s">
        <v>7284</v>
      </c>
      <c r="E320" s="2" t="s">
        <v>7215</v>
      </c>
      <c r="F320" s="2" t="s">
        <v>7215</v>
      </c>
      <c r="G320" s="2">
        <v>1300</v>
      </c>
    </row>
    <row r="321" spans="1:7" ht="15.75" customHeight="1">
      <c r="A321" s="2" t="s">
        <v>7174</v>
      </c>
      <c r="B321" s="2" t="s">
        <v>7178</v>
      </c>
      <c r="C321" s="2" t="s">
        <v>7586</v>
      </c>
      <c r="D321" s="2" t="s">
        <v>7284</v>
      </c>
      <c r="E321" s="2" t="s">
        <v>7215</v>
      </c>
      <c r="F321" s="2" t="s">
        <v>7215</v>
      </c>
      <c r="G321" s="2">
        <v>1300</v>
      </c>
    </row>
    <row r="322" spans="1:7" ht="15.75" customHeight="1">
      <c r="A322" s="2" t="s">
        <v>7174</v>
      </c>
      <c r="B322" s="2" t="s">
        <v>7179</v>
      </c>
      <c r="C322" s="2" t="s">
        <v>4304</v>
      </c>
      <c r="D322" s="2" t="s">
        <v>7209</v>
      </c>
      <c r="E322" s="2" t="s">
        <v>3897</v>
      </c>
      <c r="F322" s="2" t="s">
        <v>7210</v>
      </c>
      <c r="G322" s="2">
        <v>18</v>
      </c>
    </row>
    <row r="323" spans="1:7" ht="15.75" customHeight="1">
      <c r="A323" s="2" t="s">
        <v>7174</v>
      </c>
      <c r="B323" s="2" t="s">
        <v>7179</v>
      </c>
      <c r="C323" s="2" t="s">
        <v>7211</v>
      </c>
      <c r="D323" s="2" t="s">
        <v>7212</v>
      </c>
      <c r="E323" s="2" t="s">
        <v>5672</v>
      </c>
      <c r="F323" s="2" t="s">
        <v>5672</v>
      </c>
      <c r="G323" s="2">
        <v>0</v>
      </c>
    </row>
    <row r="324" spans="1:7" ht="15.75" customHeight="1">
      <c r="A324" s="2" t="s">
        <v>7174</v>
      </c>
      <c r="B324" s="2" t="s">
        <v>7179</v>
      </c>
      <c r="C324" s="2" t="s">
        <v>4306</v>
      </c>
      <c r="D324" s="2" t="s">
        <v>6840</v>
      </c>
      <c r="E324" s="2" t="s">
        <v>7215</v>
      </c>
      <c r="F324" s="2" t="s">
        <v>7215</v>
      </c>
      <c r="G324" s="2">
        <v>80</v>
      </c>
    </row>
    <row r="325" spans="1:7" ht="15.75" customHeight="1">
      <c r="A325" s="2" t="s">
        <v>7174</v>
      </c>
      <c r="B325" s="2" t="s">
        <v>7179</v>
      </c>
      <c r="C325" s="2" t="s">
        <v>7217</v>
      </c>
      <c r="D325" s="2" t="s">
        <v>7218</v>
      </c>
      <c r="E325" s="2" t="s">
        <v>3897</v>
      </c>
      <c r="F325" s="2" t="s">
        <v>7210</v>
      </c>
      <c r="G325" s="2">
        <v>18</v>
      </c>
    </row>
    <row r="326" spans="1:7" ht="15.75" customHeight="1">
      <c r="A326" s="2" t="s">
        <v>7174</v>
      </c>
      <c r="B326" s="2" t="s">
        <v>7179</v>
      </c>
      <c r="C326" s="2" t="s">
        <v>7135</v>
      </c>
      <c r="D326" s="2" t="s">
        <v>7235</v>
      </c>
      <c r="E326" s="2" t="s">
        <v>538</v>
      </c>
      <c r="F326" s="2" t="s">
        <v>538</v>
      </c>
      <c r="G326" s="2">
        <v>0</v>
      </c>
    </row>
    <row r="327" spans="1:7" ht="15.75" customHeight="1">
      <c r="A327" s="2" t="s">
        <v>7174</v>
      </c>
      <c r="B327" s="2" t="s">
        <v>7179</v>
      </c>
      <c r="C327" s="2" t="s">
        <v>7236</v>
      </c>
      <c r="D327" s="2" t="s">
        <v>7234</v>
      </c>
      <c r="E327" s="2" t="s">
        <v>3897</v>
      </c>
      <c r="F327" s="2" t="s">
        <v>7210</v>
      </c>
      <c r="G327" s="2">
        <v>18</v>
      </c>
    </row>
    <row r="328" spans="1:7" ht="15.75" customHeight="1">
      <c r="A328" s="2" t="s">
        <v>7174</v>
      </c>
      <c r="B328" s="2" t="s">
        <v>7179</v>
      </c>
      <c r="C328" s="2" t="s">
        <v>7176</v>
      </c>
      <c r="D328" s="2" t="s">
        <v>7235</v>
      </c>
      <c r="E328" s="2" t="s">
        <v>538</v>
      </c>
      <c r="F328" s="2" t="s">
        <v>538</v>
      </c>
      <c r="G328" s="2">
        <v>0</v>
      </c>
    </row>
    <row r="329" spans="1:7" ht="15.75" customHeight="1">
      <c r="A329" s="2" t="s">
        <v>7174</v>
      </c>
      <c r="B329" s="2" t="s">
        <v>7179</v>
      </c>
      <c r="C329" s="2" t="s">
        <v>7237</v>
      </c>
      <c r="D329" s="2" t="s">
        <v>7234</v>
      </c>
      <c r="E329" s="2" t="s">
        <v>3897</v>
      </c>
      <c r="F329" s="2" t="s">
        <v>7210</v>
      </c>
      <c r="G329" s="2">
        <v>18</v>
      </c>
    </row>
    <row r="330" spans="1:7" ht="15.75" customHeight="1">
      <c r="A330" s="2" t="s">
        <v>7174</v>
      </c>
      <c r="B330" s="2" t="s">
        <v>7179</v>
      </c>
      <c r="C330" s="2" t="s">
        <v>7238</v>
      </c>
      <c r="D330" s="2" t="s">
        <v>7235</v>
      </c>
      <c r="E330" s="2" t="s">
        <v>538</v>
      </c>
      <c r="F330" s="2" t="s">
        <v>538</v>
      </c>
      <c r="G330" s="2">
        <v>0</v>
      </c>
    </row>
    <row r="331" spans="1:7" ht="15.75" customHeight="1">
      <c r="A331" s="2" t="s">
        <v>7174</v>
      </c>
      <c r="B331" s="2" t="s">
        <v>7179</v>
      </c>
      <c r="C331" s="2" t="s">
        <v>7239</v>
      </c>
      <c r="D331" s="2" t="s">
        <v>6212</v>
      </c>
      <c r="E331" s="2" t="s">
        <v>1974</v>
      </c>
      <c r="F331" s="2" t="s">
        <v>1974</v>
      </c>
      <c r="G331" s="2">
        <v>0</v>
      </c>
    </row>
    <row r="332" spans="1:7" ht="15.75" customHeight="1">
      <c r="A332" s="2" t="s">
        <v>7174</v>
      </c>
      <c r="B332" s="2" t="s">
        <v>7179</v>
      </c>
      <c r="C332" s="2" t="s">
        <v>7242</v>
      </c>
      <c r="D332" s="2" t="s">
        <v>7243</v>
      </c>
      <c r="E332" s="2" t="s">
        <v>3897</v>
      </c>
      <c r="F332" s="2" t="s">
        <v>7210</v>
      </c>
      <c r="G332" s="2">
        <v>18</v>
      </c>
    </row>
    <row r="333" spans="1:7" ht="15.75" customHeight="1">
      <c r="A333" s="2" t="s">
        <v>7174</v>
      </c>
      <c r="B333" s="2" t="s">
        <v>7179</v>
      </c>
      <c r="C333" s="2" t="s">
        <v>7178</v>
      </c>
      <c r="D333" s="2" t="s">
        <v>7587</v>
      </c>
      <c r="E333" s="2" t="s">
        <v>3897</v>
      </c>
      <c r="F333" s="2" t="s">
        <v>7210</v>
      </c>
      <c r="G333" s="2">
        <v>18</v>
      </c>
    </row>
    <row r="334" spans="1:7" ht="15.75" customHeight="1">
      <c r="A334" s="2" t="s">
        <v>7174</v>
      </c>
      <c r="B334" s="2" t="s">
        <v>7179</v>
      </c>
      <c r="C334" s="2" t="s">
        <v>7588</v>
      </c>
      <c r="D334" s="2" t="s">
        <v>7284</v>
      </c>
      <c r="E334" s="2" t="s">
        <v>7215</v>
      </c>
      <c r="F334" s="2" t="s">
        <v>7215</v>
      </c>
      <c r="G334" s="2">
        <v>1300</v>
      </c>
    </row>
    <row r="335" spans="1:7" ht="15.75" customHeight="1">
      <c r="A335" s="2" t="s">
        <v>7174</v>
      </c>
      <c r="B335" s="2" t="s">
        <v>7179</v>
      </c>
      <c r="C335" s="2" t="s">
        <v>7272</v>
      </c>
      <c r="D335" s="2" t="s">
        <v>7589</v>
      </c>
      <c r="E335" s="2" t="s">
        <v>1974</v>
      </c>
      <c r="F335" s="2" t="s">
        <v>1974</v>
      </c>
      <c r="G335" s="2">
        <v>0</v>
      </c>
    </row>
    <row r="336" spans="1:7" ht="15.75" customHeight="1">
      <c r="A336" s="2" t="s">
        <v>7174</v>
      </c>
      <c r="B336" s="2" t="s">
        <v>7179</v>
      </c>
      <c r="C336" s="2" t="s">
        <v>7274</v>
      </c>
      <c r="D336" s="2" t="s">
        <v>7589</v>
      </c>
      <c r="E336" s="2" t="s">
        <v>1974</v>
      </c>
      <c r="F336" s="2" t="s">
        <v>1974</v>
      </c>
      <c r="G336" s="2">
        <v>0</v>
      </c>
    </row>
    <row r="337" spans="1:7" ht="15.75" customHeight="1">
      <c r="A337" s="2" t="s">
        <v>7174</v>
      </c>
      <c r="B337" s="2" t="s">
        <v>7179</v>
      </c>
      <c r="C337" s="2" t="s">
        <v>7590</v>
      </c>
      <c r="D337" s="2" t="s">
        <v>7284</v>
      </c>
      <c r="E337" s="2" t="s">
        <v>7215</v>
      </c>
      <c r="F337" s="2" t="s">
        <v>7215</v>
      </c>
      <c r="G337" s="2">
        <v>1300</v>
      </c>
    </row>
    <row r="338" spans="1:7" ht="15.75" customHeight="1">
      <c r="A338" s="2" t="s">
        <v>7174</v>
      </c>
      <c r="B338" s="2" t="s">
        <v>7179</v>
      </c>
      <c r="C338" s="2" t="s">
        <v>7591</v>
      </c>
      <c r="D338" s="2" t="s">
        <v>7284</v>
      </c>
      <c r="E338" s="2" t="s">
        <v>7215</v>
      </c>
      <c r="F338" s="2" t="s">
        <v>7215</v>
      </c>
      <c r="G338" s="2">
        <v>1300</v>
      </c>
    </row>
    <row r="339" spans="1:7" ht="15.75" customHeight="1">
      <c r="A339" s="2" t="s">
        <v>7174</v>
      </c>
      <c r="B339" s="2" t="s">
        <v>7179</v>
      </c>
      <c r="C339" s="2" t="s">
        <v>7592</v>
      </c>
      <c r="D339" s="2" t="s">
        <v>7214</v>
      </c>
      <c r="E339" s="2" t="s">
        <v>3897</v>
      </c>
      <c r="F339" s="2" t="s">
        <v>7210</v>
      </c>
      <c r="G339" s="2">
        <v>18</v>
      </c>
    </row>
    <row r="340" spans="1:7" ht="15.75" customHeight="1">
      <c r="A340" s="2" t="s">
        <v>7174</v>
      </c>
      <c r="B340" s="2" t="s">
        <v>7179</v>
      </c>
      <c r="C340" s="2" t="s">
        <v>7279</v>
      </c>
      <c r="D340" s="2" t="s">
        <v>7284</v>
      </c>
      <c r="E340" s="2" t="s">
        <v>7215</v>
      </c>
      <c r="F340" s="2" t="s">
        <v>7215</v>
      </c>
      <c r="G340" s="2">
        <v>1300</v>
      </c>
    </row>
    <row r="341" spans="1:7" ht="15.75" customHeight="1">
      <c r="A341" s="2" t="s">
        <v>7174</v>
      </c>
      <c r="B341" s="2" t="s">
        <v>7179</v>
      </c>
      <c r="C341" s="2" t="s">
        <v>7283</v>
      </c>
      <c r="D341" s="2" t="s">
        <v>7284</v>
      </c>
      <c r="E341" s="2" t="s">
        <v>7215</v>
      </c>
      <c r="F341" s="2" t="s">
        <v>7215</v>
      </c>
      <c r="G341" s="2">
        <v>1300</v>
      </c>
    </row>
    <row r="342" spans="1:7" ht="15.75" customHeight="1">
      <c r="A342" s="2" t="s">
        <v>7174</v>
      </c>
      <c r="B342" s="2" t="s">
        <v>7179</v>
      </c>
      <c r="C342" s="2" t="s">
        <v>7593</v>
      </c>
      <c r="D342" s="2" t="s">
        <v>7314</v>
      </c>
      <c r="E342" s="2" t="s">
        <v>7215</v>
      </c>
      <c r="F342" s="2" t="s">
        <v>7215</v>
      </c>
      <c r="G342" s="2">
        <v>32768</v>
      </c>
    </row>
    <row r="343" spans="1:7" ht="15.75" customHeight="1">
      <c r="A343" s="2" t="s">
        <v>7174</v>
      </c>
      <c r="B343" s="2" t="s">
        <v>7179</v>
      </c>
      <c r="C343" s="2" t="s">
        <v>7486</v>
      </c>
      <c r="D343" s="2" t="s">
        <v>7259</v>
      </c>
      <c r="E343" s="2" t="s">
        <v>7215</v>
      </c>
      <c r="F343" s="2" t="s">
        <v>7215</v>
      </c>
      <c r="G343" s="2">
        <v>255</v>
      </c>
    </row>
    <row r="344" spans="1:7" ht="15.75" customHeight="1">
      <c r="A344" s="2" t="s">
        <v>7174</v>
      </c>
      <c r="B344" s="2" t="s">
        <v>7179</v>
      </c>
      <c r="C344" s="2" t="s">
        <v>7594</v>
      </c>
      <c r="D344" s="2" t="s">
        <v>7361</v>
      </c>
      <c r="E344" s="2" t="s">
        <v>7215</v>
      </c>
      <c r="F344" s="2" t="s">
        <v>7215</v>
      </c>
      <c r="G344" s="2">
        <v>4099</v>
      </c>
    </row>
    <row r="345" spans="1:7" ht="15.75" customHeight="1">
      <c r="A345" s="2" t="s">
        <v>7174</v>
      </c>
      <c r="B345" s="2" t="s">
        <v>7179</v>
      </c>
      <c r="C345" s="2" t="s">
        <v>7595</v>
      </c>
      <c r="D345" s="2" t="s">
        <v>7284</v>
      </c>
      <c r="E345" s="2" t="s">
        <v>7215</v>
      </c>
      <c r="F345" s="2" t="s">
        <v>7215</v>
      </c>
      <c r="G345" s="2">
        <v>1300</v>
      </c>
    </row>
    <row r="346" spans="1:7" ht="15.75" customHeight="1">
      <c r="A346" s="2" t="s">
        <v>7174</v>
      </c>
      <c r="B346" s="2" t="s">
        <v>7179</v>
      </c>
      <c r="C346" s="2" t="s">
        <v>7596</v>
      </c>
      <c r="D346" s="2" t="s">
        <v>7245</v>
      </c>
      <c r="E346" s="2" t="s">
        <v>3897</v>
      </c>
      <c r="F346" s="2" t="s">
        <v>7210</v>
      </c>
      <c r="G346" s="2">
        <v>18</v>
      </c>
    </row>
    <row r="347" spans="1:7" ht="15.75" customHeight="1">
      <c r="A347" s="2" t="s">
        <v>7174</v>
      </c>
      <c r="B347" s="2" t="s">
        <v>7179</v>
      </c>
      <c r="C347" s="2" t="s">
        <v>7597</v>
      </c>
      <c r="D347" s="2" t="s">
        <v>7284</v>
      </c>
      <c r="E347" s="2" t="s">
        <v>7215</v>
      </c>
      <c r="F347" s="2" t="s">
        <v>7215</v>
      </c>
      <c r="G347" s="2">
        <v>1300</v>
      </c>
    </row>
    <row r="348" spans="1:7" ht="15.75" customHeight="1">
      <c r="A348" s="2" t="s">
        <v>7174</v>
      </c>
      <c r="B348" s="2" t="s">
        <v>7179</v>
      </c>
      <c r="C348" s="2" t="s">
        <v>7462</v>
      </c>
      <c r="D348" s="2" t="s">
        <v>7284</v>
      </c>
      <c r="E348" s="2" t="s">
        <v>7215</v>
      </c>
      <c r="F348" s="2" t="s">
        <v>7215</v>
      </c>
      <c r="G348" s="2">
        <v>1300</v>
      </c>
    </row>
    <row r="349" spans="1:7" ht="15.75" customHeight="1">
      <c r="A349" s="2" t="s">
        <v>7174</v>
      </c>
      <c r="B349" s="2" t="s">
        <v>7179</v>
      </c>
      <c r="C349" s="2" t="s">
        <v>7598</v>
      </c>
      <c r="D349" s="2" t="s">
        <v>7270</v>
      </c>
      <c r="E349" s="2" t="s">
        <v>7215</v>
      </c>
      <c r="F349" s="2" t="s">
        <v>7215</v>
      </c>
      <c r="G349" s="2">
        <v>32768</v>
      </c>
    </row>
    <row r="350" spans="1:7" ht="15.75" customHeight="1">
      <c r="A350" s="2" t="s">
        <v>7174</v>
      </c>
      <c r="B350" s="2" t="s">
        <v>7179</v>
      </c>
      <c r="C350" s="2" t="s">
        <v>7599</v>
      </c>
      <c r="D350" s="2" t="s">
        <v>7284</v>
      </c>
      <c r="E350" s="2" t="s">
        <v>7215</v>
      </c>
      <c r="F350" s="2" t="s">
        <v>7215</v>
      </c>
      <c r="G350" s="2">
        <v>1300</v>
      </c>
    </row>
    <row r="351" spans="1:7" ht="15.75" customHeight="1">
      <c r="A351" s="2" t="s">
        <v>7174</v>
      </c>
      <c r="B351" s="2" t="s">
        <v>7179</v>
      </c>
      <c r="C351" s="2" t="s">
        <v>7600</v>
      </c>
      <c r="D351" s="2" t="s">
        <v>7314</v>
      </c>
      <c r="E351" s="2" t="s">
        <v>7215</v>
      </c>
      <c r="F351" s="2" t="s">
        <v>7215</v>
      </c>
      <c r="G351" s="2">
        <v>32768</v>
      </c>
    </row>
    <row r="352" spans="1:7" ht="15.75" customHeight="1">
      <c r="A352" s="2" t="s">
        <v>7174</v>
      </c>
      <c r="B352" s="2" t="s">
        <v>7179</v>
      </c>
      <c r="C352" s="2" t="s">
        <v>7601</v>
      </c>
      <c r="D352" s="2" t="s">
        <v>7284</v>
      </c>
      <c r="E352" s="2" t="s">
        <v>7215</v>
      </c>
      <c r="F352" s="2" t="s">
        <v>7215</v>
      </c>
      <c r="G352" s="2">
        <v>1300</v>
      </c>
    </row>
    <row r="353" spans="1:7" ht="15.75" customHeight="1">
      <c r="A353" s="2" t="s">
        <v>7174</v>
      </c>
      <c r="B353" s="2" t="s">
        <v>7179</v>
      </c>
      <c r="C353" s="2" t="s">
        <v>7602</v>
      </c>
      <c r="D353" s="2" t="s">
        <v>7284</v>
      </c>
      <c r="E353" s="2" t="s">
        <v>7215</v>
      </c>
      <c r="F353" s="2" t="s">
        <v>7215</v>
      </c>
      <c r="G353" s="2">
        <v>1300</v>
      </c>
    </row>
    <row r="354" spans="1:7" ht="15.75" customHeight="1">
      <c r="A354" s="2" t="s">
        <v>7174</v>
      </c>
      <c r="B354" s="2" t="s">
        <v>7179</v>
      </c>
      <c r="C354" s="2" t="s">
        <v>7603</v>
      </c>
      <c r="D354" s="2" t="s">
        <v>7235</v>
      </c>
      <c r="E354" s="2" t="s">
        <v>538</v>
      </c>
      <c r="F354" s="2" t="s">
        <v>538</v>
      </c>
      <c r="G354" s="2">
        <v>0</v>
      </c>
    </row>
    <row r="355" spans="1:7" ht="15.75" customHeight="1">
      <c r="A355" s="2" t="s">
        <v>7174</v>
      </c>
      <c r="B355" s="2" t="s">
        <v>7179</v>
      </c>
      <c r="C355" s="2" t="s">
        <v>7604</v>
      </c>
      <c r="D355" s="2" t="s">
        <v>7216</v>
      </c>
      <c r="E355" s="2" t="s">
        <v>7215</v>
      </c>
      <c r="F355" s="2" t="s">
        <v>7215</v>
      </c>
      <c r="G355" s="2">
        <v>255</v>
      </c>
    </row>
    <row r="356" spans="1:7" ht="15.75" customHeight="1">
      <c r="A356" s="2" t="s">
        <v>7174</v>
      </c>
      <c r="B356" s="2" t="s">
        <v>7179</v>
      </c>
      <c r="C356" s="2" t="s">
        <v>7605</v>
      </c>
      <c r="D356" s="2" t="s">
        <v>7284</v>
      </c>
      <c r="E356" s="2" t="s">
        <v>7215</v>
      </c>
      <c r="F356" s="2" t="s">
        <v>7215</v>
      </c>
      <c r="G356" s="2">
        <v>1300</v>
      </c>
    </row>
    <row r="357" spans="1:7" ht="15.75" customHeight="1">
      <c r="A357" s="2" t="s">
        <v>7174</v>
      </c>
      <c r="B357" s="2" t="s">
        <v>7179</v>
      </c>
      <c r="C357" s="2" t="s">
        <v>7606</v>
      </c>
      <c r="D357" s="2" t="s">
        <v>7216</v>
      </c>
      <c r="E357" s="2" t="s">
        <v>7215</v>
      </c>
      <c r="F357" s="2" t="s">
        <v>7215</v>
      </c>
      <c r="G357" s="2">
        <v>255</v>
      </c>
    </row>
    <row r="358" spans="1:7" ht="15.75" customHeight="1">
      <c r="A358" s="2" t="s">
        <v>7174</v>
      </c>
      <c r="B358" s="2" t="s">
        <v>7179</v>
      </c>
      <c r="C358" s="2" t="s">
        <v>7607</v>
      </c>
      <c r="D358" s="2" t="s">
        <v>7270</v>
      </c>
      <c r="E358" s="2" t="s">
        <v>7215</v>
      </c>
      <c r="F358" s="2" t="s">
        <v>7215</v>
      </c>
      <c r="G358" s="2">
        <v>32768</v>
      </c>
    </row>
    <row r="359" spans="1:7" ht="15.75" customHeight="1">
      <c r="A359" s="2" t="s">
        <v>7174</v>
      </c>
      <c r="B359" s="2" t="s">
        <v>7179</v>
      </c>
      <c r="C359" s="2" t="s">
        <v>7608</v>
      </c>
      <c r="D359" s="2" t="s">
        <v>6212</v>
      </c>
      <c r="E359" s="2" t="s">
        <v>1974</v>
      </c>
      <c r="F359" s="2" t="s">
        <v>1974</v>
      </c>
      <c r="G359" s="2">
        <v>0</v>
      </c>
    </row>
    <row r="360" spans="1:7" ht="15.75" customHeight="1">
      <c r="A360" s="2" t="s">
        <v>7174</v>
      </c>
      <c r="B360" s="2" t="s">
        <v>7179</v>
      </c>
      <c r="C360" s="2" t="s">
        <v>7609</v>
      </c>
      <c r="D360" s="2" t="s">
        <v>7512</v>
      </c>
      <c r="E360" s="2" t="s">
        <v>7278</v>
      </c>
      <c r="F360" s="2" t="s">
        <v>7278</v>
      </c>
      <c r="G360" s="2">
        <v>0</v>
      </c>
    </row>
    <row r="361" spans="1:7" ht="15.75" customHeight="1">
      <c r="A361" s="2" t="s">
        <v>7174</v>
      </c>
      <c r="B361" s="2" t="s">
        <v>7179</v>
      </c>
      <c r="C361" s="2" t="s">
        <v>7610</v>
      </c>
      <c r="D361" s="2" t="s">
        <v>7284</v>
      </c>
      <c r="E361" s="2" t="s">
        <v>7215</v>
      </c>
      <c r="F361" s="2" t="s">
        <v>7215</v>
      </c>
      <c r="G361" s="2">
        <v>1300</v>
      </c>
    </row>
    <row r="362" spans="1:7" ht="15.75" customHeight="1">
      <c r="A362" s="2" t="s">
        <v>7174</v>
      </c>
      <c r="B362" s="2" t="s">
        <v>7179</v>
      </c>
      <c r="C362" s="2" t="s">
        <v>7611</v>
      </c>
      <c r="D362" s="2" t="s">
        <v>7284</v>
      </c>
      <c r="E362" s="2" t="s">
        <v>7215</v>
      </c>
      <c r="F362" s="2" t="s">
        <v>7215</v>
      </c>
      <c r="G362" s="2">
        <v>1300</v>
      </c>
    </row>
    <row r="363" spans="1:7" ht="15.75" customHeight="1">
      <c r="A363" s="2" t="s">
        <v>7174</v>
      </c>
      <c r="B363" s="2" t="s">
        <v>7179</v>
      </c>
      <c r="C363" s="2" t="s">
        <v>7387</v>
      </c>
      <c r="D363" s="2" t="s">
        <v>7284</v>
      </c>
      <c r="E363" s="2" t="s">
        <v>7215</v>
      </c>
      <c r="F363" s="2" t="s">
        <v>7215</v>
      </c>
      <c r="G363" s="2">
        <v>1300</v>
      </c>
    </row>
    <row r="364" spans="1:7" ht="15.75" customHeight="1">
      <c r="A364" s="2" t="s">
        <v>7174</v>
      </c>
      <c r="B364" s="2" t="s">
        <v>7179</v>
      </c>
      <c r="C364" s="2" t="s">
        <v>7612</v>
      </c>
      <c r="D364" s="2" t="s">
        <v>7284</v>
      </c>
      <c r="E364" s="2" t="s">
        <v>7215</v>
      </c>
      <c r="F364" s="2" t="s">
        <v>7215</v>
      </c>
      <c r="G364" s="2">
        <v>1300</v>
      </c>
    </row>
    <row r="365" spans="1:7" ht="15.75" customHeight="1">
      <c r="A365" s="2" t="s">
        <v>7174</v>
      </c>
      <c r="B365" s="2" t="s">
        <v>7179</v>
      </c>
      <c r="C365" s="2" t="s">
        <v>7613</v>
      </c>
      <c r="D365" s="2" t="s">
        <v>7284</v>
      </c>
      <c r="E365" s="2" t="s">
        <v>7215</v>
      </c>
      <c r="F365" s="2" t="s">
        <v>7215</v>
      </c>
      <c r="G365" s="2">
        <v>1300</v>
      </c>
    </row>
    <row r="366" spans="1:7" ht="15.75" customHeight="1">
      <c r="A366" s="2" t="s">
        <v>7174</v>
      </c>
      <c r="B366" s="2" t="s">
        <v>7179</v>
      </c>
      <c r="C366" s="2" t="s">
        <v>7614</v>
      </c>
      <c r="D366" s="2" t="s">
        <v>7354</v>
      </c>
      <c r="E366" s="2" t="s">
        <v>7215</v>
      </c>
      <c r="F366" s="2" t="s">
        <v>7215</v>
      </c>
      <c r="G366" s="2">
        <v>50</v>
      </c>
    </row>
    <row r="367" spans="1:7" ht="15.75" customHeight="1">
      <c r="A367" s="2" t="s">
        <v>7174</v>
      </c>
      <c r="B367" s="2" t="s">
        <v>7179</v>
      </c>
      <c r="C367" s="2" t="s">
        <v>7615</v>
      </c>
      <c r="D367" s="2" t="s">
        <v>7270</v>
      </c>
      <c r="E367" s="2" t="s">
        <v>7215</v>
      </c>
      <c r="F367" s="2" t="s">
        <v>7215</v>
      </c>
      <c r="G367" s="2">
        <v>32768</v>
      </c>
    </row>
    <row r="368" spans="1:7" ht="15.75" customHeight="1">
      <c r="A368" s="2" t="s">
        <v>7174</v>
      </c>
      <c r="B368" s="2" t="s">
        <v>7179</v>
      </c>
      <c r="C368" s="2" t="s">
        <v>7395</v>
      </c>
      <c r="D368" s="2" t="s">
        <v>7284</v>
      </c>
      <c r="E368" s="2" t="s">
        <v>7215</v>
      </c>
      <c r="F368" s="2" t="s">
        <v>7215</v>
      </c>
      <c r="G368" s="2">
        <v>1300</v>
      </c>
    </row>
    <row r="369" spans="1:7" ht="15.75" customHeight="1">
      <c r="A369" s="2" t="s">
        <v>7174</v>
      </c>
      <c r="B369" s="2" t="s">
        <v>7179</v>
      </c>
      <c r="C369" s="2" t="s">
        <v>7616</v>
      </c>
      <c r="D369" s="2" t="s">
        <v>7235</v>
      </c>
      <c r="E369" s="2" t="s">
        <v>538</v>
      </c>
      <c r="F369" s="2" t="s">
        <v>538</v>
      </c>
      <c r="G369" s="2">
        <v>0</v>
      </c>
    </row>
    <row r="370" spans="1:7" ht="15.75" customHeight="1">
      <c r="A370" s="2" t="s">
        <v>7174</v>
      </c>
      <c r="B370" s="2" t="s">
        <v>7179</v>
      </c>
      <c r="C370" s="2" t="s">
        <v>7408</v>
      </c>
      <c r="D370" s="2" t="s">
        <v>7284</v>
      </c>
      <c r="E370" s="2" t="s">
        <v>7215</v>
      </c>
      <c r="F370" s="2" t="s">
        <v>7215</v>
      </c>
      <c r="G370" s="2">
        <v>1300</v>
      </c>
    </row>
    <row r="371" spans="1:7" ht="15.75" customHeight="1">
      <c r="A371" s="2" t="s">
        <v>7174</v>
      </c>
      <c r="B371" s="2" t="s">
        <v>7179</v>
      </c>
      <c r="C371" s="2" t="s">
        <v>7617</v>
      </c>
      <c r="D371" s="2" t="s">
        <v>7618</v>
      </c>
      <c r="E371" s="2" t="s">
        <v>7215</v>
      </c>
      <c r="F371" s="2" t="s">
        <v>7215</v>
      </c>
      <c r="G371" s="2">
        <v>255</v>
      </c>
    </row>
    <row r="372" spans="1:7" ht="15.75" customHeight="1">
      <c r="A372" s="2" t="s">
        <v>7174</v>
      </c>
      <c r="B372" s="2" t="s">
        <v>7179</v>
      </c>
      <c r="C372" s="2" t="s">
        <v>7619</v>
      </c>
      <c r="D372" s="2" t="s">
        <v>7284</v>
      </c>
      <c r="E372" s="2" t="s">
        <v>7215</v>
      </c>
      <c r="F372" s="2" t="s">
        <v>7215</v>
      </c>
      <c r="G372" s="2">
        <v>1300</v>
      </c>
    </row>
    <row r="373" spans="1:7" ht="15.75" customHeight="1">
      <c r="A373" s="2" t="s">
        <v>7174</v>
      </c>
      <c r="B373" s="2" t="s">
        <v>7179</v>
      </c>
      <c r="C373" s="2" t="s">
        <v>7620</v>
      </c>
      <c r="D373" s="2" t="s">
        <v>7216</v>
      </c>
      <c r="E373" s="2" t="s">
        <v>7215</v>
      </c>
      <c r="F373" s="2" t="s">
        <v>7215</v>
      </c>
      <c r="G373" s="2">
        <v>255</v>
      </c>
    </row>
    <row r="374" spans="1:7" ht="15.75" customHeight="1">
      <c r="A374" s="2" t="s">
        <v>7174</v>
      </c>
      <c r="B374" s="2" t="s">
        <v>7179</v>
      </c>
      <c r="C374" s="2" t="s">
        <v>7621</v>
      </c>
      <c r="D374" s="2" t="s">
        <v>7284</v>
      </c>
      <c r="E374" s="2" t="s">
        <v>7215</v>
      </c>
      <c r="F374" s="2" t="s">
        <v>7215</v>
      </c>
      <c r="G374" s="2">
        <v>1300</v>
      </c>
    </row>
    <row r="375" spans="1:7" ht="15.75" customHeight="1">
      <c r="A375" s="2" t="s">
        <v>7174</v>
      </c>
      <c r="B375" s="2" t="s">
        <v>7179</v>
      </c>
      <c r="C375" s="2" t="s">
        <v>7622</v>
      </c>
      <c r="D375" s="2" t="s">
        <v>7284</v>
      </c>
      <c r="E375" s="2" t="s">
        <v>7215</v>
      </c>
      <c r="F375" s="2" t="s">
        <v>7215</v>
      </c>
      <c r="G375" s="2">
        <v>1300</v>
      </c>
    </row>
    <row r="376" spans="1:7" ht="15.75" customHeight="1">
      <c r="A376" s="2" t="s">
        <v>7174</v>
      </c>
      <c r="B376" s="2" t="s">
        <v>7179</v>
      </c>
      <c r="C376" s="2" t="s">
        <v>7623</v>
      </c>
      <c r="D376" s="2" t="s">
        <v>7284</v>
      </c>
      <c r="E376" s="2" t="s">
        <v>7215</v>
      </c>
      <c r="F376" s="2" t="s">
        <v>7215</v>
      </c>
      <c r="G376" s="2">
        <v>1300</v>
      </c>
    </row>
    <row r="377" spans="1:7" ht="15.75" customHeight="1">
      <c r="A377" s="2" t="s">
        <v>7174</v>
      </c>
      <c r="B377" s="2" t="s">
        <v>7179</v>
      </c>
      <c r="C377" s="2" t="s">
        <v>7624</v>
      </c>
      <c r="D377" s="2" t="s">
        <v>7284</v>
      </c>
      <c r="E377" s="2" t="s">
        <v>7215</v>
      </c>
      <c r="F377" s="2" t="s">
        <v>7215</v>
      </c>
      <c r="G377" s="2">
        <v>1300</v>
      </c>
    </row>
    <row r="378" spans="1:7" ht="15.75" customHeight="1">
      <c r="A378" s="2" t="s">
        <v>7174</v>
      </c>
      <c r="B378" s="2" t="s">
        <v>7179</v>
      </c>
      <c r="C378" s="2" t="s">
        <v>7625</v>
      </c>
      <c r="D378" s="2" t="s">
        <v>7282</v>
      </c>
      <c r="E378" s="2" t="s">
        <v>7215</v>
      </c>
      <c r="F378" s="2" t="s">
        <v>7215</v>
      </c>
      <c r="G378" s="2">
        <v>100</v>
      </c>
    </row>
    <row r="379" spans="1:7" ht="15.75" customHeight="1">
      <c r="A379" s="2" t="s">
        <v>7174</v>
      </c>
      <c r="B379" s="2" t="s">
        <v>7179</v>
      </c>
      <c r="C379" s="2" t="s">
        <v>7626</v>
      </c>
      <c r="D379" s="2" t="s">
        <v>7216</v>
      </c>
      <c r="E379" s="2" t="s">
        <v>7215</v>
      </c>
      <c r="F379" s="2" t="s">
        <v>7215</v>
      </c>
      <c r="G379" s="2">
        <v>255</v>
      </c>
    </row>
    <row r="380" spans="1:7" ht="15.75" customHeight="1">
      <c r="A380" s="2" t="s">
        <v>7174</v>
      </c>
      <c r="B380" s="2" t="s">
        <v>7179</v>
      </c>
      <c r="C380" s="2" t="s">
        <v>7627</v>
      </c>
      <c r="D380" s="2" t="s">
        <v>7515</v>
      </c>
      <c r="E380" s="2" t="s">
        <v>7278</v>
      </c>
      <c r="F380" s="2" t="s">
        <v>7278</v>
      </c>
      <c r="G380" s="2">
        <v>0</v>
      </c>
    </row>
    <row r="381" spans="1:7" ht="15.75" customHeight="1">
      <c r="A381" s="2" t="s">
        <v>7174</v>
      </c>
      <c r="B381" s="2" t="s">
        <v>7179</v>
      </c>
      <c r="C381" s="2" t="s">
        <v>7628</v>
      </c>
      <c r="D381" s="2" t="s">
        <v>7515</v>
      </c>
      <c r="E381" s="2" t="s">
        <v>7278</v>
      </c>
      <c r="F381" s="2" t="s">
        <v>7278</v>
      </c>
      <c r="G381" s="2">
        <v>0</v>
      </c>
    </row>
    <row r="382" spans="1:7" ht="15.75" customHeight="1">
      <c r="A382" s="2" t="s">
        <v>7174</v>
      </c>
      <c r="B382" s="2" t="s">
        <v>7179</v>
      </c>
      <c r="C382" s="2" t="s">
        <v>7629</v>
      </c>
      <c r="D382" s="2" t="s">
        <v>7515</v>
      </c>
      <c r="E382" s="2" t="s">
        <v>7278</v>
      </c>
      <c r="F382" s="2" t="s">
        <v>7278</v>
      </c>
      <c r="G382" s="2">
        <v>0</v>
      </c>
    </row>
    <row r="383" spans="1:7" ht="15.75" customHeight="1">
      <c r="A383" s="2" t="s">
        <v>7174</v>
      </c>
      <c r="B383" s="2" t="s">
        <v>7179</v>
      </c>
      <c r="C383" s="2" t="s">
        <v>7630</v>
      </c>
      <c r="D383" s="2" t="s">
        <v>7515</v>
      </c>
      <c r="E383" s="2" t="s">
        <v>7278</v>
      </c>
      <c r="F383" s="2" t="s">
        <v>7278</v>
      </c>
      <c r="G383" s="2">
        <v>0</v>
      </c>
    </row>
    <row r="384" spans="1:7" ht="15.75" customHeight="1">
      <c r="A384" s="2" t="s">
        <v>7174</v>
      </c>
      <c r="B384" s="2" t="s">
        <v>7179</v>
      </c>
      <c r="C384" s="2" t="s">
        <v>7631</v>
      </c>
      <c r="D384" s="2" t="s">
        <v>7515</v>
      </c>
      <c r="E384" s="2" t="s">
        <v>7278</v>
      </c>
      <c r="F384" s="2" t="s">
        <v>7278</v>
      </c>
      <c r="G384" s="2">
        <v>0</v>
      </c>
    </row>
    <row r="385" spans="1:7" ht="15.75" customHeight="1">
      <c r="A385" s="2" t="s">
        <v>7174</v>
      </c>
      <c r="B385" s="2" t="s">
        <v>7179</v>
      </c>
      <c r="C385" s="2" t="s">
        <v>7632</v>
      </c>
      <c r="D385" s="2" t="s">
        <v>7515</v>
      </c>
      <c r="E385" s="2" t="s">
        <v>7278</v>
      </c>
      <c r="F385" s="2" t="s">
        <v>7278</v>
      </c>
      <c r="G385" s="2">
        <v>0</v>
      </c>
    </row>
    <row r="386" spans="1:7" ht="15.75" customHeight="1">
      <c r="A386" s="2" t="s">
        <v>7174</v>
      </c>
      <c r="B386" s="2" t="s">
        <v>7179</v>
      </c>
      <c r="C386" s="2" t="s">
        <v>7633</v>
      </c>
      <c r="D386" s="2" t="s">
        <v>7515</v>
      </c>
      <c r="E386" s="2" t="s">
        <v>7278</v>
      </c>
      <c r="F386" s="2" t="s">
        <v>7278</v>
      </c>
      <c r="G386" s="2">
        <v>0</v>
      </c>
    </row>
    <row r="387" spans="1:7" ht="15.75" customHeight="1">
      <c r="A387" s="2" t="s">
        <v>7174</v>
      </c>
      <c r="B387" s="2" t="s">
        <v>7179</v>
      </c>
      <c r="C387" s="2" t="s">
        <v>7634</v>
      </c>
      <c r="D387" s="2" t="s">
        <v>7515</v>
      </c>
      <c r="E387" s="2" t="s">
        <v>7278</v>
      </c>
      <c r="F387" s="2" t="s">
        <v>7278</v>
      </c>
      <c r="G387" s="2">
        <v>0</v>
      </c>
    </row>
    <row r="388" spans="1:7" ht="15.75" customHeight="1">
      <c r="A388" s="2" t="s">
        <v>7174</v>
      </c>
      <c r="B388" s="2" t="s">
        <v>7179</v>
      </c>
      <c r="C388" s="2" t="s">
        <v>7635</v>
      </c>
      <c r="D388" s="2" t="s">
        <v>7515</v>
      </c>
      <c r="E388" s="2" t="s">
        <v>7278</v>
      </c>
      <c r="F388" s="2" t="s">
        <v>7278</v>
      </c>
      <c r="G388" s="2">
        <v>0</v>
      </c>
    </row>
    <row r="389" spans="1:7" ht="15.75" customHeight="1">
      <c r="A389" s="2" t="s">
        <v>7174</v>
      </c>
      <c r="B389" s="2" t="s">
        <v>7179</v>
      </c>
      <c r="C389" s="2" t="s">
        <v>7202</v>
      </c>
      <c r="D389" s="2" t="s">
        <v>7284</v>
      </c>
      <c r="E389" s="2" t="s">
        <v>7215</v>
      </c>
      <c r="F389" s="2" t="s">
        <v>7215</v>
      </c>
      <c r="G389" s="2">
        <v>1300</v>
      </c>
    </row>
    <row r="390" spans="1:7" ht="15.75" customHeight="1">
      <c r="A390" s="2" t="s">
        <v>7174</v>
      </c>
      <c r="B390" s="2" t="s">
        <v>7179</v>
      </c>
      <c r="C390" s="2" t="s">
        <v>7636</v>
      </c>
      <c r="D390" s="2" t="s">
        <v>7270</v>
      </c>
      <c r="E390" s="2" t="s">
        <v>7215</v>
      </c>
      <c r="F390" s="2" t="s">
        <v>7215</v>
      </c>
      <c r="G390" s="2">
        <v>32768</v>
      </c>
    </row>
    <row r="391" spans="1:7" ht="15.75" customHeight="1">
      <c r="A391" s="2" t="s">
        <v>7174</v>
      </c>
      <c r="B391" s="2" t="s">
        <v>7179</v>
      </c>
      <c r="C391" s="2" t="s">
        <v>7637</v>
      </c>
      <c r="D391" s="2" t="s">
        <v>7216</v>
      </c>
      <c r="E391" s="2" t="s">
        <v>7215</v>
      </c>
      <c r="F391" s="2" t="s">
        <v>7215</v>
      </c>
      <c r="G391" s="2">
        <v>255</v>
      </c>
    </row>
    <row r="392" spans="1:7" ht="15.75" customHeight="1">
      <c r="A392" s="2" t="s">
        <v>7174</v>
      </c>
      <c r="B392" s="2" t="s">
        <v>7179</v>
      </c>
      <c r="C392" s="2" t="s">
        <v>7638</v>
      </c>
      <c r="D392" s="2" t="s">
        <v>7284</v>
      </c>
      <c r="E392" s="2" t="s">
        <v>7215</v>
      </c>
      <c r="F392" s="2" t="s">
        <v>7215</v>
      </c>
      <c r="G392" s="2">
        <v>1300</v>
      </c>
    </row>
    <row r="393" spans="1:7" ht="15.75" customHeight="1">
      <c r="A393" s="2" t="s">
        <v>7174</v>
      </c>
      <c r="B393" s="2" t="s">
        <v>7179</v>
      </c>
      <c r="C393" s="2" t="s">
        <v>7639</v>
      </c>
      <c r="D393" s="2" t="s">
        <v>7512</v>
      </c>
      <c r="E393" s="2" t="s">
        <v>7278</v>
      </c>
      <c r="F393" s="2" t="s">
        <v>7278</v>
      </c>
      <c r="G393" s="2">
        <v>0</v>
      </c>
    </row>
    <row r="394" spans="1:7" ht="15.75" customHeight="1">
      <c r="A394" s="2" t="s">
        <v>7174</v>
      </c>
      <c r="B394" s="2" t="s">
        <v>7179</v>
      </c>
      <c r="C394" s="2" t="s">
        <v>7483</v>
      </c>
      <c r="D394" s="2" t="s">
        <v>7259</v>
      </c>
      <c r="E394" s="2" t="s">
        <v>7215</v>
      </c>
      <c r="F394" s="2" t="s">
        <v>7215</v>
      </c>
      <c r="G394" s="2">
        <v>255</v>
      </c>
    </row>
    <row r="395" spans="1:7" ht="15.75" customHeight="1">
      <c r="A395" s="2" t="s">
        <v>7174</v>
      </c>
      <c r="B395" s="2" t="s">
        <v>7179</v>
      </c>
      <c r="C395" s="2" t="s">
        <v>7484</v>
      </c>
      <c r="D395" s="2" t="s">
        <v>7216</v>
      </c>
      <c r="E395" s="2" t="s">
        <v>7215</v>
      </c>
      <c r="F395" s="2" t="s">
        <v>7215</v>
      </c>
      <c r="G395" s="2">
        <v>255</v>
      </c>
    </row>
    <row r="396" spans="1:7" ht="15.75" customHeight="1">
      <c r="A396" s="2" t="s">
        <v>7174</v>
      </c>
      <c r="B396" s="2" t="s">
        <v>7179</v>
      </c>
      <c r="C396" s="2" t="s">
        <v>7485</v>
      </c>
      <c r="D396" s="2" t="s">
        <v>7216</v>
      </c>
      <c r="E396" s="2" t="s">
        <v>7215</v>
      </c>
      <c r="F396" s="2" t="s">
        <v>7215</v>
      </c>
      <c r="G396" s="2">
        <v>255</v>
      </c>
    </row>
    <row r="397" spans="1:7" ht="15.75" customHeight="1">
      <c r="A397" s="2" t="s">
        <v>7174</v>
      </c>
      <c r="B397" s="2" t="s">
        <v>7179</v>
      </c>
      <c r="C397" s="2" t="s">
        <v>7640</v>
      </c>
      <c r="D397" s="2" t="s">
        <v>7216</v>
      </c>
      <c r="E397" s="2" t="s">
        <v>7215</v>
      </c>
      <c r="F397" s="2" t="s">
        <v>7215</v>
      </c>
      <c r="G397" s="2">
        <v>255</v>
      </c>
    </row>
    <row r="398" spans="1:7" ht="15.75" customHeight="1">
      <c r="A398" s="2" t="s">
        <v>7174</v>
      </c>
      <c r="B398" s="2" t="s">
        <v>7179</v>
      </c>
      <c r="C398" s="2" t="s">
        <v>7641</v>
      </c>
      <c r="D398" s="2" t="s">
        <v>7259</v>
      </c>
      <c r="E398" s="2" t="s">
        <v>7215</v>
      </c>
      <c r="F398" s="2" t="s">
        <v>7215</v>
      </c>
      <c r="G398" s="2">
        <v>255</v>
      </c>
    </row>
    <row r="399" spans="1:7" ht="15.75" customHeight="1">
      <c r="A399" s="2" t="s">
        <v>7174</v>
      </c>
      <c r="B399" s="2" t="s">
        <v>7179</v>
      </c>
      <c r="C399" s="2" t="s">
        <v>7642</v>
      </c>
      <c r="D399" s="2" t="s">
        <v>7216</v>
      </c>
      <c r="E399" s="2" t="s">
        <v>7215</v>
      </c>
      <c r="F399" s="2" t="s">
        <v>7215</v>
      </c>
      <c r="G399" s="2">
        <v>255</v>
      </c>
    </row>
    <row r="400" spans="1:7" ht="15.75" customHeight="1">
      <c r="A400" s="2" t="s">
        <v>7174</v>
      </c>
      <c r="B400" s="2" t="s">
        <v>7179</v>
      </c>
      <c r="C400" s="2" t="s">
        <v>7643</v>
      </c>
      <c r="D400" s="2" t="s">
        <v>7216</v>
      </c>
      <c r="E400" s="2" t="s">
        <v>7215</v>
      </c>
      <c r="F400" s="2" t="s">
        <v>7215</v>
      </c>
      <c r="G400" s="2">
        <v>255</v>
      </c>
    </row>
    <row r="401" spans="1:7" ht="15.75" customHeight="1">
      <c r="A401" s="2" t="s">
        <v>7174</v>
      </c>
      <c r="B401" s="2" t="s">
        <v>7179</v>
      </c>
      <c r="C401" s="2" t="s">
        <v>7644</v>
      </c>
      <c r="D401" s="2" t="s">
        <v>7521</v>
      </c>
      <c r="E401" s="2" t="s">
        <v>7215</v>
      </c>
      <c r="F401" s="2" t="s">
        <v>7215</v>
      </c>
      <c r="G401" s="2">
        <v>255</v>
      </c>
    </row>
    <row r="402" spans="1:7" ht="15.75" customHeight="1">
      <c r="A402" s="2" t="s">
        <v>7174</v>
      </c>
      <c r="B402" s="2" t="s">
        <v>7179</v>
      </c>
      <c r="C402" s="2" t="s">
        <v>7487</v>
      </c>
      <c r="D402" s="2" t="s">
        <v>7259</v>
      </c>
      <c r="E402" s="2" t="s">
        <v>7215</v>
      </c>
      <c r="F402" s="2" t="s">
        <v>7215</v>
      </c>
      <c r="G402" s="2">
        <v>255</v>
      </c>
    </row>
    <row r="403" spans="1:7" ht="15.75" customHeight="1">
      <c r="A403" s="2" t="s">
        <v>7174</v>
      </c>
      <c r="B403" s="2" t="s">
        <v>7179</v>
      </c>
      <c r="C403" s="2" t="s">
        <v>7488</v>
      </c>
      <c r="D403" s="2" t="s">
        <v>7259</v>
      </c>
      <c r="E403" s="2" t="s">
        <v>7215</v>
      </c>
      <c r="F403" s="2" t="s">
        <v>7215</v>
      </c>
      <c r="G403" s="2">
        <v>255</v>
      </c>
    </row>
    <row r="404" spans="1:7" ht="15.75" customHeight="1">
      <c r="A404" s="2" t="s">
        <v>7174</v>
      </c>
      <c r="B404" s="2" t="s">
        <v>7179</v>
      </c>
      <c r="C404" s="2" t="s">
        <v>7489</v>
      </c>
      <c r="D404" s="2" t="s">
        <v>7259</v>
      </c>
      <c r="E404" s="2" t="s">
        <v>7215</v>
      </c>
      <c r="F404" s="2" t="s">
        <v>7215</v>
      </c>
      <c r="G404" s="2">
        <v>255</v>
      </c>
    </row>
    <row r="405" spans="1:7" ht="15.75" customHeight="1">
      <c r="A405" s="2" t="s">
        <v>7174</v>
      </c>
      <c r="B405" s="2" t="s">
        <v>7179</v>
      </c>
      <c r="C405" s="2" t="s">
        <v>7490</v>
      </c>
      <c r="D405" s="2" t="s">
        <v>7259</v>
      </c>
      <c r="E405" s="2" t="s">
        <v>7215</v>
      </c>
      <c r="F405" s="2" t="s">
        <v>7215</v>
      </c>
      <c r="G405" s="2">
        <v>255</v>
      </c>
    </row>
    <row r="406" spans="1:7" ht="15.75" customHeight="1">
      <c r="A406" s="2" t="s">
        <v>7174</v>
      </c>
      <c r="B406" s="2" t="s">
        <v>7179</v>
      </c>
      <c r="C406" s="2" t="s">
        <v>7491</v>
      </c>
      <c r="D406" s="2" t="s">
        <v>7259</v>
      </c>
      <c r="E406" s="2" t="s">
        <v>7215</v>
      </c>
      <c r="F406" s="2" t="s">
        <v>7215</v>
      </c>
      <c r="G406" s="2">
        <v>255</v>
      </c>
    </row>
    <row r="407" spans="1:7" ht="15.75" customHeight="1">
      <c r="A407" s="2" t="s">
        <v>7174</v>
      </c>
      <c r="B407" s="2" t="s">
        <v>7179</v>
      </c>
      <c r="C407" s="2" t="s">
        <v>7492</v>
      </c>
      <c r="D407" s="2" t="s">
        <v>7259</v>
      </c>
      <c r="E407" s="2" t="s">
        <v>7215</v>
      </c>
      <c r="F407" s="2" t="s">
        <v>7215</v>
      </c>
      <c r="G407" s="2">
        <v>255</v>
      </c>
    </row>
    <row r="408" spans="1:7" ht="15.75" customHeight="1">
      <c r="A408" s="2" t="s">
        <v>7174</v>
      </c>
      <c r="B408" s="2" t="s">
        <v>7179</v>
      </c>
      <c r="C408" s="2" t="s">
        <v>7493</v>
      </c>
      <c r="D408" s="2" t="s">
        <v>7259</v>
      </c>
      <c r="E408" s="2" t="s">
        <v>7215</v>
      </c>
      <c r="F408" s="2" t="s">
        <v>7215</v>
      </c>
      <c r="G408" s="2">
        <v>255</v>
      </c>
    </row>
    <row r="409" spans="1:7" ht="15.75" customHeight="1">
      <c r="A409" s="2" t="s">
        <v>7174</v>
      </c>
      <c r="B409" s="2" t="s">
        <v>7179</v>
      </c>
      <c r="C409" s="2" t="s">
        <v>7494</v>
      </c>
      <c r="D409" s="2" t="s">
        <v>7259</v>
      </c>
      <c r="E409" s="2" t="s">
        <v>7215</v>
      </c>
      <c r="F409" s="2" t="s">
        <v>7215</v>
      </c>
      <c r="G409" s="2">
        <v>255</v>
      </c>
    </row>
    <row r="410" spans="1:7" ht="15.75" customHeight="1">
      <c r="A410" s="2" t="s">
        <v>7174</v>
      </c>
      <c r="B410" s="2" t="s">
        <v>7179</v>
      </c>
      <c r="C410" s="2" t="s">
        <v>7495</v>
      </c>
      <c r="D410" s="2" t="s">
        <v>7259</v>
      </c>
      <c r="E410" s="2" t="s">
        <v>7215</v>
      </c>
      <c r="F410" s="2" t="s">
        <v>7215</v>
      </c>
      <c r="G410" s="2">
        <v>255</v>
      </c>
    </row>
    <row r="411" spans="1:7" ht="15.75" customHeight="1">
      <c r="A411" s="2" t="s">
        <v>7174</v>
      </c>
      <c r="B411" s="2" t="s">
        <v>7179</v>
      </c>
      <c r="C411" s="2" t="s">
        <v>7645</v>
      </c>
      <c r="D411" s="2" t="s">
        <v>7259</v>
      </c>
      <c r="E411" s="2" t="s">
        <v>7215</v>
      </c>
      <c r="F411" s="2" t="s">
        <v>7215</v>
      </c>
      <c r="G411" s="2">
        <v>255</v>
      </c>
    </row>
    <row r="412" spans="1:7" ht="15.75" customHeight="1">
      <c r="A412" s="2" t="s">
        <v>7174</v>
      </c>
      <c r="B412" s="2" t="s">
        <v>7179</v>
      </c>
      <c r="C412" s="2" t="s">
        <v>7646</v>
      </c>
      <c r="D412" s="2" t="s">
        <v>7216</v>
      </c>
      <c r="E412" s="2" t="s">
        <v>7215</v>
      </c>
      <c r="F412" s="2" t="s">
        <v>7215</v>
      </c>
      <c r="G412" s="2">
        <v>255</v>
      </c>
    </row>
    <row r="413" spans="1:7" ht="15.75" customHeight="1">
      <c r="A413" s="2" t="s">
        <v>7174</v>
      </c>
      <c r="B413" s="2" t="s">
        <v>7179</v>
      </c>
      <c r="C413" s="2" t="s">
        <v>7647</v>
      </c>
      <c r="D413" s="2" t="s">
        <v>7216</v>
      </c>
      <c r="E413" s="2" t="s">
        <v>7215</v>
      </c>
      <c r="F413" s="2" t="s">
        <v>7215</v>
      </c>
      <c r="G413" s="2">
        <v>255</v>
      </c>
    </row>
    <row r="414" spans="1:7" ht="15.75" customHeight="1">
      <c r="A414" s="2" t="s">
        <v>7174</v>
      </c>
      <c r="B414" s="2" t="s">
        <v>7179</v>
      </c>
      <c r="C414" s="2" t="s">
        <v>7648</v>
      </c>
      <c r="D414" s="2" t="s">
        <v>7521</v>
      </c>
      <c r="E414" s="2" t="s">
        <v>7215</v>
      </c>
      <c r="F414" s="2" t="s">
        <v>7215</v>
      </c>
      <c r="G414" s="2">
        <v>255</v>
      </c>
    </row>
    <row r="415" spans="1:7" ht="15.75" customHeight="1">
      <c r="A415" s="2" t="s">
        <v>7174</v>
      </c>
      <c r="B415" s="2" t="s">
        <v>7179</v>
      </c>
      <c r="C415" s="2" t="s">
        <v>7649</v>
      </c>
      <c r="D415" s="2" t="s">
        <v>7216</v>
      </c>
      <c r="E415" s="2" t="s">
        <v>7215</v>
      </c>
      <c r="F415" s="2" t="s">
        <v>7215</v>
      </c>
      <c r="G415" s="2">
        <v>255</v>
      </c>
    </row>
    <row r="416" spans="1:7" ht="15.75" customHeight="1">
      <c r="A416" s="2" t="s">
        <v>7174</v>
      </c>
      <c r="B416" s="2" t="s">
        <v>7179</v>
      </c>
      <c r="C416" s="2" t="s">
        <v>7650</v>
      </c>
      <c r="D416" s="2" t="s">
        <v>7284</v>
      </c>
      <c r="E416" s="2" t="s">
        <v>7215</v>
      </c>
      <c r="F416" s="2" t="s">
        <v>7215</v>
      </c>
      <c r="G416" s="2">
        <v>1300</v>
      </c>
    </row>
    <row r="417" spans="1:7" ht="15.75" customHeight="1">
      <c r="A417" s="2" t="s">
        <v>7174</v>
      </c>
      <c r="B417" s="2" t="s">
        <v>7179</v>
      </c>
      <c r="C417" s="2" t="s">
        <v>7651</v>
      </c>
      <c r="D417" s="2" t="s">
        <v>7284</v>
      </c>
      <c r="E417" s="2" t="s">
        <v>7215</v>
      </c>
      <c r="F417" s="2" t="s">
        <v>7215</v>
      </c>
      <c r="G417" s="2">
        <v>1300</v>
      </c>
    </row>
    <row r="418" spans="1:7" ht="15.75" customHeight="1">
      <c r="A418" s="2" t="s">
        <v>7174</v>
      </c>
      <c r="B418" s="2" t="s">
        <v>7179</v>
      </c>
      <c r="C418" s="2" t="s">
        <v>7652</v>
      </c>
      <c r="D418" s="2" t="s">
        <v>7284</v>
      </c>
      <c r="E418" s="2" t="s">
        <v>7215</v>
      </c>
      <c r="F418" s="2" t="s">
        <v>7215</v>
      </c>
      <c r="G418" s="2">
        <v>1300</v>
      </c>
    </row>
    <row r="419" spans="1:7" ht="15.75" customHeight="1">
      <c r="A419" s="2" t="s">
        <v>7174</v>
      </c>
      <c r="B419" s="2" t="s">
        <v>7179</v>
      </c>
      <c r="C419" s="2" t="s">
        <v>7653</v>
      </c>
      <c r="D419" s="2" t="s">
        <v>7284</v>
      </c>
      <c r="E419" s="2" t="s">
        <v>7215</v>
      </c>
      <c r="F419" s="2" t="s">
        <v>7215</v>
      </c>
      <c r="G419" s="2">
        <v>1300</v>
      </c>
    </row>
    <row r="420" spans="1:7" ht="15.75" customHeight="1">
      <c r="A420" s="2" t="s">
        <v>7174</v>
      </c>
      <c r="B420" s="2" t="s">
        <v>7179</v>
      </c>
      <c r="C420" s="2" t="s">
        <v>7654</v>
      </c>
      <c r="D420" s="2" t="s">
        <v>7284</v>
      </c>
      <c r="E420" s="2" t="s">
        <v>7215</v>
      </c>
      <c r="F420" s="2" t="s">
        <v>7215</v>
      </c>
      <c r="G420" s="2">
        <v>1300</v>
      </c>
    </row>
    <row r="421" spans="1:7" ht="15.75" customHeight="1">
      <c r="A421" s="2" t="s">
        <v>7174</v>
      </c>
      <c r="B421" s="2" t="s">
        <v>7179</v>
      </c>
      <c r="C421" s="2" t="s">
        <v>7655</v>
      </c>
      <c r="D421" s="2" t="s">
        <v>7284</v>
      </c>
      <c r="E421" s="2" t="s">
        <v>7215</v>
      </c>
      <c r="F421" s="2" t="s">
        <v>7215</v>
      </c>
      <c r="G421" s="2">
        <v>1300</v>
      </c>
    </row>
    <row r="422" spans="1:7" ht="15.75" customHeight="1">
      <c r="A422" s="2" t="s">
        <v>7174</v>
      </c>
      <c r="B422" s="2" t="s">
        <v>7179</v>
      </c>
      <c r="C422" s="2" t="s">
        <v>7656</v>
      </c>
      <c r="D422" s="2" t="s">
        <v>7284</v>
      </c>
      <c r="E422" s="2" t="s">
        <v>7215</v>
      </c>
      <c r="F422" s="2" t="s">
        <v>7215</v>
      </c>
      <c r="G422" s="2">
        <v>1300</v>
      </c>
    </row>
    <row r="423" spans="1:7" ht="15.75" customHeight="1">
      <c r="A423" s="2" t="s">
        <v>7174</v>
      </c>
      <c r="B423" s="2" t="s">
        <v>7179</v>
      </c>
      <c r="C423" s="2" t="s">
        <v>7657</v>
      </c>
      <c r="D423" s="2" t="s">
        <v>7284</v>
      </c>
      <c r="E423" s="2" t="s">
        <v>7215</v>
      </c>
      <c r="F423" s="2" t="s">
        <v>7215</v>
      </c>
      <c r="G423" s="2">
        <v>1300</v>
      </c>
    </row>
    <row r="424" spans="1:7" ht="15.75" customHeight="1">
      <c r="A424" s="2" t="s">
        <v>7174</v>
      </c>
      <c r="B424" s="2" t="s">
        <v>7179</v>
      </c>
      <c r="C424" s="2" t="s">
        <v>7658</v>
      </c>
      <c r="D424" s="2" t="s">
        <v>7284</v>
      </c>
      <c r="E424" s="2" t="s">
        <v>7215</v>
      </c>
      <c r="F424" s="2" t="s">
        <v>7215</v>
      </c>
      <c r="G424" s="2">
        <v>1300</v>
      </c>
    </row>
    <row r="425" spans="1:7" ht="15.75" customHeight="1">
      <c r="A425" s="2" t="s">
        <v>7174</v>
      </c>
      <c r="B425" s="2" t="s">
        <v>7179</v>
      </c>
      <c r="C425" s="2" t="s">
        <v>7659</v>
      </c>
      <c r="D425" s="2" t="s">
        <v>7284</v>
      </c>
      <c r="E425" s="2" t="s">
        <v>7215</v>
      </c>
      <c r="F425" s="2" t="s">
        <v>7215</v>
      </c>
      <c r="G425" s="2">
        <v>1300</v>
      </c>
    </row>
    <row r="426" spans="1:7" ht="15.75" customHeight="1">
      <c r="A426" s="2" t="s">
        <v>7174</v>
      </c>
      <c r="B426" s="2" t="s">
        <v>7179</v>
      </c>
      <c r="C426" s="2" t="s">
        <v>7660</v>
      </c>
      <c r="D426" s="2" t="s">
        <v>7284</v>
      </c>
      <c r="E426" s="2" t="s">
        <v>7215</v>
      </c>
      <c r="F426" s="2" t="s">
        <v>7215</v>
      </c>
      <c r="G426" s="2">
        <v>1300</v>
      </c>
    </row>
    <row r="427" spans="1:7" ht="15.75" customHeight="1">
      <c r="A427" s="2" t="s">
        <v>7174</v>
      </c>
      <c r="B427" s="2" t="s">
        <v>7179</v>
      </c>
      <c r="C427" s="2" t="s">
        <v>7498</v>
      </c>
      <c r="D427" s="2" t="s">
        <v>7499</v>
      </c>
      <c r="E427" s="2" t="s">
        <v>3897</v>
      </c>
      <c r="F427" s="2" t="s">
        <v>7210</v>
      </c>
      <c r="G427" s="2">
        <v>18</v>
      </c>
    </row>
    <row r="428" spans="1:7" ht="15.75" customHeight="1">
      <c r="A428" s="2" t="s">
        <v>7174</v>
      </c>
      <c r="B428" s="2" t="s">
        <v>7179</v>
      </c>
      <c r="C428" s="2" t="s">
        <v>7661</v>
      </c>
      <c r="D428" s="2" t="s">
        <v>7314</v>
      </c>
      <c r="E428" s="2" t="s">
        <v>7215</v>
      </c>
      <c r="F428" s="2" t="s">
        <v>7215</v>
      </c>
      <c r="G428" s="2">
        <v>32768</v>
      </c>
    </row>
    <row r="429" spans="1:7" ht="15.75" customHeight="1">
      <c r="A429" s="2" t="s">
        <v>7174</v>
      </c>
      <c r="B429" s="2" t="s">
        <v>7179</v>
      </c>
      <c r="C429" s="2" t="s">
        <v>7662</v>
      </c>
      <c r="D429" s="2" t="s">
        <v>7259</v>
      </c>
      <c r="E429" s="2" t="s">
        <v>7215</v>
      </c>
      <c r="F429" s="2" t="s">
        <v>7215</v>
      </c>
      <c r="G429" s="2">
        <v>255</v>
      </c>
    </row>
    <row r="430" spans="1:7" ht="15.75" customHeight="1">
      <c r="A430" s="2" t="s">
        <v>7174</v>
      </c>
      <c r="B430" s="2" t="s">
        <v>7179</v>
      </c>
      <c r="C430" s="2" t="s">
        <v>7663</v>
      </c>
      <c r="D430" s="2" t="s">
        <v>7259</v>
      </c>
      <c r="E430" s="2" t="s">
        <v>7215</v>
      </c>
      <c r="F430" s="2" t="s">
        <v>7215</v>
      </c>
      <c r="G430" s="2">
        <v>255</v>
      </c>
    </row>
    <row r="431" spans="1:7" ht="15.75" customHeight="1">
      <c r="A431" s="2" t="s">
        <v>7174</v>
      </c>
      <c r="B431" s="2" t="s">
        <v>7179</v>
      </c>
      <c r="C431" s="2" t="s">
        <v>7664</v>
      </c>
      <c r="D431" s="2" t="s">
        <v>7216</v>
      </c>
      <c r="E431" s="2" t="s">
        <v>7215</v>
      </c>
      <c r="F431" s="2" t="s">
        <v>7215</v>
      </c>
      <c r="G431" s="2">
        <v>255</v>
      </c>
    </row>
    <row r="432" spans="1:7" ht="15.75" customHeight="1">
      <c r="A432" s="2" t="s">
        <v>7174</v>
      </c>
      <c r="B432" s="2" t="s">
        <v>7179</v>
      </c>
      <c r="C432" s="2" t="s">
        <v>7665</v>
      </c>
      <c r="D432" s="2" t="s">
        <v>7521</v>
      </c>
      <c r="E432" s="2" t="s">
        <v>7215</v>
      </c>
      <c r="F432" s="2" t="s">
        <v>7215</v>
      </c>
      <c r="G432" s="2">
        <v>255</v>
      </c>
    </row>
    <row r="433" spans="1:7" ht="15.75" customHeight="1">
      <c r="A433" s="2" t="s">
        <v>7174</v>
      </c>
      <c r="B433" s="2" t="s">
        <v>7179</v>
      </c>
      <c r="C433" s="2" t="s">
        <v>7666</v>
      </c>
      <c r="D433" s="2" t="s">
        <v>7270</v>
      </c>
      <c r="E433" s="2" t="s">
        <v>7215</v>
      </c>
      <c r="F433" s="2" t="s">
        <v>7215</v>
      </c>
      <c r="G433" s="2">
        <v>32768</v>
      </c>
    </row>
    <row r="434" spans="1:7" ht="15.75" customHeight="1">
      <c r="A434" s="2" t="s">
        <v>7174</v>
      </c>
      <c r="B434" s="2" t="s">
        <v>7179</v>
      </c>
      <c r="C434" s="2" t="s">
        <v>7667</v>
      </c>
      <c r="D434" s="2" t="s">
        <v>7259</v>
      </c>
      <c r="E434" s="2" t="s">
        <v>7215</v>
      </c>
      <c r="F434" s="2" t="s">
        <v>7215</v>
      </c>
      <c r="G434" s="2">
        <v>255</v>
      </c>
    </row>
    <row r="435" spans="1:7" ht="15.75" customHeight="1">
      <c r="A435" s="2" t="s">
        <v>7174</v>
      </c>
      <c r="B435" s="2" t="s">
        <v>7179</v>
      </c>
      <c r="C435" s="2" t="s">
        <v>7668</v>
      </c>
      <c r="D435" s="2" t="s">
        <v>7259</v>
      </c>
      <c r="E435" s="2" t="s">
        <v>7215</v>
      </c>
      <c r="F435" s="2" t="s">
        <v>7215</v>
      </c>
      <c r="G435" s="2">
        <v>255</v>
      </c>
    </row>
    <row r="436" spans="1:7" ht="15.75" customHeight="1">
      <c r="A436" s="2" t="s">
        <v>7174</v>
      </c>
      <c r="B436" s="2" t="s">
        <v>7179</v>
      </c>
      <c r="C436" s="2" t="s">
        <v>7669</v>
      </c>
      <c r="D436" s="2" t="s">
        <v>7216</v>
      </c>
      <c r="E436" s="2" t="s">
        <v>7215</v>
      </c>
      <c r="F436" s="2" t="s">
        <v>7215</v>
      </c>
      <c r="G436" s="2">
        <v>255</v>
      </c>
    </row>
    <row r="437" spans="1:7" ht="15.75" customHeight="1">
      <c r="A437" s="2" t="s">
        <v>7174</v>
      </c>
      <c r="B437" s="2" t="s">
        <v>7179</v>
      </c>
      <c r="C437" s="2" t="s">
        <v>7670</v>
      </c>
      <c r="D437" s="2" t="s">
        <v>7521</v>
      </c>
      <c r="E437" s="2" t="s">
        <v>7215</v>
      </c>
      <c r="F437" s="2" t="s">
        <v>7215</v>
      </c>
      <c r="G437" s="2">
        <v>255</v>
      </c>
    </row>
    <row r="438" spans="1:7" ht="15.75" customHeight="1">
      <c r="A438" s="2" t="s">
        <v>7174</v>
      </c>
      <c r="B438" s="2" t="s">
        <v>7179</v>
      </c>
      <c r="C438" s="2" t="s">
        <v>7671</v>
      </c>
      <c r="D438" s="2" t="s">
        <v>7235</v>
      </c>
      <c r="E438" s="2" t="s">
        <v>538</v>
      </c>
      <c r="F438" s="2" t="s">
        <v>538</v>
      </c>
      <c r="G438" s="2">
        <v>0</v>
      </c>
    </row>
    <row r="439" spans="1:7" ht="15.75" customHeight="1">
      <c r="A439" s="2" t="s">
        <v>7174</v>
      </c>
      <c r="B439" s="2" t="s">
        <v>7179</v>
      </c>
      <c r="C439" s="2" t="s">
        <v>7529</v>
      </c>
      <c r="D439" s="2" t="s">
        <v>7216</v>
      </c>
      <c r="E439" s="2" t="s">
        <v>7215</v>
      </c>
      <c r="F439" s="2" t="s">
        <v>7215</v>
      </c>
      <c r="G439" s="2">
        <v>255</v>
      </c>
    </row>
    <row r="440" spans="1:7" ht="15.75" customHeight="1">
      <c r="A440" s="2" t="s">
        <v>7174</v>
      </c>
      <c r="B440" s="2" t="s">
        <v>7179</v>
      </c>
      <c r="C440" s="2" t="s">
        <v>7530</v>
      </c>
      <c r="D440" s="2" t="s">
        <v>7216</v>
      </c>
      <c r="E440" s="2" t="s">
        <v>7215</v>
      </c>
      <c r="F440" s="2" t="s">
        <v>7215</v>
      </c>
      <c r="G440" s="2">
        <v>255</v>
      </c>
    </row>
    <row r="441" spans="1:7" ht="15.75" customHeight="1">
      <c r="A441" s="2" t="s">
        <v>7174</v>
      </c>
      <c r="B441" s="2" t="s">
        <v>7179</v>
      </c>
      <c r="C441" s="2" t="s">
        <v>7531</v>
      </c>
      <c r="D441" s="2" t="s">
        <v>7216</v>
      </c>
      <c r="E441" s="2" t="s">
        <v>7215</v>
      </c>
      <c r="F441" s="2" t="s">
        <v>7215</v>
      </c>
      <c r="G441" s="2">
        <v>255</v>
      </c>
    </row>
    <row r="442" spans="1:7" ht="15.75" customHeight="1">
      <c r="A442" s="2" t="s">
        <v>7174</v>
      </c>
      <c r="B442" s="2" t="s">
        <v>7179</v>
      </c>
      <c r="C442" s="2" t="s">
        <v>7532</v>
      </c>
      <c r="D442" s="2" t="s">
        <v>7216</v>
      </c>
      <c r="E442" s="2" t="s">
        <v>7215</v>
      </c>
      <c r="F442" s="2" t="s">
        <v>7215</v>
      </c>
      <c r="G442" s="2">
        <v>255</v>
      </c>
    </row>
    <row r="443" spans="1:7" ht="15.75" customHeight="1">
      <c r="A443" s="2" t="s">
        <v>7174</v>
      </c>
      <c r="B443" s="2" t="s">
        <v>7179</v>
      </c>
      <c r="C443" s="2" t="s">
        <v>7533</v>
      </c>
      <c r="D443" s="2" t="s">
        <v>7216</v>
      </c>
      <c r="E443" s="2" t="s">
        <v>7215</v>
      </c>
      <c r="F443" s="2" t="s">
        <v>7215</v>
      </c>
      <c r="G443" s="2">
        <v>255</v>
      </c>
    </row>
    <row r="444" spans="1:7" ht="15.75" customHeight="1">
      <c r="A444" s="2" t="s">
        <v>7174</v>
      </c>
      <c r="B444" s="2" t="s">
        <v>7179</v>
      </c>
      <c r="C444" s="2" t="s">
        <v>7534</v>
      </c>
      <c r="D444" s="2" t="s">
        <v>7216</v>
      </c>
      <c r="E444" s="2" t="s">
        <v>7215</v>
      </c>
      <c r="F444" s="2" t="s">
        <v>7215</v>
      </c>
      <c r="G444" s="2">
        <v>255</v>
      </c>
    </row>
    <row r="445" spans="1:7" ht="15.75" customHeight="1">
      <c r="A445" s="2" t="s">
        <v>7174</v>
      </c>
      <c r="B445" s="2" t="s">
        <v>7179</v>
      </c>
      <c r="C445" s="2" t="s">
        <v>7535</v>
      </c>
      <c r="D445" s="2" t="s">
        <v>7216</v>
      </c>
      <c r="E445" s="2" t="s">
        <v>7215</v>
      </c>
      <c r="F445" s="2" t="s">
        <v>7215</v>
      </c>
      <c r="G445" s="2">
        <v>255</v>
      </c>
    </row>
    <row r="446" spans="1:7" ht="15.75" customHeight="1">
      <c r="A446" s="2" t="s">
        <v>7174</v>
      </c>
      <c r="B446" s="2" t="s">
        <v>7179</v>
      </c>
      <c r="C446" s="2" t="s">
        <v>7536</v>
      </c>
      <c r="D446" s="2" t="s">
        <v>7216</v>
      </c>
      <c r="E446" s="2" t="s">
        <v>7215</v>
      </c>
      <c r="F446" s="2" t="s">
        <v>7215</v>
      </c>
      <c r="G446" s="2">
        <v>255</v>
      </c>
    </row>
    <row r="447" spans="1:7" ht="15.75" customHeight="1">
      <c r="A447" s="2" t="s">
        <v>7174</v>
      </c>
      <c r="B447" s="2" t="s">
        <v>7181</v>
      </c>
      <c r="C447" s="2" t="s">
        <v>4304</v>
      </c>
      <c r="D447" s="2" t="s">
        <v>7209</v>
      </c>
      <c r="E447" s="2" t="s">
        <v>3897</v>
      </c>
      <c r="F447" s="2" t="s">
        <v>7210</v>
      </c>
      <c r="G447" s="2">
        <v>18</v>
      </c>
    </row>
    <row r="448" spans="1:7" ht="15.75" customHeight="1">
      <c r="A448" s="2" t="s">
        <v>7174</v>
      </c>
      <c r="B448" s="2" t="s">
        <v>7181</v>
      </c>
      <c r="C448" s="2" t="s">
        <v>7233</v>
      </c>
      <c r="D448" s="2" t="s">
        <v>7574</v>
      </c>
      <c r="E448" s="2" t="s">
        <v>3897</v>
      </c>
      <c r="F448" s="2" t="s">
        <v>7210</v>
      </c>
      <c r="G448" s="2">
        <v>18</v>
      </c>
    </row>
    <row r="449" spans="1:7" ht="15.75" customHeight="1">
      <c r="A449" s="2" t="s">
        <v>7174</v>
      </c>
      <c r="B449" s="2" t="s">
        <v>7181</v>
      </c>
      <c r="C449" s="2" t="s">
        <v>7211</v>
      </c>
      <c r="D449" s="2" t="s">
        <v>7212</v>
      </c>
      <c r="E449" s="2" t="s">
        <v>5672</v>
      </c>
      <c r="F449" s="2" t="s">
        <v>5672</v>
      </c>
      <c r="G449" s="2">
        <v>0</v>
      </c>
    </row>
    <row r="450" spans="1:7" ht="15.75" customHeight="1">
      <c r="A450" s="2" t="s">
        <v>7174</v>
      </c>
      <c r="B450" s="2" t="s">
        <v>7181</v>
      </c>
      <c r="C450" s="2" t="s">
        <v>4306</v>
      </c>
      <c r="D450" s="2" t="s">
        <v>6840</v>
      </c>
      <c r="E450" s="2" t="s">
        <v>7215</v>
      </c>
      <c r="F450" s="2" t="s">
        <v>7215</v>
      </c>
      <c r="G450" s="2">
        <v>255</v>
      </c>
    </row>
    <row r="451" spans="1:7" ht="15.75" customHeight="1">
      <c r="A451" s="2" t="s">
        <v>7174</v>
      </c>
      <c r="B451" s="2" t="s">
        <v>7181</v>
      </c>
      <c r="C451" s="2" t="s">
        <v>7135</v>
      </c>
      <c r="D451" s="2" t="s">
        <v>7235</v>
      </c>
      <c r="E451" s="2" t="s">
        <v>538</v>
      </c>
      <c r="F451" s="2" t="s">
        <v>538</v>
      </c>
      <c r="G451" s="2">
        <v>0</v>
      </c>
    </row>
    <row r="452" spans="1:7" ht="15.75" customHeight="1">
      <c r="A452" s="2" t="s">
        <v>7174</v>
      </c>
      <c r="B452" s="2" t="s">
        <v>7181</v>
      </c>
      <c r="C452" s="2" t="s">
        <v>7236</v>
      </c>
      <c r="D452" s="2" t="s">
        <v>7234</v>
      </c>
      <c r="E452" s="2" t="s">
        <v>3897</v>
      </c>
      <c r="F452" s="2" t="s">
        <v>7210</v>
      </c>
      <c r="G452" s="2">
        <v>18</v>
      </c>
    </row>
    <row r="453" spans="1:7" ht="15.75" customHeight="1">
      <c r="A453" s="2" t="s">
        <v>7174</v>
      </c>
      <c r="B453" s="2" t="s">
        <v>7181</v>
      </c>
      <c r="C453" s="2" t="s">
        <v>7176</v>
      </c>
      <c r="D453" s="2" t="s">
        <v>7235</v>
      </c>
      <c r="E453" s="2" t="s">
        <v>538</v>
      </c>
      <c r="F453" s="2" t="s">
        <v>538</v>
      </c>
      <c r="G453" s="2">
        <v>0</v>
      </c>
    </row>
    <row r="454" spans="1:7" ht="15.75" customHeight="1">
      <c r="A454" s="2" t="s">
        <v>7174</v>
      </c>
      <c r="B454" s="2" t="s">
        <v>7181</v>
      </c>
      <c r="C454" s="2" t="s">
        <v>7237</v>
      </c>
      <c r="D454" s="2" t="s">
        <v>7234</v>
      </c>
      <c r="E454" s="2" t="s">
        <v>3897</v>
      </c>
      <c r="F454" s="2" t="s">
        <v>7210</v>
      </c>
      <c r="G454" s="2">
        <v>18</v>
      </c>
    </row>
    <row r="455" spans="1:7" ht="15.75" customHeight="1">
      <c r="A455" s="2" t="s">
        <v>7174</v>
      </c>
      <c r="B455" s="2" t="s">
        <v>7181</v>
      </c>
      <c r="C455" s="2" t="s">
        <v>7238</v>
      </c>
      <c r="D455" s="2" t="s">
        <v>7235</v>
      </c>
      <c r="E455" s="2" t="s">
        <v>538</v>
      </c>
      <c r="F455" s="2" t="s">
        <v>538</v>
      </c>
      <c r="G455" s="2">
        <v>0</v>
      </c>
    </row>
    <row r="456" spans="1:7" ht="15.75" customHeight="1">
      <c r="A456" s="2" t="s">
        <v>7174</v>
      </c>
      <c r="B456" s="2" t="s">
        <v>7181</v>
      </c>
      <c r="C456" s="2" t="s">
        <v>7242</v>
      </c>
      <c r="D456" s="2" t="s">
        <v>7243</v>
      </c>
      <c r="E456" s="2" t="s">
        <v>3897</v>
      </c>
      <c r="F456" s="2" t="s">
        <v>7210</v>
      </c>
      <c r="G456" s="2">
        <v>18</v>
      </c>
    </row>
    <row r="457" spans="1:7" ht="15.75" customHeight="1">
      <c r="A457" s="2" t="s">
        <v>7174</v>
      </c>
      <c r="B457" s="2" t="s">
        <v>7181</v>
      </c>
      <c r="C457" s="2" t="s">
        <v>7672</v>
      </c>
      <c r="D457" s="2" t="s">
        <v>7234</v>
      </c>
      <c r="E457" s="2" t="s">
        <v>3897</v>
      </c>
      <c r="F457" s="2" t="s">
        <v>7210</v>
      </c>
      <c r="G457" s="2">
        <v>18</v>
      </c>
    </row>
    <row r="458" spans="1:7" ht="15.75" customHeight="1">
      <c r="A458" s="2" t="s">
        <v>7174</v>
      </c>
      <c r="B458" s="2" t="s">
        <v>7181</v>
      </c>
      <c r="C458" s="2" t="s">
        <v>7673</v>
      </c>
      <c r="D458" s="2" t="s">
        <v>7674</v>
      </c>
      <c r="E458" s="2" t="s">
        <v>3897</v>
      </c>
      <c r="F458" s="2" t="s">
        <v>7210</v>
      </c>
      <c r="G458" s="2">
        <v>18</v>
      </c>
    </row>
    <row r="459" spans="1:7" ht="15.75" customHeight="1">
      <c r="A459" s="2" t="s">
        <v>7174</v>
      </c>
      <c r="B459" s="2" t="s">
        <v>7181</v>
      </c>
      <c r="C459" s="2" t="s">
        <v>811</v>
      </c>
      <c r="D459" s="2" t="s">
        <v>7216</v>
      </c>
      <c r="E459" s="2" t="s">
        <v>7215</v>
      </c>
      <c r="F459" s="2" t="s">
        <v>7215</v>
      </c>
      <c r="G459" s="2">
        <v>255</v>
      </c>
    </row>
    <row r="460" spans="1:7" ht="15.75" customHeight="1">
      <c r="A460" s="2" t="s">
        <v>7174</v>
      </c>
      <c r="B460" s="2" t="s">
        <v>7181</v>
      </c>
      <c r="C460" s="2" t="s">
        <v>7675</v>
      </c>
      <c r="D460" s="2" t="s">
        <v>7676</v>
      </c>
      <c r="E460" s="2" t="s">
        <v>3897</v>
      </c>
      <c r="F460" s="2" t="s">
        <v>7210</v>
      </c>
      <c r="G460" s="2">
        <v>18</v>
      </c>
    </row>
    <row r="461" spans="1:7" ht="15.75" customHeight="1">
      <c r="A461" s="2" t="s">
        <v>7174</v>
      </c>
      <c r="B461" s="2" t="s">
        <v>7181</v>
      </c>
      <c r="C461" s="2" t="s">
        <v>7677</v>
      </c>
      <c r="D461" s="2" t="s">
        <v>7678</v>
      </c>
      <c r="E461" s="2" t="s">
        <v>3897</v>
      </c>
      <c r="F461" s="2" t="s">
        <v>7210</v>
      </c>
      <c r="G461" s="2">
        <v>18</v>
      </c>
    </row>
    <row r="462" spans="1:7" ht="15.75" customHeight="1">
      <c r="A462" s="2" t="s">
        <v>7174</v>
      </c>
      <c r="B462" s="2" t="s">
        <v>7181</v>
      </c>
      <c r="C462" s="2" t="s">
        <v>7679</v>
      </c>
      <c r="D462" s="2" t="s">
        <v>7680</v>
      </c>
      <c r="E462" s="2" t="s">
        <v>7278</v>
      </c>
      <c r="F462" s="2" t="s">
        <v>7278</v>
      </c>
      <c r="G462" s="2">
        <v>0</v>
      </c>
    </row>
    <row r="463" spans="1:7" ht="15.75" customHeight="1">
      <c r="A463" s="2" t="s">
        <v>7174</v>
      </c>
      <c r="B463" s="2" t="s">
        <v>7181</v>
      </c>
      <c r="C463" s="2" t="s">
        <v>7681</v>
      </c>
      <c r="D463" s="2" t="s">
        <v>7504</v>
      </c>
      <c r="E463" s="2" t="s">
        <v>7278</v>
      </c>
      <c r="F463" s="2" t="s">
        <v>7278</v>
      </c>
      <c r="G463" s="2">
        <v>0</v>
      </c>
    </row>
    <row r="464" spans="1:7" ht="15.75" customHeight="1">
      <c r="A464" s="2" t="s">
        <v>7174</v>
      </c>
      <c r="B464" s="2" t="s">
        <v>7181</v>
      </c>
      <c r="C464" s="2" t="s">
        <v>7682</v>
      </c>
      <c r="D464" s="2" t="s">
        <v>7235</v>
      </c>
      <c r="E464" s="2" t="s">
        <v>538</v>
      </c>
      <c r="F464" s="2" t="s">
        <v>538</v>
      </c>
      <c r="G464" s="2">
        <v>0</v>
      </c>
    </row>
    <row r="465" spans="1:7" ht="15.75" customHeight="1">
      <c r="A465" s="2" t="s">
        <v>7174</v>
      </c>
      <c r="B465" s="2" t="s">
        <v>7181</v>
      </c>
      <c r="C465" s="2" t="s">
        <v>7683</v>
      </c>
      <c r="D465" s="2" t="s">
        <v>7235</v>
      </c>
      <c r="E465" s="2" t="s">
        <v>538</v>
      </c>
      <c r="F465" s="2" t="s">
        <v>538</v>
      </c>
      <c r="G465" s="2">
        <v>0</v>
      </c>
    </row>
    <row r="466" spans="1:7" ht="15.75" customHeight="1">
      <c r="A466" s="2" t="s">
        <v>7174</v>
      </c>
      <c r="B466" s="2" t="s">
        <v>7181</v>
      </c>
      <c r="C466" s="2" t="s">
        <v>7684</v>
      </c>
      <c r="D466" s="2" t="s">
        <v>7235</v>
      </c>
      <c r="E466" s="2" t="s">
        <v>538</v>
      </c>
      <c r="F466" s="2" t="s">
        <v>538</v>
      </c>
      <c r="G466" s="2">
        <v>0</v>
      </c>
    </row>
    <row r="467" spans="1:7" ht="15.75" customHeight="1">
      <c r="A467" s="2" t="s">
        <v>7174</v>
      </c>
      <c r="B467" s="2" t="s">
        <v>7181</v>
      </c>
      <c r="C467" s="2" t="s">
        <v>7685</v>
      </c>
      <c r="D467" s="2" t="s">
        <v>7235</v>
      </c>
      <c r="E467" s="2" t="s">
        <v>538</v>
      </c>
      <c r="F467" s="2" t="s">
        <v>538</v>
      </c>
      <c r="G467" s="2">
        <v>0</v>
      </c>
    </row>
    <row r="468" spans="1:7" ht="15.75" customHeight="1">
      <c r="A468" s="2" t="s">
        <v>7174</v>
      </c>
      <c r="B468" s="2" t="s">
        <v>7181</v>
      </c>
      <c r="C468" s="2" t="s">
        <v>7686</v>
      </c>
      <c r="D468" s="2" t="s">
        <v>7687</v>
      </c>
      <c r="E468" s="2" t="s">
        <v>5664</v>
      </c>
      <c r="F468" s="2" t="s">
        <v>5664</v>
      </c>
      <c r="G468" s="2">
        <v>0</v>
      </c>
    </row>
    <row r="469" spans="1:7" ht="15.75" customHeight="1">
      <c r="A469" s="2" t="s">
        <v>7174</v>
      </c>
      <c r="B469" s="2" t="s">
        <v>7181</v>
      </c>
      <c r="C469" s="2" t="s">
        <v>7688</v>
      </c>
      <c r="D469" s="2" t="s">
        <v>7680</v>
      </c>
      <c r="E469" s="2" t="s">
        <v>7278</v>
      </c>
      <c r="F469" s="2" t="s">
        <v>7278</v>
      </c>
      <c r="G469" s="2">
        <v>0</v>
      </c>
    </row>
    <row r="470" spans="1:7" ht="15.75" customHeight="1">
      <c r="A470" s="2" t="s">
        <v>7174</v>
      </c>
      <c r="B470" s="2" t="s">
        <v>7181</v>
      </c>
      <c r="C470" s="2" t="s">
        <v>7689</v>
      </c>
      <c r="D470" s="2" t="s">
        <v>7690</v>
      </c>
      <c r="E470" s="2" t="s">
        <v>3897</v>
      </c>
      <c r="F470" s="2" t="s">
        <v>7210</v>
      </c>
      <c r="G470" s="2">
        <v>18</v>
      </c>
    </row>
    <row r="471" spans="1:7" ht="15.75" customHeight="1">
      <c r="A471" s="2" t="s">
        <v>7174</v>
      </c>
      <c r="B471" s="2" t="s">
        <v>7181</v>
      </c>
      <c r="C471" s="2" t="s">
        <v>7691</v>
      </c>
      <c r="D471" s="2" t="s">
        <v>7687</v>
      </c>
      <c r="E471" s="2" t="s">
        <v>5664</v>
      </c>
      <c r="F471" s="2" t="s">
        <v>5664</v>
      </c>
      <c r="G471" s="2">
        <v>0</v>
      </c>
    </row>
    <row r="472" spans="1:7" ht="15.75" customHeight="1">
      <c r="A472" s="2" t="s">
        <v>7174</v>
      </c>
      <c r="B472" s="2" t="s">
        <v>7181</v>
      </c>
      <c r="C472" s="2" t="s">
        <v>7692</v>
      </c>
      <c r="D472" s="2" t="s">
        <v>7235</v>
      </c>
      <c r="E472" s="2" t="s">
        <v>538</v>
      </c>
      <c r="F472" s="2" t="s">
        <v>538</v>
      </c>
      <c r="G472" s="2">
        <v>0</v>
      </c>
    </row>
    <row r="473" spans="1:7" ht="15.75" customHeight="1">
      <c r="A473" s="2" t="s">
        <v>7174</v>
      </c>
      <c r="B473" s="2" t="s">
        <v>7181</v>
      </c>
      <c r="C473" s="2" t="s">
        <v>7693</v>
      </c>
      <c r="D473" s="2" t="s">
        <v>7687</v>
      </c>
      <c r="E473" s="2" t="s">
        <v>5664</v>
      </c>
      <c r="F473" s="2" t="s">
        <v>5664</v>
      </c>
      <c r="G473" s="2">
        <v>0</v>
      </c>
    </row>
    <row r="474" spans="1:7" ht="15.75" customHeight="1">
      <c r="A474" s="2" t="s">
        <v>7174</v>
      </c>
      <c r="B474" s="2" t="s">
        <v>7181</v>
      </c>
      <c r="C474" s="2" t="s">
        <v>7694</v>
      </c>
      <c r="D474" s="2" t="s">
        <v>7687</v>
      </c>
      <c r="E474" s="2" t="s">
        <v>5664</v>
      </c>
      <c r="F474" s="2" t="s">
        <v>5664</v>
      </c>
      <c r="G474" s="2">
        <v>0</v>
      </c>
    </row>
    <row r="475" spans="1:7" ht="15.75" customHeight="1">
      <c r="A475" s="2" t="s">
        <v>7174</v>
      </c>
      <c r="B475" s="2" t="s">
        <v>7181</v>
      </c>
      <c r="C475" s="2" t="s">
        <v>7695</v>
      </c>
      <c r="D475" s="2" t="s">
        <v>7450</v>
      </c>
      <c r="E475" s="2" t="s">
        <v>7215</v>
      </c>
      <c r="F475" s="2" t="s">
        <v>7215</v>
      </c>
      <c r="G475" s="2">
        <v>200</v>
      </c>
    </row>
    <row r="476" spans="1:7" ht="15.75" customHeight="1">
      <c r="A476" s="2" t="s">
        <v>7174</v>
      </c>
      <c r="B476" s="2" t="s">
        <v>7181</v>
      </c>
      <c r="C476" s="2" t="s">
        <v>7696</v>
      </c>
      <c r="D476" s="2" t="s">
        <v>7235</v>
      </c>
      <c r="E476" s="2" t="s">
        <v>538</v>
      </c>
      <c r="F476" s="2" t="s">
        <v>538</v>
      </c>
      <c r="G476" s="2">
        <v>0</v>
      </c>
    </row>
    <row r="477" spans="1:7" ht="15.75" customHeight="1">
      <c r="A477" s="2" t="s">
        <v>7174</v>
      </c>
      <c r="B477" s="2" t="s">
        <v>7181</v>
      </c>
      <c r="C477" s="2" t="s">
        <v>7697</v>
      </c>
      <c r="D477" s="2" t="s">
        <v>7212</v>
      </c>
      <c r="E477" s="2" t="s">
        <v>5672</v>
      </c>
      <c r="F477" s="2" t="s">
        <v>5672</v>
      </c>
      <c r="G477" s="2">
        <v>0</v>
      </c>
    </row>
    <row r="478" spans="1:7" ht="15.75" customHeight="1">
      <c r="A478" s="2" t="s">
        <v>7174</v>
      </c>
      <c r="B478" s="2" t="s">
        <v>7181</v>
      </c>
      <c r="C478" s="2" t="s">
        <v>7698</v>
      </c>
      <c r="D478" s="2" t="s">
        <v>7216</v>
      </c>
      <c r="E478" s="2" t="s">
        <v>7215</v>
      </c>
      <c r="F478" s="2" t="s">
        <v>7215</v>
      </c>
      <c r="G478" s="2">
        <v>255</v>
      </c>
    </row>
    <row r="479" spans="1:7" ht="15.75" customHeight="1">
      <c r="A479" s="2" t="s">
        <v>7174</v>
      </c>
      <c r="B479" s="2" t="s">
        <v>7181</v>
      </c>
      <c r="C479" s="2" t="s">
        <v>7699</v>
      </c>
      <c r="D479" s="2" t="s">
        <v>7216</v>
      </c>
      <c r="E479" s="2" t="s">
        <v>7215</v>
      </c>
      <c r="F479" s="2" t="s">
        <v>7215</v>
      </c>
      <c r="G479" s="2">
        <v>255</v>
      </c>
    </row>
    <row r="480" spans="1:7" ht="15.75" customHeight="1">
      <c r="A480" s="2" t="s">
        <v>7174</v>
      </c>
      <c r="B480" s="2" t="s">
        <v>7181</v>
      </c>
      <c r="C480" s="2" t="s">
        <v>7700</v>
      </c>
      <c r="D480" s="2" t="s">
        <v>7687</v>
      </c>
      <c r="E480" s="2" t="s">
        <v>5664</v>
      </c>
      <c r="F480" s="2" t="s">
        <v>5664</v>
      </c>
      <c r="G480" s="2">
        <v>0</v>
      </c>
    </row>
    <row r="481" spans="1:7" ht="15.75" customHeight="1">
      <c r="A481" s="2" t="s">
        <v>7174</v>
      </c>
      <c r="B481" s="2" t="s">
        <v>7181</v>
      </c>
      <c r="C481" s="2" t="s">
        <v>7701</v>
      </c>
      <c r="D481" s="2" t="s">
        <v>7582</v>
      </c>
      <c r="E481" s="2" t="s">
        <v>538</v>
      </c>
      <c r="F481" s="2" t="s">
        <v>538</v>
      </c>
      <c r="G481" s="2">
        <v>0</v>
      </c>
    </row>
    <row r="482" spans="1:7" ht="15.75" customHeight="1">
      <c r="A482" s="2" t="s">
        <v>7174</v>
      </c>
      <c r="B482" s="2" t="s">
        <v>7181</v>
      </c>
      <c r="C482" s="2" t="s">
        <v>7702</v>
      </c>
      <c r="D482" s="2" t="s">
        <v>7234</v>
      </c>
      <c r="E482" s="2" t="s">
        <v>3897</v>
      </c>
      <c r="F482" s="2" t="s">
        <v>7210</v>
      </c>
      <c r="G482" s="2">
        <v>18</v>
      </c>
    </row>
    <row r="483" spans="1:7" ht="15.75" customHeight="1">
      <c r="A483" s="2" t="s">
        <v>7174</v>
      </c>
      <c r="B483" s="2" t="s">
        <v>7181</v>
      </c>
      <c r="C483" s="2" t="s">
        <v>7703</v>
      </c>
      <c r="D483" s="2" t="s">
        <v>7678</v>
      </c>
      <c r="E483" s="2" t="s">
        <v>3897</v>
      </c>
      <c r="F483" s="2" t="s">
        <v>7210</v>
      </c>
      <c r="G483" s="2">
        <v>18</v>
      </c>
    </row>
    <row r="484" spans="1:7" ht="15.75" customHeight="1">
      <c r="A484" s="2" t="s">
        <v>7174</v>
      </c>
      <c r="B484" s="2" t="s">
        <v>7181</v>
      </c>
      <c r="C484" s="2" t="s">
        <v>7704</v>
      </c>
      <c r="D484" s="2" t="s">
        <v>7212</v>
      </c>
      <c r="E484" s="2" t="s">
        <v>5672</v>
      </c>
      <c r="F484" s="2" t="s">
        <v>5672</v>
      </c>
      <c r="G484" s="2">
        <v>0</v>
      </c>
    </row>
    <row r="485" spans="1:7" ht="15.75" customHeight="1">
      <c r="A485" s="2" t="s">
        <v>7174</v>
      </c>
      <c r="B485" s="2" t="s">
        <v>7182</v>
      </c>
      <c r="C485" s="2" t="s">
        <v>4304</v>
      </c>
      <c r="D485" s="2" t="s">
        <v>7209</v>
      </c>
      <c r="E485" s="2" t="s">
        <v>3897</v>
      </c>
      <c r="F485" s="2" t="s">
        <v>7210</v>
      </c>
      <c r="G485" s="2">
        <v>18</v>
      </c>
    </row>
    <row r="486" spans="1:7" ht="15.75" customHeight="1">
      <c r="A486" s="2" t="s">
        <v>7174</v>
      </c>
      <c r="B486" s="2" t="s">
        <v>7182</v>
      </c>
      <c r="C486" s="2" t="s">
        <v>7211</v>
      </c>
      <c r="D486" s="2" t="s">
        <v>7212</v>
      </c>
      <c r="E486" s="2" t="s">
        <v>5672</v>
      </c>
      <c r="F486" s="2" t="s">
        <v>5672</v>
      </c>
      <c r="G486" s="2">
        <v>0</v>
      </c>
    </row>
    <row r="487" spans="1:7" ht="15.75" customHeight="1">
      <c r="A487" s="2" t="s">
        <v>7174</v>
      </c>
      <c r="B487" s="2" t="s">
        <v>7182</v>
      </c>
      <c r="C487" s="2" t="s">
        <v>4306</v>
      </c>
      <c r="D487" s="2" t="s">
        <v>7254</v>
      </c>
      <c r="E487" s="2" t="s">
        <v>7215</v>
      </c>
      <c r="F487" s="2" t="s">
        <v>7215</v>
      </c>
      <c r="G487" s="2">
        <v>80</v>
      </c>
    </row>
    <row r="488" spans="1:7" ht="15.75" customHeight="1">
      <c r="A488" s="2" t="s">
        <v>7174</v>
      </c>
      <c r="B488" s="2" t="s">
        <v>7182</v>
      </c>
      <c r="C488" s="2" t="s">
        <v>7219</v>
      </c>
      <c r="D488" s="2" t="s">
        <v>7705</v>
      </c>
      <c r="E488" s="2" t="s">
        <v>3897</v>
      </c>
      <c r="F488" s="2" t="s">
        <v>7210</v>
      </c>
      <c r="G488" s="2">
        <v>18</v>
      </c>
    </row>
    <row r="489" spans="1:7" ht="15.75" customHeight="1">
      <c r="A489" s="2" t="s">
        <v>7174</v>
      </c>
      <c r="B489" s="2" t="s">
        <v>7182</v>
      </c>
      <c r="C489" s="2" t="s">
        <v>1611</v>
      </c>
      <c r="D489" s="2" t="s">
        <v>7216</v>
      </c>
      <c r="E489" s="2" t="s">
        <v>7215</v>
      </c>
      <c r="F489" s="2" t="s">
        <v>7215</v>
      </c>
      <c r="G489" s="2">
        <v>255</v>
      </c>
    </row>
    <row r="490" spans="1:7" ht="15.75" customHeight="1">
      <c r="A490" s="2" t="s">
        <v>7174</v>
      </c>
      <c r="B490" s="2" t="s">
        <v>7182</v>
      </c>
      <c r="C490" s="2" t="s">
        <v>7217</v>
      </c>
      <c r="D490" s="2" t="s">
        <v>7218</v>
      </c>
      <c r="E490" s="2" t="s">
        <v>3897</v>
      </c>
      <c r="F490" s="2" t="s">
        <v>7210</v>
      </c>
      <c r="G490" s="2">
        <v>18</v>
      </c>
    </row>
    <row r="491" spans="1:7" ht="15.75" customHeight="1">
      <c r="A491" s="2" t="s">
        <v>7174</v>
      </c>
      <c r="B491" s="2" t="s">
        <v>7182</v>
      </c>
      <c r="C491" s="2" t="s">
        <v>811</v>
      </c>
      <c r="D491" s="2" t="s">
        <v>7216</v>
      </c>
      <c r="E491" s="2" t="s">
        <v>7215</v>
      </c>
      <c r="F491" s="2" t="s">
        <v>7215</v>
      </c>
      <c r="G491" s="2">
        <v>255</v>
      </c>
    </row>
    <row r="492" spans="1:7" ht="15.75" customHeight="1">
      <c r="A492" s="2" t="s">
        <v>7174</v>
      </c>
      <c r="B492" s="2" t="s">
        <v>7182</v>
      </c>
      <c r="C492" s="2" t="s">
        <v>1761</v>
      </c>
      <c r="D492" s="2" t="s">
        <v>6212</v>
      </c>
      <c r="E492" s="2" t="s">
        <v>1974</v>
      </c>
      <c r="F492" s="2" t="s">
        <v>1974</v>
      </c>
      <c r="G492" s="2">
        <v>0</v>
      </c>
    </row>
    <row r="493" spans="1:7" ht="15.75" customHeight="1">
      <c r="A493" s="2" t="s">
        <v>7174</v>
      </c>
      <c r="B493" s="2" t="s">
        <v>7182</v>
      </c>
      <c r="C493" s="2" t="s">
        <v>1762</v>
      </c>
      <c r="D493" s="2" t="s">
        <v>6212</v>
      </c>
      <c r="E493" s="2" t="s">
        <v>1974</v>
      </c>
      <c r="F493" s="2" t="s">
        <v>1974</v>
      </c>
      <c r="G493" s="2">
        <v>0</v>
      </c>
    </row>
    <row r="494" spans="1:7" ht="15.75" customHeight="1">
      <c r="A494" s="2" t="s">
        <v>7174</v>
      </c>
      <c r="B494" s="2" t="s">
        <v>7182</v>
      </c>
      <c r="C494" s="2" t="s">
        <v>7706</v>
      </c>
      <c r="D494" s="2" t="s">
        <v>7707</v>
      </c>
      <c r="E494" s="2" t="s">
        <v>7278</v>
      </c>
      <c r="F494" s="2" t="s">
        <v>7278</v>
      </c>
      <c r="G494" s="2">
        <v>0</v>
      </c>
    </row>
    <row r="495" spans="1:7" ht="15.75" customHeight="1">
      <c r="A495" s="2" t="s">
        <v>7174</v>
      </c>
      <c r="B495" s="2" t="s">
        <v>7182</v>
      </c>
      <c r="C495" s="2" t="s">
        <v>7708</v>
      </c>
      <c r="D495" s="2" t="s">
        <v>7707</v>
      </c>
      <c r="E495" s="2" t="s">
        <v>7278</v>
      </c>
      <c r="F495" s="2" t="s">
        <v>7278</v>
      </c>
      <c r="G495" s="2">
        <v>0</v>
      </c>
    </row>
    <row r="496" spans="1:7" ht="15.75" customHeight="1">
      <c r="A496" s="2" t="s">
        <v>7174</v>
      </c>
      <c r="B496" s="2" t="s">
        <v>7182</v>
      </c>
      <c r="C496" s="2" t="s">
        <v>7709</v>
      </c>
      <c r="D496" s="2" t="s">
        <v>7707</v>
      </c>
      <c r="E496" s="2" t="s">
        <v>7278</v>
      </c>
      <c r="F496" s="2" t="s">
        <v>7278</v>
      </c>
      <c r="G496" s="2">
        <v>0</v>
      </c>
    </row>
    <row r="497" spans="1:7" ht="15.75" customHeight="1">
      <c r="A497" s="2" t="s">
        <v>7174</v>
      </c>
      <c r="B497" s="2" t="s">
        <v>7182</v>
      </c>
      <c r="C497" s="2" t="s">
        <v>7710</v>
      </c>
      <c r="D497" s="2" t="s">
        <v>7711</v>
      </c>
      <c r="E497" s="2" t="s">
        <v>7278</v>
      </c>
      <c r="F497" s="2" t="s">
        <v>7278</v>
      </c>
      <c r="G497" s="2">
        <v>0</v>
      </c>
    </row>
    <row r="498" spans="1:7" ht="15.75" customHeight="1">
      <c r="A498" s="2" t="s">
        <v>7174</v>
      </c>
      <c r="B498" s="2" t="s">
        <v>7182</v>
      </c>
      <c r="C498" s="2" t="s">
        <v>7712</v>
      </c>
      <c r="D498" s="2" t="s">
        <v>7515</v>
      </c>
      <c r="E498" s="2" t="s">
        <v>7278</v>
      </c>
      <c r="F498" s="2" t="s">
        <v>7278</v>
      </c>
      <c r="G498" s="2">
        <v>0</v>
      </c>
    </row>
    <row r="499" spans="1:7" ht="15.75" customHeight="1">
      <c r="A499" s="2" t="s">
        <v>7174</v>
      </c>
      <c r="B499" s="2" t="s">
        <v>7182</v>
      </c>
      <c r="C499" s="2" t="s">
        <v>7713</v>
      </c>
      <c r="D499" s="2" t="s">
        <v>7212</v>
      </c>
      <c r="E499" s="2" t="s">
        <v>5672</v>
      </c>
      <c r="F499" s="2" t="s">
        <v>5672</v>
      </c>
      <c r="G499" s="2">
        <v>0</v>
      </c>
    </row>
    <row r="500" spans="1:7" ht="15.75" customHeight="1">
      <c r="A500" s="2" t="s">
        <v>7174</v>
      </c>
      <c r="B500" s="2" t="s">
        <v>7182</v>
      </c>
      <c r="C500" s="2" t="s">
        <v>1729</v>
      </c>
      <c r="D500" s="2" t="s">
        <v>7232</v>
      </c>
      <c r="E500" s="2" t="s">
        <v>7215</v>
      </c>
      <c r="F500" s="2" t="s">
        <v>7215</v>
      </c>
      <c r="G500" s="2">
        <v>32000</v>
      </c>
    </row>
    <row r="501" spans="1:7" ht="15.75" customHeight="1">
      <c r="A501" s="2" t="s">
        <v>7174</v>
      </c>
      <c r="B501" s="2" t="s">
        <v>7182</v>
      </c>
      <c r="C501" s="2" t="s">
        <v>7714</v>
      </c>
      <c r="D501" s="2" t="s">
        <v>7687</v>
      </c>
      <c r="E501" s="2" t="s">
        <v>5664</v>
      </c>
      <c r="F501" s="2" t="s">
        <v>5664</v>
      </c>
      <c r="G501" s="2">
        <v>0</v>
      </c>
    </row>
    <row r="502" spans="1:7" ht="15.75" customHeight="1">
      <c r="A502" s="2" t="s">
        <v>7174</v>
      </c>
      <c r="B502" s="2" t="s">
        <v>7182</v>
      </c>
      <c r="C502" s="2" t="s">
        <v>7715</v>
      </c>
      <c r="D502" s="2" t="s">
        <v>7687</v>
      </c>
      <c r="E502" s="2" t="s">
        <v>5664</v>
      </c>
      <c r="F502" s="2" t="s">
        <v>5664</v>
      </c>
      <c r="G502" s="2">
        <v>0</v>
      </c>
    </row>
    <row r="503" spans="1:7" ht="15.75" customHeight="1">
      <c r="A503" s="2" t="s">
        <v>7174</v>
      </c>
      <c r="B503" s="2" t="s">
        <v>7182</v>
      </c>
      <c r="C503" s="2" t="s">
        <v>7716</v>
      </c>
      <c r="D503" s="2" t="s">
        <v>7687</v>
      </c>
      <c r="E503" s="2" t="s">
        <v>5664</v>
      </c>
      <c r="F503" s="2" t="s">
        <v>5664</v>
      </c>
      <c r="G503" s="2">
        <v>0</v>
      </c>
    </row>
    <row r="504" spans="1:7" ht="15.75" customHeight="1">
      <c r="A504" s="2" t="s">
        <v>7174</v>
      </c>
      <c r="B504" s="2" t="s">
        <v>7182</v>
      </c>
      <c r="C504" s="2" t="s">
        <v>7717</v>
      </c>
      <c r="D504" s="2" t="s">
        <v>7687</v>
      </c>
      <c r="E504" s="2" t="s">
        <v>5664</v>
      </c>
      <c r="F504" s="2" t="s">
        <v>5664</v>
      </c>
      <c r="G504" s="2">
        <v>0</v>
      </c>
    </row>
    <row r="505" spans="1:7" ht="15.75" customHeight="1">
      <c r="A505" s="2" t="s">
        <v>7174</v>
      </c>
      <c r="B505" s="2" t="s">
        <v>7182</v>
      </c>
      <c r="C505" s="2" t="s">
        <v>7718</v>
      </c>
      <c r="D505" s="2" t="s">
        <v>7687</v>
      </c>
      <c r="E505" s="2" t="s">
        <v>5664</v>
      </c>
      <c r="F505" s="2" t="s">
        <v>5664</v>
      </c>
      <c r="G505" s="2">
        <v>0</v>
      </c>
    </row>
    <row r="506" spans="1:7" ht="15.75" customHeight="1">
      <c r="A506" s="2" t="s">
        <v>7174</v>
      </c>
      <c r="B506" s="2" t="s">
        <v>7182</v>
      </c>
      <c r="C506" s="2" t="s">
        <v>7719</v>
      </c>
      <c r="D506" s="2" t="s">
        <v>7687</v>
      </c>
      <c r="E506" s="2" t="s">
        <v>5664</v>
      </c>
      <c r="F506" s="2" t="s">
        <v>5664</v>
      </c>
      <c r="G506" s="2">
        <v>0</v>
      </c>
    </row>
    <row r="507" spans="1:7" ht="15.75" customHeight="1">
      <c r="A507" s="2" t="s">
        <v>7174</v>
      </c>
      <c r="B507" s="2" t="s">
        <v>7182</v>
      </c>
      <c r="C507" s="2" t="s">
        <v>7720</v>
      </c>
      <c r="D507" s="2" t="s">
        <v>7707</v>
      </c>
      <c r="E507" s="2" t="s">
        <v>7278</v>
      </c>
      <c r="F507" s="2" t="s">
        <v>7278</v>
      </c>
      <c r="G507" s="2">
        <v>0</v>
      </c>
    </row>
    <row r="508" spans="1:7" ht="15.75" customHeight="1">
      <c r="A508" s="2" t="s">
        <v>7174</v>
      </c>
      <c r="B508" s="2" t="s">
        <v>7182</v>
      </c>
      <c r="C508" s="2" t="s">
        <v>7721</v>
      </c>
      <c r="D508" s="2" t="s">
        <v>7707</v>
      </c>
      <c r="E508" s="2" t="s">
        <v>7278</v>
      </c>
      <c r="F508" s="2" t="s">
        <v>7278</v>
      </c>
      <c r="G508" s="2">
        <v>0</v>
      </c>
    </row>
    <row r="509" spans="1:7" ht="15.75" customHeight="1">
      <c r="A509" s="2" t="s">
        <v>7174</v>
      </c>
      <c r="B509" s="2" t="s">
        <v>7182</v>
      </c>
      <c r="C509" s="2" t="s">
        <v>7233</v>
      </c>
      <c r="D509" s="2" t="s">
        <v>7234</v>
      </c>
      <c r="E509" s="2" t="s">
        <v>3897</v>
      </c>
      <c r="F509" s="2" t="s">
        <v>7210</v>
      </c>
      <c r="G509" s="2">
        <v>18</v>
      </c>
    </row>
    <row r="510" spans="1:7" ht="15.75" customHeight="1">
      <c r="A510" s="2" t="s">
        <v>7174</v>
      </c>
      <c r="B510" s="2" t="s">
        <v>7182</v>
      </c>
      <c r="C510" s="2" t="s">
        <v>7135</v>
      </c>
      <c r="D510" s="2" t="s">
        <v>7235</v>
      </c>
      <c r="E510" s="2" t="s">
        <v>538</v>
      </c>
      <c r="F510" s="2" t="s">
        <v>538</v>
      </c>
      <c r="G510" s="2">
        <v>0</v>
      </c>
    </row>
    <row r="511" spans="1:7" ht="15.75" customHeight="1">
      <c r="A511" s="2" t="s">
        <v>7174</v>
      </c>
      <c r="B511" s="2" t="s">
        <v>7182</v>
      </c>
      <c r="C511" s="2" t="s">
        <v>7236</v>
      </c>
      <c r="D511" s="2" t="s">
        <v>7234</v>
      </c>
      <c r="E511" s="2" t="s">
        <v>3897</v>
      </c>
      <c r="F511" s="2" t="s">
        <v>7210</v>
      </c>
      <c r="G511" s="2">
        <v>18</v>
      </c>
    </row>
    <row r="512" spans="1:7" ht="15.75" customHeight="1">
      <c r="A512" s="2" t="s">
        <v>7174</v>
      </c>
      <c r="B512" s="2" t="s">
        <v>7182</v>
      </c>
      <c r="C512" s="2" t="s">
        <v>7176</v>
      </c>
      <c r="D512" s="2" t="s">
        <v>7235</v>
      </c>
      <c r="E512" s="2" t="s">
        <v>538</v>
      </c>
      <c r="F512" s="2" t="s">
        <v>538</v>
      </c>
      <c r="G512" s="2">
        <v>0</v>
      </c>
    </row>
    <row r="513" spans="1:7" ht="15.75" customHeight="1">
      <c r="A513" s="2" t="s">
        <v>7174</v>
      </c>
      <c r="B513" s="2" t="s">
        <v>7182</v>
      </c>
      <c r="C513" s="2" t="s">
        <v>7237</v>
      </c>
      <c r="D513" s="2" t="s">
        <v>7234</v>
      </c>
      <c r="E513" s="2" t="s">
        <v>3897</v>
      </c>
      <c r="F513" s="2" t="s">
        <v>7210</v>
      </c>
      <c r="G513" s="2">
        <v>18</v>
      </c>
    </row>
    <row r="514" spans="1:7" ht="15.75" customHeight="1">
      <c r="A514" s="2" t="s">
        <v>7174</v>
      </c>
      <c r="B514" s="2" t="s">
        <v>7182</v>
      </c>
      <c r="C514" s="2" t="s">
        <v>7238</v>
      </c>
      <c r="D514" s="2" t="s">
        <v>7235</v>
      </c>
      <c r="E514" s="2" t="s">
        <v>538</v>
      </c>
      <c r="F514" s="2" t="s">
        <v>538</v>
      </c>
      <c r="G514" s="2">
        <v>0</v>
      </c>
    </row>
    <row r="515" spans="1:7" ht="15.75" customHeight="1">
      <c r="A515" s="2" t="s">
        <v>7174</v>
      </c>
      <c r="B515" s="2" t="s">
        <v>7182</v>
      </c>
      <c r="C515" s="2" t="s">
        <v>7239</v>
      </c>
      <c r="D515" s="2" t="s">
        <v>6212</v>
      </c>
      <c r="E515" s="2" t="s">
        <v>1974</v>
      </c>
      <c r="F515" s="2" t="s">
        <v>1974</v>
      </c>
      <c r="G515" s="2">
        <v>0</v>
      </c>
    </row>
    <row r="516" spans="1:7" ht="15.75" customHeight="1">
      <c r="A516" s="2" t="s">
        <v>7174</v>
      </c>
      <c r="B516" s="2" t="s">
        <v>7182</v>
      </c>
      <c r="C516" s="2" t="s">
        <v>7240</v>
      </c>
      <c r="D516" s="2" t="s">
        <v>7235</v>
      </c>
      <c r="E516" s="2" t="s">
        <v>538</v>
      </c>
      <c r="F516" s="2" t="s">
        <v>538</v>
      </c>
      <c r="G516" s="2">
        <v>0</v>
      </c>
    </row>
    <row r="517" spans="1:7" ht="15.75" customHeight="1">
      <c r="A517" s="2" t="s">
        <v>7174</v>
      </c>
      <c r="B517" s="2" t="s">
        <v>7182</v>
      </c>
      <c r="C517" s="2" t="s">
        <v>7241</v>
      </c>
      <c r="D517" s="2" t="s">
        <v>7235</v>
      </c>
      <c r="E517" s="2" t="s">
        <v>538</v>
      </c>
      <c r="F517" s="2" t="s">
        <v>538</v>
      </c>
      <c r="G517" s="2">
        <v>0</v>
      </c>
    </row>
    <row r="518" spans="1:7" ht="15.75" customHeight="1">
      <c r="A518" s="2" t="s">
        <v>7174</v>
      </c>
      <c r="B518" s="2" t="s">
        <v>7182</v>
      </c>
      <c r="C518" s="2" t="s">
        <v>7242</v>
      </c>
      <c r="D518" s="2" t="s">
        <v>7243</v>
      </c>
      <c r="E518" s="2" t="s">
        <v>3897</v>
      </c>
      <c r="F518" s="2" t="s">
        <v>7210</v>
      </c>
      <c r="G518" s="2">
        <v>18</v>
      </c>
    </row>
    <row r="519" spans="1:7" ht="15.75" customHeight="1">
      <c r="A519" s="2" t="s">
        <v>7174</v>
      </c>
      <c r="B519" s="2" t="s">
        <v>7182</v>
      </c>
      <c r="C519" s="2" t="s">
        <v>7722</v>
      </c>
      <c r="D519" s="2" t="s">
        <v>7723</v>
      </c>
      <c r="E519" s="2" t="s">
        <v>3897</v>
      </c>
      <c r="F519" s="2" t="s">
        <v>7210</v>
      </c>
      <c r="G519" s="2">
        <v>18</v>
      </c>
    </row>
    <row r="520" spans="1:7" ht="15.75" customHeight="1">
      <c r="A520" s="2" t="s">
        <v>7174</v>
      </c>
      <c r="B520" s="2" t="s">
        <v>7182</v>
      </c>
      <c r="C520" s="2" t="s">
        <v>7724</v>
      </c>
      <c r="D520" s="2" t="s">
        <v>7434</v>
      </c>
      <c r="E520" s="2" t="s">
        <v>7278</v>
      </c>
      <c r="F520" s="2" t="s">
        <v>7278</v>
      </c>
      <c r="G520" s="2">
        <v>0</v>
      </c>
    </row>
    <row r="521" spans="1:7" ht="15.75" customHeight="1">
      <c r="A521" s="2" t="s">
        <v>7174</v>
      </c>
      <c r="B521" s="2" t="s">
        <v>7182</v>
      </c>
      <c r="C521" s="2" t="s">
        <v>7725</v>
      </c>
      <c r="D521" s="2" t="s">
        <v>7726</v>
      </c>
      <c r="E521" s="2" t="s">
        <v>7278</v>
      </c>
      <c r="F521" s="2" t="s">
        <v>7278</v>
      </c>
      <c r="G521" s="2">
        <v>0</v>
      </c>
    </row>
    <row r="522" spans="1:7" ht="15.75" customHeight="1">
      <c r="A522" s="2" t="s">
        <v>7174</v>
      </c>
      <c r="B522" s="2" t="s">
        <v>7182</v>
      </c>
      <c r="C522" s="2" t="s">
        <v>7727</v>
      </c>
      <c r="D522" s="2" t="s">
        <v>7270</v>
      </c>
      <c r="E522" s="2" t="s">
        <v>7215</v>
      </c>
      <c r="F522" s="2" t="s">
        <v>7215</v>
      </c>
      <c r="G522" s="2">
        <v>32768</v>
      </c>
    </row>
    <row r="523" spans="1:7" ht="15.75" customHeight="1">
      <c r="A523" s="2" t="s">
        <v>7174</v>
      </c>
      <c r="B523" s="2" t="s">
        <v>7182</v>
      </c>
      <c r="C523" s="2" t="s">
        <v>7309</v>
      </c>
      <c r="D523" s="2" t="s">
        <v>7284</v>
      </c>
      <c r="E523" s="2" t="s">
        <v>7215</v>
      </c>
      <c r="F523" s="2" t="s">
        <v>7215</v>
      </c>
      <c r="G523" s="2">
        <v>1300</v>
      </c>
    </row>
    <row r="524" spans="1:7" ht="15.75" customHeight="1">
      <c r="A524" s="2" t="s">
        <v>7174</v>
      </c>
      <c r="B524" s="2" t="s">
        <v>7182</v>
      </c>
      <c r="C524" s="2" t="s">
        <v>7728</v>
      </c>
      <c r="D524" s="2" t="s">
        <v>7216</v>
      </c>
      <c r="E524" s="2" t="s">
        <v>7215</v>
      </c>
      <c r="F524" s="2" t="s">
        <v>7215</v>
      </c>
      <c r="G524" s="2">
        <v>255</v>
      </c>
    </row>
    <row r="525" spans="1:7" ht="15.75" customHeight="1">
      <c r="A525" s="2" t="s">
        <v>7174</v>
      </c>
      <c r="B525" s="2" t="s">
        <v>7182</v>
      </c>
      <c r="C525" s="2" t="s">
        <v>7600</v>
      </c>
      <c r="D525" s="2" t="s">
        <v>7314</v>
      </c>
      <c r="E525" s="2" t="s">
        <v>7215</v>
      </c>
      <c r="F525" s="2" t="s">
        <v>7215</v>
      </c>
      <c r="G525" s="2">
        <v>32768</v>
      </c>
    </row>
    <row r="526" spans="1:7" ht="15.75" customHeight="1">
      <c r="A526" s="2" t="s">
        <v>7174</v>
      </c>
      <c r="B526" s="2" t="s">
        <v>7182</v>
      </c>
      <c r="C526" s="2" t="s">
        <v>7729</v>
      </c>
      <c r="D526" s="2" t="s">
        <v>7726</v>
      </c>
      <c r="E526" s="2" t="s">
        <v>7278</v>
      </c>
      <c r="F526" s="2" t="s">
        <v>7278</v>
      </c>
      <c r="G526" s="2">
        <v>0</v>
      </c>
    </row>
    <row r="527" spans="1:7" ht="15.75" customHeight="1">
      <c r="A527" s="2" t="s">
        <v>7174</v>
      </c>
      <c r="B527" s="2" t="s">
        <v>7182</v>
      </c>
      <c r="C527" s="2" t="s">
        <v>7730</v>
      </c>
      <c r="D527" s="2" t="s">
        <v>7284</v>
      </c>
      <c r="E527" s="2" t="s">
        <v>7215</v>
      </c>
      <c r="F527" s="2" t="s">
        <v>7215</v>
      </c>
      <c r="G527" s="2">
        <v>1300</v>
      </c>
    </row>
    <row r="528" spans="1:7" ht="15.75" customHeight="1">
      <c r="A528" s="2" t="s">
        <v>7174</v>
      </c>
      <c r="B528" s="2" t="s">
        <v>7182</v>
      </c>
      <c r="C528" s="2" t="s">
        <v>7731</v>
      </c>
      <c r="D528" s="2" t="s">
        <v>7282</v>
      </c>
      <c r="E528" s="2" t="s">
        <v>7215</v>
      </c>
      <c r="F528" s="2" t="s">
        <v>7215</v>
      </c>
      <c r="G528" s="2">
        <v>100</v>
      </c>
    </row>
    <row r="529" spans="1:7" ht="15.75" customHeight="1">
      <c r="A529" s="2" t="s">
        <v>7174</v>
      </c>
      <c r="B529" s="2" t="s">
        <v>7182</v>
      </c>
      <c r="C529" s="2" t="s">
        <v>7732</v>
      </c>
      <c r="D529" s="2" t="s">
        <v>7212</v>
      </c>
      <c r="E529" s="2" t="s">
        <v>5672</v>
      </c>
      <c r="F529" s="2" t="s">
        <v>5672</v>
      </c>
      <c r="G529" s="2">
        <v>0</v>
      </c>
    </row>
    <row r="530" spans="1:7" ht="15.75" customHeight="1">
      <c r="A530" s="2" t="s">
        <v>7174</v>
      </c>
      <c r="B530" s="2" t="s">
        <v>7182</v>
      </c>
      <c r="C530" s="2" t="s">
        <v>7733</v>
      </c>
      <c r="D530" s="2" t="s">
        <v>7726</v>
      </c>
      <c r="E530" s="2" t="s">
        <v>7278</v>
      </c>
      <c r="F530" s="2" t="s">
        <v>7278</v>
      </c>
      <c r="G530" s="2">
        <v>0</v>
      </c>
    </row>
    <row r="531" spans="1:7" ht="15.75" customHeight="1">
      <c r="A531" s="2" t="s">
        <v>7174</v>
      </c>
      <c r="B531" s="2" t="s">
        <v>7182</v>
      </c>
      <c r="C531" s="2" t="s">
        <v>7734</v>
      </c>
      <c r="D531" s="2" t="s">
        <v>7515</v>
      </c>
      <c r="E531" s="2" t="s">
        <v>7278</v>
      </c>
      <c r="F531" s="2" t="s">
        <v>7278</v>
      </c>
      <c r="G531" s="2">
        <v>0</v>
      </c>
    </row>
    <row r="532" spans="1:7" ht="15.75" customHeight="1">
      <c r="A532" s="2" t="s">
        <v>7174</v>
      </c>
      <c r="B532" s="2" t="s">
        <v>7182</v>
      </c>
      <c r="C532" s="2" t="s">
        <v>7735</v>
      </c>
      <c r="D532" s="2" t="s">
        <v>7434</v>
      </c>
      <c r="E532" s="2" t="s">
        <v>7278</v>
      </c>
      <c r="F532" s="2" t="s">
        <v>7278</v>
      </c>
      <c r="G532" s="2">
        <v>0</v>
      </c>
    </row>
    <row r="533" spans="1:7" ht="15.75" customHeight="1">
      <c r="A533" s="2" t="s">
        <v>7174</v>
      </c>
      <c r="B533" s="2" t="s">
        <v>7182</v>
      </c>
      <c r="C533" s="2" t="s">
        <v>7736</v>
      </c>
      <c r="D533" s="2" t="s">
        <v>7284</v>
      </c>
      <c r="E533" s="2" t="s">
        <v>7215</v>
      </c>
      <c r="F533" s="2" t="s">
        <v>7215</v>
      </c>
      <c r="G533" s="2">
        <v>1300</v>
      </c>
    </row>
    <row r="534" spans="1:7" ht="15.75" customHeight="1">
      <c r="A534" s="2" t="s">
        <v>7174</v>
      </c>
      <c r="B534" s="2" t="s">
        <v>7182</v>
      </c>
      <c r="C534" s="2" t="s">
        <v>7737</v>
      </c>
      <c r="D534" s="2" t="s">
        <v>7216</v>
      </c>
      <c r="E534" s="2" t="s">
        <v>7215</v>
      </c>
      <c r="F534" s="2" t="s">
        <v>7215</v>
      </c>
      <c r="G534" s="2">
        <v>255</v>
      </c>
    </row>
    <row r="535" spans="1:7" ht="15.75" customHeight="1">
      <c r="A535" s="2" t="s">
        <v>7174</v>
      </c>
      <c r="B535" s="2" t="s">
        <v>7182</v>
      </c>
      <c r="C535" s="2" t="s">
        <v>7738</v>
      </c>
      <c r="D535" s="2" t="s">
        <v>7312</v>
      </c>
      <c r="E535" s="2" t="s">
        <v>7278</v>
      </c>
      <c r="F535" s="2" t="s">
        <v>7278</v>
      </c>
      <c r="G535" s="2">
        <v>0</v>
      </c>
    </row>
    <row r="536" spans="1:7" ht="15.75" customHeight="1">
      <c r="A536" s="2" t="s">
        <v>7174</v>
      </c>
      <c r="B536" s="2" t="s">
        <v>7182</v>
      </c>
      <c r="C536" s="2" t="s">
        <v>7739</v>
      </c>
      <c r="D536" s="2" t="s">
        <v>7434</v>
      </c>
      <c r="E536" s="2" t="s">
        <v>7278</v>
      </c>
      <c r="F536" s="2" t="s">
        <v>7278</v>
      </c>
      <c r="G536" s="2">
        <v>0</v>
      </c>
    </row>
    <row r="537" spans="1:7" ht="15.75" customHeight="1">
      <c r="A537" s="2" t="s">
        <v>7174</v>
      </c>
      <c r="B537" s="2" t="s">
        <v>7182</v>
      </c>
      <c r="C537" s="2" t="s">
        <v>7740</v>
      </c>
      <c r="D537" s="2" t="s">
        <v>7212</v>
      </c>
      <c r="E537" s="2" t="s">
        <v>5672</v>
      </c>
      <c r="F537" s="2" t="s">
        <v>5672</v>
      </c>
      <c r="G537" s="2">
        <v>0</v>
      </c>
    </row>
    <row r="538" spans="1:7" ht="15.75" customHeight="1">
      <c r="A538" s="2" t="s">
        <v>7174</v>
      </c>
      <c r="B538" s="2" t="s">
        <v>7182</v>
      </c>
      <c r="C538" s="2" t="s">
        <v>7741</v>
      </c>
      <c r="D538" s="2" t="s">
        <v>7212</v>
      </c>
      <c r="E538" s="2" t="s">
        <v>5672</v>
      </c>
      <c r="F538" s="2" t="s">
        <v>5672</v>
      </c>
      <c r="G538" s="2">
        <v>0</v>
      </c>
    </row>
    <row r="539" spans="1:7" ht="15.75" customHeight="1">
      <c r="A539" s="2" t="s">
        <v>7174</v>
      </c>
      <c r="B539" s="2" t="s">
        <v>7182</v>
      </c>
      <c r="C539" s="2" t="s">
        <v>7742</v>
      </c>
      <c r="D539" s="2" t="s">
        <v>7515</v>
      </c>
      <c r="E539" s="2" t="s">
        <v>7278</v>
      </c>
      <c r="F539" s="2" t="s">
        <v>7278</v>
      </c>
      <c r="G539" s="2">
        <v>0</v>
      </c>
    </row>
    <row r="540" spans="1:7" ht="15.75" customHeight="1">
      <c r="A540" s="2" t="s">
        <v>7174</v>
      </c>
      <c r="B540" s="2" t="s">
        <v>7182</v>
      </c>
      <c r="C540" s="2" t="s">
        <v>7743</v>
      </c>
      <c r="D540" s="2" t="s">
        <v>7744</v>
      </c>
      <c r="E540" s="2" t="s">
        <v>7278</v>
      </c>
      <c r="F540" s="2" t="s">
        <v>7278</v>
      </c>
      <c r="G540" s="2">
        <v>0</v>
      </c>
    </row>
    <row r="541" spans="1:7" ht="15.75" customHeight="1">
      <c r="A541" s="2" t="s">
        <v>7174</v>
      </c>
      <c r="B541" s="2" t="s">
        <v>7182</v>
      </c>
      <c r="C541" s="2" t="s">
        <v>7745</v>
      </c>
      <c r="D541" s="2" t="s">
        <v>7746</v>
      </c>
      <c r="E541" s="2" t="s">
        <v>7215</v>
      </c>
      <c r="F541" s="2" t="s">
        <v>7215</v>
      </c>
      <c r="G541" s="2">
        <v>255</v>
      </c>
    </row>
    <row r="542" spans="1:7" ht="15.75" customHeight="1">
      <c r="A542" s="2" t="s">
        <v>7174</v>
      </c>
      <c r="B542" s="2" t="s">
        <v>7182</v>
      </c>
      <c r="C542" s="2" t="s">
        <v>7747</v>
      </c>
      <c r="D542" s="2" t="s">
        <v>7450</v>
      </c>
      <c r="E542" s="2" t="s">
        <v>7215</v>
      </c>
      <c r="F542" s="2" t="s">
        <v>7215</v>
      </c>
      <c r="G542" s="2">
        <v>200</v>
      </c>
    </row>
    <row r="543" spans="1:7" ht="15.75" customHeight="1">
      <c r="A543" s="2" t="s">
        <v>7174</v>
      </c>
      <c r="B543" s="2" t="s">
        <v>7182</v>
      </c>
      <c r="C543" s="2" t="s">
        <v>7748</v>
      </c>
      <c r="D543" s="2" t="s">
        <v>7450</v>
      </c>
      <c r="E543" s="2" t="s">
        <v>7215</v>
      </c>
      <c r="F543" s="2" t="s">
        <v>7215</v>
      </c>
      <c r="G543" s="2">
        <v>200</v>
      </c>
    </row>
    <row r="544" spans="1:7" ht="15.75" customHeight="1">
      <c r="A544" s="2" t="s">
        <v>7174</v>
      </c>
      <c r="B544" s="2" t="s">
        <v>7182</v>
      </c>
      <c r="C544" s="2" t="s">
        <v>7749</v>
      </c>
      <c r="D544" s="2" t="s">
        <v>7284</v>
      </c>
      <c r="E544" s="2" t="s">
        <v>7215</v>
      </c>
      <c r="F544" s="2" t="s">
        <v>7215</v>
      </c>
      <c r="G544" s="2">
        <v>1300</v>
      </c>
    </row>
    <row r="545" spans="1:7" ht="15.75" customHeight="1">
      <c r="A545" s="2" t="s">
        <v>7174</v>
      </c>
      <c r="B545" s="2" t="s">
        <v>7182</v>
      </c>
      <c r="C545" s="2" t="s">
        <v>7750</v>
      </c>
      <c r="D545" s="2" t="s">
        <v>7277</v>
      </c>
      <c r="E545" s="2" t="s">
        <v>7278</v>
      </c>
      <c r="F545" s="2" t="s">
        <v>7278</v>
      </c>
      <c r="G545" s="2">
        <v>0</v>
      </c>
    </row>
    <row r="546" spans="1:7" ht="15.75" customHeight="1">
      <c r="A546" s="2" t="s">
        <v>7174</v>
      </c>
      <c r="B546" s="2" t="s">
        <v>7182</v>
      </c>
      <c r="C546" s="2" t="s">
        <v>7751</v>
      </c>
      <c r="D546" s="2" t="s">
        <v>7752</v>
      </c>
      <c r="E546" s="2" t="s">
        <v>7278</v>
      </c>
      <c r="F546" s="2" t="s">
        <v>7278</v>
      </c>
      <c r="G546" s="2">
        <v>0</v>
      </c>
    </row>
    <row r="547" spans="1:7" ht="15.75" customHeight="1">
      <c r="A547" s="2" t="s">
        <v>7174</v>
      </c>
      <c r="B547" s="2" t="s">
        <v>7182</v>
      </c>
      <c r="C547" s="2" t="s">
        <v>7753</v>
      </c>
      <c r="D547" s="2" t="s">
        <v>7752</v>
      </c>
      <c r="E547" s="2" t="s">
        <v>7278</v>
      </c>
      <c r="F547" s="2" t="s">
        <v>7278</v>
      </c>
      <c r="G547" s="2">
        <v>0</v>
      </c>
    </row>
    <row r="548" spans="1:7" ht="15.75" customHeight="1">
      <c r="A548" s="2" t="s">
        <v>7174</v>
      </c>
      <c r="B548" s="2" t="s">
        <v>7182</v>
      </c>
      <c r="C548" s="2" t="s">
        <v>7754</v>
      </c>
      <c r="D548" s="2" t="s">
        <v>7312</v>
      </c>
      <c r="E548" s="2" t="s">
        <v>7278</v>
      </c>
      <c r="F548" s="2" t="s">
        <v>7278</v>
      </c>
      <c r="G548" s="2">
        <v>0</v>
      </c>
    </row>
    <row r="549" spans="1:7" ht="15.75" customHeight="1">
      <c r="A549" s="2" t="s">
        <v>7174</v>
      </c>
      <c r="B549" s="2" t="s">
        <v>7182</v>
      </c>
      <c r="C549" s="2" t="s">
        <v>7755</v>
      </c>
      <c r="D549" s="2" t="s">
        <v>7312</v>
      </c>
      <c r="E549" s="2" t="s">
        <v>7278</v>
      </c>
      <c r="F549" s="2" t="s">
        <v>7278</v>
      </c>
      <c r="G549" s="2">
        <v>0</v>
      </c>
    </row>
    <row r="550" spans="1:7" ht="15.75" customHeight="1">
      <c r="A550" s="2" t="s">
        <v>7174</v>
      </c>
      <c r="B550" s="2" t="s">
        <v>7182</v>
      </c>
      <c r="C550" s="2" t="s">
        <v>7756</v>
      </c>
      <c r="D550" s="2" t="s">
        <v>6840</v>
      </c>
      <c r="E550" s="2" t="s">
        <v>7215</v>
      </c>
      <c r="F550" s="2" t="s">
        <v>7215</v>
      </c>
      <c r="G550" s="2">
        <v>30</v>
      </c>
    </row>
    <row r="551" spans="1:7" ht="15.75" customHeight="1">
      <c r="A551" s="2" t="s">
        <v>7174</v>
      </c>
      <c r="B551" s="2" t="s">
        <v>7183</v>
      </c>
      <c r="C551" s="2" t="s">
        <v>4304</v>
      </c>
      <c r="D551" s="2" t="s">
        <v>7209</v>
      </c>
      <c r="E551" s="2" t="s">
        <v>3897</v>
      </c>
      <c r="F551" s="2" t="s">
        <v>7210</v>
      </c>
      <c r="G551" s="2">
        <v>18</v>
      </c>
    </row>
    <row r="552" spans="1:7" ht="15.75" customHeight="1">
      <c r="A552" s="2" t="s">
        <v>7174</v>
      </c>
      <c r="B552" s="2" t="s">
        <v>7183</v>
      </c>
      <c r="C552" s="2" t="s">
        <v>7211</v>
      </c>
      <c r="D552" s="2" t="s">
        <v>7212</v>
      </c>
      <c r="E552" s="2" t="s">
        <v>5672</v>
      </c>
      <c r="F552" s="2" t="s">
        <v>5672</v>
      </c>
      <c r="G552" s="2">
        <v>0</v>
      </c>
    </row>
    <row r="553" spans="1:7" ht="15.75" customHeight="1">
      <c r="A553" s="2" t="s">
        <v>7174</v>
      </c>
      <c r="B553" s="2" t="s">
        <v>7183</v>
      </c>
      <c r="C553" s="2" t="s">
        <v>7757</v>
      </c>
      <c r="D553" s="2" t="s">
        <v>7705</v>
      </c>
      <c r="E553" s="2" t="s">
        <v>3897</v>
      </c>
      <c r="F553" s="2" t="s">
        <v>7210</v>
      </c>
      <c r="G553" s="2">
        <v>18</v>
      </c>
    </row>
    <row r="554" spans="1:7" ht="15.75" customHeight="1">
      <c r="A554" s="2" t="s">
        <v>7174</v>
      </c>
      <c r="B554" s="2" t="s">
        <v>7183</v>
      </c>
      <c r="C554" s="2" t="s">
        <v>7758</v>
      </c>
      <c r="D554" s="2" t="s">
        <v>7499</v>
      </c>
      <c r="E554" s="2" t="s">
        <v>3897</v>
      </c>
      <c r="F554" s="2" t="s">
        <v>7210</v>
      </c>
      <c r="G554" s="2">
        <v>18</v>
      </c>
    </row>
    <row r="555" spans="1:7" ht="15.75" customHeight="1">
      <c r="A555" s="2" t="s">
        <v>7174</v>
      </c>
      <c r="B555" s="2" t="s">
        <v>7183</v>
      </c>
      <c r="C555" s="2" t="s">
        <v>7759</v>
      </c>
      <c r="D555" s="2" t="s">
        <v>7245</v>
      </c>
      <c r="E555" s="2" t="s">
        <v>3897</v>
      </c>
      <c r="F555" s="2" t="s">
        <v>7210</v>
      </c>
      <c r="G555" s="2">
        <v>18</v>
      </c>
    </row>
    <row r="556" spans="1:7" ht="15.75" customHeight="1">
      <c r="A556" s="2" t="s">
        <v>7174</v>
      </c>
      <c r="B556" s="2" t="s">
        <v>7183</v>
      </c>
      <c r="C556" s="2" t="s">
        <v>811</v>
      </c>
      <c r="D556" s="2" t="s">
        <v>7216</v>
      </c>
      <c r="E556" s="2" t="s">
        <v>7215</v>
      </c>
      <c r="F556" s="2" t="s">
        <v>7215</v>
      </c>
      <c r="G556" s="2">
        <v>40</v>
      </c>
    </row>
    <row r="557" spans="1:7" ht="15.75" customHeight="1">
      <c r="A557" s="2" t="s">
        <v>7174</v>
      </c>
      <c r="B557" s="2" t="s">
        <v>7183</v>
      </c>
      <c r="C557" s="2" t="s">
        <v>7760</v>
      </c>
      <c r="D557" s="2" t="s">
        <v>7212</v>
      </c>
      <c r="E557" s="2" t="s">
        <v>5672</v>
      </c>
      <c r="F557" s="2" t="s">
        <v>5672</v>
      </c>
      <c r="G557" s="2">
        <v>0</v>
      </c>
    </row>
    <row r="558" spans="1:7" ht="15.75" customHeight="1">
      <c r="A558" s="2" t="s">
        <v>7174</v>
      </c>
      <c r="B558" s="2" t="s">
        <v>7183</v>
      </c>
      <c r="C558" s="2" t="s">
        <v>7135</v>
      </c>
      <c r="D558" s="2" t="s">
        <v>7235</v>
      </c>
      <c r="E558" s="2" t="s">
        <v>538</v>
      </c>
      <c r="F558" s="2" t="s">
        <v>538</v>
      </c>
      <c r="G558" s="2">
        <v>0</v>
      </c>
    </row>
    <row r="559" spans="1:7" ht="15.75" customHeight="1">
      <c r="A559" s="2" t="s">
        <v>7174</v>
      </c>
      <c r="B559" s="2" t="s">
        <v>7183</v>
      </c>
      <c r="C559" s="2" t="s">
        <v>7236</v>
      </c>
      <c r="D559" s="2" t="s">
        <v>7234</v>
      </c>
      <c r="E559" s="2" t="s">
        <v>3897</v>
      </c>
      <c r="F559" s="2" t="s">
        <v>7210</v>
      </c>
      <c r="G559" s="2">
        <v>18</v>
      </c>
    </row>
    <row r="560" spans="1:7" ht="15.75" customHeight="1">
      <c r="A560" s="2" t="s">
        <v>7174</v>
      </c>
      <c r="B560" s="2" t="s">
        <v>7183</v>
      </c>
      <c r="C560" s="2" t="s">
        <v>7176</v>
      </c>
      <c r="D560" s="2" t="s">
        <v>7235</v>
      </c>
      <c r="E560" s="2" t="s">
        <v>538</v>
      </c>
      <c r="F560" s="2" t="s">
        <v>538</v>
      </c>
      <c r="G560" s="2">
        <v>0</v>
      </c>
    </row>
    <row r="561" spans="1:7" ht="15.75" customHeight="1">
      <c r="A561" s="2" t="s">
        <v>7174</v>
      </c>
      <c r="B561" s="2" t="s">
        <v>7183</v>
      </c>
      <c r="C561" s="2" t="s">
        <v>7237</v>
      </c>
      <c r="D561" s="2" t="s">
        <v>7234</v>
      </c>
      <c r="E561" s="2" t="s">
        <v>3897</v>
      </c>
      <c r="F561" s="2" t="s">
        <v>7210</v>
      </c>
      <c r="G561" s="2">
        <v>18</v>
      </c>
    </row>
    <row r="562" spans="1:7" ht="15.75" customHeight="1">
      <c r="A562" s="2" t="s">
        <v>7174</v>
      </c>
      <c r="B562" s="2" t="s">
        <v>7183</v>
      </c>
      <c r="C562" s="2" t="s">
        <v>7238</v>
      </c>
      <c r="D562" s="2" t="s">
        <v>7235</v>
      </c>
      <c r="E562" s="2" t="s">
        <v>538</v>
      </c>
      <c r="F562" s="2" t="s">
        <v>538</v>
      </c>
      <c r="G562" s="2">
        <v>0</v>
      </c>
    </row>
    <row r="563" spans="1:7" ht="15.75" customHeight="1">
      <c r="A563" s="2" t="s">
        <v>7174</v>
      </c>
      <c r="B563" s="2" t="s">
        <v>7183</v>
      </c>
      <c r="C563" s="2" t="s">
        <v>7761</v>
      </c>
      <c r="D563" s="2" t="s">
        <v>6212</v>
      </c>
      <c r="E563" s="2" t="s">
        <v>1974</v>
      </c>
      <c r="F563" s="2" t="s">
        <v>1974</v>
      </c>
      <c r="G563" s="2">
        <v>0</v>
      </c>
    </row>
    <row r="564" spans="1:7" ht="15.75" customHeight="1">
      <c r="A564" s="2" t="s">
        <v>7174</v>
      </c>
      <c r="B564" s="2" t="s">
        <v>7183</v>
      </c>
      <c r="C564" s="2" t="s">
        <v>7762</v>
      </c>
      <c r="D564" s="2" t="s">
        <v>7216</v>
      </c>
      <c r="E564" s="2" t="s">
        <v>7215</v>
      </c>
      <c r="F564" s="2" t="s">
        <v>7215</v>
      </c>
      <c r="G564" s="2">
        <v>255</v>
      </c>
    </row>
    <row r="565" spans="1:7" ht="15.75" customHeight="1">
      <c r="A565" s="2" t="s">
        <v>7174</v>
      </c>
      <c r="B565" s="2" t="s">
        <v>7183</v>
      </c>
      <c r="C565" s="2" t="s">
        <v>4306</v>
      </c>
      <c r="D565" s="2" t="s">
        <v>7259</v>
      </c>
      <c r="E565" s="2" t="s">
        <v>7215</v>
      </c>
      <c r="F565" s="2" t="s">
        <v>7215</v>
      </c>
      <c r="G565" s="2">
        <v>255</v>
      </c>
    </row>
    <row r="566" spans="1:7" ht="15.75" customHeight="1">
      <c r="A566" s="2" t="s">
        <v>7174</v>
      </c>
      <c r="B566" s="2" t="s">
        <v>7183</v>
      </c>
      <c r="C566" s="2" t="s">
        <v>789</v>
      </c>
      <c r="D566" s="2" t="s">
        <v>7763</v>
      </c>
      <c r="E566" s="2" t="s">
        <v>7215</v>
      </c>
      <c r="F566" s="2" t="s">
        <v>7215</v>
      </c>
      <c r="G566" s="2">
        <v>40</v>
      </c>
    </row>
    <row r="567" spans="1:7" ht="15.75" customHeight="1">
      <c r="A567" s="2" t="s">
        <v>7174</v>
      </c>
      <c r="B567" s="2" t="s">
        <v>7183</v>
      </c>
      <c r="C567" s="2" t="s">
        <v>7764</v>
      </c>
      <c r="D567" s="2" t="s">
        <v>7254</v>
      </c>
      <c r="E567" s="2" t="s">
        <v>7215</v>
      </c>
      <c r="F567" s="2" t="s">
        <v>7215</v>
      </c>
      <c r="G567" s="2">
        <v>80</v>
      </c>
    </row>
    <row r="568" spans="1:7" ht="15.75" customHeight="1">
      <c r="A568" s="2" t="s">
        <v>7174</v>
      </c>
      <c r="B568" s="2" t="s">
        <v>7183</v>
      </c>
      <c r="C568" s="2" t="s">
        <v>5186</v>
      </c>
      <c r="D568" s="2" t="s">
        <v>7765</v>
      </c>
      <c r="E568" s="2" t="s">
        <v>7215</v>
      </c>
      <c r="F568" s="2" t="s">
        <v>7215</v>
      </c>
      <c r="G568" s="2">
        <v>128</v>
      </c>
    </row>
    <row r="569" spans="1:7" ht="15.75" customHeight="1">
      <c r="A569" s="2" t="s">
        <v>7174</v>
      </c>
      <c r="B569" s="2" t="s">
        <v>7183</v>
      </c>
      <c r="C569" s="2" t="s">
        <v>1816</v>
      </c>
      <c r="D569" s="2" t="s">
        <v>7259</v>
      </c>
      <c r="E569" s="2" t="s">
        <v>7215</v>
      </c>
      <c r="F569" s="2" t="s">
        <v>7215</v>
      </c>
      <c r="G569" s="2">
        <v>255</v>
      </c>
    </row>
    <row r="570" spans="1:7" ht="15.75" customHeight="1">
      <c r="A570" s="2" t="s">
        <v>7174</v>
      </c>
      <c r="B570" s="2" t="s">
        <v>7183</v>
      </c>
      <c r="C570" s="2" t="s">
        <v>1584</v>
      </c>
      <c r="D570" s="2" t="s">
        <v>7763</v>
      </c>
      <c r="E570" s="2" t="s">
        <v>7215</v>
      </c>
      <c r="F570" s="2" t="s">
        <v>7215</v>
      </c>
      <c r="G570" s="2">
        <v>40</v>
      </c>
    </row>
    <row r="571" spans="1:7" ht="15.75" customHeight="1">
      <c r="A571" s="2" t="s">
        <v>7174</v>
      </c>
      <c r="B571" s="2" t="s">
        <v>7183</v>
      </c>
      <c r="C571" s="2" t="s">
        <v>7766</v>
      </c>
      <c r="D571" s="2" t="s">
        <v>7254</v>
      </c>
      <c r="E571" s="2" t="s">
        <v>7215</v>
      </c>
      <c r="F571" s="2" t="s">
        <v>7215</v>
      </c>
      <c r="G571" s="2">
        <v>80</v>
      </c>
    </row>
    <row r="572" spans="1:7" ht="15.75" customHeight="1">
      <c r="A572" s="2" t="s">
        <v>7174</v>
      </c>
      <c r="B572" s="2" t="s">
        <v>7183</v>
      </c>
      <c r="C572" s="2" t="s">
        <v>5244</v>
      </c>
      <c r="D572" s="2" t="s">
        <v>7264</v>
      </c>
      <c r="E572" s="2" t="s">
        <v>7215</v>
      </c>
      <c r="F572" s="2" t="s">
        <v>7215</v>
      </c>
      <c r="G572" s="2">
        <v>20</v>
      </c>
    </row>
    <row r="573" spans="1:7" ht="15.75" customHeight="1">
      <c r="A573" s="2" t="s">
        <v>7174</v>
      </c>
      <c r="B573" s="2" t="s">
        <v>7183</v>
      </c>
      <c r="C573" s="2" t="s">
        <v>1013</v>
      </c>
      <c r="D573" s="2" t="s">
        <v>7254</v>
      </c>
      <c r="E573" s="2" t="s">
        <v>7215</v>
      </c>
      <c r="F573" s="2" t="s">
        <v>7215</v>
      </c>
      <c r="G573" s="2">
        <v>80</v>
      </c>
    </row>
    <row r="574" spans="1:7" ht="15.75" customHeight="1">
      <c r="A574" s="2" t="s">
        <v>7174</v>
      </c>
      <c r="B574" s="2" t="s">
        <v>7183</v>
      </c>
      <c r="C574" s="2" t="s">
        <v>5204</v>
      </c>
      <c r="D574" s="2" t="s">
        <v>5204</v>
      </c>
      <c r="E574" s="2" t="s">
        <v>7215</v>
      </c>
      <c r="F574" s="2" t="s">
        <v>7215</v>
      </c>
      <c r="G574" s="2">
        <v>80</v>
      </c>
    </row>
    <row r="575" spans="1:7" ht="15.75" customHeight="1">
      <c r="A575" s="2" t="s">
        <v>7174</v>
      </c>
      <c r="B575" s="2" t="s">
        <v>7183</v>
      </c>
      <c r="C575" s="2" t="s">
        <v>7224</v>
      </c>
      <c r="D575" s="2" t="s">
        <v>7224</v>
      </c>
      <c r="E575" s="2" t="s">
        <v>7215</v>
      </c>
      <c r="F575" s="2" t="s">
        <v>7215</v>
      </c>
      <c r="G575" s="2">
        <v>40</v>
      </c>
    </row>
    <row r="576" spans="1:7" ht="15.75" customHeight="1">
      <c r="A576" s="2" t="s">
        <v>7174</v>
      </c>
      <c r="B576" s="2" t="s">
        <v>7183</v>
      </c>
      <c r="C576" s="2" t="s">
        <v>7225</v>
      </c>
      <c r="D576" s="2" t="s">
        <v>7225</v>
      </c>
      <c r="E576" s="2" t="s">
        <v>7215</v>
      </c>
      <c r="F576" s="2" t="s">
        <v>7215</v>
      </c>
      <c r="G576" s="2">
        <v>40</v>
      </c>
    </row>
    <row r="577" spans="1:7" ht="15.75" customHeight="1">
      <c r="A577" s="2" t="s">
        <v>7174</v>
      </c>
      <c r="B577" s="2" t="s">
        <v>7183</v>
      </c>
      <c r="C577" s="2" t="s">
        <v>7767</v>
      </c>
      <c r="D577" s="2" t="s">
        <v>7224</v>
      </c>
      <c r="E577" s="2" t="s">
        <v>7215</v>
      </c>
      <c r="F577" s="2" t="s">
        <v>7215</v>
      </c>
      <c r="G577" s="2">
        <v>40</v>
      </c>
    </row>
    <row r="578" spans="1:7" ht="15.75" customHeight="1">
      <c r="A578" s="2" t="s">
        <v>7174</v>
      </c>
      <c r="B578" s="2" t="s">
        <v>7183</v>
      </c>
      <c r="C578" s="2" t="s">
        <v>1729</v>
      </c>
      <c r="D578" s="2" t="s">
        <v>7232</v>
      </c>
      <c r="E578" s="2" t="s">
        <v>7215</v>
      </c>
      <c r="F578" s="2" t="s">
        <v>7215</v>
      </c>
      <c r="G578" s="2">
        <v>32000</v>
      </c>
    </row>
    <row r="579" spans="1:7" ht="15.75" customHeight="1">
      <c r="A579" s="2" t="s">
        <v>7174</v>
      </c>
      <c r="B579" s="2" t="s">
        <v>7183</v>
      </c>
      <c r="C579" s="2" t="s">
        <v>7768</v>
      </c>
      <c r="D579" s="2" t="s">
        <v>7212</v>
      </c>
      <c r="E579" s="2" t="s">
        <v>5672</v>
      </c>
      <c r="F579" s="2" t="s">
        <v>5672</v>
      </c>
      <c r="G579" s="2">
        <v>0</v>
      </c>
    </row>
    <row r="580" spans="1:7" ht="15.75" customHeight="1">
      <c r="A580" s="2" t="s">
        <v>7174</v>
      </c>
      <c r="B580" s="2" t="s">
        <v>7183</v>
      </c>
      <c r="C580" s="2" t="s">
        <v>7769</v>
      </c>
      <c r="D580" s="2" t="s">
        <v>7212</v>
      </c>
      <c r="E580" s="2" t="s">
        <v>5672</v>
      </c>
      <c r="F580" s="2" t="s">
        <v>5672</v>
      </c>
      <c r="G580" s="2">
        <v>0</v>
      </c>
    </row>
    <row r="581" spans="1:7" ht="15.75" customHeight="1">
      <c r="A581" s="2" t="s">
        <v>7174</v>
      </c>
      <c r="B581" s="2" t="s">
        <v>7183</v>
      </c>
      <c r="C581" s="2" t="s">
        <v>7770</v>
      </c>
      <c r="D581" s="2" t="s">
        <v>7212</v>
      </c>
      <c r="E581" s="2" t="s">
        <v>5672</v>
      </c>
      <c r="F581" s="2" t="s">
        <v>5672</v>
      </c>
      <c r="G581" s="2">
        <v>0</v>
      </c>
    </row>
    <row r="582" spans="1:7" ht="15.75" customHeight="1">
      <c r="A582" s="2" t="s">
        <v>7174</v>
      </c>
      <c r="B582" s="2" t="s">
        <v>7183</v>
      </c>
      <c r="C582" s="2" t="s">
        <v>7771</v>
      </c>
      <c r="D582" s="2" t="s">
        <v>7216</v>
      </c>
      <c r="E582" s="2" t="s">
        <v>7215</v>
      </c>
      <c r="F582" s="2" t="s">
        <v>7215</v>
      </c>
      <c r="G582" s="2">
        <v>255</v>
      </c>
    </row>
    <row r="583" spans="1:7" ht="15.75" customHeight="1">
      <c r="A583" s="2" t="s">
        <v>7174</v>
      </c>
      <c r="B583" s="2" t="s">
        <v>7183</v>
      </c>
      <c r="C583" s="2" t="s">
        <v>7772</v>
      </c>
      <c r="D583" s="2" t="s">
        <v>7259</v>
      </c>
      <c r="E583" s="2" t="s">
        <v>7215</v>
      </c>
      <c r="F583" s="2" t="s">
        <v>7215</v>
      </c>
      <c r="G583" s="2">
        <v>255</v>
      </c>
    </row>
    <row r="584" spans="1:7" ht="15.75" customHeight="1">
      <c r="A584" s="2" t="s">
        <v>7174</v>
      </c>
      <c r="B584" s="2" t="s">
        <v>7183</v>
      </c>
      <c r="C584" s="2" t="s">
        <v>1611</v>
      </c>
      <c r="D584" s="2" t="s">
        <v>7763</v>
      </c>
      <c r="E584" s="2" t="s">
        <v>7215</v>
      </c>
      <c r="F584" s="2" t="s">
        <v>7215</v>
      </c>
      <c r="G584" s="2">
        <v>40</v>
      </c>
    </row>
    <row r="585" spans="1:7" ht="15.75" customHeight="1">
      <c r="A585" s="2" t="s">
        <v>7174</v>
      </c>
      <c r="B585" s="2" t="s">
        <v>7183</v>
      </c>
      <c r="C585" s="2" t="s">
        <v>7773</v>
      </c>
      <c r="D585" s="2" t="s">
        <v>7774</v>
      </c>
      <c r="E585" s="2" t="s">
        <v>3897</v>
      </c>
      <c r="F585" s="2" t="s">
        <v>7210</v>
      </c>
      <c r="G585" s="2">
        <v>18</v>
      </c>
    </row>
    <row r="586" spans="1:7" ht="15.75" customHeight="1">
      <c r="A586" s="2" t="s">
        <v>7174</v>
      </c>
      <c r="B586" s="2" t="s">
        <v>7183</v>
      </c>
      <c r="C586" s="2" t="s">
        <v>7775</v>
      </c>
      <c r="D586" s="2" t="s">
        <v>7574</v>
      </c>
      <c r="E586" s="2" t="s">
        <v>3897</v>
      </c>
      <c r="F586" s="2" t="s">
        <v>7210</v>
      </c>
      <c r="G586" s="2">
        <v>18</v>
      </c>
    </row>
    <row r="587" spans="1:7" ht="15.75" customHeight="1">
      <c r="A587" s="2" t="s">
        <v>7174</v>
      </c>
      <c r="B587" s="2" t="s">
        <v>7183</v>
      </c>
      <c r="C587" s="2" t="s">
        <v>7743</v>
      </c>
      <c r="D587" s="2" t="s">
        <v>7277</v>
      </c>
      <c r="E587" s="2" t="s">
        <v>7278</v>
      </c>
      <c r="F587" s="2" t="s">
        <v>7278</v>
      </c>
      <c r="G587" s="2">
        <v>0</v>
      </c>
    </row>
    <row r="588" spans="1:7" ht="15.75" customHeight="1">
      <c r="A588" s="2" t="s">
        <v>7174</v>
      </c>
      <c r="B588" s="2" t="s">
        <v>7183</v>
      </c>
      <c r="C588" s="2" t="s">
        <v>7731</v>
      </c>
      <c r="D588" s="2" t="s">
        <v>7282</v>
      </c>
      <c r="E588" s="2" t="s">
        <v>7215</v>
      </c>
      <c r="F588" s="2" t="s">
        <v>7215</v>
      </c>
      <c r="G588" s="2">
        <v>100</v>
      </c>
    </row>
    <row r="589" spans="1:7" ht="15.75" customHeight="1">
      <c r="A589" s="2" t="s">
        <v>7174</v>
      </c>
      <c r="B589" s="2" t="s">
        <v>7183</v>
      </c>
      <c r="C589" s="2" t="s">
        <v>7732</v>
      </c>
      <c r="D589" s="2" t="s">
        <v>7212</v>
      </c>
      <c r="E589" s="2" t="s">
        <v>5672</v>
      </c>
      <c r="F589" s="2" t="s">
        <v>5672</v>
      </c>
      <c r="G589" s="2">
        <v>0</v>
      </c>
    </row>
    <row r="590" spans="1:7" ht="15.75" customHeight="1">
      <c r="A590" s="2" t="s">
        <v>7174</v>
      </c>
      <c r="B590" s="2" t="s">
        <v>7183</v>
      </c>
      <c r="C590" s="2" t="s">
        <v>7776</v>
      </c>
      <c r="D590" s="2" t="s">
        <v>7450</v>
      </c>
      <c r="E590" s="2" t="s">
        <v>7215</v>
      </c>
      <c r="F590" s="2" t="s">
        <v>7215</v>
      </c>
      <c r="G590" s="2">
        <v>200</v>
      </c>
    </row>
    <row r="591" spans="1:7" ht="15.75" customHeight="1">
      <c r="A591" s="2" t="s">
        <v>7174</v>
      </c>
      <c r="B591" s="2" t="s">
        <v>7183</v>
      </c>
      <c r="C591" s="2" t="s">
        <v>7777</v>
      </c>
      <c r="D591" s="2" t="s">
        <v>7212</v>
      </c>
      <c r="E591" s="2" t="s">
        <v>5672</v>
      </c>
      <c r="F591" s="2" t="s">
        <v>5672</v>
      </c>
      <c r="G591" s="2">
        <v>0</v>
      </c>
    </row>
    <row r="592" spans="1:7" ht="15.75" customHeight="1">
      <c r="A592" s="2" t="s">
        <v>7174</v>
      </c>
      <c r="B592" s="2" t="s">
        <v>7183</v>
      </c>
      <c r="C592" s="2" t="s">
        <v>7592</v>
      </c>
      <c r="D592" s="2" t="s">
        <v>7214</v>
      </c>
      <c r="E592" s="2" t="s">
        <v>3897</v>
      </c>
      <c r="F592" s="2" t="s">
        <v>7210</v>
      </c>
      <c r="G592" s="2">
        <v>18</v>
      </c>
    </row>
    <row r="593" spans="1:7" ht="15.75" customHeight="1">
      <c r="A593" s="2" t="s">
        <v>7174</v>
      </c>
      <c r="B593" s="2" t="s">
        <v>7183</v>
      </c>
      <c r="C593" s="2" t="s">
        <v>7778</v>
      </c>
      <c r="D593" s="2" t="s">
        <v>7284</v>
      </c>
      <c r="E593" s="2" t="s">
        <v>7215</v>
      </c>
      <c r="F593" s="2" t="s">
        <v>7215</v>
      </c>
      <c r="G593" s="2">
        <v>1300</v>
      </c>
    </row>
    <row r="594" spans="1:7" ht="15.75" customHeight="1">
      <c r="A594" s="2" t="s">
        <v>7174</v>
      </c>
      <c r="B594" s="2" t="s">
        <v>7183</v>
      </c>
      <c r="C594" s="2" t="s">
        <v>7779</v>
      </c>
      <c r="D594" s="2" t="s">
        <v>7212</v>
      </c>
      <c r="E594" s="2" t="s">
        <v>5672</v>
      </c>
      <c r="F594" s="2" t="s">
        <v>5672</v>
      </c>
      <c r="G594" s="2">
        <v>0</v>
      </c>
    </row>
    <row r="595" spans="1:7" ht="15.75" customHeight="1">
      <c r="A595" s="2" t="s">
        <v>7174</v>
      </c>
      <c r="B595" s="2" t="s">
        <v>7183</v>
      </c>
      <c r="C595" s="2" t="s">
        <v>7780</v>
      </c>
      <c r="D595" s="2" t="s">
        <v>7216</v>
      </c>
      <c r="E595" s="2" t="s">
        <v>7215</v>
      </c>
      <c r="F595" s="2" t="s">
        <v>7215</v>
      </c>
      <c r="G595" s="2">
        <v>255</v>
      </c>
    </row>
    <row r="596" spans="1:7" ht="15.75" customHeight="1">
      <c r="A596" s="2" t="s">
        <v>7174</v>
      </c>
      <c r="B596" s="2" t="s">
        <v>7183</v>
      </c>
      <c r="C596" s="2" t="s">
        <v>7781</v>
      </c>
      <c r="D596" s="2" t="s">
        <v>7284</v>
      </c>
      <c r="E596" s="2" t="s">
        <v>7215</v>
      </c>
      <c r="F596" s="2" t="s">
        <v>7215</v>
      </c>
      <c r="G596" s="2">
        <v>1300</v>
      </c>
    </row>
    <row r="597" spans="1:7" ht="15.75" customHeight="1">
      <c r="A597" s="2" t="s">
        <v>7174</v>
      </c>
      <c r="B597" s="2" t="s">
        <v>7183</v>
      </c>
      <c r="C597" s="2" t="s">
        <v>7782</v>
      </c>
      <c r="D597" s="2" t="s">
        <v>7277</v>
      </c>
      <c r="E597" s="2" t="s">
        <v>7278</v>
      </c>
      <c r="F597" s="2" t="s">
        <v>7278</v>
      </c>
      <c r="G597" s="2">
        <v>0</v>
      </c>
    </row>
    <row r="598" spans="1:7" ht="15.75" customHeight="1">
      <c r="A598" s="2" t="s">
        <v>7174</v>
      </c>
      <c r="B598" s="2" t="s">
        <v>7183</v>
      </c>
      <c r="C598" s="2" t="s">
        <v>7783</v>
      </c>
      <c r="D598" s="2" t="s">
        <v>7277</v>
      </c>
      <c r="E598" s="2" t="s">
        <v>7278</v>
      </c>
      <c r="F598" s="2" t="s">
        <v>7278</v>
      </c>
      <c r="G598" s="2">
        <v>0</v>
      </c>
    </row>
    <row r="599" spans="1:7" ht="15.75" customHeight="1">
      <c r="A599" s="2" t="s">
        <v>7174</v>
      </c>
      <c r="B599" s="2" t="s">
        <v>7183</v>
      </c>
      <c r="C599" s="2" t="s">
        <v>7784</v>
      </c>
      <c r="D599" s="2" t="s">
        <v>7277</v>
      </c>
      <c r="E599" s="2" t="s">
        <v>7278</v>
      </c>
      <c r="F599" s="2" t="s">
        <v>7278</v>
      </c>
      <c r="G599" s="2">
        <v>0</v>
      </c>
    </row>
    <row r="600" spans="1:7" ht="15.75" customHeight="1">
      <c r="A600" s="2" t="s">
        <v>7174</v>
      </c>
      <c r="B600" s="2" t="s">
        <v>7183</v>
      </c>
      <c r="C600" s="2" t="s">
        <v>7785</v>
      </c>
      <c r="D600" s="2" t="s">
        <v>7277</v>
      </c>
      <c r="E600" s="2" t="s">
        <v>7278</v>
      </c>
      <c r="F600" s="2" t="s">
        <v>7278</v>
      </c>
      <c r="G600" s="2">
        <v>0</v>
      </c>
    </row>
    <row r="601" spans="1:7" ht="15.75" customHeight="1">
      <c r="A601" s="2" t="s">
        <v>7174</v>
      </c>
      <c r="B601" s="2" t="s">
        <v>7183</v>
      </c>
      <c r="C601" s="2" t="s">
        <v>7786</v>
      </c>
      <c r="D601" s="2" t="s">
        <v>7277</v>
      </c>
      <c r="E601" s="2" t="s">
        <v>7278</v>
      </c>
      <c r="F601" s="2" t="s">
        <v>7278</v>
      </c>
      <c r="G601" s="2">
        <v>0</v>
      </c>
    </row>
    <row r="602" spans="1:7" ht="15.75" customHeight="1">
      <c r="A602" s="2" t="s">
        <v>7174</v>
      </c>
      <c r="B602" s="2" t="s">
        <v>7183</v>
      </c>
      <c r="C602" s="2" t="s">
        <v>7787</v>
      </c>
      <c r="D602" s="2" t="s">
        <v>7216</v>
      </c>
      <c r="E602" s="2" t="s">
        <v>7215</v>
      </c>
      <c r="F602" s="2" t="s">
        <v>7215</v>
      </c>
      <c r="G602" s="2">
        <v>255</v>
      </c>
    </row>
    <row r="603" spans="1:7" ht="15.75" customHeight="1">
      <c r="A603" s="2" t="s">
        <v>7174</v>
      </c>
      <c r="B603" s="2" t="s">
        <v>7183</v>
      </c>
      <c r="C603" s="2" t="s">
        <v>7788</v>
      </c>
      <c r="D603" s="2" t="s">
        <v>7270</v>
      </c>
      <c r="E603" s="2" t="s">
        <v>7215</v>
      </c>
      <c r="F603" s="2" t="s">
        <v>7215</v>
      </c>
      <c r="G603" s="2">
        <v>32768</v>
      </c>
    </row>
    <row r="604" spans="1:7" ht="15.75" customHeight="1">
      <c r="A604" s="2" t="s">
        <v>7174</v>
      </c>
      <c r="B604" s="2" t="s">
        <v>7183</v>
      </c>
      <c r="C604" s="2" t="s">
        <v>7789</v>
      </c>
      <c r="D604" s="2" t="s">
        <v>7224</v>
      </c>
      <c r="E604" s="2" t="s">
        <v>7215</v>
      </c>
      <c r="F604" s="2" t="s">
        <v>7215</v>
      </c>
      <c r="G604" s="2">
        <v>40</v>
      </c>
    </row>
    <row r="605" spans="1:7" ht="15.75" customHeight="1">
      <c r="A605" s="2" t="s">
        <v>7174</v>
      </c>
      <c r="B605" s="2" t="s">
        <v>7183</v>
      </c>
      <c r="C605" s="2" t="s">
        <v>7790</v>
      </c>
      <c r="D605" s="2" t="s">
        <v>7216</v>
      </c>
      <c r="E605" s="2" t="s">
        <v>7215</v>
      </c>
      <c r="F605" s="2" t="s">
        <v>7215</v>
      </c>
      <c r="G605" s="2">
        <v>255</v>
      </c>
    </row>
    <row r="606" spans="1:7" ht="15.75" customHeight="1">
      <c r="A606" s="2" t="s">
        <v>7174</v>
      </c>
      <c r="B606" s="2" t="s">
        <v>7183</v>
      </c>
      <c r="C606" s="2" t="s">
        <v>7791</v>
      </c>
      <c r="D606" s="2" t="s">
        <v>7224</v>
      </c>
      <c r="E606" s="2" t="s">
        <v>7215</v>
      </c>
      <c r="F606" s="2" t="s">
        <v>7215</v>
      </c>
      <c r="G606" s="2">
        <v>40</v>
      </c>
    </row>
    <row r="607" spans="1:7" ht="15.75" customHeight="1">
      <c r="A607" s="2" t="s">
        <v>7174</v>
      </c>
      <c r="B607" s="2" t="s">
        <v>7183</v>
      </c>
      <c r="C607" s="2" t="s">
        <v>7372</v>
      </c>
      <c r="D607" s="2" t="s">
        <v>7437</v>
      </c>
      <c r="E607" s="2" t="s">
        <v>7278</v>
      </c>
      <c r="F607" s="2" t="s">
        <v>7278</v>
      </c>
      <c r="G607" s="2">
        <v>0</v>
      </c>
    </row>
    <row r="608" spans="1:7" ht="15.75" customHeight="1">
      <c r="A608" s="2" t="s">
        <v>7174</v>
      </c>
      <c r="B608" s="2" t="s">
        <v>7183</v>
      </c>
      <c r="C608" s="2" t="s">
        <v>7373</v>
      </c>
      <c r="D608" s="2" t="s">
        <v>7437</v>
      </c>
      <c r="E608" s="2" t="s">
        <v>7278</v>
      </c>
      <c r="F608" s="2" t="s">
        <v>7278</v>
      </c>
      <c r="G608" s="2">
        <v>0</v>
      </c>
    </row>
    <row r="609" spans="1:7" ht="15.75" customHeight="1">
      <c r="A609" s="2" t="s">
        <v>7174</v>
      </c>
      <c r="B609" s="2" t="s">
        <v>7183</v>
      </c>
      <c r="C609" s="2" t="s">
        <v>7374</v>
      </c>
      <c r="D609" s="2" t="s">
        <v>7437</v>
      </c>
      <c r="E609" s="2" t="s">
        <v>7278</v>
      </c>
      <c r="F609" s="2" t="s">
        <v>7278</v>
      </c>
      <c r="G609" s="2">
        <v>0</v>
      </c>
    </row>
    <row r="610" spans="1:7" ht="15.75" customHeight="1">
      <c r="A610" s="2" t="s">
        <v>7174</v>
      </c>
      <c r="B610" s="2" t="s">
        <v>7183</v>
      </c>
      <c r="C610" s="2" t="s">
        <v>7418</v>
      </c>
      <c r="D610" s="2" t="s">
        <v>7437</v>
      </c>
      <c r="E610" s="2" t="s">
        <v>7278</v>
      </c>
      <c r="F610" s="2" t="s">
        <v>7278</v>
      </c>
      <c r="G610" s="2">
        <v>0</v>
      </c>
    </row>
    <row r="611" spans="1:7" ht="15.75" customHeight="1">
      <c r="A611" s="2" t="s">
        <v>7174</v>
      </c>
      <c r="B611" s="2" t="s">
        <v>7183</v>
      </c>
      <c r="C611" s="2" t="s">
        <v>7462</v>
      </c>
      <c r="D611" s="2" t="s">
        <v>7284</v>
      </c>
      <c r="E611" s="2" t="s">
        <v>7215</v>
      </c>
      <c r="F611" s="2" t="s">
        <v>7215</v>
      </c>
      <c r="G611" s="2">
        <v>1300</v>
      </c>
    </row>
    <row r="612" spans="1:7" ht="15.75" customHeight="1">
      <c r="A612" s="2" t="s">
        <v>7174</v>
      </c>
      <c r="B612" s="2" t="s">
        <v>7183</v>
      </c>
      <c r="C612" s="2" t="s">
        <v>7792</v>
      </c>
      <c r="D612" s="2" t="s">
        <v>7277</v>
      </c>
      <c r="E612" s="2" t="s">
        <v>7278</v>
      </c>
      <c r="F612" s="2" t="s">
        <v>7278</v>
      </c>
      <c r="G612" s="2">
        <v>0</v>
      </c>
    </row>
    <row r="613" spans="1:7" ht="15.75" customHeight="1">
      <c r="A613" s="2" t="s">
        <v>7174</v>
      </c>
      <c r="B613" s="2" t="s">
        <v>7183</v>
      </c>
      <c r="C613" s="2" t="s">
        <v>7793</v>
      </c>
      <c r="D613" s="2" t="s">
        <v>7235</v>
      </c>
      <c r="E613" s="2" t="s">
        <v>538</v>
      </c>
      <c r="F613" s="2" t="s">
        <v>538</v>
      </c>
      <c r="G613" s="2">
        <v>0</v>
      </c>
    </row>
    <row r="614" spans="1:7" ht="15.75" customHeight="1">
      <c r="A614" s="2" t="s">
        <v>7174</v>
      </c>
      <c r="B614" s="2" t="s">
        <v>7183</v>
      </c>
      <c r="C614" s="2" t="s">
        <v>7794</v>
      </c>
      <c r="D614" s="2" t="s">
        <v>7589</v>
      </c>
      <c r="E614" s="2" t="s">
        <v>1974</v>
      </c>
      <c r="F614" s="2" t="s">
        <v>1974</v>
      </c>
      <c r="G614" s="2">
        <v>0</v>
      </c>
    </row>
    <row r="615" spans="1:7" ht="15.75" customHeight="1">
      <c r="A615" s="2" t="s">
        <v>7174</v>
      </c>
      <c r="B615" s="2" t="s">
        <v>7183</v>
      </c>
      <c r="C615" s="2" t="s">
        <v>7795</v>
      </c>
      <c r="D615" s="2" t="s">
        <v>7284</v>
      </c>
      <c r="E615" s="2" t="s">
        <v>7215</v>
      </c>
      <c r="F615" s="2" t="s">
        <v>7215</v>
      </c>
      <c r="G615" s="2">
        <v>1300</v>
      </c>
    </row>
    <row r="616" spans="1:7" ht="15.75" customHeight="1">
      <c r="A616" s="2" t="s">
        <v>7174</v>
      </c>
      <c r="B616" s="2" t="s">
        <v>7183</v>
      </c>
      <c r="C616" s="2" t="s">
        <v>7796</v>
      </c>
      <c r="D616" s="2" t="s">
        <v>7259</v>
      </c>
      <c r="E616" s="2" t="s">
        <v>7215</v>
      </c>
      <c r="F616" s="2" t="s">
        <v>7215</v>
      </c>
      <c r="G616" s="2">
        <v>255</v>
      </c>
    </row>
    <row r="617" spans="1:7" ht="15.75" customHeight="1">
      <c r="A617" s="2" t="s">
        <v>7174</v>
      </c>
      <c r="B617" s="2" t="s">
        <v>7183</v>
      </c>
      <c r="C617" s="2" t="s">
        <v>7797</v>
      </c>
      <c r="D617" s="2" t="s">
        <v>7259</v>
      </c>
      <c r="E617" s="2" t="s">
        <v>7215</v>
      </c>
      <c r="F617" s="2" t="s">
        <v>7215</v>
      </c>
      <c r="G617" s="2">
        <v>255</v>
      </c>
    </row>
    <row r="618" spans="1:7" ht="15.75" customHeight="1">
      <c r="A618" s="2" t="s">
        <v>7174</v>
      </c>
      <c r="B618" s="2" t="s">
        <v>7183</v>
      </c>
      <c r="C618" s="2" t="s">
        <v>7798</v>
      </c>
      <c r="D618" s="2" t="s">
        <v>5204</v>
      </c>
      <c r="E618" s="2" t="s">
        <v>7215</v>
      </c>
      <c r="F618" s="2" t="s">
        <v>7215</v>
      </c>
      <c r="G618" s="2">
        <v>80</v>
      </c>
    </row>
    <row r="619" spans="1:7" ht="15.75" customHeight="1">
      <c r="A619" s="2" t="s">
        <v>7174</v>
      </c>
      <c r="B619" s="2" t="s">
        <v>7183</v>
      </c>
      <c r="C619" s="2" t="s">
        <v>7799</v>
      </c>
      <c r="D619" s="2" t="s">
        <v>7259</v>
      </c>
      <c r="E619" s="2" t="s">
        <v>7215</v>
      </c>
      <c r="F619" s="2" t="s">
        <v>7215</v>
      </c>
      <c r="G619" s="2">
        <v>255</v>
      </c>
    </row>
    <row r="620" spans="1:7" ht="15.75" customHeight="1">
      <c r="A620" s="2" t="s">
        <v>7174</v>
      </c>
      <c r="B620" s="2" t="s">
        <v>7183</v>
      </c>
      <c r="C620" s="2" t="s">
        <v>7800</v>
      </c>
      <c r="D620" s="2" t="s">
        <v>7339</v>
      </c>
      <c r="E620" s="2" t="s">
        <v>7215</v>
      </c>
      <c r="F620" s="2" t="s">
        <v>7215</v>
      </c>
      <c r="G620" s="2">
        <v>9</v>
      </c>
    </row>
    <row r="621" spans="1:7" ht="15.75" customHeight="1">
      <c r="A621" s="2" t="s">
        <v>7174</v>
      </c>
      <c r="B621" s="2" t="s">
        <v>7183</v>
      </c>
      <c r="C621" s="2" t="s">
        <v>7801</v>
      </c>
      <c r="D621" s="2" t="s">
        <v>7216</v>
      </c>
      <c r="E621" s="2" t="s">
        <v>7215</v>
      </c>
      <c r="F621" s="2" t="s">
        <v>7215</v>
      </c>
      <c r="G621" s="2">
        <v>255</v>
      </c>
    </row>
    <row r="622" spans="1:7" ht="15.75" customHeight="1">
      <c r="A622" s="2" t="s">
        <v>7174</v>
      </c>
      <c r="B622" s="2" t="s">
        <v>7183</v>
      </c>
      <c r="C622" s="2" t="s">
        <v>7802</v>
      </c>
      <c r="D622" s="2" t="s">
        <v>7216</v>
      </c>
      <c r="E622" s="2" t="s">
        <v>7215</v>
      </c>
      <c r="F622" s="2" t="s">
        <v>7215</v>
      </c>
      <c r="G622" s="2">
        <v>255</v>
      </c>
    </row>
    <row r="623" spans="1:7" ht="15.75" customHeight="1">
      <c r="A623" s="2" t="s">
        <v>7174</v>
      </c>
      <c r="B623" s="2" t="s">
        <v>7183</v>
      </c>
      <c r="C623" s="2" t="s">
        <v>7803</v>
      </c>
      <c r="D623" s="2" t="s">
        <v>7259</v>
      </c>
      <c r="E623" s="2" t="s">
        <v>7215</v>
      </c>
      <c r="F623" s="2" t="s">
        <v>7215</v>
      </c>
      <c r="G623" s="2">
        <v>255</v>
      </c>
    </row>
    <row r="624" spans="1:7" ht="15.75" customHeight="1">
      <c r="A624" s="2" t="s">
        <v>7174</v>
      </c>
      <c r="B624" s="2" t="s">
        <v>7183</v>
      </c>
      <c r="C624" s="2" t="s">
        <v>7804</v>
      </c>
      <c r="D624" s="2" t="s">
        <v>7259</v>
      </c>
      <c r="E624" s="2" t="s">
        <v>7215</v>
      </c>
      <c r="F624" s="2" t="s">
        <v>7215</v>
      </c>
      <c r="G624" s="2">
        <v>255</v>
      </c>
    </row>
    <row r="625" spans="1:7" ht="15.75" customHeight="1">
      <c r="A625" s="2" t="s">
        <v>7174</v>
      </c>
      <c r="B625" s="2" t="s">
        <v>7183</v>
      </c>
      <c r="C625" s="2" t="s">
        <v>7805</v>
      </c>
      <c r="D625" s="2" t="s">
        <v>7259</v>
      </c>
      <c r="E625" s="2" t="s">
        <v>7215</v>
      </c>
      <c r="F625" s="2" t="s">
        <v>7215</v>
      </c>
      <c r="G625" s="2">
        <v>255</v>
      </c>
    </row>
    <row r="626" spans="1:7" ht="15.75" customHeight="1">
      <c r="A626" s="2" t="s">
        <v>7174</v>
      </c>
      <c r="B626" s="2" t="s">
        <v>7183</v>
      </c>
      <c r="C626" s="2" t="s">
        <v>7806</v>
      </c>
      <c r="D626" s="2" t="s">
        <v>7284</v>
      </c>
      <c r="E626" s="2" t="s">
        <v>7215</v>
      </c>
      <c r="F626" s="2" t="s">
        <v>7215</v>
      </c>
      <c r="G626" s="2">
        <v>1300</v>
      </c>
    </row>
    <row r="627" spans="1:7" ht="15.75" customHeight="1">
      <c r="A627" s="2" t="s">
        <v>7174</v>
      </c>
      <c r="B627" s="2" t="s">
        <v>7183</v>
      </c>
      <c r="C627" s="2" t="s">
        <v>7807</v>
      </c>
      <c r="D627" s="2" t="s">
        <v>7284</v>
      </c>
      <c r="E627" s="2" t="s">
        <v>7215</v>
      </c>
      <c r="F627" s="2" t="s">
        <v>7215</v>
      </c>
      <c r="G627" s="2">
        <v>1300</v>
      </c>
    </row>
    <row r="628" spans="1:7" ht="15.75" customHeight="1">
      <c r="A628" s="2" t="s">
        <v>7174</v>
      </c>
      <c r="B628" s="2" t="s">
        <v>7184</v>
      </c>
      <c r="C628" s="2" t="s">
        <v>4304</v>
      </c>
      <c r="D628" s="2" t="s">
        <v>7209</v>
      </c>
      <c r="E628" s="2" t="s">
        <v>3897</v>
      </c>
      <c r="F628" s="2" t="s">
        <v>7210</v>
      </c>
      <c r="G628" s="2">
        <v>18</v>
      </c>
    </row>
    <row r="629" spans="1:7" ht="15.75" customHeight="1">
      <c r="A629" s="2" t="s">
        <v>7174</v>
      </c>
      <c r="B629" s="2" t="s">
        <v>7184</v>
      </c>
      <c r="C629" s="2" t="s">
        <v>7211</v>
      </c>
      <c r="D629" s="2" t="s">
        <v>7212</v>
      </c>
      <c r="E629" s="2" t="s">
        <v>5672</v>
      </c>
      <c r="F629" s="2" t="s">
        <v>5672</v>
      </c>
      <c r="G629" s="2">
        <v>0</v>
      </c>
    </row>
    <row r="630" spans="1:7" ht="15.75" customHeight="1">
      <c r="A630" s="2" t="s">
        <v>7174</v>
      </c>
      <c r="B630" s="2" t="s">
        <v>7184</v>
      </c>
      <c r="C630" s="2" t="s">
        <v>7213</v>
      </c>
      <c r="D630" s="2" t="s">
        <v>7808</v>
      </c>
      <c r="E630" s="2" t="s">
        <v>3897</v>
      </c>
      <c r="F630" s="2" t="s">
        <v>7210</v>
      </c>
      <c r="G630" s="2">
        <v>18</v>
      </c>
    </row>
    <row r="631" spans="1:7" ht="15.75" customHeight="1">
      <c r="A631" s="2" t="s">
        <v>7174</v>
      </c>
      <c r="B631" s="2" t="s">
        <v>7184</v>
      </c>
      <c r="C631" s="2" t="s">
        <v>7809</v>
      </c>
      <c r="D631" s="2" t="s">
        <v>6840</v>
      </c>
      <c r="E631" s="2" t="s">
        <v>7215</v>
      </c>
      <c r="F631" s="2" t="s">
        <v>7215</v>
      </c>
      <c r="G631" s="2">
        <v>30</v>
      </c>
    </row>
    <row r="632" spans="1:7" ht="15.75" customHeight="1">
      <c r="A632" s="2" t="s">
        <v>7174</v>
      </c>
      <c r="B632" s="2" t="s">
        <v>7184</v>
      </c>
      <c r="C632" s="2" t="s">
        <v>7759</v>
      </c>
      <c r="D632" s="2" t="s">
        <v>7245</v>
      </c>
      <c r="E632" s="2" t="s">
        <v>3897</v>
      </c>
      <c r="F632" s="2" t="s">
        <v>7210</v>
      </c>
      <c r="G632" s="2">
        <v>18</v>
      </c>
    </row>
    <row r="633" spans="1:7" ht="15.75" customHeight="1">
      <c r="A633" s="2" t="s">
        <v>7174</v>
      </c>
      <c r="B633" s="2" t="s">
        <v>7184</v>
      </c>
      <c r="C633" s="2" t="s">
        <v>7810</v>
      </c>
      <c r="D633" s="2" t="s">
        <v>7214</v>
      </c>
      <c r="E633" s="2" t="s">
        <v>3897</v>
      </c>
      <c r="F633" s="2" t="s">
        <v>7210</v>
      </c>
      <c r="G633" s="2">
        <v>18</v>
      </c>
    </row>
    <row r="634" spans="1:7" ht="15.75" customHeight="1">
      <c r="A634" s="2" t="s">
        <v>7174</v>
      </c>
      <c r="B634" s="2" t="s">
        <v>7184</v>
      </c>
      <c r="C634" s="2" t="s">
        <v>7811</v>
      </c>
      <c r="D634" s="2" t="s">
        <v>7812</v>
      </c>
      <c r="E634" s="2" t="s">
        <v>3897</v>
      </c>
      <c r="F634" s="2" t="s">
        <v>7210</v>
      </c>
      <c r="G634" s="2">
        <v>18</v>
      </c>
    </row>
    <row r="635" spans="1:7" ht="15.75" customHeight="1">
      <c r="A635" s="2" t="s">
        <v>7174</v>
      </c>
      <c r="B635" s="2" t="s">
        <v>7184</v>
      </c>
      <c r="C635" s="2" t="s">
        <v>7219</v>
      </c>
      <c r="D635" s="2" t="s">
        <v>7808</v>
      </c>
      <c r="E635" s="2" t="s">
        <v>3897</v>
      </c>
      <c r="F635" s="2" t="s">
        <v>7210</v>
      </c>
      <c r="G635" s="2">
        <v>18</v>
      </c>
    </row>
    <row r="636" spans="1:7" ht="15.75" customHeight="1">
      <c r="A636" s="2" t="s">
        <v>7174</v>
      </c>
      <c r="B636" s="2" t="s">
        <v>7184</v>
      </c>
      <c r="C636" s="2" t="s">
        <v>7813</v>
      </c>
      <c r="D636" s="2" t="s">
        <v>7254</v>
      </c>
      <c r="E636" s="2" t="s">
        <v>7215</v>
      </c>
      <c r="F636" s="2" t="s">
        <v>7215</v>
      </c>
      <c r="G636" s="2">
        <v>80</v>
      </c>
    </row>
    <row r="637" spans="1:7" ht="15.75" customHeight="1">
      <c r="A637" s="2" t="s">
        <v>7174</v>
      </c>
      <c r="B637" s="2" t="s">
        <v>7184</v>
      </c>
      <c r="C637" s="2" t="s">
        <v>7814</v>
      </c>
      <c r="D637" s="2" t="s">
        <v>5204</v>
      </c>
      <c r="E637" s="2" t="s">
        <v>7215</v>
      </c>
      <c r="F637" s="2" t="s">
        <v>7215</v>
      </c>
      <c r="G637" s="2">
        <v>80</v>
      </c>
    </row>
    <row r="638" spans="1:7" ht="15.75" customHeight="1">
      <c r="A638" s="2" t="s">
        <v>7174</v>
      </c>
      <c r="B638" s="2" t="s">
        <v>7184</v>
      </c>
      <c r="C638" s="2" t="s">
        <v>7815</v>
      </c>
      <c r="D638" s="2" t="s">
        <v>7763</v>
      </c>
      <c r="E638" s="2" t="s">
        <v>7215</v>
      </c>
      <c r="F638" s="2" t="s">
        <v>7215</v>
      </c>
      <c r="G638" s="2">
        <v>40</v>
      </c>
    </row>
    <row r="639" spans="1:7" ht="15.75" customHeight="1">
      <c r="A639" s="2" t="s">
        <v>7174</v>
      </c>
      <c r="B639" s="2" t="s">
        <v>7184</v>
      </c>
      <c r="C639" s="2" t="s">
        <v>7816</v>
      </c>
      <c r="D639" s="2" t="s">
        <v>7254</v>
      </c>
      <c r="E639" s="2" t="s">
        <v>7215</v>
      </c>
      <c r="F639" s="2" t="s">
        <v>7215</v>
      </c>
      <c r="G639" s="2">
        <v>80</v>
      </c>
    </row>
    <row r="640" spans="1:7" ht="15.75" customHeight="1">
      <c r="A640" s="2" t="s">
        <v>7174</v>
      </c>
      <c r="B640" s="2" t="s">
        <v>7184</v>
      </c>
      <c r="C640" s="2" t="s">
        <v>1611</v>
      </c>
      <c r="D640" s="2" t="s">
        <v>7216</v>
      </c>
      <c r="E640" s="2" t="s">
        <v>7215</v>
      </c>
      <c r="F640" s="2" t="s">
        <v>7215</v>
      </c>
      <c r="G640" s="2">
        <v>255</v>
      </c>
    </row>
    <row r="641" spans="1:7" ht="15.75" customHeight="1">
      <c r="A641" s="2" t="s">
        <v>7174</v>
      </c>
      <c r="B641" s="2" t="s">
        <v>7184</v>
      </c>
      <c r="C641" s="2" t="s">
        <v>7217</v>
      </c>
      <c r="D641" s="2" t="s">
        <v>7218</v>
      </c>
      <c r="E641" s="2" t="s">
        <v>3897</v>
      </c>
      <c r="F641" s="2" t="s">
        <v>7210</v>
      </c>
      <c r="G641" s="2">
        <v>18</v>
      </c>
    </row>
    <row r="642" spans="1:7" ht="15.75" customHeight="1">
      <c r="A642" s="2" t="s">
        <v>7174</v>
      </c>
      <c r="B642" s="2" t="s">
        <v>7184</v>
      </c>
      <c r="C642" s="2" t="s">
        <v>811</v>
      </c>
      <c r="D642" s="2" t="s">
        <v>7216</v>
      </c>
      <c r="E642" s="2" t="s">
        <v>7215</v>
      </c>
      <c r="F642" s="2" t="s">
        <v>7215</v>
      </c>
      <c r="G642" s="2">
        <v>255</v>
      </c>
    </row>
    <row r="643" spans="1:7" ht="15.75" customHeight="1">
      <c r="A643" s="2" t="s">
        <v>7174</v>
      </c>
      <c r="B643" s="2" t="s">
        <v>7184</v>
      </c>
      <c r="C643" s="2" t="s">
        <v>1928</v>
      </c>
      <c r="D643" s="2" t="s">
        <v>7216</v>
      </c>
      <c r="E643" s="2" t="s">
        <v>7215</v>
      </c>
      <c r="F643" s="2" t="s">
        <v>7215</v>
      </c>
      <c r="G643" s="2">
        <v>255</v>
      </c>
    </row>
    <row r="644" spans="1:7" ht="15.75" customHeight="1">
      <c r="A644" s="2" t="s">
        <v>7174</v>
      </c>
      <c r="B644" s="2" t="s">
        <v>7184</v>
      </c>
      <c r="C644" s="2" t="s">
        <v>7817</v>
      </c>
      <c r="D644" s="2" t="s">
        <v>7216</v>
      </c>
      <c r="E644" s="2" t="s">
        <v>7215</v>
      </c>
      <c r="F644" s="2" t="s">
        <v>7215</v>
      </c>
      <c r="G644" s="2">
        <v>255</v>
      </c>
    </row>
    <row r="645" spans="1:7" ht="15.75" customHeight="1">
      <c r="A645" s="2" t="s">
        <v>7174</v>
      </c>
      <c r="B645" s="2" t="s">
        <v>7184</v>
      </c>
      <c r="C645" s="2" t="s">
        <v>7818</v>
      </c>
      <c r="D645" s="2" t="s">
        <v>7216</v>
      </c>
      <c r="E645" s="2" t="s">
        <v>7215</v>
      </c>
      <c r="F645" s="2" t="s">
        <v>7215</v>
      </c>
      <c r="G645" s="2">
        <v>40</v>
      </c>
    </row>
    <row r="646" spans="1:7" ht="15.75" customHeight="1">
      <c r="A646" s="2" t="s">
        <v>7174</v>
      </c>
      <c r="B646" s="2" t="s">
        <v>7184</v>
      </c>
      <c r="C646" s="2" t="s">
        <v>7819</v>
      </c>
      <c r="D646" s="2" t="s">
        <v>7259</v>
      </c>
      <c r="E646" s="2" t="s">
        <v>7215</v>
      </c>
      <c r="F646" s="2" t="s">
        <v>7215</v>
      </c>
      <c r="G646" s="2">
        <v>255</v>
      </c>
    </row>
    <row r="647" spans="1:7" ht="15.75" customHeight="1">
      <c r="A647" s="2" t="s">
        <v>7174</v>
      </c>
      <c r="B647" s="2" t="s">
        <v>7184</v>
      </c>
      <c r="C647" s="2" t="s">
        <v>7820</v>
      </c>
      <c r="D647" s="2" t="s">
        <v>7216</v>
      </c>
      <c r="E647" s="2" t="s">
        <v>7215</v>
      </c>
      <c r="F647" s="2" t="s">
        <v>7215</v>
      </c>
      <c r="G647" s="2">
        <v>255</v>
      </c>
    </row>
    <row r="648" spans="1:7" ht="15.75" customHeight="1">
      <c r="A648" s="2" t="s">
        <v>7174</v>
      </c>
      <c r="B648" s="2" t="s">
        <v>7184</v>
      </c>
      <c r="C648" s="2" t="s">
        <v>7821</v>
      </c>
      <c r="D648" s="2" t="s">
        <v>7212</v>
      </c>
      <c r="E648" s="2" t="s">
        <v>5672</v>
      </c>
      <c r="F648" s="2" t="s">
        <v>5672</v>
      </c>
      <c r="G648" s="2">
        <v>0</v>
      </c>
    </row>
    <row r="649" spans="1:7" ht="15.75" customHeight="1">
      <c r="A649" s="2" t="s">
        <v>7174</v>
      </c>
      <c r="B649" s="2" t="s">
        <v>7184</v>
      </c>
      <c r="C649" s="2" t="s">
        <v>7822</v>
      </c>
      <c r="D649" s="2" t="s">
        <v>7235</v>
      </c>
      <c r="E649" s="2" t="s">
        <v>538</v>
      </c>
      <c r="F649" s="2" t="s">
        <v>538</v>
      </c>
      <c r="G649" s="2">
        <v>0</v>
      </c>
    </row>
    <row r="650" spans="1:7" ht="15.75" customHeight="1">
      <c r="A650" s="2" t="s">
        <v>7174</v>
      </c>
      <c r="B650" s="2" t="s">
        <v>7184</v>
      </c>
      <c r="C650" s="2" t="s">
        <v>7823</v>
      </c>
      <c r="D650" s="2" t="s">
        <v>7212</v>
      </c>
      <c r="E650" s="2" t="s">
        <v>5672</v>
      </c>
      <c r="F650" s="2" t="s">
        <v>5672</v>
      </c>
      <c r="G650" s="2">
        <v>0</v>
      </c>
    </row>
    <row r="651" spans="1:7" ht="15.75" customHeight="1">
      <c r="A651" s="2" t="s">
        <v>7174</v>
      </c>
      <c r="B651" s="2" t="s">
        <v>7184</v>
      </c>
      <c r="C651" s="2" t="s">
        <v>7233</v>
      </c>
      <c r="D651" s="2" t="s">
        <v>7574</v>
      </c>
      <c r="E651" s="2" t="s">
        <v>3897</v>
      </c>
      <c r="F651" s="2" t="s">
        <v>7210</v>
      </c>
      <c r="G651" s="2">
        <v>18</v>
      </c>
    </row>
    <row r="652" spans="1:7" ht="15.75" customHeight="1">
      <c r="A652" s="2" t="s">
        <v>7174</v>
      </c>
      <c r="B652" s="2" t="s">
        <v>7184</v>
      </c>
      <c r="C652" s="2" t="s">
        <v>7135</v>
      </c>
      <c r="D652" s="2" t="s">
        <v>7235</v>
      </c>
      <c r="E652" s="2" t="s">
        <v>538</v>
      </c>
      <c r="F652" s="2" t="s">
        <v>538</v>
      </c>
      <c r="G652" s="2">
        <v>0</v>
      </c>
    </row>
    <row r="653" spans="1:7" ht="15.75" customHeight="1">
      <c r="A653" s="2" t="s">
        <v>7174</v>
      </c>
      <c r="B653" s="2" t="s">
        <v>7184</v>
      </c>
      <c r="C653" s="2" t="s">
        <v>7236</v>
      </c>
      <c r="D653" s="2" t="s">
        <v>7234</v>
      </c>
      <c r="E653" s="2" t="s">
        <v>3897</v>
      </c>
      <c r="F653" s="2" t="s">
        <v>7210</v>
      </c>
      <c r="G653" s="2">
        <v>18</v>
      </c>
    </row>
    <row r="654" spans="1:7" ht="15.75" customHeight="1">
      <c r="A654" s="2" t="s">
        <v>7174</v>
      </c>
      <c r="B654" s="2" t="s">
        <v>7184</v>
      </c>
      <c r="C654" s="2" t="s">
        <v>7176</v>
      </c>
      <c r="D654" s="2" t="s">
        <v>7235</v>
      </c>
      <c r="E654" s="2" t="s">
        <v>538</v>
      </c>
      <c r="F654" s="2" t="s">
        <v>538</v>
      </c>
      <c r="G654" s="2">
        <v>0</v>
      </c>
    </row>
    <row r="655" spans="1:7" ht="15.75" customHeight="1">
      <c r="A655" s="2" t="s">
        <v>7174</v>
      </c>
      <c r="B655" s="2" t="s">
        <v>7184</v>
      </c>
      <c r="C655" s="2" t="s">
        <v>7237</v>
      </c>
      <c r="D655" s="2" t="s">
        <v>7234</v>
      </c>
      <c r="E655" s="2" t="s">
        <v>3897</v>
      </c>
      <c r="F655" s="2" t="s">
        <v>7210</v>
      </c>
      <c r="G655" s="2">
        <v>18</v>
      </c>
    </row>
    <row r="656" spans="1:7" ht="15.75" customHeight="1">
      <c r="A656" s="2" t="s">
        <v>7174</v>
      </c>
      <c r="B656" s="2" t="s">
        <v>7184</v>
      </c>
      <c r="C656" s="2" t="s">
        <v>7238</v>
      </c>
      <c r="D656" s="2" t="s">
        <v>7235</v>
      </c>
      <c r="E656" s="2" t="s">
        <v>538</v>
      </c>
      <c r="F656" s="2" t="s">
        <v>538</v>
      </c>
      <c r="G656" s="2">
        <v>0</v>
      </c>
    </row>
    <row r="657" spans="1:7" ht="15.75" customHeight="1">
      <c r="A657" s="2" t="s">
        <v>7174</v>
      </c>
      <c r="B657" s="2" t="s">
        <v>7184</v>
      </c>
      <c r="C657" s="2" t="s">
        <v>4581</v>
      </c>
      <c r="D657" s="2" t="s">
        <v>7224</v>
      </c>
      <c r="E657" s="2" t="s">
        <v>7215</v>
      </c>
      <c r="F657" s="2" t="s">
        <v>7215</v>
      </c>
      <c r="G657" s="2">
        <v>40</v>
      </c>
    </row>
    <row r="658" spans="1:7" ht="15.75" customHeight="1">
      <c r="A658" s="2" t="s">
        <v>7174</v>
      </c>
      <c r="B658" s="2" t="s">
        <v>7184</v>
      </c>
      <c r="C658" s="2" t="s">
        <v>4585</v>
      </c>
      <c r="D658" s="2" t="s">
        <v>7224</v>
      </c>
      <c r="E658" s="2" t="s">
        <v>7215</v>
      </c>
      <c r="F658" s="2" t="s">
        <v>7215</v>
      </c>
      <c r="G658" s="2">
        <v>40</v>
      </c>
    </row>
    <row r="659" spans="1:7" ht="15.75" customHeight="1">
      <c r="A659" s="2" t="s">
        <v>7174</v>
      </c>
      <c r="B659" s="2" t="s">
        <v>7184</v>
      </c>
      <c r="C659" s="2" t="s">
        <v>4584</v>
      </c>
      <c r="D659" s="2" t="s">
        <v>5204</v>
      </c>
      <c r="E659" s="2" t="s">
        <v>7215</v>
      </c>
      <c r="F659" s="2" t="s">
        <v>7215</v>
      </c>
      <c r="G659" s="2">
        <v>80</v>
      </c>
    </row>
    <row r="660" spans="1:7" ht="15.75" customHeight="1">
      <c r="A660" s="2" t="s">
        <v>7174</v>
      </c>
      <c r="B660" s="2" t="s">
        <v>7184</v>
      </c>
      <c r="C660" s="2" t="s">
        <v>4583</v>
      </c>
      <c r="D660" s="2" t="s">
        <v>7224</v>
      </c>
      <c r="E660" s="2" t="s">
        <v>7215</v>
      </c>
      <c r="F660" s="2" t="s">
        <v>7215</v>
      </c>
      <c r="G660" s="2">
        <v>40</v>
      </c>
    </row>
    <row r="661" spans="1:7" ht="15.75" customHeight="1">
      <c r="A661" s="2" t="s">
        <v>7174</v>
      </c>
      <c r="B661" s="2" t="s">
        <v>7184</v>
      </c>
      <c r="C661" s="2" t="s">
        <v>7824</v>
      </c>
      <c r="D661" s="2" t="s">
        <v>7825</v>
      </c>
      <c r="E661" s="2" t="s">
        <v>7215</v>
      </c>
      <c r="F661" s="2" t="s">
        <v>7215</v>
      </c>
      <c r="G661" s="2">
        <v>4000</v>
      </c>
    </row>
    <row r="662" spans="1:7" ht="15.75" customHeight="1">
      <c r="A662" s="2" t="s">
        <v>7174</v>
      </c>
      <c r="B662" s="2" t="s">
        <v>7184</v>
      </c>
      <c r="C662" s="2" t="s">
        <v>7240</v>
      </c>
      <c r="D662" s="2" t="s">
        <v>7235</v>
      </c>
      <c r="E662" s="2" t="s">
        <v>538</v>
      </c>
      <c r="F662" s="2" t="s">
        <v>538</v>
      </c>
      <c r="G662" s="2">
        <v>0</v>
      </c>
    </row>
    <row r="663" spans="1:7" ht="15.75" customHeight="1">
      <c r="A663" s="2" t="s">
        <v>7174</v>
      </c>
      <c r="B663" s="2" t="s">
        <v>7184</v>
      </c>
      <c r="C663" s="2" t="s">
        <v>7241</v>
      </c>
      <c r="D663" s="2" t="s">
        <v>7235</v>
      </c>
      <c r="E663" s="2" t="s">
        <v>538</v>
      </c>
      <c r="F663" s="2" t="s">
        <v>538</v>
      </c>
      <c r="G663" s="2">
        <v>0</v>
      </c>
    </row>
    <row r="664" spans="1:7" ht="15.75" customHeight="1">
      <c r="A664" s="2" t="s">
        <v>7174</v>
      </c>
      <c r="B664" s="2" t="s">
        <v>7184</v>
      </c>
      <c r="C664" s="2" t="s">
        <v>7242</v>
      </c>
      <c r="D664" s="2" t="s">
        <v>7243</v>
      </c>
      <c r="E664" s="2" t="s">
        <v>3897</v>
      </c>
      <c r="F664" s="2" t="s">
        <v>7210</v>
      </c>
      <c r="G664" s="2">
        <v>18</v>
      </c>
    </row>
    <row r="665" spans="1:7" ht="15.75" customHeight="1">
      <c r="A665" s="2" t="s">
        <v>7174</v>
      </c>
      <c r="B665" s="2" t="s">
        <v>7184</v>
      </c>
      <c r="C665" s="2" t="s">
        <v>7588</v>
      </c>
      <c r="D665" s="2" t="s">
        <v>7284</v>
      </c>
      <c r="E665" s="2" t="s">
        <v>7215</v>
      </c>
      <c r="F665" s="2" t="s">
        <v>7215</v>
      </c>
      <c r="G665" s="2">
        <v>1300</v>
      </c>
    </row>
    <row r="666" spans="1:7" ht="15.75" customHeight="1">
      <c r="A666" s="2" t="s">
        <v>7174</v>
      </c>
      <c r="B666" s="2" t="s">
        <v>7184</v>
      </c>
      <c r="C666" s="2" t="s">
        <v>7826</v>
      </c>
      <c r="D666" s="2" t="s">
        <v>7312</v>
      </c>
      <c r="E666" s="2" t="s">
        <v>7278</v>
      </c>
      <c r="F666" s="2" t="s">
        <v>7278</v>
      </c>
      <c r="G666" s="2">
        <v>0</v>
      </c>
    </row>
    <row r="667" spans="1:7" ht="15.75" customHeight="1">
      <c r="A667" s="2" t="s">
        <v>7174</v>
      </c>
      <c r="B667" s="2" t="s">
        <v>7184</v>
      </c>
      <c r="C667" s="2" t="s">
        <v>7827</v>
      </c>
      <c r="D667" s="2" t="s">
        <v>7515</v>
      </c>
      <c r="E667" s="2" t="s">
        <v>7278</v>
      </c>
      <c r="F667" s="2" t="s">
        <v>7278</v>
      </c>
      <c r="G667" s="2">
        <v>0</v>
      </c>
    </row>
    <row r="668" spans="1:7" ht="15.75" customHeight="1">
      <c r="A668" s="2" t="s">
        <v>7174</v>
      </c>
      <c r="B668" s="2" t="s">
        <v>7184</v>
      </c>
      <c r="C668" s="2" t="s">
        <v>7828</v>
      </c>
      <c r="D668" s="2" t="s">
        <v>7515</v>
      </c>
      <c r="E668" s="2" t="s">
        <v>7278</v>
      </c>
      <c r="F668" s="2" t="s">
        <v>7278</v>
      </c>
      <c r="G668" s="2">
        <v>0</v>
      </c>
    </row>
    <row r="669" spans="1:7" ht="15.75" customHeight="1">
      <c r="A669" s="2" t="s">
        <v>7174</v>
      </c>
      <c r="B669" s="2" t="s">
        <v>7184</v>
      </c>
      <c r="C669" s="2" t="s">
        <v>7829</v>
      </c>
      <c r="D669" s="2" t="s">
        <v>7354</v>
      </c>
      <c r="E669" s="2" t="s">
        <v>7215</v>
      </c>
      <c r="F669" s="2" t="s">
        <v>7215</v>
      </c>
      <c r="G669" s="2">
        <v>50</v>
      </c>
    </row>
    <row r="670" spans="1:7" ht="15.75" customHeight="1">
      <c r="A670" s="2" t="s">
        <v>7174</v>
      </c>
      <c r="B670" s="2" t="s">
        <v>7184</v>
      </c>
      <c r="C670" s="2" t="s">
        <v>7830</v>
      </c>
      <c r="D670" s="2" t="s">
        <v>7312</v>
      </c>
      <c r="E670" s="2" t="s">
        <v>7278</v>
      </c>
      <c r="F670" s="2" t="s">
        <v>7278</v>
      </c>
      <c r="G670" s="2">
        <v>0</v>
      </c>
    </row>
    <row r="671" spans="1:7" ht="15.75" customHeight="1">
      <c r="A671" s="2" t="s">
        <v>7174</v>
      </c>
      <c r="B671" s="2" t="s">
        <v>7184</v>
      </c>
      <c r="C671" s="2" t="s">
        <v>7831</v>
      </c>
      <c r="D671" s="2" t="s">
        <v>7216</v>
      </c>
      <c r="E671" s="2" t="s">
        <v>7215</v>
      </c>
      <c r="F671" s="2" t="s">
        <v>7215</v>
      </c>
      <c r="G671" s="2">
        <v>255</v>
      </c>
    </row>
    <row r="672" spans="1:7" ht="15.75" customHeight="1">
      <c r="A672" s="2" t="s">
        <v>7174</v>
      </c>
      <c r="B672" s="2" t="s">
        <v>7184</v>
      </c>
      <c r="C672" s="2" t="s">
        <v>7832</v>
      </c>
      <c r="D672" s="2" t="s">
        <v>7282</v>
      </c>
      <c r="E672" s="2" t="s">
        <v>7215</v>
      </c>
      <c r="F672" s="2" t="s">
        <v>7215</v>
      </c>
      <c r="G672" s="2">
        <v>100</v>
      </c>
    </row>
    <row r="673" spans="1:7" ht="15.75" customHeight="1">
      <c r="A673" s="2" t="s">
        <v>7174</v>
      </c>
      <c r="B673" s="2" t="s">
        <v>7184</v>
      </c>
      <c r="C673" s="2" t="s">
        <v>7833</v>
      </c>
      <c r="D673" s="2" t="s">
        <v>7354</v>
      </c>
      <c r="E673" s="2" t="s">
        <v>7215</v>
      </c>
      <c r="F673" s="2" t="s">
        <v>7215</v>
      </c>
      <c r="G673" s="2">
        <v>50</v>
      </c>
    </row>
    <row r="674" spans="1:7" ht="15.75" customHeight="1">
      <c r="A674" s="2" t="s">
        <v>7174</v>
      </c>
      <c r="B674" s="2" t="s">
        <v>7184</v>
      </c>
      <c r="C674" s="2" t="s">
        <v>7834</v>
      </c>
      <c r="D674" s="2" t="s">
        <v>7216</v>
      </c>
      <c r="E674" s="2" t="s">
        <v>7215</v>
      </c>
      <c r="F674" s="2" t="s">
        <v>7215</v>
      </c>
      <c r="G674" s="2">
        <v>255</v>
      </c>
    </row>
    <row r="675" spans="1:7" ht="15.75" customHeight="1">
      <c r="A675" s="2" t="s">
        <v>7174</v>
      </c>
      <c r="B675" s="2" t="s">
        <v>7184</v>
      </c>
      <c r="C675" s="2" t="s">
        <v>7835</v>
      </c>
      <c r="D675" s="2" t="s">
        <v>7312</v>
      </c>
      <c r="E675" s="2" t="s">
        <v>7278</v>
      </c>
      <c r="F675" s="2" t="s">
        <v>7278</v>
      </c>
      <c r="G675" s="2">
        <v>0</v>
      </c>
    </row>
    <row r="676" spans="1:7" ht="15.75" customHeight="1">
      <c r="A676" s="2" t="s">
        <v>7174</v>
      </c>
      <c r="B676" s="2" t="s">
        <v>7184</v>
      </c>
      <c r="C676" s="2" t="s">
        <v>7836</v>
      </c>
      <c r="D676" s="2" t="s">
        <v>6212</v>
      </c>
      <c r="E676" s="2" t="s">
        <v>1974</v>
      </c>
      <c r="F676" s="2" t="s">
        <v>1974</v>
      </c>
      <c r="G676" s="2">
        <v>0</v>
      </c>
    </row>
    <row r="677" spans="1:7" ht="15.75" customHeight="1">
      <c r="A677" s="2" t="s">
        <v>7174</v>
      </c>
      <c r="B677" s="2" t="s">
        <v>7184</v>
      </c>
      <c r="C677" s="2" t="s">
        <v>7837</v>
      </c>
      <c r="D677" s="2" t="s">
        <v>7838</v>
      </c>
      <c r="E677" s="2" t="s">
        <v>7215</v>
      </c>
      <c r="F677" s="2" t="s">
        <v>7215</v>
      </c>
      <c r="G677" s="2">
        <v>12</v>
      </c>
    </row>
    <row r="678" spans="1:7" ht="15.75" customHeight="1">
      <c r="A678" s="2" t="s">
        <v>7174</v>
      </c>
      <c r="B678" s="2" t="s">
        <v>7184</v>
      </c>
      <c r="C678" s="2" t="s">
        <v>7839</v>
      </c>
      <c r="D678" s="2" t="s">
        <v>7259</v>
      </c>
      <c r="E678" s="2" t="s">
        <v>7215</v>
      </c>
      <c r="F678" s="2" t="s">
        <v>7215</v>
      </c>
      <c r="G678" s="2">
        <v>255</v>
      </c>
    </row>
    <row r="679" spans="1:7" ht="15.75" customHeight="1">
      <c r="A679" s="2" t="s">
        <v>7174</v>
      </c>
      <c r="B679" s="2" t="s">
        <v>7184</v>
      </c>
      <c r="C679" s="2" t="s">
        <v>7840</v>
      </c>
      <c r="D679" s="2" t="s">
        <v>7354</v>
      </c>
      <c r="E679" s="2" t="s">
        <v>7215</v>
      </c>
      <c r="F679" s="2" t="s">
        <v>7215</v>
      </c>
      <c r="G679" s="2">
        <v>50</v>
      </c>
    </row>
    <row r="680" spans="1:7" ht="15.75" customHeight="1">
      <c r="A680" s="2" t="s">
        <v>7174</v>
      </c>
      <c r="B680" s="2" t="s">
        <v>7184</v>
      </c>
      <c r="C680" s="2" t="s">
        <v>7841</v>
      </c>
      <c r="D680" s="2" t="s">
        <v>7259</v>
      </c>
      <c r="E680" s="2" t="s">
        <v>7215</v>
      </c>
      <c r="F680" s="2" t="s">
        <v>7215</v>
      </c>
      <c r="G680" s="2">
        <v>255</v>
      </c>
    </row>
    <row r="681" spans="1:7" ht="15.75" customHeight="1">
      <c r="A681" s="2" t="s">
        <v>7174</v>
      </c>
      <c r="B681" s="2" t="s">
        <v>7184</v>
      </c>
      <c r="C681" s="2" t="s">
        <v>7842</v>
      </c>
      <c r="D681" s="2" t="s">
        <v>7216</v>
      </c>
      <c r="E681" s="2" t="s">
        <v>7215</v>
      </c>
      <c r="F681" s="2" t="s">
        <v>7215</v>
      </c>
      <c r="G681" s="2">
        <v>255</v>
      </c>
    </row>
    <row r="682" spans="1:7" ht="15.75" customHeight="1">
      <c r="A682" s="2" t="s">
        <v>7174</v>
      </c>
      <c r="B682" s="2" t="s">
        <v>7184</v>
      </c>
      <c r="C682" s="2" t="s">
        <v>7843</v>
      </c>
      <c r="D682" s="2" t="s">
        <v>7216</v>
      </c>
      <c r="E682" s="2" t="s">
        <v>7215</v>
      </c>
      <c r="F682" s="2" t="s">
        <v>7215</v>
      </c>
      <c r="G682" s="2">
        <v>255</v>
      </c>
    </row>
    <row r="683" spans="1:7" ht="15.75" customHeight="1">
      <c r="A683" s="2" t="s">
        <v>7174</v>
      </c>
      <c r="B683" s="2" t="s">
        <v>7184</v>
      </c>
      <c r="C683" s="2" t="s">
        <v>7844</v>
      </c>
      <c r="D683" s="2" t="s">
        <v>7282</v>
      </c>
      <c r="E683" s="2" t="s">
        <v>7215</v>
      </c>
      <c r="F683" s="2" t="s">
        <v>7215</v>
      </c>
      <c r="G683" s="2">
        <v>100</v>
      </c>
    </row>
    <row r="684" spans="1:7" ht="15.75" customHeight="1">
      <c r="A684" s="2" t="s">
        <v>7174</v>
      </c>
      <c r="B684" s="2" t="s">
        <v>7184</v>
      </c>
      <c r="C684" s="2" t="s">
        <v>7845</v>
      </c>
      <c r="D684" s="2" t="s">
        <v>7417</v>
      </c>
      <c r="E684" s="2" t="s">
        <v>7215</v>
      </c>
      <c r="F684" s="2" t="s">
        <v>7215</v>
      </c>
      <c r="G684" s="2">
        <v>16</v>
      </c>
    </row>
    <row r="685" spans="1:7" ht="15.75" customHeight="1">
      <c r="A685" s="2" t="s">
        <v>7174</v>
      </c>
      <c r="B685" s="2" t="s">
        <v>7184</v>
      </c>
      <c r="C685" s="2" t="s">
        <v>7846</v>
      </c>
      <c r="D685" s="2" t="s">
        <v>6840</v>
      </c>
      <c r="E685" s="2" t="s">
        <v>7215</v>
      </c>
      <c r="F685" s="2" t="s">
        <v>7215</v>
      </c>
      <c r="G685" s="2">
        <v>30</v>
      </c>
    </row>
    <row r="686" spans="1:7" ht="15.75" customHeight="1">
      <c r="A686" s="2" t="s">
        <v>7174</v>
      </c>
      <c r="B686" s="2" t="s">
        <v>7184</v>
      </c>
      <c r="C686" s="2" t="s">
        <v>7847</v>
      </c>
      <c r="D686" s="2" t="s">
        <v>6840</v>
      </c>
      <c r="E686" s="2" t="s">
        <v>7215</v>
      </c>
      <c r="F686" s="2" t="s">
        <v>7215</v>
      </c>
      <c r="G686" s="2">
        <v>30</v>
      </c>
    </row>
    <row r="687" spans="1:7" ht="15.75" customHeight="1">
      <c r="A687" s="2" t="s">
        <v>7174</v>
      </c>
      <c r="B687" s="2" t="s">
        <v>7184</v>
      </c>
      <c r="C687" s="2" t="s">
        <v>7848</v>
      </c>
      <c r="D687" s="2" t="s">
        <v>7284</v>
      </c>
      <c r="E687" s="2" t="s">
        <v>7215</v>
      </c>
      <c r="F687" s="2" t="s">
        <v>7215</v>
      </c>
      <c r="G687" s="2">
        <v>1300</v>
      </c>
    </row>
    <row r="688" spans="1:7" ht="15.75" customHeight="1">
      <c r="A688" s="2" t="s">
        <v>7174</v>
      </c>
      <c r="B688" s="2" t="s">
        <v>7184</v>
      </c>
      <c r="C688" s="2" t="s">
        <v>7849</v>
      </c>
      <c r="D688" s="2" t="s">
        <v>7212</v>
      </c>
      <c r="E688" s="2" t="s">
        <v>5672</v>
      </c>
      <c r="F688" s="2" t="s">
        <v>5672</v>
      </c>
      <c r="G688" s="2">
        <v>0</v>
      </c>
    </row>
    <row r="689" spans="1:7" ht="15.75" customHeight="1">
      <c r="A689" s="2" t="s">
        <v>7174</v>
      </c>
      <c r="B689" s="2" t="s">
        <v>7184</v>
      </c>
      <c r="C689" s="2" t="s">
        <v>7850</v>
      </c>
      <c r="D689" s="2" t="s">
        <v>7216</v>
      </c>
      <c r="E689" s="2" t="s">
        <v>7215</v>
      </c>
      <c r="F689" s="2" t="s">
        <v>7215</v>
      </c>
      <c r="G689" s="2">
        <v>255</v>
      </c>
    </row>
    <row r="690" spans="1:7" ht="15.75" customHeight="1">
      <c r="A690" s="2" t="s">
        <v>7174</v>
      </c>
      <c r="B690" s="2" t="s">
        <v>7184</v>
      </c>
      <c r="C690" s="2" t="s">
        <v>7851</v>
      </c>
      <c r="D690" s="2" t="s">
        <v>7282</v>
      </c>
      <c r="E690" s="2" t="s">
        <v>7215</v>
      </c>
      <c r="F690" s="2" t="s">
        <v>7215</v>
      </c>
      <c r="G690" s="2">
        <v>100</v>
      </c>
    </row>
    <row r="691" spans="1:7" ht="15.75" customHeight="1">
      <c r="A691" s="2" t="s">
        <v>7174</v>
      </c>
      <c r="B691" s="2" t="s">
        <v>7184</v>
      </c>
      <c r="C691" s="2" t="s">
        <v>7852</v>
      </c>
      <c r="D691" s="2" t="s">
        <v>7282</v>
      </c>
      <c r="E691" s="2" t="s">
        <v>7215</v>
      </c>
      <c r="F691" s="2" t="s">
        <v>7215</v>
      </c>
      <c r="G691" s="2">
        <v>100</v>
      </c>
    </row>
    <row r="692" spans="1:7" ht="15.75" customHeight="1">
      <c r="A692" s="2" t="s">
        <v>7174</v>
      </c>
      <c r="B692" s="2" t="s">
        <v>7184</v>
      </c>
      <c r="C692" s="2" t="s">
        <v>7853</v>
      </c>
      <c r="D692" s="2" t="s">
        <v>7259</v>
      </c>
      <c r="E692" s="2" t="s">
        <v>7215</v>
      </c>
      <c r="F692" s="2" t="s">
        <v>7215</v>
      </c>
      <c r="G692" s="2">
        <v>255</v>
      </c>
    </row>
    <row r="693" spans="1:7" ht="15.75" customHeight="1">
      <c r="A693" s="2" t="s">
        <v>7174</v>
      </c>
      <c r="B693" s="2" t="s">
        <v>7184</v>
      </c>
      <c r="C693" s="2" t="s">
        <v>7854</v>
      </c>
      <c r="D693" s="2" t="s">
        <v>7282</v>
      </c>
      <c r="E693" s="2" t="s">
        <v>7215</v>
      </c>
      <c r="F693" s="2" t="s">
        <v>7215</v>
      </c>
      <c r="G693" s="2">
        <v>100</v>
      </c>
    </row>
    <row r="694" spans="1:7" ht="15.75" customHeight="1">
      <c r="A694" s="2" t="s">
        <v>7174</v>
      </c>
      <c r="B694" s="2" t="s">
        <v>7184</v>
      </c>
      <c r="C694" s="2" t="s">
        <v>7855</v>
      </c>
      <c r="D694" s="2" t="s">
        <v>7310</v>
      </c>
      <c r="E694" s="2" t="s">
        <v>7215</v>
      </c>
      <c r="F694" s="2" t="s">
        <v>7215</v>
      </c>
      <c r="G694" s="2">
        <v>18</v>
      </c>
    </row>
    <row r="695" spans="1:7" ht="15.75" customHeight="1">
      <c r="A695" s="2" t="s">
        <v>7174</v>
      </c>
      <c r="B695" s="2" t="s">
        <v>7184</v>
      </c>
      <c r="C695" s="2" t="s">
        <v>7856</v>
      </c>
      <c r="D695" s="2" t="s">
        <v>7347</v>
      </c>
      <c r="E695" s="2" t="s">
        <v>7215</v>
      </c>
      <c r="F695" s="2" t="s">
        <v>7215</v>
      </c>
      <c r="G695" s="2">
        <v>10</v>
      </c>
    </row>
    <row r="696" spans="1:7" ht="15.75" customHeight="1">
      <c r="A696" s="2" t="s">
        <v>7174</v>
      </c>
      <c r="B696" s="2" t="s">
        <v>7184</v>
      </c>
      <c r="C696" s="2" t="s">
        <v>7857</v>
      </c>
      <c r="D696" s="2" t="s">
        <v>7216</v>
      </c>
      <c r="E696" s="2" t="s">
        <v>7215</v>
      </c>
      <c r="F696" s="2" t="s">
        <v>7215</v>
      </c>
      <c r="G696" s="2">
        <v>255</v>
      </c>
    </row>
    <row r="697" spans="1:7" ht="15.75" customHeight="1">
      <c r="A697" s="2" t="s">
        <v>7174</v>
      </c>
      <c r="B697" s="2" t="s">
        <v>7184</v>
      </c>
      <c r="C697" s="2" t="s">
        <v>7858</v>
      </c>
      <c r="D697" s="2" t="s">
        <v>7216</v>
      </c>
      <c r="E697" s="2" t="s">
        <v>7215</v>
      </c>
      <c r="F697" s="2" t="s">
        <v>7215</v>
      </c>
      <c r="G697" s="2">
        <v>255</v>
      </c>
    </row>
    <row r="698" spans="1:7" ht="15.75" customHeight="1">
      <c r="A698" s="2" t="s">
        <v>7174</v>
      </c>
      <c r="B698" s="2" t="s">
        <v>7184</v>
      </c>
      <c r="C698" s="2" t="s">
        <v>7859</v>
      </c>
      <c r="D698" s="2" t="s">
        <v>7216</v>
      </c>
      <c r="E698" s="2" t="s">
        <v>7215</v>
      </c>
      <c r="F698" s="2" t="s">
        <v>7215</v>
      </c>
      <c r="G698" s="2">
        <v>255</v>
      </c>
    </row>
    <row r="699" spans="1:7" ht="15.75" customHeight="1">
      <c r="A699" s="2" t="s">
        <v>7174</v>
      </c>
      <c r="B699" s="2" t="s">
        <v>7184</v>
      </c>
      <c r="C699" s="2" t="s">
        <v>7860</v>
      </c>
      <c r="D699" s="2" t="s">
        <v>7216</v>
      </c>
      <c r="E699" s="2" t="s">
        <v>7215</v>
      </c>
      <c r="F699" s="2" t="s">
        <v>7215</v>
      </c>
      <c r="G699" s="2">
        <v>255</v>
      </c>
    </row>
    <row r="700" spans="1:7" ht="15.75" customHeight="1">
      <c r="A700" s="2" t="s">
        <v>7174</v>
      </c>
      <c r="B700" s="2" t="s">
        <v>7184</v>
      </c>
      <c r="C700" s="2" t="s">
        <v>7861</v>
      </c>
      <c r="D700" s="2" t="s">
        <v>7216</v>
      </c>
      <c r="E700" s="2" t="s">
        <v>7215</v>
      </c>
      <c r="F700" s="2" t="s">
        <v>7215</v>
      </c>
      <c r="G700" s="2">
        <v>255</v>
      </c>
    </row>
    <row r="701" spans="1:7" ht="15.75" customHeight="1">
      <c r="A701" s="2" t="s">
        <v>7174</v>
      </c>
      <c r="B701" s="2" t="s">
        <v>7184</v>
      </c>
      <c r="C701" s="2" t="s">
        <v>7474</v>
      </c>
      <c r="D701" s="2" t="s">
        <v>7264</v>
      </c>
      <c r="E701" s="2" t="s">
        <v>7215</v>
      </c>
      <c r="F701" s="2" t="s">
        <v>7215</v>
      </c>
      <c r="G701" s="2">
        <v>20</v>
      </c>
    </row>
    <row r="702" spans="1:7" ht="15.75" customHeight="1">
      <c r="A702" s="2" t="s">
        <v>7174</v>
      </c>
      <c r="B702" s="2" t="s">
        <v>7184</v>
      </c>
      <c r="C702" s="2" t="s">
        <v>7862</v>
      </c>
      <c r="D702" s="2" t="s">
        <v>7259</v>
      </c>
      <c r="E702" s="2" t="s">
        <v>7215</v>
      </c>
      <c r="F702" s="2" t="s">
        <v>7215</v>
      </c>
      <c r="G702" s="2">
        <v>255</v>
      </c>
    </row>
    <row r="703" spans="1:7" ht="15.75" customHeight="1">
      <c r="A703" s="2" t="s">
        <v>7174</v>
      </c>
      <c r="B703" s="2" t="s">
        <v>7184</v>
      </c>
      <c r="C703" s="2" t="s">
        <v>7863</v>
      </c>
      <c r="D703" s="2" t="s">
        <v>7354</v>
      </c>
      <c r="E703" s="2" t="s">
        <v>7215</v>
      </c>
      <c r="F703" s="2" t="s">
        <v>7215</v>
      </c>
      <c r="G703" s="2">
        <v>50</v>
      </c>
    </row>
    <row r="704" spans="1:7" ht="15.75" customHeight="1">
      <c r="A704" s="2" t="s">
        <v>7174</v>
      </c>
      <c r="B704" s="2" t="s">
        <v>7184</v>
      </c>
      <c r="C704" s="2" t="s">
        <v>7864</v>
      </c>
      <c r="D704" s="2" t="s">
        <v>7216</v>
      </c>
      <c r="E704" s="2" t="s">
        <v>7215</v>
      </c>
      <c r="F704" s="2" t="s">
        <v>7215</v>
      </c>
      <c r="G704" s="2">
        <v>255</v>
      </c>
    </row>
    <row r="705" spans="1:7" ht="15.75" customHeight="1">
      <c r="A705" s="2" t="s">
        <v>7174</v>
      </c>
      <c r="B705" s="2" t="s">
        <v>7184</v>
      </c>
      <c r="C705" s="2" t="s">
        <v>7865</v>
      </c>
      <c r="D705" s="2" t="s">
        <v>7282</v>
      </c>
      <c r="E705" s="2" t="s">
        <v>7215</v>
      </c>
      <c r="F705" s="2" t="s">
        <v>7215</v>
      </c>
      <c r="G705" s="2">
        <v>100</v>
      </c>
    </row>
    <row r="706" spans="1:7" ht="15.75" customHeight="1">
      <c r="A706" s="2" t="s">
        <v>7174</v>
      </c>
      <c r="B706" s="2" t="s">
        <v>7184</v>
      </c>
      <c r="C706" s="2" t="s">
        <v>7866</v>
      </c>
      <c r="D706" s="2" t="s">
        <v>7284</v>
      </c>
      <c r="E706" s="2" t="s">
        <v>7215</v>
      </c>
      <c r="F706" s="2" t="s">
        <v>7215</v>
      </c>
      <c r="G706" s="2">
        <v>1300</v>
      </c>
    </row>
    <row r="707" spans="1:7" ht="15.75" customHeight="1">
      <c r="A707" s="2" t="s">
        <v>7174</v>
      </c>
      <c r="B707" s="2" t="s">
        <v>7184</v>
      </c>
      <c r="C707" s="2" t="s">
        <v>7867</v>
      </c>
      <c r="D707" s="2" t="s">
        <v>7439</v>
      </c>
      <c r="E707" s="2" t="s">
        <v>5672</v>
      </c>
      <c r="F707" s="2" t="s">
        <v>5672</v>
      </c>
      <c r="G707" s="2">
        <v>0</v>
      </c>
    </row>
    <row r="708" spans="1:7" ht="15.75" customHeight="1">
      <c r="A708" s="2" t="s">
        <v>7174</v>
      </c>
      <c r="B708" s="2" t="s">
        <v>7184</v>
      </c>
      <c r="C708" s="2" t="s">
        <v>7868</v>
      </c>
      <c r="D708" s="2" t="s">
        <v>7439</v>
      </c>
      <c r="E708" s="2" t="s">
        <v>5672</v>
      </c>
      <c r="F708" s="2" t="s">
        <v>5672</v>
      </c>
      <c r="G708" s="2">
        <v>0</v>
      </c>
    </row>
    <row r="709" spans="1:7" ht="15.75" customHeight="1">
      <c r="A709" s="2" t="s">
        <v>7174</v>
      </c>
      <c r="B709" s="2" t="s">
        <v>7184</v>
      </c>
      <c r="C709" s="2" t="s">
        <v>7869</v>
      </c>
      <c r="D709" s="2" t="s">
        <v>7439</v>
      </c>
      <c r="E709" s="2" t="s">
        <v>5672</v>
      </c>
      <c r="F709" s="2" t="s">
        <v>5672</v>
      </c>
      <c r="G709" s="2">
        <v>0</v>
      </c>
    </row>
    <row r="710" spans="1:7" ht="15.75" customHeight="1">
      <c r="A710" s="2" t="s">
        <v>7174</v>
      </c>
      <c r="B710" s="2" t="s">
        <v>7184</v>
      </c>
      <c r="C710" s="2" t="s">
        <v>7870</v>
      </c>
      <c r="D710" s="2" t="s">
        <v>7439</v>
      </c>
      <c r="E710" s="2" t="s">
        <v>5672</v>
      </c>
      <c r="F710" s="2" t="s">
        <v>5672</v>
      </c>
      <c r="G710" s="2">
        <v>0</v>
      </c>
    </row>
    <row r="711" spans="1:7" ht="15.75" customHeight="1">
      <c r="A711" s="2" t="s">
        <v>7174</v>
      </c>
      <c r="B711" s="2" t="s">
        <v>7184</v>
      </c>
      <c r="C711" s="2" t="s">
        <v>7871</v>
      </c>
      <c r="D711" s="2" t="s">
        <v>7439</v>
      </c>
      <c r="E711" s="2" t="s">
        <v>5672</v>
      </c>
      <c r="F711" s="2" t="s">
        <v>5672</v>
      </c>
      <c r="G711" s="2">
        <v>0</v>
      </c>
    </row>
    <row r="712" spans="1:7" ht="15.75" customHeight="1">
      <c r="A712" s="2" t="s">
        <v>7174</v>
      </c>
      <c r="B712" s="2" t="s">
        <v>7184</v>
      </c>
      <c r="C712" s="2" t="s">
        <v>7872</v>
      </c>
      <c r="D712" s="2" t="s">
        <v>7216</v>
      </c>
      <c r="E712" s="2" t="s">
        <v>7215</v>
      </c>
      <c r="F712" s="2" t="s">
        <v>7215</v>
      </c>
      <c r="G712" s="2">
        <v>255</v>
      </c>
    </row>
    <row r="713" spans="1:7" ht="15.75" customHeight="1">
      <c r="A713" s="2" t="s">
        <v>7174</v>
      </c>
      <c r="B713" s="2" t="s">
        <v>7184</v>
      </c>
      <c r="C713" s="2" t="s">
        <v>7873</v>
      </c>
      <c r="D713" s="2" t="s">
        <v>7515</v>
      </c>
      <c r="E713" s="2" t="s">
        <v>7278</v>
      </c>
      <c r="F713" s="2" t="s">
        <v>7278</v>
      </c>
      <c r="G713" s="2">
        <v>0</v>
      </c>
    </row>
    <row r="714" spans="1:7" ht="15.75" customHeight="1">
      <c r="A714" s="2" t="s">
        <v>7174</v>
      </c>
      <c r="B714" s="2" t="s">
        <v>7184</v>
      </c>
      <c r="C714" s="2" t="s">
        <v>7874</v>
      </c>
      <c r="D714" s="2" t="s">
        <v>7515</v>
      </c>
      <c r="E714" s="2" t="s">
        <v>7278</v>
      </c>
      <c r="F714" s="2" t="s">
        <v>7278</v>
      </c>
      <c r="G714" s="2">
        <v>0</v>
      </c>
    </row>
    <row r="715" spans="1:7" ht="15.75" customHeight="1">
      <c r="A715" s="2" t="s">
        <v>7174</v>
      </c>
      <c r="B715" s="2" t="s">
        <v>7184</v>
      </c>
      <c r="C715" s="2" t="s">
        <v>7875</v>
      </c>
      <c r="D715" s="2" t="s">
        <v>7515</v>
      </c>
      <c r="E715" s="2" t="s">
        <v>7278</v>
      </c>
      <c r="F715" s="2" t="s">
        <v>7278</v>
      </c>
      <c r="G715" s="2">
        <v>0</v>
      </c>
    </row>
    <row r="716" spans="1:7" ht="15.75" customHeight="1">
      <c r="A716" s="2" t="s">
        <v>7174</v>
      </c>
      <c r="B716" s="2" t="s">
        <v>7184</v>
      </c>
      <c r="C716" s="2" t="s">
        <v>7876</v>
      </c>
      <c r="D716" s="2" t="s">
        <v>7515</v>
      </c>
      <c r="E716" s="2" t="s">
        <v>7278</v>
      </c>
      <c r="F716" s="2" t="s">
        <v>7278</v>
      </c>
      <c r="G716" s="2">
        <v>0</v>
      </c>
    </row>
    <row r="717" spans="1:7" ht="15.75" customHeight="1">
      <c r="A717" s="2" t="s">
        <v>7174</v>
      </c>
      <c r="B717" s="2" t="s">
        <v>7184</v>
      </c>
      <c r="C717" s="2" t="s">
        <v>7877</v>
      </c>
      <c r="D717" s="2" t="s">
        <v>7312</v>
      </c>
      <c r="E717" s="2" t="s">
        <v>7278</v>
      </c>
      <c r="F717" s="2" t="s">
        <v>7278</v>
      </c>
      <c r="G717" s="2">
        <v>0</v>
      </c>
    </row>
    <row r="718" spans="1:7" ht="15.75" customHeight="1">
      <c r="A718" s="2" t="s">
        <v>7174</v>
      </c>
      <c r="B718" s="2" t="s">
        <v>7184</v>
      </c>
      <c r="C718" s="2" t="s">
        <v>7878</v>
      </c>
      <c r="D718" s="2" t="s">
        <v>7212</v>
      </c>
      <c r="E718" s="2" t="s">
        <v>5672</v>
      </c>
      <c r="F718" s="2" t="s">
        <v>5672</v>
      </c>
      <c r="G718" s="2">
        <v>0</v>
      </c>
    </row>
    <row r="719" spans="1:7" ht="15.75" customHeight="1">
      <c r="A719" s="2" t="s">
        <v>7174</v>
      </c>
      <c r="B719" s="2" t="s">
        <v>7184</v>
      </c>
      <c r="C719" s="2" t="s">
        <v>7879</v>
      </c>
      <c r="D719" s="2" t="s">
        <v>7216</v>
      </c>
      <c r="E719" s="2" t="s">
        <v>7215</v>
      </c>
      <c r="F719" s="2" t="s">
        <v>7215</v>
      </c>
      <c r="G719" s="2">
        <v>255</v>
      </c>
    </row>
    <row r="720" spans="1:7" ht="15.75" customHeight="1">
      <c r="A720" s="2" t="s">
        <v>7174</v>
      </c>
      <c r="B720" s="2" t="s">
        <v>7184</v>
      </c>
      <c r="C720" s="2" t="s">
        <v>7880</v>
      </c>
      <c r="D720" s="2" t="s">
        <v>7216</v>
      </c>
      <c r="E720" s="2" t="s">
        <v>7215</v>
      </c>
      <c r="F720" s="2" t="s">
        <v>7215</v>
      </c>
      <c r="G720" s="2">
        <v>255</v>
      </c>
    </row>
    <row r="721" spans="1:7" ht="15.75" customHeight="1">
      <c r="A721" s="2" t="s">
        <v>7174</v>
      </c>
      <c r="B721" s="2" t="s">
        <v>7184</v>
      </c>
      <c r="C721" s="2" t="s">
        <v>7881</v>
      </c>
      <c r="D721" s="2" t="s">
        <v>7216</v>
      </c>
      <c r="E721" s="2" t="s">
        <v>7215</v>
      </c>
      <c r="F721" s="2" t="s">
        <v>7215</v>
      </c>
      <c r="G721" s="2">
        <v>255</v>
      </c>
    </row>
    <row r="722" spans="1:7" ht="15.75" customHeight="1">
      <c r="A722" s="2" t="s">
        <v>7174</v>
      </c>
      <c r="B722" s="2" t="s">
        <v>7184</v>
      </c>
      <c r="C722" s="2" t="s">
        <v>7882</v>
      </c>
      <c r="D722" s="2" t="s">
        <v>7216</v>
      </c>
      <c r="E722" s="2" t="s">
        <v>7215</v>
      </c>
      <c r="F722" s="2" t="s">
        <v>7215</v>
      </c>
      <c r="G722" s="2">
        <v>255</v>
      </c>
    </row>
    <row r="723" spans="1:7" ht="15.75" customHeight="1">
      <c r="A723" s="2" t="s">
        <v>7174</v>
      </c>
      <c r="B723" s="2" t="s">
        <v>7184</v>
      </c>
      <c r="C723" s="2" t="s">
        <v>7883</v>
      </c>
      <c r="D723" s="2" t="s">
        <v>7284</v>
      </c>
      <c r="E723" s="2" t="s">
        <v>7215</v>
      </c>
      <c r="F723" s="2" t="s">
        <v>7215</v>
      </c>
      <c r="G723" s="2">
        <v>1300</v>
      </c>
    </row>
    <row r="724" spans="1:7" ht="15.75" customHeight="1">
      <c r="A724" s="2" t="s">
        <v>7174</v>
      </c>
      <c r="B724" s="2" t="s">
        <v>7184</v>
      </c>
      <c r="C724" s="2" t="s">
        <v>7884</v>
      </c>
      <c r="D724" s="2" t="s">
        <v>7212</v>
      </c>
      <c r="E724" s="2" t="s">
        <v>5672</v>
      </c>
      <c r="F724" s="2" t="s">
        <v>5672</v>
      </c>
      <c r="G724" s="2">
        <v>0</v>
      </c>
    </row>
    <row r="725" spans="1:7" ht="15.75" customHeight="1">
      <c r="A725" s="2" t="s">
        <v>7174</v>
      </c>
      <c r="B725" s="2" t="s">
        <v>7184</v>
      </c>
      <c r="C725" s="2" t="s">
        <v>7885</v>
      </c>
      <c r="D725" s="2" t="s">
        <v>7216</v>
      </c>
      <c r="E725" s="2" t="s">
        <v>7215</v>
      </c>
      <c r="F725" s="2" t="s">
        <v>7215</v>
      </c>
      <c r="G725" s="2">
        <v>255</v>
      </c>
    </row>
    <row r="726" spans="1:7" ht="15.75" customHeight="1">
      <c r="A726" s="2" t="s">
        <v>7174</v>
      </c>
      <c r="B726" s="2" t="s">
        <v>7184</v>
      </c>
      <c r="C726" s="2" t="s">
        <v>7886</v>
      </c>
      <c r="D726" s="2" t="s">
        <v>7212</v>
      </c>
      <c r="E726" s="2" t="s">
        <v>5672</v>
      </c>
      <c r="F726" s="2" t="s">
        <v>5672</v>
      </c>
      <c r="G726" s="2">
        <v>0</v>
      </c>
    </row>
    <row r="727" spans="1:7" ht="15.75" customHeight="1">
      <c r="A727" s="2" t="s">
        <v>7174</v>
      </c>
      <c r="B727" s="2" t="s">
        <v>7184</v>
      </c>
      <c r="C727" s="2" t="s">
        <v>7887</v>
      </c>
      <c r="D727" s="2" t="s">
        <v>7216</v>
      </c>
      <c r="E727" s="2" t="s">
        <v>7215</v>
      </c>
      <c r="F727" s="2" t="s">
        <v>7215</v>
      </c>
      <c r="G727" s="2">
        <v>255</v>
      </c>
    </row>
    <row r="728" spans="1:7" ht="15.75" customHeight="1">
      <c r="A728" s="2" t="s">
        <v>7174</v>
      </c>
      <c r="B728" s="2" t="s">
        <v>7184</v>
      </c>
      <c r="C728" s="2" t="s">
        <v>7888</v>
      </c>
      <c r="D728" s="2" t="s">
        <v>7515</v>
      </c>
      <c r="E728" s="2" t="s">
        <v>7278</v>
      </c>
      <c r="F728" s="2" t="s">
        <v>7278</v>
      </c>
      <c r="G728" s="2">
        <v>0</v>
      </c>
    </row>
    <row r="729" spans="1:7" ht="15.75" customHeight="1">
      <c r="A729" s="2" t="s">
        <v>7174</v>
      </c>
      <c r="B729" s="2" t="s">
        <v>7184</v>
      </c>
      <c r="C729" s="2" t="s">
        <v>7889</v>
      </c>
      <c r="D729" s="2" t="s">
        <v>7890</v>
      </c>
      <c r="E729" s="2" t="s">
        <v>7215</v>
      </c>
      <c r="F729" s="2" t="s">
        <v>7215</v>
      </c>
      <c r="G729" s="2">
        <v>8</v>
      </c>
    </row>
    <row r="730" spans="1:7" ht="15.75" customHeight="1">
      <c r="A730" s="2" t="s">
        <v>7174</v>
      </c>
      <c r="B730" s="2" t="s">
        <v>7184</v>
      </c>
      <c r="C730" s="2" t="s">
        <v>7891</v>
      </c>
      <c r="D730" s="2" t="s">
        <v>7212</v>
      </c>
      <c r="E730" s="2" t="s">
        <v>5672</v>
      </c>
      <c r="F730" s="2" t="s">
        <v>5672</v>
      </c>
      <c r="G730" s="2">
        <v>0</v>
      </c>
    </row>
    <row r="731" spans="1:7" ht="15.75" customHeight="1">
      <c r="A731" s="2" t="s">
        <v>7174</v>
      </c>
      <c r="B731" s="2" t="s">
        <v>7184</v>
      </c>
      <c r="C731" s="2" t="s">
        <v>7892</v>
      </c>
      <c r="D731" s="2" t="s">
        <v>7216</v>
      </c>
      <c r="E731" s="2" t="s">
        <v>7215</v>
      </c>
      <c r="F731" s="2" t="s">
        <v>7215</v>
      </c>
      <c r="G731" s="2">
        <v>255</v>
      </c>
    </row>
    <row r="732" spans="1:7" ht="15.75" customHeight="1">
      <c r="A732" s="2" t="s">
        <v>7174</v>
      </c>
      <c r="B732" s="2" t="s">
        <v>7184</v>
      </c>
      <c r="C732" s="2" t="s">
        <v>7893</v>
      </c>
      <c r="D732" s="2" t="s">
        <v>7212</v>
      </c>
      <c r="E732" s="2" t="s">
        <v>5672</v>
      </c>
      <c r="F732" s="2" t="s">
        <v>5672</v>
      </c>
      <c r="G732" s="2">
        <v>0</v>
      </c>
    </row>
    <row r="733" spans="1:7" ht="15.75" customHeight="1">
      <c r="A733" s="2" t="s">
        <v>7174</v>
      </c>
      <c r="B733" s="2" t="s">
        <v>7184</v>
      </c>
      <c r="C733" s="2" t="s">
        <v>7894</v>
      </c>
      <c r="D733" s="2" t="s">
        <v>7312</v>
      </c>
      <c r="E733" s="2" t="s">
        <v>7278</v>
      </c>
      <c r="F733" s="2" t="s">
        <v>7278</v>
      </c>
      <c r="G733" s="2">
        <v>0</v>
      </c>
    </row>
    <row r="734" spans="1:7" ht="15.75" customHeight="1">
      <c r="A734" s="2" t="s">
        <v>7174</v>
      </c>
      <c r="B734" s="2" t="s">
        <v>7184</v>
      </c>
      <c r="C734" s="2" t="s">
        <v>7895</v>
      </c>
      <c r="D734" s="2" t="s">
        <v>7212</v>
      </c>
      <c r="E734" s="2" t="s">
        <v>5672</v>
      </c>
      <c r="F734" s="2" t="s">
        <v>5672</v>
      </c>
      <c r="G734" s="2">
        <v>0</v>
      </c>
    </row>
    <row r="735" spans="1:7" ht="15.75" customHeight="1">
      <c r="A735" s="2" t="s">
        <v>7174</v>
      </c>
      <c r="B735" s="2" t="s">
        <v>7184</v>
      </c>
      <c r="C735" s="2" t="s">
        <v>7896</v>
      </c>
      <c r="D735" s="2" t="s">
        <v>7216</v>
      </c>
      <c r="E735" s="2" t="s">
        <v>7215</v>
      </c>
      <c r="F735" s="2" t="s">
        <v>7215</v>
      </c>
      <c r="G735" s="2">
        <v>255</v>
      </c>
    </row>
    <row r="736" spans="1:7" ht="15.75" customHeight="1">
      <c r="A736" s="2" t="s">
        <v>7174</v>
      </c>
      <c r="B736" s="2" t="s">
        <v>7184</v>
      </c>
      <c r="C736" s="2" t="s">
        <v>7897</v>
      </c>
      <c r="D736" s="2" t="s">
        <v>7259</v>
      </c>
      <c r="E736" s="2" t="s">
        <v>7215</v>
      </c>
      <c r="F736" s="2" t="s">
        <v>7215</v>
      </c>
      <c r="G736" s="2">
        <v>255</v>
      </c>
    </row>
    <row r="737" spans="1:7" ht="15.75" customHeight="1">
      <c r="A737" s="2" t="s">
        <v>7174</v>
      </c>
      <c r="B737" s="2" t="s">
        <v>7184</v>
      </c>
      <c r="C737" s="2" t="s">
        <v>7898</v>
      </c>
      <c r="D737" s="2" t="s">
        <v>7216</v>
      </c>
      <c r="E737" s="2" t="s">
        <v>7215</v>
      </c>
      <c r="F737" s="2" t="s">
        <v>7215</v>
      </c>
      <c r="G737" s="2">
        <v>255</v>
      </c>
    </row>
    <row r="738" spans="1:7" ht="15.75" customHeight="1">
      <c r="A738" s="2" t="s">
        <v>7174</v>
      </c>
      <c r="B738" s="2" t="s">
        <v>7184</v>
      </c>
      <c r="C738" s="2" t="s">
        <v>7899</v>
      </c>
      <c r="D738" s="2" t="s">
        <v>7900</v>
      </c>
      <c r="E738" s="2" t="s">
        <v>7278</v>
      </c>
      <c r="F738" s="2" t="s">
        <v>7278</v>
      </c>
      <c r="G738" s="2">
        <v>0</v>
      </c>
    </row>
    <row r="739" spans="1:7" ht="15.75" customHeight="1">
      <c r="A739" s="2" t="s">
        <v>7174</v>
      </c>
      <c r="B739" s="2" t="s">
        <v>7184</v>
      </c>
      <c r="C739" s="2" t="s">
        <v>7901</v>
      </c>
      <c r="D739" s="2" t="s">
        <v>7216</v>
      </c>
      <c r="E739" s="2" t="s">
        <v>7215</v>
      </c>
      <c r="F739" s="2" t="s">
        <v>7215</v>
      </c>
      <c r="G739" s="2">
        <v>255</v>
      </c>
    </row>
    <row r="740" spans="1:7" ht="15.75" customHeight="1">
      <c r="A740" s="2" t="s">
        <v>7174</v>
      </c>
      <c r="B740" s="2" t="s">
        <v>7184</v>
      </c>
      <c r="C740" s="2" t="s">
        <v>7902</v>
      </c>
      <c r="D740" s="2" t="s">
        <v>7277</v>
      </c>
      <c r="E740" s="2" t="s">
        <v>7278</v>
      </c>
      <c r="F740" s="2" t="s">
        <v>7278</v>
      </c>
      <c r="G740" s="2">
        <v>0</v>
      </c>
    </row>
    <row r="741" spans="1:7" ht="15.75" customHeight="1">
      <c r="A741" s="2" t="s">
        <v>7174</v>
      </c>
      <c r="B741" s="2" t="s">
        <v>7184</v>
      </c>
      <c r="C741" s="2" t="s">
        <v>7903</v>
      </c>
      <c r="D741" s="2" t="s">
        <v>7277</v>
      </c>
      <c r="E741" s="2" t="s">
        <v>7278</v>
      </c>
      <c r="F741" s="2" t="s">
        <v>7278</v>
      </c>
      <c r="G741" s="2">
        <v>0</v>
      </c>
    </row>
    <row r="742" spans="1:7" ht="15.75" customHeight="1">
      <c r="A742" s="2" t="s">
        <v>7174</v>
      </c>
      <c r="B742" s="2" t="s">
        <v>7184</v>
      </c>
      <c r="C742" s="2" t="s">
        <v>7904</v>
      </c>
      <c r="D742" s="2" t="s">
        <v>7284</v>
      </c>
      <c r="E742" s="2" t="s">
        <v>7215</v>
      </c>
      <c r="F742" s="2" t="s">
        <v>7215</v>
      </c>
      <c r="G742" s="2">
        <v>1300</v>
      </c>
    </row>
    <row r="743" spans="1:7" ht="15.75" customHeight="1">
      <c r="A743" s="2" t="s">
        <v>7174</v>
      </c>
      <c r="B743" s="2" t="s">
        <v>7184</v>
      </c>
      <c r="C743" s="2" t="s">
        <v>7905</v>
      </c>
      <c r="D743" s="2" t="s">
        <v>7906</v>
      </c>
      <c r="E743" s="2" t="s">
        <v>3897</v>
      </c>
      <c r="F743" s="2" t="s">
        <v>7210</v>
      </c>
      <c r="G743" s="2">
        <v>18</v>
      </c>
    </row>
    <row r="744" spans="1:7" ht="15.75" customHeight="1">
      <c r="A744" s="2" t="s">
        <v>7174</v>
      </c>
      <c r="B744" s="2" t="s">
        <v>7184</v>
      </c>
      <c r="C744" s="2" t="s">
        <v>7907</v>
      </c>
      <c r="D744" s="2" t="s">
        <v>7212</v>
      </c>
      <c r="E744" s="2" t="s">
        <v>5672</v>
      </c>
      <c r="F744" s="2" t="s">
        <v>5672</v>
      </c>
      <c r="G744" s="2">
        <v>0</v>
      </c>
    </row>
    <row r="745" spans="1:7" ht="15.75" customHeight="1">
      <c r="A745" s="2" t="s">
        <v>7174</v>
      </c>
      <c r="B745" s="2" t="s">
        <v>7184</v>
      </c>
      <c r="C745" s="2" t="s">
        <v>7908</v>
      </c>
      <c r="D745" s="2" t="s">
        <v>7216</v>
      </c>
      <c r="E745" s="2" t="s">
        <v>7215</v>
      </c>
      <c r="F745" s="2" t="s">
        <v>7215</v>
      </c>
      <c r="G745" s="2">
        <v>255</v>
      </c>
    </row>
    <row r="746" spans="1:7" ht="15.75" customHeight="1">
      <c r="A746" s="2" t="s">
        <v>7174</v>
      </c>
      <c r="B746" s="2" t="s">
        <v>7184</v>
      </c>
      <c r="C746" s="2" t="s">
        <v>7909</v>
      </c>
      <c r="D746" s="2" t="s">
        <v>7212</v>
      </c>
      <c r="E746" s="2" t="s">
        <v>5672</v>
      </c>
      <c r="F746" s="2" t="s">
        <v>5672</v>
      </c>
      <c r="G746" s="2">
        <v>0</v>
      </c>
    </row>
    <row r="747" spans="1:7" ht="15.75" customHeight="1">
      <c r="A747" s="2" t="s">
        <v>7174</v>
      </c>
      <c r="B747" s="2" t="s">
        <v>7184</v>
      </c>
      <c r="C747" s="2" t="s">
        <v>7910</v>
      </c>
      <c r="D747" s="2" t="s">
        <v>7808</v>
      </c>
      <c r="E747" s="2" t="s">
        <v>3897</v>
      </c>
      <c r="F747" s="2" t="s">
        <v>7210</v>
      </c>
      <c r="G747" s="2">
        <v>18</v>
      </c>
    </row>
    <row r="748" spans="1:7" ht="15.75" customHeight="1">
      <c r="A748" s="2" t="s">
        <v>7174</v>
      </c>
      <c r="B748" s="2" t="s">
        <v>7184</v>
      </c>
      <c r="C748" s="2" t="s">
        <v>7911</v>
      </c>
      <c r="D748" s="2" t="s">
        <v>6212</v>
      </c>
      <c r="E748" s="2" t="s">
        <v>1974</v>
      </c>
      <c r="F748" s="2" t="s">
        <v>1974</v>
      </c>
      <c r="G748" s="2">
        <v>0</v>
      </c>
    </row>
    <row r="749" spans="1:7" ht="15.75" customHeight="1">
      <c r="A749" s="2" t="s">
        <v>7174</v>
      </c>
      <c r="B749" s="2" t="s">
        <v>7184</v>
      </c>
      <c r="C749" s="2" t="s">
        <v>7912</v>
      </c>
      <c r="D749" s="2" t="s">
        <v>7282</v>
      </c>
      <c r="E749" s="2" t="s">
        <v>7215</v>
      </c>
      <c r="F749" s="2" t="s">
        <v>7215</v>
      </c>
      <c r="G749" s="2">
        <v>100</v>
      </c>
    </row>
    <row r="750" spans="1:7" ht="15.75" customHeight="1">
      <c r="A750" s="2" t="s">
        <v>7174</v>
      </c>
      <c r="B750" s="2" t="s">
        <v>7184</v>
      </c>
      <c r="C750" s="2" t="s">
        <v>7913</v>
      </c>
      <c r="D750" s="2" t="s">
        <v>7282</v>
      </c>
      <c r="E750" s="2" t="s">
        <v>7215</v>
      </c>
      <c r="F750" s="2" t="s">
        <v>7215</v>
      </c>
      <c r="G750" s="2">
        <v>100</v>
      </c>
    </row>
    <row r="751" spans="1:7" ht="15.75" customHeight="1">
      <c r="A751" s="2" t="s">
        <v>7174</v>
      </c>
      <c r="B751" s="2" t="s">
        <v>7184</v>
      </c>
      <c r="C751" s="2" t="s">
        <v>7914</v>
      </c>
      <c r="D751" s="2" t="s">
        <v>7282</v>
      </c>
      <c r="E751" s="2" t="s">
        <v>7215</v>
      </c>
      <c r="F751" s="2" t="s">
        <v>7215</v>
      </c>
      <c r="G751" s="2">
        <v>100</v>
      </c>
    </row>
    <row r="752" spans="1:7" ht="15.75" customHeight="1">
      <c r="A752" s="2" t="s">
        <v>7174</v>
      </c>
      <c r="B752" s="2" t="s">
        <v>7184</v>
      </c>
      <c r="C752" s="2" t="s">
        <v>7915</v>
      </c>
      <c r="D752" s="2" t="s">
        <v>7916</v>
      </c>
      <c r="E752" s="2" t="s">
        <v>7278</v>
      </c>
      <c r="F752" s="2" t="s">
        <v>7278</v>
      </c>
      <c r="G752" s="2">
        <v>0</v>
      </c>
    </row>
    <row r="753" spans="1:7" ht="15.75" customHeight="1">
      <c r="A753" s="2" t="s">
        <v>7174</v>
      </c>
      <c r="B753" s="2" t="s">
        <v>7184</v>
      </c>
      <c r="C753" s="2" t="s">
        <v>7917</v>
      </c>
      <c r="D753" s="2" t="s">
        <v>7212</v>
      </c>
      <c r="E753" s="2" t="s">
        <v>5672</v>
      </c>
      <c r="F753" s="2" t="s">
        <v>5672</v>
      </c>
      <c r="G753" s="2">
        <v>0</v>
      </c>
    </row>
    <row r="754" spans="1:7" ht="15.75" customHeight="1">
      <c r="A754" s="2" t="s">
        <v>7174</v>
      </c>
      <c r="B754" s="2" t="s">
        <v>7184</v>
      </c>
      <c r="C754" s="2" t="s">
        <v>7918</v>
      </c>
      <c r="D754" s="2" t="s">
        <v>7216</v>
      </c>
      <c r="E754" s="2" t="s">
        <v>7215</v>
      </c>
      <c r="F754" s="2" t="s">
        <v>7215</v>
      </c>
      <c r="G754" s="2">
        <v>255</v>
      </c>
    </row>
    <row r="755" spans="1:7" ht="15.75" customHeight="1">
      <c r="A755" s="2" t="s">
        <v>7174</v>
      </c>
      <c r="B755" s="2" t="s">
        <v>7184</v>
      </c>
      <c r="C755" s="2" t="s">
        <v>7919</v>
      </c>
      <c r="D755" s="2" t="s">
        <v>7216</v>
      </c>
      <c r="E755" s="2" t="s">
        <v>7215</v>
      </c>
      <c r="F755" s="2" t="s">
        <v>7215</v>
      </c>
      <c r="G755" s="2">
        <v>255</v>
      </c>
    </row>
    <row r="756" spans="1:7" ht="15.75" customHeight="1">
      <c r="A756" s="2" t="s">
        <v>7174</v>
      </c>
      <c r="B756" s="2" t="s">
        <v>7184</v>
      </c>
      <c r="C756" s="2" t="s">
        <v>7920</v>
      </c>
      <c r="D756" s="2" t="s">
        <v>7212</v>
      </c>
      <c r="E756" s="2" t="s">
        <v>5672</v>
      </c>
      <c r="F756" s="2" t="s">
        <v>5672</v>
      </c>
      <c r="G756" s="2">
        <v>0</v>
      </c>
    </row>
    <row r="757" spans="1:7" ht="15.75" customHeight="1">
      <c r="A757" s="2" t="s">
        <v>7174</v>
      </c>
      <c r="B757" s="2" t="s">
        <v>7184</v>
      </c>
      <c r="C757" s="2" t="s">
        <v>7921</v>
      </c>
      <c r="D757" s="2" t="s">
        <v>7284</v>
      </c>
      <c r="E757" s="2" t="s">
        <v>7215</v>
      </c>
      <c r="F757" s="2" t="s">
        <v>7215</v>
      </c>
      <c r="G757" s="2">
        <v>1300</v>
      </c>
    </row>
    <row r="758" spans="1:7" ht="15.75" customHeight="1">
      <c r="A758" s="2" t="s">
        <v>7174</v>
      </c>
      <c r="B758" s="2" t="s">
        <v>7184</v>
      </c>
      <c r="C758" s="2" t="s">
        <v>7922</v>
      </c>
      <c r="D758" s="2" t="s">
        <v>7234</v>
      </c>
      <c r="E758" s="2" t="s">
        <v>3897</v>
      </c>
      <c r="F758" s="2" t="s">
        <v>7210</v>
      </c>
      <c r="G758" s="2">
        <v>18</v>
      </c>
    </row>
    <row r="759" spans="1:7" ht="15.75" customHeight="1">
      <c r="A759" s="2" t="s">
        <v>7174</v>
      </c>
      <c r="B759" s="2" t="s">
        <v>7184</v>
      </c>
      <c r="C759" s="2" t="s">
        <v>7923</v>
      </c>
      <c r="D759" s="2" t="s">
        <v>7212</v>
      </c>
      <c r="E759" s="2" t="s">
        <v>5672</v>
      </c>
      <c r="F759" s="2" t="s">
        <v>5672</v>
      </c>
      <c r="G759" s="2">
        <v>0</v>
      </c>
    </row>
    <row r="760" spans="1:7" ht="15.75" customHeight="1">
      <c r="A760" s="2" t="s">
        <v>7174</v>
      </c>
      <c r="B760" s="2" t="s">
        <v>7184</v>
      </c>
      <c r="C760" s="2" t="s">
        <v>7924</v>
      </c>
      <c r="D760" s="2" t="s">
        <v>7216</v>
      </c>
      <c r="E760" s="2" t="s">
        <v>7215</v>
      </c>
      <c r="F760" s="2" t="s">
        <v>7215</v>
      </c>
      <c r="G760" s="2">
        <v>255</v>
      </c>
    </row>
    <row r="761" spans="1:7" ht="15.75" customHeight="1">
      <c r="A761" s="2" t="s">
        <v>7174</v>
      </c>
      <c r="B761" s="2" t="s">
        <v>7184</v>
      </c>
      <c r="C761" s="2" t="s">
        <v>7925</v>
      </c>
      <c r="D761" s="2" t="s">
        <v>7284</v>
      </c>
      <c r="E761" s="2" t="s">
        <v>7215</v>
      </c>
      <c r="F761" s="2" t="s">
        <v>7215</v>
      </c>
      <c r="G761" s="2">
        <v>1300</v>
      </c>
    </row>
    <row r="762" spans="1:7" ht="15.75" customHeight="1">
      <c r="A762" s="2" t="s">
        <v>7174</v>
      </c>
      <c r="B762" s="2" t="s">
        <v>7184</v>
      </c>
      <c r="C762" s="2" t="s">
        <v>7926</v>
      </c>
      <c r="D762" s="2" t="s">
        <v>7361</v>
      </c>
      <c r="E762" s="2" t="s">
        <v>7215</v>
      </c>
      <c r="F762" s="2" t="s">
        <v>7215</v>
      </c>
      <c r="G762" s="2">
        <v>4099</v>
      </c>
    </row>
    <row r="763" spans="1:7" ht="15.75" customHeight="1">
      <c r="A763" s="2" t="s">
        <v>7174</v>
      </c>
      <c r="B763" s="2" t="s">
        <v>7184</v>
      </c>
      <c r="C763" s="2" t="s">
        <v>7927</v>
      </c>
      <c r="D763" s="2" t="s">
        <v>7216</v>
      </c>
      <c r="E763" s="2" t="s">
        <v>7215</v>
      </c>
      <c r="F763" s="2" t="s">
        <v>7215</v>
      </c>
      <c r="G763" s="2">
        <v>255</v>
      </c>
    </row>
    <row r="764" spans="1:7" ht="15.75" customHeight="1">
      <c r="A764" s="2" t="s">
        <v>7174</v>
      </c>
      <c r="B764" s="2" t="s">
        <v>7184</v>
      </c>
      <c r="C764" s="2" t="s">
        <v>7928</v>
      </c>
      <c r="D764" s="2" t="s">
        <v>7259</v>
      </c>
      <c r="E764" s="2" t="s">
        <v>7215</v>
      </c>
      <c r="F764" s="2" t="s">
        <v>7215</v>
      </c>
      <c r="G764" s="2">
        <v>255</v>
      </c>
    </row>
    <row r="765" spans="1:7" ht="15.75" customHeight="1">
      <c r="A765" s="2" t="s">
        <v>7174</v>
      </c>
      <c r="B765" s="2" t="s">
        <v>7184</v>
      </c>
      <c r="C765" s="2" t="s">
        <v>7929</v>
      </c>
      <c r="D765" s="2" t="s">
        <v>7361</v>
      </c>
      <c r="E765" s="2" t="s">
        <v>7215</v>
      </c>
      <c r="F765" s="2" t="s">
        <v>7215</v>
      </c>
      <c r="G765" s="2">
        <v>4099</v>
      </c>
    </row>
    <row r="766" spans="1:7" ht="15.75" customHeight="1">
      <c r="A766" s="2" t="s">
        <v>7174</v>
      </c>
      <c r="B766" s="2" t="s">
        <v>7184</v>
      </c>
      <c r="C766" s="2" t="s">
        <v>7930</v>
      </c>
      <c r="D766" s="2" t="s">
        <v>7216</v>
      </c>
      <c r="E766" s="2" t="s">
        <v>7215</v>
      </c>
      <c r="F766" s="2" t="s">
        <v>7215</v>
      </c>
      <c r="G766" s="2">
        <v>255</v>
      </c>
    </row>
    <row r="767" spans="1:7" ht="15.75" customHeight="1">
      <c r="A767" s="2" t="s">
        <v>7174</v>
      </c>
      <c r="B767" s="2" t="s">
        <v>7184</v>
      </c>
      <c r="C767" s="2" t="s">
        <v>7931</v>
      </c>
      <c r="D767" s="2" t="s">
        <v>7216</v>
      </c>
      <c r="E767" s="2" t="s">
        <v>7215</v>
      </c>
      <c r="F767" s="2" t="s">
        <v>7215</v>
      </c>
      <c r="G767" s="2">
        <v>255</v>
      </c>
    </row>
    <row r="768" spans="1:7" ht="15.75" customHeight="1">
      <c r="A768" s="2" t="s">
        <v>7174</v>
      </c>
      <c r="B768" s="2" t="s">
        <v>7184</v>
      </c>
      <c r="C768" s="2" t="s">
        <v>7932</v>
      </c>
      <c r="D768" s="2" t="s">
        <v>7214</v>
      </c>
      <c r="E768" s="2" t="s">
        <v>3897</v>
      </c>
      <c r="F768" s="2" t="s">
        <v>7210</v>
      </c>
      <c r="G768" s="2">
        <v>18</v>
      </c>
    </row>
    <row r="769" spans="1:7" ht="15.75" customHeight="1">
      <c r="A769" s="2" t="s">
        <v>7174</v>
      </c>
      <c r="B769" s="2" t="s">
        <v>7184</v>
      </c>
      <c r="C769" s="2" t="s">
        <v>7933</v>
      </c>
      <c r="D769" s="2" t="s">
        <v>7216</v>
      </c>
      <c r="E769" s="2" t="s">
        <v>7215</v>
      </c>
      <c r="F769" s="2" t="s">
        <v>7215</v>
      </c>
      <c r="G769" s="2">
        <v>255</v>
      </c>
    </row>
    <row r="770" spans="1:7" ht="15.75" customHeight="1">
      <c r="A770" s="2" t="s">
        <v>7174</v>
      </c>
      <c r="B770" s="2" t="s">
        <v>7184</v>
      </c>
      <c r="C770" s="2" t="s">
        <v>7934</v>
      </c>
      <c r="D770" s="2" t="s">
        <v>7282</v>
      </c>
      <c r="E770" s="2" t="s">
        <v>7215</v>
      </c>
      <c r="F770" s="2" t="s">
        <v>7215</v>
      </c>
      <c r="G770" s="2">
        <v>100</v>
      </c>
    </row>
    <row r="771" spans="1:7" ht="15.75" customHeight="1">
      <c r="A771" s="2" t="s">
        <v>7174</v>
      </c>
      <c r="B771" s="2" t="s">
        <v>7184</v>
      </c>
      <c r="C771" s="2" t="s">
        <v>7935</v>
      </c>
      <c r="D771" s="2" t="s">
        <v>7216</v>
      </c>
      <c r="E771" s="2" t="s">
        <v>7215</v>
      </c>
      <c r="F771" s="2" t="s">
        <v>7215</v>
      </c>
      <c r="G771" s="2">
        <v>255</v>
      </c>
    </row>
    <row r="772" spans="1:7" ht="15.75" customHeight="1">
      <c r="A772" s="2" t="s">
        <v>7174</v>
      </c>
      <c r="B772" s="2" t="s">
        <v>7184</v>
      </c>
      <c r="C772" s="2" t="s">
        <v>7936</v>
      </c>
      <c r="D772" s="2" t="s">
        <v>7212</v>
      </c>
      <c r="E772" s="2" t="s">
        <v>5672</v>
      </c>
      <c r="F772" s="2" t="s">
        <v>5672</v>
      </c>
      <c r="G772" s="2">
        <v>0</v>
      </c>
    </row>
    <row r="773" spans="1:7" ht="15.75" customHeight="1">
      <c r="A773" s="2" t="s">
        <v>7174</v>
      </c>
      <c r="B773" s="2" t="s">
        <v>7184</v>
      </c>
      <c r="C773" s="2" t="s">
        <v>7937</v>
      </c>
      <c r="D773" s="2" t="s">
        <v>7216</v>
      </c>
      <c r="E773" s="2" t="s">
        <v>7215</v>
      </c>
      <c r="F773" s="2" t="s">
        <v>7215</v>
      </c>
      <c r="G773" s="2">
        <v>255</v>
      </c>
    </row>
    <row r="774" spans="1:7" ht="15.75" customHeight="1">
      <c r="A774" s="2" t="s">
        <v>7174</v>
      </c>
      <c r="B774" s="2" t="s">
        <v>7184</v>
      </c>
      <c r="C774" s="2" t="s">
        <v>7938</v>
      </c>
      <c r="D774" s="2" t="s">
        <v>7292</v>
      </c>
      <c r="E774" s="2" t="s">
        <v>7215</v>
      </c>
      <c r="F774" s="2" t="s">
        <v>7215</v>
      </c>
      <c r="G774" s="2">
        <v>7</v>
      </c>
    </row>
    <row r="775" spans="1:7" ht="15.75" customHeight="1">
      <c r="A775" s="2" t="s">
        <v>7174</v>
      </c>
      <c r="B775" s="2" t="s">
        <v>7184</v>
      </c>
      <c r="C775" s="2" t="s">
        <v>7939</v>
      </c>
      <c r="D775" s="2" t="s">
        <v>7940</v>
      </c>
      <c r="E775" s="2" t="s">
        <v>3897</v>
      </c>
      <c r="F775" s="2" t="s">
        <v>7210</v>
      </c>
      <c r="G775" s="2">
        <v>18</v>
      </c>
    </row>
    <row r="776" spans="1:7" ht="15.75" customHeight="1">
      <c r="A776" s="2" t="s">
        <v>7174</v>
      </c>
      <c r="B776" s="2" t="s">
        <v>7184</v>
      </c>
      <c r="C776" s="2" t="s">
        <v>7941</v>
      </c>
      <c r="D776" s="2" t="s">
        <v>7417</v>
      </c>
      <c r="E776" s="2" t="s">
        <v>7215</v>
      </c>
      <c r="F776" s="2" t="s">
        <v>7215</v>
      </c>
      <c r="G776" s="2">
        <v>16</v>
      </c>
    </row>
    <row r="777" spans="1:7" ht="15.75" customHeight="1">
      <c r="A777" s="2" t="s">
        <v>7174</v>
      </c>
      <c r="B777" s="2" t="s">
        <v>7184</v>
      </c>
      <c r="C777" s="2" t="s">
        <v>7942</v>
      </c>
      <c r="D777" s="2" t="s">
        <v>6212</v>
      </c>
      <c r="E777" s="2" t="s">
        <v>1974</v>
      </c>
      <c r="F777" s="2" t="s">
        <v>1974</v>
      </c>
      <c r="G777" s="2">
        <v>0</v>
      </c>
    </row>
    <row r="778" spans="1:7" ht="15.75" customHeight="1">
      <c r="A778" s="2" t="s">
        <v>7174</v>
      </c>
      <c r="B778" s="2" t="s">
        <v>7184</v>
      </c>
      <c r="C778" s="2" t="s">
        <v>7943</v>
      </c>
      <c r="D778" s="2" t="s">
        <v>7284</v>
      </c>
      <c r="E778" s="2" t="s">
        <v>7215</v>
      </c>
      <c r="F778" s="2" t="s">
        <v>7215</v>
      </c>
      <c r="G778" s="2">
        <v>1300</v>
      </c>
    </row>
    <row r="779" spans="1:7" ht="15.75" customHeight="1">
      <c r="A779" s="2" t="s">
        <v>7174</v>
      </c>
      <c r="B779" s="2" t="s">
        <v>7184</v>
      </c>
      <c r="C779" s="2" t="s">
        <v>7384</v>
      </c>
      <c r="D779" s="2" t="s">
        <v>7216</v>
      </c>
      <c r="E779" s="2" t="s">
        <v>7215</v>
      </c>
      <c r="F779" s="2" t="s">
        <v>7215</v>
      </c>
      <c r="G779" s="2">
        <v>255</v>
      </c>
    </row>
    <row r="780" spans="1:7" ht="15.75" customHeight="1">
      <c r="A780" s="2" t="s">
        <v>7174</v>
      </c>
      <c r="B780" s="2" t="s">
        <v>7184</v>
      </c>
      <c r="C780" s="2" t="s">
        <v>7944</v>
      </c>
      <c r="D780" s="2" t="s">
        <v>7312</v>
      </c>
      <c r="E780" s="2" t="s">
        <v>7278</v>
      </c>
      <c r="F780" s="2" t="s">
        <v>7278</v>
      </c>
      <c r="G780" s="2">
        <v>0</v>
      </c>
    </row>
    <row r="781" spans="1:7" ht="15.75" customHeight="1">
      <c r="A781" s="2" t="s">
        <v>7174</v>
      </c>
      <c r="B781" s="2" t="s">
        <v>7184</v>
      </c>
      <c r="C781" s="2" t="s">
        <v>7945</v>
      </c>
      <c r="D781" s="2" t="s">
        <v>7212</v>
      </c>
      <c r="E781" s="2" t="s">
        <v>5672</v>
      </c>
      <c r="F781" s="2" t="s">
        <v>5672</v>
      </c>
      <c r="G781" s="2">
        <v>0</v>
      </c>
    </row>
    <row r="782" spans="1:7" ht="15.75" customHeight="1">
      <c r="A782" s="2" t="s">
        <v>7174</v>
      </c>
      <c r="B782" s="2" t="s">
        <v>7184</v>
      </c>
      <c r="C782" s="2" t="s">
        <v>7946</v>
      </c>
      <c r="D782" s="2" t="s">
        <v>7312</v>
      </c>
      <c r="E782" s="2" t="s">
        <v>7278</v>
      </c>
      <c r="F782" s="2" t="s">
        <v>7278</v>
      </c>
      <c r="G782" s="2">
        <v>0</v>
      </c>
    </row>
    <row r="783" spans="1:7" ht="15.75" customHeight="1">
      <c r="A783" s="2" t="s">
        <v>7174</v>
      </c>
      <c r="B783" s="2" t="s">
        <v>7184</v>
      </c>
      <c r="C783" s="2" t="s">
        <v>7947</v>
      </c>
      <c r="D783" s="2" t="s">
        <v>7284</v>
      </c>
      <c r="E783" s="2" t="s">
        <v>7215</v>
      </c>
      <c r="F783" s="2" t="s">
        <v>7215</v>
      </c>
      <c r="G783" s="2">
        <v>1300</v>
      </c>
    </row>
    <row r="784" spans="1:7" ht="15.75" customHeight="1">
      <c r="A784" s="2" t="s">
        <v>7174</v>
      </c>
      <c r="B784" s="2" t="s">
        <v>7184</v>
      </c>
      <c r="C784" s="2" t="s">
        <v>7948</v>
      </c>
      <c r="D784" s="2" t="s">
        <v>7515</v>
      </c>
      <c r="E784" s="2" t="s">
        <v>7278</v>
      </c>
      <c r="F784" s="2" t="s">
        <v>7278</v>
      </c>
      <c r="G784" s="2">
        <v>0</v>
      </c>
    </row>
    <row r="785" spans="1:7" ht="15.75" customHeight="1">
      <c r="A785" s="2" t="s">
        <v>7174</v>
      </c>
      <c r="B785" s="2" t="s">
        <v>7184</v>
      </c>
      <c r="C785" s="2" t="s">
        <v>7949</v>
      </c>
      <c r="D785" s="2" t="s">
        <v>7347</v>
      </c>
      <c r="E785" s="2" t="s">
        <v>7215</v>
      </c>
      <c r="F785" s="2" t="s">
        <v>7215</v>
      </c>
      <c r="G785" s="2">
        <v>10</v>
      </c>
    </row>
    <row r="786" spans="1:7" ht="15.75" customHeight="1">
      <c r="A786" s="2" t="s">
        <v>7174</v>
      </c>
      <c r="B786" s="2" t="s">
        <v>7184</v>
      </c>
      <c r="C786" s="2" t="s">
        <v>7950</v>
      </c>
      <c r="D786" s="2" t="s">
        <v>7450</v>
      </c>
      <c r="E786" s="2" t="s">
        <v>7215</v>
      </c>
      <c r="F786" s="2" t="s">
        <v>7215</v>
      </c>
      <c r="G786" s="2">
        <v>200</v>
      </c>
    </row>
    <row r="787" spans="1:7" ht="15.75" customHeight="1">
      <c r="A787" s="2" t="s">
        <v>7174</v>
      </c>
      <c r="B787" s="2" t="s">
        <v>7184</v>
      </c>
      <c r="C787" s="2" t="s">
        <v>7951</v>
      </c>
      <c r="D787" s="2" t="s">
        <v>7437</v>
      </c>
      <c r="E787" s="2" t="s">
        <v>7278</v>
      </c>
      <c r="F787" s="2" t="s">
        <v>7278</v>
      </c>
      <c r="G787" s="2">
        <v>0</v>
      </c>
    </row>
    <row r="788" spans="1:7" ht="15.75" customHeight="1">
      <c r="A788" s="2" t="s">
        <v>7174</v>
      </c>
      <c r="B788" s="2" t="s">
        <v>7184</v>
      </c>
      <c r="C788" s="2" t="s">
        <v>7952</v>
      </c>
      <c r="D788" s="2" t="s">
        <v>7450</v>
      </c>
      <c r="E788" s="2" t="s">
        <v>7215</v>
      </c>
      <c r="F788" s="2" t="s">
        <v>7215</v>
      </c>
      <c r="G788" s="2">
        <v>200</v>
      </c>
    </row>
    <row r="789" spans="1:7" ht="15.75" customHeight="1">
      <c r="A789" s="2" t="s">
        <v>7174</v>
      </c>
      <c r="B789" s="2" t="s">
        <v>7184</v>
      </c>
      <c r="C789" s="2" t="s">
        <v>7953</v>
      </c>
      <c r="D789" s="2" t="s">
        <v>7515</v>
      </c>
      <c r="E789" s="2" t="s">
        <v>7278</v>
      </c>
      <c r="F789" s="2" t="s">
        <v>7278</v>
      </c>
      <c r="G789" s="2">
        <v>0</v>
      </c>
    </row>
    <row r="790" spans="1:7" ht="15.75" customHeight="1">
      <c r="A790" s="2" t="s">
        <v>7174</v>
      </c>
      <c r="B790" s="2" t="s">
        <v>7184</v>
      </c>
      <c r="C790" s="2" t="s">
        <v>7954</v>
      </c>
      <c r="D790" s="2" t="s">
        <v>7347</v>
      </c>
      <c r="E790" s="2" t="s">
        <v>7215</v>
      </c>
      <c r="F790" s="2" t="s">
        <v>7215</v>
      </c>
      <c r="G790" s="2">
        <v>10</v>
      </c>
    </row>
    <row r="791" spans="1:7" ht="15.75" customHeight="1">
      <c r="A791" s="2" t="s">
        <v>7174</v>
      </c>
      <c r="B791" s="2" t="s">
        <v>7184</v>
      </c>
      <c r="C791" s="2" t="s">
        <v>7955</v>
      </c>
      <c r="D791" s="2" t="s">
        <v>7216</v>
      </c>
      <c r="E791" s="2" t="s">
        <v>7215</v>
      </c>
      <c r="F791" s="2" t="s">
        <v>7215</v>
      </c>
      <c r="G791" s="2">
        <v>255</v>
      </c>
    </row>
    <row r="792" spans="1:7" ht="15.75" customHeight="1">
      <c r="A792" s="2" t="s">
        <v>7174</v>
      </c>
      <c r="B792" s="2" t="s">
        <v>7184</v>
      </c>
      <c r="C792" s="2" t="s">
        <v>7956</v>
      </c>
      <c r="D792" s="2" t="s">
        <v>7277</v>
      </c>
      <c r="E792" s="2" t="s">
        <v>7278</v>
      </c>
      <c r="F792" s="2" t="s">
        <v>7278</v>
      </c>
      <c r="G792" s="2">
        <v>0</v>
      </c>
    </row>
    <row r="793" spans="1:7" ht="15.75" customHeight="1">
      <c r="A793" s="2" t="s">
        <v>7174</v>
      </c>
      <c r="B793" s="2" t="s">
        <v>7184</v>
      </c>
      <c r="C793" s="2" t="s">
        <v>7957</v>
      </c>
      <c r="D793" s="2" t="s">
        <v>7259</v>
      </c>
      <c r="E793" s="2" t="s">
        <v>7215</v>
      </c>
      <c r="F793" s="2" t="s">
        <v>7215</v>
      </c>
      <c r="G793" s="2">
        <v>255</v>
      </c>
    </row>
    <row r="794" spans="1:7" ht="15.75" customHeight="1">
      <c r="A794" s="2" t="s">
        <v>7174</v>
      </c>
      <c r="B794" s="2" t="s">
        <v>7184</v>
      </c>
      <c r="C794" s="2" t="s">
        <v>7958</v>
      </c>
      <c r="D794" s="2" t="s">
        <v>7354</v>
      </c>
      <c r="E794" s="2" t="s">
        <v>7215</v>
      </c>
      <c r="F794" s="2" t="s">
        <v>7215</v>
      </c>
      <c r="G794" s="2">
        <v>50</v>
      </c>
    </row>
    <row r="795" spans="1:7" ht="15.75" customHeight="1">
      <c r="A795" s="2" t="s">
        <v>7174</v>
      </c>
      <c r="B795" s="2" t="s">
        <v>7184</v>
      </c>
      <c r="C795" s="2" t="s">
        <v>7959</v>
      </c>
      <c r="D795" s="2" t="s">
        <v>7212</v>
      </c>
      <c r="E795" s="2" t="s">
        <v>5672</v>
      </c>
      <c r="F795" s="2" t="s">
        <v>5672</v>
      </c>
      <c r="G795" s="2">
        <v>0</v>
      </c>
    </row>
    <row r="796" spans="1:7" ht="15.75" customHeight="1">
      <c r="A796" s="2" t="s">
        <v>7174</v>
      </c>
      <c r="B796" s="2" t="s">
        <v>7184</v>
      </c>
      <c r="C796" s="2" t="s">
        <v>7960</v>
      </c>
      <c r="D796" s="2" t="s">
        <v>7216</v>
      </c>
      <c r="E796" s="2" t="s">
        <v>7215</v>
      </c>
      <c r="F796" s="2" t="s">
        <v>7215</v>
      </c>
      <c r="G796" s="2">
        <v>255</v>
      </c>
    </row>
    <row r="797" spans="1:7" ht="15.75" customHeight="1">
      <c r="A797" s="2" t="s">
        <v>7174</v>
      </c>
      <c r="B797" s="2" t="s">
        <v>7184</v>
      </c>
      <c r="C797" s="2" t="s">
        <v>7961</v>
      </c>
      <c r="D797" s="2" t="s">
        <v>7216</v>
      </c>
      <c r="E797" s="2" t="s">
        <v>7215</v>
      </c>
      <c r="F797" s="2" t="s">
        <v>7215</v>
      </c>
      <c r="G797" s="2">
        <v>255</v>
      </c>
    </row>
    <row r="798" spans="1:7" ht="15.75" customHeight="1">
      <c r="A798" s="2" t="s">
        <v>7174</v>
      </c>
      <c r="B798" s="2" t="s">
        <v>7184</v>
      </c>
      <c r="C798" s="2" t="s">
        <v>7962</v>
      </c>
      <c r="D798" s="2" t="s">
        <v>6212</v>
      </c>
      <c r="E798" s="2" t="s">
        <v>1974</v>
      </c>
      <c r="F798" s="2" t="s">
        <v>1974</v>
      </c>
      <c r="G798" s="2">
        <v>0</v>
      </c>
    </row>
    <row r="799" spans="1:7" ht="15.75" customHeight="1">
      <c r="A799" s="2" t="s">
        <v>7174</v>
      </c>
      <c r="B799" s="2" t="s">
        <v>7184</v>
      </c>
      <c r="C799" s="2" t="s">
        <v>7963</v>
      </c>
      <c r="D799" s="2" t="s">
        <v>7277</v>
      </c>
      <c r="E799" s="2" t="s">
        <v>7278</v>
      </c>
      <c r="F799" s="2" t="s">
        <v>7278</v>
      </c>
      <c r="G799" s="2">
        <v>0</v>
      </c>
    </row>
    <row r="800" spans="1:7" ht="15.75" customHeight="1">
      <c r="A800" s="2" t="s">
        <v>7174</v>
      </c>
      <c r="B800" s="2" t="s">
        <v>7184</v>
      </c>
      <c r="C800" s="2" t="s">
        <v>7964</v>
      </c>
      <c r="D800" s="2" t="s">
        <v>7277</v>
      </c>
      <c r="E800" s="2" t="s">
        <v>7278</v>
      </c>
      <c r="F800" s="2" t="s">
        <v>7278</v>
      </c>
      <c r="G800" s="2">
        <v>0</v>
      </c>
    </row>
    <row r="801" spans="1:7" ht="15.75" customHeight="1">
      <c r="A801" s="2" t="s">
        <v>7174</v>
      </c>
      <c r="B801" s="2" t="s">
        <v>7184</v>
      </c>
      <c r="C801" s="2" t="s">
        <v>7965</v>
      </c>
      <c r="D801" s="2" t="s">
        <v>7559</v>
      </c>
      <c r="E801" s="2" t="s">
        <v>7215</v>
      </c>
      <c r="F801" s="2" t="s">
        <v>7215</v>
      </c>
      <c r="G801" s="2">
        <v>30</v>
      </c>
    </row>
    <row r="802" spans="1:7" ht="15.75" customHeight="1">
      <c r="A802" s="2" t="s">
        <v>7174</v>
      </c>
      <c r="B802" s="2" t="s">
        <v>7184</v>
      </c>
      <c r="C802" s="2" t="s">
        <v>7966</v>
      </c>
      <c r="D802" s="2" t="s">
        <v>7838</v>
      </c>
      <c r="E802" s="2" t="s">
        <v>7215</v>
      </c>
      <c r="F802" s="2" t="s">
        <v>7215</v>
      </c>
      <c r="G802" s="2">
        <v>12</v>
      </c>
    </row>
    <row r="803" spans="1:7" ht="15.75" customHeight="1">
      <c r="A803" s="2" t="s">
        <v>7174</v>
      </c>
      <c r="B803" s="2" t="s">
        <v>7184</v>
      </c>
      <c r="C803" s="2" t="s">
        <v>7967</v>
      </c>
      <c r="D803" s="2" t="s">
        <v>7284</v>
      </c>
      <c r="E803" s="2" t="s">
        <v>7215</v>
      </c>
      <c r="F803" s="2" t="s">
        <v>7215</v>
      </c>
      <c r="G803" s="2">
        <v>1300</v>
      </c>
    </row>
    <row r="804" spans="1:7" ht="15.75" customHeight="1">
      <c r="A804" s="2" t="s">
        <v>7174</v>
      </c>
      <c r="B804" s="2" t="s">
        <v>7184</v>
      </c>
      <c r="C804" s="2" t="s">
        <v>7968</v>
      </c>
      <c r="D804" s="2" t="s">
        <v>7216</v>
      </c>
      <c r="E804" s="2" t="s">
        <v>7215</v>
      </c>
      <c r="F804" s="2" t="s">
        <v>7215</v>
      </c>
      <c r="G804" s="2">
        <v>255</v>
      </c>
    </row>
    <row r="805" spans="1:7" ht="15.75" customHeight="1">
      <c r="A805" s="2" t="s">
        <v>7174</v>
      </c>
      <c r="B805" s="2" t="s">
        <v>7184</v>
      </c>
      <c r="C805" s="2" t="s">
        <v>7969</v>
      </c>
      <c r="D805" s="2" t="s">
        <v>7282</v>
      </c>
      <c r="E805" s="2" t="s">
        <v>7215</v>
      </c>
      <c r="F805" s="2" t="s">
        <v>7215</v>
      </c>
      <c r="G805" s="2">
        <v>100</v>
      </c>
    </row>
    <row r="806" spans="1:7" ht="15.75" customHeight="1">
      <c r="A806" s="2" t="s">
        <v>7174</v>
      </c>
      <c r="B806" s="2" t="s">
        <v>7184</v>
      </c>
      <c r="C806" s="2" t="s">
        <v>7970</v>
      </c>
      <c r="D806" s="2" t="s">
        <v>7971</v>
      </c>
      <c r="E806" s="2" t="s">
        <v>3897</v>
      </c>
      <c r="F806" s="2" t="s">
        <v>7210</v>
      </c>
      <c r="G806" s="2">
        <v>18</v>
      </c>
    </row>
    <row r="807" spans="1:7" ht="15.75" customHeight="1">
      <c r="A807" s="2" t="s">
        <v>7174</v>
      </c>
      <c r="B807" s="2" t="s">
        <v>7184</v>
      </c>
      <c r="C807" s="2" t="s">
        <v>7972</v>
      </c>
      <c r="D807" s="2" t="s">
        <v>7216</v>
      </c>
      <c r="E807" s="2" t="s">
        <v>7215</v>
      </c>
      <c r="F807" s="2" t="s">
        <v>7215</v>
      </c>
      <c r="G807" s="2">
        <v>255</v>
      </c>
    </row>
    <row r="808" spans="1:7" ht="15.75" customHeight="1">
      <c r="A808" s="2" t="s">
        <v>7174</v>
      </c>
      <c r="B808" s="2" t="s">
        <v>7184</v>
      </c>
      <c r="C808" s="2" t="s">
        <v>7973</v>
      </c>
      <c r="D808" s="2" t="s">
        <v>7216</v>
      </c>
      <c r="E808" s="2" t="s">
        <v>7215</v>
      </c>
      <c r="F808" s="2" t="s">
        <v>7215</v>
      </c>
      <c r="G808" s="2">
        <v>255</v>
      </c>
    </row>
    <row r="809" spans="1:7" ht="15.75" customHeight="1">
      <c r="A809" s="2" t="s">
        <v>7174</v>
      </c>
      <c r="B809" s="2" t="s">
        <v>7184</v>
      </c>
      <c r="C809" s="2" t="s">
        <v>7974</v>
      </c>
      <c r="D809" s="2" t="s">
        <v>7216</v>
      </c>
      <c r="E809" s="2" t="s">
        <v>7215</v>
      </c>
      <c r="F809" s="2" t="s">
        <v>7215</v>
      </c>
      <c r="G809" s="2">
        <v>255</v>
      </c>
    </row>
    <row r="810" spans="1:7" ht="15.75" customHeight="1">
      <c r="A810" s="2" t="s">
        <v>7174</v>
      </c>
      <c r="B810" s="2" t="s">
        <v>7184</v>
      </c>
      <c r="C810" s="2" t="s">
        <v>7975</v>
      </c>
      <c r="D810" s="2" t="s">
        <v>7216</v>
      </c>
      <c r="E810" s="2" t="s">
        <v>7215</v>
      </c>
      <c r="F810" s="2" t="s">
        <v>7215</v>
      </c>
      <c r="G810" s="2">
        <v>255</v>
      </c>
    </row>
    <row r="811" spans="1:7" ht="15.75" customHeight="1">
      <c r="A811" s="2" t="s">
        <v>7174</v>
      </c>
      <c r="B811" s="2" t="s">
        <v>7184</v>
      </c>
      <c r="C811" s="2" t="s">
        <v>7976</v>
      </c>
      <c r="D811" s="2" t="s">
        <v>7216</v>
      </c>
      <c r="E811" s="2" t="s">
        <v>7215</v>
      </c>
      <c r="F811" s="2" t="s">
        <v>7215</v>
      </c>
      <c r="G811" s="2">
        <v>255</v>
      </c>
    </row>
    <row r="812" spans="1:7" ht="15.75" customHeight="1">
      <c r="A812" s="2" t="s">
        <v>7174</v>
      </c>
      <c r="B812" s="2" t="s">
        <v>7184</v>
      </c>
      <c r="C812" s="2" t="s">
        <v>7977</v>
      </c>
      <c r="D812" s="2" t="s">
        <v>7216</v>
      </c>
      <c r="E812" s="2" t="s">
        <v>7215</v>
      </c>
      <c r="F812" s="2" t="s">
        <v>7215</v>
      </c>
      <c r="G812" s="2">
        <v>255</v>
      </c>
    </row>
    <row r="813" spans="1:7" ht="15.75" customHeight="1">
      <c r="A813" s="2" t="s">
        <v>7174</v>
      </c>
      <c r="B813" s="2" t="s">
        <v>7184</v>
      </c>
      <c r="C813" s="2" t="s">
        <v>7978</v>
      </c>
      <c r="D813" s="2" t="s">
        <v>7212</v>
      </c>
      <c r="E813" s="2" t="s">
        <v>5672</v>
      </c>
      <c r="F813" s="2" t="s">
        <v>5672</v>
      </c>
      <c r="G813" s="2">
        <v>0</v>
      </c>
    </row>
    <row r="814" spans="1:7" ht="15.75" customHeight="1">
      <c r="A814" s="2" t="s">
        <v>7174</v>
      </c>
      <c r="B814" s="2" t="s">
        <v>7184</v>
      </c>
      <c r="C814" s="2" t="s">
        <v>7979</v>
      </c>
      <c r="D814" s="2" t="s">
        <v>7216</v>
      </c>
      <c r="E814" s="2" t="s">
        <v>7215</v>
      </c>
      <c r="F814" s="2" t="s">
        <v>7215</v>
      </c>
      <c r="G814" s="2">
        <v>255</v>
      </c>
    </row>
    <row r="815" spans="1:7" ht="15.75" customHeight="1">
      <c r="A815" s="2" t="s">
        <v>7174</v>
      </c>
      <c r="B815" s="2" t="s">
        <v>7184</v>
      </c>
      <c r="C815" s="2" t="s">
        <v>7980</v>
      </c>
      <c r="D815" s="2" t="s">
        <v>7216</v>
      </c>
      <c r="E815" s="2" t="s">
        <v>7215</v>
      </c>
      <c r="F815" s="2" t="s">
        <v>7215</v>
      </c>
      <c r="G815" s="2">
        <v>255</v>
      </c>
    </row>
    <row r="816" spans="1:7" ht="15.75" customHeight="1">
      <c r="A816" s="2" t="s">
        <v>7174</v>
      </c>
      <c r="B816" s="2" t="s">
        <v>7184</v>
      </c>
      <c r="C816" s="2" t="s">
        <v>7981</v>
      </c>
      <c r="D816" s="2" t="s">
        <v>7354</v>
      </c>
      <c r="E816" s="2" t="s">
        <v>7215</v>
      </c>
      <c r="F816" s="2" t="s">
        <v>7215</v>
      </c>
      <c r="G816" s="2">
        <v>50</v>
      </c>
    </row>
    <row r="817" spans="1:7" ht="15.75" customHeight="1">
      <c r="A817" s="2" t="s">
        <v>7174</v>
      </c>
      <c r="B817" s="2" t="s">
        <v>7184</v>
      </c>
      <c r="C817" s="2" t="s">
        <v>7982</v>
      </c>
      <c r="D817" s="2" t="s">
        <v>7212</v>
      </c>
      <c r="E817" s="2" t="s">
        <v>5672</v>
      </c>
      <c r="F817" s="2" t="s">
        <v>5672</v>
      </c>
      <c r="G817" s="2">
        <v>0</v>
      </c>
    </row>
    <row r="818" spans="1:7" ht="15.75" customHeight="1">
      <c r="A818" s="2" t="s">
        <v>7174</v>
      </c>
      <c r="B818" s="2" t="s">
        <v>7184</v>
      </c>
      <c r="C818" s="2" t="s">
        <v>7983</v>
      </c>
      <c r="D818" s="2" t="s">
        <v>7284</v>
      </c>
      <c r="E818" s="2" t="s">
        <v>7215</v>
      </c>
      <c r="F818" s="2" t="s">
        <v>7215</v>
      </c>
      <c r="G818" s="2">
        <v>1300</v>
      </c>
    </row>
    <row r="819" spans="1:7" ht="15.75" customHeight="1">
      <c r="A819" s="2" t="s">
        <v>7174</v>
      </c>
      <c r="B819" s="2" t="s">
        <v>7184</v>
      </c>
      <c r="C819" s="2" t="s">
        <v>7984</v>
      </c>
      <c r="D819" s="2" t="s">
        <v>7216</v>
      </c>
      <c r="E819" s="2" t="s">
        <v>7215</v>
      </c>
      <c r="F819" s="2" t="s">
        <v>7215</v>
      </c>
      <c r="G819" s="2">
        <v>255</v>
      </c>
    </row>
    <row r="820" spans="1:7" ht="15.75" customHeight="1">
      <c r="A820" s="2" t="s">
        <v>7174</v>
      </c>
      <c r="B820" s="2" t="s">
        <v>7184</v>
      </c>
      <c r="C820" s="2" t="s">
        <v>7985</v>
      </c>
      <c r="D820" s="2" t="s">
        <v>7450</v>
      </c>
      <c r="E820" s="2" t="s">
        <v>7215</v>
      </c>
      <c r="F820" s="2" t="s">
        <v>7215</v>
      </c>
      <c r="G820" s="2">
        <v>200</v>
      </c>
    </row>
    <row r="821" spans="1:7" ht="15.75" customHeight="1">
      <c r="A821" s="2" t="s">
        <v>7174</v>
      </c>
      <c r="B821" s="2" t="s">
        <v>7184</v>
      </c>
      <c r="C821" s="2" t="s">
        <v>7986</v>
      </c>
      <c r="D821" s="2" t="s">
        <v>7450</v>
      </c>
      <c r="E821" s="2" t="s">
        <v>7215</v>
      </c>
      <c r="F821" s="2" t="s">
        <v>7215</v>
      </c>
      <c r="G821" s="2">
        <v>200</v>
      </c>
    </row>
    <row r="822" spans="1:7" ht="15.75" customHeight="1">
      <c r="A822" s="2" t="s">
        <v>7174</v>
      </c>
      <c r="B822" s="2" t="s">
        <v>7184</v>
      </c>
      <c r="C822" s="2" t="s">
        <v>7987</v>
      </c>
      <c r="D822" s="2" t="s">
        <v>7838</v>
      </c>
      <c r="E822" s="2" t="s">
        <v>7215</v>
      </c>
      <c r="F822" s="2" t="s">
        <v>7215</v>
      </c>
      <c r="G822" s="2">
        <v>12</v>
      </c>
    </row>
    <row r="823" spans="1:7" ht="15.75" customHeight="1">
      <c r="A823" s="2" t="s">
        <v>7174</v>
      </c>
      <c r="B823" s="2" t="s">
        <v>7184</v>
      </c>
      <c r="C823" s="2" t="s">
        <v>7988</v>
      </c>
      <c r="D823" s="2" t="s">
        <v>7450</v>
      </c>
      <c r="E823" s="2" t="s">
        <v>7215</v>
      </c>
      <c r="F823" s="2" t="s">
        <v>7215</v>
      </c>
      <c r="G823" s="2">
        <v>200</v>
      </c>
    </row>
    <row r="824" spans="1:7" ht="15.75" customHeight="1">
      <c r="A824" s="2" t="s">
        <v>7174</v>
      </c>
      <c r="B824" s="2" t="s">
        <v>7184</v>
      </c>
      <c r="C824" s="2" t="s">
        <v>7989</v>
      </c>
      <c r="D824" s="2" t="s">
        <v>7212</v>
      </c>
      <c r="E824" s="2" t="s">
        <v>5672</v>
      </c>
      <c r="F824" s="2" t="s">
        <v>5672</v>
      </c>
      <c r="G824" s="2">
        <v>0</v>
      </c>
    </row>
    <row r="825" spans="1:7" ht="15.75" customHeight="1">
      <c r="A825" s="2" t="s">
        <v>7174</v>
      </c>
      <c r="B825" s="2" t="s">
        <v>7184</v>
      </c>
      <c r="C825" s="2" t="s">
        <v>7990</v>
      </c>
      <c r="D825" s="2" t="s">
        <v>7212</v>
      </c>
      <c r="E825" s="2" t="s">
        <v>5672</v>
      </c>
      <c r="F825" s="2" t="s">
        <v>5672</v>
      </c>
      <c r="G825" s="2">
        <v>0</v>
      </c>
    </row>
    <row r="826" spans="1:7" ht="15.75" customHeight="1">
      <c r="A826" s="2" t="s">
        <v>7174</v>
      </c>
      <c r="B826" s="2" t="s">
        <v>7184</v>
      </c>
      <c r="C826" s="2" t="s">
        <v>7991</v>
      </c>
      <c r="D826" s="2" t="s">
        <v>7212</v>
      </c>
      <c r="E826" s="2" t="s">
        <v>5672</v>
      </c>
      <c r="F826" s="2" t="s">
        <v>5672</v>
      </c>
      <c r="G826" s="2">
        <v>0</v>
      </c>
    </row>
    <row r="827" spans="1:7" ht="15.75" customHeight="1">
      <c r="A827" s="2" t="s">
        <v>7174</v>
      </c>
      <c r="B827" s="2" t="s">
        <v>7184</v>
      </c>
      <c r="C827" s="2" t="s">
        <v>7992</v>
      </c>
      <c r="D827" s="2" t="s">
        <v>7212</v>
      </c>
      <c r="E827" s="2" t="s">
        <v>5672</v>
      </c>
      <c r="F827" s="2" t="s">
        <v>5672</v>
      </c>
      <c r="G827" s="2">
        <v>0</v>
      </c>
    </row>
    <row r="828" spans="1:7" ht="15.75" customHeight="1">
      <c r="A828" s="2" t="s">
        <v>7174</v>
      </c>
      <c r="B828" s="2" t="s">
        <v>7184</v>
      </c>
      <c r="C828" s="2" t="s">
        <v>7993</v>
      </c>
      <c r="D828" s="2" t="s">
        <v>7212</v>
      </c>
      <c r="E828" s="2" t="s">
        <v>5672</v>
      </c>
      <c r="F828" s="2" t="s">
        <v>5672</v>
      </c>
      <c r="G828" s="2">
        <v>0</v>
      </c>
    </row>
    <row r="829" spans="1:7" ht="15.75" customHeight="1">
      <c r="A829" s="2" t="s">
        <v>7174</v>
      </c>
      <c r="B829" s="2" t="s">
        <v>7184</v>
      </c>
      <c r="C829" s="2" t="s">
        <v>7994</v>
      </c>
      <c r="D829" s="2" t="s">
        <v>7212</v>
      </c>
      <c r="E829" s="2" t="s">
        <v>5672</v>
      </c>
      <c r="F829" s="2" t="s">
        <v>5672</v>
      </c>
      <c r="G829" s="2">
        <v>0</v>
      </c>
    </row>
    <row r="830" spans="1:7" ht="15.75" customHeight="1">
      <c r="A830" s="2" t="s">
        <v>7174</v>
      </c>
      <c r="B830" s="2" t="s">
        <v>7184</v>
      </c>
      <c r="C830" s="2" t="s">
        <v>7995</v>
      </c>
      <c r="D830" s="2" t="s">
        <v>7212</v>
      </c>
      <c r="E830" s="2" t="s">
        <v>5672</v>
      </c>
      <c r="F830" s="2" t="s">
        <v>5672</v>
      </c>
      <c r="G830" s="2">
        <v>0</v>
      </c>
    </row>
    <row r="831" spans="1:7" ht="15.75" customHeight="1">
      <c r="A831" s="2" t="s">
        <v>7174</v>
      </c>
      <c r="B831" s="2" t="s">
        <v>7184</v>
      </c>
      <c r="C831" s="2" t="s">
        <v>7996</v>
      </c>
      <c r="D831" s="2" t="s">
        <v>7212</v>
      </c>
      <c r="E831" s="2" t="s">
        <v>5672</v>
      </c>
      <c r="F831" s="2" t="s">
        <v>5672</v>
      </c>
      <c r="G831" s="2">
        <v>0</v>
      </c>
    </row>
    <row r="832" spans="1:7" ht="15.75" customHeight="1">
      <c r="A832" s="2" t="s">
        <v>7174</v>
      </c>
      <c r="B832" s="2" t="s">
        <v>7184</v>
      </c>
      <c r="C832" s="2" t="s">
        <v>7997</v>
      </c>
      <c r="D832" s="2" t="s">
        <v>7212</v>
      </c>
      <c r="E832" s="2" t="s">
        <v>5672</v>
      </c>
      <c r="F832" s="2" t="s">
        <v>5672</v>
      </c>
      <c r="G832" s="2">
        <v>0</v>
      </c>
    </row>
    <row r="833" spans="1:7" ht="15.75" customHeight="1">
      <c r="A833" s="2" t="s">
        <v>7174</v>
      </c>
      <c r="B833" s="2" t="s">
        <v>7184</v>
      </c>
      <c r="C833" s="2" t="s">
        <v>7998</v>
      </c>
      <c r="D833" s="2" t="s">
        <v>7999</v>
      </c>
      <c r="E833" s="2" t="s">
        <v>7278</v>
      </c>
      <c r="F833" s="2" t="s">
        <v>7278</v>
      </c>
      <c r="G833" s="2">
        <v>0</v>
      </c>
    </row>
    <row r="834" spans="1:7" ht="15.75" customHeight="1">
      <c r="A834" s="2" t="s">
        <v>7174</v>
      </c>
      <c r="B834" s="2" t="s">
        <v>7184</v>
      </c>
      <c r="C834" s="2" t="s">
        <v>8000</v>
      </c>
      <c r="D834" s="2" t="s">
        <v>8001</v>
      </c>
      <c r="E834" s="2" t="s">
        <v>7278</v>
      </c>
      <c r="F834" s="2" t="s">
        <v>7278</v>
      </c>
      <c r="G834" s="2">
        <v>0</v>
      </c>
    </row>
    <row r="835" spans="1:7" ht="15.75" customHeight="1">
      <c r="A835" s="2" t="s">
        <v>7174</v>
      </c>
      <c r="B835" s="2" t="s">
        <v>7184</v>
      </c>
      <c r="C835" s="2" t="s">
        <v>8002</v>
      </c>
      <c r="D835" s="2" t="s">
        <v>7277</v>
      </c>
      <c r="E835" s="2" t="s">
        <v>7278</v>
      </c>
      <c r="F835" s="2" t="s">
        <v>7278</v>
      </c>
      <c r="G835" s="2">
        <v>0</v>
      </c>
    </row>
    <row r="836" spans="1:7" ht="15.75" customHeight="1">
      <c r="A836" s="2" t="s">
        <v>7174</v>
      </c>
      <c r="B836" s="2" t="s">
        <v>7184</v>
      </c>
      <c r="C836" s="2" t="s">
        <v>8003</v>
      </c>
      <c r="D836" s="2" t="s">
        <v>7284</v>
      </c>
      <c r="E836" s="2" t="s">
        <v>7215</v>
      </c>
      <c r="F836" s="2" t="s">
        <v>7215</v>
      </c>
      <c r="G836" s="2">
        <v>1300</v>
      </c>
    </row>
    <row r="837" spans="1:7" ht="15.75" customHeight="1">
      <c r="A837" s="2" t="s">
        <v>7174</v>
      </c>
      <c r="B837" s="2" t="s">
        <v>7184</v>
      </c>
      <c r="C837" s="2" t="s">
        <v>8004</v>
      </c>
      <c r="D837" s="2" t="s">
        <v>7277</v>
      </c>
      <c r="E837" s="2" t="s">
        <v>7278</v>
      </c>
      <c r="F837" s="2" t="s">
        <v>7278</v>
      </c>
      <c r="G837" s="2">
        <v>0</v>
      </c>
    </row>
    <row r="838" spans="1:7" ht="15.75" customHeight="1">
      <c r="A838" s="2" t="s">
        <v>7174</v>
      </c>
      <c r="B838" s="2" t="s">
        <v>7184</v>
      </c>
      <c r="C838" s="2" t="s">
        <v>7185</v>
      </c>
      <c r="D838" s="2" t="s">
        <v>8005</v>
      </c>
      <c r="E838" s="2" t="s">
        <v>3897</v>
      </c>
      <c r="F838" s="2" t="s">
        <v>7210</v>
      </c>
      <c r="G838" s="2">
        <v>18</v>
      </c>
    </row>
    <row r="839" spans="1:7" ht="15.75" customHeight="1">
      <c r="A839" s="2" t="s">
        <v>7174</v>
      </c>
      <c r="B839" s="2" t="s">
        <v>7184</v>
      </c>
      <c r="C839" s="2" t="s">
        <v>7186</v>
      </c>
      <c r="D839" s="2" t="s">
        <v>7277</v>
      </c>
      <c r="E839" s="2" t="s">
        <v>7278</v>
      </c>
      <c r="F839" s="2" t="s">
        <v>7278</v>
      </c>
      <c r="G839" s="2">
        <v>0</v>
      </c>
    </row>
    <row r="840" spans="1:7" ht="15.75" customHeight="1">
      <c r="A840" s="2" t="s">
        <v>7174</v>
      </c>
      <c r="B840" s="2" t="s">
        <v>7184</v>
      </c>
      <c r="C840" s="2" t="s">
        <v>8006</v>
      </c>
      <c r="D840" s="2" t="s">
        <v>7216</v>
      </c>
      <c r="E840" s="2" t="s">
        <v>7215</v>
      </c>
      <c r="F840" s="2" t="s">
        <v>7215</v>
      </c>
      <c r="G840" s="2">
        <v>255</v>
      </c>
    </row>
    <row r="841" spans="1:7" ht="15.75" customHeight="1">
      <c r="A841" s="2" t="s">
        <v>7174</v>
      </c>
      <c r="B841" s="2" t="s">
        <v>7184</v>
      </c>
      <c r="C841" s="2" t="s">
        <v>8007</v>
      </c>
      <c r="D841" s="2" t="s">
        <v>7259</v>
      </c>
      <c r="E841" s="2" t="s">
        <v>7215</v>
      </c>
      <c r="F841" s="2" t="s">
        <v>7215</v>
      </c>
      <c r="G841" s="2">
        <v>255</v>
      </c>
    </row>
    <row r="842" spans="1:7" ht="15.75" customHeight="1">
      <c r="A842" s="2" t="s">
        <v>7174</v>
      </c>
      <c r="B842" s="2" t="s">
        <v>7184</v>
      </c>
      <c r="C842" s="2" t="s">
        <v>8008</v>
      </c>
      <c r="D842" s="2" t="s">
        <v>7277</v>
      </c>
      <c r="E842" s="2" t="s">
        <v>7278</v>
      </c>
      <c r="F842" s="2" t="s">
        <v>7278</v>
      </c>
      <c r="G842" s="2">
        <v>0</v>
      </c>
    </row>
    <row r="843" spans="1:7" ht="15.75" customHeight="1">
      <c r="A843" s="2" t="s">
        <v>7174</v>
      </c>
      <c r="B843" s="2" t="s">
        <v>7184</v>
      </c>
      <c r="C843" s="2" t="s">
        <v>8009</v>
      </c>
      <c r="D843" s="2" t="s">
        <v>7259</v>
      </c>
      <c r="E843" s="2" t="s">
        <v>7215</v>
      </c>
      <c r="F843" s="2" t="s">
        <v>7215</v>
      </c>
      <c r="G843" s="2">
        <v>255</v>
      </c>
    </row>
    <row r="844" spans="1:7" ht="15.75" customHeight="1">
      <c r="A844" s="2" t="s">
        <v>7174</v>
      </c>
      <c r="B844" s="2" t="s">
        <v>7184</v>
      </c>
      <c r="C844" s="2" t="s">
        <v>8010</v>
      </c>
      <c r="D844" s="2" t="s">
        <v>7259</v>
      </c>
      <c r="E844" s="2" t="s">
        <v>7215</v>
      </c>
      <c r="F844" s="2" t="s">
        <v>7215</v>
      </c>
      <c r="G844" s="2">
        <v>255</v>
      </c>
    </row>
    <row r="845" spans="1:7" ht="15.75" customHeight="1">
      <c r="A845" s="2" t="s">
        <v>7174</v>
      </c>
      <c r="B845" s="2" t="s">
        <v>7184</v>
      </c>
      <c r="C845" s="2" t="s">
        <v>8011</v>
      </c>
      <c r="D845" s="2" t="s">
        <v>7259</v>
      </c>
      <c r="E845" s="2" t="s">
        <v>7215</v>
      </c>
      <c r="F845" s="2" t="s">
        <v>7215</v>
      </c>
      <c r="G845" s="2">
        <v>255</v>
      </c>
    </row>
    <row r="846" spans="1:7" ht="15.75" customHeight="1">
      <c r="A846" s="2" t="s">
        <v>7174</v>
      </c>
      <c r="B846" s="2" t="s">
        <v>7184</v>
      </c>
      <c r="C846" s="2" t="s">
        <v>8012</v>
      </c>
      <c r="D846" s="2" t="s">
        <v>7216</v>
      </c>
      <c r="E846" s="2" t="s">
        <v>7215</v>
      </c>
      <c r="F846" s="2" t="s">
        <v>7215</v>
      </c>
      <c r="G846" s="2">
        <v>255</v>
      </c>
    </row>
    <row r="847" spans="1:7" ht="15.75" customHeight="1">
      <c r="A847" s="2" t="s">
        <v>7174</v>
      </c>
      <c r="B847" s="2" t="s">
        <v>7184</v>
      </c>
      <c r="C847" s="2" t="s">
        <v>7462</v>
      </c>
      <c r="D847" s="2" t="s">
        <v>7284</v>
      </c>
      <c r="E847" s="2" t="s">
        <v>7215</v>
      </c>
      <c r="F847" s="2" t="s">
        <v>7215</v>
      </c>
      <c r="G847" s="2">
        <v>1300</v>
      </c>
    </row>
    <row r="848" spans="1:7" ht="15.75" customHeight="1">
      <c r="A848" s="2" t="s">
        <v>7174</v>
      </c>
      <c r="B848" s="2" t="s">
        <v>7184</v>
      </c>
      <c r="C848" s="2" t="s">
        <v>8013</v>
      </c>
      <c r="D848" s="2" t="s">
        <v>6212</v>
      </c>
      <c r="E848" s="2" t="s">
        <v>1974</v>
      </c>
      <c r="F848" s="2" t="s">
        <v>1974</v>
      </c>
      <c r="G848" s="2">
        <v>0</v>
      </c>
    </row>
    <row r="849" spans="1:7" ht="15.75" customHeight="1">
      <c r="A849" s="2" t="s">
        <v>7174</v>
      </c>
      <c r="B849" s="2" t="s">
        <v>7184</v>
      </c>
      <c r="C849" s="2" t="s">
        <v>8014</v>
      </c>
      <c r="D849" s="2" t="s">
        <v>7212</v>
      </c>
      <c r="E849" s="2" t="s">
        <v>5672</v>
      </c>
      <c r="F849" s="2" t="s">
        <v>5672</v>
      </c>
      <c r="G849" s="2">
        <v>0</v>
      </c>
    </row>
    <row r="850" spans="1:7" ht="15.75" customHeight="1">
      <c r="A850" s="2" t="s">
        <v>7174</v>
      </c>
      <c r="B850" s="2" t="s">
        <v>7184</v>
      </c>
      <c r="C850" s="2" t="s">
        <v>8015</v>
      </c>
      <c r="D850" s="2" t="s">
        <v>7216</v>
      </c>
      <c r="E850" s="2" t="s">
        <v>7215</v>
      </c>
      <c r="F850" s="2" t="s">
        <v>7215</v>
      </c>
      <c r="G850" s="2">
        <v>255</v>
      </c>
    </row>
    <row r="851" spans="1:7" ht="15.75" customHeight="1">
      <c r="A851" s="2" t="s">
        <v>7174</v>
      </c>
      <c r="B851" s="2" t="s">
        <v>7184</v>
      </c>
      <c r="C851" s="2" t="s">
        <v>8016</v>
      </c>
      <c r="D851" s="2" t="s">
        <v>7312</v>
      </c>
      <c r="E851" s="2" t="s">
        <v>7278</v>
      </c>
      <c r="F851" s="2" t="s">
        <v>7278</v>
      </c>
      <c r="G851" s="2">
        <v>0</v>
      </c>
    </row>
    <row r="852" spans="1:7" ht="15.75" customHeight="1">
      <c r="A852" s="2" t="s">
        <v>7174</v>
      </c>
      <c r="B852" s="2" t="s">
        <v>7184</v>
      </c>
      <c r="C852" s="2" t="s">
        <v>8017</v>
      </c>
      <c r="D852" s="2" t="s">
        <v>5204</v>
      </c>
      <c r="E852" s="2" t="s">
        <v>7215</v>
      </c>
      <c r="F852" s="2" t="s">
        <v>7215</v>
      </c>
      <c r="G852" s="2">
        <v>80</v>
      </c>
    </row>
    <row r="853" spans="1:7" ht="15.75" customHeight="1">
      <c r="A853" s="2" t="s">
        <v>7174</v>
      </c>
      <c r="B853" s="2" t="s">
        <v>7184</v>
      </c>
      <c r="C853" s="2" t="s">
        <v>8018</v>
      </c>
      <c r="D853" s="2" t="s">
        <v>7259</v>
      </c>
      <c r="E853" s="2" t="s">
        <v>7215</v>
      </c>
      <c r="F853" s="2" t="s">
        <v>7215</v>
      </c>
      <c r="G853" s="2">
        <v>255</v>
      </c>
    </row>
    <row r="854" spans="1:7" ht="15.75" customHeight="1">
      <c r="A854" s="2" t="s">
        <v>7174</v>
      </c>
      <c r="B854" s="2" t="s">
        <v>7184</v>
      </c>
      <c r="C854" s="2" t="s">
        <v>8019</v>
      </c>
      <c r="D854" s="2" t="s">
        <v>7259</v>
      </c>
      <c r="E854" s="2" t="s">
        <v>7215</v>
      </c>
      <c r="F854" s="2" t="s">
        <v>7215</v>
      </c>
      <c r="G854" s="2">
        <v>255</v>
      </c>
    </row>
    <row r="855" spans="1:7" ht="15.75" customHeight="1">
      <c r="A855" s="2" t="s">
        <v>7174</v>
      </c>
      <c r="B855" s="2" t="s">
        <v>7184</v>
      </c>
      <c r="C855" s="2" t="s">
        <v>8020</v>
      </c>
      <c r="D855" s="2" t="s">
        <v>7312</v>
      </c>
      <c r="E855" s="2" t="s">
        <v>7278</v>
      </c>
      <c r="F855" s="2" t="s">
        <v>7278</v>
      </c>
      <c r="G855" s="2">
        <v>0</v>
      </c>
    </row>
    <row r="856" spans="1:7" ht="15.75" customHeight="1">
      <c r="A856" s="2" t="s">
        <v>7174</v>
      </c>
      <c r="B856" s="2" t="s">
        <v>7184</v>
      </c>
      <c r="C856" s="2" t="s">
        <v>8021</v>
      </c>
      <c r="D856" s="2" t="s">
        <v>7259</v>
      </c>
      <c r="E856" s="2" t="s">
        <v>7215</v>
      </c>
      <c r="F856" s="2" t="s">
        <v>7215</v>
      </c>
      <c r="G856" s="2">
        <v>255</v>
      </c>
    </row>
    <row r="857" spans="1:7" ht="15.75" customHeight="1">
      <c r="A857" s="2" t="s">
        <v>7174</v>
      </c>
      <c r="B857" s="2" t="s">
        <v>7184</v>
      </c>
      <c r="C857" s="2" t="s">
        <v>8022</v>
      </c>
      <c r="D857" s="2" t="s">
        <v>7284</v>
      </c>
      <c r="E857" s="2" t="s">
        <v>7215</v>
      </c>
      <c r="F857" s="2" t="s">
        <v>7215</v>
      </c>
      <c r="G857" s="2">
        <v>1300</v>
      </c>
    </row>
    <row r="858" spans="1:7" ht="15.75" customHeight="1">
      <c r="A858" s="2" t="s">
        <v>7174</v>
      </c>
      <c r="B858" s="2" t="s">
        <v>7184</v>
      </c>
      <c r="C858" s="2" t="s">
        <v>8023</v>
      </c>
      <c r="D858" s="2" t="s">
        <v>8024</v>
      </c>
      <c r="E858" s="2" t="s">
        <v>7278</v>
      </c>
      <c r="F858" s="2" t="s">
        <v>7278</v>
      </c>
      <c r="G858" s="2">
        <v>0</v>
      </c>
    </row>
    <row r="859" spans="1:7" ht="15.75" customHeight="1">
      <c r="A859" s="2" t="s">
        <v>7174</v>
      </c>
      <c r="B859" s="2" t="s">
        <v>7184</v>
      </c>
      <c r="C859" s="2" t="s">
        <v>8025</v>
      </c>
      <c r="D859" s="2" t="s">
        <v>8024</v>
      </c>
      <c r="E859" s="2" t="s">
        <v>7278</v>
      </c>
      <c r="F859" s="2" t="s">
        <v>7278</v>
      </c>
      <c r="G859" s="2">
        <v>0</v>
      </c>
    </row>
    <row r="860" spans="1:7" ht="15.75" customHeight="1">
      <c r="A860" s="2" t="s">
        <v>7174</v>
      </c>
      <c r="B860" s="2" t="s">
        <v>7184</v>
      </c>
      <c r="C860" s="2" t="s">
        <v>8026</v>
      </c>
      <c r="D860" s="2" t="s">
        <v>8024</v>
      </c>
      <c r="E860" s="2" t="s">
        <v>7278</v>
      </c>
      <c r="F860" s="2" t="s">
        <v>7278</v>
      </c>
      <c r="G860" s="2">
        <v>0</v>
      </c>
    </row>
    <row r="861" spans="1:7" ht="15.75" customHeight="1">
      <c r="A861" s="2" t="s">
        <v>7174</v>
      </c>
      <c r="B861" s="2" t="s">
        <v>7184</v>
      </c>
      <c r="C861" s="2" t="s">
        <v>8027</v>
      </c>
      <c r="D861" s="2" t="s">
        <v>7264</v>
      </c>
      <c r="E861" s="2" t="s">
        <v>7215</v>
      </c>
      <c r="F861" s="2" t="s">
        <v>7215</v>
      </c>
      <c r="G861" s="2">
        <v>20</v>
      </c>
    </row>
    <row r="862" spans="1:7" ht="15.75" customHeight="1">
      <c r="A862" s="2" t="s">
        <v>7174</v>
      </c>
      <c r="B862" s="2" t="s">
        <v>7184</v>
      </c>
      <c r="C862" s="2" t="s">
        <v>8028</v>
      </c>
      <c r="D862" s="2" t="s">
        <v>7264</v>
      </c>
      <c r="E862" s="2" t="s">
        <v>7215</v>
      </c>
      <c r="F862" s="2" t="s">
        <v>7215</v>
      </c>
      <c r="G862" s="2">
        <v>20</v>
      </c>
    </row>
    <row r="863" spans="1:7" ht="15.75" customHeight="1">
      <c r="A863" s="2" t="s">
        <v>7174</v>
      </c>
      <c r="B863" s="2" t="s">
        <v>7184</v>
      </c>
      <c r="C863" s="2" t="s">
        <v>8029</v>
      </c>
      <c r="D863" s="2" t="s">
        <v>7282</v>
      </c>
      <c r="E863" s="2" t="s">
        <v>7215</v>
      </c>
      <c r="F863" s="2" t="s">
        <v>7215</v>
      </c>
      <c r="G863" s="2">
        <v>100</v>
      </c>
    </row>
    <row r="864" spans="1:7" ht="15.75" customHeight="1">
      <c r="A864" s="2" t="s">
        <v>7174</v>
      </c>
      <c r="B864" s="2" t="s">
        <v>7184</v>
      </c>
      <c r="C864" s="2" t="s">
        <v>8030</v>
      </c>
      <c r="D864" s="2" t="s">
        <v>7277</v>
      </c>
      <c r="E864" s="2" t="s">
        <v>7278</v>
      </c>
      <c r="F864" s="2" t="s">
        <v>7278</v>
      </c>
      <c r="G864" s="2">
        <v>0</v>
      </c>
    </row>
    <row r="865" spans="1:7" ht="15.75" customHeight="1">
      <c r="A865" s="2" t="s">
        <v>7174</v>
      </c>
      <c r="B865" s="2" t="s">
        <v>7184</v>
      </c>
      <c r="C865" s="2" t="s">
        <v>8031</v>
      </c>
      <c r="D865" s="2" t="s">
        <v>7270</v>
      </c>
      <c r="E865" s="2" t="s">
        <v>7215</v>
      </c>
      <c r="F865" s="2" t="s">
        <v>7215</v>
      </c>
      <c r="G865" s="2">
        <v>32768</v>
      </c>
    </row>
    <row r="866" spans="1:7" ht="15.75" customHeight="1">
      <c r="A866" s="2" t="s">
        <v>7174</v>
      </c>
      <c r="B866" s="2" t="s">
        <v>7184</v>
      </c>
      <c r="C866" s="2" t="s">
        <v>8032</v>
      </c>
      <c r="D866" s="2" t="s">
        <v>7270</v>
      </c>
      <c r="E866" s="2" t="s">
        <v>7215</v>
      </c>
      <c r="F866" s="2" t="s">
        <v>7215</v>
      </c>
      <c r="G866" s="2">
        <v>32768</v>
      </c>
    </row>
    <row r="867" spans="1:7" ht="15.75" customHeight="1">
      <c r="A867" s="2" t="s">
        <v>7174</v>
      </c>
      <c r="B867" s="2" t="s">
        <v>7184</v>
      </c>
      <c r="C867" s="2" t="s">
        <v>8033</v>
      </c>
      <c r="D867" s="2" t="s">
        <v>7270</v>
      </c>
      <c r="E867" s="2" t="s">
        <v>7215</v>
      </c>
      <c r="F867" s="2" t="s">
        <v>7215</v>
      </c>
      <c r="G867" s="2">
        <v>32768</v>
      </c>
    </row>
    <row r="868" spans="1:7" ht="15.75" customHeight="1">
      <c r="A868" s="2" t="s">
        <v>7174</v>
      </c>
      <c r="B868" s="2" t="s">
        <v>7184</v>
      </c>
      <c r="C868" s="2" t="s">
        <v>8034</v>
      </c>
      <c r="D868" s="2" t="s">
        <v>7277</v>
      </c>
      <c r="E868" s="2" t="s">
        <v>7278</v>
      </c>
      <c r="F868" s="2" t="s">
        <v>7278</v>
      </c>
      <c r="G868" s="2">
        <v>0</v>
      </c>
    </row>
    <row r="869" spans="1:7" ht="15.75" customHeight="1">
      <c r="A869" s="2" t="s">
        <v>7174</v>
      </c>
      <c r="B869" s="2" t="s">
        <v>7184</v>
      </c>
      <c r="C869" s="2" t="s">
        <v>8035</v>
      </c>
      <c r="D869" s="2" t="s">
        <v>7277</v>
      </c>
      <c r="E869" s="2" t="s">
        <v>7278</v>
      </c>
      <c r="F869" s="2" t="s">
        <v>7278</v>
      </c>
      <c r="G869" s="2">
        <v>0</v>
      </c>
    </row>
    <row r="870" spans="1:7" ht="15.75" customHeight="1">
      <c r="A870" s="2" t="s">
        <v>7174</v>
      </c>
      <c r="B870" s="2" t="s">
        <v>7184</v>
      </c>
      <c r="C870" s="2" t="s">
        <v>8036</v>
      </c>
      <c r="D870" s="2" t="s">
        <v>7284</v>
      </c>
      <c r="E870" s="2" t="s">
        <v>7215</v>
      </c>
      <c r="F870" s="2" t="s">
        <v>7215</v>
      </c>
      <c r="G870" s="2">
        <v>1300</v>
      </c>
    </row>
    <row r="871" spans="1:7" ht="15.75" customHeight="1">
      <c r="A871" s="2" t="s">
        <v>7174</v>
      </c>
      <c r="B871" s="2" t="s">
        <v>7184</v>
      </c>
      <c r="C871" s="2" t="s">
        <v>8037</v>
      </c>
      <c r="D871" s="2" t="s">
        <v>7312</v>
      </c>
      <c r="E871" s="2" t="s">
        <v>7278</v>
      </c>
      <c r="F871" s="2" t="s">
        <v>7278</v>
      </c>
      <c r="G871" s="2">
        <v>0</v>
      </c>
    </row>
    <row r="872" spans="1:7" ht="15.75" customHeight="1">
      <c r="A872" s="2" t="s">
        <v>7174</v>
      </c>
      <c r="B872" s="2" t="s">
        <v>7184</v>
      </c>
      <c r="C872" s="2" t="s">
        <v>8038</v>
      </c>
      <c r="D872" s="2" t="s">
        <v>7216</v>
      </c>
      <c r="E872" s="2" t="s">
        <v>7215</v>
      </c>
      <c r="F872" s="2" t="s">
        <v>7215</v>
      </c>
      <c r="G872" s="2">
        <v>255</v>
      </c>
    </row>
    <row r="873" spans="1:7" ht="15.75" customHeight="1">
      <c r="A873" s="2" t="s">
        <v>7174</v>
      </c>
      <c r="B873" s="2" t="s">
        <v>7184</v>
      </c>
      <c r="C873" s="2" t="s">
        <v>8039</v>
      </c>
      <c r="D873" s="2" t="s">
        <v>7270</v>
      </c>
      <c r="E873" s="2" t="s">
        <v>7215</v>
      </c>
      <c r="F873" s="2" t="s">
        <v>7215</v>
      </c>
      <c r="G873" s="2">
        <v>32768</v>
      </c>
    </row>
    <row r="874" spans="1:7" ht="15.75" customHeight="1">
      <c r="A874" s="2" t="s">
        <v>7174</v>
      </c>
      <c r="B874" s="2" t="s">
        <v>7184</v>
      </c>
      <c r="C874" s="2" t="s">
        <v>8040</v>
      </c>
      <c r="D874" s="2" t="s">
        <v>7282</v>
      </c>
      <c r="E874" s="2" t="s">
        <v>7215</v>
      </c>
      <c r="F874" s="2" t="s">
        <v>7215</v>
      </c>
      <c r="G874" s="2">
        <v>100</v>
      </c>
    </row>
    <row r="875" spans="1:7" ht="15.75" customHeight="1">
      <c r="A875" s="2" t="s">
        <v>7174</v>
      </c>
      <c r="B875" s="2" t="s">
        <v>7184</v>
      </c>
      <c r="C875" s="2" t="s">
        <v>8041</v>
      </c>
      <c r="D875" s="2" t="s">
        <v>7216</v>
      </c>
      <c r="E875" s="2" t="s">
        <v>7215</v>
      </c>
      <c r="F875" s="2" t="s">
        <v>7215</v>
      </c>
      <c r="G875" s="2">
        <v>255</v>
      </c>
    </row>
    <row r="876" spans="1:7" ht="15.75" customHeight="1">
      <c r="A876" s="2" t="s">
        <v>7174</v>
      </c>
      <c r="B876" s="2" t="s">
        <v>7184</v>
      </c>
      <c r="C876" s="2" t="s">
        <v>8042</v>
      </c>
      <c r="D876" s="2" t="s">
        <v>7216</v>
      </c>
      <c r="E876" s="2" t="s">
        <v>7215</v>
      </c>
      <c r="F876" s="2" t="s">
        <v>7215</v>
      </c>
      <c r="G876" s="2">
        <v>255</v>
      </c>
    </row>
    <row r="877" spans="1:7" ht="15.75" customHeight="1">
      <c r="A877" s="2" t="s">
        <v>7174</v>
      </c>
      <c r="B877" s="2" t="s">
        <v>7184</v>
      </c>
      <c r="C877" s="2" t="s">
        <v>8043</v>
      </c>
      <c r="D877" s="2" t="s">
        <v>7216</v>
      </c>
      <c r="E877" s="2" t="s">
        <v>7215</v>
      </c>
      <c r="F877" s="2" t="s">
        <v>7215</v>
      </c>
      <c r="G877" s="2">
        <v>255</v>
      </c>
    </row>
    <row r="878" spans="1:7" ht="15.75" customHeight="1">
      <c r="A878" s="2" t="s">
        <v>7174</v>
      </c>
      <c r="B878" s="2" t="s">
        <v>7184</v>
      </c>
      <c r="C878" s="2" t="s">
        <v>8044</v>
      </c>
      <c r="D878" s="2" t="s">
        <v>7270</v>
      </c>
      <c r="E878" s="2" t="s">
        <v>7215</v>
      </c>
      <c r="F878" s="2" t="s">
        <v>7215</v>
      </c>
      <c r="G878" s="2">
        <v>32768</v>
      </c>
    </row>
    <row r="879" spans="1:7" ht="15.75" customHeight="1">
      <c r="A879" s="2" t="s">
        <v>7174</v>
      </c>
      <c r="B879" s="2" t="s">
        <v>7184</v>
      </c>
      <c r="C879" s="2" t="s">
        <v>7586</v>
      </c>
      <c r="D879" s="2" t="s">
        <v>7284</v>
      </c>
      <c r="E879" s="2" t="s">
        <v>7215</v>
      </c>
      <c r="F879" s="2" t="s">
        <v>7215</v>
      </c>
      <c r="G879" s="2">
        <v>1300</v>
      </c>
    </row>
    <row r="880" spans="1:7" ht="15.75" customHeight="1">
      <c r="A880" s="2" t="s">
        <v>7174</v>
      </c>
      <c r="B880" s="2" t="s">
        <v>7184</v>
      </c>
      <c r="C880" s="2" t="s">
        <v>8045</v>
      </c>
      <c r="D880" s="2" t="s">
        <v>7270</v>
      </c>
      <c r="E880" s="2" t="s">
        <v>7215</v>
      </c>
      <c r="F880" s="2" t="s">
        <v>7215</v>
      </c>
      <c r="G880" s="2">
        <v>32768</v>
      </c>
    </row>
    <row r="881" spans="1:7" ht="15.75" customHeight="1">
      <c r="A881" s="2" t="s">
        <v>7174</v>
      </c>
      <c r="B881" s="2" t="s">
        <v>7184</v>
      </c>
      <c r="C881" s="2" t="s">
        <v>8046</v>
      </c>
      <c r="D881" s="2" t="s">
        <v>7282</v>
      </c>
      <c r="E881" s="2" t="s">
        <v>7215</v>
      </c>
      <c r="F881" s="2" t="s">
        <v>7215</v>
      </c>
      <c r="G881" s="2">
        <v>100</v>
      </c>
    </row>
    <row r="882" spans="1:7" ht="15.75" customHeight="1">
      <c r="A882" s="2" t="s">
        <v>7174</v>
      </c>
      <c r="B882" s="2" t="s">
        <v>7184</v>
      </c>
      <c r="C882" s="2" t="s">
        <v>8047</v>
      </c>
      <c r="D882" s="2" t="s">
        <v>7216</v>
      </c>
      <c r="E882" s="2" t="s">
        <v>7215</v>
      </c>
      <c r="F882" s="2" t="s">
        <v>7215</v>
      </c>
      <c r="G882" s="2">
        <v>255</v>
      </c>
    </row>
    <row r="883" spans="1:7" ht="15.75" customHeight="1">
      <c r="A883" s="2" t="s">
        <v>7174</v>
      </c>
      <c r="B883" s="2" t="s">
        <v>7184</v>
      </c>
      <c r="C883" s="2" t="s">
        <v>8048</v>
      </c>
      <c r="D883" s="2" t="s">
        <v>7270</v>
      </c>
      <c r="E883" s="2" t="s">
        <v>7215</v>
      </c>
      <c r="F883" s="2" t="s">
        <v>7215</v>
      </c>
      <c r="G883" s="2">
        <v>32768</v>
      </c>
    </row>
    <row r="884" spans="1:7" ht="15.75" customHeight="1">
      <c r="A884" s="2" t="s">
        <v>7174</v>
      </c>
      <c r="B884" s="2" t="s">
        <v>7184</v>
      </c>
      <c r="C884" s="2" t="s">
        <v>8049</v>
      </c>
      <c r="D884" s="2" t="s">
        <v>7282</v>
      </c>
      <c r="E884" s="2" t="s">
        <v>7215</v>
      </c>
      <c r="F884" s="2" t="s">
        <v>7215</v>
      </c>
      <c r="G884" s="2">
        <v>100</v>
      </c>
    </row>
    <row r="885" spans="1:7" ht="15.75" customHeight="1">
      <c r="A885" s="2" t="s">
        <v>7174</v>
      </c>
      <c r="B885" s="2" t="s">
        <v>7184</v>
      </c>
      <c r="C885" s="2" t="s">
        <v>8050</v>
      </c>
      <c r="D885" s="2" t="s">
        <v>7216</v>
      </c>
      <c r="E885" s="2" t="s">
        <v>7215</v>
      </c>
      <c r="F885" s="2" t="s">
        <v>7215</v>
      </c>
      <c r="G885" s="2">
        <v>255</v>
      </c>
    </row>
    <row r="886" spans="1:7" ht="15.75" customHeight="1">
      <c r="A886" s="2" t="s">
        <v>7174</v>
      </c>
      <c r="B886" s="2" t="s">
        <v>7184</v>
      </c>
      <c r="C886" s="2" t="s">
        <v>8051</v>
      </c>
      <c r="D886" s="2" t="s">
        <v>7450</v>
      </c>
      <c r="E886" s="2" t="s">
        <v>7215</v>
      </c>
      <c r="F886" s="2" t="s">
        <v>7215</v>
      </c>
      <c r="G886" s="2">
        <v>200</v>
      </c>
    </row>
    <row r="887" spans="1:7" ht="15.75" customHeight="1">
      <c r="A887" s="2" t="s">
        <v>7174</v>
      </c>
      <c r="B887" s="2" t="s">
        <v>7184</v>
      </c>
      <c r="C887" s="2" t="s">
        <v>8052</v>
      </c>
      <c r="D887" s="2" t="s">
        <v>7282</v>
      </c>
      <c r="E887" s="2" t="s">
        <v>7215</v>
      </c>
      <c r="F887" s="2" t="s">
        <v>7215</v>
      </c>
      <c r="G887" s="2">
        <v>100</v>
      </c>
    </row>
    <row r="888" spans="1:7" ht="15.75" customHeight="1">
      <c r="A888" s="2" t="s">
        <v>7174</v>
      </c>
      <c r="B888" s="2" t="s">
        <v>7184</v>
      </c>
      <c r="C888" s="2" t="s">
        <v>8053</v>
      </c>
      <c r="D888" s="2" t="s">
        <v>7354</v>
      </c>
      <c r="E888" s="2" t="s">
        <v>7215</v>
      </c>
      <c r="F888" s="2" t="s">
        <v>7215</v>
      </c>
      <c r="G888" s="2">
        <v>50</v>
      </c>
    </row>
    <row r="889" spans="1:7" ht="15.75" customHeight="1">
      <c r="A889" s="2" t="s">
        <v>7174</v>
      </c>
      <c r="B889" s="2" t="s">
        <v>7184</v>
      </c>
      <c r="C889" s="2" t="s">
        <v>8054</v>
      </c>
      <c r="D889" s="2" t="s">
        <v>7450</v>
      </c>
      <c r="E889" s="2" t="s">
        <v>7215</v>
      </c>
      <c r="F889" s="2" t="s">
        <v>7215</v>
      </c>
      <c r="G889" s="2">
        <v>200</v>
      </c>
    </row>
    <row r="890" spans="1:7" ht="15.75" customHeight="1">
      <c r="A890" s="2" t="s">
        <v>7174</v>
      </c>
      <c r="B890" s="2" t="s">
        <v>7184</v>
      </c>
      <c r="C890" s="2" t="s">
        <v>8055</v>
      </c>
      <c r="D890" s="2" t="s">
        <v>7277</v>
      </c>
      <c r="E890" s="2" t="s">
        <v>7278</v>
      </c>
      <c r="F890" s="2" t="s">
        <v>7278</v>
      </c>
      <c r="G890" s="2">
        <v>0</v>
      </c>
    </row>
    <row r="891" spans="1:7" ht="15.75" customHeight="1">
      <c r="A891" s="2" t="s">
        <v>7174</v>
      </c>
      <c r="B891" s="2" t="s">
        <v>7184</v>
      </c>
      <c r="C891" s="2" t="s">
        <v>8056</v>
      </c>
      <c r="D891" s="2" t="s">
        <v>7216</v>
      </c>
      <c r="E891" s="2" t="s">
        <v>7215</v>
      </c>
      <c r="F891" s="2" t="s">
        <v>7215</v>
      </c>
      <c r="G891" s="2">
        <v>255</v>
      </c>
    </row>
    <row r="892" spans="1:7" ht="15.75" customHeight="1">
      <c r="A892" s="2" t="s">
        <v>7174</v>
      </c>
      <c r="B892" s="2" t="s">
        <v>7184</v>
      </c>
      <c r="C892" s="2" t="s">
        <v>8057</v>
      </c>
      <c r="D892" s="2" t="s">
        <v>7284</v>
      </c>
      <c r="E892" s="2" t="s">
        <v>7215</v>
      </c>
      <c r="F892" s="2" t="s">
        <v>7215</v>
      </c>
      <c r="G892" s="2">
        <v>1300</v>
      </c>
    </row>
    <row r="893" spans="1:7" ht="15.75" customHeight="1">
      <c r="A893" s="2" t="s">
        <v>7174</v>
      </c>
      <c r="B893" s="2" t="s">
        <v>7184</v>
      </c>
      <c r="C893" s="2" t="s">
        <v>8058</v>
      </c>
      <c r="D893" s="2" t="s">
        <v>7216</v>
      </c>
      <c r="E893" s="2" t="s">
        <v>7215</v>
      </c>
      <c r="F893" s="2" t="s">
        <v>7215</v>
      </c>
      <c r="G893" s="2">
        <v>255</v>
      </c>
    </row>
    <row r="894" spans="1:7" ht="15.75" customHeight="1">
      <c r="A894" s="2" t="s">
        <v>7174</v>
      </c>
      <c r="B894" s="2" t="s">
        <v>7184</v>
      </c>
      <c r="C894" s="2" t="s">
        <v>8059</v>
      </c>
      <c r="D894" s="2" t="s">
        <v>7216</v>
      </c>
      <c r="E894" s="2" t="s">
        <v>7215</v>
      </c>
      <c r="F894" s="2" t="s">
        <v>7215</v>
      </c>
      <c r="G894" s="2">
        <v>255</v>
      </c>
    </row>
    <row r="895" spans="1:7" ht="15.75" customHeight="1">
      <c r="A895" s="2" t="s">
        <v>7174</v>
      </c>
      <c r="B895" s="2" t="s">
        <v>7184</v>
      </c>
      <c r="C895" s="2" t="s">
        <v>8060</v>
      </c>
      <c r="D895" s="2" t="s">
        <v>7277</v>
      </c>
      <c r="E895" s="2" t="s">
        <v>7278</v>
      </c>
      <c r="F895" s="2" t="s">
        <v>7278</v>
      </c>
      <c r="G895" s="2">
        <v>0</v>
      </c>
    </row>
    <row r="896" spans="1:7" ht="15.75" customHeight="1">
      <c r="A896" s="2" t="s">
        <v>7174</v>
      </c>
      <c r="B896" s="2" t="s">
        <v>7184</v>
      </c>
      <c r="C896" s="2" t="s">
        <v>8061</v>
      </c>
      <c r="D896" s="2" t="s">
        <v>7216</v>
      </c>
      <c r="E896" s="2" t="s">
        <v>7215</v>
      </c>
      <c r="F896" s="2" t="s">
        <v>7215</v>
      </c>
      <c r="G896" s="2">
        <v>255</v>
      </c>
    </row>
    <row r="897" spans="1:7" ht="15.75" customHeight="1">
      <c r="A897" s="2" t="s">
        <v>7174</v>
      </c>
      <c r="B897" s="2" t="s">
        <v>7184</v>
      </c>
      <c r="C897" s="2" t="s">
        <v>8062</v>
      </c>
      <c r="D897" s="2" t="s">
        <v>8063</v>
      </c>
      <c r="E897" s="2" t="s">
        <v>7215</v>
      </c>
      <c r="F897" s="2" t="s">
        <v>7215</v>
      </c>
      <c r="G897" s="2">
        <v>131072</v>
      </c>
    </row>
    <row r="898" spans="1:7" ht="15.75" customHeight="1">
      <c r="A898" s="2" t="s">
        <v>7174</v>
      </c>
      <c r="B898" s="2" t="s">
        <v>7184</v>
      </c>
      <c r="C898" s="2" t="s">
        <v>8064</v>
      </c>
      <c r="D898" s="2" t="s">
        <v>7270</v>
      </c>
      <c r="E898" s="2" t="s">
        <v>7215</v>
      </c>
      <c r="F898" s="2" t="s">
        <v>7215</v>
      </c>
      <c r="G898" s="2">
        <v>32768</v>
      </c>
    </row>
    <row r="899" spans="1:7" ht="15.75" customHeight="1">
      <c r="A899" s="2" t="s">
        <v>7174</v>
      </c>
      <c r="B899" s="2" t="s">
        <v>7184</v>
      </c>
      <c r="C899" s="2" t="s">
        <v>8065</v>
      </c>
      <c r="D899" s="2" t="s">
        <v>7270</v>
      </c>
      <c r="E899" s="2" t="s">
        <v>7215</v>
      </c>
      <c r="F899" s="2" t="s">
        <v>7215</v>
      </c>
      <c r="G899" s="2">
        <v>32768</v>
      </c>
    </row>
    <row r="900" spans="1:7" ht="15.75" customHeight="1">
      <c r="A900" s="2" t="s">
        <v>7174</v>
      </c>
      <c r="B900" s="2" t="s">
        <v>7184</v>
      </c>
      <c r="C900" s="2" t="s">
        <v>8066</v>
      </c>
      <c r="D900" s="2" t="s">
        <v>7270</v>
      </c>
      <c r="E900" s="2" t="s">
        <v>7215</v>
      </c>
      <c r="F900" s="2" t="s">
        <v>7215</v>
      </c>
      <c r="G900" s="2">
        <v>32768</v>
      </c>
    </row>
    <row r="901" spans="1:7" ht="15.75" customHeight="1">
      <c r="A901" s="2" t="s">
        <v>7174</v>
      </c>
      <c r="B901" s="2" t="s">
        <v>7184</v>
      </c>
      <c r="C901" s="2" t="s">
        <v>8067</v>
      </c>
      <c r="D901" s="2" t="s">
        <v>7216</v>
      </c>
      <c r="E901" s="2" t="s">
        <v>7215</v>
      </c>
      <c r="F901" s="2" t="s">
        <v>7215</v>
      </c>
      <c r="G901" s="2">
        <v>255</v>
      </c>
    </row>
    <row r="902" spans="1:7" ht="15.75" customHeight="1">
      <c r="A902" s="2" t="s">
        <v>7174</v>
      </c>
      <c r="B902" s="2" t="s">
        <v>7184</v>
      </c>
      <c r="C902" s="2" t="s">
        <v>8068</v>
      </c>
      <c r="D902" s="2" t="s">
        <v>8069</v>
      </c>
      <c r="E902" s="2" t="s">
        <v>7215</v>
      </c>
      <c r="F902" s="2" t="s">
        <v>7215</v>
      </c>
      <c r="G902" s="2">
        <v>100000</v>
      </c>
    </row>
    <row r="903" spans="1:7" ht="15.75" customHeight="1">
      <c r="A903" s="2" t="s">
        <v>7174</v>
      </c>
      <c r="B903" s="2" t="s">
        <v>7184</v>
      </c>
      <c r="C903" s="2" t="s">
        <v>8070</v>
      </c>
      <c r="D903" s="2" t="s">
        <v>7284</v>
      </c>
      <c r="E903" s="2" t="s">
        <v>7215</v>
      </c>
      <c r="F903" s="2" t="s">
        <v>7215</v>
      </c>
      <c r="G903" s="2">
        <v>1300</v>
      </c>
    </row>
    <row r="904" spans="1:7" ht="15.75" customHeight="1">
      <c r="A904" s="2" t="s">
        <v>7174</v>
      </c>
      <c r="B904" s="2" t="s">
        <v>7184</v>
      </c>
      <c r="C904" s="2" t="s">
        <v>8071</v>
      </c>
      <c r="D904" s="2" t="s">
        <v>7450</v>
      </c>
      <c r="E904" s="2" t="s">
        <v>7215</v>
      </c>
      <c r="F904" s="2" t="s">
        <v>7215</v>
      </c>
      <c r="G904" s="2">
        <v>200</v>
      </c>
    </row>
    <row r="905" spans="1:7" ht="15.75" customHeight="1">
      <c r="A905" s="2" t="s">
        <v>7174</v>
      </c>
      <c r="B905" s="2" t="s">
        <v>7184</v>
      </c>
      <c r="C905" s="2" t="s">
        <v>8072</v>
      </c>
      <c r="D905" s="2" t="s">
        <v>7284</v>
      </c>
      <c r="E905" s="2" t="s">
        <v>7215</v>
      </c>
      <c r="F905" s="2" t="s">
        <v>7215</v>
      </c>
      <c r="G905" s="2">
        <v>1300</v>
      </c>
    </row>
    <row r="906" spans="1:7" ht="15.75" customHeight="1">
      <c r="A906" s="2" t="s">
        <v>7174</v>
      </c>
      <c r="B906" s="2" t="s">
        <v>7184</v>
      </c>
      <c r="C906" s="2" t="s">
        <v>8073</v>
      </c>
      <c r="D906" s="2" t="s">
        <v>7450</v>
      </c>
      <c r="E906" s="2" t="s">
        <v>7215</v>
      </c>
      <c r="F906" s="2" t="s">
        <v>7215</v>
      </c>
      <c r="G906" s="2">
        <v>200</v>
      </c>
    </row>
    <row r="907" spans="1:7" ht="15.75" customHeight="1">
      <c r="A907" s="2" t="s">
        <v>7174</v>
      </c>
      <c r="B907" s="2" t="s">
        <v>7184</v>
      </c>
      <c r="C907" s="2" t="s">
        <v>8074</v>
      </c>
      <c r="D907" s="2" t="s">
        <v>8069</v>
      </c>
      <c r="E907" s="2" t="s">
        <v>7215</v>
      </c>
      <c r="F907" s="2" t="s">
        <v>7215</v>
      </c>
      <c r="G907" s="2">
        <v>100000</v>
      </c>
    </row>
    <row r="908" spans="1:7" ht="15.75" customHeight="1">
      <c r="A908" s="2" t="s">
        <v>7174</v>
      </c>
      <c r="B908" s="2" t="s">
        <v>7184</v>
      </c>
      <c r="C908" s="2" t="s">
        <v>8075</v>
      </c>
      <c r="D908" s="2" t="s">
        <v>8069</v>
      </c>
      <c r="E908" s="2" t="s">
        <v>7215</v>
      </c>
      <c r="F908" s="2" t="s">
        <v>7215</v>
      </c>
      <c r="G908" s="2">
        <v>100000</v>
      </c>
    </row>
    <row r="909" spans="1:7" ht="15.75" customHeight="1">
      <c r="A909" s="2" t="s">
        <v>7174</v>
      </c>
      <c r="B909" s="2" t="s">
        <v>7184</v>
      </c>
      <c r="C909" s="2" t="s">
        <v>8076</v>
      </c>
      <c r="D909" s="2" t="s">
        <v>8077</v>
      </c>
      <c r="E909" s="2" t="s">
        <v>7215</v>
      </c>
      <c r="F909" s="2" t="s">
        <v>7215</v>
      </c>
      <c r="G909" s="2">
        <v>120000</v>
      </c>
    </row>
    <row r="910" spans="1:7" ht="15.75" customHeight="1">
      <c r="A910" s="2" t="s">
        <v>7174</v>
      </c>
      <c r="B910" s="2" t="s">
        <v>7184</v>
      </c>
      <c r="C910" s="2" t="s">
        <v>8078</v>
      </c>
      <c r="D910" s="2" t="s">
        <v>7216</v>
      </c>
      <c r="E910" s="2" t="s">
        <v>7215</v>
      </c>
      <c r="F910" s="2" t="s">
        <v>7215</v>
      </c>
      <c r="G910" s="2">
        <v>255</v>
      </c>
    </row>
    <row r="911" spans="1:7" ht="15.75" customHeight="1">
      <c r="A911" s="2" t="s">
        <v>7174</v>
      </c>
      <c r="B911" s="2" t="s">
        <v>7184</v>
      </c>
      <c r="C911" s="2" t="s">
        <v>8079</v>
      </c>
      <c r="D911" s="2" t="s">
        <v>7282</v>
      </c>
      <c r="E911" s="2" t="s">
        <v>7215</v>
      </c>
      <c r="F911" s="2" t="s">
        <v>7215</v>
      </c>
      <c r="G911" s="2">
        <v>100</v>
      </c>
    </row>
    <row r="912" spans="1:7" ht="15.75" customHeight="1">
      <c r="A912" s="2" t="s">
        <v>7174</v>
      </c>
      <c r="B912" s="2" t="s">
        <v>7184</v>
      </c>
      <c r="C912" s="2" t="s">
        <v>8080</v>
      </c>
      <c r="D912" s="2" t="s">
        <v>7282</v>
      </c>
      <c r="E912" s="2" t="s">
        <v>7215</v>
      </c>
      <c r="F912" s="2" t="s">
        <v>7215</v>
      </c>
      <c r="G912" s="2">
        <v>100</v>
      </c>
    </row>
    <row r="913" spans="1:7" ht="15.75" customHeight="1">
      <c r="A913" s="2" t="s">
        <v>7174</v>
      </c>
      <c r="B913" s="2" t="s">
        <v>7184</v>
      </c>
      <c r="C913" s="2" t="s">
        <v>8081</v>
      </c>
      <c r="D913" s="2" t="s">
        <v>7282</v>
      </c>
      <c r="E913" s="2" t="s">
        <v>7215</v>
      </c>
      <c r="F913" s="2" t="s">
        <v>7215</v>
      </c>
      <c r="G913" s="2">
        <v>100</v>
      </c>
    </row>
    <row r="914" spans="1:7" ht="15.75" customHeight="1">
      <c r="A914" s="2" t="s">
        <v>7174</v>
      </c>
      <c r="B914" s="2" t="s">
        <v>7184</v>
      </c>
      <c r="C914" s="2" t="s">
        <v>8082</v>
      </c>
      <c r="D914" s="2" t="s">
        <v>7264</v>
      </c>
      <c r="E914" s="2" t="s">
        <v>7215</v>
      </c>
      <c r="F914" s="2" t="s">
        <v>7215</v>
      </c>
      <c r="G914" s="2">
        <v>20</v>
      </c>
    </row>
    <row r="915" spans="1:7" ht="15.75" customHeight="1">
      <c r="A915" s="2" t="s">
        <v>7174</v>
      </c>
      <c r="B915" s="2" t="s">
        <v>7184</v>
      </c>
      <c r="C915" s="2" t="s">
        <v>8083</v>
      </c>
      <c r="D915" s="2" t="s">
        <v>7259</v>
      </c>
      <c r="E915" s="2" t="s">
        <v>7215</v>
      </c>
      <c r="F915" s="2" t="s">
        <v>7215</v>
      </c>
      <c r="G915" s="2">
        <v>255</v>
      </c>
    </row>
    <row r="916" spans="1:7" ht="15.75" customHeight="1">
      <c r="A916" s="2" t="s">
        <v>7174</v>
      </c>
      <c r="B916" s="2" t="s">
        <v>7184</v>
      </c>
      <c r="C916" s="2" t="s">
        <v>8084</v>
      </c>
      <c r="D916" s="2" t="s">
        <v>8024</v>
      </c>
      <c r="E916" s="2" t="s">
        <v>7278</v>
      </c>
      <c r="F916" s="2" t="s">
        <v>7278</v>
      </c>
      <c r="G916" s="2">
        <v>0</v>
      </c>
    </row>
    <row r="917" spans="1:7" ht="15.75" customHeight="1">
      <c r="A917" s="2" t="s">
        <v>7174</v>
      </c>
      <c r="B917" s="2" t="s">
        <v>7184</v>
      </c>
      <c r="C917" s="2" t="s">
        <v>8085</v>
      </c>
      <c r="D917" s="2" t="s">
        <v>7270</v>
      </c>
      <c r="E917" s="2" t="s">
        <v>7215</v>
      </c>
      <c r="F917" s="2" t="s">
        <v>7215</v>
      </c>
      <c r="G917" s="2">
        <v>32768</v>
      </c>
    </row>
    <row r="918" spans="1:7" ht="15.75" customHeight="1">
      <c r="A918" s="2" t="s">
        <v>7174</v>
      </c>
      <c r="B918" s="2" t="s">
        <v>7184</v>
      </c>
      <c r="C918" s="2" t="s">
        <v>8086</v>
      </c>
      <c r="D918" s="2" t="s">
        <v>7259</v>
      </c>
      <c r="E918" s="2" t="s">
        <v>7215</v>
      </c>
      <c r="F918" s="2" t="s">
        <v>7215</v>
      </c>
      <c r="G918" s="2">
        <v>255</v>
      </c>
    </row>
    <row r="919" spans="1:7" ht="15.75" customHeight="1">
      <c r="A919" s="2" t="s">
        <v>7174</v>
      </c>
      <c r="B919" s="2" t="s">
        <v>7184</v>
      </c>
      <c r="C919" s="2" t="s">
        <v>8087</v>
      </c>
      <c r="D919" s="2" t="s">
        <v>7282</v>
      </c>
      <c r="E919" s="2" t="s">
        <v>7215</v>
      </c>
      <c r="F919" s="2" t="s">
        <v>7215</v>
      </c>
      <c r="G919" s="2">
        <v>100</v>
      </c>
    </row>
    <row r="920" spans="1:7" ht="15.75" customHeight="1">
      <c r="A920" s="2" t="s">
        <v>7174</v>
      </c>
      <c r="B920" s="2" t="s">
        <v>7184</v>
      </c>
      <c r="C920" s="2" t="s">
        <v>8088</v>
      </c>
      <c r="D920" s="2" t="s">
        <v>7259</v>
      </c>
      <c r="E920" s="2" t="s">
        <v>7215</v>
      </c>
      <c r="F920" s="2" t="s">
        <v>7215</v>
      </c>
      <c r="G920" s="2">
        <v>255</v>
      </c>
    </row>
    <row r="921" spans="1:7" ht="15.75" customHeight="1">
      <c r="A921" s="2" t="s">
        <v>7174</v>
      </c>
      <c r="B921" s="2" t="s">
        <v>7184</v>
      </c>
      <c r="C921" s="2" t="s">
        <v>8089</v>
      </c>
      <c r="D921" s="2" t="s">
        <v>7212</v>
      </c>
      <c r="E921" s="2" t="s">
        <v>5672</v>
      </c>
      <c r="F921" s="2" t="s">
        <v>5672</v>
      </c>
      <c r="G921" s="2">
        <v>0</v>
      </c>
    </row>
    <row r="922" spans="1:7" ht="15.75" customHeight="1">
      <c r="A922" s="2" t="s">
        <v>7174</v>
      </c>
      <c r="B922" s="2" t="s">
        <v>7184</v>
      </c>
      <c r="C922" s="2" t="s">
        <v>8090</v>
      </c>
      <c r="D922" s="2" t="s">
        <v>7259</v>
      </c>
      <c r="E922" s="2" t="s">
        <v>7215</v>
      </c>
      <c r="F922" s="2" t="s">
        <v>7215</v>
      </c>
      <c r="G922" s="2">
        <v>255</v>
      </c>
    </row>
    <row r="923" spans="1:7" ht="15.75" customHeight="1">
      <c r="A923" s="2" t="s">
        <v>7174</v>
      </c>
      <c r="B923" s="2" t="s">
        <v>7184</v>
      </c>
      <c r="C923" s="2" t="s">
        <v>8091</v>
      </c>
      <c r="D923" s="2" t="s">
        <v>7212</v>
      </c>
      <c r="E923" s="2" t="s">
        <v>5672</v>
      </c>
      <c r="F923" s="2" t="s">
        <v>5672</v>
      </c>
      <c r="G923" s="2">
        <v>0</v>
      </c>
    </row>
    <row r="924" spans="1:7" ht="15.75" customHeight="1">
      <c r="A924" s="2" t="s">
        <v>7174</v>
      </c>
      <c r="B924" s="2" t="s">
        <v>7184</v>
      </c>
      <c r="C924" s="2" t="s">
        <v>8092</v>
      </c>
      <c r="D924" s="2" t="s">
        <v>7212</v>
      </c>
      <c r="E924" s="2" t="s">
        <v>5672</v>
      </c>
      <c r="F924" s="2" t="s">
        <v>5672</v>
      </c>
      <c r="G924" s="2">
        <v>0</v>
      </c>
    </row>
    <row r="925" spans="1:7" ht="15.75" customHeight="1">
      <c r="A925" s="2" t="s">
        <v>7174</v>
      </c>
      <c r="B925" s="2" t="s">
        <v>7184</v>
      </c>
      <c r="C925" s="2" t="s">
        <v>8093</v>
      </c>
      <c r="D925" s="2" t="s">
        <v>7212</v>
      </c>
      <c r="E925" s="2" t="s">
        <v>5672</v>
      </c>
      <c r="F925" s="2" t="s">
        <v>5672</v>
      </c>
      <c r="G925" s="2">
        <v>0</v>
      </c>
    </row>
    <row r="926" spans="1:7" ht="15.75" customHeight="1">
      <c r="A926" s="2" t="s">
        <v>7174</v>
      </c>
      <c r="B926" s="2" t="s">
        <v>7184</v>
      </c>
      <c r="C926" s="2" t="s">
        <v>8094</v>
      </c>
      <c r="D926" s="2" t="s">
        <v>7212</v>
      </c>
      <c r="E926" s="2" t="s">
        <v>5672</v>
      </c>
      <c r="F926" s="2" t="s">
        <v>5672</v>
      </c>
      <c r="G926" s="2">
        <v>0</v>
      </c>
    </row>
    <row r="927" spans="1:7" ht="15.75" customHeight="1">
      <c r="A927" s="2" t="s">
        <v>7174</v>
      </c>
      <c r="B927" s="2" t="s">
        <v>7184</v>
      </c>
      <c r="C927" s="2" t="s">
        <v>8095</v>
      </c>
      <c r="D927" s="2" t="s">
        <v>7235</v>
      </c>
      <c r="E927" s="2" t="s">
        <v>538</v>
      </c>
      <c r="F927" s="2" t="s">
        <v>538</v>
      </c>
      <c r="G927" s="2">
        <v>0</v>
      </c>
    </row>
    <row r="928" spans="1:7" ht="15.75" customHeight="1">
      <c r="A928" s="2" t="s">
        <v>7174</v>
      </c>
      <c r="B928" s="2" t="s">
        <v>7184</v>
      </c>
      <c r="C928" s="2" t="s">
        <v>8096</v>
      </c>
      <c r="D928" s="2" t="s">
        <v>7235</v>
      </c>
      <c r="E928" s="2" t="s">
        <v>538</v>
      </c>
      <c r="F928" s="2" t="s">
        <v>538</v>
      </c>
      <c r="G928" s="2">
        <v>0</v>
      </c>
    </row>
    <row r="929" spans="1:7" ht="15.75" customHeight="1">
      <c r="A929" s="2" t="s">
        <v>7174</v>
      </c>
      <c r="B929" s="2" t="s">
        <v>7184</v>
      </c>
      <c r="C929" s="2" t="s">
        <v>8097</v>
      </c>
      <c r="D929" s="2" t="s">
        <v>7235</v>
      </c>
      <c r="E929" s="2" t="s">
        <v>538</v>
      </c>
      <c r="F929" s="2" t="s">
        <v>538</v>
      </c>
      <c r="G929" s="2">
        <v>0</v>
      </c>
    </row>
    <row r="930" spans="1:7" ht="15.75" customHeight="1">
      <c r="A930" s="2" t="s">
        <v>7174</v>
      </c>
      <c r="B930" s="2" t="s">
        <v>7184</v>
      </c>
      <c r="C930" s="2" t="s">
        <v>8098</v>
      </c>
      <c r="D930" s="2" t="s">
        <v>7235</v>
      </c>
      <c r="E930" s="2" t="s">
        <v>538</v>
      </c>
      <c r="F930" s="2" t="s">
        <v>538</v>
      </c>
      <c r="G930" s="2">
        <v>0</v>
      </c>
    </row>
    <row r="931" spans="1:7" ht="15.75" customHeight="1">
      <c r="A931" s="2" t="s">
        <v>7174</v>
      </c>
      <c r="B931" s="2" t="s">
        <v>7184</v>
      </c>
      <c r="C931" s="2" t="s">
        <v>8099</v>
      </c>
      <c r="D931" s="2" t="s">
        <v>7235</v>
      </c>
      <c r="E931" s="2" t="s">
        <v>538</v>
      </c>
      <c r="F931" s="2" t="s">
        <v>538</v>
      </c>
      <c r="G931" s="2">
        <v>0</v>
      </c>
    </row>
    <row r="932" spans="1:7" ht="15.75" customHeight="1">
      <c r="A932" s="2" t="s">
        <v>7174</v>
      </c>
      <c r="B932" s="2" t="s">
        <v>7184</v>
      </c>
      <c r="C932" s="2" t="s">
        <v>8100</v>
      </c>
      <c r="D932" s="2" t="s">
        <v>7687</v>
      </c>
      <c r="E932" s="2" t="s">
        <v>7278</v>
      </c>
      <c r="F932" s="2" t="s">
        <v>7278</v>
      </c>
      <c r="G932" s="2">
        <v>0</v>
      </c>
    </row>
    <row r="933" spans="1:7" ht="15.75" customHeight="1">
      <c r="A933" s="2" t="s">
        <v>7174</v>
      </c>
      <c r="B933" s="2" t="s">
        <v>7184</v>
      </c>
      <c r="C933" s="2" t="s">
        <v>8101</v>
      </c>
      <c r="D933" s="2" t="s">
        <v>7354</v>
      </c>
      <c r="E933" s="2" t="s">
        <v>7215</v>
      </c>
      <c r="F933" s="2" t="s">
        <v>7215</v>
      </c>
      <c r="G933" s="2">
        <v>50</v>
      </c>
    </row>
    <row r="934" spans="1:7" ht="15.75" customHeight="1">
      <c r="A934" s="2" t="s">
        <v>7174</v>
      </c>
      <c r="B934" s="2" t="s">
        <v>7184</v>
      </c>
      <c r="C934" s="2" t="s">
        <v>8102</v>
      </c>
      <c r="D934" s="2" t="s">
        <v>7216</v>
      </c>
      <c r="E934" s="2" t="s">
        <v>7215</v>
      </c>
      <c r="F934" s="2" t="s">
        <v>7215</v>
      </c>
      <c r="G934" s="2">
        <v>255</v>
      </c>
    </row>
    <row r="935" spans="1:7" ht="15.75" customHeight="1">
      <c r="A935" s="2" t="s">
        <v>7174</v>
      </c>
      <c r="B935" s="2" t="s">
        <v>7184</v>
      </c>
      <c r="C935" s="2" t="s">
        <v>8103</v>
      </c>
      <c r="D935" s="2" t="s">
        <v>7216</v>
      </c>
      <c r="E935" s="2" t="s">
        <v>7215</v>
      </c>
      <c r="F935" s="2" t="s">
        <v>7215</v>
      </c>
      <c r="G935" s="2">
        <v>255</v>
      </c>
    </row>
    <row r="936" spans="1:7" ht="15.75" customHeight="1">
      <c r="A936" s="2" t="s">
        <v>7174</v>
      </c>
      <c r="B936" s="2" t="s">
        <v>7184</v>
      </c>
      <c r="C936" s="2" t="s">
        <v>8104</v>
      </c>
      <c r="D936" s="2" t="s">
        <v>7310</v>
      </c>
      <c r="E936" s="2" t="s">
        <v>7215</v>
      </c>
      <c r="F936" s="2" t="s">
        <v>7215</v>
      </c>
      <c r="G936" s="2">
        <v>18</v>
      </c>
    </row>
    <row r="937" spans="1:7" ht="15.75" customHeight="1">
      <c r="A937" s="2" t="s">
        <v>7174</v>
      </c>
      <c r="B937" s="2" t="s">
        <v>7184</v>
      </c>
      <c r="C937" s="2" t="s">
        <v>8105</v>
      </c>
      <c r="D937" s="2" t="s">
        <v>7264</v>
      </c>
      <c r="E937" s="2" t="s">
        <v>7215</v>
      </c>
      <c r="F937" s="2" t="s">
        <v>7215</v>
      </c>
      <c r="G937" s="2">
        <v>20</v>
      </c>
    </row>
    <row r="938" spans="1:7" ht="15.75" customHeight="1">
      <c r="A938" s="2" t="s">
        <v>7174</v>
      </c>
      <c r="B938" s="2" t="s">
        <v>7184</v>
      </c>
      <c r="C938" s="2" t="s">
        <v>8106</v>
      </c>
      <c r="D938" s="2" t="s">
        <v>7350</v>
      </c>
      <c r="E938" s="2" t="s">
        <v>7215</v>
      </c>
      <c r="F938" s="2" t="s">
        <v>7215</v>
      </c>
      <c r="G938" s="2">
        <v>2</v>
      </c>
    </row>
    <row r="939" spans="1:7" ht="15.75" customHeight="1">
      <c r="A939" s="2" t="s">
        <v>7174</v>
      </c>
      <c r="B939" s="2" t="s">
        <v>7184</v>
      </c>
      <c r="C939" s="2" t="s">
        <v>8107</v>
      </c>
      <c r="D939" s="2" t="s">
        <v>7270</v>
      </c>
      <c r="E939" s="2" t="s">
        <v>7215</v>
      </c>
      <c r="F939" s="2" t="s">
        <v>7215</v>
      </c>
      <c r="G939" s="2">
        <v>32768</v>
      </c>
    </row>
    <row r="940" spans="1:7" ht="15.75" customHeight="1">
      <c r="A940" s="2" t="s">
        <v>7174</v>
      </c>
      <c r="B940" s="2" t="s">
        <v>7184</v>
      </c>
      <c r="C940" s="2" t="s">
        <v>8108</v>
      </c>
      <c r="D940" s="2" t="s">
        <v>7270</v>
      </c>
      <c r="E940" s="2" t="s">
        <v>7215</v>
      </c>
      <c r="F940" s="2" t="s">
        <v>7215</v>
      </c>
      <c r="G940" s="2">
        <v>32768</v>
      </c>
    </row>
    <row r="941" spans="1:7" ht="15.75" customHeight="1">
      <c r="A941" s="2" t="s">
        <v>7174</v>
      </c>
      <c r="B941" s="2" t="s">
        <v>7184</v>
      </c>
      <c r="C941" s="2" t="s">
        <v>8109</v>
      </c>
      <c r="D941" s="2" t="s">
        <v>7270</v>
      </c>
      <c r="E941" s="2" t="s">
        <v>7215</v>
      </c>
      <c r="F941" s="2" t="s">
        <v>7215</v>
      </c>
      <c r="G941" s="2">
        <v>32768</v>
      </c>
    </row>
    <row r="942" spans="1:7" ht="15.75" customHeight="1">
      <c r="A942" s="2" t="s">
        <v>7174</v>
      </c>
      <c r="B942" s="2" t="s">
        <v>7184</v>
      </c>
      <c r="C942" s="2" t="s">
        <v>8110</v>
      </c>
      <c r="D942" s="2" t="s">
        <v>7284</v>
      </c>
      <c r="E942" s="2" t="s">
        <v>7215</v>
      </c>
      <c r="F942" s="2" t="s">
        <v>7215</v>
      </c>
      <c r="G942" s="2">
        <v>1300</v>
      </c>
    </row>
    <row r="943" spans="1:7" ht="15.75" customHeight="1">
      <c r="A943" s="2" t="s">
        <v>7174</v>
      </c>
      <c r="B943" s="2" t="s">
        <v>7184</v>
      </c>
      <c r="C943" s="2" t="s">
        <v>8111</v>
      </c>
      <c r="D943" s="2" t="s">
        <v>7216</v>
      </c>
      <c r="E943" s="2" t="s">
        <v>7215</v>
      </c>
      <c r="F943" s="2" t="s">
        <v>7215</v>
      </c>
      <c r="G943" s="2">
        <v>255</v>
      </c>
    </row>
    <row r="944" spans="1:7" ht="15.75" customHeight="1">
      <c r="A944" s="2" t="s">
        <v>7174</v>
      </c>
      <c r="B944" s="2" t="s">
        <v>7184</v>
      </c>
      <c r="C944" s="2" t="s">
        <v>8112</v>
      </c>
      <c r="D944" s="2" t="s">
        <v>7259</v>
      </c>
      <c r="E944" s="2" t="s">
        <v>7215</v>
      </c>
      <c r="F944" s="2" t="s">
        <v>7215</v>
      </c>
      <c r="G944" s="2">
        <v>255</v>
      </c>
    </row>
    <row r="945" spans="1:7" ht="15.75" customHeight="1">
      <c r="A945" s="2" t="s">
        <v>7174</v>
      </c>
      <c r="B945" s="2" t="s">
        <v>7184</v>
      </c>
      <c r="C945" s="2" t="s">
        <v>8113</v>
      </c>
      <c r="D945" s="2" t="s">
        <v>7354</v>
      </c>
      <c r="E945" s="2" t="s">
        <v>7215</v>
      </c>
      <c r="F945" s="2" t="s">
        <v>7215</v>
      </c>
      <c r="G945" s="2">
        <v>50</v>
      </c>
    </row>
    <row r="946" spans="1:7" ht="15.75" customHeight="1">
      <c r="A946" s="2" t="s">
        <v>7174</v>
      </c>
      <c r="B946" s="2" t="s">
        <v>7184</v>
      </c>
      <c r="C946" s="2" t="s">
        <v>8114</v>
      </c>
      <c r="D946" s="2" t="s">
        <v>7354</v>
      </c>
      <c r="E946" s="2" t="s">
        <v>7215</v>
      </c>
      <c r="F946" s="2" t="s">
        <v>7215</v>
      </c>
      <c r="G946" s="2">
        <v>50</v>
      </c>
    </row>
    <row r="947" spans="1:7" ht="15.75" customHeight="1">
      <c r="A947" s="2" t="s">
        <v>7174</v>
      </c>
      <c r="B947" s="2" t="s">
        <v>7184</v>
      </c>
      <c r="C947" s="2" t="s">
        <v>8115</v>
      </c>
      <c r="D947" s="2" t="s">
        <v>7354</v>
      </c>
      <c r="E947" s="2" t="s">
        <v>7215</v>
      </c>
      <c r="F947" s="2" t="s">
        <v>7215</v>
      </c>
      <c r="G947" s="2">
        <v>50</v>
      </c>
    </row>
    <row r="948" spans="1:7" ht="15.75" customHeight="1">
      <c r="A948" s="2" t="s">
        <v>7174</v>
      </c>
      <c r="B948" s="2" t="s">
        <v>7184</v>
      </c>
      <c r="C948" s="2" t="s">
        <v>8116</v>
      </c>
      <c r="D948" s="2" t="s">
        <v>7838</v>
      </c>
      <c r="E948" s="2" t="s">
        <v>7215</v>
      </c>
      <c r="F948" s="2" t="s">
        <v>7215</v>
      </c>
      <c r="G948" s="2">
        <v>12</v>
      </c>
    </row>
    <row r="949" spans="1:7" ht="15.75" customHeight="1">
      <c r="A949" s="2" t="s">
        <v>7174</v>
      </c>
      <c r="B949" s="2" t="s">
        <v>7184</v>
      </c>
      <c r="C949" s="2" t="s">
        <v>7614</v>
      </c>
      <c r="D949" s="2" t="s">
        <v>7216</v>
      </c>
      <c r="E949" s="2" t="s">
        <v>7215</v>
      </c>
      <c r="F949" s="2" t="s">
        <v>7215</v>
      </c>
      <c r="G949" s="2">
        <v>255</v>
      </c>
    </row>
    <row r="950" spans="1:7" ht="15.75" customHeight="1">
      <c r="A950" s="2" t="s">
        <v>7174</v>
      </c>
      <c r="B950" s="2" t="s">
        <v>7184</v>
      </c>
      <c r="C950" s="2" t="s">
        <v>8117</v>
      </c>
      <c r="D950" s="2" t="s">
        <v>7216</v>
      </c>
      <c r="E950" s="2" t="s">
        <v>7215</v>
      </c>
      <c r="F950" s="2" t="s">
        <v>7215</v>
      </c>
      <c r="G950" s="2">
        <v>255</v>
      </c>
    </row>
    <row r="951" spans="1:7" ht="15.75" customHeight="1">
      <c r="A951" s="2" t="s">
        <v>7174</v>
      </c>
      <c r="B951" s="2" t="s">
        <v>7184</v>
      </c>
      <c r="C951" s="2" t="s">
        <v>8118</v>
      </c>
      <c r="D951" s="2" t="s">
        <v>7559</v>
      </c>
      <c r="E951" s="2" t="s">
        <v>7215</v>
      </c>
      <c r="F951" s="2" t="s">
        <v>7215</v>
      </c>
      <c r="G951" s="2">
        <v>30</v>
      </c>
    </row>
    <row r="952" spans="1:7" ht="15.75" customHeight="1">
      <c r="A952" s="2" t="s">
        <v>7174</v>
      </c>
      <c r="B952" s="2" t="s">
        <v>7184</v>
      </c>
      <c r="C952" s="2" t="s">
        <v>8119</v>
      </c>
      <c r="D952" s="2" t="s">
        <v>6212</v>
      </c>
      <c r="E952" s="2" t="s">
        <v>1974</v>
      </c>
      <c r="F952" s="2" t="s">
        <v>1974</v>
      </c>
      <c r="G952" s="2">
        <v>0</v>
      </c>
    </row>
    <row r="953" spans="1:7" ht="15.75" customHeight="1">
      <c r="A953" s="2" t="s">
        <v>7174</v>
      </c>
      <c r="B953" s="2" t="s">
        <v>7184</v>
      </c>
      <c r="C953" s="2" t="s">
        <v>8120</v>
      </c>
      <c r="D953" s="2" t="s">
        <v>7235</v>
      </c>
      <c r="E953" s="2" t="s">
        <v>538</v>
      </c>
      <c r="F953" s="2" t="s">
        <v>538</v>
      </c>
      <c r="G953" s="2">
        <v>0</v>
      </c>
    </row>
    <row r="954" spans="1:7" ht="15.75" customHeight="1">
      <c r="A954" s="2" t="s">
        <v>7174</v>
      </c>
      <c r="B954" s="2" t="s">
        <v>7184</v>
      </c>
      <c r="C954" s="2" t="s">
        <v>8121</v>
      </c>
      <c r="D954" s="2" t="s">
        <v>7235</v>
      </c>
      <c r="E954" s="2" t="s">
        <v>538</v>
      </c>
      <c r="F954" s="2" t="s">
        <v>538</v>
      </c>
      <c r="G954" s="2">
        <v>0</v>
      </c>
    </row>
    <row r="955" spans="1:7" ht="15.75" customHeight="1">
      <c r="A955" s="2" t="s">
        <v>7174</v>
      </c>
      <c r="B955" s="2" t="s">
        <v>7184</v>
      </c>
      <c r="C955" s="2" t="s">
        <v>8122</v>
      </c>
      <c r="D955" s="2" t="s">
        <v>7235</v>
      </c>
      <c r="E955" s="2" t="s">
        <v>538</v>
      </c>
      <c r="F955" s="2" t="s">
        <v>538</v>
      </c>
      <c r="G955" s="2">
        <v>0</v>
      </c>
    </row>
    <row r="956" spans="1:7" ht="15.75" customHeight="1">
      <c r="A956" s="2" t="s">
        <v>7174</v>
      </c>
      <c r="B956" s="2" t="s">
        <v>7184</v>
      </c>
      <c r="C956" s="2" t="s">
        <v>8123</v>
      </c>
      <c r="D956" s="2" t="s">
        <v>7235</v>
      </c>
      <c r="E956" s="2" t="s">
        <v>538</v>
      </c>
      <c r="F956" s="2" t="s">
        <v>538</v>
      </c>
      <c r="G956" s="2">
        <v>0</v>
      </c>
    </row>
    <row r="957" spans="1:7" ht="15.75" customHeight="1">
      <c r="A957" s="2" t="s">
        <v>7174</v>
      </c>
      <c r="B957" s="2" t="s">
        <v>7184</v>
      </c>
      <c r="C957" s="2" t="s">
        <v>8124</v>
      </c>
      <c r="D957" s="2" t="s">
        <v>7235</v>
      </c>
      <c r="E957" s="2" t="s">
        <v>538</v>
      </c>
      <c r="F957" s="2" t="s">
        <v>538</v>
      </c>
      <c r="G957" s="2">
        <v>0</v>
      </c>
    </row>
    <row r="958" spans="1:7" ht="15.75" customHeight="1">
      <c r="A958" s="2" t="s">
        <v>7174</v>
      </c>
      <c r="B958" s="2" t="s">
        <v>7184</v>
      </c>
      <c r="C958" s="2" t="s">
        <v>8125</v>
      </c>
      <c r="D958" s="2" t="s">
        <v>6212</v>
      </c>
      <c r="E958" s="2" t="s">
        <v>1974</v>
      </c>
      <c r="F958" s="2" t="s">
        <v>1974</v>
      </c>
      <c r="G958" s="2">
        <v>0</v>
      </c>
    </row>
    <row r="959" spans="1:7" ht="15.75" customHeight="1">
      <c r="A959" s="2" t="s">
        <v>7174</v>
      </c>
      <c r="B959" s="2" t="s">
        <v>7184</v>
      </c>
      <c r="C959" s="2" t="s">
        <v>8126</v>
      </c>
      <c r="D959" s="2" t="s">
        <v>7354</v>
      </c>
      <c r="E959" s="2" t="s">
        <v>7215</v>
      </c>
      <c r="F959" s="2" t="s">
        <v>7215</v>
      </c>
      <c r="G959" s="2">
        <v>50</v>
      </c>
    </row>
    <row r="960" spans="1:7" ht="15.75" customHeight="1">
      <c r="A960" s="2" t="s">
        <v>7174</v>
      </c>
      <c r="B960" s="2" t="s">
        <v>7184</v>
      </c>
      <c r="C960" s="2" t="s">
        <v>8127</v>
      </c>
      <c r="D960" s="2" t="s">
        <v>7216</v>
      </c>
      <c r="E960" s="2" t="s">
        <v>7215</v>
      </c>
      <c r="F960" s="2" t="s">
        <v>7215</v>
      </c>
      <c r="G960" s="2">
        <v>255</v>
      </c>
    </row>
    <row r="961" spans="1:7" ht="15.75" customHeight="1">
      <c r="A961" s="2" t="s">
        <v>7174</v>
      </c>
      <c r="B961" s="2" t="s">
        <v>7184</v>
      </c>
      <c r="C961" s="2" t="s">
        <v>8128</v>
      </c>
      <c r="D961" s="2" t="s">
        <v>7216</v>
      </c>
      <c r="E961" s="2" t="s">
        <v>7215</v>
      </c>
      <c r="F961" s="2" t="s">
        <v>7215</v>
      </c>
      <c r="G961" s="2">
        <v>255</v>
      </c>
    </row>
    <row r="962" spans="1:7" ht="15.75" customHeight="1">
      <c r="A962" s="2" t="s">
        <v>7174</v>
      </c>
      <c r="B962" s="2" t="s">
        <v>7184</v>
      </c>
      <c r="C962" s="2" t="s">
        <v>8129</v>
      </c>
      <c r="D962" s="2" t="s">
        <v>7216</v>
      </c>
      <c r="E962" s="2" t="s">
        <v>7215</v>
      </c>
      <c r="F962" s="2" t="s">
        <v>7215</v>
      </c>
      <c r="G962" s="2">
        <v>255</v>
      </c>
    </row>
    <row r="963" spans="1:7" ht="15.75" customHeight="1">
      <c r="A963" s="2" t="s">
        <v>7174</v>
      </c>
      <c r="B963" s="2" t="s">
        <v>7184</v>
      </c>
      <c r="C963" s="2" t="s">
        <v>8130</v>
      </c>
      <c r="D963" s="2" t="s">
        <v>7259</v>
      </c>
      <c r="E963" s="2" t="s">
        <v>7215</v>
      </c>
      <c r="F963" s="2" t="s">
        <v>7215</v>
      </c>
      <c r="G963" s="2">
        <v>255</v>
      </c>
    </row>
    <row r="964" spans="1:7" ht="15.75" customHeight="1">
      <c r="A964" s="2" t="s">
        <v>7174</v>
      </c>
      <c r="B964" s="2" t="s">
        <v>7184</v>
      </c>
      <c r="C964" s="2" t="s">
        <v>8131</v>
      </c>
      <c r="D964" s="2" t="s">
        <v>7212</v>
      </c>
      <c r="E964" s="2" t="s">
        <v>5672</v>
      </c>
      <c r="F964" s="2" t="s">
        <v>5672</v>
      </c>
      <c r="G964" s="2">
        <v>0</v>
      </c>
    </row>
    <row r="965" spans="1:7" ht="15.75" customHeight="1">
      <c r="A965" s="2" t="s">
        <v>7174</v>
      </c>
      <c r="B965" s="2" t="s">
        <v>7184</v>
      </c>
      <c r="C965" s="2" t="s">
        <v>8132</v>
      </c>
      <c r="D965" s="2" t="s">
        <v>7259</v>
      </c>
      <c r="E965" s="2" t="s">
        <v>7215</v>
      </c>
      <c r="F965" s="2" t="s">
        <v>7215</v>
      </c>
      <c r="G965" s="2">
        <v>255</v>
      </c>
    </row>
    <row r="966" spans="1:7" ht="15.75" customHeight="1">
      <c r="A966" s="2" t="s">
        <v>7174</v>
      </c>
      <c r="B966" s="2" t="s">
        <v>7184</v>
      </c>
      <c r="C966" s="2" t="s">
        <v>8133</v>
      </c>
      <c r="D966" s="2" t="s">
        <v>7460</v>
      </c>
      <c r="E966" s="2" t="s">
        <v>7278</v>
      </c>
      <c r="F966" s="2" t="s">
        <v>7278</v>
      </c>
      <c r="G966" s="2">
        <v>0</v>
      </c>
    </row>
    <row r="967" spans="1:7" ht="15.75" customHeight="1">
      <c r="A967" s="2" t="s">
        <v>7174</v>
      </c>
      <c r="B967" s="2" t="s">
        <v>7184</v>
      </c>
      <c r="C967" s="2" t="s">
        <v>8134</v>
      </c>
      <c r="D967" s="2" t="s">
        <v>7216</v>
      </c>
      <c r="E967" s="2" t="s">
        <v>7215</v>
      </c>
      <c r="F967" s="2" t="s">
        <v>7215</v>
      </c>
      <c r="G967" s="2">
        <v>255</v>
      </c>
    </row>
    <row r="968" spans="1:7" ht="15.75" customHeight="1">
      <c r="A968" s="2" t="s">
        <v>7174</v>
      </c>
      <c r="B968" s="2" t="s">
        <v>7184</v>
      </c>
      <c r="C968" s="2" t="s">
        <v>8135</v>
      </c>
      <c r="D968" s="2" t="s">
        <v>7216</v>
      </c>
      <c r="E968" s="2" t="s">
        <v>7215</v>
      </c>
      <c r="F968" s="2" t="s">
        <v>7215</v>
      </c>
      <c r="G968" s="2">
        <v>255</v>
      </c>
    </row>
    <row r="969" spans="1:7" ht="15.75" customHeight="1">
      <c r="A969" s="2" t="s">
        <v>7174</v>
      </c>
      <c r="B969" s="2" t="s">
        <v>7184</v>
      </c>
      <c r="C969" s="2" t="s">
        <v>8136</v>
      </c>
      <c r="D969" s="2" t="s">
        <v>7216</v>
      </c>
      <c r="E969" s="2" t="s">
        <v>7215</v>
      </c>
      <c r="F969" s="2" t="s">
        <v>7215</v>
      </c>
      <c r="G969" s="2">
        <v>255</v>
      </c>
    </row>
    <row r="970" spans="1:7" ht="15.75" customHeight="1">
      <c r="A970" s="2" t="s">
        <v>7174</v>
      </c>
      <c r="B970" s="2" t="s">
        <v>7184</v>
      </c>
      <c r="C970" s="2" t="s">
        <v>8137</v>
      </c>
      <c r="D970" s="2" t="s">
        <v>7216</v>
      </c>
      <c r="E970" s="2" t="s">
        <v>7215</v>
      </c>
      <c r="F970" s="2" t="s">
        <v>7215</v>
      </c>
      <c r="G970" s="2">
        <v>255</v>
      </c>
    </row>
    <row r="971" spans="1:7" ht="15.75" customHeight="1">
      <c r="A971" s="2" t="s">
        <v>7174</v>
      </c>
      <c r="B971" s="2" t="s">
        <v>7184</v>
      </c>
      <c r="C971" s="2" t="s">
        <v>8138</v>
      </c>
      <c r="D971" s="2" t="s">
        <v>7216</v>
      </c>
      <c r="E971" s="2" t="s">
        <v>7215</v>
      </c>
      <c r="F971" s="2" t="s">
        <v>7215</v>
      </c>
      <c r="G971" s="2">
        <v>255</v>
      </c>
    </row>
    <row r="972" spans="1:7" ht="15.75" customHeight="1">
      <c r="A972" s="2" t="s">
        <v>7174</v>
      </c>
      <c r="B972" s="2" t="s">
        <v>7184</v>
      </c>
      <c r="C972" s="2" t="s">
        <v>8139</v>
      </c>
      <c r="D972" s="2" t="s">
        <v>7216</v>
      </c>
      <c r="E972" s="2" t="s">
        <v>7215</v>
      </c>
      <c r="F972" s="2" t="s">
        <v>7215</v>
      </c>
      <c r="G972" s="2">
        <v>255</v>
      </c>
    </row>
    <row r="973" spans="1:7" ht="15.75" customHeight="1">
      <c r="A973" s="2" t="s">
        <v>7174</v>
      </c>
      <c r="B973" s="2" t="s">
        <v>7184</v>
      </c>
      <c r="C973" s="2" t="s">
        <v>8140</v>
      </c>
      <c r="D973" s="2" t="s">
        <v>8141</v>
      </c>
      <c r="E973" s="2" t="s">
        <v>7278</v>
      </c>
      <c r="F973" s="2" t="s">
        <v>7278</v>
      </c>
      <c r="G973" s="2">
        <v>0</v>
      </c>
    </row>
    <row r="974" spans="1:7" ht="15.75" customHeight="1">
      <c r="A974" s="2" t="s">
        <v>7174</v>
      </c>
      <c r="B974" s="2" t="s">
        <v>7184</v>
      </c>
      <c r="C974" s="2" t="s">
        <v>8142</v>
      </c>
      <c r="D974" s="2" t="s">
        <v>8143</v>
      </c>
      <c r="E974" s="2" t="s">
        <v>7278</v>
      </c>
      <c r="F974" s="2" t="s">
        <v>7278</v>
      </c>
      <c r="G974" s="2">
        <v>0</v>
      </c>
    </row>
    <row r="975" spans="1:7" ht="15.75" customHeight="1">
      <c r="A975" s="2" t="s">
        <v>7174</v>
      </c>
      <c r="B975" s="2" t="s">
        <v>7184</v>
      </c>
      <c r="C975" s="2" t="s">
        <v>8144</v>
      </c>
      <c r="D975" s="2" t="s">
        <v>7212</v>
      </c>
      <c r="E975" s="2" t="s">
        <v>5672</v>
      </c>
      <c r="F975" s="2" t="s">
        <v>5672</v>
      </c>
      <c r="G975" s="2">
        <v>0</v>
      </c>
    </row>
    <row r="976" spans="1:7" ht="15.75" customHeight="1">
      <c r="A976" s="2" t="s">
        <v>7174</v>
      </c>
      <c r="B976" s="2" t="s">
        <v>7184</v>
      </c>
      <c r="C976" s="2" t="s">
        <v>8145</v>
      </c>
      <c r="D976" s="2" t="s">
        <v>7282</v>
      </c>
      <c r="E976" s="2" t="s">
        <v>7215</v>
      </c>
      <c r="F976" s="2" t="s">
        <v>7215</v>
      </c>
      <c r="G976" s="2">
        <v>100</v>
      </c>
    </row>
    <row r="977" spans="1:7" ht="15.75" customHeight="1">
      <c r="A977" s="2" t="s">
        <v>7174</v>
      </c>
      <c r="B977" s="2" t="s">
        <v>7184</v>
      </c>
      <c r="C977" s="2" t="s">
        <v>8146</v>
      </c>
      <c r="D977" s="2" t="s">
        <v>7216</v>
      </c>
      <c r="E977" s="2" t="s">
        <v>7215</v>
      </c>
      <c r="F977" s="2" t="s">
        <v>7215</v>
      </c>
      <c r="G977" s="2">
        <v>255</v>
      </c>
    </row>
    <row r="978" spans="1:7" ht="15.75" customHeight="1">
      <c r="A978" s="2" t="s">
        <v>7174</v>
      </c>
      <c r="B978" s="2" t="s">
        <v>7184</v>
      </c>
      <c r="C978" s="2" t="s">
        <v>8147</v>
      </c>
      <c r="D978" s="2" t="s">
        <v>7216</v>
      </c>
      <c r="E978" s="2" t="s">
        <v>7215</v>
      </c>
      <c r="F978" s="2" t="s">
        <v>7215</v>
      </c>
      <c r="G978" s="2">
        <v>255</v>
      </c>
    </row>
    <row r="979" spans="1:7" ht="15.75" customHeight="1">
      <c r="A979" s="2" t="s">
        <v>7174</v>
      </c>
      <c r="B979" s="2" t="s">
        <v>7184</v>
      </c>
      <c r="C979" s="2" t="s">
        <v>8148</v>
      </c>
      <c r="D979" s="2" t="s">
        <v>7216</v>
      </c>
      <c r="E979" s="2" t="s">
        <v>7215</v>
      </c>
      <c r="F979" s="2" t="s">
        <v>7215</v>
      </c>
      <c r="G979" s="2">
        <v>255</v>
      </c>
    </row>
    <row r="980" spans="1:7" ht="15.75" customHeight="1">
      <c r="A980" s="2" t="s">
        <v>7174</v>
      </c>
      <c r="B980" s="2" t="s">
        <v>7184</v>
      </c>
      <c r="C980" s="2" t="s">
        <v>8149</v>
      </c>
      <c r="D980" s="2" t="s">
        <v>7216</v>
      </c>
      <c r="E980" s="2" t="s">
        <v>7215</v>
      </c>
      <c r="F980" s="2" t="s">
        <v>7215</v>
      </c>
      <c r="G980" s="2">
        <v>255</v>
      </c>
    </row>
    <row r="981" spans="1:7" ht="15.75" customHeight="1">
      <c r="A981" s="2" t="s">
        <v>7174</v>
      </c>
      <c r="B981" s="2" t="s">
        <v>7184</v>
      </c>
      <c r="C981" s="2" t="s">
        <v>8150</v>
      </c>
      <c r="D981" s="2" t="s">
        <v>7259</v>
      </c>
      <c r="E981" s="2" t="s">
        <v>7215</v>
      </c>
      <c r="F981" s="2" t="s">
        <v>7215</v>
      </c>
      <c r="G981" s="2">
        <v>255</v>
      </c>
    </row>
    <row r="982" spans="1:7" ht="15.75" customHeight="1">
      <c r="A982" s="2" t="s">
        <v>7174</v>
      </c>
      <c r="B982" s="2" t="s">
        <v>7184</v>
      </c>
      <c r="C982" s="2" t="s">
        <v>8151</v>
      </c>
      <c r="D982" s="2" t="s">
        <v>7216</v>
      </c>
      <c r="E982" s="2" t="s">
        <v>7215</v>
      </c>
      <c r="F982" s="2" t="s">
        <v>7215</v>
      </c>
      <c r="G982" s="2">
        <v>255</v>
      </c>
    </row>
    <row r="983" spans="1:7" ht="15.75" customHeight="1">
      <c r="A983" s="2" t="s">
        <v>7174</v>
      </c>
      <c r="B983" s="2" t="s">
        <v>7184</v>
      </c>
      <c r="C983" s="2" t="s">
        <v>8152</v>
      </c>
      <c r="D983" s="2" t="s">
        <v>7216</v>
      </c>
      <c r="E983" s="2" t="s">
        <v>7215</v>
      </c>
      <c r="F983" s="2" t="s">
        <v>7215</v>
      </c>
      <c r="G983" s="2">
        <v>255</v>
      </c>
    </row>
    <row r="984" spans="1:7" ht="15.75" customHeight="1">
      <c r="A984" s="2" t="s">
        <v>7174</v>
      </c>
      <c r="B984" s="2" t="s">
        <v>7184</v>
      </c>
      <c r="C984" s="2" t="s">
        <v>8153</v>
      </c>
      <c r="D984" s="2" t="s">
        <v>7259</v>
      </c>
      <c r="E984" s="2" t="s">
        <v>7215</v>
      </c>
      <c r="F984" s="2" t="s">
        <v>7215</v>
      </c>
      <c r="G984" s="2">
        <v>255</v>
      </c>
    </row>
    <row r="985" spans="1:7" ht="15.75" customHeight="1">
      <c r="A985" s="2" t="s">
        <v>7174</v>
      </c>
      <c r="B985" s="2" t="s">
        <v>7184</v>
      </c>
      <c r="C985" s="2" t="s">
        <v>8154</v>
      </c>
      <c r="D985" s="2" t="s">
        <v>7212</v>
      </c>
      <c r="E985" s="2" t="s">
        <v>5672</v>
      </c>
      <c r="F985" s="2" t="s">
        <v>5672</v>
      </c>
      <c r="G985" s="2">
        <v>0</v>
      </c>
    </row>
    <row r="986" spans="1:7" ht="15.75" customHeight="1">
      <c r="A986" s="2" t="s">
        <v>7174</v>
      </c>
      <c r="B986" s="2" t="s">
        <v>7184</v>
      </c>
      <c r="C986" s="2" t="s">
        <v>8155</v>
      </c>
      <c r="D986" s="2" t="s">
        <v>7212</v>
      </c>
      <c r="E986" s="2" t="s">
        <v>5672</v>
      </c>
      <c r="F986" s="2" t="s">
        <v>5672</v>
      </c>
      <c r="G986" s="2">
        <v>0</v>
      </c>
    </row>
    <row r="987" spans="1:7" ht="15.75" customHeight="1">
      <c r="A987" s="2" t="s">
        <v>7174</v>
      </c>
      <c r="B987" s="2" t="s">
        <v>7184</v>
      </c>
      <c r="C987" s="2" t="s">
        <v>8156</v>
      </c>
      <c r="D987" s="2" t="s">
        <v>8157</v>
      </c>
      <c r="E987" s="2" t="s">
        <v>7215</v>
      </c>
      <c r="F987" s="2" t="s">
        <v>7215</v>
      </c>
      <c r="G987" s="2">
        <v>1</v>
      </c>
    </row>
    <row r="988" spans="1:7" ht="15.75" customHeight="1">
      <c r="A988" s="2" t="s">
        <v>7174</v>
      </c>
      <c r="B988" s="2" t="s">
        <v>7184</v>
      </c>
      <c r="C988" s="2" t="s">
        <v>8158</v>
      </c>
      <c r="D988" s="2" t="s">
        <v>8024</v>
      </c>
      <c r="E988" s="2" t="s">
        <v>7278</v>
      </c>
      <c r="F988" s="2" t="s">
        <v>7278</v>
      </c>
      <c r="G988" s="2">
        <v>0</v>
      </c>
    </row>
    <row r="989" spans="1:7" ht="15.75" customHeight="1">
      <c r="A989" s="2" t="s">
        <v>7174</v>
      </c>
      <c r="B989" s="2" t="s">
        <v>7184</v>
      </c>
      <c r="C989" s="2" t="s">
        <v>8159</v>
      </c>
      <c r="D989" s="2" t="s">
        <v>7212</v>
      </c>
      <c r="E989" s="2" t="s">
        <v>5672</v>
      </c>
      <c r="F989" s="2" t="s">
        <v>5672</v>
      </c>
      <c r="G989" s="2">
        <v>0</v>
      </c>
    </row>
    <row r="990" spans="1:7" ht="15.75" customHeight="1">
      <c r="A990" s="2" t="s">
        <v>7174</v>
      </c>
      <c r="B990" s="2" t="s">
        <v>7184</v>
      </c>
      <c r="C990" s="2" t="s">
        <v>8160</v>
      </c>
      <c r="D990" s="2" t="s">
        <v>7284</v>
      </c>
      <c r="E990" s="2" t="s">
        <v>7215</v>
      </c>
      <c r="F990" s="2" t="s">
        <v>7215</v>
      </c>
      <c r="G990" s="2">
        <v>1300</v>
      </c>
    </row>
    <row r="991" spans="1:7" ht="15.75" customHeight="1">
      <c r="A991" s="2" t="s">
        <v>7174</v>
      </c>
      <c r="B991" s="2" t="s">
        <v>7184</v>
      </c>
      <c r="C991" s="2" t="s">
        <v>8161</v>
      </c>
      <c r="D991" s="2" t="s">
        <v>7284</v>
      </c>
      <c r="E991" s="2" t="s">
        <v>7215</v>
      </c>
      <c r="F991" s="2" t="s">
        <v>7215</v>
      </c>
      <c r="G991" s="2">
        <v>1300</v>
      </c>
    </row>
    <row r="992" spans="1:7" ht="15.75" customHeight="1">
      <c r="A992" s="2" t="s">
        <v>7174</v>
      </c>
      <c r="B992" s="2" t="s">
        <v>7184</v>
      </c>
      <c r="C992" s="2" t="s">
        <v>8162</v>
      </c>
      <c r="D992" s="2" t="s">
        <v>7216</v>
      </c>
      <c r="E992" s="2" t="s">
        <v>7215</v>
      </c>
      <c r="F992" s="2" t="s">
        <v>7215</v>
      </c>
      <c r="G992" s="2">
        <v>255</v>
      </c>
    </row>
    <row r="993" spans="1:7" ht="15.75" customHeight="1">
      <c r="A993" s="2" t="s">
        <v>7174</v>
      </c>
      <c r="B993" s="2" t="s">
        <v>7184</v>
      </c>
      <c r="C993" s="2" t="s">
        <v>8163</v>
      </c>
      <c r="D993" s="2" t="s">
        <v>7361</v>
      </c>
      <c r="E993" s="2" t="s">
        <v>7215</v>
      </c>
      <c r="F993" s="2" t="s">
        <v>7215</v>
      </c>
      <c r="G993" s="2">
        <v>4099</v>
      </c>
    </row>
    <row r="994" spans="1:7" ht="15.75" customHeight="1">
      <c r="A994" s="2" t="s">
        <v>7174</v>
      </c>
      <c r="B994" s="2" t="s">
        <v>7184</v>
      </c>
      <c r="C994" s="2" t="s">
        <v>8164</v>
      </c>
      <c r="D994" s="2" t="s">
        <v>7270</v>
      </c>
      <c r="E994" s="2" t="s">
        <v>7215</v>
      </c>
      <c r="F994" s="2" t="s">
        <v>7215</v>
      </c>
      <c r="G994" s="2">
        <v>32768</v>
      </c>
    </row>
    <row r="995" spans="1:7" ht="15.75" customHeight="1">
      <c r="A995" s="2" t="s">
        <v>7174</v>
      </c>
      <c r="B995" s="2" t="s">
        <v>7184</v>
      </c>
      <c r="C995" s="2" t="s">
        <v>8165</v>
      </c>
      <c r="D995" s="2" t="s">
        <v>7216</v>
      </c>
      <c r="E995" s="2" t="s">
        <v>7215</v>
      </c>
      <c r="F995" s="2" t="s">
        <v>7215</v>
      </c>
      <c r="G995" s="2">
        <v>255</v>
      </c>
    </row>
    <row r="996" spans="1:7" ht="15.75" customHeight="1">
      <c r="A996" s="2" t="s">
        <v>7174</v>
      </c>
      <c r="B996" s="2" t="s">
        <v>7184</v>
      </c>
      <c r="C996" s="2" t="s">
        <v>8166</v>
      </c>
      <c r="D996" s="2" t="s">
        <v>7284</v>
      </c>
      <c r="E996" s="2" t="s">
        <v>7215</v>
      </c>
      <c r="F996" s="2" t="s">
        <v>7215</v>
      </c>
      <c r="G996" s="2">
        <v>1300</v>
      </c>
    </row>
    <row r="997" spans="1:7" ht="15.75" customHeight="1">
      <c r="A997" s="2" t="s">
        <v>7174</v>
      </c>
      <c r="B997" s="2" t="s">
        <v>7184</v>
      </c>
      <c r="C997" s="2" t="s">
        <v>8167</v>
      </c>
      <c r="D997" s="2" t="s">
        <v>7212</v>
      </c>
      <c r="E997" s="2" t="s">
        <v>5672</v>
      </c>
      <c r="F997" s="2" t="s">
        <v>5672</v>
      </c>
      <c r="G997" s="2">
        <v>0</v>
      </c>
    </row>
    <row r="998" spans="1:7" ht="15.75" customHeight="1">
      <c r="A998" s="2" t="s">
        <v>7174</v>
      </c>
      <c r="B998" s="2" t="s">
        <v>7184</v>
      </c>
      <c r="C998" s="2" t="s">
        <v>8168</v>
      </c>
      <c r="D998" s="2" t="s">
        <v>7270</v>
      </c>
      <c r="E998" s="2" t="s">
        <v>7215</v>
      </c>
      <c r="F998" s="2" t="s">
        <v>7215</v>
      </c>
      <c r="G998" s="2">
        <v>32768</v>
      </c>
    </row>
    <row r="999" spans="1:7" ht="15.75" customHeight="1">
      <c r="A999" s="2" t="s">
        <v>7174</v>
      </c>
      <c r="B999" s="2" t="s">
        <v>7184</v>
      </c>
      <c r="C999" s="2" t="s">
        <v>8169</v>
      </c>
      <c r="D999" s="2" t="s">
        <v>7450</v>
      </c>
      <c r="E999" s="2" t="s">
        <v>7215</v>
      </c>
      <c r="F999" s="2" t="s">
        <v>7215</v>
      </c>
      <c r="G999" s="2">
        <v>200</v>
      </c>
    </row>
    <row r="1000" spans="1:7" ht="15.75" customHeight="1">
      <c r="A1000" s="2" t="s">
        <v>7174</v>
      </c>
      <c r="B1000" s="2" t="s">
        <v>7184</v>
      </c>
      <c r="C1000" s="2" t="s">
        <v>8170</v>
      </c>
      <c r="D1000" s="2" t="s">
        <v>7212</v>
      </c>
      <c r="E1000" s="2" t="s">
        <v>5672</v>
      </c>
      <c r="F1000" s="2" t="s">
        <v>5672</v>
      </c>
      <c r="G1000" s="2">
        <v>0</v>
      </c>
    </row>
    <row r="1001" spans="1:7" ht="15.75" customHeight="1">
      <c r="A1001" s="2" t="s">
        <v>7174</v>
      </c>
      <c r="B1001" s="2" t="s">
        <v>7184</v>
      </c>
      <c r="C1001" s="2" t="s">
        <v>8171</v>
      </c>
      <c r="D1001" s="2" t="s">
        <v>7259</v>
      </c>
      <c r="E1001" s="2" t="s">
        <v>7215</v>
      </c>
      <c r="F1001" s="2" t="s">
        <v>7215</v>
      </c>
      <c r="G1001" s="2">
        <v>255</v>
      </c>
    </row>
    <row r="1002" spans="1:7" ht="15.75" customHeight="1">
      <c r="A1002" s="2" t="s">
        <v>7174</v>
      </c>
      <c r="B1002" s="2" t="s">
        <v>7184</v>
      </c>
      <c r="C1002" s="2" t="s">
        <v>8172</v>
      </c>
      <c r="D1002" s="2" t="s">
        <v>7284</v>
      </c>
      <c r="E1002" s="2" t="s">
        <v>7215</v>
      </c>
      <c r="F1002" s="2" t="s">
        <v>7215</v>
      </c>
      <c r="G1002" s="2">
        <v>1300</v>
      </c>
    </row>
    <row r="1003" spans="1:7" ht="15.75" customHeight="1">
      <c r="A1003" s="2" t="s">
        <v>7174</v>
      </c>
      <c r="B1003" s="2" t="s">
        <v>7184</v>
      </c>
      <c r="C1003" s="2" t="s">
        <v>8173</v>
      </c>
      <c r="D1003" s="2" t="s">
        <v>7259</v>
      </c>
      <c r="E1003" s="2" t="s">
        <v>7215</v>
      </c>
      <c r="F1003" s="2" t="s">
        <v>7215</v>
      </c>
      <c r="G1003" s="2">
        <v>255</v>
      </c>
    </row>
    <row r="1004" spans="1:7" ht="15.75" customHeight="1">
      <c r="A1004" s="2" t="s">
        <v>7174</v>
      </c>
      <c r="B1004" s="2" t="s">
        <v>7184</v>
      </c>
      <c r="C1004" s="2" t="s">
        <v>8174</v>
      </c>
      <c r="D1004" s="2" t="s">
        <v>8175</v>
      </c>
      <c r="E1004" s="2" t="s">
        <v>7278</v>
      </c>
      <c r="F1004" s="2" t="s">
        <v>7278</v>
      </c>
      <c r="G1004" s="2">
        <v>0</v>
      </c>
    </row>
    <row r="1005" spans="1:7" ht="15.75" customHeight="1">
      <c r="A1005" s="2" t="s">
        <v>7174</v>
      </c>
      <c r="B1005" s="2" t="s">
        <v>7184</v>
      </c>
      <c r="C1005" s="2" t="s">
        <v>8176</v>
      </c>
      <c r="D1005" s="2" t="s">
        <v>7259</v>
      </c>
      <c r="E1005" s="2" t="s">
        <v>7215</v>
      </c>
      <c r="F1005" s="2" t="s">
        <v>7215</v>
      </c>
      <c r="G1005" s="2">
        <v>255</v>
      </c>
    </row>
    <row r="1006" spans="1:7" ht="15.75" customHeight="1">
      <c r="A1006" s="2" t="s">
        <v>7174</v>
      </c>
      <c r="B1006" s="2" t="s">
        <v>7184</v>
      </c>
      <c r="C1006" s="2" t="s">
        <v>8177</v>
      </c>
      <c r="D1006" s="2" t="s">
        <v>7216</v>
      </c>
      <c r="E1006" s="2" t="s">
        <v>7215</v>
      </c>
      <c r="F1006" s="2" t="s">
        <v>7215</v>
      </c>
      <c r="G1006" s="2">
        <v>255</v>
      </c>
    </row>
    <row r="1007" spans="1:7" ht="15.75" customHeight="1">
      <c r="A1007" s="2" t="s">
        <v>7174</v>
      </c>
      <c r="B1007" s="2" t="s">
        <v>7184</v>
      </c>
      <c r="C1007" s="2" t="s">
        <v>8178</v>
      </c>
      <c r="D1007" s="2" t="s">
        <v>7397</v>
      </c>
      <c r="E1007" s="2" t="s">
        <v>7215</v>
      </c>
      <c r="F1007" s="2" t="s">
        <v>7215</v>
      </c>
      <c r="G1007" s="2">
        <v>13</v>
      </c>
    </row>
    <row r="1008" spans="1:7" ht="15.75" customHeight="1">
      <c r="A1008" s="2" t="s">
        <v>7174</v>
      </c>
      <c r="B1008" s="2" t="s">
        <v>7184</v>
      </c>
      <c r="C1008" s="2" t="s">
        <v>8179</v>
      </c>
      <c r="D1008" s="2" t="s">
        <v>7450</v>
      </c>
      <c r="E1008" s="2" t="s">
        <v>7215</v>
      </c>
      <c r="F1008" s="2" t="s">
        <v>7215</v>
      </c>
      <c r="G1008" s="2">
        <v>200</v>
      </c>
    </row>
    <row r="1009" spans="1:7" ht="15.75" customHeight="1">
      <c r="A1009" s="2" t="s">
        <v>7174</v>
      </c>
      <c r="B1009" s="2" t="s">
        <v>7184</v>
      </c>
      <c r="C1009" s="2" t="s">
        <v>8180</v>
      </c>
      <c r="D1009" s="2" t="s">
        <v>7264</v>
      </c>
      <c r="E1009" s="2" t="s">
        <v>7215</v>
      </c>
      <c r="F1009" s="2" t="s">
        <v>7215</v>
      </c>
      <c r="G1009" s="2">
        <v>20</v>
      </c>
    </row>
    <row r="1010" spans="1:7" ht="15.75" customHeight="1">
      <c r="A1010" s="2" t="s">
        <v>7174</v>
      </c>
      <c r="B1010" s="2" t="s">
        <v>7184</v>
      </c>
      <c r="C1010" s="2" t="s">
        <v>8181</v>
      </c>
      <c r="D1010" s="2" t="s">
        <v>7282</v>
      </c>
      <c r="E1010" s="2" t="s">
        <v>7215</v>
      </c>
      <c r="F1010" s="2" t="s">
        <v>7215</v>
      </c>
      <c r="G1010" s="2">
        <v>100</v>
      </c>
    </row>
    <row r="1011" spans="1:7" ht="15.75" customHeight="1">
      <c r="A1011" s="2" t="s">
        <v>7174</v>
      </c>
      <c r="B1011" s="2" t="s">
        <v>7184</v>
      </c>
      <c r="C1011" s="2" t="s">
        <v>8182</v>
      </c>
      <c r="D1011" s="2" t="s">
        <v>7234</v>
      </c>
      <c r="E1011" s="2" t="s">
        <v>3897</v>
      </c>
      <c r="F1011" s="2" t="s">
        <v>7210</v>
      </c>
      <c r="G1011" s="2">
        <v>18</v>
      </c>
    </row>
    <row r="1012" spans="1:7" ht="15.75" customHeight="1">
      <c r="A1012" s="2" t="s">
        <v>7174</v>
      </c>
      <c r="B1012" s="2" t="s">
        <v>7184</v>
      </c>
      <c r="C1012" s="2" t="s">
        <v>8183</v>
      </c>
      <c r="D1012" s="2" t="s">
        <v>7216</v>
      </c>
      <c r="E1012" s="2" t="s">
        <v>7215</v>
      </c>
      <c r="F1012" s="2" t="s">
        <v>7215</v>
      </c>
      <c r="G1012" s="2">
        <v>255</v>
      </c>
    </row>
    <row r="1013" spans="1:7" ht="15.75" customHeight="1">
      <c r="A1013" s="2" t="s">
        <v>7174</v>
      </c>
      <c r="B1013" s="2" t="s">
        <v>7184</v>
      </c>
      <c r="C1013" s="2" t="s">
        <v>8184</v>
      </c>
      <c r="D1013" s="2" t="s">
        <v>7284</v>
      </c>
      <c r="E1013" s="2" t="s">
        <v>7215</v>
      </c>
      <c r="F1013" s="2" t="s">
        <v>7215</v>
      </c>
      <c r="G1013" s="2">
        <v>1300</v>
      </c>
    </row>
    <row r="1014" spans="1:7" ht="15.75" customHeight="1">
      <c r="A1014" s="2" t="s">
        <v>7174</v>
      </c>
      <c r="B1014" s="2" t="s">
        <v>7184</v>
      </c>
      <c r="C1014" s="2" t="s">
        <v>8185</v>
      </c>
      <c r="D1014" s="2" t="s">
        <v>7234</v>
      </c>
      <c r="E1014" s="2" t="s">
        <v>3897</v>
      </c>
      <c r="F1014" s="2" t="s">
        <v>7210</v>
      </c>
      <c r="G1014" s="2">
        <v>18</v>
      </c>
    </row>
    <row r="1015" spans="1:7" ht="15.75" customHeight="1">
      <c r="A1015" s="2" t="s">
        <v>7174</v>
      </c>
      <c r="B1015" s="2" t="s">
        <v>7184</v>
      </c>
      <c r="C1015" s="2" t="s">
        <v>8186</v>
      </c>
      <c r="D1015" s="2" t="s">
        <v>7234</v>
      </c>
      <c r="E1015" s="2" t="s">
        <v>3897</v>
      </c>
      <c r="F1015" s="2" t="s">
        <v>7210</v>
      </c>
      <c r="G1015" s="2">
        <v>18</v>
      </c>
    </row>
    <row r="1016" spans="1:7" ht="15.75" customHeight="1">
      <c r="A1016" s="2" t="s">
        <v>7174</v>
      </c>
      <c r="B1016" s="2" t="s">
        <v>7184</v>
      </c>
      <c r="C1016" s="2" t="s">
        <v>8187</v>
      </c>
      <c r="D1016" s="2" t="s">
        <v>7234</v>
      </c>
      <c r="E1016" s="2" t="s">
        <v>3897</v>
      </c>
      <c r="F1016" s="2" t="s">
        <v>7210</v>
      </c>
      <c r="G1016" s="2">
        <v>18</v>
      </c>
    </row>
    <row r="1017" spans="1:7" ht="15.75" customHeight="1">
      <c r="A1017" s="2" t="s">
        <v>7174</v>
      </c>
      <c r="B1017" s="2" t="s">
        <v>7184</v>
      </c>
      <c r="C1017" s="2" t="s">
        <v>8188</v>
      </c>
      <c r="D1017" s="2" t="s">
        <v>7234</v>
      </c>
      <c r="E1017" s="2" t="s">
        <v>3897</v>
      </c>
      <c r="F1017" s="2" t="s">
        <v>7210</v>
      </c>
      <c r="G1017" s="2">
        <v>18</v>
      </c>
    </row>
    <row r="1018" spans="1:7" ht="15.75" customHeight="1">
      <c r="A1018" s="2" t="s">
        <v>7174</v>
      </c>
      <c r="B1018" s="2" t="s">
        <v>7184</v>
      </c>
      <c r="C1018" s="2" t="s">
        <v>8189</v>
      </c>
      <c r="D1018" s="2" t="s">
        <v>7234</v>
      </c>
      <c r="E1018" s="2" t="s">
        <v>3897</v>
      </c>
      <c r="F1018" s="2" t="s">
        <v>7210</v>
      </c>
      <c r="G1018" s="2">
        <v>18</v>
      </c>
    </row>
    <row r="1019" spans="1:7" ht="15.75" customHeight="1">
      <c r="A1019" s="2" t="s">
        <v>7174</v>
      </c>
      <c r="B1019" s="2" t="s">
        <v>7184</v>
      </c>
      <c r="C1019" s="2" t="s">
        <v>8190</v>
      </c>
      <c r="D1019" s="2" t="s">
        <v>7234</v>
      </c>
      <c r="E1019" s="2" t="s">
        <v>3897</v>
      </c>
      <c r="F1019" s="2" t="s">
        <v>7210</v>
      </c>
      <c r="G1019" s="2">
        <v>18</v>
      </c>
    </row>
    <row r="1020" spans="1:7" ht="15.75" customHeight="1">
      <c r="A1020" s="2" t="s">
        <v>7174</v>
      </c>
      <c r="B1020" s="2" t="s">
        <v>7184</v>
      </c>
      <c r="C1020" s="2" t="s">
        <v>8191</v>
      </c>
      <c r="D1020" s="2" t="s">
        <v>7216</v>
      </c>
      <c r="E1020" s="2" t="s">
        <v>7215</v>
      </c>
      <c r="F1020" s="2" t="s">
        <v>7215</v>
      </c>
      <c r="G1020" s="2">
        <v>255</v>
      </c>
    </row>
    <row r="1021" spans="1:7" ht="15.75" customHeight="1">
      <c r="A1021" s="2" t="s">
        <v>7174</v>
      </c>
      <c r="B1021" s="2" t="s">
        <v>7184</v>
      </c>
      <c r="C1021" s="2" t="s">
        <v>8192</v>
      </c>
      <c r="D1021" s="2" t="s">
        <v>7212</v>
      </c>
      <c r="E1021" s="2" t="s">
        <v>5672</v>
      </c>
      <c r="F1021" s="2" t="s">
        <v>5672</v>
      </c>
      <c r="G1021" s="2">
        <v>0</v>
      </c>
    </row>
    <row r="1022" spans="1:7" ht="15.75" customHeight="1">
      <c r="A1022" s="2" t="s">
        <v>7174</v>
      </c>
      <c r="B1022" s="2" t="s">
        <v>7184</v>
      </c>
      <c r="C1022" s="2" t="s">
        <v>8193</v>
      </c>
      <c r="D1022" s="2" t="s">
        <v>7521</v>
      </c>
      <c r="E1022" s="2" t="s">
        <v>7215</v>
      </c>
      <c r="F1022" s="2" t="s">
        <v>7215</v>
      </c>
      <c r="G1022" s="2">
        <v>255</v>
      </c>
    </row>
    <row r="1023" spans="1:7" ht="15.75" customHeight="1">
      <c r="A1023" s="2" t="s">
        <v>7174</v>
      </c>
      <c r="B1023" s="2" t="s">
        <v>7184</v>
      </c>
      <c r="C1023" s="2" t="s">
        <v>8194</v>
      </c>
      <c r="D1023" s="2" t="s">
        <v>7216</v>
      </c>
      <c r="E1023" s="2" t="s">
        <v>7215</v>
      </c>
      <c r="F1023" s="2" t="s">
        <v>7215</v>
      </c>
      <c r="G1023" s="2">
        <v>255</v>
      </c>
    </row>
    <row r="1024" spans="1:7" ht="15.75" customHeight="1">
      <c r="A1024" s="2" t="s">
        <v>7174</v>
      </c>
      <c r="B1024" s="2" t="s">
        <v>7184</v>
      </c>
      <c r="C1024" s="2" t="s">
        <v>8195</v>
      </c>
      <c r="D1024" s="2" t="s">
        <v>7216</v>
      </c>
      <c r="E1024" s="2" t="s">
        <v>7215</v>
      </c>
      <c r="F1024" s="2" t="s">
        <v>7215</v>
      </c>
      <c r="G1024" s="2">
        <v>255</v>
      </c>
    </row>
    <row r="1025" spans="1:7" ht="15.75" customHeight="1">
      <c r="A1025" s="2" t="s">
        <v>7174</v>
      </c>
      <c r="B1025" s="2" t="s">
        <v>7184</v>
      </c>
      <c r="C1025" s="2" t="s">
        <v>8196</v>
      </c>
      <c r="D1025" s="2" t="s">
        <v>7264</v>
      </c>
      <c r="E1025" s="2" t="s">
        <v>7215</v>
      </c>
      <c r="F1025" s="2" t="s">
        <v>7215</v>
      </c>
      <c r="G1025" s="2">
        <v>20</v>
      </c>
    </row>
    <row r="1026" spans="1:7" ht="15.75" customHeight="1">
      <c r="A1026" s="2" t="s">
        <v>7174</v>
      </c>
      <c r="B1026" s="2" t="s">
        <v>7184</v>
      </c>
      <c r="C1026" s="2" t="s">
        <v>8197</v>
      </c>
      <c r="D1026" s="2" t="s">
        <v>7397</v>
      </c>
      <c r="E1026" s="2" t="s">
        <v>7215</v>
      </c>
      <c r="F1026" s="2" t="s">
        <v>7215</v>
      </c>
      <c r="G1026" s="2">
        <v>13</v>
      </c>
    </row>
    <row r="1027" spans="1:7" ht="15.75" customHeight="1">
      <c r="A1027" s="2" t="s">
        <v>7174</v>
      </c>
      <c r="B1027" s="2" t="s">
        <v>7184</v>
      </c>
      <c r="C1027" s="2" t="s">
        <v>8198</v>
      </c>
      <c r="D1027" s="2" t="s">
        <v>7212</v>
      </c>
      <c r="E1027" s="2" t="s">
        <v>5672</v>
      </c>
      <c r="F1027" s="2" t="s">
        <v>5672</v>
      </c>
      <c r="G1027" s="2">
        <v>0</v>
      </c>
    </row>
    <row r="1028" spans="1:7" ht="15.75" customHeight="1">
      <c r="A1028" s="2" t="s">
        <v>7174</v>
      </c>
      <c r="B1028" s="2" t="s">
        <v>7184</v>
      </c>
      <c r="C1028" s="2" t="s">
        <v>8199</v>
      </c>
      <c r="D1028" s="2" t="s">
        <v>7216</v>
      </c>
      <c r="E1028" s="2" t="s">
        <v>7215</v>
      </c>
      <c r="F1028" s="2" t="s">
        <v>7215</v>
      </c>
      <c r="G1028" s="2">
        <v>255</v>
      </c>
    </row>
    <row r="1029" spans="1:7" ht="15.75" customHeight="1">
      <c r="A1029" s="2" t="s">
        <v>7174</v>
      </c>
      <c r="B1029" s="2" t="s">
        <v>7184</v>
      </c>
      <c r="C1029" s="2" t="s">
        <v>8200</v>
      </c>
      <c r="D1029" s="2" t="s">
        <v>7216</v>
      </c>
      <c r="E1029" s="2" t="s">
        <v>7215</v>
      </c>
      <c r="F1029" s="2" t="s">
        <v>7215</v>
      </c>
      <c r="G1029" s="2">
        <v>255</v>
      </c>
    </row>
    <row r="1030" spans="1:7" ht="15.75" customHeight="1">
      <c r="A1030" s="2" t="s">
        <v>7174</v>
      </c>
      <c r="B1030" s="2" t="s">
        <v>7184</v>
      </c>
      <c r="C1030" s="2" t="s">
        <v>8201</v>
      </c>
      <c r="D1030" s="2" t="s">
        <v>7354</v>
      </c>
      <c r="E1030" s="2" t="s">
        <v>7215</v>
      </c>
      <c r="F1030" s="2" t="s">
        <v>7215</v>
      </c>
      <c r="G1030" s="2">
        <v>50</v>
      </c>
    </row>
    <row r="1031" spans="1:7" ht="15.75" customHeight="1">
      <c r="A1031" s="2" t="s">
        <v>7174</v>
      </c>
      <c r="B1031" s="2" t="s">
        <v>7184</v>
      </c>
      <c r="C1031" s="2" t="s">
        <v>8202</v>
      </c>
      <c r="D1031" s="2" t="s">
        <v>7216</v>
      </c>
      <c r="E1031" s="2" t="s">
        <v>7215</v>
      </c>
      <c r="F1031" s="2" t="s">
        <v>7215</v>
      </c>
      <c r="G1031" s="2">
        <v>255</v>
      </c>
    </row>
    <row r="1032" spans="1:7" ht="15.75" customHeight="1">
      <c r="A1032" s="2" t="s">
        <v>7174</v>
      </c>
      <c r="B1032" s="2" t="s">
        <v>7184</v>
      </c>
      <c r="C1032" s="2" t="s">
        <v>8203</v>
      </c>
      <c r="D1032" s="2" t="s">
        <v>7216</v>
      </c>
      <c r="E1032" s="2" t="s">
        <v>7215</v>
      </c>
      <c r="F1032" s="2" t="s">
        <v>7215</v>
      </c>
      <c r="G1032" s="2">
        <v>255</v>
      </c>
    </row>
    <row r="1033" spans="1:7" ht="15.75" customHeight="1">
      <c r="A1033" s="2" t="s">
        <v>7174</v>
      </c>
      <c r="B1033" s="2" t="s">
        <v>7184</v>
      </c>
      <c r="C1033" s="2" t="s">
        <v>8204</v>
      </c>
      <c r="D1033" s="2" t="s">
        <v>7900</v>
      </c>
      <c r="E1033" s="2" t="s">
        <v>7278</v>
      </c>
      <c r="F1033" s="2" t="s">
        <v>7278</v>
      </c>
      <c r="G1033" s="2">
        <v>0</v>
      </c>
    </row>
    <row r="1034" spans="1:7" ht="15.75" customHeight="1">
      <c r="A1034" s="2" t="s">
        <v>7174</v>
      </c>
      <c r="B1034" s="2" t="s">
        <v>7184</v>
      </c>
      <c r="C1034" s="2" t="s">
        <v>8205</v>
      </c>
      <c r="D1034" s="2" t="s">
        <v>7235</v>
      </c>
      <c r="E1034" s="2" t="s">
        <v>538</v>
      </c>
      <c r="F1034" s="2" t="s">
        <v>538</v>
      </c>
      <c r="G1034" s="2">
        <v>0</v>
      </c>
    </row>
    <row r="1035" spans="1:7" ht="15.75" customHeight="1">
      <c r="A1035" s="2" t="s">
        <v>7174</v>
      </c>
      <c r="B1035" s="2" t="s">
        <v>7184</v>
      </c>
      <c r="C1035" s="2" t="s">
        <v>8206</v>
      </c>
      <c r="D1035" s="2" t="s">
        <v>7900</v>
      </c>
      <c r="E1035" s="2" t="s">
        <v>7278</v>
      </c>
      <c r="F1035" s="2" t="s">
        <v>7278</v>
      </c>
      <c r="G1035" s="2">
        <v>0</v>
      </c>
    </row>
    <row r="1036" spans="1:7" ht="15.75" customHeight="1">
      <c r="A1036" s="2" t="s">
        <v>7174</v>
      </c>
      <c r="B1036" s="2" t="s">
        <v>7184</v>
      </c>
      <c r="C1036" s="2" t="s">
        <v>8207</v>
      </c>
      <c r="D1036" s="2" t="s">
        <v>7900</v>
      </c>
      <c r="E1036" s="2" t="s">
        <v>7278</v>
      </c>
      <c r="F1036" s="2" t="s">
        <v>7278</v>
      </c>
      <c r="G1036" s="2">
        <v>0</v>
      </c>
    </row>
    <row r="1037" spans="1:7" ht="15.75" customHeight="1">
      <c r="A1037" s="2" t="s">
        <v>7174</v>
      </c>
      <c r="B1037" s="2" t="s">
        <v>7184</v>
      </c>
      <c r="C1037" s="2" t="s">
        <v>8208</v>
      </c>
      <c r="D1037" s="2" t="s">
        <v>7521</v>
      </c>
      <c r="E1037" s="2" t="s">
        <v>7215</v>
      </c>
      <c r="F1037" s="2" t="s">
        <v>7215</v>
      </c>
      <c r="G1037" s="2">
        <v>255</v>
      </c>
    </row>
    <row r="1038" spans="1:7" ht="15.75" customHeight="1">
      <c r="A1038" s="2" t="s">
        <v>7174</v>
      </c>
      <c r="B1038" s="2" t="s">
        <v>7184</v>
      </c>
      <c r="C1038" s="2" t="s">
        <v>8209</v>
      </c>
      <c r="D1038" s="2" t="s">
        <v>7216</v>
      </c>
      <c r="E1038" s="2" t="s">
        <v>7215</v>
      </c>
      <c r="F1038" s="2" t="s">
        <v>7215</v>
      </c>
      <c r="G1038" s="2">
        <v>255</v>
      </c>
    </row>
    <row r="1039" spans="1:7" ht="15.75" customHeight="1">
      <c r="A1039" s="2" t="s">
        <v>7174</v>
      </c>
      <c r="B1039" s="2" t="s">
        <v>7184</v>
      </c>
      <c r="C1039" s="2" t="s">
        <v>8210</v>
      </c>
      <c r="D1039" s="2" t="s">
        <v>7216</v>
      </c>
      <c r="E1039" s="2" t="s">
        <v>7215</v>
      </c>
      <c r="F1039" s="2" t="s">
        <v>7215</v>
      </c>
      <c r="G1039" s="2">
        <v>255</v>
      </c>
    </row>
    <row r="1040" spans="1:7" ht="15.75" customHeight="1">
      <c r="A1040" s="2" t="s">
        <v>7174</v>
      </c>
      <c r="B1040" s="2" t="s">
        <v>7184</v>
      </c>
      <c r="C1040" s="2" t="s">
        <v>8211</v>
      </c>
      <c r="D1040" s="2" t="s">
        <v>7216</v>
      </c>
      <c r="E1040" s="2" t="s">
        <v>7215</v>
      </c>
      <c r="F1040" s="2" t="s">
        <v>7215</v>
      </c>
      <c r="G1040" s="2">
        <v>255</v>
      </c>
    </row>
    <row r="1041" spans="1:7" ht="15.75" customHeight="1">
      <c r="A1041" s="2" t="s">
        <v>7174</v>
      </c>
      <c r="B1041" s="2" t="s">
        <v>7184</v>
      </c>
      <c r="C1041" s="2" t="s">
        <v>8212</v>
      </c>
      <c r="D1041" s="2" t="s">
        <v>7216</v>
      </c>
      <c r="E1041" s="2" t="s">
        <v>7215</v>
      </c>
      <c r="F1041" s="2" t="s">
        <v>7215</v>
      </c>
      <c r="G1041" s="2">
        <v>255</v>
      </c>
    </row>
    <row r="1042" spans="1:7" ht="15.75" customHeight="1">
      <c r="A1042" s="2" t="s">
        <v>7174</v>
      </c>
      <c r="B1042" s="2" t="s">
        <v>7184</v>
      </c>
      <c r="C1042" s="2" t="s">
        <v>8213</v>
      </c>
      <c r="D1042" s="2" t="s">
        <v>7259</v>
      </c>
      <c r="E1042" s="2" t="s">
        <v>7215</v>
      </c>
      <c r="F1042" s="2" t="s">
        <v>7215</v>
      </c>
      <c r="G1042" s="2">
        <v>255</v>
      </c>
    </row>
    <row r="1043" spans="1:7" ht="15.75" customHeight="1">
      <c r="A1043" s="2" t="s">
        <v>7174</v>
      </c>
      <c r="B1043" s="2" t="s">
        <v>7184</v>
      </c>
      <c r="C1043" s="2" t="s">
        <v>8214</v>
      </c>
      <c r="D1043" s="2" t="s">
        <v>7450</v>
      </c>
      <c r="E1043" s="2" t="s">
        <v>7215</v>
      </c>
      <c r="F1043" s="2" t="s">
        <v>7215</v>
      </c>
      <c r="G1043" s="2">
        <v>200</v>
      </c>
    </row>
    <row r="1044" spans="1:7" ht="15.75" customHeight="1">
      <c r="A1044" s="2" t="s">
        <v>7174</v>
      </c>
      <c r="B1044" s="2" t="s">
        <v>7184</v>
      </c>
      <c r="C1044" s="2" t="s">
        <v>8215</v>
      </c>
      <c r="D1044" s="2" t="s">
        <v>7277</v>
      </c>
      <c r="E1044" s="2" t="s">
        <v>7278</v>
      </c>
      <c r="F1044" s="2" t="s">
        <v>7278</v>
      </c>
      <c r="G1044" s="2">
        <v>0</v>
      </c>
    </row>
    <row r="1045" spans="1:7" ht="15.75" customHeight="1">
      <c r="A1045" s="2" t="s">
        <v>7174</v>
      </c>
      <c r="B1045" s="2" t="s">
        <v>7184</v>
      </c>
      <c r="C1045" s="2" t="s">
        <v>8216</v>
      </c>
      <c r="D1045" s="2" t="s">
        <v>7284</v>
      </c>
      <c r="E1045" s="2" t="s">
        <v>7215</v>
      </c>
      <c r="F1045" s="2" t="s">
        <v>7215</v>
      </c>
      <c r="G1045" s="2">
        <v>1300</v>
      </c>
    </row>
    <row r="1046" spans="1:7" ht="15.75" customHeight="1">
      <c r="A1046" s="2" t="s">
        <v>7174</v>
      </c>
      <c r="B1046" s="2" t="s">
        <v>7184</v>
      </c>
      <c r="C1046" s="2" t="s">
        <v>8217</v>
      </c>
      <c r="D1046" s="2" t="s">
        <v>7212</v>
      </c>
      <c r="E1046" s="2" t="s">
        <v>5672</v>
      </c>
      <c r="F1046" s="2" t="s">
        <v>5672</v>
      </c>
      <c r="G1046" s="2">
        <v>0</v>
      </c>
    </row>
    <row r="1047" spans="1:7" ht="15.75" customHeight="1">
      <c r="A1047" s="2" t="s">
        <v>7174</v>
      </c>
      <c r="B1047" s="2" t="s">
        <v>7184</v>
      </c>
      <c r="C1047" s="2" t="s">
        <v>8218</v>
      </c>
      <c r="D1047" s="2" t="s">
        <v>7264</v>
      </c>
      <c r="E1047" s="2" t="s">
        <v>7215</v>
      </c>
      <c r="F1047" s="2" t="s">
        <v>7215</v>
      </c>
      <c r="G1047" s="2">
        <v>20</v>
      </c>
    </row>
    <row r="1048" spans="1:7" ht="15.75" customHeight="1">
      <c r="A1048" s="2" t="s">
        <v>7174</v>
      </c>
      <c r="B1048" s="2" t="s">
        <v>7184</v>
      </c>
      <c r="C1048" s="2" t="s">
        <v>8219</v>
      </c>
      <c r="D1048" s="2" t="s">
        <v>7216</v>
      </c>
      <c r="E1048" s="2" t="s">
        <v>7215</v>
      </c>
      <c r="F1048" s="2" t="s">
        <v>7215</v>
      </c>
      <c r="G1048" s="2">
        <v>255</v>
      </c>
    </row>
    <row r="1049" spans="1:7" ht="15.75" customHeight="1">
      <c r="A1049" s="2" t="s">
        <v>7174</v>
      </c>
      <c r="B1049" s="2" t="s">
        <v>7184</v>
      </c>
      <c r="C1049" s="2" t="s">
        <v>8220</v>
      </c>
      <c r="D1049" s="2" t="s">
        <v>8221</v>
      </c>
      <c r="E1049" s="2" t="s">
        <v>7278</v>
      </c>
      <c r="F1049" s="2" t="s">
        <v>7278</v>
      </c>
      <c r="G1049" s="2">
        <v>0</v>
      </c>
    </row>
    <row r="1050" spans="1:7" ht="15.75" customHeight="1">
      <c r="A1050" s="2" t="s">
        <v>7174</v>
      </c>
      <c r="B1050" s="2" t="s">
        <v>7184</v>
      </c>
      <c r="C1050" s="2" t="s">
        <v>8222</v>
      </c>
      <c r="D1050" s="2" t="s">
        <v>8221</v>
      </c>
      <c r="E1050" s="2" t="s">
        <v>7278</v>
      </c>
      <c r="F1050" s="2" t="s">
        <v>7278</v>
      </c>
      <c r="G1050" s="2">
        <v>0</v>
      </c>
    </row>
    <row r="1051" spans="1:7" ht="15.75" customHeight="1">
      <c r="A1051" s="2" t="s">
        <v>7174</v>
      </c>
      <c r="B1051" s="2" t="s">
        <v>7184</v>
      </c>
      <c r="C1051" s="2" t="s">
        <v>8223</v>
      </c>
      <c r="D1051" s="2" t="s">
        <v>8224</v>
      </c>
      <c r="E1051" s="2" t="s">
        <v>4440</v>
      </c>
      <c r="F1051" s="2" t="s">
        <v>4440</v>
      </c>
      <c r="G1051" s="2">
        <v>0</v>
      </c>
    </row>
    <row r="1052" spans="1:7" ht="15.75" customHeight="1">
      <c r="A1052" s="2" t="s">
        <v>7174</v>
      </c>
      <c r="B1052" s="2" t="s">
        <v>7184</v>
      </c>
      <c r="C1052" s="2" t="s">
        <v>8225</v>
      </c>
      <c r="D1052" s="2" t="s">
        <v>7284</v>
      </c>
      <c r="E1052" s="2" t="s">
        <v>7215</v>
      </c>
      <c r="F1052" s="2" t="s">
        <v>7215</v>
      </c>
      <c r="G1052" s="2">
        <v>1300</v>
      </c>
    </row>
    <row r="1053" spans="1:7" ht="15.75" customHeight="1">
      <c r="A1053" s="2" t="s">
        <v>7174</v>
      </c>
      <c r="B1053" s="2" t="s">
        <v>7184</v>
      </c>
      <c r="C1053" s="2" t="s">
        <v>8226</v>
      </c>
      <c r="D1053" s="2" t="s">
        <v>7235</v>
      </c>
      <c r="E1053" s="2" t="s">
        <v>538</v>
      </c>
      <c r="F1053" s="2" t="s">
        <v>538</v>
      </c>
      <c r="G1053" s="2">
        <v>0</v>
      </c>
    </row>
    <row r="1054" spans="1:7" ht="15.75" customHeight="1">
      <c r="A1054" s="2" t="s">
        <v>7174</v>
      </c>
      <c r="B1054" s="2" t="s">
        <v>7184</v>
      </c>
      <c r="C1054" s="2" t="s">
        <v>8227</v>
      </c>
      <c r="D1054" s="2" t="s">
        <v>7284</v>
      </c>
      <c r="E1054" s="2" t="s">
        <v>7215</v>
      </c>
      <c r="F1054" s="2" t="s">
        <v>7215</v>
      </c>
      <c r="G1054" s="2">
        <v>1300</v>
      </c>
    </row>
    <row r="1055" spans="1:7" ht="15.75" customHeight="1">
      <c r="A1055" s="2" t="s">
        <v>7174</v>
      </c>
      <c r="B1055" s="2" t="s">
        <v>7184</v>
      </c>
      <c r="C1055" s="2" t="s">
        <v>8228</v>
      </c>
      <c r="D1055" s="2" t="s">
        <v>7284</v>
      </c>
      <c r="E1055" s="2" t="s">
        <v>7215</v>
      </c>
      <c r="F1055" s="2" t="s">
        <v>7215</v>
      </c>
      <c r="G1055" s="2">
        <v>1300</v>
      </c>
    </row>
    <row r="1056" spans="1:7" ht="15.75" customHeight="1">
      <c r="A1056" s="2" t="s">
        <v>7174</v>
      </c>
      <c r="B1056" s="2" t="s">
        <v>7184</v>
      </c>
      <c r="C1056" s="2" t="s">
        <v>8229</v>
      </c>
      <c r="D1056" s="2" t="s">
        <v>7284</v>
      </c>
      <c r="E1056" s="2" t="s">
        <v>7215</v>
      </c>
      <c r="F1056" s="2" t="s">
        <v>7215</v>
      </c>
      <c r="G1056" s="2">
        <v>1300</v>
      </c>
    </row>
    <row r="1057" spans="1:7" ht="15.75" customHeight="1">
      <c r="A1057" s="2" t="s">
        <v>7174</v>
      </c>
      <c r="B1057" s="2" t="s">
        <v>7184</v>
      </c>
      <c r="C1057" s="2" t="s">
        <v>8230</v>
      </c>
      <c r="D1057" s="2" t="s">
        <v>7284</v>
      </c>
      <c r="E1057" s="2" t="s">
        <v>7215</v>
      </c>
      <c r="F1057" s="2" t="s">
        <v>7215</v>
      </c>
      <c r="G1057" s="2">
        <v>1300</v>
      </c>
    </row>
    <row r="1058" spans="1:7" ht="15.75" customHeight="1">
      <c r="A1058" s="2" t="s">
        <v>7174</v>
      </c>
      <c r="B1058" s="2" t="s">
        <v>7184</v>
      </c>
      <c r="C1058" s="2" t="s">
        <v>8231</v>
      </c>
      <c r="D1058" s="2" t="s">
        <v>8232</v>
      </c>
      <c r="E1058" s="2" t="s">
        <v>7278</v>
      </c>
      <c r="F1058" s="2" t="s">
        <v>7278</v>
      </c>
      <c r="G1058" s="2">
        <v>0</v>
      </c>
    </row>
    <row r="1059" spans="1:7" ht="15.75" customHeight="1">
      <c r="A1059" s="2" t="s">
        <v>7174</v>
      </c>
      <c r="B1059" s="2" t="s">
        <v>7184</v>
      </c>
      <c r="C1059" s="2" t="s">
        <v>8233</v>
      </c>
      <c r="D1059" s="2" t="s">
        <v>7284</v>
      </c>
      <c r="E1059" s="2" t="s">
        <v>7215</v>
      </c>
      <c r="F1059" s="2" t="s">
        <v>7215</v>
      </c>
      <c r="G1059" s="2">
        <v>1300</v>
      </c>
    </row>
    <row r="1060" spans="1:7" ht="15.75" customHeight="1">
      <c r="A1060" s="2" t="s">
        <v>7174</v>
      </c>
      <c r="B1060" s="2" t="s">
        <v>7184</v>
      </c>
      <c r="C1060" s="2" t="s">
        <v>8234</v>
      </c>
      <c r="D1060" s="2" t="s">
        <v>7284</v>
      </c>
      <c r="E1060" s="2" t="s">
        <v>7215</v>
      </c>
      <c r="F1060" s="2" t="s">
        <v>7215</v>
      </c>
      <c r="G1060" s="2">
        <v>1300</v>
      </c>
    </row>
    <row r="1061" spans="1:7" ht="15.75" customHeight="1">
      <c r="A1061" s="2" t="s">
        <v>7174</v>
      </c>
      <c r="B1061" s="2" t="s">
        <v>7184</v>
      </c>
      <c r="C1061" s="2" t="s">
        <v>8235</v>
      </c>
      <c r="D1061" s="2" t="s">
        <v>8221</v>
      </c>
      <c r="E1061" s="2" t="s">
        <v>7278</v>
      </c>
      <c r="F1061" s="2" t="s">
        <v>7278</v>
      </c>
      <c r="G1061" s="2">
        <v>0</v>
      </c>
    </row>
    <row r="1062" spans="1:7" ht="15.75" customHeight="1">
      <c r="A1062" s="2" t="s">
        <v>7174</v>
      </c>
      <c r="B1062" s="2" t="s">
        <v>7184</v>
      </c>
      <c r="C1062" s="2" t="s">
        <v>8236</v>
      </c>
      <c r="D1062" s="2" t="s">
        <v>8024</v>
      </c>
      <c r="E1062" s="2" t="s">
        <v>7278</v>
      </c>
      <c r="F1062" s="2" t="s">
        <v>7278</v>
      </c>
      <c r="G1062" s="2">
        <v>0</v>
      </c>
    </row>
    <row r="1063" spans="1:7" ht="15.75" customHeight="1">
      <c r="A1063" s="2" t="s">
        <v>7174</v>
      </c>
      <c r="B1063" s="2" t="s">
        <v>7184</v>
      </c>
      <c r="C1063" s="2" t="s">
        <v>8237</v>
      </c>
      <c r="D1063" s="2" t="s">
        <v>7284</v>
      </c>
      <c r="E1063" s="2" t="s">
        <v>7215</v>
      </c>
      <c r="F1063" s="2" t="s">
        <v>7215</v>
      </c>
      <c r="G1063" s="2">
        <v>1300</v>
      </c>
    </row>
    <row r="1064" spans="1:7" ht="15.75" customHeight="1">
      <c r="A1064" s="2" t="s">
        <v>7174</v>
      </c>
      <c r="B1064" s="2" t="s">
        <v>7184</v>
      </c>
      <c r="C1064" s="2" t="s">
        <v>8238</v>
      </c>
      <c r="D1064" s="2" t="s">
        <v>7277</v>
      </c>
      <c r="E1064" s="2" t="s">
        <v>7278</v>
      </c>
      <c r="F1064" s="2" t="s">
        <v>7278</v>
      </c>
      <c r="G1064" s="2">
        <v>0</v>
      </c>
    </row>
    <row r="1065" spans="1:7" ht="15.75" customHeight="1">
      <c r="A1065" s="2" t="s">
        <v>7174</v>
      </c>
      <c r="B1065" s="2" t="s">
        <v>7184</v>
      </c>
      <c r="C1065" s="2" t="s">
        <v>8239</v>
      </c>
      <c r="D1065" s="2" t="s">
        <v>7259</v>
      </c>
      <c r="E1065" s="2" t="s">
        <v>7215</v>
      </c>
      <c r="F1065" s="2" t="s">
        <v>7215</v>
      </c>
      <c r="G1065" s="2">
        <v>255</v>
      </c>
    </row>
    <row r="1066" spans="1:7" ht="15.75" customHeight="1">
      <c r="A1066" s="2" t="s">
        <v>7174</v>
      </c>
      <c r="B1066" s="2" t="s">
        <v>7184</v>
      </c>
      <c r="C1066" s="2" t="s">
        <v>8240</v>
      </c>
      <c r="D1066" s="2" t="s">
        <v>7216</v>
      </c>
      <c r="E1066" s="2" t="s">
        <v>7215</v>
      </c>
      <c r="F1066" s="2" t="s">
        <v>7215</v>
      </c>
      <c r="G1066" s="2">
        <v>255</v>
      </c>
    </row>
    <row r="1067" spans="1:7" ht="15.75" customHeight="1">
      <c r="A1067" s="2" t="s">
        <v>7174</v>
      </c>
      <c r="B1067" s="2" t="s">
        <v>7184</v>
      </c>
      <c r="C1067" s="2" t="s">
        <v>8241</v>
      </c>
      <c r="D1067" s="2" t="s">
        <v>7439</v>
      </c>
      <c r="E1067" s="2" t="s">
        <v>5672</v>
      </c>
      <c r="F1067" s="2" t="s">
        <v>5672</v>
      </c>
      <c r="G1067" s="2">
        <v>0</v>
      </c>
    </row>
    <row r="1068" spans="1:7" ht="15.75" customHeight="1">
      <c r="A1068" s="2" t="s">
        <v>7174</v>
      </c>
      <c r="B1068" s="2" t="s">
        <v>7184</v>
      </c>
      <c r="C1068" s="2" t="s">
        <v>8242</v>
      </c>
      <c r="D1068" s="2" t="s">
        <v>7277</v>
      </c>
      <c r="E1068" s="2" t="s">
        <v>7278</v>
      </c>
      <c r="F1068" s="2" t="s">
        <v>7278</v>
      </c>
      <c r="G1068" s="2">
        <v>0</v>
      </c>
    </row>
    <row r="1069" spans="1:7" ht="15.75" customHeight="1">
      <c r="A1069" s="2" t="s">
        <v>7174</v>
      </c>
      <c r="B1069" s="2" t="s">
        <v>7184</v>
      </c>
      <c r="C1069" s="2" t="s">
        <v>8243</v>
      </c>
      <c r="D1069" s="2" t="s">
        <v>7582</v>
      </c>
      <c r="E1069" s="2" t="s">
        <v>538</v>
      </c>
      <c r="F1069" s="2" t="s">
        <v>538</v>
      </c>
      <c r="G1069" s="2">
        <v>0</v>
      </c>
    </row>
    <row r="1070" spans="1:7" ht="15.75" customHeight="1">
      <c r="A1070" s="2" t="s">
        <v>7174</v>
      </c>
      <c r="B1070" s="2" t="s">
        <v>7184</v>
      </c>
      <c r="C1070" s="2" t="s">
        <v>8244</v>
      </c>
      <c r="D1070" s="2" t="s">
        <v>7277</v>
      </c>
      <c r="E1070" s="2" t="s">
        <v>7278</v>
      </c>
      <c r="F1070" s="2" t="s">
        <v>7278</v>
      </c>
      <c r="G1070" s="2">
        <v>0</v>
      </c>
    </row>
    <row r="1071" spans="1:7" ht="15.75" customHeight="1">
      <c r="A1071" s="2" t="s">
        <v>7174</v>
      </c>
      <c r="B1071" s="2" t="s">
        <v>7185</v>
      </c>
      <c r="C1071" s="2" t="s">
        <v>4304</v>
      </c>
      <c r="D1071" s="2" t="s">
        <v>7209</v>
      </c>
      <c r="E1071" s="2" t="s">
        <v>3897</v>
      </c>
      <c r="F1071" s="2" t="s">
        <v>7210</v>
      </c>
      <c r="G1071" s="2">
        <v>18</v>
      </c>
    </row>
    <row r="1072" spans="1:7" ht="15.75" customHeight="1">
      <c r="A1072" s="2" t="s">
        <v>7174</v>
      </c>
      <c r="B1072" s="2" t="s">
        <v>7185</v>
      </c>
      <c r="C1072" s="2" t="s">
        <v>7211</v>
      </c>
      <c r="D1072" s="2" t="s">
        <v>7212</v>
      </c>
      <c r="E1072" s="2" t="s">
        <v>5672</v>
      </c>
      <c r="F1072" s="2" t="s">
        <v>5672</v>
      </c>
      <c r="G1072" s="2">
        <v>0</v>
      </c>
    </row>
    <row r="1073" spans="1:7" ht="15.75" customHeight="1">
      <c r="A1073" s="2" t="s">
        <v>7174</v>
      </c>
      <c r="B1073" s="2" t="s">
        <v>7185</v>
      </c>
      <c r="C1073" s="2" t="s">
        <v>4306</v>
      </c>
      <c r="D1073" s="2" t="s">
        <v>6840</v>
      </c>
      <c r="E1073" s="2" t="s">
        <v>7215</v>
      </c>
      <c r="F1073" s="2" t="s">
        <v>7215</v>
      </c>
      <c r="G1073" s="2">
        <v>80</v>
      </c>
    </row>
    <row r="1074" spans="1:7" ht="15.75" customHeight="1">
      <c r="A1074" s="2" t="s">
        <v>7174</v>
      </c>
      <c r="B1074" s="2" t="s">
        <v>7185</v>
      </c>
      <c r="C1074" s="2" t="s">
        <v>7135</v>
      </c>
      <c r="D1074" s="2" t="s">
        <v>7235</v>
      </c>
      <c r="E1074" s="2" t="s">
        <v>538</v>
      </c>
      <c r="F1074" s="2" t="s">
        <v>538</v>
      </c>
      <c r="G1074" s="2">
        <v>0</v>
      </c>
    </row>
    <row r="1075" spans="1:7" ht="15.75" customHeight="1">
      <c r="A1075" s="2" t="s">
        <v>7174</v>
      </c>
      <c r="B1075" s="2" t="s">
        <v>7185</v>
      </c>
      <c r="C1075" s="2" t="s">
        <v>7236</v>
      </c>
      <c r="D1075" s="2" t="s">
        <v>7234</v>
      </c>
      <c r="E1075" s="2" t="s">
        <v>3897</v>
      </c>
      <c r="F1075" s="2" t="s">
        <v>7210</v>
      </c>
      <c r="G1075" s="2">
        <v>18</v>
      </c>
    </row>
    <row r="1076" spans="1:7" ht="15.75" customHeight="1">
      <c r="A1076" s="2" t="s">
        <v>7174</v>
      </c>
      <c r="B1076" s="2" t="s">
        <v>7185</v>
      </c>
      <c r="C1076" s="2" t="s">
        <v>7176</v>
      </c>
      <c r="D1076" s="2" t="s">
        <v>7235</v>
      </c>
      <c r="E1076" s="2" t="s">
        <v>538</v>
      </c>
      <c r="F1076" s="2" t="s">
        <v>538</v>
      </c>
      <c r="G1076" s="2">
        <v>0</v>
      </c>
    </row>
    <row r="1077" spans="1:7" ht="15.75" customHeight="1">
      <c r="A1077" s="2" t="s">
        <v>7174</v>
      </c>
      <c r="B1077" s="2" t="s">
        <v>7185</v>
      </c>
      <c r="C1077" s="2" t="s">
        <v>7237</v>
      </c>
      <c r="D1077" s="2" t="s">
        <v>7234</v>
      </c>
      <c r="E1077" s="2" t="s">
        <v>3897</v>
      </c>
      <c r="F1077" s="2" t="s">
        <v>7210</v>
      </c>
      <c r="G1077" s="2">
        <v>18</v>
      </c>
    </row>
    <row r="1078" spans="1:7" ht="15.75" customHeight="1">
      <c r="A1078" s="2" t="s">
        <v>7174</v>
      </c>
      <c r="B1078" s="2" t="s">
        <v>7185</v>
      </c>
      <c r="C1078" s="2" t="s">
        <v>7238</v>
      </c>
      <c r="D1078" s="2" t="s">
        <v>7235</v>
      </c>
      <c r="E1078" s="2" t="s">
        <v>538</v>
      </c>
      <c r="F1078" s="2" t="s">
        <v>538</v>
      </c>
      <c r="G1078" s="2">
        <v>0</v>
      </c>
    </row>
    <row r="1079" spans="1:7" ht="15.75" customHeight="1">
      <c r="A1079" s="2" t="s">
        <v>7174</v>
      </c>
      <c r="B1079" s="2" t="s">
        <v>7185</v>
      </c>
      <c r="C1079" s="2" t="s">
        <v>7242</v>
      </c>
      <c r="D1079" s="2" t="s">
        <v>7243</v>
      </c>
      <c r="E1079" s="2" t="s">
        <v>3897</v>
      </c>
      <c r="F1079" s="2" t="s">
        <v>7210</v>
      </c>
      <c r="G1079" s="2">
        <v>18</v>
      </c>
    </row>
    <row r="1080" spans="1:7" ht="15.75" customHeight="1">
      <c r="A1080" s="2" t="s">
        <v>7174</v>
      </c>
      <c r="B1080" s="2" t="s">
        <v>7185</v>
      </c>
      <c r="C1080" s="2" t="s">
        <v>8245</v>
      </c>
      <c r="D1080" s="2" t="s">
        <v>8246</v>
      </c>
      <c r="E1080" s="2" t="s">
        <v>3897</v>
      </c>
      <c r="F1080" s="2" t="s">
        <v>7210</v>
      </c>
      <c r="G1080" s="2">
        <v>18</v>
      </c>
    </row>
    <row r="1081" spans="1:7" ht="15.75" customHeight="1">
      <c r="A1081" s="2" t="s">
        <v>7174</v>
      </c>
      <c r="B1081" s="2" t="s">
        <v>7185</v>
      </c>
      <c r="C1081" s="2" t="s">
        <v>7899</v>
      </c>
      <c r="D1081" s="2" t="s">
        <v>7900</v>
      </c>
      <c r="E1081" s="2" t="s">
        <v>7278</v>
      </c>
      <c r="F1081" s="2" t="s">
        <v>7278</v>
      </c>
      <c r="G1081" s="2">
        <v>0</v>
      </c>
    </row>
    <row r="1082" spans="1:7" ht="15.75" customHeight="1">
      <c r="A1082" s="2" t="s">
        <v>7174</v>
      </c>
      <c r="B1082" s="2" t="s">
        <v>7185</v>
      </c>
      <c r="C1082" s="2" t="s">
        <v>8215</v>
      </c>
      <c r="D1082" s="2" t="s">
        <v>7277</v>
      </c>
      <c r="E1082" s="2" t="s">
        <v>7278</v>
      </c>
      <c r="F1082" s="2" t="s">
        <v>7278</v>
      </c>
      <c r="G1082" s="2">
        <v>0</v>
      </c>
    </row>
    <row r="1083" spans="1:7" ht="15.75" customHeight="1">
      <c r="A1083" s="2" t="s">
        <v>7174</v>
      </c>
      <c r="B1083" s="2" t="s">
        <v>7185</v>
      </c>
      <c r="C1083" s="2" t="s">
        <v>8051</v>
      </c>
      <c r="D1083" s="2" t="s">
        <v>7277</v>
      </c>
      <c r="E1083" s="2" t="s">
        <v>7278</v>
      </c>
      <c r="F1083" s="2" t="s">
        <v>7278</v>
      </c>
      <c r="G1083" s="2">
        <v>0</v>
      </c>
    </row>
    <row r="1084" spans="1:7" ht="15.75" customHeight="1">
      <c r="A1084" s="2" t="s">
        <v>7174</v>
      </c>
      <c r="B1084" s="2" t="s">
        <v>7186</v>
      </c>
      <c r="C1084" s="2" t="s">
        <v>4304</v>
      </c>
      <c r="D1084" s="2" t="s">
        <v>7209</v>
      </c>
      <c r="E1084" s="2" t="s">
        <v>3897</v>
      </c>
      <c r="F1084" s="2" t="s">
        <v>7210</v>
      </c>
      <c r="G1084" s="2">
        <v>18</v>
      </c>
    </row>
    <row r="1085" spans="1:7" ht="15.75" customHeight="1">
      <c r="A1085" s="2" t="s">
        <v>7174</v>
      </c>
      <c r="B1085" s="2" t="s">
        <v>7186</v>
      </c>
      <c r="C1085" s="2" t="s">
        <v>7211</v>
      </c>
      <c r="D1085" s="2" t="s">
        <v>7212</v>
      </c>
      <c r="E1085" s="2" t="s">
        <v>5672</v>
      </c>
      <c r="F1085" s="2" t="s">
        <v>5672</v>
      </c>
      <c r="G1085" s="2">
        <v>0</v>
      </c>
    </row>
    <row r="1086" spans="1:7" ht="15.75" customHeight="1">
      <c r="A1086" s="2" t="s">
        <v>7174</v>
      </c>
      <c r="B1086" s="2" t="s">
        <v>7186</v>
      </c>
      <c r="C1086" s="2" t="s">
        <v>4306</v>
      </c>
      <c r="D1086" s="2" t="s">
        <v>6840</v>
      </c>
      <c r="E1086" s="2" t="s">
        <v>7215</v>
      </c>
      <c r="F1086" s="2" t="s">
        <v>7215</v>
      </c>
      <c r="G1086" s="2">
        <v>80</v>
      </c>
    </row>
    <row r="1087" spans="1:7" ht="15.75" customHeight="1">
      <c r="A1087" s="2" t="s">
        <v>7174</v>
      </c>
      <c r="B1087" s="2" t="s">
        <v>7186</v>
      </c>
      <c r="C1087" s="2" t="s">
        <v>7135</v>
      </c>
      <c r="D1087" s="2" t="s">
        <v>7235</v>
      </c>
      <c r="E1087" s="2" t="s">
        <v>538</v>
      </c>
      <c r="F1087" s="2" t="s">
        <v>538</v>
      </c>
      <c r="G1087" s="2">
        <v>0</v>
      </c>
    </row>
    <row r="1088" spans="1:7" ht="15.75" customHeight="1">
      <c r="A1088" s="2" t="s">
        <v>7174</v>
      </c>
      <c r="B1088" s="2" t="s">
        <v>7186</v>
      </c>
      <c r="C1088" s="2" t="s">
        <v>7236</v>
      </c>
      <c r="D1088" s="2" t="s">
        <v>7234</v>
      </c>
      <c r="E1088" s="2" t="s">
        <v>3897</v>
      </c>
      <c r="F1088" s="2" t="s">
        <v>7210</v>
      </c>
      <c r="G1088" s="2">
        <v>18</v>
      </c>
    </row>
    <row r="1089" spans="1:7" ht="15.75" customHeight="1">
      <c r="A1089" s="2" t="s">
        <v>7174</v>
      </c>
      <c r="B1089" s="2" t="s">
        <v>7186</v>
      </c>
      <c r="C1089" s="2" t="s">
        <v>7176</v>
      </c>
      <c r="D1089" s="2" t="s">
        <v>7235</v>
      </c>
      <c r="E1089" s="2" t="s">
        <v>538</v>
      </c>
      <c r="F1089" s="2" t="s">
        <v>538</v>
      </c>
      <c r="G1089" s="2">
        <v>0</v>
      </c>
    </row>
    <row r="1090" spans="1:7" ht="15.75" customHeight="1">
      <c r="A1090" s="2" t="s">
        <v>7174</v>
      </c>
      <c r="B1090" s="2" t="s">
        <v>7186</v>
      </c>
      <c r="C1090" s="2" t="s">
        <v>7237</v>
      </c>
      <c r="D1090" s="2" t="s">
        <v>7234</v>
      </c>
      <c r="E1090" s="2" t="s">
        <v>3897</v>
      </c>
      <c r="F1090" s="2" t="s">
        <v>7210</v>
      </c>
      <c r="G1090" s="2">
        <v>18</v>
      </c>
    </row>
    <row r="1091" spans="1:7" ht="15.75" customHeight="1">
      <c r="A1091" s="2" t="s">
        <v>7174</v>
      </c>
      <c r="B1091" s="2" t="s">
        <v>7186</v>
      </c>
      <c r="C1091" s="2" t="s">
        <v>7238</v>
      </c>
      <c r="D1091" s="2" t="s">
        <v>7235</v>
      </c>
      <c r="E1091" s="2" t="s">
        <v>538</v>
      </c>
      <c r="F1091" s="2" t="s">
        <v>538</v>
      </c>
      <c r="G1091" s="2">
        <v>0</v>
      </c>
    </row>
    <row r="1092" spans="1:7" ht="15.75" customHeight="1">
      <c r="A1092" s="2" t="s">
        <v>7174</v>
      </c>
      <c r="B1092" s="2" t="s">
        <v>7186</v>
      </c>
      <c r="C1092" s="2" t="s">
        <v>7242</v>
      </c>
      <c r="D1092" s="2" t="s">
        <v>7243</v>
      </c>
      <c r="E1092" s="2" t="s">
        <v>3897</v>
      </c>
      <c r="F1092" s="2" t="s">
        <v>7210</v>
      </c>
      <c r="G1092" s="2">
        <v>18</v>
      </c>
    </row>
    <row r="1093" spans="1:7" ht="15.75" customHeight="1">
      <c r="A1093" s="2" t="s">
        <v>7174</v>
      </c>
      <c r="B1093" s="2" t="s">
        <v>7186</v>
      </c>
      <c r="C1093" s="2" t="s">
        <v>8247</v>
      </c>
      <c r="D1093" s="2" t="s">
        <v>8246</v>
      </c>
      <c r="E1093" s="2" t="s">
        <v>3897</v>
      </c>
      <c r="F1093" s="2" t="s">
        <v>7210</v>
      </c>
      <c r="G1093" s="2">
        <v>18</v>
      </c>
    </row>
    <row r="1094" spans="1:7" ht="15.75" customHeight="1">
      <c r="A1094" s="2" t="s">
        <v>7174</v>
      </c>
      <c r="B1094" s="2" t="s">
        <v>7186</v>
      </c>
      <c r="C1094" s="2" t="s">
        <v>7905</v>
      </c>
      <c r="D1094" s="2" t="s">
        <v>7906</v>
      </c>
      <c r="E1094" s="2" t="s">
        <v>3897</v>
      </c>
      <c r="F1094" s="2" t="s">
        <v>7210</v>
      </c>
      <c r="G1094" s="2">
        <v>18</v>
      </c>
    </row>
    <row r="1095" spans="1:7" ht="15.75" customHeight="1">
      <c r="A1095" s="2" t="s">
        <v>7174</v>
      </c>
      <c r="B1095" s="2" t="s">
        <v>7186</v>
      </c>
      <c r="C1095" s="2" t="s">
        <v>7592</v>
      </c>
      <c r="D1095" s="2" t="s">
        <v>7214</v>
      </c>
      <c r="E1095" s="2" t="s">
        <v>3897</v>
      </c>
      <c r="F1095" s="2" t="s">
        <v>7210</v>
      </c>
      <c r="G1095" s="2">
        <v>18</v>
      </c>
    </row>
    <row r="1096" spans="1:7" ht="15.75" customHeight="1">
      <c r="A1096" s="2" t="s">
        <v>7174</v>
      </c>
      <c r="B1096" s="2" t="s">
        <v>7186</v>
      </c>
      <c r="C1096" s="2" t="s">
        <v>8248</v>
      </c>
      <c r="D1096" s="2" t="s">
        <v>7284</v>
      </c>
      <c r="E1096" s="2" t="s">
        <v>7215</v>
      </c>
      <c r="F1096" s="2" t="s">
        <v>7215</v>
      </c>
      <c r="G1096" s="2">
        <v>1300</v>
      </c>
    </row>
    <row r="1097" spans="1:7" ht="15.75" customHeight="1">
      <c r="A1097" s="2" t="s">
        <v>7174</v>
      </c>
      <c r="B1097" s="2" t="s">
        <v>7186</v>
      </c>
      <c r="C1097" s="2" t="s">
        <v>7902</v>
      </c>
      <c r="D1097" s="2" t="s">
        <v>7277</v>
      </c>
      <c r="E1097" s="2" t="s">
        <v>7278</v>
      </c>
      <c r="F1097" s="2" t="s">
        <v>7278</v>
      </c>
      <c r="G1097" s="2">
        <v>0</v>
      </c>
    </row>
    <row r="1098" spans="1:7" ht="15.75" customHeight="1">
      <c r="A1098" s="2" t="s">
        <v>7174</v>
      </c>
      <c r="B1098" s="2" t="s">
        <v>7186</v>
      </c>
      <c r="C1098" s="2" t="s">
        <v>8249</v>
      </c>
      <c r="D1098" s="2" t="s">
        <v>7589</v>
      </c>
      <c r="E1098" s="2" t="s">
        <v>1974</v>
      </c>
      <c r="F1098" s="2" t="s">
        <v>1974</v>
      </c>
      <c r="G1098" s="2">
        <v>0</v>
      </c>
    </row>
    <row r="1099" spans="1:7" ht="15.75" customHeight="1">
      <c r="A1099" s="2" t="s">
        <v>7174</v>
      </c>
      <c r="B1099" s="2" t="s">
        <v>7186</v>
      </c>
      <c r="C1099" s="2" t="s">
        <v>8250</v>
      </c>
      <c r="D1099" s="2" t="s">
        <v>7365</v>
      </c>
      <c r="E1099" s="2" t="s">
        <v>7215</v>
      </c>
      <c r="F1099" s="2" t="s">
        <v>7215</v>
      </c>
      <c r="G1099" s="2">
        <v>255</v>
      </c>
    </row>
    <row r="1100" spans="1:7" ht="15.75" customHeight="1">
      <c r="A1100" s="2" t="s">
        <v>7174</v>
      </c>
      <c r="B1100" s="2" t="s">
        <v>7186</v>
      </c>
      <c r="C1100" s="2" t="s">
        <v>8251</v>
      </c>
      <c r="D1100" s="2" t="s">
        <v>7437</v>
      </c>
      <c r="E1100" s="2" t="s">
        <v>7278</v>
      </c>
      <c r="F1100" s="2" t="s">
        <v>7278</v>
      </c>
      <c r="G1100" s="2">
        <v>0</v>
      </c>
    </row>
    <row r="1101" spans="1:7" ht="15.75" customHeight="1">
      <c r="A1101" s="2" t="s">
        <v>7174</v>
      </c>
      <c r="B1101" s="2" t="s">
        <v>7186</v>
      </c>
      <c r="C1101" s="2" t="s">
        <v>7596</v>
      </c>
      <c r="D1101" s="2" t="s">
        <v>7284</v>
      </c>
      <c r="E1101" s="2" t="s">
        <v>7215</v>
      </c>
      <c r="F1101" s="2" t="s">
        <v>7215</v>
      </c>
      <c r="G1101" s="2">
        <v>1300</v>
      </c>
    </row>
    <row r="1102" spans="1:7" ht="15.75" customHeight="1">
      <c r="A1102" s="2" t="s">
        <v>7174</v>
      </c>
      <c r="B1102" s="2" t="s">
        <v>7186</v>
      </c>
      <c r="C1102" s="2" t="s">
        <v>8252</v>
      </c>
      <c r="D1102" s="2" t="s">
        <v>7284</v>
      </c>
      <c r="E1102" s="2" t="s">
        <v>7215</v>
      </c>
      <c r="F1102" s="2" t="s">
        <v>7215</v>
      </c>
      <c r="G1102" s="2">
        <v>1300</v>
      </c>
    </row>
    <row r="1103" spans="1:7" ht="15.75" customHeight="1">
      <c r="A1103" s="2" t="s">
        <v>7174</v>
      </c>
      <c r="B1103" s="2" t="s">
        <v>7186</v>
      </c>
      <c r="C1103" s="2" t="s">
        <v>7407</v>
      </c>
      <c r="D1103" s="2" t="s">
        <v>7284</v>
      </c>
      <c r="E1103" s="2" t="s">
        <v>7215</v>
      </c>
      <c r="F1103" s="2" t="s">
        <v>7215</v>
      </c>
      <c r="G1103" s="2">
        <v>1300</v>
      </c>
    </row>
    <row r="1104" spans="1:7" ht="15.75" customHeight="1">
      <c r="A1104" s="2" t="s">
        <v>7174</v>
      </c>
      <c r="B1104" s="2" t="s">
        <v>7186</v>
      </c>
      <c r="C1104" s="2" t="s">
        <v>8253</v>
      </c>
      <c r="D1104" s="2" t="s">
        <v>7277</v>
      </c>
      <c r="E1104" s="2" t="s">
        <v>7278</v>
      </c>
      <c r="F1104" s="2" t="s">
        <v>7278</v>
      </c>
      <c r="G1104" s="2">
        <v>0</v>
      </c>
    </row>
    <row r="1105" spans="1:7" ht="15.75" customHeight="1">
      <c r="A1105" s="2" t="s">
        <v>7174</v>
      </c>
      <c r="B1105" s="2" t="s">
        <v>7186</v>
      </c>
      <c r="C1105" s="2" t="s">
        <v>8254</v>
      </c>
      <c r="D1105" s="2" t="s">
        <v>7259</v>
      </c>
      <c r="E1105" s="2" t="s">
        <v>7215</v>
      </c>
      <c r="F1105" s="2" t="s">
        <v>7215</v>
      </c>
      <c r="G1105" s="2">
        <v>255</v>
      </c>
    </row>
    <row r="1106" spans="1:7" ht="15.75" customHeight="1">
      <c r="A1106" s="2" t="s">
        <v>7174</v>
      </c>
      <c r="B1106" s="2" t="s">
        <v>7186</v>
      </c>
      <c r="C1106" s="2" t="s">
        <v>8255</v>
      </c>
      <c r="D1106" s="2" t="s">
        <v>7515</v>
      </c>
      <c r="E1106" s="2" t="s">
        <v>7278</v>
      </c>
      <c r="F1106" s="2" t="s">
        <v>7278</v>
      </c>
      <c r="G1106" s="2">
        <v>0</v>
      </c>
    </row>
    <row r="1107" spans="1:7" ht="15.75" customHeight="1">
      <c r="A1107" s="2" t="s">
        <v>7174</v>
      </c>
      <c r="B1107" s="2" t="s">
        <v>7186</v>
      </c>
      <c r="C1107" s="2" t="s">
        <v>8256</v>
      </c>
      <c r="D1107" s="2" t="s">
        <v>7515</v>
      </c>
      <c r="E1107" s="2" t="s">
        <v>7278</v>
      </c>
      <c r="F1107" s="2" t="s">
        <v>7278</v>
      </c>
      <c r="G1107" s="2">
        <v>0</v>
      </c>
    </row>
    <row r="1108" spans="1:7" ht="15.75" customHeight="1">
      <c r="A1108" s="2" t="s">
        <v>7174</v>
      </c>
      <c r="B1108" s="2" t="s">
        <v>7186</v>
      </c>
      <c r="C1108" s="2" t="s">
        <v>8257</v>
      </c>
      <c r="D1108" s="2" t="s">
        <v>6212</v>
      </c>
      <c r="E1108" s="2" t="s">
        <v>1974</v>
      </c>
      <c r="F1108" s="2" t="s">
        <v>1974</v>
      </c>
      <c r="G1108" s="2">
        <v>0</v>
      </c>
    </row>
    <row r="1109" spans="1:7" ht="15.75" customHeight="1">
      <c r="A1109" s="2" t="s">
        <v>7174</v>
      </c>
      <c r="B1109" s="2" t="s">
        <v>7186</v>
      </c>
      <c r="C1109" s="2" t="s">
        <v>8258</v>
      </c>
      <c r="D1109" s="2" t="s">
        <v>7331</v>
      </c>
      <c r="E1109" s="2" t="s">
        <v>7278</v>
      </c>
      <c r="F1109" s="2" t="s">
        <v>7278</v>
      </c>
      <c r="G1109" s="2">
        <v>0</v>
      </c>
    </row>
    <row r="1110" spans="1:7" ht="15.75" customHeight="1">
      <c r="A1110" s="2" t="s">
        <v>7174</v>
      </c>
      <c r="B1110" s="2" t="s">
        <v>7186</v>
      </c>
      <c r="C1110" s="2" t="s">
        <v>8259</v>
      </c>
      <c r="D1110" s="2" t="s">
        <v>7282</v>
      </c>
      <c r="E1110" s="2" t="s">
        <v>7215</v>
      </c>
      <c r="F1110" s="2" t="s">
        <v>7215</v>
      </c>
      <c r="G1110" s="2">
        <v>100</v>
      </c>
    </row>
    <row r="1111" spans="1:7" ht="15.75" customHeight="1">
      <c r="A1111" s="2" t="s">
        <v>7174</v>
      </c>
      <c r="B1111" s="2" t="s">
        <v>7186</v>
      </c>
      <c r="C1111" s="2" t="s">
        <v>8260</v>
      </c>
      <c r="D1111" s="2" t="s">
        <v>7259</v>
      </c>
      <c r="E1111" s="2" t="s">
        <v>7215</v>
      </c>
      <c r="F1111" s="2" t="s">
        <v>7215</v>
      </c>
      <c r="G1111" s="2">
        <v>255</v>
      </c>
    </row>
    <row r="1112" spans="1:7" ht="15.75" customHeight="1">
      <c r="A1112" s="2" t="s">
        <v>7174</v>
      </c>
      <c r="B1112" s="2" t="s">
        <v>7186</v>
      </c>
      <c r="C1112" s="2" t="s">
        <v>8261</v>
      </c>
      <c r="D1112" s="2" t="s">
        <v>7437</v>
      </c>
      <c r="E1112" s="2" t="s">
        <v>7278</v>
      </c>
      <c r="F1112" s="2" t="s">
        <v>7278</v>
      </c>
      <c r="G1112" s="2">
        <v>0</v>
      </c>
    </row>
    <row r="1113" spans="1:7" ht="15.75" customHeight="1">
      <c r="A1113" s="2" t="s">
        <v>7174</v>
      </c>
      <c r="B1113" s="2" t="s">
        <v>7186</v>
      </c>
      <c r="C1113" s="2" t="s">
        <v>8262</v>
      </c>
      <c r="D1113" s="2" t="s">
        <v>7284</v>
      </c>
      <c r="E1113" s="2" t="s">
        <v>7215</v>
      </c>
      <c r="F1113" s="2" t="s">
        <v>7215</v>
      </c>
      <c r="G1113" s="2">
        <v>1300</v>
      </c>
    </row>
    <row r="1114" spans="1:7" ht="15.75" customHeight="1">
      <c r="A1114" s="2" t="s">
        <v>7174</v>
      </c>
      <c r="B1114" s="2" t="s">
        <v>7186</v>
      </c>
      <c r="C1114" s="2" t="s">
        <v>7340</v>
      </c>
      <c r="D1114" s="2" t="s">
        <v>7284</v>
      </c>
      <c r="E1114" s="2" t="s">
        <v>7215</v>
      </c>
      <c r="F1114" s="2" t="s">
        <v>7215</v>
      </c>
      <c r="G1114" s="2">
        <v>1300</v>
      </c>
    </row>
    <row r="1115" spans="1:7" ht="15.75" customHeight="1">
      <c r="A1115" s="2" t="s">
        <v>7174</v>
      </c>
      <c r="B1115" s="2" t="s">
        <v>7186</v>
      </c>
      <c r="C1115" s="2" t="s">
        <v>7411</v>
      </c>
      <c r="D1115" s="2" t="s">
        <v>7284</v>
      </c>
      <c r="E1115" s="2" t="s">
        <v>7215</v>
      </c>
      <c r="F1115" s="2" t="s">
        <v>7215</v>
      </c>
      <c r="G1115" s="2">
        <v>1300</v>
      </c>
    </row>
    <row r="1116" spans="1:7" ht="15.75" customHeight="1">
      <c r="A1116" s="2" t="s">
        <v>7174</v>
      </c>
      <c r="B1116" s="2" t="s">
        <v>7186</v>
      </c>
      <c r="C1116" s="2" t="s">
        <v>8263</v>
      </c>
      <c r="D1116" s="2" t="s">
        <v>7515</v>
      </c>
      <c r="E1116" s="2" t="s">
        <v>7278</v>
      </c>
      <c r="F1116" s="2" t="s">
        <v>7278</v>
      </c>
      <c r="G1116" s="2">
        <v>0</v>
      </c>
    </row>
    <row r="1117" spans="1:7" ht="15.75" customHeight="1">
      <c r="A1117" s="2" t="s">
        <v>7174</v>
      </c>
      <c r="B1117" s="2" t="s">
        <v>7186</v>
      </c>
      <c r="C1117" s="2" t="s">
        <v>8264</v>
      </c>
      <c r="D1117" s="2" t="s">
        <v>7284</v>
      </c>
      <c r="E1117" s="2" t="s">
        <v>7215</v>
      </c>
      <c r="F1117" s="2" t="s">
        <v>7215</v>
      </c>
      <c r="G1117" s="2">
        <v>1300</v>
      </c>
    </row>
    <row r="1118" spans="1:7" ht="15.75" customHeight="1">
      <c r="A1118" s="2" t="s">
        <v>7174</v>
      </c>
      <c r="B1118" s="2" t="s">
        <v>7186</v>
      </c>
      <c r="C1118" s="2" t="s">
        <v>8265</v>
      </c>
      <c r="D1118" s="2" t="s">
        <v>8266</v>
      </c>
      <c r="E1118" s="2" t="s">
        <v>7278</v>
      </c>
      <c r="F1118" s="2" t="s">
        <v>7278</v>
      </c>
      <c r="G1118" s="2">
        <v>0</v>
      </c>
    </row>
    <row r="1119" spans="1:7" ht="15.75" customHeight="1">
      <c r="A1119" s="2" t="s">
        <v>7174</v>
      </c>
      <c r="B1119" s="2" t="s">
        <v>7186</v>
      </c>
      <c r="C1119" s="2" t="s">
        <v>8222</v>
      </c>
      <c r="D1119" s="2" t="s">
        <v>7515</v>
      </c>
      <c r="E1119" s="2" t="s">
        <v>7278</v>
      </c>
      <c r="F1119" s="2" t="s">
        <v>7278</v>
      </c>
      <c r="G1119" s="2">
        <v>0</v>
      </c>
    </row>
    <row r="1120" spans="1:7" ht="15.75" customHeight="1">
      <c r="A1120" s="2" t="s">
        <v>7174</v>
      </c>
      <c r="B1120" s="2" t="s">
        <v>7186</v>
      </c>
      <c r="C1120" s="2" t="s">
        <v>8138</v>
      </c>
      <c r="D1120" s="2" t="s">
        <v>7284</v>
      </c>
      <c r="E1120" s="2" t="s">
        <v>7215</v>
      </c>
      <c r="F1120" s="2" t="s">
        <v>7215</v>
      </c>
      <c r="G1120" s="2">
        <v>1300</v>
      </c>
    </row>
    <row r="1121" spans="1:7" ht="15.75" customHeight="1">
      <c r="A1121" s="2" t="s">
        <v>7174</v>
      </c>
      <c r="B1121" s="2" t="s">
        <v>7186</v>
      </c>
      <c r="C1121" s="2" t="s">
        <v>8267</v>
      </c>
      <c r="D1121" s="2" t="s">
        <v>8268</v>
      </c>
      <c r="E1121" s="2" t="s">
        <v>7215</v>
      </c>
      <c r="F1121" s="2" t="s">
        <v>7215</v>
      </c>
      <c r="G1121" s="2">
        <v>14</v>
      </c>
    </row>
    <row r="1122" spans="1:7" ht="15.75" customHeight="1">
      <c r="A1122" s="2" t="s">
        <v>7174</v>
      </c>
      <c r="B1122" s="2" t="s">
        <v>7186</v>
      </c>
      <c r="C1122" s="2" t="s">
        <v>8269</v>
      </c>
      <c r="D1122" s="2" t="s">
        <v>7282</v>
      </c>
      <c r="E1122" s="2" t="s">
        <v>7215</v>
      </c>
      <c r="F1122" s="2" t="s">
        <v>7215</v>
      </c>
      <c r="G1122" s="2">
        <v>100</v>
      </c>
    </row>
    <row r="1123" spans="1:7" ht="15.75" customHeight="1">
      <c r="A1123" s="2" t="s">
        <v>7174</v>
      </c>
      <c r="B1123" s="2" t="s">
        <v>7186</v>
      </c>
      <c r="C1123" s="2" t="s">
        <v>8270</v>
      </c>
      <c r="D1123" s="2" t="s">
        <v>7357</v>
      </c>
      <c r="E1123" s="2" t="s">
        <v>7215</v>
      </c>
      <c r="F1123" s="2" t="s">
        <v>7215</v>
      </c>
      <c r="G1123" s="2">
        <v>5</v>
      </c>
    </row>
    <row r="1124" spans="1:7" ht="15.75" customHeight="1">
      <c r="A1124" s="2" t="s">
        <v>7174</v>
      </c>
      <c r="B1124" s="2" t="s">
        <v>7187</v>
      </c>
      <c r="C1124" s="2" t="s">
        <v>4304</v>
      </c>
      <c r="D1124" s="2" t="s">
        <v>7209</v>
      </c>
      <c r="E1124" s="2" t="s">
        <v>3897</v>
      </c>
      <c r="F1124" s="2" t="s">
        <v>7210</v>
      </c>
      <c r="G1124" s="2">
        <v>18</v>
      </c>
    </row>
    <row r="1125" spans="1:7" ht="15.75" customHeight="1">
      <c r="A1125" s="2" t="s">
        <v>7174</v>
      </c>
      <c r="B1125" s="2" t="s">
        <v>7187</v>
      </c>
      <c r="C1125" s="2" t="s">
        <v>7211</v>
      </c>
      <c r="D1125" s="2" t="s">
        <v>7212</v>
      </c>
      <c r="E1125" s="2" t="s">
        <v>5672</v>
      </c>
      <c r="F1125" s="2" t="s">
        <v>5672</v>
      </c>
      <c r="G1125" s="2">
        <v>0</v>
      </c>
    </row>
    <row r="1126" spans="1:7" ht="15.75" customHeight="1">
      <c r="A1126" s="2" t="s">
        <v>7174</v>
      </c>
      <c r="B1126" s="2" t="s">
        <v>7187</v>
      </c>
      <c r="C1126" s="2" t="s">
        <v>4306</v>
      </c>
      <c r="D1126" s="2" t="s">
        <v>6840</v>
      </c>
      <c r="E1126" s="2" t="s">
        <v>7215</v>
      </c>
      <c r="F1126" s="2" t="s">
        <v>7215</v>
      </c>
      <c r="G1126" s="2">
        <v>80</v>
      </c>
    </row>
    <row r="1127" spans="1:7" ht="15.75" customHeight="1">
      <c r="A1127" s="2" t="s">
        <v>7174</v>
      </c>
      <c r="B1127" s="2" t="s">
        <v>7187</v>
      </c>
      <c r="C1127" s="2" t="s">
        <v>7135</v>
      </c>
      <c r="D1127" s="2" t="s">
        <v>7235</v>
      </c>
      <c r="E1127" s="2" t="s">
        <v>538</v>
      </c>
      <c r="F1127" s="2" t="s">
        <v>538</v>
      </c>
      <c r="G1127" s="2">
        <v>0</v>
      </c>
    </row>
    <row r="1128" spans="1:7" ht="15.75" customHeight="1">
      <c r="A1128" s="2" t="s">
        <v>7174</v>
      </c>
      <c r="B1128" s="2" t="s">
        <v>7187</v>
      </c>
      <c r="C1128" s="2" t="s">
        <v>7236</v>
      </c>
      <c r="D1128" s="2" t="s">
        <v>7234</v>
      </c>
      <c r="E1128" s="2" t="s">
        <v>3897</v>
      </c>
      <c r="F1128" s="2" t="s">
        <v>7210</v>
      </c>
      <c r="G1128" s="2">
        <v>18</v>
      </c>
    </row>
    <row r="1129" spans="1:7" ht="15.75" customHeight="1">
      <c r="A1129" s="2" t="s">
        <v>7174</v>
      </c>
      <c r="B1129" s="2" t="s">
        <v>7187</v>
      </c>
      <c r="C1129" s="2" t="s">
        <v>7176</v>
      </c>
      <c r="D1129" s="2" t="s">
        <v>7235</v>
      </c>
      <c r="E1129" s="2" t="s">
        <v>538</v>
      </c>
      <c r="F1129" s="2" t="s">
        <v>538</v>
      </c>
      <c r="G1129" s="2">
        <v>0</v>
      </c>
    </row>
    <row r="1130" spans="1:7" ht="15.75" customHeight="1">
      <c r="A1130" s="2" t="s">
        <v>7174</v>
      </c>
      <c r="B1130" s="2" t="s">
        <v>7187</v>
      </c>
      <c r="C1130" s="2" t="s">
        <v>7237</v>
      </c>
      <c r="D1130" s="2" t="s">
        <v>7234</v>
      </c>
      <c r="E1130" s="2" t="s">
        <v>3897</v>
      </c>
      <c r="F1130" s="2" t="s">
        <v>7210</v>
      </c>
      <c r="G1130" s="2">
        <v>18</v>
      </c>
    </row>
    <row r="1131" spans="1:7" ht="15.75" customHeight="1">
      <c r="A1131" s="2" t="s">
        <v>7174</v>
      </c>
      <c r="B1131" s="2" t="s">
        <v>7187</v>
      </c>
      <c r="C1131" s="2" t="s">
        <v>7238</v>
      </c>
      <c r="D1131" s="2" t="s">
        <v>7235</v>
      </c>
      <c r="E1131" s="2" t="s">
        <v>538</v>
      </c>
      <c r="F1131" s="2" t="s">
        <v>538</v>
      </c>
      <c r="G1131" s="2">
        <v>0</v>
      </c>
    </row>
    <row r="1132" spans="1:7" ht="15.75" customHeight="1">
      <c r="A1132" s="2" t="s">
        <v>7174</v>
      </c>
      <c r="B1132" s="2" t="s">
        <v>7187</v>
      </c>
      <c r="C1132" s="2" t="s">
        <v>7242</v>
      </c>
      <c r="D1132" s="2" t="s">
        <v>7243</v>
      </c>
      <c r="E1132" s="2" t="s">
        <v>3897</v>
      </c>
      <c r="F1132" s="2" t="s">
        <v>7210</v>
      </c>
      <c r="G1132" s="2">
        <v>18</v>
      </c>
    </row>
    <row r="1133" spans="1:7" ht="15.75" customHeight="1">
      <c r="A1133" s="2" t="s">
        <v>7174</v>
      </c>
      <c r="B1133" s="2" t="s">
        <v>7187</v>
      </c>
      <c r="C1133" s="2" t="s">
        <v>8271</v>
      </c>
      <c r="D1133" s="2" t="s">
        <v>8246</v>
      </c>
      <c r="E1133" s="2" t="s">
        <v>3897</v>
      </c>
      <c r="F1133" s="2" t="s">
        <v>7210</v>
      </c>
      <c r="G1133" s="2">
        <v>18</v>
      </c>
    </row>
    <row r="1134" spans="1:7" ht="15.75" customHeight="1">
      <c r="A1134" s="2" t="s">
        <v>7174</v>
      </c>
      <c r="B1134" s="2" t="s">
        <v>7187</v>
      </c>
      <c r="C1134" s="2" t="s">
        <v>8272</v>
      </c>
      <c r="D1134" s="2" t="s">
        <v>7284</v>
      </c>
      <c r="E1134" s="2" t="s">
        <v>7215</v>
      </c>
      <c r="F1134" s="2" t="s">
        <v>7215</v>
      </c>
      <c r="G1134" s="2">
        <v>1300</v>
      </c>
    </row>
    <row r="1135" spans="1:7" ht="15.75" customHeight="1">
      <c r="A1135" s="2" t="s">
        <v>7174</v>
      </c>
      <c r="B1135" s="2" t="s">
        <v>7187</v>
      </c>
      <c r="C1135" s="2" t="s">
        <v>8273</v>
      </c>
      <c r="D1135" s="2" t="s">
        <v>7284</v>
      </c>
      <c r="E1135" s="2" t="s">
        <v>7215</v>
      </c>
      <c r="F1135" s="2" t="s">
        <v>7215</v>
      </c>
      <c r="G1135" s="2">
        <v>1300</v>
      </c>
    </row>
    <row r="1136" spans="1:7" ht="15.75" customHeight="1">
      <c r="A1136" s="2" t="s">
        <v>7174</v>
      </c>
      <c r="B1136" s="2" t="s">
        <v>7187</v>
      </c>
      <c r="C1136" s="2" t="s">
        <v>8274</v>
      </c>
      <c r="D1136" s="2" t="s">
        <v>7437</v>
      </c>
      <c r="E1136" s="2" t="s">
        <v>7278</v>
      </c>
      <c r="F1136" s="2" t="s">
        <v>7278</v>
      </c>
      <c r="G1136" s="2">
        <v>0</v>
      </c>
    </row>
    <row r="1137" spans="1:7" ht="15.75" customHeight="1">
      <c r="A1137" s="2" t="s">
        <v>7174</v>
      </c>
      <c r="B1137" s="2" t="s">
        <v>7187</v>
      </c>
      <c r="C1137" s="2" t="s">
        <v>8275</v>
      </c>
      <c r="D1137" s="2" t="s">
        <v>7284</v>
      </c>
      <c r="E1137" s="2" t="s">
        <v>7215</v>
      </c>
      <c r="F1137" s="2" t="s">
        <v>7215</v>
      </c>
      <c r="G1137" s="2">
        <v>1300</v>
      </c>
    </row>
    <row r="1138" spans="1:7" ht="15.75" customHeight="1">
      <c r="A1138" s="2" t="s">
        <v>7174</v>
      </c>
      <c r="B1138" s="2" t="s">
        <v>7187</v>
      </c>
      <c r="C1138" s="2" t="s">
        <v>8248</v>
      </c>
      <c r="D1138" s="2" t="s">
        <v>7284</v>
      </c>
      <c r="E1138" s="2" t="s">
        <v>7215</v>
      </c>
      <c r="F1138" s="2" t="s">
        <v>7215</v>
      </c>
      <c r="G1138" s="2">
        <v>1300</v>
      </c>
    </row>
    <row r="1139" spans="1:7" ht="15.75" customHeight="1">
      <c r="A1139" s="2" t="s">
        <v>7174</v>
      </c>
      <c r="B1139" s="2" t="s">
        <v>7187</v>
      </c>
      <c r="C1139" s="2" t="s">
        <v>8250</v>
      </c>
      <c r="D1139" s="2" t="s">
        <v>7365</v>
      </c>
      <c r="E1139" s="2" t="s">
        <v>7215</v>
      </c>
      <c r="F1139" s="2" t="s">
        <v>7215</v>
      </c>
      <c r="G1139" s="2">
        <v>255</v>
      </c>
    </row>
    <row r="1140" spans="1:7" ht="15.75" customHeight="1">
      <c r="A1140" s="2" t="s">
        <v>7174</v>
      </c>
      <c r="B1140" s="2" t="s">
        <v>7187</v>
      </c>
      <c r="C1140" s="2" t="s">
        <v>8276</v>
      </c>
      <c r="D1140" s="2" t="s">
        <v>7437</v>
      </c>
      <c r="E1140" s="2" t="s">
        <v>7278</v>
      </c>
      <c r="F1140" s="2" t="s">
        <v>7278</v>
      </c>
      <c r="G1140" s="2">
        <v>0</v>
      </c>
    </row>
    <row r="1141" spans="1:7" ht="15.75" customHeight="1">
      <c r="A1141" s="2" t="s">
        <v>7174</v>
      </c>
      <c r="B1141" s="2" t="s">
        <v>7187</v>
      </c>
      <c r="C1141" s="2" t="s">
        <v>8277</v>
      </c>
      <c r="D1141" s="2" t="s">
        <v>7284</v>
      </c>
      <c r="E1141" s="2" t="s">
        <v>7215</v>
      </c>
      <c r="F1141" s="2" t="s">
        <v>7215</v>
      </c>
      <c r="G1141" s="2">
        <v>1300</v>
      </c>
    </row>
    <row r="1142" spans="1:7" ht="15.75" customHeight="1">
      <c r="A1142" s="2" t="s">
        <v>7174</v>
      </c>
      <c r="B1142" s="2" t="s">
        <v>7187</v>
      </c>
      <c r="C1142" s="2" t="s">
        <v>8278</v>
      </c>
      <c r="D1142" s="2" t="s">
        <v>7284</v>
      </c>
      <c r="E1142" s="2" t="s">
        <v>7215</v>
      </c>
      <c r="F1142" s="2" t="s">
        <v>7215</v>
      </c>
      <c r="G1142" s="2">
        <v>1300</v>
      </c>
    </row>
    <row r="1143" spans="1:7" ht="15.75" customHeight="1">
      <c r="A1143" s="2" t="s">
        <v>7174</v>
      </c>
      <c r="B1143" s="2" t="s">
        <v>7187</v>
      </c>
      <c r="C1143" s="2" t="s">
        <v>8279</v>
      </c>
      <c r="D1143" s="2" t="s">
        <v>7284</v>
      </c>
      <c r="E1143" s="2" t="s">
        <v>7215</v>
      </c>
      <c r="F1143" s="2" t="s">
        <v>7215</v>
      </c>
      <c r="G1143" s="2">
        <v>1300</v>
      </c>
    </row>
    <row r="1144" spans="1:7" ht="15.75" customHeight="1">
      <c r="A1144" s="2" t="s">
        <v>7174</v>
      </c>
      <c r="B1144" s="2" t="s">
        <v>7187</v>
      </c>
      <c r="C1144" s="2" t="s">
        <v>8280</v>
      </c>
      <c r="D1144" s="2" t="s">
        <v>7284</v>
      </c>
      <c r="E1144" s="2" t="s">
        <v>7215</v>
      </c>
      <c r="F1144" s="2" t="s">
        <v>7215</v>
      </c>
      <c r="G1144" s="2">
        <v>1300</v>
      </c>
    </row>
    <row r="1145" spans="1:7" ht="15.75" customHeight="1">
      <c r="A1145" s="2" t="s">
        <v>7174</v>
      </c>
      <c r="B1145" s="2" t="s">
        <v>7187</v>
      </c>
      <c r="C1145" s="2" t="s">
        <v>8281</v>
      </c>
      <c r="D1145" s="2" t="s">
        <v>8282</v>
      </c>
      <c r="E1145" s="2" t="s">
        <v>3897</v>
      </c>
      <c r="F1145" s="2" t="s">
        <v>7210</v>
      </c>
      <c r="G1145" s="2">
        <v>18</v>
      </c>
    </row>
    <row r="1146" spans="1:7" ht="15.75" customHeight="1">
      <c r="A1146" s="2" t="s">
        <v>7174</v>
      </c>
      <c r="B1146" s="2" t="s">
        <v>7187</v>
      </c>
      <c r="C1146" s="2" t="s">
        <v>8283</v>
      </c>
      <c r="D1146" s="2" t="s">
        <v>7277</v>
      </c>
      <c r="E1146" s="2" t="s">
        <v>7278</v>
      </c>
      <c r="F1146" s="2" t="s">
        <v>7278</v>
      </c>
      <c r="G1146" s="2">
        <v>0</v>
      </c>
    </row>
    <row r="1147" spans="1:7" ht="15.75" customHeight="1">
      <c r="A1147" s="2" t="s">
        <v>7174</v>
      </c>
      <c r="B1147" s="2" t="s">
        <v>7187</v>
      </c>
      <c r="C1147" s="2" t="s">
        <v>8284</v>
      </c>
      <c r="D1147" s="2" t="s">
        <v>7259</v>
      </c>
      <c r="E1147" s="2" t="s">
        <v>7215</v>
      </c>
      <c r="F1147" s="2" t="s">
        <v>7215</v>
      </c>
      <c r="G1147" s="2">
        <v>255</v>
      </c>
    </row>
    <row r="1148" spans="1:7" ht="15.75" customHeight="1">
      <c r="A1148" s="2" t="s">
        <v>7174</v>
      </c>
      <c r="B1148" s="2" t="s">
        <v>7187</v>
      </c>
      <c r="C1148" s="2" t="s">
        <v>8285</v>
      </c>
      <c r="D1148" s="2" t="s">
        <v>7940</v>
      </c>
      <c r="E1148" s="2" t="s">
        <v>3897</v>
      </c>
      <c r="F1148" s="2" t="s">
        <v>7210</v>
      </c>
      <c r="G1148" s="2">
        <v>18</v>
      </c>
    </row>
    <row r="1149" spans="1:7" ht="15.75" customHeight="1">
      <c r="A1149" s="2" t="s">
        <v>7174</v>
      </c>
      <c r="B1149" s="2" t="s">
        <v>7187</v>
      </c>
      <c r="C1149" s="2" t="s">
        <v>8286</v>
      </c>
      <c r="D1149" s="2" t="s">
        <v>7284</v>
      </c>
      <c r="E1149" s="2" t="s">
        <v>7215</v>
      </c>
      <c r="F1149" s="2" t="s">
        <v>7215</v>
      </c>
      <c r="G1149" s="2">
        <v>1300</v>
      </c>
    </row>
    <row r="1150" spans="1:7" ht="15.75" customHeight="1">
      <c r="A1150" s="2" t="s">
        <v>7174</v>
      </c>
      <c r="B1150" s="2" t="s">
        <v>7187</v>
      </c>
      <c r="C1150" s="2" t="s">
        <v>8287</v>
      </c>
      <c r="D1150" s="2" t="s">
        <v>7515</v>
      </c>
      <c r="E1150" s="2" t="s">
        <v>7278</v>
      </c>
      <c r="F1150" s="2" t="s">
        <v>7278</v>
      </c>
      <c r="G1150" s="2">
        <v>0</v>
      </c>
    </row>
    <row r="1151" spans="1:7" ht="15.75" customHeight="1">
      <c r="A1151" s="2" t="s">
        <v>7174</v>
      </c>
      <c r="B1151" s="2" t="s">
        <v>7187</v>
      </c>
      <c r="C1151" s="2" t="s">
        <v>8288</v>
      </c>
      <c r="D1151" s="2" t="s">
        <v>7264</v>
      </c>
      <c r="E1151" s="2" t="s">
        <v>7215</v>
      </c>
      <c r="F1151" s="2" t="s">
        <v>7215</v>
      </c>
      <c r="G1151" s="2">
        <v>20</v>
      </c>
    </row>
    <row r="1152" spans="1:7" ht="15.75" customHeight="1">
      <c r="A1152" s="2" t="s">
        <v>7174</v>
      </c>
      <c r="B1152" s="2" t="s">
        <v>7187</v>
      </c>
      <c r="C1152" s="2" t="s">
        <v>8289</v>
      </c>
      <c r="D1152" s="2" t="s">
        <v>7450</v>
      </c>
      <c r="E1152" s="2" t="s">
        <v>7215</v>
      </c>
      <c r="F1152" s="2" t="s">
        <v>7215</v>
      </c>
      <c r="G1152" s="2">
        <v>200</v>
      </c>
    </row>
    <row r="1153" spans="1:7" ht="15.75" customHeight="1">
      <c r="A1153" s="2" t="s">
        <v>7174</v>
      </c>
      <c r="B1153" s="2" t="s">
        <v>7187</v>
      </c>
      <c r="C1153" s="2" t="s">
        <v>8290</v>
      </c>
      <c r="D1153" s="2" t="s">
        <v>7264</v>
      </c>
      <c r="E1153" s="2" t="s">
        <v>7215</v>
      </c>
      <c r="F1153" s="2" t="s">
        <v>7215</v>
      </c>
      <c r="G1153" s="2">
        <v>20</v>
      </c>
    </row>
    <row r="1154" spans="1:7" ht="15.75" customHeight="1">
      <c r="A1154" s="2" t="s">
        <v>7174</v>
      </c>
      <c r="B1154" s="2" t="s">
        <v>7187</v>
      </c>
      <c r="C1154" s="2" t="s">
        <v>8291</v>
      </c>
      <c r="D1154" s="2" t="s">
        <v>7347</v>
      </c>
      <c r="E1154" s="2" t="s">
        <v>7215</v>
      </c>
      <c r="F1154" s="2" t="s">
        <v>7215</v>
      </c>
      <c r="G1154" s="2">
        <v>10</v>
      </c>
    </row>
    <row r="1155" spans="1:7" ht="15.75" customHeight="1">
      <c r="A1155" s="2" t="s">
        <v>7174</v>
      </c>
      <c r="B1155" s="2" t="s">
        <v>7187</v>
      </c>
      <c r="C1155" s="2" t="s">
        <v>7955</v>
      </c>
      <c r="D1155" s="2" t="s">
        <v>7497</v>
      </c>
      <c r="E1155" s="2" t="s">
        <v>7215</v>
      </c>
      <c r="F1155" s="2" t="s">
        <v>7215</v>
      </c>
      <c r="G1155" s="2">
        <v>15</v>
      </c>
    </row>
    <row r="1156" spans="1:7" ht="15.75" customHeight="1">
      <c r="A1156" s="2" t="s">
        <v>7174</v>
      </c>
      <c r="B1156" s="2" t="s">
        <v>7187</v>
      </c>
      <c r="C1156" s="2" t="s">
        <v>8292</v>
      </c>
      <c r="D1156" s="2" t="s">
        <v>7347</v>
      </c>
      <c r="E1156" s="2" t="s">
        <v>7215</v>
      </c>
      <c r="F1156" s="2" t="s">
        <v>7215</v>
      </c>
      <c r="G1156" s="2">
        <v>10</v>
      </c>
    </row>
    <row r="1157" spans="1:7" ht="15.75" customHeight="1">
      <c r="A1157" s="2" t="s">
        <v>7174</v>
      </c>
      <c r="B1157" s="2" t="s">
        <v>7187</v>
      </c>
      <c r="C1157" s="2" t="s">
        <v>8293</v>
      </c>
      <c r="D1157" s="2" t="s">
        <v>7450</v>
      </c>
      <c r="E1157" s="2" t="s">
        <v>7215</v>
      </c>
      <c r="F1157" s="2" t="s">
        <v>7215</v>
      </c>
      <c r="G1157" s="2">
        <v>200</v>
      </c>
    </row>
    <row r="1158" spans="1:7" ht="15.75" customHeight="1">
      <c r="A1158" s="2" t="s">
        <v>7174</v>
      </c>
      <c r="B1158" s="2" t="s">
        <v>7187</v>
      </c>
      <c r="C1158" s="2" t="s">
        <v>8294</v>
      </c>
      <c r="D1158" s="2" t="s">
        <v>7450</v>
      </c>
      <c r="E1158" s="2" t="s">
        <v>7215</v>
      </c>
      <c r="F1158" s="2" t="s">
        <v>7215</v>
      </c>
      <c r="G1158" s="2">
        <v>200</v>
      </c>
    </row>
    <row r="1159" spans="1:7" ht="15.75" customHeight="1">
      <c r="A1159" s="2" t="s">
        <v>7174</v>
      </c>
      <c r="B1159" s="2" t="s">
        <v>7187</v>
      </c>
      <c r="C1159" s="2" t="s">
        <v>8295</v>
      </c>
      <c r="D1159" s="2" t="s">
        <v>7259</v>
      </c>
      <c r="E1159" s="2" t="s">
        <v>7215</v>
      </c>
      <c r="F1159" s="2" t="s">
        <v>7215</v>
      </c>
      <c r="G1159" s="2">
        <v>255</v>
      </c>
    </row>
    <row r="1160" spans="1:7" ht="15.75" customHeight="1">
      <c r="A1160" s="2" t="s">
        <v>7174</v>
      </c>
      <c r="B1160" s="2" t="s">
        <v>7187</v>
      </c>
      <c r="C1160" s="2" t="s">
        <v>8296</v>
      </c>
      <c r="D1160" s="2" t="s">
        <v>7410</v>
      </c>
      <c r="E1160" s="2" t="s">
        <v>7215</v>
      </c>
      <c r="F1160" s="2" t="s">
        <v>7215</v>
      </c>
      <c r="G1160" s="2">
        <v>6</v>
      </c>
    </row>
    <row r="1161" spans="1:7" ht="15.75" customHeight="1">
      <c r="A1161" s="2" t="s">
        <v>7174</v>
      </c>
      <c r="B1161" s="2" t="s">
        <v>7188</v>
      </c>
      <c r="C1161" s="2" t="s">
        <v>4304</v>
      </c>
      <c r="D1161" s="2" t="s">
        <v>7209</v>
      </c>
      <c r="E1161" s="2" t="s">
        <v>3897</v>
      </c>
      <c r="F1161" s="2" t="s">
        <v>7210</v>
      </c>
      <c r="G1161" s="2">
        <v>18</v>
      </c>
    </row>
    <row r="1162" spans="1:7" ht="15.75" customHeight="1">
      <c r="A1162" s="2" t="s">
        <v>7174</v>
      </c>
      <c r="B1162" s="2" t="s">
        <v>7188</v>
      </c>
      <c r="C1162" s="2" t="s">
        <v>7211</v>
      </c>
      <c r="D1162" s="2" t="s">
        <v>7212</v>
      </c>
      <c r="E1162" s="2" t="s">
        <v>5672</v>
      </c>
      <c r="F1162" s="2" t="s">
        <v>5672</v>
      </c>
      <c r="G1162" s="2">
        <v>0</v>
      </c>
    </row>
    <row r="1163" spans="1:7" ht="15.75" customHeight="1">
      <c r="A1163" s="2" t="s">
        <v>7174</v>
      </c>
      <c r="B1163" s="2" t="s">
        <v>7188</v>
      </c>
      <c r="C1163" s="2" t="s">
        <v>4306</v>
      </c>
      <c r="D1163" s="2" t="s">
        <v>6840</v>
      </c>
      <c r="E1163" s="2" t="s">
        <v>7215</v>
      </c>
      <c r="F1163" s="2" t="s">
        <v>7215</v>
      </c>
      <c r="G1163" s="2">
        <v>80</v>
      </c>
    </row>
    <row r="1164" spans="1:7" ht="15.75" customHeight="1">
      <c r="A1164" s="2" t="s">
        <v>7174</v>
      </c>
      <c r="B1164" s="2" t="s">
        <v>7188</v>
      </c>
      <c r="C1164" s="2" t="s">
        <v>7217</v>
      </c>
      <c r="D1164" s="2" t="s">
        <v>7218</v>
      </c>
      <c r="E1164" s="2" t="s">
        <v>3897</v>
      </c>
      <c r="F1164" s="2" t="s">
        <v>7210</v>
      </c>
      <c r="G1164" s="2">
        <v>18</v>
      </c>
    </row>
    <row r="1165" spans="1:7" ht="15.75" customHeight="1">
      <c r="A1165" s="2" t="s">
        <v>7174</v>
      </c>
      <c r="B1165" s="2" t="s">
        <v>7188</v>
      </c>
      <c r="C1165" s="2" t="s">
        <v>7135</v>
      </c>
      <c r="D1165" s="2" t="s">
        <v>7235</v>
      </c>
      <c r="E1165" s="2" t="s">
        <v>538</v>
      </c>
      <c r="F1165" s="2" t="s">
        <v>538</v>
      </c>
      <c r="G1165" s="2">
        <v>0</v>
      </c>
    </row>
    <row r="1166" spans="1:7" ht="15.75" customHeight="1">
      <c r="A1166" s="2" t="s">
        <v>7174</v>
      </c>
      <c r="B1166" s="2" t="s">
        <v>7188</v>
      </c>
      <c r="C1166" s="2" t="s">
        <v>7236</v>
      </c>
      <c r="D1166" s="2" t="s">
        <v>7234</v>
      </c>
      <c r="E1166" s="2" t="s">
        <v>3897</v>
      </c>
      <c r="F1166" s="2" t="s">
        <v>7210</v>
      </c>
      <c r="G1166" s="2">
        <v>18</v>
      </c>
    </row>
    <row r="1167" spans="1:7" ht="15.75" customHeight="1">
      <c r="A1167" s="2" t="s">
        <v>7174</v>
      </c>
      <c r="B1167" s="2" t="s">
        <v>7188</v>
      </c>
      <c r="C1167" s="2" t="s">
        <v>7176</v>
      </c>
      <c r="D1167" s="2" t="s">
        <v>7235</v>
      </c>
      <c r="E1167" s="2" t="s">
        <v>538</v>
      </c>
      <c r="F1167" s="2" t="s">
        <v>538</v>
      </c>
      <c r="G1167" s="2">
        <v>0</v>
      </c>
    </row>
    <row r="1168" spans="1:7" ht="15.75" customHeight="1">
      <c r="A1168" s="2" t="s">
        <v>7174</v>
      </c>
      <c r="B1168" s="2" t="s">
        <v>7188</v>
      </c>
      <c r="C1168" s="2" t="s">
        <v>7237</v>
      </c>
      <c r="D1168" s="2" t="s">
        <v>7234</v>
      </c>
      <c r="E1168" s="2" t="s">
        <v>3897</v>
      </c>
      <c r="F1168" s="2" t="s">
        <v>7210</v>
      </c>
      <c r="G1168" s="2">
        <v>18</v>
      </c>
    </row>
    <row r="1169" spans="1:7" ht="15.75" customHeight="1">
      <c r="A1169" s="2" t="s">
        <v>7174</v>
      </c>
      <c r="B1169" s="2" t="s">
        <v>7188</v>
      </c>
      <c r="C1169" s="2" t="s">
        <v>7238</v>
      </c>
      <c r="D1169" s="2" t="s">
        <v>7235</v>
      </c>
      <c r="E1169" s="2" t="s">
        <v>538</v>
      </c>
      <c r="F1169" s="2" t="s">
        <v>538</v>
      </c>
      <c r="G1169" s="2">
        <v>0</v>
      </c>
    </row>
    <row r="1170" spans="1:7" ht="15.75" customHeight="1">
      <c r="A1170" s="2" t="s">
        <v>7174</v>
      </c>
      <c r="B1170" s="2" t="s">
        <v>7188</v>
      </c>
      <c r="C1170" s="2" t="s">
        <v>7239</v>
      </c>
      <c r="D1170" s="2" t="s">
        <v>6212</v>
      </c>
      <c r="E1170" s="2" t="s">
        <v>1974</v>
      </c>
      <c r="F1170" s="2" t="s">
        <v>1974</v>
      </c>
      <c r="G1170" s="2">
        <v>0</v>
      </c>
    </row>
    <row r="1171" spans="1:7" ht="15.75" customHeight="1">
      <c r="A1171" s="2" t="s">
        <v>7174</v>
      </c>
      <c r="B1171" s="2" t="s">
        <v>7188</v>
      </c>
      <c r="C1171" s="2" t="s">
        <v>7242</v>
      </c>
      <c r="D1171" s="2" t="s">
        <v>7243</v>
      </c>
      <c r="E1171" s="2" t="s">
        <v>3897</v>
      </c>
      <c r="F1171" s="2" t="s">
        <v>7210</v>
      </c>
      <c r="G1171" s="2">
        <v>18</v>
      </c>
    </row>
    <row r="1172" spans="1:7" ht="15.75" customHeight="1">
      <c r="A1172" s="2" t="s">
        <v>7174</v>
      </c>
      <c r="B1172" s="2" t="s">
        <v>7188</v>
      </c>
      <c r="C1172" s="2" t="s">
        <v>8271</v>
      </c>
      <c r="D1172" s="2" t="s">
        <v>8246</v>
      </c>
      <c r="E1172" s="2" t="s">
        <v>3897</v>
      </c>
      <c r="F1172" s="2" t="s">
        <v>7210</v>
      </c>
      <c r="G1172" s="2">
        <v>18</v>
      </c>
    </row>
    <row r="1173" spans="1:7" ht="15.75" customHeight="1">
      <c r="A1173" s="2" t="s">
        <v>7174</v>
      </c>
      <c r="B1173" s="2" t="s">
        <v>7188</v>
      </c>
      <c r="C1173" s="2" t="s">
        <v>8272</v>
      </c>
      <c r="D1173" s="2" t="s">
        <v>7284</v>
      </c>
      <c r="E1173" s="2" t="s">
        <v>7215</v>
      </c>
      <c r="F1173" s="2" t="s">
        <v>7215</v>
      </c>
      <c r="G1173" s="2">
        <v>1300</v>
      </c>
    </row>
    <row r="1174" spans="1:7" ht="15.75" customHeight="1">
      <c r="A1174" s="2" t="s">
        <v>7174</v>
      </c>
      <c r="B1174" s="2" t="s">
        <v>7188</v>
      </c>
      <c r="C1174" s="2" t="s">
        <v>8283</v>
      </c>
      <c r="D1174" s="2" t="s">
        <v>7515</v>
      </c>
      <c r="E1174" s="2" t="s">
        <v>7278</v>
      </c>
      <c r="F1174" s="2" t="s">
        <v>7278</v>
      </c>
      <c r="G1174" s="2">
        <v>0</v>
      </c>
    </row>
    <row r="1175" spans="1:7" ht="15.75" customHeight="1">
      <c r="A1175" s="2" t="s">
        <v>7174</v>
      </c>
      <c r="B1175" s="2" t="s">
        <v>7188</v>
      </c>
      <c r="C1175" s="2" t="s">
        <v>8297</v>
      </c>
      <c r="D1175" s="2" t="s">
        <v>7259</v>
      </c>
      <c r="E1175" s="2" t="s">
        <v>7215</v>
      </c>
      <c r="F1175" s="2" t="s">
        <v>7215</v>
      </c>
      <c r="G1175" s="2">
        <v>255</v>
      </c>
    </row>
    <row r="1176" spans="1:7" ht="15.75" customHeight="1">
      <c r="A1176" s="2" t="s">
        <v>7174</v>
      </c>
      <c r="B1176" s="2" t="s">
        <v>7188</v>
      </c>
      <c r="C1176" s="2" t="s">
        <v>8281</v>
      </c>
      <c r="D1176" s="2" t="s">
        <v>8282</v>
      </c>
      <c r="E1176" s="2" t="s">
        <v>3897</v>
      </c>
      <c r="F1176" s="2" t="s">
        <v>7210</v>
      </c>
      <c r="G1176" s="2">
        <v>18</v>
      </c>
    </row>
    <row r="1177" spans="1:7" ht="15.75" customHeight="1">
      <c r="A1177" s="2" t="s">
        <v>7174</v>
      </c>
      <c r="B1177" s="2" t="s">
        <v>7188</v>
      </c>
      <c r="C1177" s="2" t="s">
        <v>8298</v>
      </c>
      <c r="D1177" s="2" t="s">
        <v>8282</v>
      </c>
      <c r="E1177" s="2" t="s">
        <v>3897</v>
      </c>
      <c r="F1177" s="2" t="s">
        <v>7210</v>
      </c>
      <c r="G1177" s="2">
        <v>18</v>
      </c>
    </row>
    <row r="1178" spans="1:7" ht="15.75" customHeight="1">
      <c r="A1178" s="2" t="s">
        <v>7174</v>
      </c>
      <c r="B1178" s="2" t="s">
        <v>7188</v>
      </c>
      <c r="C1178" s="2" t="s">
        <v>8299</v>
      </c>
      <c r="D1178" s="2" t="s">
        <v>8282</v>
      </c>
      <c r="E1178" s="2" t="s">
        <v>3897</v>
      </c>
      <c r="F1178" s="2" t="s">
        <v>7210</v>
      </c>
      <c r="G1178" s="2">
        <v>18</v>
      </c>
    </row>
    <row r="1179" spans="1:7" ht="15.75" customHeight="1">
      <c r="A1179" s="2" t="s">
        <v>7174</v>
      </c>
      <c r="B1179" s="2" t="s">
        <v>7188</v>
      </c>
      <c r="C1179" s="2" t="s">
        <v>8300</v>
      </c>
      <c r="D1179" s="2" t="s">
        <v>8301</v>
      </c>
      <c r="E1179" s="2" t="s">
        <v>7278</v>
      </c>
      <c r="F1179" s="2" t="s">
        <v>7278</v>
      </c>
      <c r="G1179" s="2">
        <v>0</v>
      </c>
    </row>
    <row r="1180" spans="1:7" ht="15.75" customHeight="1">
      <c r="A1180" s="2" t="s">
        <v>7174</v>
      </c>
      <c r="B1180" s="2" t="s">
        <v>7188</v>
      </c>
      <c r="C1180" s="2" t="s">
        <v>8302</v>
      </c>
      <c r="D1180" s="2" t="s">
        <v>7277</v>
      </c>
      <c r="E1180" s="2" t="s">
        <v>7278</v>
      </c>
      <c r="F1180" s="2" t="s">
        <v>7278</v>
      </c>
      <c r="G1180" s="2">
        <v>0</v>
      </c>
    </row>
    <row r="1181" spans="1:7" ht="15.75" customHeight="1">
      <c r="A1181" s="2" t="s">
        <v>7174</v>
      </c>
      <c r="B1181" s="2" t="s">
        <v>7188</v>
      </c>
      <c r="C1181" s="2" t="s">
        <v>8303</v>
      </c>
      <c r="D1181" s="2" t="s">
        <v>7277</v>
      </c>
      <c r="E1181" s="2" t="s">
        <v>7278</v>
      </c>
      <c r="F1181" s="2" t="s">
        <v>7278</v>
      </c>
      <c r="G1181" s="2">
        <v>0</v>
      </c>
    </row>
    <row r="1182" spans="1:7" ht="15.75" customHeight="1">
      <c r="A1182" s="2" t="s">
        <v>7174</v>
      </c>
      <c r="B1182" s="2" t="s">
        <v>7188</v>
      </c>
      <c r="C1182" s="2" t="s">
        <v>8304</v>
      </c>
      <c r="D1182" s="2" t="s">
        <v>8305</v>
      </c>
      <c r="E1182" s="2" t="s">
        <v>7278</v>
      </c>
      <c r="F1182" s="2" t="s">
        <v>7278</v>
      </c>
      <c r="G1182" s="2">
        <v>0</v>
      </c>
    </row>
    <row r="1183" spans="1:7" ht="15.75" customHeight="1">
      <c r="A1183" s="2" t="s">
        <v>7174</v>
      </c>
      <c r="B1183" s="2" t="s">
        <v>7188</v>
      </c>
      <c r="C1183" s="2" t="s">
        <v>8306</v>
      </c>
      <c r="D1183" s="2" t="s">
        <v>7259</v>
      </c>
      <c r="E1183" s="2" t="s">
        <v>7215</v>
      </c>
      <c r="F1183" s="2" t="s">
        <v>7215</v>
      </c>
      <c r="G1183" s="2">
        <v>255</v>
      </c>
    </row>
    <row r="1184" spans="1:7" ht="15.75" customHeight="1">
      <c r="A1184" s="2" t="s">
        <v>7174</v>
      </c>
      <c r="B1184" s="2" t="s">
        <v>7188</v>
      </c>
      <c r="C1184" s="2" t="s">
        <v>8307</v>
      </c>
      <c r="D1184" s="2" t="s">
        <v>7282</v>
      </c>
      <c r="E1184" s="2" t="s">
        <v>7215</v>
      </c>
      <c r="F1184" s="2" t="s">
        <v>7215</v>
      </c>
      <c r="G1184" s="2">
        <v>100</v>
      </c>
    </row>
    <row r="1185" spans="1:7" ht="15.75" customHeight="1">
      <c r="A1185" s="2" t="s">
        <v>7174</v>
      </c>
      <c r="B1185" s="2" t="s">
        <v>7188</v>
      </c>
      <c r="C1185" s="2" t="s">
        <v>8275</v>
      </c>
      <c r="D1185" s="2" t="s">
        <v>7497</v>
      </c>
      <c r="E1185" s="2" t="s">
        <v>7215</v>
      </c>
      <c r="F1185" s="2" t="s">
        <v>7215</v>
      </c>
      <c r="G1185" s="2">
        <v>15</v>
      </c>
    </row>
    <row r="1186" spans="1:7" ht="15.75" customHeight="1">
      <c r="A1186" s="2" t="s">
        <v>7174</v>
      </c>
      <c r="B1186" s="2" t="s">
        <v>7188</v>
      </c>
      <c r="C1186" s="2" t="s">
        <v>8308</v>
      </c>
      <c r="D1186" s="2" t="s">
        <v>7284</v>
      </c>
      <c r="E1186" s="2" t="s">
        <v>7215</v>
      </c>
      <c r="F1186" s="2" t="s">
        <v>7215</v>
      </c>
      <c r="G1186" s="2">
        <v>1300</v>
      </c>
    </row>
    <row r="1187" spans="1:7" ht="15.75" customHeight="1">
      <c r="A1187" s="2" t="s">
        <v>7174</v>
      </c>
      <c r="B1187" s="2" t="s">
        <v>7188</v>
      </c>
      <c r="C1187" s="2" t="s">
        <v>8309</v>
      </c>
      <c r="D1187" s="2" t="s">
        <v>8305</v>
      </c>
      <c r="E1187" s="2" t="s">
        <v>7278</v>
      </c>
      <c r="F1187" s="2" t="s">
        <v>7278</v>
      </c>
      <c r="G1187" s="2">
        <v>0</v>
      </c>
    </row>
    <row r="1188" spans="1:7" ht="15.75" customHeight="1">
      <c r="A1188" s="2" t="s">
        <v>7174</v>
      </c>
      <c r="B1188" s="2" t="s">
        <v>7188</v>
      </c>
      <c r="C1188" s="2" t="s">
        <v>8310</v>
      </c>
      <c r="D1188" s="2" t="s">
        <v>7259</v>
      </c>
      <c r="E1188" s="2" t="s">
        <v>7215</v>
      </c>
      <c r="F1188" s="2" t="s">
        <v>7215</v>
      </c>
      <c r="G1188" s="2">
        <v>255</v>
      </c>
    </row>
    <row r="1189" spans="1:7" ht="15.75" customHeight="1">
      <c r="A1189" s="2" t="s">
        <v>7174</v>
      </c>
      <c r="B1189" s="2" t="s">
        <v>7188</v>
      </c>
      <c r="C1189" s="2" t="s">
        <v>8311</v>
      </c>
      <c r="D1189" s="2" t="s">
        <v>7282</v>
      </c>
      <c r="E1189" s="2" t="s">
        <v>7215</v>
      </c>
      <c r="F1189" s="2" t="s">
        <v>7215</v>
      </c>
      <c r="G1189" s="2">
        <v>100</v>
      </c>
    </row>
    <row r="1190" spans="1:7" ht="15.75" customHeight="1">
      <c r="A1190" s="2" t="s">
        <v>7174</v>
      </c>
      <c r="B1190" s="2" t="s">
        <v>7188</v>
      </c>
      <c r="C1190" s="2" t="s">
        <v>8312</v>
      </c>
      <c r="D1190" s="2" t="s">
        <v>8301</v>
      </c>
      <c r="E1190" s="2" t="s">
        <v>7278</v>
      </c>
      <c r="F1190" s="2" t="s">
        <v>7278</v>
      </c>
      <c r="G1190" s="2">
        <v>0</v>
      </c>
    </row>
    <row r="1191" spans="1:7" ht="15.75" customHeight="1">
      <c r="A1191" s="2" t="s">
        <v>7174</v>
      </c>
      <c r="B1191" s="2" t="s">
        <v>7188</v>
      </c>
      <c r="C1191" s="2" t="s">
        <v>8278</v>
      </c>
      <c r="D1191" s="2" t="s">
        <v>7284</v>
      </c>
      <c r="E1191" s="2" t="s">
        <v>7215</v>
      </c>
      <c r="F1191" s="2" t="s">
        <v>7215</v>
      </c>
      <c r="G1191" s="2">
        <v>1300</v>
      </c>
    </row>
    <row r="1192" spans="1:7" ht="15.75" customHeight="1">
      <c r="A1192" s="2" t="s">
        <v>7174</v>
      </c>
      <c r="B1192" s="2" t="s">
        <v>7188</v>
      </c>
      <c r="C1192" s="2" t="s">
        <v>8313</v>
      </c>
      <c r="D1192" s="2" t="s">
        <v>7312</v>
      </c>
      <c r="E1192" s="2" t="s">
        <v>7278</v>
      </c>
      <c r="F1192" s="2" t="s">
        <v>7278</v>
      </c>
      <c r="G1192" s="2">
        <v>0</v>
      </c>
    </row>
    <row r="1193" spans="1:7" ht="15.75" customHeight="1">
      <c r="A1193" s="2" t="s">
        <v>7174</v>
      </c>
      <c r="B1193" s="2" t="s">
        <v>7188</v>
      </c>
      <c r="C1193" s="2" t="s">
        <v>8314</v>
      </c>
      <c r="D1193" s="2" t="s">
        <v>7284</v>
      </c>
      <c r="E1193" s="2" t="s">
        <v>7215</v>
      </c>
      <c r="F1193" s="2" t="s">
        <v>7215</v>
      </c>
      <c r="G1193" s="2">
        <v>1300</v>
      </c>
    </row>
    <row r="1194" spans="1:7" ht="15.75" customHeight="1">
      <c r="A1194" s="2" t="s">
        <v>7174</v>
      </c>
      <c r="B1194" s="2" t="s">
        <v>7188</v>
      </c>
      <c r="C1194" s="2" t="s">
        <v>8280</v>
      </c>
      <c r="D1194" s="2" t="s">
        <v>7284</v>
      </c>
      <c r="E1194" s="2" t="s">
        <v>7215</v>
      </c>
      <c r="F1194" s="2" t="s">
        <v>7215</v>
      </c>
      <c r="G1194" s="2">
        <v>1300</v>
      </c>
    </row>
    <row r="1195" spans="1:7" ht="15.75" customHeight="1">
      <c r="A1195" s="2" t="s">
        <v>7174</v>
      </c>
      <c r="B1195" s="2" t="s">
        <v>7188</v>
      </c>
      <c r="C1195" s="2" t="s">
        <v>8315</v>
      </c>
      <c r="D1195" s="2" t="s">
        <v>7282</v>
      </c>
      <c r="E1195" s="2" t="s">
        <v>7215</v>
      </c>
      <c r="F1195" s="2" t="s">
        <v>7215</v>
      </c>
      <c r="G1195" s="2">
        <v>100</v>
      </c>
    </row>
    <row r="1196" spans="1:7" ht="15.75" customHeight="1">
      <c r="A1196" s="2" t="s">
        <v>7174</v>
      </c>
      <c r="B1196" s="2" t="s">
        <v>7188</v>
      </c>
      <c r="C1196" s="2" t="s">
        <v>8316</v>
      </c>
      <c r="D1196" s="2" t="s">
        <v>7284</v>
      </c>
      <c r="E1196" s="2" t="s">
        <v>7215</v>
      </c>
      <c r="F1196" s="2" t="s">
        <v>7215</v>
      </c>
      <c r="G1196" s="2">
        <v>1300</v>
      </c>
    </row>
    <row r="1197" spans="1:7" ht="15.75" customHeight="1">
      <c r="A1197" s="2" t="s">
        <v>7174</v>
      </c>
      <c r="B1197" s="2" t="s">
        <v>7188</v>
      </c>
      <c r="C1197" s="2" t="s">
        <v>8317</v>
      </c>
      <c r="D1197" s="2" t="s">
        <v>7284</v>
      </c>
      <c r="E1197" s="2" t="s">
        <v>7215</v>
      </c>
      <c r="F1197" s="2" t="s">
        <v>7215</v>
      </c>
      <c r="G1197" s="2">
        <v>1300</v>
      </c>
    </row>
    <row r="1198" spans="1:7" ht="15.75" customHeight="1">
      <c r="A1198" s="2" t="s">
        <v>7174</v>
      </c>
      <c r="B1198" s="2" t="s">
        <v>7188</v>
      </c>
      <c r="C1198" s="2" t="s">
        <v>8279</v>
      </c>
      <c r="D1198" s="2" t="s">
        <v>7284</v>
      </c>
      <c r="E1198" s="2" t="s">
        <v>7215</v>
      </c>
      <c r="F1198" s="2" t="s">
        <v>7215</v>
      </c>
      <c r="G1198" s="2">
        <v>1300</v>
      </c>
    </row>
    <row r="1199" spans="1:7" ht="15.75" customHeight="1">
      <c r="A1199" s="2" t="s">
        <v>7174</v>
      </c>
      <c r="B1199" s="2" t="s">
        <v>7188</v>
      </c>
      <c r="C1199" s="2" t="s">
        <v>8273</v>
      </c>
      <c r="D1199" s="2" t="s">
        <v>7284</v>
      </c>
      <c r="E1199" s="2" t="s">
        <v>7215</v>
      </c>
      <c r="F1199" s="2" t="s">
        <v>7215</v>
      </c>
      <c r="G1199" s="2">
        <v>1300</v>
      </c>
    </row>
    <row r="1200" spans="1:7" ht="15.75" customHeight="1">
      <c r="A1200" s="2" t="s">
        <v>7174</v>
      </c>
      <c r="B1200" s="2" t="s">
        <v>7188</v>
      </c>
      <c r="C1200" s="2" t="s">
        <v>8318</v>
      </c>
      <c r="D1200" s="2" t="s">
        <v>7282</v>
      </c>
      <c r="E1200" s="2" t="s">
        <v>7215</v>
      </c>
      <c r="F1200" s="2" t="s">
        <v>7215</v>
      </c>
      <c r="G1200" s="2">
        <v>100</v>
      </c>
    </row>
    <row r="1201" spans="1:7" ht="15.75" customHeight="1">
      <c r="A1201" s="2" t="s">
        <v>7174</v>
      </c>
      <c r="B1201" s="2" t="s">
        <v>7188</v>
      </c>
      <c r="C1201" s="2" t="s">
        <v>8319</v>
      </c>
      <c r="D1201" s="2" t="s">
        <v>7282</v>
      </c>
      <c r="E1201" s="2" t="s">
        <v>7215</v>
      </c>
      <c r="F1201" s="2" t="s">
        <v>7215</v>
      </c>
      <c r="G1201" s="2">
        <v>100</v>
      </c>
    </row>
    <row r="1202" spans="1:7" ht="15.75" customHeight="1">
      <c r="A1202" s="2" t="s">
        <v>7174</v>
      </c>
      <c r="B1202" s="2" t="s">
        <v>7188</v>
      </c>
      <c r="C1202" s="2" t="s">
        <v>8320</v>
      </c>
      <c r="D1202" s="2" t="s">
        <v>7284</v>
      </c>
      <c r="E1202" s="2" t="s">
        <v>7215</v>
      </c>
      <c r="F1202" s="2" t="s">
        <v>7215</v>
      </c>
      <c r="G1202" s="2">
        <v>1300</v>
      </c>
    </row>
    <row r="1203" spans="1:7" ht="15.75" customHeight="1">
      <c r="A1203" s="2" t="s">
        <v>7174</v>
      </c>
      <c r="B1203" s="2" t="s">
        <v>7188</v>
      </c>
      <c r="C1203" s="2" t="s">
        <v>8321</v>
      </c>
      <c r="D1203" s="2" t="s">
        <v>7284</v>
      </c>
      <c r="E1203" s="2" t="s">
        <v>7215</v>
      </c>
      <c r="F1203" s="2" t="s">
        <v>7215</v>
      </c>
      <c r="G1203" s="2">
        <v>1300</v>
      </c>
    </row>
    <row r="1204" spans="1:7" ht="15.75" customHeight="1">
      <c r="A1204" s="2" t="s">
        <v>7174</v>
      </c>
      <c r="B1204" s="2" t="s">
        <v>7188</v>
      </c>
      <c r="C1204" s="2" t="s">
        <v>8322</v>
      </c>
      <c r="D1204" s="2" t="s">
        <v>8282</v>
      </c>
      <c r="E1204" s="2" t="s">
        <v>3897</v>
      </c>
      <c r="F1204" s="2" t="s">
        <v>7210</v>
      </c>
      <c r="G1204" s="2">
        <v>18</v>
      </c>
    </row>
    <row r="1205" spans="1:7" ht="15.75" customHeight="1">
      <c r="A1205" s="2" t="s">
        <v>7174</v>
      </c>
      <c r="B1205" s="2" t="s">
        <v>7188</v>
      </c>
      <c r="C1205" s="2" t="s">
        <v>8323</v>
      </c>
      <c r="D1205" s="2" t="s">
        <v>7284</v>
      </c>
      <c r="E1205" s="2" t="s">
        <v>7215</v>
      </c>
      <c r="F1205" s="2" t="s">
        <v>7215</v>
      </c>
      <c r="G1205" s="2">
        <v>1300</v>
      </c>
    </row>
    <row r="1206" spans="1:7" ht="15.75" customHeight="1">
      <c r="A1206" s="2" t="s">
        <v>7174</v>
      </c>
      <c r="B1206" s="2" t="s">
        <v>7188</v>
      </c>
      <c r="C1206" s="2" t="s">
        <v>8324</v>
      </c>
      <c r="D1206" s="2" t="s">
        <v>7284</v>
      </c>
      <c r="E1206" s="2" t="s">
        <v>7215</v>
      </c>
      <c r="F1206" s="2" t="s">
        <v>7215</v>
      </c>
      <c r="G1206" s="2">
        <v>1300</v>
      </c>
    </row>
    <row r="1207" spans="1:7" ht="15.75" customHeight="1">
      <c r="A1207" s="2" t="s">
        <v>7174</v>
      </c>
      <c r="B1207" s="2" t="s">
        <v>7188</v>
      </c>
      <c r="C1207" s="2" t="s">
        <v>8325</v>
      </c>
      <c r="D1207" s="2" t="s">
        <v>7284</v>
      </c>
      <c r="E1207" s="2" t="s">
        <v>7215</v>
      </c>
      <c r="F1207" s="2" t="s">
        <v>7215</v>
      </c>
      <c r="G1207" s="2">
        <v>1300</v>
      </c>
    </row>
    <row r="1208" spans="1:7" ht="15.75" customHeight="1">
      <c r="A1208" s="2" t="s">
        <v>7174</v>
      </c>
      <c r="B1208" s="2" t="s">
        <v>7188</v>
      </c>
      <c r="C1208" s="2" t="s">
        <v>8284</v>
      </c>
      <c r="D1208" s="2" t="s">
        <v>7521</v>
      </c>
      <c r="E1208" s="2" t="s">
        <v>7215</v>
      </c>
      <c r="F1208" s="2" t="s">
        <v>7215</v>
      </c>
      <c r="G1208" s="2">
        <v>255</v>
      </c>
    </row>
    <row r="1209" spans="1:7" ht="15.75" customHeight="1">
      <c r="A1209" s="2" t="s">
        <v>7174</v>
      </c>
      <c r="B1209" s="2" t="s">
        <v>7188</v>
      </c>
      <c r="C1209" s="2" t="s">
        <v>8326</v>
      </c>
      <c r="D1209" s="2" t="s">
        <v>7284</v>
      </c>
      <c r="E1209" s="2" t="s">
        <v>7215</v>
      </c>
      <c r="F1209" s="2" t="s">
        <v>7215</v>
      </c>
      <c r="G1209" s="2">
        <v>1300</v>
      </c>
    </row>
    <row r="1210" spans="1:7" ht="15.75" customHeight="1">
      <c r="A1210" s="2" t="s">
        <v>7174</v>
      </c>
      <c r="B1210" s="2" t="s">
        <v>7188</v>
      </c>
      <c r="C1210" s="2" t="s">
        <v>7941</v>
      </c>
      <c r="D1210" s="2" t="s">
        <v>7259</v>
      </c>
      <c r="E1210" s="2" t="s">
        <v>7215</v>
      </c>
      <c r="F1210" s="2" t="s">
        <v>7215</v>
      </c>
      <c r="G1210" s="2">
        <v>255</v>
      </c>
    </row>
    <row r="1211" spans="1:7" ht="15.75" customHeight="1">
      <c r="A1211" s="2" t="s">
        <v>7174</v>
      </c>
      <c r="B1211" s="2" t="s">
        <v>7189</v>
      </c>
      <c r="C1211" s="2" t="s">
        <v>4304</v>
      </c>
      <c r="D1211" s="2" t="s">
        <v>7209</v>
      </c>
      <c r="E1211" s="2" t="s">
        <v>3897</v>
      </c>
      <c r="F1211" s="2" t="s">
        <v>7210</v>
      </c>
      <c r="G1211" s="2">
        <v>18</v>
      </c>
    </row>
    <row r="1212" spans="1:7" ht="15.75" customHeight="1">
      <c r="A1212" s="2" t="s">
        <v>7174</v>
      </c>
      <c r="B1212" s="2" t="s">
        <v>7189</v>
      </c>
      <c r="C1212" s="2" t="s">
        <v>8327</v>
      </c>
      <c r="D1212" s="2" t="s">
        <v>7808</v>
      </c>
      <c r="E1212" s="2" t="s">
        <v>3897</v>
      </c>
      <c r="F1212" s="2" t="s">
        <v>7210</v>
      </c>
      <c r="G1212" s="2">
        <v>18</v>
      </c>
    </row>
    <row r="1213" spans="1:7" ht="15.75" customHeight="1">
      <c r="A1213" s="2" t="s">
        <v>7174</v>
      </c>
      <c r="B1213" s="2" t="s">
        <v>7189</v>
      </c>
      <c r="C1213" s="2" t="s">
        <v>1761</v>
      </c>
      <c r="D1213" s="2" t="s">
        <v>7235</v>
      </c>
      <c r="E1213" s="2" t="s">
        <v>538</v>
      </c>
      <c r="F1213" s="2" t="s">
        <v>538</v>
      </c>
      <c r="G1213" s="2">
        <v>0</v>
      </c>
    </row>
    <row r="1214" spans="1:7" ht="15.75" customHeight="1">
      <c r="A1214" s="2" t="s">
        <v>7174</v>
      </c>
      <c r="B1214" s="2" t="s">
        <v>7189</v>
      </c>
      <c r="C1214" s="2" t="s">
        <v>8328</v>
      </c>
      <c r="D1214" s="2" t="s">
        <v>7235</v>
      </c>
      <c r="E1214" s="2" t="s">
        <v>538</v>
      </c>
      <c r="F1214" s="2" t="s">
        <v>538</v>
      </c>
      <c r="G1214" s="2">
        <v>0</v>
      </c>
    </row>
    <row r="1215" spans="1:7" ht="15.75" customHeight="1">
      <c r="A1215" s="2" t="s">
        <v>7174</v>
      </c>
      <c r="B1215" s="2" t="s">
        <v>7189</v>
      </c>
      <c r="C1215" s="2" t="s">
        <v>8329</v>
      </c>
      <c r="D1215" s="2" t="s">
        <v>7235</v>
      </c>
      <c r="E1215" s="2" t="s">
        <v>538</v>
      </c>
      <c r="F1215" s="2" t="s">
        <v>538</v>
      </c>
      <c r="G1215" s="2">
        <v>0</v>
      </c>
    </row>
    <row r="1216" spans="1:7" ht="15.75" customHeight="1">
      <c r="A1216" s="2" t="s">
        <v>7174</v>
      </c>
      <c r="B1216" s="2" t="s">
        <v>7189</v>
      </c>
      <c r="C1216" s="2" t="s">
        <v>8330</v>
      </c>
      <c r="D1216" s="2" t="s">
        <v>8331</v>
      </c>
      <c r="E1216" s="2" t="s">
        <v>3897</v>
      </c>
      <c r="F1216" s="2" t="s">
        <v>7210</v>
      </c>
      <c r="G1216" s="2">
        <v>18</v>
      </c>
    </row>
    <row r="1217" spans="1:7" ht="15.75" customHeight="1">
      <c r="A1217" s="2" t="s">
        <v>7174</v>
      </c>
      <c r="B1217" s="2" t="s">
        <v>7189</v>
      </c>
      <c r="C1217" s="2" t="s">
        <v>8332</v>
      </c>
      <c r="D1217" s="2" t="s">
        <v>7212</v>
      </c>
      <c r="E1217" s="2" t="s">
        <v>5672</v>
      </c>
      <c r="F1217" s="2" t="s">
        <v>5672</v>
      </c>
      <c r="G1217" s="2">
        <v>0</v>
      </c>
    </row>
    <row r="1218" spans="1:7" ht="15.75" customHeight="1">
      <c r="A1218" s="2" t="s">
        <v>7174</v>
      </c>
      <c r="B1218" s="2" t="s">
        <v>7189</v>
      </c>
      <c r="C1218" s="2" t="s">
        <v>8333</v>
      </c>
      <c r="D1218" s="2" t="s">
        <v>7212</v>
      </c>
      <c r="E1218" s="2" t="s">
        <v>5672</v>
      </c>
      <c r="F1218" s="2" t="s">
        <v>5672</v>
      </c>
      <c r="G1218" s="2">
        <v>0</v>
      </c>
    </row>
    <row r="1219" spans="1:7" ht="15.75" customHeight="1">
      <c r="A1219" s="2" t="s">
        <v>7174</v>
      </c>
      <c r="B1219" s="2" t="s">
        <v>7189</v>
      </c>
      <c r="C1219" s="2" t="s">
        <v>7238</v>
      </c>
      <c r="D1219" s="2" t="s">
        <v>7235</v>
      </c>
      <c r="E1219" s="2" t="s">
        <v>538</v>
      </c>
      <c r="F1219" s="2" t="s">
        <v>538</v>
      </c>
      <c r="G1219" s="2">
        <v>0</v>
      </c>
    </row>
    <row r="1220" spans="1:7" ht="15.75" customHeight="1">
      <c r="A1220" s="2" t="s">
        <v>7174</v>
      </c>
      <c r="B1220" s="2" t="s">
        <v>7189</v>
      </c>
      <c r="C1220" s="2" t="s">
        <v>7135</v>
      </c>
      <c r="D1220" s="2" t="s">
        <v>7235</v>
      </c>
      <c r="E1220" s="2" t="s">
        <v>538</v>
      </c>
      <c r="F1220" s="2" t="s">
        <v>538</v>
      </c>
      <c r="G1220" s="2">
        <v>0</v>
      </c>
    </row>
    <row r="1221" spans="1:7" ht="15.75" customHeight="1">
      <c r="A1221" s="2" t="s">
        <v>7174</v>
      </c>
      <c r="B1221" s="2" t="s">
        <v>7189</v>
      </c>
      <c r="C1221" s="2" t="s">
        <v>7236</v>
      </c>
      <c r="D1221" s="2" t="s">
        <v>7234</v>
      </c>
      <c r="E1221" s="2" t="s">
        <v>3897</v>
      </c>
      <c r="F1221" s="2" t="s">
        <v>7210</v>
      </c>
      <c r="G1221" s="2">
        <v>18</v>
      </c>
    </row>
    <row r="1222" spans="1:7" ht="15.75" customHeight="1">
      <c r="A1222" s="2" t="s">
        <v>7174</v>
      </c>
      <c r="B1222" s="2" t="s">
        <v>7189</v>
      </c>
      <c r="C1222" s="2" t="s">
        <v>7176</v>
      </c>
      <c r="D1222" s="2" t="s">
        <v>7235</v>
      </c>
      <c r="E1222" s="2" t="s">
        <v>538</v>
      </c>
      <c r="F1222" s="2" t="s">
        <v>538</v>
      </c>
      <c r="G1222" s="2">
        <v>0</v>
      </c>
    </row>
    <row r="1223" spans="1:7" ht="15.75" customHeight="1">
      <c r="A1223" s="2" t="s">
        <v>7174</v>
      </c>
      <c r="B1223" s="2" t="s">
        <v>7189</v>
      </c>
      <c r="C1223" s="2" t="s">
        <v>7237</v>
      </c>
      <c r="D1223" s="2" t="s">
        <v>7234</v>
      </c>
      <c r="E1223" s="2" t="s">
        <v>3897</v>
      </c>
      <c r="F1223" s="2" t="s">
        <v>7210</v>
      </c>
      <c r="G1223" s="2">
        <v>18</v>
      </c>
    </row>
    <row r="1224" spans="1:7" ht="15.75" customHeight="1">
      <c r="A1224" s="2" t="s">
        <v>7174</v>
      </c>
      <c r="B1224" s="2" t="s">
        <v>7189</v>
      </c>
      <c r="C1224" s="2" t="s">
        <v>7211</v>
      </c>
      <c r="D1224" s="2" t="s">
        <v>7212</v>
      </c>
      <c r="E1224" s="2" t="s">
        <v>5672</v>
      </c>
      <c r="F1224" s="2" t="s">
        <v>5672</v>
      </c>
      <c r="G1224" s="2">
        <v>0</v>
      </c>
    </row>
    <row r="1225" spans="1:7" ht="15.75" customHeight="1">
      <c r="A1225" s="2" t="s">
        <v>7174</v>
      </c>
      <c r="B1225" s="2" t="s">
        <v>7189</v>
      </c>
      <c r="C1225" s="2" t="s">
        <v>8334</v>
      </c>
      <c r="D1225" s="2" t="s">
        <v>7687</v>
      </c>
      <c r="E1225" s="2" t="s">
        <v>5664</v>
      </c>
      <c r="F1225" s="2" t="s">
        <v>5664</v>
      </c>
      <c r="G1225" s="2">
        <v>0</v>
      </c>
    </row>
    <row r="1226" spans="1:7" ht="15.75" customHeight="1">
      <c r="A1226" s="2" t="s">
        <v>7174</v>
      </c>
      <c r="B1226" s="2" t="s">
        <v>7189</v>
      </c>
      <c r="C1226" s="2" t="s">
        <v>8335</v>
      </c>
      <c r="D1226" s="2" t="s">
        <v>8336</v>
      </c>
      <c r="E1226" s="2" t="s">
        <v>7278</v>
      </c>
      <c r="F1226" s="2" t="s">
        <v>7278</v>
      </c>
      <c r="G1226" s="2">
        <v>0</v>
      </c>
    </row>
    <row r="1227" spans="1:7" ht="15.75" customHeight="1">
      <c r="A1227" s="2" t="s">
        <v>7174</v>
      </c>
      <c r="B1227" s="2" t="s">
        <v>7189</v>
      </c>
      <c r="C1227" s="2" t="s">
        <v>8337</v>
      </c>
      <c r="D1227" s="2" t="s">
        <v>8336</v>
      </c>
      <c r="E1227" s="2" t="s">
        <v>7278</v>
      </c>
      <c r="F1227" s="2" t="s">
        <v>7278</v>
      </c>
      <c r="G1227" s="2">
        <v>0</v>
      </c>
    </row>
    <row r="1228" spans="1:7" ht="15.75" customHeight="1">
      <c r="A1228" s="2" t="s">
        <v>7174</v>
      </c>
      <c r="B1228" s="2" t="s">
        <v>7189</v>
      </c>
      <c r="C1228" s="2" t="s">
        <v>8338</v>
      </c>
      <c r="D1228" s="2" t="s">
        <v>7347</v>
      </c>
      <c r="E1228" s="2" t="s">
        <v>7215</v>
      </c>
      <c r="F1228" s="2" t="s">
        <v>7215</v>
      </c>
      <c r="G1228" s="2">
        <v>10</v>
      </c>
    </row>
    <row r="1229" spans="1:7" ht="15.75" customHeight="1">
      <c r="A1229" s="2" t="s">
        <v>7174</v>
      </c>
      <c r="B1229" s="2" t="s">
        <v>7189</v>
      </c>
      <c r="C1229" s="2" t="s">
        <v>8339</v>
      </c>
      <c r="D1229" s="2" t="s">
        <v>7347</v>
      </c>
      <c r="E1229" s="2" t="s">
        <v>7215</v>
      </c>
      <c r="F1229" s="2" t="s">
        <v>7215</v>
      </c>
      <c r="G1229" s="2">
        <v>10</v>
      </c>
    </row>
    <row r="1230" spans="1:7" ht="15.75" customHeight="1">
      <c r="A1230" s="2" t="s">
        <v>7174</v>
      </c>
      <c r="B1230" s="2" t="s">
        <v>7189</v>
      </c>
      <c r="C1230" s="2" t="s">
        <v>8340</v>
      </c>
      <c r="D1230" s="2" t="s">
        <v>8336</v>
      </c>
      <c r="E1230" s="2" t="s">
        <v>7278</v>
      </c>
      <c r="F1230" s="2" t="s">
        <v>7278</v>
      </c>
      <c r="G1230" s="2">
        <v>0</v>
      </c>
    </row>
    <row r="1231" spans="1:7" ht="15.75" customHeight="1">
      <c r="A1231" s="2" t="s">
        <v>7174</v>
      </c>
      <c r="B1231" s="2" t="s">
        <v>7189</v>
      </c>
      <c r="C1231" s="2" t="s">
        <v>8341</v>
      </c>
      <c r="D1231" s="2" t="s">
        <v>7687</v>
      </c>
      <c r="E1231" s="2" t="s">
        <v>5664</v>
      </c>
      <c r="F1231" s="2" t="s">
        <v>5664</v>
      </c>
      <c r="G1231" s="2">
        <v>0</v>
      </c>
    </row>
    <row r="1232" spans="1:7" ht="15.75" customHeight="1">
      <c r="A1232" s="2" t="s">
        <v>7174</v>
      </c>
      <c r="B1232" s="2" t="s">
        <v>7189</v>
      </c>
      <c r="C1232" s="2" t="s">
        <v>8342</v>
      </c>
      <c r="D1232" s="2" t="s">
        <v>8336</v>
      </c>
      <c r="E1232" s="2" t="s">
        <v>7278</v>
      </c>
      <c r="F1232" s="2" t="s">
        <v>7278</v>
      </c>
      <c r="G1232" s="2">
        <v>0</v>
      </c>
    </row>
    <row r="1233" spans="1:7" ht="15.75" customHeight="1">
      <c r="A1233" s="2" t="s">
        <v>7174</v>
      </c>
      <c r="B1233" s="2" t="s">
        <v>7189</v>
      </c>
      <c r="C1233" s="2" t="s">
        <v>8343</v>
      </c>
      <c r="D1233" s="2" t="s">
        <v>8336</v>
      </c>
      <c r="E1233" s="2" t="s">
        <v>7278</v>
      </c>
      <c r="F1233" s="2" t="s">
        <v>7278</v>
      </c>
      <c r="G1233" s="2">
        <v>0</v>
      </c>
    </row>
    <row r="1234" spans="1:7" ht="15.75" customHeight="1">
      <c r="A1234" s="2" t="s">
        <v>7174</v>
      </c>
      <c r="B1234" s="2" t="s">
        <v>7189</v>
      </c>
      <c r="C1234" s="2" t="s">
        <v>8344</v>
      </c>
      <c r="D1234" s="2" t="s">
        <v>7347</v>
      </c>
      <c r="E1234" s="2" t="s">
        <v>7215</v>
      </c>
      <c r="F1234" s="2" t="s">
        <v>7215</v>
      </c>
      <c r="G1234" s="2">
        <v>10</v>
      </c>
    </row>
    <row r="1235" spans="1:7" ht="15.75" customHeight="1">
      <c r="A1235" s="2" t="s">
        <v>7174</v>
      </c>
      <c r="B1235" s="2" t="s">
        <v>7189</v>
      </c>
      <c r="C1235" s="2" t="s">
        <v>8345</v>
      </c>
      <c r="D1235" s="2" t="s">
        <v>7347</v>
      </c>
      <c r="E1235" s="2" t="s">
        <v>7215</v>
      </c>
      <c r="F1235" s="2" t="s">
        <v>7215</v>
      </c>
      <c r="G1235" s="2">
        <v>10</v>
      </c>
    </row>
    <row r="1236" spans="1:7" ht="15.75" customHeight="1">
      <c r="A1236" s="2" t="s">
        <v>7174</v>
      </c>
      <c r="B1236" s="2" t="s">
        <v>7189</v>
      </c>
      <c r="C1236" s="2" t="s">
        <v>8346</v>
      </c>
      <c r="D1236" s="2" t="s">
        <v>8336</v>
      </c>
      <c r="E1236" s="2" t="s">
        <v>7278</v>
      </c>
      <c r="F1236" s="2" t="s">
        <v>7278</v>
      </c>
      <c r="G1236" s="2">
        <v>0</v>
      </c>
    </row>
    <row r="1237" spans="1:7" ht="15.75" customHeight="1">
      <c r="A1237" s="2" t="s">
        <v>7174</v>
      </c>
      <c r="B1237" s="2" t="s">
        <v>7189</v>
      </c>
      <c r="C1237" s="2" t="s">
        <v>8347</v>
      </c>
      <c r="D1237" s="2" t="s">
        <v>8348</v>
      </c>
      <c r="E1237" s="2" t="s">
        <v>3897</v>
      </c>
      <c r="F1237" s="2" t="s">
        <v>7210</v>
      </c>
      <c r="G1237" s="2">
        <v>18</v>
      </c>
    </row>
    <row r="1238" spans="1:7" ht="15.75" customHeight="1">
      <c r="A1238" s="2" t="s">
        <v>7174</v>
      </c>
      <c r="B1238" s="2" t="s">
        <v>7190</v>
      </c>
      <c r="C1238" s="2" t="s">
        <v>4304</v>
      </c>
      <c r="D1238" s="2" t="s">
        <v>7209</v>
      </c>
      <c r="E1238" s="2" t="s">
        <v>3897</v>
      </c>
      <c r="F1238" s="2" t="s">
        <v>7210</v>
      </c>
      <c r="G1238" s="2">
        <v>18</v>
      </c>
    </row>
    <row r="1239" spans="1:7" ht="15.75" customHeight="1">
      <c r="A1239" s="2" t="s">
        <v>7174</v>
      </c>
      <c r="B1239" s="2" t="s">
        <v>7190</v>
      </c>
      <c r="C1239" s="2" t="s">
        <v>7211</v>
      </c>
      <c r="D1239" s="2" t="s">
        <v>7212</v>
      </c>
      <c r="E1239" s="2" t="s">
        <v>5672</v>
      </c>
      <c r="F1239" s="2" t="s">
        <v>5672</v>
      </c>
      <c r="G1239" s="2">
        <v>0</v>
      </c>
    </row>
    <row r="1240" spans="1:7" ht="15.75" customHeight="1">
      <c r="A1240" s="2" t="s">
        <v>7174</v>
      </c>
      <c r="B1240" s="2" t="s">
        <v>7190</v>
      </c>
      <c r="C1240" s="2" t="s">
        <v>7213</v>
      </c>
      <c r="D1240" s="2" t="s">
        <v>7245</v>
      </c>
      <c r="E1240" s="2" t="s">
        <v>3897</v>
      </c>
      <c r="F1240" s="2" t="s">
        <v>7210</v>
      </c>
      <c r="G1240" s="2">
        <v>18</v>
      </c>
    </row>
    <row r="1241" spans="1:7" ht="15.75" customHeight="1">
      <c r="A1241" s="2" t="s">
        <v>7174</v>
      </c>
      <c r="B1241" s="2" t="s">
        <v>7190</v>
      </c>
      <c r="C1241" s="2" t="s">
        <v>7810</v>
      </c>
      <c r="D1241" s="2" t="s">
        <v>7214</v>
      </c>
      <c r="E1241" s="2" t="s">
        <v>3897</v>
      </c>
      <c r="F1241" s="2" t="s">
        <v>7210</v>
      </c>
      <c r="G1241" s="2">
        <v>18</v>
      </c>
    </row>
    <row r="1242" spans="1:7" ht="15.75" customHeight="1">
      <c r="A1242" s="2" t="s">
        <v>7174</v>
      </c>
      <c r="B1242" s="2" t="s">
        <v>7190</v>
      </c>
      <c r="C1242" s="2" t="s">
        <v>7246</v>
      </c>
      <c r="D1242" s="2" t="s">
        <v>7212</v>
      </c>
      <c r="E1242" s="2" t="s">
        <v>5672</v>
      </c>
      <c r="F1242" s="2" t="s">
        <v>5672</v>
      </c>
      <c r="G1242" s="2">
        <v>0</v>
      </c>
    </row>
    <row r="1243" spans="1:7" ht="15.75" customHeight="1">
      <c r="A1243" s="2" t="s">
        <v>7174</v>
      </c>
      <c r="B1243" s="2" t="s">
        <v>7190</v>
      </c>
      <c r="C1243" s="2" t="s">
        <v>4306</v>
      </c>
      <c r="D1243" s="2" t="s">
        <v>4306</v>
      </c>
      <c r="E1243" s="2" t="s">
        <v>7215</v>
      </c>
      <c r="F1243" s="2" t="s">
        <v>7215</v>
      </c>
      <c r="G1243" s="2">
        <v>121</v>
      </c>
    </row>
    <row r="1244" spans="1:7" ht="15.75" customHeight="1">
      <c r="A1244" s="2" t="s">
        <v>7174</v>
      </c>
      <c r="B1244" s="2" t="s">
        <v>7190</v>
      </c>
      <c r="C1244" s="2" t="s">
        <v>7217</v>
      </c>
      <c r="D1244" s="2" t="s">
        <v>7218</v>
      </c>
      <c r="E1244" s="2" t="s">
        <v>3897</v>
      </c>
      <c r="F1244" s="2" t="s">
        <v>7210</v>
      </c>
      <c r="G1244" s="2">
        <v>18</v>
      </c>
    </row>
    <row r="1245" spans="1:7" ht="15.75" customHeight="1">
      <c r="A1245" s="2" t="s">
        <v>7174</v>
      </c>
      <c r="B1245" s="2" t="s">
        <v>7190</v>
      </c>
      <c r="C1245" s="2" t="s">
        <v>8349</v>
      </c>
      <c r="D1245" s="2" t="s">
        <v>7222</v>
      </c>
      <c r="E1245" s="2" t="s">
        <v>7223</v>
      </c>
      <c r="F1245" s="2" t="s">
        <v>7210</v>
      </c>
      <c r="G1245" s="2">
        <v>0</v>
      </c>
    </row>
    <row r="1246" spans="1:7" ht="15.75" customHeight="1">
      <c r="A1246" s="2" t="s">
        <v>7174</v>
      </c>
      <c r="B1246" s="2" t="s">
        <v>7190</v>
      </c>
      <c r="C1246" s="2" t="s">
        <v>7224</v>
      </c>
      <c r="D1246" s="2" t="s">
        <v>7224</v>
      </c>
      <c r="E1246" s="2" t="s">
        <v>7215</v>
      </c>
      <c r="F1246" s="2" t="s">
        <v>7215</v>
      </c>
      <c r="G1246" s="2">
        <v>40</v>
      </c>
    </row>
    <row r="1247" spans="1:7" ht="15.75" customHeight="1">
      <c r="A1247" s="2" t="s">
        <v>7174</v>
      </c>
      <c r="B1247" s="2" t="s">
        <v>7190</v>
      </c>
      <c r="C1247" s="2" t="s">
        <v>7225</v>
      </c>
      <c r="D1247" s="2" t="s">
        <v>7225</v>
      </c>
      <c r="E1247" s="2" t="s">
        <v>7215</v>
      </c>
      <c r="F1247" s="2" t="s">
        <v>7215</v>
      </c>
      <c r="G1247" s="2">
        <v>40</v>
      </c>
    </row>
    <row r="1248" spans="1:7" ht="15.75" customHeight="1">
      <c r="A1248" s="2" t="s">
        <v>7174</v>
      </c>
      <c r="B1248" s="2" t="s">
        <v>7190</v>
      </c>
      <c r="C1248" s="2" t="s">
        <v>7767</v>
      </c>
      <c r="D1248" s="2" t="s">
        <v>7224</v>
      </c>
      <c r="E1248" s="2" t="s">
        <v>7215</v>
      </c>
      <c r="F1248" s="2" t="s">
        <v>7215</v>
      </c>
      <c r="G1248" s="2">
        <v>40</v>
      </c>
    </row>
    <row r="1249" spans="1:7" ht="15.75" customHeight="1">
      <c r="A1249" s="2" t="s">
        <v>7174</v>
      </c>
      <c r="B1249" s="2" t="s">
        <v>7190</v>
      </c>
      <c r="C1249" s="2" t="s">
        <v>8350</v>
      </c>
      <c r="D1249" s="2" t="s">
        <v>7224</v>
      </c>
      <c r="E1249" s="2" t="s">
        <v>7215</v>
      </c>
      <c r="F1249" s="2" t="s">
        <v>7215</v>
      </c>
      <c r="G1249" s="2">
        <v>40</v>
      </c>
    </row>
    <row r="1250" spans="1:7" ht="15.75" customHeight="1">
      <c r="A1250" s="2" t="s">
        <v>7174</v>
      </c>
      <c r="B1250" s="2" t="s">
        <v>7190</v>
      </c>
      <c r="C1250" s="2" t="s">
        <v>8351</v>
      </c>
      <c r="D1250" s="2" t="s">
        <v>7224</v>
      </c>
      <c r="E1250" s="2" t="s">
        <v>7215</v>
      </c>
      <c r="F1250" s="2" t="s">
        <v>7215</v>
      </c>
      <c r="G1250" s="2">
        <v>40</v>
      </c>
    </row>
    <row r="1251" spans="1:7" ht="15.75" customHeight="1">
      <c r="A1251" s="2" t="s">
        <v>7174</v>
      </c>
      <c r="B1251" s="2" t="s">
        <v>7190</v>
      </c>
      <c r="C1251" s="2" t="s">
        <v>8352</v>
      </c>
      <c r="D1251" s="2" t="s">
        <v>7224</v>
      </c>
      <c r="E1251" s="2" t="s">
        <v>7215</v>
      </c>
      <c r="F1251" s="2" t="s">
        <v>7215</v>
      </c>
      <c r="G1251" s="2">
        <v>40</v>
      </c>
    </row>
    <row r="1252" spans="1:7" ht="15.75" customHeight="1">
      <c r="A1252" s="2" t="s">
        <v>7174</v>
      </c>
      <c r="B1252" s="2" t="s">
        <v>7190</v>
      </c>
      <c r="C1252" s="2" t="s">
        <v>8353</v>
      </c>
      <c r="D1252" s="2" t="s">
        <v>7245</v>
      </c>
      <c r="E1252" s="2" t="s">
        <v>3897</v>
      </c>
      <c r="F1252" s="2" t="s">
        <v>7210</v>
      </c>
      <c r="G1252" s="2">
        <v>18</v>
      </c>
    </row>
    <row r="1253" spans="1:7" ht="15.75" customHeight="1">
      <c r="A1253" s="2" t="s">
        <v>7174</v>
      </c>
      <c r="B1253" s="2" t="s">
        <v>7190</v>
      </c>
      <c r="C1253" s="2" t="s">
        <v>5204</v>
      </c>
      <c r="D1253" s="2" t="s">
        <v>5204</v>
      </c>
      <c r="E1253" s="2" t="s">
        <v>7215</v>
      </c>
      <c r="F1253" s="2" t="s">
        <v>7215</v>
      </c>
      <c r="G1253" s="2">
        <v>80</v>
      </c>
    </row>
    <row r="1254" spans="1:7" ht="15.75" customHeight="1">
      <c r="A1254" s="2" t="s">
        <v>7174</v>
      </c>
      <c r="B1254" s="2" t="s">
        <v>7190</v>
      </c>
      <c r="C1254" s="2" t="s">
        <v>5186</v>
      </c>
      <c r="D1254" s="2" t="s">
        <v>7765</v>
      </c>
      <c r="E1254" s="2" t="s">
        <v>7215</v>
      </c>
      <c r="F1254" s="2" t="s">
        <v>7215</v>
      </c>
      <c r="G1254" s="2">
        <v>128</v>
      </c>
    </row>
    <row r="1255" spans="1:7" ht="15.75" customHeight="1">
      <c r="A1255" s="2" t="s">
        <v>7174</v>
      </c>
      <c r="B1255" s="2" t="s">
        <v>7190</v>
      </c>
      <c r="C1255" s="2" t="s">
        <v>8354</v>
      </c>
      <c r="D1255" s="2" t="s">
        <v>7254</v>
      </c>
      <c r="E1255" s="2" t="s">
        <v>7215</v>
      </c>
      <c r="F1255" s="2" t="s">
        <v>7215</v>
      </c>
      <c r="G1255" s="2">
        <v>80</v>
      </c>
    </row>
    <row r="1256" spans="1:7" ht="15.75" customHeight="1">
      <c r="A1256" s="2" t="s">
        <v>7174</v>
      </c>
      <c r="B1256" s="2" t="s">
        <v>7190</v>
      </c>
      <c r="C1256" s="2" t="s">
        <v>7233</v>
      </c>
      <c r="D1256" s="2" t="s">
        <v>7234</v>
      </c>
      <c r="E1256" s="2" t="s">
        <v>3897</v>
      </c>
      <c r="F1256" s="2" t="s">
        <v>7210</v>
      </c>
      <c r="G1256" s="2">
        <v>18</v>
      </c>
    </row>
    <row r="1257" spans="1:7" ht="15.75" customHeight="1">
      <c r="A1257" s="2" t="s">
        <v>7174</v>
      </c>
      <c r="B1257" s="2" t="s">
        <v>7190</v>
      </c>
      <c r="C1257" s="2" t="s">
        <v>7135</v>
      </c>
      <c r="D1257" s="2" t="s">
        <v>7235</v>
      </c>
      <c r="E1257" s="2" t="s">
        <v>538</v>
      </c>
      <c r="F1257" s="2" t="s">
        <v>538</v>
      </c>
      <c r="G1257" s="2">
        <v>0</v>
      </c>
    </row>
    <row r="1258" spans="1:7" ht="15.75" customHeight="1">
      <c r="A1258" s="2" t="s">
        <v>7174</v>
      </c>
      <c r="B1258" s="2" t="s">
        <v>7190</v>
      </c>
      <c r="C1258" s="2" t="s">
        <v>7236</v>
      </c>
      <c r="D1258" s="2" t="s">
        <v>7234</v>
      </c>
      <c r="E1258" s="2" t="s">
        <v>3897</v>
      </c>
      <c r="F1258" s="2" t="s">
        <v>7210</v>
      </c>
      <c r="G1258" s="2">
        <v>18</v>
      </c>
    </row>
    <row r="1259" spans="1:7" ht="15.75" customHeight="1">
      <c r="A1259" s="2" t="s">
        <v>7174</v>
      </c>
      <c r="B1259" s="2" t="s">
        <v>7190</v>
      </c>
      <c r="C1259" s="2" t="s">
        <v>7176</v>
      </c>
      <c r="D1259" s="2" t="s">
        <v>7235</v>
      </c>
      <c r="E1259" s="2" t="s">
        <v>538</v>
      </c>
      <c r="F1259" s="2" t="s">
        <v>538</v>
      </c>
      <c r="G1259" s="2">
        <v>0</v>
      </c>
    </row>
    <row r="1260" spans="1:7" ht="15.75" customHeight="1">
      <c r="A1260" s="2" t="s">
        <v>7174</v>
      </c>
      <c r="B1260" s="2" t="s">
        <v>7190</v>
      </c>
      <c r="C1260" s="2" t="s">
        <v>7237</v>
      </c>
      <c r="D1260" s="2" t="s">
        <v>7234</v>
      </c>
      <c r="E1260" s="2" t="s">
        <v>3897</v>
      </c>
      <c r="F1260" s="2" t="s">
        <v>7210</v>
      </c>
      <c r="G1260" s="2">
        <v>18</v>
      </c>
    </row>
    <row r="1261" spans="1:7" ht="15.75" customHeight="1">
      <c r="A1261" s="2" t="s">
        <v>7174</v>
      </c>
      <c r="B1261" s="2" t="s">
        <v>7190</v>
      </c>
      <c r="C1261" s="2" t="s">
        <v>7238</v>
      </c>
      <c r="D1261" s="2" t="s">
        <v>7235</v>
      </c>
      <c r="E1261" s="2" t="s">
        <v>538</v>
      </c>
      <c r="F1261" s="2" t="s">
        <v>538</v>
      </c>
      <c r="G1261" s="2">
        <v>0</v>
      </c>
    </row>
    <row r="1262" spans="1:7" ht="15.75" customHeight="1">
      <c r="A1262" s="2" t="s">
        <v>7174</v>
      </c>
      <c r="B1262" s="2" t="s">
        <v>7190</v>
      </c>
      <c r="C1262" s="2" t="s">
        <v>7239</v>
      </c>
      <c r="D1262" s="2" t="s">
        <v>6212</v>
      </c>
      <c r="E1262" s="2" t="s">
        <v>1974</v>
      </c>
      <c r="F1262" s="2" t="s">
        <v>1974</v>
      </c>
      <c r="G1262" s="2">
        <v>0</v>
      </c>
    </row>
    <row r="1263" spans="1:7" ht="15.75" customHeight="1">
      <c r="A1263" s="2" t="s">
        <v>7174</v>
      </c>
      <c r="B1263" s="2" t="s">
        <v>7190</v>
      </c>
      <c r="C1263" s="2" t="s">
        <v>8355</v>
      </c>
      <c r="D1263" s="2" t="s">
        <v>7235</v>
      </c>
      <c r="E1263" s="2" t="s">
        <v>538</v>
      </c>
      <c r="F1263" s="2" t="s">
        <v>538</v>
      </c>
      <c r="G1263" s="2">
        <v>0</v>
      </c>
    </row>
    <row r="1264" spans="1:7" ht="15.75" customHeight="1">
      <c r="A1264" s="2" t="s">
        <v>7174</v>
      </c>
      <c r="B1264" s="2" t="s">
        <v>7190</v>
      </c>
      <c r="C1264" s="2" t="s">
        <v>8356</v>
      </c>
      <c r="D1264" s="2" t="s">
        <v>7235</v>
      </c>
      <c r="E1264" s="2" t="s">
        <v>538</v>
      </c>
      <c r="F1264" s="2" t="s">
        <v>538</v>
      </c>
      <c r="G1264" s="2">
        <v>0</v>
      </c>
    </row>
    <row r="1265" spans="1:7" ht="15.75" customHeight="1">
      <c r="A1265" s="2" t="s">
        <v>7174</v>
      </c>
      <c r="B1265" s="2" t="s">
        <v>7190</v>
      </c>
      <c r="C1265" s="2" t="s">
        <v>7240</v>
      </c>
      <c r="D1265" s="2" t="s">
        <v>7235</v>
      </c>
      <c r="E1265" s="2" t="s">
        <v>538</v>
      </c>
      <c r="F1265" s="2" t="s">
        <v>538</v>
      </c>
      <c r="G1265" s="2">
        <v>0</v>
      </c>
    </row>
    <row r="1266" spans="1:7" ht="15.75" customHeight="1">
      <c r="A1266" s="2" t="s">
        <v>7174</v>
      </c>
      <c r="B1266" s="2" t="s">
        <v>7190</v>
      </c>
      <c r="C1266" s="2" t="s">
        <v>7241</v>
      </c>
      <c r="D1266" s="2" t="s">
        <v>7235</v>
      </c>
      <c r="E1266" s="2" t="s">
        <v>538</v>
      </c>
      <c r="F1266" s="2" t="s">
        <v>538</v>
      </c>
      <c r="G1266" s="2">
        <v>0</v>
      </c>
    </row>
    <row r="1267" spans="1:7" ht="15.75" customHeight="1">
      <c r="A1267" s="2" t="s">
        <v>7174</v>
      </c>
      <c r="B1267" s="2" t="s">
        <v>7190</v>
      </c>
      <c r="C1267" s="2" t="s">
        <v>7242</v>
      </c>
      <c r="D1267" s="2" t="s">
        <v>7243</v>
      </c>
      <c r="E1267" s="2" t="s">
        <v>3897</v>
      </c>
      <c r="F1267" s="2" t="s">
        <v>7210</v>
      </c>
      <c r="G1267" s="2">
        <v>18</v>
      </c>
    </row>
    <row r="1268" spans="1:7" ht="15.75" customHeight="1">
      <c r="A1268" s="2" t="s">
        <v>7174</v>
      </c>
      <c r="B1268" s="2" t="s">
        <v>7190</v>
      </c>
      <c r="C1268" s="2" t="s">
        <v>8357</v>
      </c>
      <c r="D1268" s="2" t="s">
        <v>7259</v>
      </c>
      <c r="E1268" s="2" t="s">
        <v>7215</v>
      </c>
      <c r="F1268" s="2" t="s">
        <v>7215</v>
      </c>
      <c r="G1268" s="2">
        <v>255</v>
      </c>
    </row>
    <row r="1269" spans="1:7" ht="15.75" customHeight="1">
      <c r="A1269" s="2" t="s">
        <v>7174</v>
      </c>
      <c r="B1269" s="2" t="s">
        <v>7190</v>
      </c>
      <c r="C1269" s="2" t="s">
        <v>8358</v>
      </c>
      <c r="D1269" s="2" t="s">
        <v>7235</v>
      </c>
      <c r="E1269" s="2" t="s">
        <v>538</v>
      </c>
      <c r="F1269" s="2" t="s">
        <v>538</v>
      </c>
      <c r="G1269" s="2">
        <v>0</v>
      </c>
    </row>
    <row r="1270" spans="1:7" ht="15.75" customHeight="1">
      <c r="A1270" s="2" t="s">
        <v>7174</v>
      </c>
      <c r="B1270" s="2" t="s">
        <v>7190</v>
      </c>
      <c r="C1270" s="2" t="s">
        <v>8359</v>
      </c>
      <c r="D1270" s="2" t="s">
        <v>7212</v>
      </c>
      <c r="E1270" s="2" t="s">
        <v>5672</v>
      </c>
      <c r="F1270" s="2" t="s">
        <v>5672</v>
      </c>
      <c r="G1270" s="2">
        <v>0</v>
      </c>
    </row>
    <row r="1271" spans="1:7" ht="15.75" customHeight="1">
      <c r="A1271" s="2" t="s">
        <v>7174</v>
      </c>
      <c r="B1271" s="2" t="s">
        <v>7190</v>
      </c>
      <c r="C1271" s="2" t="s">
        <v>7228</v>
      </c>
      <c r="D1271" s="2" t="s">
        <v>7227</v>
      </c>
      <c r="E1271" s="2" t="s">
        <v>7215</v>
      </c>
      <c r="F1271" s="2" t="s">
        <v>7215</v>
      </c>
      <c r="G1271" s="2">
        <v>255</v>
      </c>
    </row>
    <row r="1272" spans="1:7" ht="15.75" customHeight="1">
      <c r="A1272" s="2" t="s">
        <v>7174</v>
      </c>
      <c r="B1272" s="2" t="s">
        <v>7190</v>
      </c>
      <c r="C1272" s="2" t="s">
        <v>7263</v>
      </c>
      <c r="D1272" s="2" t="s">
        <v>7264</v>
      </c>
      <c r="E1272" s="2" t="s">
        <v>7215</v>
      </c>
      <c r="F1272" s="2" t="s">
        <v>7215</v>
      </c>
      <c r="G1272" s="2">
        <v>20</v>
      </c>
    </row>
    <row r="1273" spans="1:7" ht="15.75" customHeight="1">
      <c r="A1273" s="2" t="s">
        <v>7174</v>
      </c>
      <c r="B1273" s="2" t="s">
        <v>7190</v>
      </c>
      <c r="C1273" s="2" t="s">
        <v>8360</v>
      </c>
      <c r="D1273" s="2" t="s">
        <v>7266</v>
      </c>
      <c r="E1273" s="2" t="s">
        <v>7215</v>
      </c>
      <c r="F1273" s="2" t="s">
        <v>7215</v>
      </c>
      <c r="G1273" s="2">
        <v>20</v>
      </c>
    </row>
    <row r="1274" spans="1:7" ht="15.75" customHeight="1">
      <c r="A1274" s="2" t="s">
        <v>7174</v>
      </c>
      <c r="B1274" s="2" t="s">
        <v>7190</v>
      </c>
      <c r="C1274" s="2" t="s">
        <v>8361</v>
      </c>
      <c r="D1274" s="2" t="s">
        <v>7262</v>
      </c>
      <c r="E1274" s="2" t="s">
        <v>3897</v>
      </c>
      <c r="F1274" s="2" t="s">
        <v>7210</v>
      </c>
      <c r="G1274" s="2">
        <v>18</v>
      </c>
    </row>
    <row r="1275" spans="1:7" ht="15.75" customHeight="1">
      <c r="A1275" s="2" t="s">
        <v>7174</v>
      </c>
      <c r="B1275" s="2" t="s">
        <v>7190</v>
      </c>
      <c r="C1275" s="2" t="s">
        <v>8362</v>
      </c>
      <c r="D1275" s="2" t="s">
        <v>7224</v>
      </c>
      <c r="E1275" s="2" t="s">
        <v>7215</v>
      </c>
      <c r="F1275" s="2" t="s">
        <v>7215</v>
      </c>
      <c r="G1275" s="2">
        <v>40</v>
      </c>
    </row>
    <row r="1276" spans="1:7" ht="15.75" customHeight="1">
      <c r="A1276" s="2" t="s">
        <v>7174</v>
      </c>
      <c r="B1276" s="2" t="s">
        <v>7190</v>
      </c>
      <c r="C1276" s="2" t="s">
        <v>8363</v>
      </c>
      <c r="D1276" s="2" t="s">
        <v>7259</v>
      </c>
      <c r="E1276" s="2" t="s">
        <v>7215</v>
      </c>
      <c r="F1276" s="2" t="s">
        <v>7215</v>
      </c>
      <c r="G1276" s="2">
        <v>255</v>
      </c>
    </row>
    <row r="1277" spans="1:7" ht="15.75" customHeight="1">
      <c r="A1277" s="2" t="s">
        <v>7174</v>
      </c>
      <c r="B1277" s="2" t="s">
        <v>7190</v>
      </c>
      <c r="C1277" s="2" t="s">
        <v>8364</v>
      </c>
      <c r="D1277" s="2" t="s">
        <v>8365</v>
      </c>
      <c r="E1277" s="2" t="s">
        <v>7215</v>
      </c>
      <c r="F1277" s="2" t="s">
        <v>7215</v>
      </c>
      <c r="G1277" s="2">
        <v>15</v>
      </c>
    </row>
    <row r="1278" spans="1:7" ht="15.75" customHeight="1">
      <c r="A1278" s="2" t="s">
        <v>7174</v>
      </c>
      <c r="B1278" s="2" t="s">
        <v>7190</v>
      </c>
      <c r="C1278" s="2" t="s">
        <v>7595</v>
      </c>
      <c r="D1278" s="2" t="s">
        <v>7354</v>
      </c>
      <c r="E1278" s="2" t="s">
        <v>7215</v>
      </c>
      <c r="F1278" s="2" t="s">
        <v>7215</v>
      </c>
      <c r="G1278" s="2">
        <v>50</v>
      </c>
    </row>
    <row r="1279" spans="1:7" ht="15.75" customHeight="1">
      <c r="A1279" s="2" t="s">
        <v>7174</v>
      </c>
      <c r="B1279" s="2" t="s">
        <v>7190</v>
      </c>
      <c r="C1279" s="2" t="s">
        <v>8366</v>
      </c>
      <c r="D1279" s="2" t="s">
        <v>8367</v>
      </c>
      <c r="E1279" s="2" t="s">
        <v>7215</v>
      </c>
      <c r="F1279" s="2" t="s">
        <v>7215</v>
      </c>
      <c r="G1279" s="2">
        <v>255</v>
      </c>
    </row>
    <row r="1280" spans="1:7" ht="15.75" customHeight="1">
      <c r="A1280" s="2" t="s">
        <v>7174</v>
      </c>
      <c r="B1280" s="2" t="s">
        <v>7190</v>
      </c>
      <c r="C1280" s="2" t="s">
        <v>8368</v>
      </c>
      <c r="D1280" s="2" t="s">
        <v>7216</v>
      </c>
      <c r="E1280" s="2" t="s">
        <v>7215</v>
      </c>
      <c r="F1280" s="2" t="s">
        <v>7215</v>
      </c>
      <c r="G1280" s="2">
        <v>255</v>
      </c>
    </row>
    <row r="1281" spans="1:7" ht="15.75" customHeight="1">
      <c r="A1281" s="2" t="s">
        <v>7174</v>
      </c>
      <c r="B1281" s="2" t="s">
        <v>7190</v>
      </c>
      <c r="C1281" s="2" t="s">
        <v>8369</v>
      </c>
      <c r="D1281" s="2" t="s">
        <v>7259</v>
      </c>
      <c r="E1281" s="2" t="s">
        <v>7215</v>
      </c>
      <c r="F1281" s="2" t="s">
        <v>7215</v>
      </c>
      <c r="G1281" s="2">
        <v>255</v>
      </c>
    </row>
    <row r="1282" spans="1:7" ht="15.75" customHeight="1">
      <c r="A1282" s="2" t="s">
        <v>7174</v>
      </c>
      <c r="B1282" s="2" t="s">
        <v>7190</v>
      </c>
      <c r="C1282" s="2" t="s">
        <v>8370</v>
      </c>
      <c r="D1282" s="2" t="s">
        <v>7216</v>
      </c>
      <c r="E1282" s="2" t="s">
        <v>7215</v>
      </c>
      <c r="F1282" s="2" t="s">
        <v>7215</v>
      </c>
      <c r="G1282" s="2">
        <v>255</v>
      </c>
    </row>
    <row r="1283" spans="1:7" ht="15.75" customHeight="1">
      <c r="A1283" s="2" t="s">
        <v>7174</v>
      </c>
      <c r="B1283" s="2" t="s">
        <v>7190</v>
      </c>
      <c r="C1283" s="2" t="s">
        <v>8371</v>
      </c>
      <c r="D1283" s="2" t="s">
        <v>7212</v>
      </c>
      <c r="E1283" s="2" t="s">
        <v>5672</v>
      </c>
      <c r="F1283" s="2" t="s">
        <v>5672</v>
      </c>
      <c r="G1283" s="2">
        <v>0</v>
      </c>
    </row>
    <row r="1284" spans="1:7" ht="15.75" customHeight="1">
      <c r="A1284" s="2" t="s">
        <v>7174</v>
      </c>
      <c r="B1284" s="2" t="s">
        <v>7190</v>
      </c>
      <c r="C1284" s="2" t="s">
        <v>7610</v>
      </c>
      <c r="D1284" s="2" t="s">
        <v>7224</v>
      </c>
      <c r="E1284" s="2" t="s">
        <v>7215</v>
      </c>
      <c r="F1284" s="2" t="s">
        <v>7215</v>
      </c>
      <c r="G1284" s="2">
        <v>40</v>
      </c>
    </row>
    <row r="1285" spans="1:7" ht="15.75" customHeight="1">
      <c r="A1285" s="2" t="s">
        <v>7174</v>
      </c>
      <c r="B1285" s="2" t="s">
        <v>7190</v>
      </c>
      <c r="C1285" s="2" t="s">
        <v>7611</v>
      </c>
      <c r="D1285" s="2" t="s">
        <v>7224</v>
      </c>
      <c r="E1285" s="2" t="s">
        <v>7215</v>
      </c>
      <c r="F1285" s="2" t="s">
        <v>7215</v>
      </c>
      <c r="G1285" s="2">
        <v>40</v>
      </c>
    </row>
    <row r="1286" spans="1:7" ht="15.75" customHeight="1">
      <c r="A1286" s="2" t="s">
        <v>7174</v>
      </c>
      <c r="B1286" s="2" t="s">
        <v>7190</v>
      </c>
      <c r="C1286" s="2" t="s">
        <v>8372</v>
      </c>
      <c r="D1286" s="2" t="s">
        <v>7224</v>
      </c>
      <c r="E1286" s="2" t="s">
        <v>7215</v>
      </c>
      <c r="F1286" s="2" t="s">
        <v>7215</v>
      </c>
      <c r="G1286" s="2">
        <v>40</v>
      </c>
    </row>
    <row r="1287" spans="1:7" ht="15.75" customHeight="1">
      <c r="A1287" s="2" t="s">
        <v>7174</v>
      </c>
      <c r="B1287" s="2" t="s">
        <v>7190</v>
      </c>
      <c r="C1287" s="2" t="s">
        <v>8373</v>
      </c>
      <c r="D1287" s="2" t="s">
        <v>7224</v>
      </c>
      <c r="E1287" s="2" t="s">
        <v>7215</v>
      </c>
      <c r="F1287" s="2" t="s">
        <v>7215</v>
      </c>
      <c r="G1287" s="2">
        <v>40</v>
      </c>
    </row>
    <row r="1288" spans="1:7" ht="15.75" customHeight="1">
      <c r="A1288" s="2" t="s">
        <v>7174</v>
      </c>
      <c r="B1288" s="2" t="s">
        <v>7190</v>
      </c>
      <c r="C1288" s="2" t="s">
        <v>8374</v>
      </c>
      <c r="D1288" s="2" t="s">
        <v>7284</v>
      </c>
      <c r="E1288" s="2" t="s">
        <v>7215</v>
      </c>
      <c r="F1288" s="2" t="s">
        <v>7215</v>
      </c>
      <c r="G1288" s="2">
        <v>1300</v>
      </c>
    </row>
    <row r="1289" spans="1:7" ht="15.75" customHeight="1">
      <c r="A1289" s="2" t="s">
        <v>7174</v>
      </c>
      <c r="B1289" s="2" t="s">
        <v>7190</v>
      </c>
      <c r="C1289" s="2" t="s">
        <v>7387</v>
      </c>
      <c r="D1289" s="2" t="s">
        <v>7224</v>
      </c>
      <c r="E1289" s="2" t="s">
        <v>7215</v>
      </c>
      <c r="F1289" s="2" t="s">
        <v>7215</v>
      </c>
      <c r="G1289" s="2">
        <v>40</v>
      </c>
    </row>
    <row r="1290" spans="1:7" ht="15.75" customHeight="1">
      <c r="A1290" s="2" t="s">
        <v>7174</v>
      </c>
      <c r="B1290" s="2" t="s">
        <v>7190</v>
      </c>
      <c r="C1290" s="2" t="s">
        <v>8375</v>
      </c>
      <c r="D1290" s="2" t="s">
        <v>7224</v>
      </c>
      <c r="E1290" s="2" t="s">
        <v>7215</v>
      </c>
      <c r="F1290" s="2" t="s">
        <v>7215</v>
      </c>
      <c r="G1290" s="2">
        <v>40</v>
      </c>
    </row>
    <row r="1291" spans="1:7" ht="15.75" customHeight="1">
      <c r="A1291" s="2" t="s">
        <v>7174</v>
      </c>
      <c r="B1291" s="2" t="s">
        <v>7190</v>
      </c>
      <c r="C1291" s="2" t="s">
        <v>7613</v>
      </c>
      <c r="D1291" s="2" t="s">
        <v>7224</v>
      </c>
      <c r="E1291" s="2" t="s">
        <v>7215</v>
      </c>
      <c r="F1291" s="2" t="s">
        <v>7215</v>
      </c>
      <c r="G1291" s="2">
        <v>40</v>
      </c>
    </row>
    <row r="1292" spans="1:7" ht="15.75" customHeight="1">
      <c r="A1292" s="2" t="s">
        <v>7174</v>
      </c>
      <c r="B1292" s="2" t="s">
        <v>7190</v>
      </c>
      <c r="C1292" s="2" t="s">
        <v>8376</v>
      </c>
      <c r="D1292" s="2" t="s">
        <v>7224</v>
      </c>
      <c r="E1292" s="2" t="s">
        <v>7215</v>
      </c>
      <c r="F1292" s="2" t="s">
        <v>7215</v>
      </c>
      <c r="G1292" s="2">
        <v>40</v>
      </c>
    </row>
    <row r="1293" spans="1:7" ht="15.75" customHeight="1">
      <c r="A1293" s="2" t="s">
        <v>7174</v>
      </c>
      <c r="B1293" s="2" t="s">
        <v>7190</v>
      </c>
      <c r="C1293" s="2" t="s">
        <v>8377</v>
      </c>
      <c r="D1293" s="2" t="s">
        <v>7224</v>
      </c>
      <c r="E1293" s="2" t="s">
        <v>7215</v>
      </c>
      <c r="F1293" s="2" t="s">
        <v>7215</v>
      </c>
      <c r="G1293" s="2">
        <v>40</v>
      </c>
    </row>
    <row r="1294" spans="1:7" ht="15.75" customHeight="1">
      <c r="A1294" s="2" t="s">
        <v>7174</v>
      </c>
      <c r="B1294" s="2" t="s">
        <v>7190</v>
      </c>
      <c r="C1294" s="2" t="s">
        <v>8378</v>
      </c>
      <c r="D1294" s="2" t="s">
        <v>8379</v>
      </c>
      <c r="E1294" s="2" t="s">
        <v>7215</v>
      </c>
      <c r="F1294" s="2" t="s">
        <v>7215</v>
      </c>
      <c r="G1294" s="2">
        <v>30</v>
      </c>
    </row>
    <row r="1295" spans="1:7" ht="15.75" customHeight="1">
      <c r="A1295" s="2" t="s">
        <v>7174</v>
      </c>
      <c r="B1295" s="2" t="s">
        <v>7190</v>
      </c>
      <c r="C1295" s="2" t="s">
        <v>8380</v>
      </c>
      <c r="D1295" s="2" t="s">
        <v>7284</v>
      </c>
      <c r="E1295" s="2" t="s">
        <v>7215</v>
      </c>
      <c r="F1295" s="2" t="s">
        <v>7215</v>
      </c>
      <c r="G1295" s="2">
        <v>1300</v>
      </c>
    </row>
    <row r="1296" spans="1:7" ht="15.75" customHeight="1">
      <c r="A1296" s="2" t="s">
        <v>7174</v>
      </c>
      <c r="B1296" s="2" t="s">
        <v>7190</v>
      </c>
      <c r="C1296" s="2" t="s">
        <v>8381</v>
      </c>
      <c r="D1296" s="2" t="s">
        <v>7284</v>
      </c>
      <c r="E1296" s="2" t="s">
        <v>7215</v>
      </c>
      <c r="F1296" s="2" t="s">
        <v>7215</v>
      </c>
      <c r="G1296" s="2">
        <v>1300</v>
      </c>
    </row>
    <row r="1297" spans="1:7" ht="15.75" customHeight="1">
      <c r="A1297" s="2" t="s">
        <v>7174</v>
      </c>
      <c r="B1297" s="2" t="s">
        <v>7190</v>
      </c>
      <c r="C1297" s="2" t="s">
        <v>8382</v>
      </c>
      <c r="D1297" s="2" t="s">
        <v>7450</v>
      </c>
      <c r="E1297" s="2" t="s">
        <v>7215</v>
      </c>
      <c r="F1297" s="2" t="s">
        <v>7215</v>
      </c>
      <c r="G1297" s="2">
        <v>200</v>
      </c>
    </row>
    <row r="1298" spans="1:7" ht="15.75" customHeight="1">
      <c r="A1298" s="2" t="s">
        <v>7174</v>
      </c>
      <c r="B1298" s="2" t="s">
        <v>7190</v>
      </c>
      <c r="C1298" s="2" t="s">
        <v>8383</v>
      </c>
      <c r="D1298" s="2" t="s">
        <v>7347</v>
      </c>
      <c r="E1298" s="2" t="s">
        <v>7215</v>
      </c>
      <c r="F1298" s="2" t="s">
        <v>7215</v>
      </c>
      <c r="G1298" s="2">
        <v>10</v>
      </c>
    </row>
    <row r="1299" spans="1:7" ht="15.75" customHeight="1">
      <c r="A1299" s="2" t="s">
        <v>7174</v>
      </c>
      <c r="B1299" s="2" t="s">
        <v>7190</v>
      </c>
      <c r="C1299" s="2" t="s">
        <v>8384</v>
      </c>
      <c r="D1299" s="2" t="s">
        <v>7264</v>
      </c>
      <c r="E1299" s="2" t="s">
        <v>7215</v>
      </c>
      <c r="F1299" s="2" t="s">
        <v>7215</v>
      </c>
      <c r="G1299" s="2">
        <v>20</v>
      </c>
    </row>
    <row r="1300" spans="1:7" ht="15.75" customHeight="1">
      <c r="A1300" s="2" t="s">
        <v>7174</v>
      </c>
      <c r="B1300" s="2" t="s">
        <v>7190</v>
      </c>
      <c r="C1300" s="2" t="s">
        <v>8385</v>
      </c>
      <c r="D1300" s="2" t="s">
        <v>7264</v>
      </c>
      <c r="E1300" s="2" t="s">
        <v>7215</v>
      </c>
      <c r="F1300" s="2" t="s">
        <v>7215</v>
      </c>
      <c r="G1300" s="2">
        <v>20</v>
      </c>
    </row>
    <row r="1301" spans="1:7" ht="15.75" customHeight="1">
      <c r="A1301" s="2" t="s">
        <v>7174</v>
      </c>
      <c r="B1301" s="2" t="s">
        <v>7190</v>
      </c>
      <c r="C1301" s="2" t="s">
        <v>8386</v>
      </c>
      <c r="D1301" s="2" t="s">
        <v>7354</v>
      </c>
      <c r="E1301" s="2" t="s">
        <v>7215</v>
      </c>
      <c r="F1301" s="2" t="s">
        <v>7215</v>
      </c>
      <c r="G1301" s="2">
        <v>50</v>
      </c>
    </row>
    <row r="1302" spans="1:7" ht="15.75" customHeight="1">
      <c r="A1302" s="2" t="s">
        <v>7174</v>
      </c>
      <c r="B1302" s="2" t="s">
        <v>7190</v>
      </c>
      <c r="C1302" s="2" t="s">
        <v>8387</v>
      </c>
      <c r="D1302" s="2" t="s">
        <v>7264</v>
      </c>
      <c r="E1302" s="2" t="s">
        <v>7215</v>
      </c>
      <c r="F1302" s="2" t="s">
        <v>7215</v>
      </c>
      <c r="G1302" s="2">
        <v>20</v>
      </c>
    </row>
    <row r="1303" spans="1:7" ht="15.75" customHeight="1">
      <c r="A1303" s="2" t="s">
        <v>7174</v>
      </c>
      <c r="B1303" s="2" t="s">
        <v>7190</v>
      </c>
      <c r="C1303" s="2" t="s">
        <v>8388</v>
      </c>
      <c r="D1303" s="2" t="s">
        <v>7264</v>
      </c>
      <c r="E1303" s="2" t="s">
        <v>7215</v>
      </c>
      <c r="F1303" s="2" t="s">
        <v>7215</v>
      </c>
      <c r="G1303" s="2">
        <v>20</v>
      </c>
    </row>
    <row r="1304" spans="1:7" ht="15.75" customHeight="1">
      <c r="A1304" s="2" t="s">
        <v>7174</v>
      </c>
      <c r="B1304" s="2" t="s">
        <v>7190</v>
      </c>
      <c r="C1304" s="2" t="s">
        <v>8389</v>
      </c>
      <c r="D1304" s="2" t="s">
        <v>7354</v>
      </c>
      <c r="E1304" s="2" t="s">
        <v>7215</v>
      </c>
      <c r="F1304" s="2" t="s">
        <v>7215</v>
      </c>
      <c r="G1304" s="2">
        <v>50</v>
      </c>
    </row>
    <row r="1305" spans="1:7" ht="15.75" customHeight="1">
      <c r="A1305" s="2" t="s">
        <v>7174</v>
      </c>
      <c r="B1305" s="2" t="s">
        <v>7190</v>
      </c>
      <c r="C1305" s="2" t="s">
        <v>8390</v>
      </c>
      <c r="D1305" s="2" t="s">
        <v>7284</v>
      </c>
      <c r="E1305" s="2" t="s">
        <v>7215</v>
      </c>
      <c r="F1305" s="2" t="s">
        <v>7215</v>
      </c>
      <c r="G1305" s="2">
        <v>1300</v>
      </c>
    </row>
    <row r="1306" spans="1:7" ht="15.75" customHeight="1">
      <c r="A1306" s="2" t="s">
        <v>7174</v>
      </c>
      <c r="B1306" s="2" t="s">
        <v>7190</v>
      </c>
      <c r="C1306" s="2" t="s">
        <v>8391</v>
      </c>
      <c r="D1306" s="2" t="s">
        <v>7284</v>
      </c>
      <c r="E1306" s="2" t="s">
        <v>7215</v>
      </c>
      <c r="F1306" s="2" t="s">
        <v>7215</v>
      </c>
      <c r="G1306" s="2">
        <v>1300</v>
      </c>
    </row>
    <row r="1307" spans="1:7" ht="15.75" customHeight="1">
      <c r="A1307" s="2" t="s">
        <v>7174</v>
      </c>
      <c r="B1307" s="2" t="s">
        <v>7190</v>
      </c>
      <c r="C1307" s="2" t="s">
        <v>8392</v>
      </c>
      <c r="D1307" s="2" t="s">
        <v>8393</v>
      </c>
      <c r="E1307" s="2" t="s">
        <v>7215</v>
      </c>
      <c r="F1307" s="2" t="s">
        <v>7215</v>
      </c>
      <c r="G1307" s="2">
        <v>33</v>
      </c>
    </row>
    <row r="1308" spans="1:7" ht="15.75" customHeight="1">
      <c r="A1308" s="2" t="s">
        <v>7174</v>
      </c>
      <c r="B1308" s="2" t="s">
        <v>7192</v>
      </c>
      <c r="C1308" s="2" t="s">
        <v>4304</v>
      </c>
      <c r="D1308" s="2" t="s">
        <v>7209</v>
      </c>
      <c r="E1308" s="2" t="s">
        <v>3897</v>
      </c>
      <c r="F1308" s="2" t="s">
        <v>7210</v>
      </c>
      <c r="G1308" s="2">
        <v>18</v>
      </c>
    </row>
    <row r="1309" spans="1:7" ht="15.75" customHeight="1">
      <c r="A1309" s="2" t="s">
        <v>7174</v>
      </c>
      <c r="B1309" s="2" t="s">
        <v>7192</v>
      </c>
      <c r="C1309" s="2" t="s">
        <v>7211</v>
      </c>
      <c r="D1309" s="2" t="s">
        <v>7212</v>
      </c>
      <c r="E1309" s="2" t="s">
        <v>5672</v>
      </c>
      <c r="F1309" s="2" t="s">
        <v>5672</v>
      </c>
      <c r="G1309" s="2">
        <v>0</v>
      </c>
    </row>
    <row r="1310" spans="1:7" ht="15.75" customHeight="1">
      <c r="A1310" s="2" t="s">
        <v>7174</v>
      </c>
      <c r="B1310" s="2" t="s">
        <v>7192</v>
      </c>
      <c r="C1310" s="2" t="s">
        <v>8394</v>
      </c>
      <c r="D1310" s="2" t="s">
        <v>6840</v>
      </c>
      <c r="E1310" s="2" t="s">
        <v>7215</v>
      </c>
      <c r="F1310" s="2" t="s">
        <v>7215</v>
      </c>
      <c r="G1310" s="2">
        <v>255</v>
      </c>
    </row>
    <row r="1311" spans="1:7" ht="15.75" customHeight="1">
      <c r="A1311" s="2" t="s">
        <v>7174</v>
      </c>
      <c r="B1311" s="2" t="s">
        <v>7192</v>
      </c>
      <c r="C1311" s="2" t="s">
        <v>7135</v>
      </c>
      <c r="D1311" s="2" t="s">
        <v>7235</v>
      </c>
      <c r="E1311" s="2" t="s">
        <v>538</v>
      </c>
      <c r="F1311" s="2" t="s">
        <v>538</v>
      </c>
      <c r="G1311" s="2">
        <v>0</v>
      </c>
    </row>
    <row r="1312" spans="1:7" ht="15.75" customHeight="1">
      <c r="A1312" s="2" t="s">
        <v>7174</v>
      </c>
      <c r="B1312" s="2" t="s">
        <v>7192</v>
      </c>
      <c r="C1312" s="2" t="s">
        <v>7236</v>
      </c>
      <c r="D1312" s="2" t="s">
        <v>7234</v>
      </c>
      <c r="E1312" s="2" t="s">
        <v>3897</v>
      </c>
      <c r="F1312" s="2" t="s">
        <v>7210</v>
      </c>
      <c r="G1312" s="2">
        <v>18</v>
      </c>
    </row>
    <row r="1313" spans="1:7" ht="15.75" customHeight="1">
      <c r="A1313" s="2" t="s">
        <v>7174</v>
      </c>
      <c r="B1313" s="2" t="s">
        <v>7192</v>
      </c>
      <c r="C1313" s="2" t="s">
        <v>7176</v>
      </c>
      <c r="D1313" s="2" t="s">
        <v>7235</v>
      </c>
      <c r="E1313" s="2" t="s">
        <v>538</v>
      </c>
      <c r="F1313" s="2" t="s">
        <v>538</v>
      </c>
      <c r="G1313" s="2">
        <v>0</v>
      </c>
    </row>
    <row r="1314" spans="1:7" ht="15.75" customHeight="1">
      <c r="A1314" s="2" t="s">
        <v>7174</v>
      </c>
      <c r="B1314" s="2" t="s">
        <v>7192</v>
      </c>
      <c r="C1314" s="2" t="s">
        <v>7237</v>
      </c>
      <c r="D1314" s="2" t="s">
        <v>7234</v>
      </c>
      <c r="E1314" s="2" t="s">
        <v>3897</v>
      </c>
      <c r="F1314" s="2" t="s">
        <v>7210</v>
      </c>
      <c r="G1314" s="2">
        <v>18</v>
      </c>
    </row>
    <row r="1315" spans="1:7" ht="15.75" customHeight="1">
      <c r="A1315" s="2" t="s">
        <v>7174</v>
      </c>
      <c r="B1315" s="2" t="s">
        <v>7192</v>
      </c>
      <c r="C1315" s="2" t="s">
        <v>7238</v>
      </c>
      <c r="D1315" s="2" t="s">
        <v>7235</v>
      </c>
      <c r="E1315" s="2" t="s">
        <v>538</v>
      </c>
      <c r="F1315" s="2" t="s">
        <v>538</v>
      </c>
      <c r="G1315" s="2">
        <v>0</v>
      </c>
    </row>
    <row r="1316" spans="1:7" ht="15.75" customHeight="1">
      <c r="A1316" s="2" t="s">
        <v>7174</v>
      </c>
      <c r="B1316" s="2" t="s">
        <v>7192</v>
      </c>
      <c r="C1316" s="2" t="s">
        <v>7242</v>
      </c>
      <c r="D1316" s="2" t="s">
        <v>7243</v>
      </c>
      <c r="E1316" s="2" t="s">
        <v>3897</v>
      </c>
      <c r="F1316" s="2" t="s">
        <v>7210</v>
      </c>
      <c r="G1316" s="2">
        <v>18</v>
      </c>
    </row>
    <row r="1317" spans="1:7" ht="15.75" customHeight="1">
      <c r="A1317" s="2" t="s">
        <v>7174</v>
      </c>
      <c r="B1317" s="2" t="s">
        <v>7192</v>
      </c>
      <c r="C1317" s="2" t="s">
        <v>7219</v>
      </c>
      <c r="D1317" s="2" t="s">
        <v>8395</v>
      </c>
      <c r="E1317" s="2" t="s">
        <v>3897</v>
      </c>
      <c r="F1317" s="2" t="s">
        <v>7210</v>
      </c>
      <c r="G1317" s="2">
        <v>18</v>
      </c>
    </row>
    <row r="1318" spans="1:7" ht="15.75" customHeight="1">
      <c r="A1318" s="2" t="s">
        <v>7174</v>
      </c>
      <c r="B1318" s="2" t="s">
        <v>7192</v>
      </c>
      <c r="C1318" s="2" t="s">
        <v>8396</v>
      </c>
      <c r="D1318" s="2" t="s">
        <v>8397</v>
      </c>
      <c r="E1318" s="2" t="s">
        <v>7215</v>
      </c>
      <c r="F1318" s="2" t="s">
        <v>7215</v>
      </c>
      <c r="G1318" s="2">
        <v>131072</v>
      </c>
    </row>
    <row r="1319" spans="1:7" ht="15.75" customHeight="1">
      <c r="A1319" s="2" t="s">
        <v>7174</v>
      </c>
      <c r="B1319" s="2" t="s">
        <v>7192</v>
      </c>
      <c r="C1319" s="2" t="s">
        <v>8398</v>
      </c>
      <c r="D1319" s="2" t="s">
        <v>8397</v>
      </c>
      <c r="E1319" s="2" t="s">
        <v>7215</v>
      </c>
      <c r="F1319" s="2" t="s">
        <v>7215</v>
      </c>
      <c r="G1319" s="2">
        <v>131072</v>
      </c>
    </row>
    <row r="1320" spans="1:7" ht="15.75" customHeight="1">
      <c r="A1320" s="2" t="s">
        <v>7174</v>
      </c>
      <c r="B1320" s="2" t="s">
        <v>7193</v>
      </c>
      <c r="C1320" s="2" t="s">
        <v>4304</v>
      </c>
      <c r="D1320" s="2" t="s">
        <v>7209</v>
      </c>
      <c r="E1320" s="2" t="s">
        <v>3897</v>
      </c>
      <c r="F1320" s="2" t="s">
        <v>7210</v>
      </c>
      <c r="G1320" s="2">
        <v>18</v>
      </c>
    </row>
    <row r="1321" spans="1:7" ht="15.75" customHeight="1">
      <c r="A1321" s="2" t="s">
        <v>7174</v>
      </c>
      <c r="B1321" s="2" t="s">
        <v>7193</v>
      </c>
      <c r="C1321" s="2" t="s">
        <v>7219</v>
      </c>
      <c r="D1321" s="2" t="s">
        <v>7808</v>
      </c>
      <c r="E1321" s="2" t="s">
        <v>3897</v>
      </c>
      <c r="F1321" s="2" t="s">
        <v>7210</v>
      </c>
      <c r="G1321" s="2">
        <v>18</v>
      </c>
    </row>
    <row r="1322" spans="1:7" ht="15.75" customHeight="1">
      <c r="A1322" s="2" t="s">
        <v>7174</v>
      </c>
      <c r="B1322" s="2" t="s">
        <v>7193</v>
      </c>
      <c r="C1322" s="2" t="s">
        <v>8399</v>
      </c>
      <c r="D1322" s="2" t="s">
        <v>8400</v>
      </c>
      <c r="E1322" s="2" t="s">
        <v>3897</v>
      </c>
      <c r="F1322" s="2" t="s">
        <v>7210</v>
      </c>
      <c r="G1322" s="2">
        <v>18</v>
      </c>
    </row>
    <row r="1323" spans="1:7" ht="15.75" customHeight="1">
      <c r="A1323" s="2" t="s">
        <v>7174</v>
      </c>
      <c r="B1323" s="2" t="s">
        <v>7193</v>
      </c>
      <c r="C1323" s="2" t="s">
        <v>7236</v>
      </c>
      <c r="D1323" s="2" t="s">
        <v>7234</v>
      </c>
      <c r="E1323" s="2" t="s">
        <v>3897</v>
      </c>
      <c r="F1323" s="2" t="s">
        <v>7210</v>
      </c>
      <c r="G1323" s="2">
        <v>18</v>
      </c>
    </row>
    <row r="1324" spans="1:7" ht="15.75" customHeight="1">
      <c r="A1324" s="2" t="s">
        <v>7174</v>
      </c>
      <c r="B1324" s="2" t="s">
        <v>7193</v>
      </c>
      <c r="C1324" s="2" t="s">
        <v>7135</v>
      </c>
      <c r="D1324" s="2" t="s">
        <v>7235</v>
      </c>
      <c r="E1324" s="2" t="s">
        <v>538</v>
      </c>
      <c r="F1324" s="2" t="s">
        <v>538</v>
      </c>
      <c r="G1324" s="2">
        <v>0</v>
      </c>
    </row>
    <row r="1325" spans="1:7" ht="15.75" customHeight="1">
      <c r="A1325" s="2" t="s">
        <v>7174</v>
      </c>
      <c r="B1325" s="2" t="s">
        <v>7193</v>
      </c>
      <c r="C1325" s="2" t="s">
        <v>7176</v>
      </c>
      <c r="D1325" s="2" t="s">
        <v>7235</v>
      </c>
      <c r="E1325" s="2" t="s">
        <v>538</v>
      </c>
      <c r="F1325" s="2" t="s">
        <v>538</v>
      </c>
      <c r="G1325" s="2">
        <v>0</v>
      </c>
    </row>
    <row r="1326" spans="1:7" ht="15.75" customHeight="1">
      <c r="A1326" s="2" t="s">
        <v>7174</v>
      </c>
      <c r="B1326" s="2" t="s">
        <v>7193</v>
      </c>
      <c r="C1326" s="2" t="s">
        <v>7237</v>
      </c>
      <c r="D1326" s="2" t="s">
        <v>7234</v>
      </c>
      <c r="E1326" s="2" t="s">
        <v>3897</v>
      </c>
      <c r="F1326" s="2" t="s">
        <v>7210</v>
      </c>
      <c r="G1326" s="2">
        <v>18</v>
      </c>
    </row>
    <row r="1327" spans="1:7" ht="15.75" customHeight="1">
      <c r="A1327" s="2" t="s">
        <v>7174</v>
      </c>
      <c r="B1327" s="2" t="s">
        <v>7193</v>
      </c>
      <c r="C1327" s="2" t="s">
        <v>7238</v>
      </c>
      <c r="D1327" s="2" t="s">
        <v>7235</v>
      </c>
      <c r="E1327" s="2" t="s">
        <v>538</v>
      </c>
      <c r="F1327" s="2" t="s">
        <v>538</v>
      </c>
      <c r="G1327" s="2">
        <v>0</v>
      </c>
    </row>
    <row r="1328" spans="1:7" ht="15.75" customHeight="1">
      <c r="A1328" s="2" t="s">
        <v>7174</v>
      </c>
      <c r="B1328" s="2" t="s">
        <v>7193</v>
      </c>
      <c r="C1328" s="2" t="s">
        <v>8401</v>
      </c>
      <c r="D1328" s="2" t="s">
        <v>7232</v>
      </c>
      <c r="E1328" s="2" t="s">
        <v>7215</v>
      </c>
      <c r="F1328" s="2" t="s">
        <v>7215</v>
      </c>
      <c r="G1328" s="2">
        <v>32000</v>
      </c>
    </row>
    <row r="1329" spans="1:7" ht="15.75" customHeight="1">
      <c r="A1329" s="2" t="s">
        <v>7174</v>
      </c>
      <c r="B1329" s="2" t="s">
        <v>7193</v>
      </c>
      <c r="C1329" s="2" t="s">
        <v>8402</v>
      </c>
      <c r="D1329" s="2" t="s">
        <v>7232</v>
      </c>
      <c r="E1329" s="2" t="s">
        <v>7215</v>
      </c>
      <c r="F1329" s="2" t="s">
        <v>7215</v>
      </c>
      <c r="G1329" s="2">
        <v>32000</v>
      </c>
    </row>
    <row r="1330" spans="1:7" ht="15.75" customHeight="1">
      <c r="A1330" s="2" t="s">
        <v>7174</v>
      </c>
      <c r="B1330" s="2" t="s">
        <v>7193</v>
      </c>
      <c r="C1330" s="2" t="s">
        <v>8403</v>
      </c>
      <c r="D1330" s="2" t="s">
        <v>7232</v>
      </c>
      <c r="E1330" s="2" t="s">
        <v>7215</v>
      </c>
      <c r="F1330" s="2" t="s">
        <v>7215</v>
      </c>
      <c r="G1330" s="2">
        <v>32000</v>
      </c>
    </row>
    <row r="1331" spans="1:7" ht="15.75" customHeight="1">
      <c r="A1331" s="2" t="s">
        <v>7174</v>
      </c>
      <c r="B1331" s="2" t="s">
        <v>7193</v>
      </c>
      <c r="C1331" s="2" t="s">
        <v>7819</v>
      </c>
      <c r="D1331" s="2" t="s">
        <v>8404</v>
      </c>
      <c r="E1331" s="2" t="s">
        <v>7215</v>
      </c>
      <c r="F1331" s="2" t="s">
        <v>7215</v>
      </c>
      <c r="G1331" s="2">
        <v>3000</v>
      </c>
    </row>
    <row r="1332" spans="1:7" ht="15.75" customHeight="1">
      <c r="A1332" s="2" t="s">
        <v>7174</v>
      </c>
      <c r="B1332" s="2" t="s">
        <v>7193</v>
      </c>
      <c r="C1332" s="2" t="s">
        <v>8405</v>
      </c>
      <c r="D1332" s="2" t="s">
        <v>8406</v>
      </c>
      <c r="E1332" s="2" t="s">
        <v>7215</v>
      </c>
      <c r="F1332" s="2" t="s">
        <v>7215</v>
      </c>
      <c r="G1332" s="2">
        <v>1000</v>
      </c>
    </row>
    <row r="1333" spans="1:7" ht="15.75" customHeight="1">
      <c r="A1333" s="2" t="s">
        <v>7174</v>
      </c>
      <c r="B1333" s="2" t="s">
        <v>7193</v>
      </c>
      <c r="C1333" s="2" t="s">
        <v>8407</v>
      </c>
      <c r="D1333" s="2" t="s">
        <v>5204</v>
      </c>
      <c r="E1333" s="2" t="s">
        <v>7215</v>
      </c>
      <c r="F1333" s="2" t="s">
        <v>7215</v>
      </c>
      <c r="G1333" s="2">
        <v>1000</v>
      </c>
    </row>
    <row r="1334" spans="1:7" ht="15.75" customHeight="1">
      <c r="A1334" s="2" t="s">
        <v>7174</v>
      </c>
      <c r="B1334" s="2" t="s">
        <v>7193</v>
      </c>
      <c r="C1334" s="2" t="s">
        <v>8408</v>
      </c>
      <c r="D1334" s="2" t="s">
        <v>7216</v>
      </c>
      <c r="E1334" s="2" t="s">
        <v>7215</v>
      </c>
      <c r="F1334" s="2" t="s">
        <v>7215</v>
      </c>
      <c r="G1334" s="2">
        <v>255</v>
      </c>
    </row>
    <row r="1335" spans="1:7" ht="15.75" customHeight="1">
      <c r="A1335" s="2" t="s">
        <v>7174</v>
      </c>
      <c r="B1335" s="2" t="s">
        <v>7193</v>
      </c>
      <c r="C1335" s="2" t="s">
        <v>8409</v>
      </c>
      <c r="D1335" s="2" t="s">
        <v>8410</v>
      </c>
      <c r="E1335" s="2" t="s">
        <v>7215</v>
      </c>
      <c r="F1335" s="2" t="s">
        <v>7215</v>
      </c>
      <c r="G1335" s="2">
        <v>4000</v>
      </c>
    </row>
    <row r="1336" spans="1:7" ht="15.75" customHeight="1">
      <c r="A1336" s="2" t="s">
        <v>7174</v>
      </c>
      <c r="B1336" s="2" t="s">
        <v>7193</v>
      </c>
      <c r="C1336" s="2" t="s">
        <v>8411</v>
      </c>
      <c r="D1336" s="2" t="s">
        <v>8410</v>
      </c>
      <c r="E1336" s="2" t="s">
        <v>7215</v>
      </c>
      <c r="F1336" s="2" t="s">
        <v>7215</v>
      </c>
      <c r="G1336" s="2">
        <v>4000</v>
      </c>
    </row>
    <row r="1337" spans="1:7" ht="15.75" customHeight="1">
      <c r="A1337" s="2" t="s">
        <v>7174</v>
      </c>
      <c r="B1337" s="2" t="s">
        <v>7193</v>
      </c>
      <c r="C1337" s="2" t="s">
        <v>8412</v>
      </c>
      <c r="D1337" s="2" t="s">
        <v>8410</v>
      </c>
      <c r="E1337" s="2" t="s">
        <v>7215</v>
      </c>
      <c r="F1337" s="2" t="s">
        <v>7215</v>
      </c>
      <c r="G1337" s="2">
        <v>4000</v>
      </c>
    </row>
    <row r="1338" spans="1:7" ht="15.75" customHeight="1">
      <c r="A1338" s="2" t="s">
        <v>7174</v>
      </c>
      <c r="B1338" s="2" t="s">
        <v>7193</v>
      </c>
      <c r="C1338" s="2" t="s">
        <v>8413</v>
      </c>
      <c r="D1338" s="2" t="s">
        <v>7212</v>
      </c>
      <c r="E1338" s="2" t="s">
        <v>5672</v>
      </c>
      <c r="F1338" s="2" t="s">
        <v>5672</v>
      </c>
      <c r="G1338" s="2">
        <v>0</v>
      </c>
    </row>
    <row r="1339" spans="1:7" ht="15.75" customHeight="1">
      <c r="A1339" s="2" t="s">
        <v>7174</v>
      </c>
      <c r="B1339" s="2" t="s">
        <v>7193</v>
      </c>
      <c r="C1339" s="2" t="s">
        <v>8414</v>
      </c>
      <c r="D1339" s="2" t="s">
        <v>7212</v>
      </c>
      <c r="E1339" s="2" t="s">
        <v>5672</v>
      </c>
      <c r="F1339" s="2" t="s">
        <v>5672</v>
      </c>
      <c r="G1339" s="2">
        <v>0</v>
      </c>
    </row>
    <row r="1340" spans="1:7" ht="15.75" customHeight="1">
      <c r="A1340" s="2" t="s">
        <v>7174</v>
      </c>
      <c r="B1340" s="2" t="s">
        <v>7193</v>
      </c>
      <c r="C1340" s="2" t="s">
        <v>811</v>
      </c>
      <c r="D1340" s="2" t="s">
        <v>7216</v>
      </c>
      <c r="E1340" s="2" t="s">
        <v>7215</v>
      </c>
      <c r="F1340" s="2" t="s">
        <v>7215</v>
      </c>
      <c r="G1340" s="2">
        <v>40</v>
      </c>
    </row>
    <row r="1341" spans="1:7" ht="15.75" customHeight="1">
      <c r="A1341" s="2" t="s">
        <v>7174</v>
      </c>
      <c r="B1341" s="2" t="s">
        <v>7193</v>
      </c>
      <c r="C1341" s="2" t="s">
        <v>8415</v>
      </c>
      <c r="D1341" s="2" t="s">
        <v>7235</v>
      </c>
      <c r="E1341" s="2" t="s">
        <v>538</v>
      </c>
      <c r="F1341" s="2" t="s">
        <v>538</v>
      </c>
      <c r="G1341" s="2">
        <v>0</v>
      </c>
    </row>
    <row r="1342" spans="1:7" ht="15.75" customHeight="1">
      <c r="A1342" s="2" t="s">
        <v>7174</v>
      </c>
      <c r="B1342" s="2" t="s">
        <v>7193</v>
      </c>
      <c r="C1342" s="2" t="s">
        <v>7211</v>
      </c>
      <c r="D1342" s="2" t="s">
        <v>7212</v>
      </c>
      <c r="E1342" s="2" t="s">
        <v>5672</v>
      </c>
      <c r="F1342" s="2" t="s">
        <v>5672</v>
      </c>
      <c r="G1342" s="2">
        <v>0</v>
      </c>
    </row>
    <row r="1343" spans="1:7" ht="15.75" customHeight="1">
      <c r="A1343" s="2" t="s">
        <v>7174</v>
      </c>
      <c r="B1343" s="2" t="s">
        <v>7193</v>
      </c>
      <c r="C1343" s="2" t="s">
        <v>8416</v>
      </c>
      <c r="D1343" s="2" t="s">
        <v>8417</v>
      </c>
      <c r="E1343" s="2" t="s">
        <v>3897</v>
      </c>
      <c r="F1343" s="2" t="s">
        <v>7210</v>
      </c>
      <c r="G1343" s="2">
        <v>18</v>
      </c>
    </row>
    <row r="1344" spans="1:7" ht="15.75" customHeight="1">
      <c r="A1344" s="2" t="s">
        <v>7174</v>
      </c>
      <c r="B1344" s="2" t="s">
        <v>7193</v>
      </c>
      <c r="C1344" s="2" t="s">
        <v>8418</v>
      </c>
      <c r="D1344" s="2" t="s">
        <v>7212</v>
      </c>
      <c r="E1344" s="2" t="s">
        <v>5672</v>
      </c>
      <c r="F1344" s="2" t="s">
        <v>5672</v>
      </c>
      <c r="G1344" s="2">
        <v>0</v>
      </c>
    </row>
    <row r="1345" spans="1:7" ht="15.75" customHeight="1">
      <c r="A1345" s="2" t="s">
        <v>7174</v>
      </c>
      <c r="B1345" s="2" t="s">
        <v>7193</v>
      </c>
      <c r="C1345" s="2" t="s">
        <v>8419</v>
      </c>
      <c r="D1345" s="2" t="s">
        <v>8420</v>
      </c>
      <c r="E1345" s="2" t="s">
        <v>7215</v>
      </c>
      <c r="F1345" s="2" t="s">
        <v>7215</v>
      </c>
      <c r="G1345" s="2">
        <v>765</v>
      </c>
    </row>
    <row r="1346" spans="1:7" ht="15.75" customHeight="1">
      <c r="A1346" s="2" t="s">
        <v>7174</v>
      </c>
      <c r="B1346" s="2" t="s">
        <v>7193</v>
      </c>
      <c r="C1346" s="2" t="s">
        <v>8421</v>
      </c>
      <c r="D1346" s="2" t="s">
        <v>8420</v>
      </c>
      <c r="E1346" s="2" t="s">
        <v>7215</v>
      </c>
      <c r="F1346" s="2" t="s">
        <v>7215</v>
      </c>
      <c r="G1346" s="2">
        <v>765</v>
      </c>
    </row>
    <row r="1347" spans="1:7" ht="15.75" customHeight="1">
      <c r="A1347" s="2" t="s">
        <v>7174</v>
      </c>
      <c r="B1347" s="2" t="s">
        <v>7193</v>
      </c>
      <c r="C1347" s="2" t="s">
        <v>8422</v>
      </c>
      <c r="D1347" s="2" t="s">
        <v>7212</v>
      </c>
      <c r="E1347" s="2" t="s">
        <v>5672</v>
      </c>
      <c r="F1347" s="2" t="s">
        <v>5672</v>
      </c>
      <c r="G1347" s="2">
        <v>0</v>
      </c>
    </row>
    <row r="1348" spans="1:7" ht="15.75" customHeight="1">
      <c r="A1348" s="2" t="s">
        <v>7174</v>
      </c>
      <c r="B1348" s="2" t="s">
        <v>7193</v>
      </c>
      <c r="C1348" s="2" t="s">
        <v>8423</v>
      </c>
      <c r="D1348" s="2" t="s">
        <v>8424</v>
      </c>
      <c r="E1348" s="2" t="s">
        <v>3897</v>
      </c>
      <c r="F1348" s="2" t="s">
        <v>7210</v>
      </c>
      <c r="G1348" s="2">
        <v>18</v>
      </c>
    </row>
    <row r="1349" spans="1:7" ht="15.75" customHeight="1">
      <c r="A1349" s="2" t="s">
        <v>7174</v>
      </c>
      <c r="B1349" s="2" t="s">
        <v>7193</v>
      </c>
      <c r="C1349" s="2" t="s">
        <v>8425</v>
      </c>
      <c r="D1349" s="2" t="s">
        <v>7212</v>
      </c>
      <c r="E1349" s="2" t="s">
        <v>5672</v>
      </c>
      <c r="F1349" s="2" t="s">
        <v>5672</v>
      </c>
      <c r="G1349" s="2">
        <v>0</v>
      </c>
    </row>
    <row r="1350" spans="1:7" ht="15.75" customHeight="1">
      <c r="A1350" s="2" t="s">
        <v>7174</v>
      </c>
      <c r="B1350" s="2" t="s">
        <v>7193</v>
      </c>
      <c r="C1350" s="2" t="s">
        <v>8426</v>
      </c>
      <c r="D1350" s="2" t="s">
        <v>7212</v>
      </c>
      <c r="E1350" s="2" t="s">
        <v>5672</v>
      </c>
      <c r="F1350" s="2" t="s">
        <v>5672</v>
      </c>
      <c r="G1350" s="2">
        <v>0</v>
      </c>
    </row>
    <row r="1351" spans="1:7" ht="15.75" customHeight="1">
      <c r="A1351" s="2" t="s">
        <v>7174</v>
      </c>
      <c r="B1351" s="2" t="s">
        <v>7193</v>
      </c>
      <c r="C1351" s="2" t="s">
        <v>8427</v>
      </c>
      <c r="D1351" s="2" t="s">
        <v>7235</v>
      </c>
      <c r="E1351" s="2" t="s">
        <v>538</v>
      </c>
      <c r="F1351" s="2" t="s">
        <v>538</v>
      </c>
      <c r="G1351" s="2">
        <v>0</v>
      </c>
    </row>
    <row r="1352" spans="1:7" ht="15.75" customHeight="1">
      <c r="A1352" s="2" t="s">
        <v>7174</v>
      </c>
      <c r="B1352" s="2" t="s">
        <v>7193</v>
      </c>
      <c r="C1352" s="2" t="s">
        <v>8428</v>
      </c>
      <c r="D1352" s="2" t="s">
        <v>7235</v>
      </c>
      <c r="E1352" s="2" t="s">
        <v>538</v>
      </c>
      <c r="F1352" s="2" t="s">
        <v>538</v>
      </c>
      <c r="G1352" s="2">
        <v>0</v>
      </c>
    </row>
    <row r="1353" spans="1:7" ht="15.75" customHeight="1">
      <c r="A1353" s="2" t="s">
        <v>7174</v>
      </c>
      <c r="B1353" s="2" t="s">
        <v>7193</v>
      </c>
      <c r="C1353" s="2" t="s">
        <v>8429</v>
      </c>
      <c r="D1353" s="2" t="s">
        <v>7212</v>
      </c>
      <c r="E1353" s="2" t="s">
        <v>5672</v>
      </c>
      <c r="F1353" s="2" t="s">
        <v>5672</v>
      </c>
      <c r="G1353" s="2">
        <v>0</v>
      </c>
    </row>
    <row r="1354" spans="1:7" ht="15.75" customHeight="1">
      <c r="A1354" s="2" t="s">
        <v>7174</v>
      </c>
      <c r="B1354" s="2" t="s">
        <v>7193</v>
      </c>
      <c r="C1354" s="2" t="s">
        <v>8430</v>
      </c>
      <c r="D1354" s="2" t="s">
        <v>8431</v>
      </c>
      <c r="E1354" s="2" t="s">
        <v>3897</v>
      </c>
      <c r="F1354" s="2" t="s">
        <v>7210</v>
      </c>
      <c r="G1354" s="2">
        <v>18</v>
      </c>
    </row>
    <row r="1355" spans="1:7" ht="15.75" customHeight="1">
      <c r="A1355" s="2" t="s">
        <v>7174</v>
      </c>
      <c r="B1355" s="2" t="s">
        <v>107</v>
      </c>
      <c r="C1355" s="2" t="s">
        <v>4304</v>
      </c>
      <c r="D1355" s="2" t="s">
        <v>7209</v>
      </c>
      <c r="E1355" s="2" t="s">
        <v>3897</v>
      </c>
      <c r="F1355" s="2" t="s">
        <v>7210</v>
      </c>
      <c r="G1355" s="2">
        <v>18</v>
      </c>
    </row>
    <row r="1356" spans="1:7" ht="15.75" customHeight="1">
      <c r="A1356" s="2" t="s">
        <v>7174</v>
      </c>
      <c r="B1356" s="2" t="s">
        <v>107</v>
      </c>
      <c r="C1356" s="2" t="s">
        <v>8432</v>
      </c>
      <c r="D1356" s="2" t="s">
        <v>8433</v>
      </c>
      <c r="E1356" s="2" t="s">
        <v>3897</v>
      </c>
      <c r="F1356" s="2" t="s">
        <v>7210</v>
      </c>
      <c r="G1356" s="2">
        <v>18</v>
      </c>
    </row>
    <row r="1357" spans="1:7" ht="15.75" customHeight="1">
      <c r="A1357" s="2" t="s">
        <v>7174</v>
      </c>
      <c r="B1357" s="2" t="s">
        <v>107</v>
      </c>
      <c r="C1357" s="2" t="s">
        <v>8434</v>
      </c>
      <c r="D1357" s="2" t="s">
        <v>8424</v>
      </c>
      <c r="E1357" s="2" t="s">
        <v>3897</v>
      </c>
      <c r="F1357" s="2" t="s">
        <v>7210</v>
      </c>
      <c r="G1357" s="2">
        <v>18</v>
      </c>
    </row>
    <row r="1358" spans="1:7" ht="15.75" customHeight="1">
      <c r="A1358" s="2" t="s">
        <v>7174</v>
      </c>
      <c r="B1358" s="2" t="s">
        <v>107</v>
      </c>
      <c r="C1358" s="2" t="s">
        <v>8435</v>
      </c>
      <c r="D1358" s="2" t="s">
        <v>7687</v>
      </c>
      <c r="E1358" s="2" t="s">
        <v>5664</v>
      </c>
      <c r="F1358" s="2" t="s">
        <v>5664</v>
      </c>
      <c r="G1358" s="2">
        <v>0</v>
      </c>
    </row>
    <row r="1359" spans="1:7" ht="15.75" customHeight="1">
      <c r="A1359" s="2" t="s">
        <v>7174</v>
      </c>
      <c r="B1359" s="2" t="s">
        <v>107</v>
      </c>
      <c r="C1359" s="2" t="s">
        <v>8436</v>
      </c>
      <c r="D1359" s="2" t="s">
        <v>7687</v>
      </c>
      <c r="E1359" s="2" t="s">
        <v>5664</v>
      </c>
      <c r="F1359" s="2" t="s">
        <v>5664</v>
      </c>
      <c r="G1359" s="2">
        <v>0</v>
      </c>
    </row>
    <row r="1360" spans="1:7" ht="15.75" customHeight="1">
      <c r="A1360" s="2" t="s">
        <v>7174</v>
      </c>
      <c r="B1360" s="2" t="s">
        <v>107</v>
      </c>
      <c r="C1360" s="2" t="s">
        <v>7819</v>
      </c>
      <c r="D1360" s="2" t="s">
        <v>7216</v>
      </c>
      <c r="E1360" s="2" t="s">
        <v>7215</v>
      </c>
      <c r="F1360" s="2" t="s">
        <v>7215</v>
      </c>
      <c r="G1360" s="2">
        <v>255</v>
      </c>
    </row>
    <row r="1361" spans="1:7" ht="15.75" customHeight="1">
      <c r="A1361" s="2" t="s">
        <v>7174</v>
      </c>
      <c r="B1361" s="2" t="s">
        <v>107</v>
      </c>
      <c r="C1361" s="2" t="s">
        <v>4182</v>
      </c>
      <c r="D1361" s="2" t="s">
        <v>7259</v>
      </c>
      <c r="E1361" s="2" t="s">
        <v>7215</v>
      </c>
      <c r="F1361" s="2" t="s">
        <v>7215</v>
      </c>
      <c r="G1361" s="2">
        <v>255</v>
      </c>
    </row>
    <row r="1362" spans="1:7" ht="15.75" customHeight="1">
      <c r="A1362" s="2" t="s">
        <v>7174</v>
      </c>
      <c r="B1362" s="2" t="s">
        <v>107</v>
      </c>
      <c r="C1362" s="2" t="s">
        <v>8437</v>
      </c>
      <c r="D1362" s="2" t="s">
        <v>7212</v>
      </c>
      <c r="E1362" s="2" t="s">
        <v>5672</v>
      </c>
      <c r="F1362" s="2" t="s">
        <v>5672</v>
      </c>
      <c r="G1362" s="2">
        <v>0</v>
      </c>
    </row>
    <row r="1363" spans="1:7" ht="15.75" customHeight="1">
      <c r="A1363" s="2" t="s">
        <v>7174</v>
      </c>
      <c r="B1363" s="2" t="s">
        <v>107</v>
      </c>
      <c r="C1363" s="2" t="s">
        <v>8438</v>
      </c>
      <c r="D1363" s="2" t="s">
        <v>7235</v>
      </c>
      <c r="E1363" s="2" t="s">
        <v>538</v>
      </c>
      <c r="F1363" s="2" t="s">
        <v>538</v>
      </c>
      <c r="G1363" s="2">
        <v>0</v>
      </c>
    </row>
    <row r="1364" spans="1:7" ht="15.75" customHeight="1">
      <c r="A1364" s="2" t="s">
        <v>7174</v>
      </c>
      <c r="B1364" s="2" t="s">
        <v>107</v>
      </c>
      <c r="C1364" s="2" t="s">
        <v>8439</v>
      </c>
      <c r="D1364" s="2" t="s">
        <v>7235</v>
      </c>
      <c r="E1364" s="2" t="s">
        <v>1974</v>
      </c>
      <c r="F1364" s="2" t="s">
        <v>1974</v>
      </c>
      <c r="G1364" s="2">
        <v>0</v>
      </c>
    </row>
    <row r="1365" spans="1:7" ht="15.75" customHeight="1">
      <c r="A1365" s="2" t="s">
        <v>7174</v>
      </c>
      <c r="B1365" s="2" t="s">
        <v>107</v>
      </c>
      <c r="C1365" s="2" t="s">
        <v>8440</v>
      </c>
      <c r="D1365" s="2" t="s">
        <v>7231</v>
      </c>
      <c r="E1365" s="2" t="s">
        <v>5664</v>
      </c>
      <c r="F1365" s="2" t="s">
        <v>5664</v>
      </c>
      <c r="G1365" s="2">
        <v>0</v>
      </c>
    </row>
    <row r="1366" spans="1:7" ht="15.75" customHeight="1">
      <c r="A1366" s="2" t="s">
        <v>7174</v>
      </c>
      <c r="B1366" s="2" t="s">
        <v>107</v>
      </c>
      <c r="C1366" s="2" t="s">
        <v>8441</v>
      </c>
      <c r="D1366" s="2" t="s">
        <v>7235</v>
      </c>
      <c r="E1366" s="2" t="s">
        <v>538</v>
      </c>
      <c r="F1366" s="2" t="s">
        <v>538</v>
      </c>
      <c r="G1366" s="2">
        <v>0</v>
      </c>
    </row>
    <row r="1367" spans="1:7" ht="15.75" customHeight="1">
      <c r="A1367" s="2" t="s">
        <v>7174</v>
      </c>
      <c r="B1367" s="2" t="s">
        <v>107</v>
      </c>
      <c r="C1367" s="2" t="s">
        <v>8442</v>
      </c>
      <c r="D1367" s="2" t="s">
        <v>7235</v>
      </c>
      <c r="E1367" s="2" t="s">
        <v>538</v>
      </c>
      <c r="F1367" s="2" t="s">
        <v>538</v>
      </c>
      <c r="G1367" s="2">
        <v>0</v>
      </c>
    </row>
    <row r="1368" spans="1:7" ht="15.75" customHeight="1">
      <c r="A1368" s="2" t="s">
        <v>7174</v>
      </c>
      <c r="B1368" s="2" t="s">
        <v>107</v>
      </c>
      <c r="C1368" s="2" t="s">
        <v>1762</v>
      </c>
      <c r="D1368" s="2" t="s">
        <v>6212</v>
      </c>
      <c r="E1368" s="2" t="s">
        <v>1974</v>
      </c>
      <c r="F1368" s="2" t="s">
        <v>1974</v>
      </c>
      <c r="G1368" s="2">
        <v>0</v>
      </c>
    </row>
    <row r="1369" spans="1:7" ht="15.75" customHeight="1">
      <c r="A1369" s="2" t="s">
        <v>7174</v>
      </c>
      <c r="B1369" s="2" t="s">
        <v>107</v>
      </c>
      <c r="C1369" s="2" t="s">
        <v>1729</v>
      </c>
      <c r="D1369" s="2" t="s">
        <v>7232</v>
      </c>
      <c r="E1369" s="2" t="s">
        <v>7215</v>
      </c>
      <c r="F1369" s="2" t="s">
        <v>7215</v>
      </c>
      <c r="G1369" s="2">
        <v>32000</v>
      </c>
    </row>
    <row r="1370" spans="1:7" ht="15.75" customHeight="1">
      <c r="A1370" s="2" t="s">
        <v>7174</v>
      </c>
      <c r="B1370" s="2" t="s">
        <v>107</v>
      </c>
      <c r="C1370" s="2" t="s">
        <v>7810</v>
      </c>
      <c r="D1370" s="2" t="s">
        <v>7214</v>
      </c>
      <c r="E1370" s="2" t="s">
        <v>3897</v>
      </c>
      <c r="F1370" s="2" t="s">
        <v>7210</v>
      </c>
      <c r="G1370" s="2">
        <v>18</v>
      </c>
    </row>
    <row r="1371" spans="1:7" ht="15.75" customHeight="1">
      <c r="A1371" s="2" t="s">
        <v>7174</v>
      </c>
      <c r="B1371" s="2" t="s">
        <v>107</v>
      </c>
      <c r="C1371" s="2" t="s">
        <v>7233</v>
      </c>
      <c r="D1371" s="2" t="s">
        <v>8443</v>
      </c>
      <c r="E1371" s="2" t="s">
        <v>3897</v>
      </c>
      <c r="F1371" s="2" t="s">
        <v>7210</v>
      </c>
      <c r="G1371" s="2">
        <v>18</v>
      </c>
    </row>
    <row r="1372" spans="1:7" ht="15.75" customHeight="1">
      <c r="A1372" s="2" t="s">
        <v>7174</v>
      </c>
      <c r="B1372" s="2" t="s">
        <v>107</v>
      </c>
      <c r="C1372" s="2" t="s">
        <v>1611</v>
      </c>
      <c r="D1372" s="2" t="s">
        <v>7216</v>
      </c>
      <c r="E1372" s="2" t="s">
        <v>7215</v>
      </c>
      <c r="F1372" s="2" t="s">
        <v>7215</v>
      </c>
      <c r="G1372" s="2">
        <v>255</v>
      </c>
    </row>
    <row r="1373" spans="1:7" ht="15.75" customHeight="1">
      <c r="A1373" s="2" t="s">
        <v>7174</v>
      </c>
      <c r="B1373" s="2" t="s">
        <v>107</v>
      </c>
      <c r="C1373" s="2" t="s">
        <v>8444</v>
      </c>
      <c r="D1373" s="2" t="s">
        <v>7212</v>
      </c>
      <c r="E1373" s="2" t="s">
        <v>5672</v>
      </c>
      <c r="F1373" s="2" t="s">
        <v>5672</v>
      </c>
      <c r="G1373" s="2">
        <v>0</v>
      </c>
    </row>
    <row r="1374" spans="1:7" ht="15.75" customHeight="1">
      <c r="A1374" s="2" t="s">
        <v>7174</v>
      </c>
      <c r="B1374" s="2" t="s">
        <v>107</v>
      </c>
      <c r="C1374" s="2" t="s">
        <v>8445</v>
      </c>
      <c r="D1374" s="2" t="s">
        <v>7216</v>
      </c>
      <c r="E1374" s="2" t="s">
        <v>7215</v>
      </c>
      <c r="F1374" s="2" t="s">
        <v>7215</v>
      </c>
      <c r="G1374" s="2">
        <v>40</v>
      </c>
    </row>
    <row r="1375" spans="1:7" ht="15.75" customHeight="1">
      <c r="A1375" s="2" t="s">
        <v>7174</v>
      </c>
      <c r="B1375" s="2" t="s">
        <v>107</v>
      </c>
      <c r="C1375" s="2" t="s">
        <v>7211</v>
      </c>
      <c r="D1375" s="2" t="s">
        <v>7212</v>
      </c>
      <c r="E1375" s="2" t="s">
        <v>5672</v>
      </c>
      <c r="F1375" s="2" t="s">
        <v>5672</v>
      </c>
      <c r="G1375" s="2">
        <v>0</v>
      </c>
    </row>
    <row r="1376" spans="1:7" ht="15.75" customHeight="1">
      <c r="A1376" s="2" t="s">
        <v>7174</v>
      </c>
      <c r="B1376" s="2" t="s">
        <v>107</v>
      </c>
      <c r="C1376" s="2" t="s">
        <v>8446</v>
      </c>
      <c r="D1376" s="2" t="s">
        <v>7212</v>
      </c>
      <c r="E1376" s="2" t="s">
        <v>5672</v>
      </c>
      <c r="F1376" s="2" t="s">
        <v>5672</v>
      </c>
      <c r="G1376" s="2">
        <v>0</v>
      </c>
    </row>
    <row r="1377" spans="1:7" ht="15.75" customHeight="1">
      <c r="A1377" s="2" t="s">
        <v>7174</v>
      </c>
      <c r="B1377" s="2" t="s">
        <v>107</v>
      </c>
      <c r="C1377" s="2" t="s">
        <v>8447</v>
      </c>
      <c r="D1377" s="2" t="s">
        <v>7212</v>
      </c>
      <c r="E1377" s="2" t="s">
        <v>5672</v>
      </c>
      <c r="F1377" s="2" t="s">
        <v>5672</v>
      </c>
      <c r="G1377" s="2">
        <v>0</v>
      </c>
    </row>
    <row r="1378" spans="1:7" ht="15.75" customHeight="1">
      <c r="A1378" s="2" t="s">
        <v>7174</v>
      </c>
      <c r="B1378" s="2" t="s">
        <v>107</v>
      </c>
      <c r="C1378" s="2" t="s">
        <v>8448</v>
      </c>
      <c r="D1378" s="2" t="s">
        <v>7216</v>
      </c>
      <c r="E1378" s="2" t="s">
        <v>7215</v>
      </c>
      <c r="F1378" s="2" t="s">
        <v>7215</v>
      </c>
      <c r="G1378" s="2">
        <v>40</v>
      </c>
    </row>
    <row r="1379" spans="1:7" ht="15.75" customHeight="1">
      <c r="A1379" s="2" t="s">
        <v>7174</v>
      </c>
      <c r="B1379" s="2" t="s">
        <v>107</v>
      </c>
      <c r="C1379" s="2" t="s">
        <v>7135</v>
      </c>
      <c r="D1379" s="2" t="s">
        <v>7235</v>
      </c>
      <c r="E1379" s="2" t="s">
        <v>538</v>
      </c>
      <c r="F1379" s="2" t="s">
        <v>538</v>
      </c>
      <c r="G1379" s="2">
        <v>0</v>
      </c>
    </row>
    <row r="1380" spans="1:7" ht="15.75" customHeight="1">
      <c r="A1380" s="2" t="s">
        <v>7174</v>
      </c>
      <c r="B1380" s="2" t="s">
        <v>107</v>
      </c>
      <c r="C1380" s="2" t="s">
        <v>7236</v>
      </c>
      <c r="D1380" s="2" t="s">
        <v>7234</v>
      </c>
      <c r="E1380" s="2" t="s">
        <v>3897</v>
      </c>
      <c r="F1380" s="2" t="s">
        <v>7210</v>
      </c>
      <c r="G1380" s="2">
        <v>18</v>
      </c>
    </row>
    <row r="1381" spans="1:7" ht="15.75" customHeight="1">
      <c r="A1381" s="2" t="s">
        <v>7174</v>
      </c>
      <c r="B1381" s="2" t="s">
        <v>107</v>
      </c>
      <c r="C1381" s="2" t="s">
        <v>7176</v>
      </c>
      <c r="D1381" s="2" t="s">
        <v>7235</v>
      </c>
      <c r="E1381" s="2" t="s">
        <v>538</v>
      </c>
      <c r="F1381" s="2" t="s">
        <v>538</v>
      </c>
      <c r="G1381" s="2">
        <v>0</v>
      </c>
    </row>
    <row r="1382" spans="1:7" ht="15.75" customHeight="1">
      <c r="A1382" s="2" t="s">
        <v>7174</v>
      </c>
      <c r="B1382" s="2" t="s">
        <v>107</v>
      </c>
      <c r="C1382" s="2" t="s">
        <v>7237</v>
      </c>
      <c r="D1382" s="2" t="s">
        <v>7234</v>
      </c>
      <c r="E1382" s="2" t="s">
        <v>3897</v>
      </c>
      <c r="F1382" s="2" t="s">
        <v>7210</v>
      </c>
      <c r="G1382" s="2">
        <v>18</v>
      </c>
    </row>
    <row r="1383" spans="1:7" ht="15.75" customHeight="1">
      <c r="A1383" s="2" t="s">
        <v>7174</v>
      </c>
      <c r="B1383" s="2" t="s">
        <v>107</v>
      </c>
      <c r="C1383" s="2" t="s">
        <v>7238</v>
      </c>
      <c r="D1383" s="2" t="s">
        <v>7235</v>
      </c>
      <c r="E1383" s="2" t="s">
        <v>538</v>
      </c>
      <c r="F1383" s="2" t="s">
        <v>538</v>
      </c>
      <c r="G1383" s="2">
        <v>0</v>
      </c>
    </row>
    <row r="1384" spans="1:7" ht="15.75" customHeight="1">
      <c r="A1384" s="2" t="s">
        <v>7174</v>
      </c>
      <c r="B1384" s="2" t="s">
        <v>107</v>
      </c>
      <c r="C1384" s="2" t="s">
        <v>8449</v>
      </c>
      <c r="D1384" s="2" t="s">
        <v>7212</v>
      </c>
      <c r="E1384" s="2" t="s">
        <v>5672</v>
      </c>
      <c r="F1384" s="2" t="s">
        <v>5672</v>
      </c>
      <c r="G1384" s="2">
        <v>0</v>
      </c>
    </row>
    <row r="1385" spans="1:7" ht="15.75" customHeight="1">
      <c r="A1385" s="2" t="s">
        <v>7174</v>
      </c>
      <c r="B1385" s="2" t="s">
        <v>107</v>
      </c>
      <c r="C1385" s="2" t="s">
        <v>5204</v>
      </c>
      <c r="D1385" s="2" t="s">
        <v>5204</v>
      </c>
      <c r="E1385" s="2" t="s">
        <v>7215</v>
      </c>
      <c r="F1385" s="2" t="s">
        <v>7215</v>
      </c>
      <c r="G1385" s="2">
        <v>80</v>
      </c>
    </row>
    <row r="1386" spans="1:7" ht="15.75" customHeight="1">
      <c r="A1386" s="2" t="s">
        <v>7174</v>
      </c>
      <c r="B1386" s="2" t="s">
        <v>107</v>
      </c>
      <c r="C1386" s="2" t="s">
        <v>7224</v>
      </c>
      <c r="D1386" s="2" t="s">
        <v>7224</v>
      </c>
      <c r="E1386" s="2" t="s">
        <v>7215</v>
      </c>
      <c r="F1386" s="2" t="s">
        <v>7215</v>
      </c>
      <c r="G1386" s="2">
        <v>40</v>
      </c>
    </row>
    <row r="1387" spans="1:7" ht="15.75" customHeight="1">
      <c r="A1387" s="2" t="s">
        <v>7174</v>
      </c>
      <c r="B1387" s="2" t="s">
        <v>107</v>
      </c>
      <c r="C1387" s="2" t="s">
        <v>8450</v>
      </c>
      <c r="D1387" s="2" t="s">
        <v>8451</v>
      </c>
      <c r="E1387" s="2" t="s">
        <v>3897</v>
      </c>
      <c r="F1387" s="2" t="s">
        <v>7210</v>
      </c>
      <c r="G1387" s="2">
        <v>18</v>
      </c>
    </row>
    <row r="1388" spans="1:7" ht="15.75" customHeight="1">
      <c r="A1388" s="2" t="s">
        <v>7174</v>
      </c>
      <c r="B1388" s="2" t="s">
        <v>107</v>
      </c>
      <c r="C1388" s="2" t="s">
        <v>8452</v>
      </c>
      <c r="D1388" s="2" t="s">
        <v>7212</v>
      </c>
      <c r="E1388" s="2" t="s">
        <v>5672</v>
      </c>
      <c r="F1388" s="2" t="s">
        <v>5672</v>
      </c>
      <c r="G1388" s="2">
        <v>0</v>
      </c>
    </row>
    <row r="1389" spans="1:7" ht="15.75" customHeight="1">
      <c r="A1389" s="2" t="s">
        <v>7174</v>
      </c>
      <c r="B1389" s="2" t="s">
        <v>107</v>
      </c>
      <c r="C1389" s="2" t="s">
        <v>8453</v>
      </c>
      <c r="D1389" s="2" t="s">
        <v>7235</v>
      </c>
      <c r="E1389" s="2" t="s">
        <v>538</v>
      </c>
      <c r="F1389" s="2" t="s">
        <v>538</v>
      </c>
      <c r="G1389" s="2">
        <v>0</v>
      </c>
    </row>
    <row r="1390" spans="1:7" ht="15.75" customHeight="1">
      <c r="A1390" s="2" t="s">
        <v>7174</v>
      </c>
      <c r="B1390" s="2" t="s">
        <v>107</v>
      </c>
      <c r="C1390" s="2" t="s">
        <v>8454</v>
      </c>
      <c r="D1390" s="2" t="s">
        <v>6212</v>
      </c>
      <c r="E1390" s="2" t="s">
        <v>1974</v>
      </c>
      <c r="F1390" s="2" t="s">
        <v>1974</v>
      </c>
      <c r="G1390" s="2">
        <v>0</v>
      </c>
    </row>
    <row r="1391" spans="1:7" ht="15.75" customHeight="1">
      <c r="A1391" s="2" t="s">
        <v>7174</v>
      </c>
      <c r="B1391" s="2" t="s">
        <v>107</v>
      </c>
      <c r="C1391" s="2" t="s">
        <v>8455</v>
      </c>
      <c r="D1391" s="2" t="s">
        <v>7216</v>
      </c>
      <c r="E1391" s="2" t="s">
        <v>7215</v>
      </c>
      <c r="F1391" s="2" t="s">
        <v>7215</v>
      </c>
      <c r="G1391" s="2">
        <v>40</v>
      </c>
    </row>
    <row r="1392" spans="1:7" ht="15.75" customHeight="1">
      <c r="A1392" s="2" t="s">
        <v>7174</v>
      </c>
      <c r="B1392" s="2" t="s">
        <v>107</v>
      </c>
      <c r="C1392" s="2" t="s">
        <v>8456</v>
      </c>
      <c r="D1392" s="2" t="s">
        <v>7216</v>
      </c>
      <c r="E1392" s="2" t="s">
        <v>7215</v>
      </c>
      <c r="F1392" s="2" t="s">
        <v>7215</v>
      </c>
      <c r="G1392" s="2">
        <v>40</v>
      </c>
    </row>
    <row r="1393" spans="1:7" ht="15.75" customHeight="1">
      <c r="A1393" s="2" t="s">
        <v>7174</v>
      </c>
      <c r="B1393" s="2" t="s">
        <v>107</v>
      </c>
      <c r="C1393" s="2" t="s">
        <v>8457</v>
      </c>
      <c r="D1393" s="2" t="s">
        <v>7687</v>
      </c>
      <c r="E1393" s="2" t="s">
        <v>5664</v>
      </c>
      <c r="F1393" s="2" t="s">
        <v>5664</v>
      </c>
      <c r="G1393" s="2">
        <v>0</v>
      </c>
    </row>
    <row r="1394" spans="1:7" ht="15.75" customHeight="1">
      <c r="A1394" s="2" t="s">
        <v>7174</v>
      </c>
      <c r="B1394" s="2" t="s">
        <v>107</v>
      </c>
      <c r="C1394" s="2" t="s">
        <v>8458</v>
      </c>
      <c r="D1394" s="2" t="s">
        <v>7687</v>
      </c>
      <c r="E1394" s="2" t="s">
        <v>5664</v>
      </c>
      <c r="F1394" s="2" t="s">
        <v>5664</v>
      </c>
      <c r="G1394" s="2">
        <v>0</v>
      </c>
    </row>
    <row r="1395" spans="1:7" ht="15.75" customHeight="1">
      <c r="A1395" s="2" t="s">
        <v>7174</v>
      </c>
      <c r="B1395" s="2" t="s">
        <v>107</v>
      </c>
      <c r="C1395" s="2" t="s">
        <v>8459</v>
      </c>
      <c r="D1395" s="2" t="s">
        <v>7687</v>
      </c>
      <c r="E1395" s="2" t="s">
        <v>5664</v>
      </c>
      <c r="F1395" s="2" t="s">
        <v>5664</v>
      </c>
      <c r="G1395" s="2">
        <v>0</v>
      </c>
    </row>
    <row r="1396" spans="1:7" ht="15.75" customHeight="1">
      <c r="A1396" s="2" t="s">
        <v>7174</v>
      </c>
      <c r="B1396" s="2" t="s">
        <v>107</v>
      </c>
      <c r="C1396" s="2" t="s">
        <v>8460</v>
      </c>
      <c r="D1396" s="2" t="s">
        <v>7216</v>
      </c>
      <c r="E1396" s="2" t="s">
        <v>7215</v>
      </c>
      <c r="F1396" s="2" t="s">
        <v>7215</v>
      </c>
      <c r="G1396" s="2">
        <v>40</v>
      </c>
    </row>
    <row r="1397" spans="1:7" ht="15.75" customHeight="1">
      <c r="A1397" s="2" t="s">
        <v>7174</v>
      </c>
      <c r="B1397" s="2" t="s">
        <v>107</v>
      </c>
      <c r="C1397" s="2" t="s">
        <v>8461</v>
      </c>
      <c r="D1397" s="2" t="s">
        <v>7216</v>
      </c>
      <c r="E1397" s="2" t="s">
        <v>7215</v>
      </c>
      <c r="F1397" s="2" t="s">
        <v>7215</v>
      </c>
      <c r="G1397" s="2">
        <v>40</v>
      </c>
    </row>
    <row r="1398" spans="1:7" ht="15.75" customHeight="1">
      <c r="A1398" s="2" t="s">
        <v>7174</v>
      </c>
      <c r="B1398" s="2" t="s">
        <v>107</v>
      </c>
      <c r="C1398" s="2" t="s">
        <v>8462</v>
      </c>
      <c r="D1398" s="2" t="s">
        <v>7235</v>
      </c>
      <c r="E1398" s="2" t="s">
        <v>538</v>
      </c>
      <c r="F1398" s="2" t="s">
        <v>538</v>
      </c>
      <c r="G1398" s="2">
        <v>0</v>
      </c>
    </row>
    <row r="1399" spans="1:7" ht="15.75" customHeight="1">
      <c r="A1399" s="2" t="s">
        <v>7174</v>
      </c>
      <c r="B1399" s="2" t="s">
        <v>107</v>
      </c>
      <c r="C1399" s="2" t="s">
        <v>8463</v>
      </c>
      <c r="D1399" s="2" t="s">
        <v>7212</v>
      </c>
      <c r="E1399" s="2" t="s">
        <v>5672</v>
      </c>
      <c r="F1399" s="2" t="s">
        <v>5672</v>
      </c>
      <c r="G1399" s="2">
        <v>0</v>
      </c>
    </row>
    <row r="1400" spans="1:7" ht="15.75" customHeight="1">
      <c r="A1400" s="2" t="s">
        <v>7174</v>
      </c>
      <c r="B1400" s="2" t="s">
        <v>107</v>
      </c>
      <c r="C1400" s="2" t="s">
        <v>8464</v>
      </c>
      <c r="D1400" s="2" t="s">
        <v>7216</v>
      </c>
      <c r="E1400" s="2" t="s">
        <v>7215</v>
      </c>
      <c r="F1400" s="2" t="s">
        <v>7215</v>
      </c>
      <c r="G1400" s="2">
        <v>40</v>
      </c>
    </row>
    <row r="1401" spans="1:7" ht="15.75" customHeight="1">
      <c r="A1401" s="2" t="s">
        <v>7174</v>
      </c>
      <c r="B1401" s="2" t="s">
        <v>107</v>
      </c>
      <c r="C1401" s="2" t="s">
        <v>8465</v>
      </c>
      <c r="D1401" s="2" t="s">
        <v>7212</v>
      </c>
      <c r="E1401" s="2" t="s">
        <v>5672</v>
      </c>
      <c r="F1401" s="2" t="s">
        <v>5672</v>
      </c>
      <c r="G1401" s="2">
        <v>0</v>
      </c>
    </row>
    <row r="1402" spans="1:7" ht="15.75" customHeight="1">
      <c r="A1402" s="2" t="s">
        <v>7174</v>
      </c>
      <c r="B1402" s="2" t="s">
        <v>107</v>
      </c>
      <c r="C1402" s="2" t="s">
        <v>8466</v>
      </c>
      <c r="D1402" s="2" t="s">
        <v>8467</v>
      </c>
      <c r="E1402" s="2" t="s">
        <v>7215</v>
      </c>
      <c r="F1402" s="2" t="s">
        <v>7215</v>
      </c>
      <c r="G1402" s="2">
        <v>512</v>
      </c>
    </row>
    <row r="1403" spans="1:7" ht="15.75" customHeight="1">
      <c r="A1403" s="2" t="s">
        <v>7174</v>
      </c>
      <c r="B1403" s="2" t="s">
        <v>107</v>
      </c>
      <c r="C1403" s="2" t="s">
        <v>8468</v>
      </c>
      <c r="D1403" s="2" t="s">
        <v>7216</v>
      </c>
      <c r="E1403" s="2" t="s">
        <v>7215</v>
      </c>
      <c r="F1403" s="2" t="s">
        <v>7215</v>
      </c>
      <c r="G1403" s="2">
        <v>40</v>
      </c>
    </row>
    <row r="1404" spans="1:7" ht="15.75" customHeight="1">
      <c r="A1404" s="2" t="s">
        <v>7174</v>
      </c>
      <c r="B1404" s="2" t="s">
        <v>107</v>
      </c>
      <c r="C1404" s="2" t="s">
        <v>8469</v>
      </c>
      <c r="D1404" s="2" t="s">
        <v>7212</v>
      </c>
      <c r="E1404" s="2" t="s">
        <v>5672</v>
      </c>
      <c r="F1404" s="2" t="s">
        <v>5672</v>
      </c>
      <c r="G1404" s="2">
        <v>0</v>
      </c>
    </row>
    <row r="1405" spans="1:7" ht="15.75" customHeight="1">
      <c r="A1405" s="2" t="s">
        <v>7174</v>
      </c>
      <c r="B1405" s="2" t="s">
        <v>107</v>
      </c>
      <c r="C1405" s="2" t="s">
        <v>8470</v>
      </c>
      <c r="D1405" s="2" t="s">
        <v>7212</v>
      </c>
      <c r="E1405" s="2" t="s">
        <v>5672</v>
      </c>
      <c r="F1405" s="2" t="s">
        <v>5672</v>
      </c>
      <c r="G1405" s="2">
        <v>0</v>
      </c>
    </row>
    <row r="1406" spans="1:7" ht="15.75" customHeight="1">
      <c r="A1406" s="2" t="s">
        <v>7174</v>
      </c>
      <c r="B1406" s="2" t="s">
        <v>107</v>
      </c>
      <c r="C1406" s="2" t="s">
        <v>8471</v>
      </c>
      <c r="D1406" s="2" t="s">
        <v>7235</v>
      </c>
      <c r="E1406" s="2" t="s">
        <v>538</v>
      </c>
      <c r="F1406" s="2" t="s">
        <v>538</v>
      </c>
      <c r="G1406" s="2">
        <v>0</v>
      </c>
    </row>
    <row r="1407" spans="1:7" ht="15.75" customHeight="1">
      <c r="A1407" s="2" t="s">
        <v>7174</v>
      </c>
      <c r="B1407" s="2" t="s">
        <v>107</v>
      </c>
      <c r="C1407" s="2" t="s">
        <v>8472</v>
      </c>
      <c r="D1407" s="2" t="s">
        <v>7259</v>
      </c>
      <c r="E1407" s="2" t="s">
        <v>7215</v>
      </c>
      <c r="F1407" s="2" t="s">
        <v>7215</v>
      </c>
      <c r="G1407" s="2">
        <v>255</v>
      </c>
    </row>
    <row r="1408" spans="1:7" ht="15.75" customHeight="1">
      <c r="A1408" s="2" t="s">
        <v>7174</v>
      </c>
      <c r="B1408" s="2" t="s">
        <v>107</v>
      </c>
      <c r="C1408" s="2" t="s">
        <v>8473</v>
      </c>
      <c r="D1408" s="2" t="s">
        <v>7277</v>
      </c>
      <c r="E1408" s="2" t="s">
        <v>7278</v>
      </c>
      <c r="F1408" s="2" t="s">
        <v>7278</v>
      </c>
      <c r="G1408" s="2">
        <v>0</v>
      </c>
    </row>
    <row r="1409" spans="1:7" ht="15.75" customHeight="1">
      <c r="A1409" s="2" t="s">
        <v>7174</v>
      </c>
      <c r="B1409" s="2" t="s">
        <v>107</v>
      </c>
      <c r="C1409" s="2" t="s">
        <v>8474</v>
      </c>
      <c r="D1409" s="2" t="s">
        <v>7235</v>
      </c>
      <c r="E1409" s="2" t="s">
        <v>538</v>
      </c>
      <c r="F1409" s="2" t="s">
        <v>538</v>
      </c>
      <c r="G1409" s="2">
        <v>0</v>
      </c>
    </row>
    <row r="1410" spans="1:7" ht="15.75" customHeight="1">
      <c r="A1410" s="2" t="s">
        <v>7174</v>
      </c>
      <c r="B1410" s="2" t="s">
        <v>107</v>
      </c>
      <c r="C1410" s="2" t="s">
        <v>8475</v>
      </c>
      <c r="D1410" s="2" t="s">
        <v>7515</v>
      </c>
      <c r="E1410" s="2" t="s">
        <v>7278</v>
      </c>
      <c r="F1410" s="2" t="s">
        <v>7278</v>
      </c>
      <c r="G1410" s="2">
        <v>0</v>
      </c>
    </row>
    <row r="1411" spans="1:7" ht="15.75" customHeight="1">
      <c r="A1411" s="2" t="s">
        <v>7174</v>
      </c>
      <c r="B1411" s="2" t="s">
        <v>107</v>
      </c>
      <c r="C1411" s="2" t="s">
        <v>8476</v>
      </c>
      <c r="D1411" s="2" t="s">
        <v>7259</v>
      </c>
      <c r="E1411" s="2" t="s">
        <v>7215</v>
      </c>
      <c r="F1411" s="2" t="s">
        <v>7215</v>
      </c>
      <c r="G1411" s="2">
        <v>255</v>
      </c>
    </row>
    <row r="1412" spans="1:7" ht="15.75" customHeight="1">
      <c r="A1412" s="2" t="s">
        <v>7174</v>
      </c>
      <c r="B1412" s="2" t="s">
        <v>107</v>
      </c>
      <c r="C1412" s="2" t="s">
        <v>8477</v>
      </c>
      <c r="D1412" s="2" t="s">
        <v>7282</v>
      </c>
      <c r="E1412" s="2" t="s">
        <v>7215</v>
      </c>
      <c r="F1412" s="2" t="s">
        <v>7215</v>
      </c>
      <c r="G1412" s="2">
        <v>100</v>
      </c>
    </row>
    <row r="1413" spans="1:7" ht="15.75" customHeight="1">
      <c r="A1413" s="2" t="s">
        <v>7174</v>
      </c>
      <c r="B1413" s="2" t="s">
        <v>107</v>
      </c>
      <c r="C1413" s="2" t="s">
        <v>8478</v>
      </c>
      <c r="D1413" s="2" t="s">
        <v>7216</v>
      </c>
      <c r="E1413" s="2" t="s">
        <v>7215</v>
      </c>
      <c r="F1413" s="2" t="s">
        <v>7215</v>
      </c>
      <c r="G1413" s="2">
        <v>255</v>
      </c>
    </row>
    <row r="1414" spans="1:7" ht="15.75" customHeight="1">
      <c r="A1414" s="2" t="s">
        <v>7174</v>
      </c>
      <c r="B1414" s="2" t="s">
        <v>107</v>
      </c>
      <c r="C1414" s="2" t="s">
        <v>8479</v>
      </c>
      <c r="D1414" s="2" t="s">
        <v>7235</v>
      </c>
      <c r="E1414" s="2" t="s">
        <v>538</v>
      </c>
      <c r="F1414" s="2" t="s">
        <v>538</v>
      </c>
      <c r="G1414" s="2">
        <v>0</v>
      </c>
    </row>
    <row r="1415" spans="1:7" ht="15.75" customHeight="1">
      <c r="A1415" s="2" t="s">
        <v>7174</v>
      </c>
      <c r="B1415" s="2" t="s">
        <v>107</v>
      </c>
      <c r="C1415" s="2" t="s">
        <v>7178</v>
      </c>
      <c r="D1415" s="2" t="s">
        <v>8480</v>
      </c>
      <c r="E1415" s="2" t="s">
        <v>3897</v>
      </c>
      <c r="F1415" s="2" t="s">
        <v>7210</v>
      </c>
      <c r="G1415" s="2">
        <v>18</v>
      </c>
    </row>
    <row r="1416" spans="1:7" ht="15.75" customHeight="1">
      <c r="A1416" s="2" t="s">
        <v>7174</v>
      </c>
      <c r="B1416" s="2" t="s">
        <v>107</v>
      </c>
      <c r="C1416" s="2" t="s">
        <v>7592</v>
      </c>
      <c r="D1416" s="2" t="s">
        <v>7214</v>
      </c>
      <c r="E1416" s="2" t="s">
        <v>3897</v>
      </c>
      <c r="F1416" s="2" t="s">
        <v>7210</v>
      </c>
      <c r="G1416" s="2">
        <v>18</v>
      </c>
    </row>
    <row r="1417" spans="1:7" ht="15.75" customHeight="1">
      <c r="A1417" s="2" t="s">
        <v>7174</v>
      </c>
      <c r="B1417" s="2" t="s">
        <v>107</v>
      </c>
      <c r="C1417" s="2" t="s">
        <v>8481</v>
      </c>
      <c r="D1417" s="2" t="s">
        <v>7582</v>
      </c>
      <c r="E1417" s="2" t="s">
        <v>538</v>
      </c>
      <c r="F1417" s="2" t="s">
        <v>538</v>
      </c>
      <c r="G1417" s="2">
        <v>0</v>
      </c>
    </row>
    <row r="1418" spans="1:7" ht="15.75" customHeight="1">
      <c r="A1418" s="2" t="s">
        <v>7174</v>
      </c>
      <c r="B1418" s="2" t="s">
        <v>107</v>
      </c>
      <c r="C1418" s="2" t="s">
        <v>8482</v>
      </c>
      <c r="D1418" s="2" t="s">
        <v>7259</v>
      </c>
      <c r="E1418" s="2" t="s">
        <v>7215</v>
      </c>
      <c r="F1418" s="2" t="s">
        <v>7215</v>
      </c>
      <c r="G1418" s="2">
        <v>255</v>
      </c>
    </row>
    <row r="1419" spans="1:7" ht="15.75" customHeight="1">
      <c r="A1419" s="2" t="s">
        <v>7174</v>
      </c>
      <c r="B1419" s="2" t="s">
        <v>107</v>
      </c>
      <c r="C1419" s="2" t="s">
        <v>8483</v>
      </c>
      <c r="D1419" s="2" t="s">
        <v>7559</v>
      </c>
      <c r="E1419" s="2" t="s">
        <v>7215</v>
      </c>
      <c r="F1419" s="2" t="s">
        <v>7215</v>
      </c>
      <c r="G1419" s="2">
        <v>30</v>
      </c>
    </row>
    <row r="1420" spans="1:7" ht="15.75" customHeight="1">
      <c r="A1420" s="2" t="s">
        <v>7174</v>
      </c>
      <c r="B1420" s="2" t="s">
        <v>107</v>
      </c>
      <c r="C1420" s="2" t="s">
        <v>8484</v>
      </c>
      <c r="D1420" s="2" t="s">
        <v>7559</v>
      </c>
      <c r="E1420" s="2" t="s">
        <v>7215</v>
      </c>
      <c r="F1420" s="2" t="s">
        <v>7215</v>
      </c>
      <c r="G1420" s="2">
        <v>30</v>
      </c>
    </row>
    <row r="1421" spans="1:7" ht="15.75" customHeight="1">
      <c r="A1421" s="2" t="s">
        <v>7174</v>
      </c>
      <c r="B1421" s="2" t="s">
        <v>107</v>
      </c>
      <c r="C1421" s="2" t="s">
        <v>8485</v>
      </c>
      <c r="D1421" s="2" t="s">
        <v>7347</v>
      </c>
      <c r="E1421" s="2" t="s">
        <v>7215</v>
      </c>
      <c r="F1421" s="2" t="s">
        <v>7215</v>
      </c>
      <c r="G1421" s="2">
        <v>10</v>
      </c>
    </row>
    <row r="1422" spans="1:7" ht="15.75" customHeight="1">
      <c r="A1422" s="2" t="s">
        <v>7174</v>
      </c>
      <c r="B1422" s="2" t="s">
        <v>107</v>
      </c>
      <c r="C1422" s="2" t="s">
        <v>8486</v>
      </c>
      <c r="D1422" s="2" t="s">
        <v>7282</v>
      </c>
      <c r="E1422" s="2" t="s">
        <v>7215</v>
      </c>
      <c r="F1422" s="2" t="s">
        <v>7215</v>
      </c>
      <c r="G1422" s="2">
        <v>100</v>
      </c>
    </row>
    <row r="1423" spans="1:7" ht="15.75" customHeight="1">
      <c r="A1423" s="2" t="s">
        <v>7174</v>
      </c>
      <c r="B1423" s="2" t="s">
        <v>107</v>
      </c>
      <c r="C1423" s="2" t="s">
        <v>8487</v>
      </c>
      <c r="D1423" s="2" t="s">
        <v>7259</v>
      </c>
      <c r="E1423" s="2" t="s">
        <v>7215</v>
      </c>
      <c r="F1423" s="2" t="s">
        <v>7215</v>
      </c>
      <c r="G1423" s="2">
        <v>255</v>
      </c>
    </row>
    <row r="1424" spans="1:7" ht="15.75" customHeight="1">
      <c r="A1424" s="2" t="s">
        <v>7174</v>
      </c>
      <c r="B1424" s="2" t="s">
        <v>107</v>
      </c>
      <c r="C1424" s="2" t="s">
        <v>8488</v>
      </c>
      <c r="D1424" s="2" t="s">
        <v>7282</v>
      </c>
      <c r="E1424" s="2" t="s">
        <v>7215</v>
      </c>
      <c r="F1424" s="2" t="s">
        <v>7215</v>
      </c>
      <c r="G1424" s="2">
        <v>100</v>
      </c>
    </row>
    <row r="1425" spans="1:7" ht="15.75" customHeight="1">
      <c r="A1425" s="2" t="s">
        <v>7174</v>
      </c>
      <c r="B1425" s="2" t="s">
        <v>107</v>
      </c>
      <c r="C1425" s="2" t="s">
        <v>8489</v>
      </c>
      <c r="D1425" s="2" t="s">
        <v>7347</v>
      </c>
      <c r="E1425" s="2" t="s">
        <v>7215</v>
      </c>
      <c r="F1425" s="2" t="s">
        <v>7215</v>
      </c>
      <c r="G1425" s="2">
        <v>10</v>
      </c>
    </row>
    <row r="1426" spans="1:7" ht="15.75" customHeight="1">
      <c r="A1426" s="2" t="s">
        <v>7174</v>
      </c>
      <c r="B1426" s="2" t="s">
        <v>107</v>
      </c>
      <c r="C1426" s="2" t="s">
        <v>8490</v>
      </c>
      <c r="D1426" s="2" t="s">
        <v>7284</v>
      </c>
      <c r="E1426" s="2" t="s">
        <v>7215</v>
      </c>
      <c r="F1426" s="2" t="s">
        <v>7215</v>
      </c>
      <c r="G1426" s="2">
        <v>1300</v>
      </c>
    </row>
    <row r="1427" spans="1:7" ht="15.75" customHeight="1">
      <c r="A1427" s="2" t="s">
        <v>7174</v>
      </c>
      <c r="B1427" s="2" t="s">
        <v>107</v>
      </c>
      <c r="C1427" s="2" t="s">
        <v>8491</v>
      </c>
      <c r="D1427" s="2" t="s">
        <v>7439</v>
      </c>
      <c r="E1427" s="2" t="s">
        <v>5672</v>
      </c>
      <c r="F1427" s="2" t="s">
        <v>5672</v>
      </c>
      <c r="G1427" s="2">
        <v>0</v>
      </c>
    </row>
    <row r="1428" spans="1:7" ht="15.75" customHeight="1">
      <c r="A1428" s="2" t="s">
        <v>7174</v>
      </c>
      <c r="B1428" s="2" t="s">
        <v>107</v>
      </c>
      <c r="C1428" s="2" t="s">
        <v>8492</v>
      </c>
      <c r="D1428" s="2" t="s">
        <v>7212</v>
      </c>
      <c r="E1428" s="2" t="s">
        <v>5672</v>
      </c>
      <c r="F1428" s="2" t="s">
        <v>5672</v>
      </c>
      <c r="G1428" s="2">
        <v>0</v>
      </c>
    </row>
    <row r="1429" spans="1:7" ht="15.75" customHeight="1">
      <c r="A1429" s="2" t="s">
        <v>7174</v>
      </c>
      <c r="B1429" s="2" t="s">
        <v>107</v>
      </c>
      <c r="C1429" s="2" t="s">
        <v>8493</v>
      </c>
      <c r="D1429" s="2" t="s">
        <v>7216</v>
      </c>
      <c r="E1429" s="2" t="s">
        <v>7215</v>
      </c>
      <c r="F1429" s="2" t="s">
        <v>7215</v>
      </c>
      <c r="G1429" s="2">
        <v>255</v>
      </c>
    </row>
    <row r="1430" spans="1:7" ht="15.75" customHeight="1">
      <c r="A1430" s="2" t="s">
        <v>7174</v>
      </c>
      <c r="B1430" s="2" t="s">
        <v>107</v>
      </c>
      <c r="C1430" s="2" t="s">
        <v>7780</v>
      </c>
      <c r="D1430" s="2" t="s">
        <v>7216</v>
      </c>
      <c r="E1430" s="2" t="s">
        <v>7215</v>
      </c>
      <c r="F1430" s="2" t="s">
        <v>7215</v>
      </c>
      <c r="G1430" s="2">
        <v>255</v>
      </c>
    </row>
    <row r="1431" spans="1:7" ht="15.75" customHeight="1">
      <c r="A1431" s="2" t="s">
        <v>7174</v>
      </c>
      <c r="B1431" s="2" t="s">
        <v>107</v>
      </c>
      <c r="C1431" s="2" t="s">
        <v>8494</v>
      </c>
      <c r="D1431" s="2" t="s">
        <v>7216</v>
      </c>
      <c r="E1431" s="2" t="s">
        <v>7215</v>
      </c>
      <c r="F1431" s="2" t="s">
        <v>7215</v>
      </c>
      <c r="G1431" s="2">
        <v>255</v>
      </c>
    </row>
    <row r="1432" spans="1:7" ht="15.75" customHeight="1">
      <c r="A1432" s="2" t="s">
        <v>7174</v>
      </c>
      <c r="B1432" s="2" t="s">
        <v>107</v>
      </c>
      <c r="C1432" s="2" t="s">
        <v>8495</v>
      </c>
      <c r="D1432" s="2" t="s">
        <v>7216</v>
      </c>
      <c r="E1432" s="2" t="s">
        <v>7215</v>
      </c>
      <c r="F1432" s="2" t="s">
        <v>7215</v>
      </c>
      <c r="G1432" s="2">
        <v>255</v>
      </c>
    </row>
    <row r="1433" spans="1:7" ht="15.75" customHeight="1">
      <c r="A1433" s="2" t="s">
        <v>7174</v>
      </c>
      <c r="B1433" s="2" t="s">
        <v>7194</v>
      </c>
      <c r="C1433" s="2" t="s">
        <v>4304</v>
      </c>
      <c r="D1433" s="2" t="s">
        <v>7209</v>
      </c>
      <c r="E1433" s="2" t="s">
        <v>3897</v>
      </c>
      <c r="F1433" s="2" t="s">
        <v>7210</v>
      </c>
      <c r="G1433" s="2">
        <v>18</v>
      </c>
    </row>
    <row r="1434" spans="1:7" ht="15.75" customHeight="1">
      <c r="A1434" s="2" t="s">
        <v>7174</v>
      </c>
      <c r="B1434" s="2" t="s">
        <v>7194</v>
      </c>
      <c r="C1434" s="2" t="s">
        <v>7211</v>
      </c>
      <c r="D1434" s="2" t="s">
        <v>7212</v>
      </c>
      <c r="E1434" s="2" t="s">
        <v>5672</v>
      </c>
      <c r="F1434" s="2" t="s">
        <v>5672</v>
      </c>
      <c r="G1434" s="2">
        <v>0</v>
      </c>
    </row>
    <row r="1435" spans="1:7" ht="15.75" customHeight="1">
      <c r="A1435" s="2" t="s">
        <v>7174</v>
      </c>
      <c r="B1435" s="2" t="s">
        <v>7194</v>
      </c>
      <c r="C1435" s="2" t="s">
        <v>7213</v>
      </c>
      <c r="D1435" s="2" t="s">
        <v>7499</v>
      </c>
      <c r="E1435" s="2" t="s">
        <v>3897</v>
      </c>
      <c r="F1435" s="2" t="s">
        <v>7210</v>
      </c>
      <c r="G1435" s="2">
        <v>18</v>
      </c>
    </row>
    <row r="1436" spans="1:7" ht="15.75" customHeight="1">
      <c r="A1436" s="2" t="s">
        <v>7174</v>
      </c>
      <c r="B1436" s="2" t="s">
        <v>7194</v>
      </c>
      <c r="C1436" s="2" t="s">
        <v>4306</v>
      </c>
      <c r="D1436" s="2" t="s">
        <v>4306</v>
      </c>
      <c r="E1436" s="2" t="s">
        <v>7215</v>
      </c>
      <c r="F1436" s="2" t="s">
        <v>7215</v>
      </c>
      <c r="G1436" s="2">
        <v>121</v>
      </c>
    </row>
    <row r="1437" spans="1:7" ht="15.75" customHeight="1">
      <c r="A1437" s="2" t="s">
        <v>7174</v>
      </c>
      <c r="B1437" s="2" t="s">
        <v>7194</v>
      </c>
      <c r="C1437" s="2" t="s">
        <v>7217</v>
      </c>
      <c r="D1437" s="2" t="s">
        <v>7218</v>
      </c>
      <c r="E1437" s="2" t="s">
        <v>3897</v>
      </c>
      <c r="F1437" s="2" t="s">
        <v>7210</v>
      </c>
      <c r="G1437" s="2">
        <v>18</v>
      </c>
    </row>
    <row r="1438" spans="1:7" ht="15.75" customHeight="1">
      <c r="A1438" s="2" t="s">
        <v>7174</v>
      </c>
      <c r="B1438" s="2" t="s">
        <v>7194</v>
      </c>
      <c r="C1438" s="2" t="s">
        <v>5186</v>
      </c>
      <c r="D1438" s="2" t="s">
        <v>7765</v>
      </c>
      <c r="E1438" s="2" t="s">
        <v>7215</v>
      </c>
      <c r="F1438" s="2" t="s">
        <v>7215</v>
      </c>
      <c r="G1438" s="2">
        <v>128</v>
      </c>
    </row>
    <row r="1439" spans="1:7" ht="15.75" customHeight="1">
      <c r="A1439" s="2" t="s">
        <v>7174</v>
      </c>
      <c r="B1439" s="2" t="s">
        <v>7194</v>
      </c>
      <c r="C1439" s="2" t="s">
        <v>2317</v>
      </c>
      <c r="D1439" s="2" t="s">
        <v>7259</v>
      </c>
      <c r="E1439" s="2" t="s">
        <v>7215</v>
      </c>
      <c r="F1439" s="2" t="s">
        <v>7215</v>
      </c>
      <c r="G1439" s="2">
        <v>255</v>
      </c>
    </row>
    <row r="1440" spans="1:7" ht="15.75" customHeight="1">
      <c r="A1440" s="2" t="s">
        <v>7174</v>
      </c>
      <c r="B1440" s="2" t="s">
        <v>7194</v>
      </c>
      <c r="C1440" s="2" t="s">
        <v>7222</v>
      </c>
      <c r="D1440" s="2" t="s">
        <v>7222</v>
      </c>
      <c r="E1440" s="2" t="s">
        <v>7223</v>
      </c>
      <c r="F1440" s="2" t="s">
        <v>7210</v>
      </c>
      <c r="G1440" s="2">
        <v>0</v>
      </c>
    </row>
    <row r="1441" spans="1:7" ht="15.75" customHeight="1">
      <c r="A1441" s="2" t="s">
        <v>7174</v>
      </c>
      <c r="B1441" s="2" t="s">
        <v>7194</v>
      </c>
      <c r="C1441" s="2" t="s">
        <v>7224</v>
      </c>
      <c r="D1441" s="2" t="s">
        <v>7224</v>
      </c>
      <c r="E1441" s="2" t="s">
        <v>7215</v>
      </c>
      <c r="F1441" s="2" t="s">
        <v>7215</v>
      </c>
      <c r="G1441" s="2">
        <v>40</v>
      </c>
    </row>
    <row r="1442" spans="1:7" ht="15.75" customHeight="1">
      <c r="A1442" s="2" t="s">
        <v>7174</v>
      </c>
      <c r="B1442" s="2" t="s">
        <v>7194</v>
      </c>
      <c r="C1442" s="2" t="s">
        <v>7767</v>
      </c>
      <c r="D1442" s="2" t="s">
        <v>7224</v>
      </c>
      <c r="E1442" s="2" t="s">
        <v>7215</v>
      </c>
      <c r="F1442" s="2" t="s">
        <v>7215</v>
      </c>
      <c r="G1442" s="2">
        <v>40</v>
      </c>
    </row>
    <row r="1443" spans="1:7" ht="15.75" customHeight="1">
      <c r="A1443" s="2" t="s">
        <v>7174</v>
      </c>
      <c r="B1443" s="2" t="s">
        <v>7194</v>
      </c>
      <c r="C1443" s="2" t="s">
        <v>7225</v>
      </c>
      <c r="D1443" s="2" t="s">
        <v>7225</v>
      </c>
      <c r="E1443" s="2" t="s">
        <v>7215</v>
      </c>
      <c r="F1443" s="2" t="s">
        <v>7215</v>
      </c>
      <c r="G1443" s="2">
        <v>40</v>
      </c>
    </row>
    <row r="1444" spans="1:7" ht="15.75" customHeight="1">
      <c r="A1444" s="2" t="s">
        <v>7174</v>
      </c>
      <c r="B1444" s="2" t="s">
        <v>7194</v>
      </c>
      <c r="C1444" s="2" t="s">
        <v>5204</v>
      </c>
      <c r="D1444" s="2" t="s">
        <v>5204</v>
      </c>
      <c r="E1444" s="2" t="s">
        <v>7215</v>
      </c>
      <c r="F1444" s="2" t="s">
        <v>7215</v>
      </c>
      <c r="G1444" s="2">
        <v>80</v>
      </c>
    </row>
    <row r="1445" spans="1:7" ht="15.75" customHeight="1">
      <c r="A1445" s="2" t="s">
        <v>7174</v>
      </c>
      <c r="B1445" s="2" t="s">
        <v>7194</v>
      </c>
      <c r="C1445" s="2" t="s">
        <v>7226</v>
      </c>
      <c r="D1445" s="2" t="s">
        <v>7227</v>
      </c>
      <c r="E1445" s="2" t="s">
        <v>7215</v>
      </c>
      <c r="F1445" s="2" t="s">
        <v>7215</v>
      </c>
      <c r="G1445" s="2">
        <v>255</v>
      </c>
    </row>
    <row r="1446" spans="1:7" ht="15.75" customHeight="1">
      <c r="A1446" s="2" t="s">
        <v>7174</v>
      </c>
      <c r="B1446" s="2" t="s">
        <v>7194</v>
      </c>
      <c r="C1446" s="2" t="s">
        <v>7228</v>
      </c>
      <c r="D1446" s="2" t="s">
        <v>7227</v>
      </c>
      <c r="E1446" s="2" t="s">
        <v>7215</v>
      </c>
      <c r="F1446" s="2" t="s">
        <v>7215</v>
      </c>
      <c r="G1446" s="2">
        <v>255</v>
      </c>
    </row>
    <row r="1447" spans="1:7" ht="15.75" customHeight="1">
      <c r="A1447" s="2" t="s">
        <v>7174</v>
      </c>
      <c r="B1447" s="2" t="s">
        <v>7194</v>
      </c>
      <c r="C1447" s="2" t="s">
        <v>1729</v>
      </c>
      <c r="D1447" s="2" t="s">
        <v>7232</v>
      </c>
      <c r="E1447" s="2" t="s">
        <v>7215</v>
      </c>
      <c r="F1447" s="2" t="s">
        <v>7215</v>
      </c>
      <c r="G1447" s="2">
        <v>32000</v>
      </c>
    </row>
    <row r="1448" spans="1:7" ht="15.75" customHeight="1">
      <c r="A1448" s="2" t="s">
        <v>7174</v>
      </c>
      <c r="B1448" s="2" t="s">
        <v>7194</v>
      </c>
      <c r="C1448" s="2" t="s">
        <v>7771</v>
      </c>
      <c r="D1448" s="2" t="s">
        <v>7216</v>
      </c>
      <c r="E1448" s="2" t="s">
        <v>7215</v>
      </c>
      <c r="F1448" s="2" t="s">
        <v>7215</v>
      </c>
      <c r="G1448" s="2">
        <v>255</v>
      </c>
    </row>
    <row r="1449" spans="1:7" ht="15.75" customHeight="1">
      <c r="A1449" s="2" t="s">
        <v>7174</v>
      </c>
      <c r="B1449" s="2" t="s">
        <v>7194</v>
      </c>
      <c r="C1449" s="2" t="s">
        <v>811</v>
      </c>
      <c r="D1449" s="2" t="s">
        <v>7216</v>
      </c>
      <c r="E1449" s="2" t="s">
        <v>7215</v>
      </c>
      <c r="F1449" s="2" t="s">
        <v>7215</v>
      </c>
      <c r="G1449" s="2">
        <v>255</v>
      </c>
    </row>
    <row r="1450" spans="1:7" ht="15.75" customHeight="1">
      <c r="A1450" s="2" t="s">
        <v>7174</v>
      </c>
      <c r="B1450" s="2" t="s">
        <v>7194</v>
      </c>
      <c r="C1450" s="2" t="s">
        <v>7229</v>
      </c>
      <c r="D1450" s="2" t="s">
        <v>7216</v>
      </c>
      <c r="E1450" s="2" t="s">
        <v>7215</v>
      </c>
      <c r="F1450" s="2" t="s">
        <v>7215</v>
      </c>
      <c r="G1450" s="2">
        <v>255</v>
      </c>
    </row>
    <row r="1451" spans="1:7" ht="15.75" customHeight="1">
      <c r="A1451" s="2" t="s">
        <v>7174</v>
      </c>
      <c r="B1451" s="2" t="s">
        <v>7194</v>
      </c>
      <c r="C1451" s="2" t="s">
        <v>8496</v>
      </c>
      <c r="D1451" s="2" t="s">
        <v>7216</v>
      </c>
      <c r="E1451" s="2" t="s">
        <v>7215</v>
      </c>
      <c r="F1451" s="2" t="s">
        <v>7215</v>
      </c>
      <c r="G1451" s="2">
        <v>255</v>
      </c>
    </row>
    <row r="1452" spans="1:7" ht="15.75" customHeight="1">
      <c r="A1452" s="2" t="s">
        <v>7174</v>
      </c>
      <c r="B1452" s="2" t="s">
        <v>7194</v>
      </c>
      <c r="C1452" s="2" t="s">
        <v>7230</v>
      </c>
      <c r="D1452" s="2" t="s">
        <v>7231</v>
      </c>
      <c r="E1452" s="2" t="s">
        <v>5664</v>
      </c>
      <c r="F1452" s="2" t="s">
        <v>5664</v>
      </c>
      <c r="G1452" s="2">
        <v>0</v>
      </c>
    </row>
    <row r="1453" spans="1:7" ht="15.75" customHeight="1">
      <c r="A1453" s="2" t="s">
        <v>7174</v>
      </c>
      <c r="B1453" s="2" t="s">
        <v>7194</v>
      </c>
      <c r="C1453" s="2" t="s">
        <v>7233</v>
      </c>
      <c r="D1453" s="2" t="s">
        <v>7574</v>
      </c>
      <c r="E1453" s="2" t="s">
        <v>3897</v>
      </c>
      <c r="F1453" s="2" t="s">
        <v>7210</v>
      </c>
      <c r="G1453" s="2">
        <v>18</v>
      </c>
    </row>
    <row r="1454" spans="1:7" ht="15.75" customHeight="1">
      <c r="A1454" s="2" t="s">
        <v>7174</v>
      </c>
      <c r="B1454" s="2" t="s">
        <v>7194</v>
      </c>
      <c r="C1454" s="2" t="s">
        <v>8497</v>
      </c>
      <c r="D1454" s="2" t="s">
        <v>7212</v>
      </c>
      <c r="E1454" s="2" t="s">
        <v>5672</v>
      </c>
      <c r="F1454" s="2" t="s">
        <v>5672</v>
      </c>
      <c r="G1454" s="2">
        <v>0</v>
      </c>
    </row>
    <row r="1455" spans="1:7" ht="15.75" customHeight="1">
      <c r="A1455" s="2" t="s">
        <v>7174</v>
      </c>
      <c r="B1455" s="2" t="s">
        <v>7194</v>
      </c>
      <c r="C1455" s="2" t="s">
        <v>8498</v>
      </c>
      <c r="D1455" s="2" t="s">
        <v>6212</v>
      </c>
      <c r="E1455" s="2" t="s">
        <v>1974</v>
      </c>
      <c r="F1455" s="2" t="s">
        <v>1974</v>
      </c>
      <c r="G1455" s="2">
        <v>0</v>
      </c>
    </row>
    <row r="1456" spans="1:7" ht="15.75" customHeight="1">
      <c r="A1456" s="2" t="s">
        <v>7174</v>
      </c>
      <c r="B1456" s="2" t="s">
        <v>7194</v>
      </c>
      <c r="C1456" s="2" t="s">
        <v>8499</v>
      </c>
      <c r="D1456" s="2" t="s">
        <v>7214</v>
      </c>
      <c r="E1456" s="2" t="s">
        <v>3897</v>
      </c>
      <c r="F1456" s="2" t="s">
        <v>7210</v>
      </c>
      <c r="G1456" s="2">
        <v>18</v>
      </c>
    </row>
    <row r="1457" spans="1:7" ht="15.75" customHeight="1">
      <c r="A1457" s="2" t="s">
        <v>7174</v>
      </c>
      <c r="B1457" s="2" t="s">
        <v>7194</v>
      </c>
      <c r="C1457" s="2" t="s">
        <v>8500</v>
      </c>
      <c r="D1457" s="2" t="s">
        <v>7245</v>
      </c>
      <c r="E1457" s="2" t="s">
        <v>3897</v>
      </c>
      <c r="F1457" s="2" t="s">
        <v>7210</v>
      </c>
      <c r="G1457" s="2">
        <v>18</v>
      </c>
    </row>
    <row r="1458" spans="1:7" ht="15.75" customHeight="1">
      <c r="A1458" s="2" t="s">
        <v>7174</v>
      </c>
      <c r="B1458" s="2" t="s">
        <v>7194</v>
      </c>
      <c r="C1458" s="2" t="s">
        <v>8501</v>
      </c>
      <c r="D1458" s="2" t="s">
        <v>8502</v>
      </c>
      <c r="E1458" s="2" t="s">
        <v>3897</v>
      </c>
      <c r="F1458" s="2" t="s">
        <v>7210</v>
      </c>
      <c r="G1458" s="2">
        <v>18</v>
      </c>
    </row>
    <row r="1459" spans="1:7" ht="15.75" customHeight="1">
      <c r="A1459" s="2" t="s">
        <v>7174</v>
      </c>
      <c r="B1459" s="2" t="s">
        <v>7194</v>
      </c>
      <c r="C1459" s="2" t="s">
        <v>8503</v>
      </c>
      <c r="D1459" s="2" t="s">
        <v>7212</v>
      </c>
      <c r="E1459" s="2" t="s">
        <v>5672</v>
      </c>
      <c r="F1459" s="2" t="s">
        <v>5672</v>
      </c>
      <c r="G1459" s="2">
        <v>0</v>
      </c>
    </row>
    <row r="1460" spans="1:7" ht="15.75" customHeight="1">
      <c r="A1460" s="2" t="s">
        <v>7174</v>
      </c>
      <c r="B1460" s="2" t="s">
        <v>7194</v>
      </c>
      <c r="C1460" s="2" t="s">
        <v>7135</v>
      </c>
      <c r="D1460" s="2" t="s">
        <v>7235</v>
      </c>
      <c r="E1460" s="2" t="s">
        <v>538</v>
      </c>
      <c r="F1460" s="2" t="s">
        <v>538</v>
      </c>
      <c r="G1460" s="2">
        <v>0</v>
      </c>
    </row>
    <row r="1461" spans="1:7" ht="15.75" customHeight="1">
      <c r="A1461" s="2" t="s">
        <v>7174</v>
      </c>
      <c r="B1461" s="2" t="s">
        <v>7194</v>
      </c>
      <c r="C1461" s="2" t="s">
        <v>7236</v>
      </c>
      <c r="D1461" s="2" t="s">
        <v>7234</v>
      </c>
      <c r="E1461" s="2" t="s">
        <v>3897</v>
      </c>
      <c r="F1461" s="2" t="s">
        <v>7210</v>
      </c>
      <c r="G1461" s="2">
        <v>18</v>
      </c>
    </row>
    <row r="1462" spans="1:7" ht="15.75" customHeight="1">
      <c r="A1462" s="2" t="s">
        <v>7174</v>
      </c>
      <c r="B1462" s="2" t="s">
        <v>7194</v>
      </c>
      <c r="C1462" s="2" t="s">
        <v>7176</v>
      </c>
      <c r="D1462" s="2" t="s">
        <v>7235</v>
      </c>
      <c r="E1462" s="2" t="s">
        <v>538</v>
      </c>
      <c r="F1462" s="2" t="s">
        <v>538</v>
      </c>
      <c r="G1462" s="2">
        <v>0</v>
      </c>
    </row>
    <row r="1463" spans="1:7" ht="15.75" customHeight="1">
      <c r="A1463" s="2" t="s">
        <v>7174</v>
      </c>
      <c r="B1463" s="2" t="s">
        <v>7194</v>
      </c>
      <c r="C1463" s="2" t="s">
        <v>7237</v>
      </c>
      <c r="D1463" s="2" t="s">
        <v>7234</v>
      </c>
      <c r="E1463" s="2" t="s">
        <v>3897</v>
      </c>
      <c r="F1463" s="2" t="s">
        <v>7210</v>
      </c>
      <c r="G1463" s="2">
        <v>18</v>
      </c>
    </row>
    <row r="1464" spans="1:7" ht="15.75" customHeight="1">
      <c r="A1464" s="2" t="s">
        <v>7174</v>
      </c>
      <c r="B1464" s="2" t="s">
        <v>7194</v>
      </c>
      <c r="C1464" s="2" t="s">
        <v>7238</v>
      </c>
      <c r="D1464" s="2" t="s">
        <v>7235</v>
      </c>
      <c r="E1464" s="2" t="s">
        <v>538</v>
      </c>
      <c r="F1464" s="2" t="s">
        <v>538</v>
      </c>
      <c r="G1464" s="2">
        <v>0</v>
      </c>
    </row>
    <row r="1465" spans="1:7" ht="15.75" customHeight="1">
      <c r="A1465" s="2" t="s">
        <v>7174</v>
      </c>
      <c r="B1465" s="2" t="s">
        <v>7194</v>
      </c>
      <c r="C1465" s="2" t="s">
        <v>7239</v>
      </c>
      <c r="D1465" s="2" t="s">
        <v>6212</v>
      </c>
      <c r="E1465" s="2" t="s">
        <v>1974</v>
      </c>
      <c r="F1465" s="2" t="s">
        <v>1974</v>
      </c>
      <c r="G1465" s="2">
        <v>0</v>
      </c>
    </row>
    <row r="1466" spans="1:7" ht="15.75" customHeight="1">
      <c r="A1466" s="2" t="s">
        <v>7174</v>
      </c>
      <c r="B1466" s="2" t="s">
        <v>7194</v>
      </c>
      <c r="C1466" s="2" t="s">
        <v>7757</v>
      </c>
      <c r="D1466" s="2" t="s">
        <v>7705</v>
      </c>
      <c r="E1466" s="2" t="s">
        <v>3897</v>
      </c>
      <c r="F1466" s="2" t="s">
        <v>7210</v>
      </c>
      <c r="G1466" s="2">
        <v>18</v>
      </c>
    </row>
    <row r="1467" spans="1:7" ht="15.75" customHeight="1">
      <c r="A1467" s="2" t="s">
        <v>7174</v>
      </c>
      <c r="B1467" s="2" t="s">
        <v>7194</v>
      </c>
      <c r="C1467" s="2" t="s">
        <v>7240</v>
      </c>
      <c r="D1467" s="2" t="s">
        <v>7235</v>
      </c>
      <c r="E1467" s="2" t="s">
        <v>538</v>
      </c>
      <c r="F1467" s="2" t="s">
        <v>538</v>
      </c>
      <c r="G1467" s="2">
        <v>0</v>
      </c>
    </row>
    <row r="1468" spans="1:7" ht="15.75" customHeight="1">
      <c r="A1468" s="2" t="s">
        <v>7174</v>
      </c>
      <c r="B1468" s="2" t="s">
        <v>7194</v>
      </c>
      <c r="C1468" s="2" t="s">
        <v>7241</v>
      </c>
      <c r="D1468" s="2" t="s">
        <v>7235</v>
      </c>
      <c r="E1468" s="2" t="s">
        <v>538</v>
      </c>
      <c r="F1468" s="2" t="s">
        <v>538</v>
      </c>
      <c r="G1468" s="2">
        <v>0</v>
      </c>
    </row>
    <row r="1469" spans="1:7" ht="15.75" customHeight="1">
      <c r="A1469" s="2" t="s">
        <v>7174</v>
      </c>
      <c r="B1469" s="2" t="s">
        <v>7194</v>
      </c>
      <c r="C1469" s="2" t="s">
        <v>7242</v>
      </c>
      <c r="D1469" s="2" t="s">
        <v>7243</v>
      </c>
      <c r="E1469" s="2" t="s">
        <v>3897</v>
      </c>
      <c r="F1469" s="2" t="s">
        <v>7210</v>
      </c>
      <c r="G1469" s="2">
        <v>18</v>
      </c>
    </row>
    <row r="1470" spans="1:7" ht="15.75" customHeight="1">
      <c r="A1470" s="2" t="s">
        <v>7174</v>
      </c>
      <c r="B1470" s="2" t="s">
        <v>7194</v>
      </c>
      <c r="C1470" s="2" t="s">
        <v>7263</v>
      </c>
      <c r="D1470" s="2" t="s">
        <v>7264</v>
      </c>
      <c r="E1470" s="2" t="s">
        <v>7215</v>
      </c>
      <c r="F1470" s="2" t="s">
        <v>7215</v>
      </c>
      <c r="G1470" s="2">
        <v>20</v>
      </c>
    </row>
    <row r="1471" spans="1:7" ht="15.75" customHeight="1">
      <c r="A1471" s="2" t="s">
        <v>7174</v>
      </c>
      <c r="B1471" s="2" t="s">
        <v>7194</v>
      </c>
      <c r="C1471" s="2" t="s">
        <v>8360</v>
      </c>
      <c r="D1471" s="2" t="s">
        <v>7266</v>
      </c>
      <c r="E1471" s="2" t="s">
        <v>7215</v>
      </c>
      <c r="F1471" s="2" t="s">
        <v>7215</v>
      </c>
      <c r="G1471" s="2">
        <v>20</v>
      </c>
    </row>
    <row r="1472" spans="1:7" ht="15.75" customHeight="1">
      <c r="A1472" s="2" t="s">
        <v>7174</v>
      </c>
      <c r="B1472" s="2" t="s">
        <v>7194</v>
      </c>
      <c r="C1472" s="2" t="s">
        <v>8357</v>
      </c>
      <c r="D1472" s="2" t="s">
        <v>7259</v>
      </c>
      <c r="E1472" s="2" t="s">
        <v>7215</v>
      </c>
      <c r="F1472" s="2" t="s">
        <v>7215</v>
      </c>
      <c r="G1472" s="2">
        <v>255</v>
      </c>
    </row>
    <row r="1473" spans="1:7" ht="15.75" customHeight="1">
      <c r="A1473" s="2" t="s">
        <v>7174</v>
      </c>
      <c r="B1473" s="2" t="s">
        <v>7194</v>
      </c>
      <c r="C1473" s="2" t="s">
        <v>8358</v>
      </c>
      <c r="D1473" s="2" t="s">
        <v>7235</v>
      </c>
      <c r="E1473" s="2" t="s">
        <v>538</v>
      </c>
      <c r="F1473" s="2" t="s">
        <v>538</v>
      </c>
      <c r="G1473" s="2">
        <v>0</v>
      </c>
    </row>
    <row r="1474" spans="1:7" ht="15.75" customHeight="1">
      <c r="A1474" s="2" t="s">
        <v>7174</v>
      </c>
      <c r="B1474" s="2" t="s">
        <v>7194</v>
      </c>
      <c r="C1474" s="2" t="s">
        <v>8361</v>
      </c>
      <c r="D1474" s="2" t="s">
        <v>7262</v>
      </c>
      <c r="E1474" s="2" t="s">
        <v>3897</v>
      </c>
      <c r="F1474" s="2" t="s">
        <v>7210</v>
      </c>
      <c r="G1474" s="2">
        <v>18</v>
      </c>
    </row>
    <row r="1475" spans="1:7" ht="15.75" customHeight="1">
      <c r="A1475" s="2" t="s">
        <v>7174</v>
      </c>
      <c r="B1475" s="2" t="s">
        <v>7194</v>
      </c>
      <c r="C1475" s="2" t="s">
        <v>8504</v>
      </c>
      <c r="D1475" s="2" t="s">
        <v>8505</v>
      </c>
      <c r="E1475" s="2" t="s">
        <v>7278</v>
      </c>
      <c r="F1475" s="2" t="s">
        <v>7278</v>
      </c>
      <c r="G1475" s="2">
        <v>0</v>
      </c>
    </row>
    <row r="1476" spans="1:7" ht="15.75" customHeight="1">
      <c r="A1476" s="2" t="s">
        <v>7174</v>
      </c>
      <c r="B1476" s="2" t="s">
        <v>7194</v>
      </c>
      <c r="C1476" s="2" t="s">
        <v>8506</v>
      </c>
      <c r="D1476" s="2" t="s">
        <v>7515</v>
      </c>
      <c r="E1476" s="2" t="s">
        <v>7278</v>
      </c>
      <c r="F1476" s="2" t="s">
        <v>7278</v>
      </c>
      <c r="G1476" s="2">
        <v>0</v>
      </c>
    </row>
    <row r="1477" spans="1:7" ht="15.75" customHeight="1">
      <c r="A1477" s="2" t="s">
        <v>7174</v>
      </c>
      <c r="B1477" s="2" t="s">
        <v>7194</v>
      </c>
      <c r="C1477" s="2" t="s">
        <v>8507</v>
      </c>
      <c r="D1477" s="2" t="s">
        <v>7515</v>
      </c>
      <c r="E1477" s="2" t="s">
        <v>7278</v>
      </c>
      <c r="F1477" s="2" t="s">
        <v>7278</v>
      </c>
      <c r="G1477" s="2">
        <v>0</v>
      </c>
    </row>
    <row r="1478" spans="1:7" ht="15.75" customHeight="1">
      <c r="A1478" s="2" t="s">
        <v>7174</v>
      </c>
      <c r="B1478" s="2" t="s">
        <v>7194</v>
      </c>
      <c r="C1478" s="2" t="s">
        <v>8508</v>
      </c>
      <c r="D1478" s="2" t="s">
        <v>7282</v>
      </c>
      <c r="E1478" s="2" t="s">
        <v>7215</v>
      </c>
      <c r="F1478" s="2" t="s">
        <v>7215</v>
      </c>
      <c r="G1478" s="2">
        <v>100</v>
      </c>
    </row>
    <row r="1479" spans="1:7" ht="15.75" customHeight="1">
      <c r="A1479" s="2" t="s">
        <v>7174</v>
      </c>
      <c r="B1479" s="2" t="s">
        <v>7194</v>
      </c>
      <c r="C1479" s="2" t="s">
        <v>8509</v>
      </c>
      <c r="D1479" s="2" t="s">
        <v>7282</v>
      </c>
      <c r="E1479" s="2" t="s">
        <v>7215</v>
      </c>
      <c r="F1479" s="2" t="s">
        <v>7215</v>
      </c>
      <c r="G1479" s="2">
        <v>100</v>
      </c>
    </row>
    <row r="1480" spans="1:7" ht="15.75" customHeight="1">
      <c r="A1480" s="2" t="s">
        <v>7174</v>
      </c>
      <c r="B1480" s="2" t="s">
        <v>7194</v>
      </c>
      <c r="C1480" s="2" t="s">
        <v>8510</v>
      </c>
      <c r="D1480" s="2" t="s">
        <v>7282</v>
      </c>
      <c r="E1480" s="2" t="s">
        <v>7215</v>
      </c>
      <c r="F1480" s="2" t="s">
        <v>7215</v>
      </c>
      <c r="G1480" s="2">
        <v>100</v>
      </c>
    </row>
    <row r="1481" spans="1:7" ht="15.75" customHeight="1">
      <c r="A1481" s="2" t="s">
        <v>7174</v>
      </c>
      <c r="B1481" s="2" t="s">
        <v>7194</v>
      </c>
      <c r="C1481" s="2" t="s">
        <v>8511</v>
      </c>
      <c r="D1481" s="2" t="s">
        <v>7282</v>
      </c>
      <c r="E1481" s="2" t="s">
        <v>7215</v>
      </c>
      <c r="F1481" s="2" t="s">
        <v>7215</v>
      </c>
      <c r="G1481" s="2">
        <v>100</v>
      </c>
    </row>
    <row r="1482" spans="1:7" ht="15.75" customHeight="1">
      <c r="A1482" s="2" t="s">
        <v>7174</v>
      </c>
      <c r="B1482" s="2" t="s">
        <v>7194</v>
      </c>
      <c r="C1482" s="2" t="s">
        <v>7279</v>
      </c>
      <c r="D1482" s="2" t="s">
        <v>7280</v>
      </c>
      <c r="E1482" s="2" t="s">
        <v>7215</v>
      </c>
      <c r="F1482" s="2" t="s">
        <v>7215</v>
      </c>
      <c r="G1482" s="2">
        <v>35</v>
      </c>
    </row>
    <row r="1483" spans="1:7" ht="15.75" customHeight="1">
      <c r="A1483" s="2" t="s">
        <v>7174</v>
      </c>
      <c r="B1483" s="2" t="s">
        <v>7194</v>
      </c>
      <c r="C1483" s="2" t="s">
        <v>7283</v>
      </c>
      <c r="D1483" s="2" t="s">
        <v>7354</v>
      </c>
      <c r="E1483" s="2" t="s">
        <v>7215</v>
      </c>
      <c r="F1483" s="2" t="s">
        <v>7215</v>
      </c>
      <c r="G1483" s="2">
        <v>50</v>
      </c>
    </row>
    <row r="1484" spans="1:7" ht="15.75" customHeight="1">
      <c r="A1484" s="2" t="s">
        <v>7174</v>
      </c>
      <c r="B1484" s="2" t="s">
        <v>7194</v>
      </c>
      <c r="C1484" s="2" t="s">
        <v>8512</v>
      </c>
      <c r="D1484" s="2" t="s">
        <v>7282</v>
      </c>
      <c r="E1484" s="2" t="s">
        <v>7215</v>
      </c>
      <c r="F1484" s="2" t="s">
        <v>7215</v>
      </c>
      <c r="G1484" s="2">
        <v>100</v>
      </c>
    </row>
    <row r="1485" spans="1:7" ht="15.75" customHeight="1">
      <c r="A1485" s="2" t="s">
        <v>7174</v>
      </c>
      <c r="B1485" s="2" t="s">
        <v>7194</v>
      </c>
      <c r="C1485" s="2" t="s">
        <v>7303</v>
      </c>
      <c r="D1485" s="2" t="s">
        <v>7280</v>
      </c>
      <c r="E1485" s="2" t="s">
        <v>7215</v>
      </c>
      <c r="F1485" s="2" t="s">
        <v>7215</v>
      </c>
      <c r="G1485" s="2">
        <v>35</v>
      </c>
    </row>
    <row r="1486" spans="1:7" ht="15.75" customHeight="1">
      <c r="A1486" s="2" t="s">
        <v>7174</v>
      </c>
      <c r="B1486" s="2" t="s">
        <v>7194</v>
      </c>
      <c r="C1486" s="2" t="s">
        <v>8513</v>
      </c>
      <c r="D1486" s="2" t="s">
        <v>6840</v>
      </c>
      <c r="E1486" s="2" t="s">
        <v>7215</v>
      </c>
      <c r="F1486" s="2" t="s">
        <v>7215</v>
      </c>
      <c r="G1486" s="2">
        <v>30</v>
      </c>
    </row>
    <row r="1487" spans="1:7" ht="15.75" customHeight="1">
      <c r="A1487" s="2" t="s">
        <v>7174</v>
      </c>
      <c r="B1487" s="2" t="s">
        <v>7194</v>
      </c>
      <c r="C1487" s="2" t="s">
        <v>8514</v>
      </c>
      <c r="D1487" s="2" t="s">
        <v>7270</v>
      </c>
      <c r="E1487" s="2" t="s">
        <v>7215</v>
      </c>
      <c r="F1487" s="2" t="s">
        <v>7215</v>
      </c>
      <c r="G1487" s="2">
        <v>32768</v>
      </c>
    </row>
    <row r="1488" spans="1:7" ht="15.75" customHeight="1">
      <c r="A1488" s="2" t="s">
        <v>7174</v>
      </c>
      <c r="B1488" s="2" t="s">
        <v>7194</v>
      </c>
      <c r="C1488" s="2" t="s">
        <v>8362</v>
      </c>
      <c r="D1488" s="2" t="s">
        <v>7224</v>
      </c>
      <c r="E1488" s="2" t="s">
        <v>7215</v>
      </c>
      <c r="F1488" s="2" t="s">
        <v>7215</v>
      </c>
      <c r="G1488" s="2">
        <v>40</v>
      </c>
    </row>
    <row r="1489" spans="1:7" ht="15.75" customHeight="1">
      <c r="A1489" s="2" t="s">
        <v>7174</v>
      </c>
      <c r="B1489" s="2" t="s">
        <v>7194</v>
      </c>
      <c r="C1489" s="2" t="s">
        <v>7311</v>
      </c>
      <c r="D1489" s="2" t="s">
        <v>7312</v>
      </c>
      <c r="E1489" s="2" t="s">
        <v>7278</v>
      </c>
      <c r="F1489" s="2" t="s">
        <v>7278</v>
      </c>
      <c r="G1489" s="2">
        <v>0</v>
      </c>
    </row>
    <row r="1490" spans="1:7" ht="15.75" customHeight="1">
      <c r="A1490" s="2" t="s">
        <v>7174</v>
      </c>
      <c r="B1490" s="2" t="s">
        <v>7194</v>
      </c>
      <c r="C1490" s="2" t="s">
        <v>7595</v>
      </c>
      <c r="D1490" s="2" t="s">
        <v>7282</v>
      </c>
      <c r="E1490" s="2" t="s">
        <v>7215</v>
      </c>
      <c r="F1490" s="2" t="s">
        <v>7215</v>
      </c>
      <c r="G1490" s="2">
        <v>100</v>
      </c>
    </row>
    <row r="1491" spans="1:7" ht="15.75" customHeight="1">
      <c r="A1491" s="2" t="s">
        <v>7174</v>
      </c>
      <c r="B1491" s="2" t="s">
        <v>7194</v>
      </c>
      <c r="C1491" s="2" t="s">
        <v>8515</v>
      </c>
      <c r="D1491" s="2" t="s">
        <v>7589</v>
      </c>
      <c r="E1491" s="2" t="s">
        <v>1974</v>
      </c>
      <c r="F1491" s="2" t="s">
        <v>1974</v>
      </c>
      <c r="G1491" s="2">
        <v>0</v>
      </c>
    </row>
    <row r="1492" spans="1:7" ht="15.75" customHeight="1">
      <c r="A1492" s="2" t="s">
        <v>7174</v>
      </c>
      <c r="B1492" s="2" t="s">
        <v>7194</v>
      </c>
      <c r="C1492" s="2" t="s">
        <v>8516</v>
      </c>
      <c r="D1492" s="2" t="s">
        <v>7277</v>
      </c>
      <c r="E1492" s="2" t="s">
        <v>7278</v>
      </c>
      <c r="F1492" s="2" t="s">
        <v>7278</v>
      </c>
      <c r="G1492" s="2">
        <v>0</v>
      </c>
    </row>
    <row r="1493" spans="1:7" ht="15.75" customHeight="1">
      <c r="A1493" s="2" t="s">
        <v>7174</v>
      </c>
      <c r="B1493" s="2" t="s">
        <v>7194</v>
      </c>
      <c r="C1493" s="2" t="s">
        <v>7601</v>
      </c>
      <c r="D1493" s="2" t="s">
        <v>7354</v>
      </c>
      <c r="E1493" s="2" t="s">
        <v>7215</v>
      </c>
      <c r="F1493" s="2" t="s">
        <v>7215</v>
      </c>
      <c r="G1493" s="2">
        <v>50</v>
      </c>
    </row>
    <row r="1494" spans="1:7" ht="15.75" customHeight="1">
      <c r="A1494" s="2" t="s">
        <v>7174</v>
      </c>
      <c r="B1494" s="2" t="s">
        <v>7194</v>
      </c>
      <c r="C1494" s="2" t="s">
        <v>7389</v>
      </c>
      <c r="D1494" s="2" t="s">
        <v>7357</v>
      </c>
      <c r="E1494" s="2" t="s">
        <v>7215</v>
      </c>
      <c r="F1494" s="2" t="s">
        <v>7215</v>
      </c>
      <c r="G1494" s="2">
        <v>5</v>
      </c>
    </row>
    <row r="1495" spans="1:7" ht="15.75" customHeight="1">
      <c r="A1495" s="2" t="s">
        <v>7174</v>
      </c>
      <c r="B1495" s="2" t="s">
        <v>7194</v>
      </c>
      <c r="C1495" s="2" t="s">
        <v>8517</v>
      </c>
      <c r="D1495" s="2" t="s">
        <v>7282</v>
      </c>
      <c r="E1495" s="2" t="s">
        <v>7215</v>
      </c>
      <c r="F1495" s="2" t="s">
        <v>7215</v>
      </c>
      <c r="G1495" s="2">
        <v>100</v>
      </c>
    </row>
    <row r="1496" spans="1:7" ht="15.75" customHeight="1">
      <c r="A1496" s="2" t="s">
        <v>7174</v>
      </c>
      <c r="B1496" s="2" t="s">
        <v>7194</v>
      </c>
      <c r="C1496" s="2" t="s">
        <v>8518</v>
      </c>
      <c r="D1496" s="2" t="s">
        <v>7259</v>
      </c>
      <c r="E1496" s="2" t="s">
        <v>7215</v>
      </c>
      <c r="F1496" s="2" t="s">
        <v>7215</v>
      </c>
      <c r="G1496" s="2">
        <v>255</v>
      </c>
    </row>
    <row r="1497" spans="1:7" ht="15.75" customHeight="1">
      <c r="A1497" s="2" t="s">
        <v>7174</v>
      </c>
      <c r="B1497" s="2" t="s">
        <v>7194</v>
      </c>
      <c r="C1497" s="2" t="s">
        <v>7395</v>
      </c>
      <c r="D1497" s="2" t="s">
        <v>7354</v>
      </c>
      <c r="E1497" s="2" t="s">
        <v>7215</v>
      </c>
      <c r="F1497" s="2" t="s">
        <v>7215</v>
      </c>
      <c r="G1497" s="2">
        <v>50</v>
      </c>
    </row>
    <row r="1498" spans="1:7" ht="15.75" customHeight="1">
      <c r="A1498" s="2" t="s">
        <v>7174</v>
      </c>
      <c r="B1498" s="2" t="s">
        <v>7194</v>
      </c>
      <c r="C1498" s="2" t="s">
        <v>8519</v>
      </c>
      <c r="D1498" s="2" t="s">
        <v>7397</v>
      </c>
      <c r="E1498" s="2" t="s">
        <v>7215</v>
      </c>
      <c r="F1498" s="2" t="s">
        <v>7215</v>
      </c>
      <c r="G1498" s="2">
        <v>13</v>
      </c>
    </row>
    <row r="1499" spans="1:7" ht="15.75" customHeight="1">
      <c r="A1499" s="2" t="s">
        <v>7174</v>
      </c>
      <c r="B1499" s="2" t="s">
        <v>7194</v>
      </c>
      <c r="C1499" s="2" t="s">
        <v>7406</v>
      </c>
      <c r="D1499" s="2" t="s">
        <v>7280</v>
      </c>
      <c r="E1499" s="2" t="s">
        <v>7215</v>
      </c>
      <c r="F1499" s="2" t="s">
        <v>7215</v>
      </c>
      <c r="G1499" s="2">
        <v>35</v>
      </c>
    </row>
    <row r="1500" spans="1:7" ht="15.75" customHeight="1">
      <c r="A1500" s="2" t="s">
        <v>7174</v>
      </c>
      <c r="B1500" s="2" t="s">
        <v>7194</v>
      </c>
      <c r="C1500" s="2" t="s">
        <v>7408</v>
      </c>
      <c r="D1500" s="2" t="s">
        <v>7280</v>
      </c>
      <c r="E1500" s="2" t="s">
        <v>7215</v>
      </c>
      <c r="F1500" s="2" t="s">
        <v>7215</v>
      </c>
      <c r="G1500" s="2">
        <v>35</v>
      </c>
    </row>
    <row r="1501" spans="1:7" ht="15.75" customHeight="1">
      <c r="A1501" s="2" t="s">
        <v>7174</v>
      </c>
      <c r="B1501" s="2" t="s">
        <v>7194</v>
      </c>
      <c r="C1501" s="2" t="s">
        <v>7419</v>
      </c>
      <c r="D1501" s="2" t="s">
        <v>7216</v>
      </c>
      <c r="E1501" s="2" t="s">
        <v>7215</v>
      </c>
      <c r="F1501" s="2" t="s">
        <v>7215</v>
      </c>
      <c r="G1501" s="2">
        <v>255</v>
      </c>
    </row>
    <row r="1502" spans="1:7" ht="15.75" customHeight="1">
      <c r="A1502" s="2" t="s">
        <v>7174</v>
      </c>
      <c r="B1502" s="2" t="s">
        <v>7194</v>
      </c>
      <c r="C1502" s="2" t="s">
        <v>7305</v>
      </c>
      <c r="D1502" s="2" t="s">
        <v>7216</v>
      </c>
      <c r="E1502" s="2" t="s">
        <v>7215</v>
      </c>
      <c r="F1502" s="2" t="s">
        <v>7215</v>
      </c>
      <c r="G1502" s="2">
        <v>255</v>
      </c>
    </row>
    <row r="1503" spans="1:7" ht="15.75" customHeight="1">
      <c r="A1503" s="2" t="s">
        <v>7174</v>
      </c>
      <c r="B1503" s="2" t="s">
        <v>7194</v>
      </c>
      <c r="C1503" s="2" t="s">
        <v>7472</v>
      </c>
      <c r="D1503" s="2" t="s">
        <v>7216</v>
      </c>
      <c r="E1503" s="2" t="s">
        <v>7215</v>
      </c>
      <c r="F1503" s="2" t="s">
        <v>7215</v>
      </c>
      <c r="G1503" s="2">
        <v>255</v>
      </c>
    </row>
    <row r="1504" spans="1:7" ht="15.75" customHeight="1">
      <c r="A1504" s="2" t="s">
        <v>7174</v>
      </c>
      <c r="B1504" s="2" t="s">
        <v>7194</v>
      </c>
      <c r="C1504" s="2" t="s">
        <v>7660</v>
      </c>
      <c r="D1504" s="2" t="s">
        <v>7216</v>
      </c>
      <c r="E1504" s="2" t="s">
        <v>7215</v>
      </c>
      <c r="F1504" s="2" t="s">
        <v>7215</v>
      </c>
      <c r="G1504" s="2">
        <v>255</v>
      </c>
    </row>
    <row r="1505" spans="1:7" ht="15.75" customHeight="1">
      <c r="A1505" s="2" t="s">
        <v>7174</v>
      </c>
      <c r="B1505" s="2" t="s">
        <v>7194</v>
      </c>
      <c r="C1505" s="2" t="s">
        <v>8520</v>
      </c>
      <c r="D1505" s="2" t="s">
        <v>7354</v>
      </c>
      <c r="E1505" s="2" t="s">
        <v>7215</v>
      </c>
      <c r="F1505" s="2" t="s">
        <v>7215</v>
      </c>
      <c r="G1505" s="2">
        <v>50</v>
      </c>
    </row>
    <row r="1506" spans="1:7" ht="15.75" customHeight="1">
      <c r="A1506" s="2" t="s">
        <v>7174</v>
      </c>
      <c r="B1506" s="2" t="s">
        <v>7194</v>
      </c>
      <c r="C1506" s="2" t="s">
        <v>8521</v>
      </c>
      <c r="D1506" s="2" t="s">
        <v>7357</v>
      </c>
      <c r="E1506" s="2" t="s">
        <v>7215</v>
      </c>
      <c r="F1506" s="2" t="s">
        <v>7215</v>
      </c>
      <c r="G1506" s="2">
        <v>5</v>
      </c>
    </row>
    <row r="1507" spans="1:7" ht="15.75" customHeight="1">
      <c r="A1507" s="2" t="s">
        <v>7174</v>
      </c>
      <c r="B1507" s="2" t="s">
        <v>7194</v>
      </c>
      <c r="C1507" s="2" t="s">
        <v>8392</v>
      </c>
      <c r="D1507" s="2" t="s">
        <v>7354</v>
      </c>
      <c r="E1507" s="2" t="s">
        <v>7215</v>
      </c>
      <c r="F1507" s="2" t="s">
        <v>7215</v>
      </c>
      <c r="G1507" s="2">
        <v>50</v>
      </c>
    </row>
    <row r="1508" spans="1:7" ht="15.75" customHeight="1">
      <c r="A1508" s="2" t="s">
        <v>7174</v>
      </c>
      <c r="B1508" s="2" t="s">
        <v>7194</v>
      </c>
      <c r="C1508" s="2" t="s">
        <v>7301</v>
      </c>
      <c r="D1508" s="2" t="s">
        <v>7302</v>
      </c>
      <c r="E1508" s="2" t="s">
        <v>7215</v>
      </c>
      <c r="F1508" s="2" t="s">
        <v>7215</v>
      </c>
      <c r="G1508" s="2">
        <v>5</v>
      </c>
    </row>
    <row r="1509" spans="1:7" ht="15.75" customHeight="1">
      <c r="A1509" s="2" t="s">
        <v>7174</v>
      </c>
      <c r="B1509" s="2" t="s">
        <v>7194</v>
      </c>
      <c r="C1509" s="2" t="s">
        <v>8522</v>
      </c>
      <c r="D1509" s="2" t="s">
        <v>7235</v>
      </c>
      <c r="E1509" s="2" t="s">
        <v>538</v>
      </c>
      <c r="F1509" s="2" t="s">
        <v>538</v>
      </c>
      <c r="G1509" s="2">
        <v>0</v>
      </c>
    </row>
    <row r="1510" spans="1:7" ht="15.75" customHeight="1">
      <c r="A1510" s="2" t="s">
        <v>7174</v>
      </c>
      <c r="B1510" s="2" t="s">
        <v>7194</v>
      </c>
      <c r="C1510" s="2" t="s">
        <v>7483</v>
      </c>
      <c r="D1510" s="2" t="s">
        <v>7259</v>
      </c>
      <c r="E1510" s="2" t="s">
        <v>7215</v>
      </c>
      <c r="F1510" s="2" t="s">
        <v>7215</v>
      </c>
      <c r="G1510" s="2">
        <v>255</v>
      </c>
    </row>
    <row r="1511" spans="1:7" ht="15.75" customHeight="1">
      <c r="A1511" s="2" t="s">
        <v>7174</v>
      </c>
      <c r="B1511" s="2" t="s">
        <v>7194</v>
      </c>
      <c r="C1511" s="2" t="s">
        <v>7484</v>
      </c>
      <c r="D1511" s="2" t="s">
        <v>7216</v>
      </c>
      <c r="E1511" s="2" t="s">
        <v>7215</v>
      </c>
      <c r="F1511" s="2" t="s">
        <v>7215</v>
      </c>
      <c r="G1511" s="2">
        <v>255</v>
      </c>
    </row>
    <row r="1512" spans="1:7" ht="15.75" customHeight="1">
      <c r="A1512" s="2" t="s">
        <v>7174</v>
      </c>
      <c r="B1512" s="2" t="s">
        <v>7194</v>
      </c>
      <c r="C1512" s="2" t="s">
        <v>7485</v>
      </c>
      <c r="D1512" s="2" t="s">
        <v>7216</v>
      </c>
      <c r="E1512" s="2" t="s">
        <v>7215</v>
      </c>
      <c r="F1512" s="2" t="s">
        <v>7215</v>
      </c>
      <c r="G1512" s="2">
        <v>255</v>
      </c>
    </row>
    <row r="1513" spans="1:7" ht="15.75" customHeight="1">
      <c r="A1513" s="2" t="s">
        <v>7174</v>
      </c>
      <c r="B1513" s="2" t="s">
        <v>7194</v>
      </c>
      <c r="C1513" s="2" t="s">
        <v>7529</v>
      </c>
      <c r="D1513" s="2" t="s">
        <v>7216</v>
      </c>
      <c r="E1513" s="2" t="s">
        <v>7215</v>
      </c>
      <c r="F1513" s="2" t="s">
        <v>7215</v>
      </c>
      <c r="G1513" s="2">
        <v>255</v>
      </c>
    </row>
    <row r="1514" spans="1:7" ht="15.75" customHeight="1">
      <c r="A1514" s="2" t="s">
        <v>7174</v>
      </c>
      <c r="B1514" s="2" t="s">
        <v>7194</v>
      </c>
      <c r="C1514" s="2" t="s">
        <v>7530</v>
      </c>
      <c r="D1514" s="2" t="s">
        <v>7216</v>
      </c>
      <c r="E1514" s="2" t="s">
        <v>7215</v>
      </c>
      <c r="F1514" s="2" t="s">
        <v>7215</v>
      </c>
      <c r="G1514" s="2">
        <v>255</v>
      </c>
    </row>
    <row r="1515" spans="1:7" ht="15.75" customHeight="1">
      <c r="A1515" s="2" t="s">
        <v>7174</v>
      </c>
      <c r="B1515" s="2" t="s">
        <v>7194</v>
      </c>
      <c r="C1515" s="2" t="s">
        <v>7531</v>
      </c>
      <c r="D1515" s="2" t="s">
        <v>7216</v>
      </c>
      <c r="E1515" s="2" t="s">
        <v>7215</v>
      </c>
      <c r="F1515" s="2" t="s">
        <v>7215</v>
      </c>
      <c r="G1515" s="2">
        <v>255</v>
      </c>
    </row>
    <row r="1516" spans="1:7" ht="15.75" customHeight="1">
      <c r="A1516" s="2" t="s">
        <v>7174</v>
      </c>
      <c r="B1516" s="2" t="s">
        <v>7194</v>
      </c>
      <c r="C1516" s="2" t="s">
        <v>7532</v>
      </c>
      <c r="D1516" s="2" t="s">
        <v>7216</v>
      </c>
      <c r="E1516" s="2" t="s">
        <v>7215</v>
      </c>
      <c r="F1516" s="2" t="s">
        <v>7215</v>
      </c>
      <c r="G1516" s="2">
        <v>255</v>
      </c>
    </row>
    <row r="1517" spans="1:7" ht="15.75" customHeight="1">
      <c r="A1517" s="2" t="s">
        <v>7174</v>
      </c>
      <c r="B1517" s="2" t="s">
        <v>7194</v>
      </c>
      <c r="C1517" s="2" t="s">
        <v>7533</v>
      </c>
      <c r="D1517" s="2" t="s">
        <v>7216</v>
      </c>
      <c r="E1517" s="2" t="s">
        <v>7215</v>
      </c>
      <c r="F1517" s="2" t="s">
        <v>7215</v>
      </c>
      <c r="G1517" s="2">
        <v>255</v>
      </c>
    </row>
    <row r="1518" spans="1:7" ht="15.75" customHeight="1">
      <c r="A1518" s="2" t="s">
        <v>7174</v>
      </c>
      <c r="B1518" s="2" t="s">
        <v>7194</v>
      </c>
      <c r="C1518" s="2" t="s">
        <v>7534</v>
      </c>
      <c r="D1518" s="2" t="s">
        <v>7216</v>
      </c>
      <c r="E1518" s="2" t="s">
        <v>7215</v>
      </c>
      <c r="F1518" s="2" t="s">
        <v>7215</v>
      </c>
      <c r="G1518" s="2">
        <v>255</v>
      </c>
    </row>
    <row r="1519" spans="1:7" ht="15.75" customHeight="1">
      <c r="A1519" s="2" t="s">
        <v>7174</v>
      </c>
      <c r="B1519" s="2" t="s">
        <v>7194</v>
      </c>
      <c r="C1519" s="2" t="s">
        <v>7486</v>
      </c>
      <c r="D1519" s="2" t="s">
        <v>7259</v>
      </c>
      <c r="E1519" s="2" t="s">
        <v>7215</v>
      </c>
      <c r="F1519" s="2" t="s">
        <v>7215</v>
      </c>
      <c r="G1519" s="2">
        <v>255</v>
      </c>
    </row>
    <row r="1520" spans="1:7" ht="15.75" customHeight="1">
      <c r="A1520" s="2" t="s">
        <v>7174</v>
      </c>
      <c r="B1520" s="2" t="s">
        <v>7194</v>
      </c>
      <c r="C1520" s="2" t="s">
        <v>7535</v>
      </c>
      <c r="D1520" s="2" t="s">
        <v>7216</v>
      </c>
      <c r="E1520" s="2" t="s">
        <v>7215</v>
      </c>
      <c r="F1520" s="2" t="s">
        <v>7215</v>
      </c>
      <c r="G1520" s="2">
        <v>255</v>
      </c>
    </row>
    <row r="1521" spans="1:7" ht="15.75" customHeight="1">
      <c r="A1521" s="2" t="s">
        <v>7174</v>
      </c>
      <c r="B1521" s="2" t="s">
        <v>7194</v>
      </c>
      <c r="C1521" s="2" t="s">
        <v>7536</v>
      </c>
      <c r="D1521" s="2" t="s">
        <v>7216</v>
      </c>
      <c r="E1521" s="2" t="s">
        <v>7215</v>
      </c>
      <c r="F1521" s="2" t="s">
        <v>7215</v>
      </c>
      <c r="G1521" s="2">
        <v>255</v>
      </c>
    </row>
    <row r="1522" spans="1:7" ht="15.75" customHeight="1">
      <c r="A1522" s="2" t="s">
        <v>7174</v>
      </c>
      <c r="B1522" s="2" t="s">
        <v>7194</v>
      </c>
      <c r="C1522" s="2" t="s">
        <v>7516</v>
      </c>
      <c r="D1522" s="2" t="s">
        <v>7314</v>
      </c>
      <c r="E1522" s="2" t="s">
        <v>7215</v>
      </c>
      <c r="F1522" s="2" t="s">
        <v>7215</v>
      </c>
      <c r="G1522" s="2">
        <v>32768</v>
      </c>
    </row>
    <row r="1523" spans="1:7" ht="15.75" customHeight="1">
      <c r="A1523" s="2" t="s">
        <v>7174</v>
      </c>
      <c r="B1523" s="2" t="s">
        <v>7194</v>
      </c>
      <c r="C1523" s="2" t="s">
        <v>7517</v>
      </c>
      <c r="D1523" s="2" t="s">
        <v>7259</v>
      </c>
      <c r="E1523" s="2" t="s">
        <v>7215</v>
      </c>
      <c r="F1523" s="2" t="s">
        <v>7215</v>
      </c>
      <c r="G1523" s="2">
        <v>255</v>
      </c>
    </row>
    <row r="1524" spans="1:7" ht="15.75" customHeight="1">
      <c r="A1524" s="2" t="s">
        <v>7174</v>
      </c>
      <c r="B1524" s="2" t="s">
        <v>7194</v>
      </c>
      <c r="C1524" s="2" t="s">
        <v>7518</v>
      </c>
      <c r="D1524" s="2" t="s">
        <v>7259</v>
      </c>
      <c r="E1524" s="2" t="s">
        <v>7215</v>
      </c>
      <c r="F1524" s="2" t="s">
        <v>7215</v>
      </c>
      <c r="G1524" s="2">
        <v>255</v>
      </c>
    </row>
    <row r="1525" spans="1:7" ht="15.75" customHeight="1">
      <c r="A1525" s="2" t="s">
        <v>7174</v>
      </c>
      <c r="B1525" s="2" t="s">
        <v>7194</v>
      </c>
      <c r="C1525" s="2" t="s">
        <v>7519</v>
      </c>
      <c r="D1525" s="2" t="s">
        <v>7216</v>
      </c>
      <c r="E1525" s="2" t="s">
        <v>7215</v>
      </c>
      <c r="F1525" s="2" t="s">
        <v>7215</v>
      </c>
      <c r="G1525" s="2">
        <v>255</v>
      </c>
    </row>
    <row r="1526" spans="1:7" ht="15.75" customHeight="1">
      <c r="A1526" s="2" t="s">
        <v>7174</v>
      </c>
      <c r="B1526" s="2" t="s">
        <v>7194</v>
      </c>
      <c r="C1526" s="2" t="s">
        <v>7520</v>
      </c>
      <c r="D1526" s="2" t="s">
        <v>7521</v>
      </c>
      <c r="E1526" s="2" t="s">
        <v>7215</v>
      </c>
      <c r="F1526" s="2" t="s">
        <v>7215</v>
      </c>
      <c r="G1526" s="2">
        <v>255</v>
      </c>
    </row>
    <row r="1527" spans="1:7" ht="15.75" customHeight="1">
      <c r="A1527" s="2" t="s">
        <v>7174</v>
      </c>
      <c r="B1527" s="2" t="s">
        <v>7194</v>
      </c>
      <c r="C1527" s="2" t="s">
        <v>7522</v>
      </c>
      <c r="D1527" s="2" t="s">
        <v>7270</v>
      </c>
      <c r="E1527" s="2" t="s">
        <v>7215</v>
      </c>
      <c r="F1527" s="2" t="s">
        <v>7215</v>
      </c>
      <c r="G1527" s="2">
        <v>32768</v>
      </c>
    </row>
    <row r="1528" spans="1:7" ht="15.75" customHeight="1">
      <c r="A1528" s="2" t="s">
        <v>7174</v>
      </c>
      <c r="B1528" s="2" t="s">
        <v>7194</v>
      </c>
      <c r="C1528" s="2" t="s">
        <v>7523</v>
      </c>
      <c r="D1528" s="2" t="s">
        <v>7259</v>
      </c>
      <c r="E1528" s="2" t="s">
        <v>7215</v>
      </c>
      <c r="F1528" s="2" t="s">
        <v>7215</v>
      </c>
      <c r="G1528" s="2">
        <v>255</v>
      </c>
    </row>
    <row r="1529" spans="1:7" ht="15.75" customHeight="1">
      <c r="A1529" s="2" t="s">
        <v>7174</v>
      </c>
      <c r="B1529" s="2" t="s">
        <v>7194</v>
      </c>
      <c r="C1529" s="2" t="s">
        <v>7524</v>
      </c>
      <c r="D1529" s="2" t="s">
        <v>7259</v>
      </c>
      <c r="E1529" s="2" t="s">
        <v>7215</v>
      </c>
      <c r="F1529" s="2" t="s">
        <v>7215</v>
      </c>
      <c r="G1529" s="2">
        <v>255</v>
      </c>
    </row>
    <row r="1530" spans="1:7" ht="15.75" customHeight="1">
      <c r="A1530" s="2" t="s">
        <v>7174</v>
      </c>
      <c r="B1530" s="2" t="s">
        <v>7194</v>
      </c>
      <c r="C1530" s="2" t="s">
        <v>7525</v>
      </c>
      <c r="D1530" s="2" t="s">
        <v>7216</v>
      </c>
      <c r="E1530" s="2" t="s">
        <v>7215</v>
      </c>
      <c r="F1530" s="2" t="s">
        <v>7215</v>
      </c>
      <c r="G1530" s="2">
        <v>255</v>
      </c>
    </row>
    <row r="1531" spans="1:7" ht="15.75" customHeight="1">
      <c r="A1531" s="2" t="s">
        <v>7174</v>
      </c>
      <c r="B1531" s="2" t="s">
        <v>7194</v>
      </c>
      <c r="C1531" s="2" t="s">
        <v>7526</v>
      </c>
      <c r="D1531" s="2" t="s">
        <v>7521</v>
      </c>
      <c r="E1531" s="2" t="s">
        <v>7215</v>
      </c>
      <c r="F1531" s="2" t="s">
        <v>7215</v>
      </c>
      <c r="G1531" s="2">
        <v>255</v>
      </c>
    </row>
    <row r="1532" spans="1:7" ht="15.75" customHeight="1">
      <c r="A1532" s="2" t="s">
        <v>7174</v>
      </c>
      <c r="B1532" s="2" t="s">
        <v>7194</v>
      </c>
      <c r="C1532" s="2" t="s">
        <v>7527</v>
      </c>
      <c r="D1532" s="2" t="s">
        <v>7235</v>
      </c>
      <c r="E1532" s="2" t="s">
        <v>538</v>
      </c>
      <c r="F1532" s="2" t="s">
        <v>538</v>
      </c>
      <c r="G1532" s="2">
        <v>0</v>
      </c>
    </row>
    <row r="1533" spans="1:7" ht="15.75" customHeight="1">
      <c r="A1533" s="2" t="s">
        <v>7174</v>
      </c>
      <c r="B1533" s="2" t="s">
        <v>7194</v>
      </c>
      <c r="C1533" s="2" t="s">
        <v>7487</v>
      </c>
      <c r="D1533" s="2" t="s">
        <v>7259</v>
      </c>
      <c r="E1533" s="2" t="s">
        <v>7215</v>
      </c>
      <c r="F1533" s="2" t="s">
        <v>7215</v>
      </c>
      <c r="G1533" s="2">
        <v>255</v>
      </c>
    </row>
    <row r="1534" spans="1:7" ht="15.75" customHeight="1">
      <c r="A1534" s="2" t="s">
        <v>7174</v>
      </c>
      <c r="B1534" s="2" t="s">
        <v>7194</v>
      </c>
      <c r="C1534" s="2" t="s">
        <v>7488</v>
      </c>
      <c r="D1534" s="2" t="s">
        <v>7259</v>
      </c>
      <c r="E1534" s="2" t="s">
        <v>7215</v>
      </c>
      <c r="F1534" s="2" t="s">
        <v>7215</v>
      </c>
      <c r="G1534" s="2">
        <v>255</v>
      </c>
    </row>
    <row r="1535" spans="1:7" ht="15.75" customHeight="1">
      <c r="A1535" s="2" t="s">
        <v>7174</v>
      </c>
      <c r="B1535" s="2" t="s">
        <v>7194</v>
      </c>
      <c r="C1535" s="2" t="s">
        <v>7489</v>
      </c>
      <c r="D1535" s="2" t="s">
        <v>7259</v>
      </c>
      <c r="E1535" s="2" t="s">
        <v>7215</v>
      </c>
      <c r="F1535" s="2" t="s">
        <v>7215</v>
      </c>
      <c r="G1535" s="2">
        <v>255</v>
      </c>
    </row>
    <row r="1536" spans="1:7" ht="15.75" customHeight="1">
      <c r="A1536" s="2" t="s">
        <v>7174</v>
      </c>
      <c r="B1536" s="2" t="s">
        <v>7194</v>
      </c>
      <c r="C1536" s="2" t="s">
        <v>7490</v>
      </c>
      <c r="D1536" s="2" t="s">
        <v>7259</v>
      </c>
      <c r="E1536" s="2" t="s">
        <v>7215</v>
      </c>
      <c r="F1536" s="2" t="s">
        <v>7215</v>
      </c>
      <c r="G1536" s="2">
        <v>255</v>
      </c>
    </row>
    <row r="1537" spans="1:7" ht="15.75" customHeight="1">
      <c r="A1537" s="2" t="s">
        <v>7174</v>
      </c>
      <c r="B1537" s="2" t="s">
        <v>7194</v>
      </c>
      <c r="C1537" s="2" t="s">
        <v>7491</v>
      </c>
      <c r="D1537" s="2" t="s">
        <v>7259</v>
      </c>
      <c r="E1537" s="2" t="s">
        <v>7215</v>
      </c>
      <c r="F1537" s="2" t="s">
        <v>7215</v>
      </c>
      <c r="G1537" s="2">
        <v>255</v>
      </c>
    </row>
    <row r="1538" spans="1:7" ht="15.75" customHeight="1">
      <c r="A1538" s="2" t="s">
        <v>7174</v>
      </c>
      <c r="B1538" s="2" t="s">
        <v>7194</v>
      </c>
      <c r="C1538" s="2" t="s">
        <v>7492</v>
      </c>
      <c r="D1538" s="2" t="s">
        <v>7259</v>
      </c>
      <c r="E1538" s="2" t="s">
        <v>7215</v>
      </c>
      <c r="F1538" s="2" t="s">
        <v>7215</v>
      </c>
      <c r="G1538" s="2">
        <v>255</v>
      </c>
    </row>
    <row r="1539" spans="1:7" ht="15.75" customHeight="1">
      <c r="A1539" s="2" t="s">
        <v>7174</v>
      </c>
      <c r="B1539" s="2" t="s">
        <v>7194</v>
      </c>
      <c r="C1539" s="2" t="s">
        <v>7493</v>
      </c>
      <c r="D1539" s="2" t="s">
        <v>7259</v>
      </c>
      <c r="E1539" s="2" t="s">
        <v>7215</v>
      </c>
      <c r="F1539" s="2" t="s">
        <v>7215</v>
      </c>
      <c r="G1539" s="2">
        <v>255</v>
      </c>
    </row>
    <row r="1540" spans="1:7" ht="15.75" customHeight="1">
      <c r="A1540" s="2" t="s">
        <v>7174</v>
      </c>
      <c r="B1540" s="2" t="s">
        <v>7194</v>
      </c>
      <c r="C1540" s="2" t="s">
        <v>7494</v>
      </c>
      <c r="D1540" s="2" t="s">
        <v>7259</v>
      </c>
      <c r="E1540" s="2" t="s">
        <v>7215</v>
      </c>
      <c r="F1540" s="2" t="s">
        <v>7215</v>
      </c>
      <c r="G1540" s="2">
        <v>255</v>
      </c>
    </row>
    <row r="1541" spans="1:7" ht="15.75" customHeight="1">
      <c r="A1541" s="2" t="s">
        <v>7174</v>
      </c>
      <c r="B1541" s="2" t="s">
        <v>7194</v>
      </c>
      <c r="C1541" s="2" t="s">
        <v>7495</v>
      </c>
      <c r="D1541" s="2" t="s">
        <v>7259</v>
      </c>
      <c r="E1541" s="2" t="s">
        <v>7215</v>
      </c>
      <c r="F1541" s="2" t="s">
        <v>7215</v>
      </c>
      <c r="G1541" s="2">
        <v>255</v>
      </c>
    </row>
    <row r="1542" spans="1:7" ht="15.75" customHeight="1">
      <c r="A1542" s="2" t="s">
        <v>7174</v>
      </c>
      <c r="B1542" s="2" t="s">
        <v>7194</v>
      </c>
      <c r="C1542" s="2" t="s">
        <v>7528</v>
      </c>
      <c r="D1542" s="2" t="s">
        <v>7216</v>
      </c>
      <c r="E1542" s="2" t="s">
        <v>7215</v>
      </c>
      <c r="F1542" s="2" t="s">
        <v>7215</v>
      </c>
      <c r="G1542" s="2">
        <v>255</v>
      </c>
    </row>
    <row r="1543" spans="1:7" ht="15.75" customHeight="1">
      <c r="A1543" s="2" t="s">
        <v>7174</v>
      </c>
      <c r="B1543" s="2" t="s">
        <v>7194</v>
      </c>
      <c r="C1543" s="2" t="s">
        <v>8523</v>
      </c>
      <c r="D1543" s="2" t="s">
        <v>7235</v>
      </c>
      <c r="E1543" s="2" t="s">
        <v>538</v>
      </c>
      <c r="F1543" s="2" t="s">
        <v>538</v>
      </c>
      <c r="G1543" s="2">
        <v>0</v>
      </c>
    </row>
    <row r="1544" spans="1:7" ht="15.75" customHeight="1">
      <c r="A1544" s="2" t="s">
        <v>7174</v>
      </c>
      <c r="B1544" s="2" t="s">
        <v>7196</v>
      </c>
      <c r="C1544" s="2" t="s">
        <v>4304</v>
      </c>
      <c r="D1544" s="2" t="s">
        <v>7209</v>
      </c>
      <c r="E1544" s="2" t="s">
        <v>3897</v>
      </c>
      <c r="F1544" s="2" t="s">
        <v>7210</v>
      </c>
      <c r="G1544" s="2">
        <v>18</v>
      </c>
    </row>
    <row r="1545" spans="1:7" ht="15.75" customHeight="1">
      <c r="A1545" s="2" t="s">
        <v>7174</v>
      </c>
      <c r="B1545" s="2" t="s">
        <v>7196</v>
      </c>
      <c r="C1545" s="2" t="s">
        <v>7233</v>
      </c>
      <c r="D1545" s="2" t="s">
        <v>7574</v>
      </c>
      <c r="E1545" s="2" t="s">
        <v>3897</v>
      </c>
      <c r="F1545" s="2" t="s">
        <v>7210</v>
      </c>
      <c r="G1545" s="2">
        <v>18</v>
      </c>
    </row>
    <row r="1546" spans="1:7" ht="15.75" customHeight="1">
      <c r="A1546" s="2" t="s">
        <v>7174</v>
      </c>
      <c r="B1546" s="2" t="s">
        <v>7196</v>
      </c>
      <c r="C1546" s="2" t="s">
        <v>7211</v>
      </c>
      <c r="D1546" s="2" t="s">
        <v>7212</v>
      </c>
      <c r="E1546" s="2" t="s">
        <v>5672</v>
      </c>
      <c r="F1546" s="2" t="s">
        <v>5672</v>
      </c>
      <c r="G1546" s="2">
        <v>0</v>
      </c>
    </row>
    <row r="1547" spans="1:7" ht="15.75" customHeight="1">
      <c r="A1547" s="2" t="s">
        <v>7174</v>
      </c>
      <c r="B1547" s="2" t="s">
        <v>7196</v>
      </c>
      <c r="C1547" s="2" t="s">
        <v>4306</v>
      </c>
      <c r="D1547" s="2" t="s">
        <v>6840</v>
      </c>
      <c r="E1547" s="2" t="s">
        <v>7215</v>
      </c>
      <c r="F1547" s="2" t="s">
        <v>7215</v>
      </c>
      <c r="G1547" s="2">
        <v>255</v>
      </c>
    </row>
    <row r="1548" spans="1:7" ht="15.75" customHeight="1">
      <c r="A1548" s="2" t="s">
        <v>7174</v>
      </c>
      <c r="B1548" s="2" t="s">
        <v>7196</v>
      </c>
      <c r="C1548" s="2" t="s">
        <v>7135</v>
      </c>
      <c r="D1548" s="2" t="s">
        <v>7235</v>
      </c>
      <c r="E1548" s="2" t="s">
        <v>538</v>
      </c>
      <c r="F1548" s="2" t="s">
        <v>538</v>
      </c>
      <c r="G1548" s="2">
        <v>0</v>
      </c>
    </row>
    <row r="1549" spans="1:7" ht="15.75" customHeight="1">
      <c r="A1549" s="2" t="s">
        <v>7174</v>
      </c>
      <c r="B1549" s="2" t="s">
        <v>7196</v>
      </c>
      <c r="C1549" s="2" t="s">
        <v>7236</v>
      </c>
      <c r="D1549" s="2" t="s">
        <v>7234</v>
      </c>
      <c r="E1549" s="2" t="s">
        <v>3897</v>
      </c>
      <c r="F1549" s="2" t="s">
        <v>7210</v>
      </c>
      <c r="G1549" s="2">
        <v>18</v>
      </c>
    </row>
    <row r="1550" spans="1:7" ht="15.75" customHeight="1">
      <c r="A1550" s="2" t="s">
        <v>7174</v>
      </c>
      <c r="B1550" s="2" t="s">
        <v>7196</v>
      </c>
      <c r="C1550" s="2" t="s">
        <v>7176</v>
      </c>
      <c r="D1550" s="2" t="s">
        <v>7235</v>
      </c>
      <c r="E1550" s="2" t="s">
        <v>538</v>
      </c>
      <c r="F1550" s="2" t="s">
        <v>538</v>
      </c>
      <c r="G1550" s="2">
        <v>0</v>
      </c>
    </row>
    <row r="1551" spans="1:7" ht="15.75" customHeight="1">
      <c r="A1551" s="2" t="s">
        <v>7174</v>
      </c>
      <c r="B1551" s="2" t="s">
        <v>7196</v>
      </c>
      <c r="C1551" s="2" t="s">
        <v>7237</v>
      </c>
      <c r="D1551" s="2" t="s">
        <v>7234</v>
      </c>
      <c r="E1551" s="2" t="s">
        <v>3897</v>
      </c>
      <c r="F1551" s="2" t="s">
        <v>7210</v>
      </c>
      <c r="G1551" s="2">
        <v>18</v>
      </c>
    </row>
    <row r="1552" spans="1:7" ht="15.75" customHeight="1">
      <c r="A1552" s="2" t="s">
        <v>7174</v>
      </c>
      <c r="B1552" s="2" t="s">
        <v>7196</v>
      </c>
      <c r="C1552" s="2" t="s">
        <v>7238</v>
      </c>
      <c r="D1552" s="2" t="s">
        <v>7235</v>
      </c>
      <c r="E1552" s="2" t="s">
        <v>538</v>
      </c>
      <c r="F1552" s="2" t="s">
        <v>538</v>
      </c>
      <c r="G1552" s="2">
        <v>0</v>
      </c>
    </row>
    <row r="1553" spans="1:7" ht="15.75" customHeight="1">
      <c r="A1553" s="2" t="s">
        <v>7174</v>
      </c>
      <c r="B1553" s="2" t="s">
        <v>7196</v>
      </c>
      <c r="C1553" s="2" t="s">
        <v>7240</v>
      </c>
      <c r="D1553" s="2" t="s">
        <v>7235</v>
      </c>
      <c r="E1553" s="2" t="s">
        <v>538</v>
      </c>
      <c r="F1553" s="2" t="s">
        <v>538</v>
      </c>
      <c r="G1553" s="2">
        <v>0</v>
      </c>
    </row>
    <row r="1554" spans="1:7" ht="15.75" customHeight="1">
      <c r="A1554" s="2" t="s">
        <v>7174</v>
      </c>
      <c r="B1554" s="2" t="s">
        <v>7196</v>
      </c>
      <c r="C1554" s="2" t="s">
        <v>7241</v>
      </c>
      <c r="D1554" s="2" t="s">
        <v>7235</v>
      </c>
      <c r="E1554" s="2" t="s">
        <v>538</v>
      </c>
      <c r="F1554" s="2" t="s">
        <v>538</v>
      </c>
      <c r="G1554" s="2">
        <v>0</v>
      </c>
    </row>
    <row r="1555" spans="1:7" ht="15.75" customHeight="1">
      <c r="A1555" s="2" t="s">
        <v>7174</v>
      </c>
      <c r="B1555" s="2" t="s">
        <v>7196</v>
      </c>
      <c r="C1555" s="2" t="s">
        <v>7242</v>
      </c>
      <c r="D1555" s="2" t="s">
        <v>7243</v>
      </c>
      <c r="E1555" s="2" t="s">
        <v>3897</v>
      </c>
      <c r="F1555" s="2" t="s">
        <v>7210</v>
      </c>
      <c r="G1555" s="2">
        <v>18</v>
      </c>
    </row>
    <row r="1556" spans="1:7" ht="15.75" customHeight="1">
      <c r="A1556" s="2" t="s">
        <v>7174</v>
      </c>
      <c r="B1556" s="2" t="s">
        <v>7196</v>
      </c>
      <c r="C1556" s="2" t="s">
        <v>8524</v>
      </c>
      <c r="D1556" s="2" t="s">
        <v>7234</v>
      </c>
      <c r="E1556" s="2" t="s">
        <v>3897</v>
      </c>
      <c r="F1556" s="2" t="s">
        <v>7210</v>
      </c>
      <c r="G1556" s="2">
        <v>18</v>
      </c>
    </row>
    <row r="1557" spans="1:7" ht="15.75" customHeight="1">
      <c r="A1557" s="2" t="s">
        <v>7174</v>
      </c>
      <c r="B1557" s="2" t="s">
        <v>7196</v>
      </c>
      <c r="C1557" s="2" t="s">
        <v>8525</v>
      </c>
      <c r="D1557" s="2" t="s">
        <v>7235</v>
      </c>
      <c r="E1557" s="2" t="s">
        <v>538</v>
      </c>
      <c r="F1557" s="2" t="s">
        <v>538</v>
      </c>
      <c r="G1557" s="2">
        <v>0</v>
      </c>
    </row>
    <row r="1558" spans="1:7" ht="15.75" customHeight="1">
      <c r="A1558" s="2" t="s">
        <v>7174</v>
      </c>
      <c r="B1558" s="2" t="s">
        <v>7196</v>
      </c>
      <c r="C1558" s="2" t="s">
        <v>8526</v>
      </c>
      <c r="D1558" s="2" t="s">
        <v>7235</v>
      </c>
      <c r="E1558" s="2" t="s">
        <v>538</v>
      </c>
      <c r="F1558" s="2" t="s">
        <v>538</v>
      </c>
      <c r="G1558" s="2">
        <v>0</v>
      </c>
    </row>
    <row r="1559" spans="1:7" ht="15.75" customHeight="1">
      <c r="A1559" s="2" t="s">
        <v>7174</v>
      </c>
      <c r="B1559" s="2" t="s">
        <v>7196</v>
      </c>
      <c r="C1559" s="2" t="s">
        <v>8527</v>
      </c>
      <c r="D1559" s="2" t="s">
        <v>7687</v>
      </c>
      <c r="E1559" s="2" t="s">
        <v>5664</v>
      </c>
      <c r="F1559" s="2" t="s">
        <v>5664</v>
      </c>
      <c r="G1559" s="2">
        <v>0</v>
      </c>
    </row>
    <row r="1560" spans="1:7" ht="15.75" customHeight="1">
      <c r="A1560" s="2" t="s">
        <v>7174</v>
      </c>
      <c r="B1560" s="2" t="s">
        <v>7196</v>
      </c>
      <c r="C1560" s="2" t="s">
        <v>8528</v>
      </c>
      <c r="D1560" s="2" t="s">
        <v>7687</v>
      </c>
      <c r="E1560" s="2" t="s">
        <v>5664</v>
      </c>
      <c r="F1560" s="2" t="s">
        <v>5664</v>
      </c>
      <c r="G1560" s="2">
        <v>0</v>
      </c>
    </row>
    <row r="1561" spans="1:7" ht="15.75" customHeight="1">
      <c r="A1561" s="2" t="s">
        <v>7174</v>
      </c>
      <c r="B1561" s="2" t="s">
        <v>7196</v>
      </c>
      <c r="C1561" s="2" t="s">
        <v>8529</v>
      </c>
      <c r="D1561" s="2" t="s">
        <v>7687</v>
      </c>
      <c r="E1561" s="2" t="s">
        <v>5664</v>
      </c>
      <c r="F1561" s="2" t="s">
        <v>5664</v>
      </c>
      <c r="G1561" s="2">
        <v>0</v>
      </c>
    </row>
    <row r="1562" spans="1:7" ht="15.75" customHeight="1">
      <c r="A1562" s="2" t="s">
        <v>7174</v>
      </c>
      <c r="B1562" s="2" t="s">
        <v>7196</v>
      </c>
      <c r="C1562" s="2" t="s">
        <v>8530</v>
      </c>
      <c r="D1562" s="2" t="s">
        <v>7687</v>
      </c>
      <c r="E1562" s="2" t="s">
        <v>5664</v>
      </c>
      <c r="F1562" s="2" t="s">
        <v>5664</v>
      </c>
      <c r="G1562" s="2">
        <v>0</v>
      </c>
    </row>
    <row r="1563" spans="1:7" ht="15.75" customHeight="1">
      <c r="A1563" s="2" t="s">
        <v>7174</v>
      </c>
      <c r="B1563" s="2" t="s">
        <v>7196</v>
      </c>
      <c r="C1563" s="2" t="s">
        <v>8531</v>
      </c>
      <c r="D1563" s="2" t="s">
        <v>7687</v>
      </c>
      <c r="E1563" s="2" t="s">
        <v>5664</v>
      </c>
      <c r="F1563" s="2" t="s">
        <v>5664</v>
      </c>
      <c r="G1563" s="2">
        <v>0</v>
      </c>
    </row>
    <row r="1564" spans="1:7" ht="15.75" customHeight="1">
      <c r="A1564" s="2" t="s">
        <v>7174</v>
      </c>
      <c r="B1564" s="2" t="s">
        <v>7196</v>
      </c>
      <c r="C1564" s="2" t="s">
        <v>8532</v>
      </c>
      <c r="D1564" s="2" t="s">
        <v>7687</v>
      </c>
      <c r="E1564" s="2" t="s">
        <v>5664</v>
      </c>
      <c r="F1564" s="2" t="s">
        <v>5664</v>
      </c>
      <c r="G1564" s="2">
        <v>0</v>
      </c>
    </row>
    <row r="1565" spans="1:7" ht="15.75" customHeight="1">
      <c r="A1565" s="2" t="s">
        <v>7174</v>
      </c>
      <c r="B1565" s="2" t="s">
        <v>7196</v>
      </c>
      <c r="C1565" s="2" t="s">
        <v>8533</v>
      </c>
      <c r="D1565" s="2" t="s">
        <v>7687</v>
      </c>
      <c r="E1565" s="2" t="s">
        <v>5664</v>
      </c>
      <c r="F1565" s="2" t="s">
        <v>5664</v>
      </c>
      <c r="G1565" s="2">
        <v>0</v>
      </c>
    </row>
    <row r="1566" spans="1:7" ht="15.75" customHeight="1">
      <c r="A1566" s="2" t="s">
        <v>7174</v>
      </c>
      <c r="B1566" s="2" t="s">
        <v>7196</v>
      </c>
      <c r="C1566" s="2" t="s">
        <v>8534</v>
      </c>
      <c r="D1566" s="2" t="s">
        <v>7687</v>
      </c>
      <c r="E1566" s="2" t="s">
        <v>5664</v>
      </c>
      <c r="F1566" s="2" t="s">
        <v>5664</v>
      </c>
      <c r="G1566" s="2">
        <v>0</v>
      </c>
    </row>
    <row r="1567" spans="1:7" ht="15.75" customHeight="1">
      <c r="A1567" s="2" t="s">
        <v>7174</v>
      </c>
      <c r="B1567" s="2" t="s">
        <v>7196</v>
      </c>
      <c r="C1567" s="2" t="s">
        <v>8535</v>
      </c>
      <c r="D1567" s="2" t="s">
        <v>7687</v>
      </c>
      <c r="E1567" s="2" t="s">
        <v>5664</v>
      </c>
      <c r="F1567" s="2" t="s">
        <v>5664</v>
      </c>
      <c r="G1567" s="2">
        <v>0</v>
      </c>
    </row>
    <row r="1568" spans="1:7" ht="15.75" customHeight="1">
      <c r="A1568" s="2" t="s">
        <v>7174</v>
      </c>
      <c r="B1568" s="2" t="s">
        <v>7196</v>
      </c>
      <c r="C1568" s="2" t="s">
        <v>8536</v>
      </c>
      <c r="D1568" s="2" t="s">
        <v>7687</v>
      </c>
      <c r="E1568" s="2" t="s">
        <v>5664</v>
      </c>
      <c r="F1568" s="2" t="s">
        <v>5664</v>
      </c>
      <c r="G1568" s="2">
        <v>0</v>
      </c>
    </row>
    <row r="1569" spans="1:7" ht="15.75" customHeight="1">
      <c r="A1569" s="2" t="s">
        <v>7174</v>
      </c>
      <c r="B1569" s="2" t="s">
        <v>7196</v>
      </c>
      <c r="C1569" s="2" t="s">
        <v>8537</v>
      </c>
      <c r="D1569" s="2" t="s">
        <v>7687</v>
      </c>
      <c r="E1569" s="2" t="s">
        <v>5664</v>
      </c>
      <c r="F1569" s="2" t="s">
        <v>5664</v>
      </c>
      <c r="G1569" s="2">
        <v>0</v>
      </c>
    </row>
    <row r="1570" spans="1:7" ht="15.75" customHeight="1">
      <c r="A1570" s="2" t="s">
        <v>7174</v>
      </c>
      <c r="B1570" s="2" t="s">
        <v>7196</v>
      </c>
      <c r="C1570" s="2" t="s">
        <v>8538</v>
      </c>
      <c r="D1570" s="2" t="s">
        <v>7687</v>
      </c>
      <c r="E1570" s="2" t="s">
        <v>5664</v>
      </c>
      <c r="F1570" s="2" t="s">
        <v>5664</v>
      </c>
      <c r="G1570" s="2">
        <v>0</v>
      </c>
    </row>
    <row r="1571" spans="1:7" ht="15.75" customHeight="1">
      <c r="A1571" s="2" t="s">
        <v>7174</v>
      </c>
      <c r="B1571" s="2" t="s">
        <v>7196</v>
      </c>
      <c r="C1571" s="2" t="s">
        <v>8539</v>
      </c>
      <c r="D1571" s="2" t="s">
        <v>7284</v>
      </c>
      <c r="E1571" s="2" t="s">
        <v>7215</v>
      </c>
      <c r="F1571" s="2" t="s">
        <v>7215</v>
      </c>
      <c r="G1571" s="2">
        <v>1300</v>
      </c>
    </row>
    <row r="1572" spans="1:7" ht="15.75" customHeight="1">
      <c r="A1572" s="2" t="s">
        <v>7174</v>
      </c>
      <c r="B1572" s="2" t="s">
        <v>7199</v>
      </c>
      <c r="C1572" s="2" t="s">
        <v>4304</v>
      </c>
      <c r="D1572" s="2" t="s">
        <v>7209</v>
      </c>
      <c r="E1572" s="2" t="s">
        <v>3897</v>
      </c>
      <c r="F1572" s="2" t="s">
        <v>7210</v>
      </c>
      <c r="G1572" s="2">
        <v>18</v>
      </c>
    </row>
    <row r="1573" spans="1:7" ht="15.75" customHeight="1">
      <c r="A1573" s="2" t="s">
        <v>7174</v>
      </c>
      <c r="B1573" s="2" t="s">
        <v>7199</v>
      </c>
      <c r="C1573" s="2" t="s">
        <v>7233</v>
      </c>
      <c r="D1573" s="2" t="s">
        <v>7574</v>
      </c>
      <c r="E1573" s="2" t="s">
        <v>3897</v>
      </c>
      <c r="F1573" s="2" t="s">
        <v>7210</v>
      </c>
      <c r="G1573" s="2">
        <v>18</v>
      </c>
    </row>
    <row r="1574" spans="1:7" ht="15.75" customHeight="1">
      <c r="A1574" s="2" t="s">
        <v>7174</v>
      </c>
      <c r="B1574" s="2" t="s">
        <v>7199</v>
      </c>
      <c r="C1574" s="2" t="s">
        <v>7211</v>
      </c>
      <c r="D1574" s="2" t="s">
        <v>7212</v>
      </c>
      <c r="E1574" s="2" t="s">
        <v>5672</v>
      </c>
      <c r="F1574" s="2" t="s">
        <v>5672</v>
      </c>
      <c r="G1574" s="2">
        <v>0</v>
      </c>
    </row>
    <row r="1575" spans="1:7" ht="15.75" customHeight="1">
      <c r="A1575" s="2" t="s">
        <v>7174</v>
      </c>
      <c r="B1575" s="2" t="s">
        <v>7199</v>
      </c>
      <c r="C1575" s="2" t="s">
        <v>4306</v>
      </c>
      <c r="D1575" s="2" t="s">
        <v>6840</v>
      </c>
      <c r="E1575" s="2" t="s">
        <v>7215</v>
      </c>
      <c r="F1575" s="2" t="s">
        <v>7215</v>
      </c>
      <c r="G1575" s="2">
        <v>255</v>
      </c>
    </row>
    <row r="1576" spans="1:7" ht="15.75" customHeight="1">
      <c r="A1576" s="2" t="s">
        <v>7174</v>
      </c>
      <c r="B1576" s="2" t="s">
        <v>7199</v>
      </c>
      <c r="C1576" s="2" t="s">
        <v>7135</v>
      </c>
      <c r="D1576" s="2" t="s">
        <v>7235</v>
      </c>
      <c r="E1576" s="2" t="s">
        <v>538</v>
      </c>
      <c r="F1576" s="2" t="s">
        <v>538</v>
      </c>
      <c r="G1576" s="2">
        <v>0</v>
      </c>
    </row>
    <row r="1577" spans="1:7" ht="15.75" customHeight="1">
      <c r="A1577" s="2" t="s">
        <v>7174</v>
      </c>
      <c r="B1577" s="2" t="s">
        <v>7199</v>
      </c>
      <c r="C1577" s="2" t="s">
        <v>7236</v>
      </c>
      <c r="D1577" s="2" t="s">
        <v>7234</v>
      </c>
      <c r="E1577" s="2" t="s">
        <v>3897</v>
      </c>
      <c r="F1577" s="2" t="s">
        <v>7210</v>
      </c>
      <c r="G1577" s="2">
        <v>18</v>
      </c>
    </row>
    <row r="1578" spans="1:7" ht="15.75" customHeight="1">
      <c r="A1578" s="2" t="s">
        <v>7174</v>
      </c>
      <c r="B1578" s="2" t="s">
        <v>7199</v>
      </c>
      <c r="C1578" s="2" t="s">
        <v>7176</v>
      </c>
      <c r="D1578" s="2" t="s">
        <v>7235</v>
      </c>
      <c r="E1578" s="2" t="s">
        <v>538</v>
      </c>
      <c r="F1578" s="2" t="s">
        <v>538</v>
      </c>
      <c r="G1578" s="2">
        <v>0</v>
      </c>
    </row>
    <row r="1579" spans="1:7" ht="15.75" customHeight="1">
      <c r="A1579" s="2" t="s">
        <v>7174</v>
      </c>
      <c r="B1579" s="2" t="s">
        <v>7199</v>
      </c>
      <c r="C1579" s="2" t="s">
        <v>7237</v>
      </c>
      <c r="D1579" s="2" t="s">
        <v>7234</v>
      </c>
      <c r="E1579" s="2" t="s">
        <v>3897</v>
      </c>
      <c r="F1579" s="2" t="s">
        <v>7210</v>
      </c>
      <c r="G1579" s="2">
        <v>18</v>
      </c>
    </row>
    <row r="1580" spans="1:7" ht="15.75" customHeight="1">
      <c r="A1580" s="2" t="s">
        <v>7174</v>
      </c>
      <c r="B1580" s="2" t="s">
        <v>7199</v>
      </c>
      <c r="C1580" s="2" t="s">
        <v>7238</v>
      </c>
      <c r="D1580" s="2" t="s">
        <v>7235</v>
      </c>
      <c r="E1580" s="2" t="s">
        <v>538</v>
      </c>
      <c r="F1580" s="2" t="s">
        <v>538</v>
      </c>
      <c r="G1580" s="2">
        <v>0</v>
      </c>
    </row>
    <row r="1581" spans="1:7" ht="15.75" customHeight="1">
      <c r="A1581" s="2" t="s">
        <v>7174</v>
      </c>
      <c r="B1581" s="2" t="s">
        <v>7199</v>
      </c>
      <c r="C1581" s="2" t="s">
        <v>7240</v>
      </c>
      <c r="D1581" s="2" t="s">
        <v>7235</v>
      </c>
      <c r="E1581" s="2" t="s">
        <v>538</v>
      </c>
      <c r="F1581" s="2" t="s">
        <v>538</v>
      </c>
      <c r="G1581" s="2">
        <v>0</v>
      </c>
    </row>
    <row r="1582" spans="1:7" ht="15.75" customHeight="1">
      <c r="A1582" s="2" t="s">
        <v>7174</v>
      </c>
      <c r="B1582" s="2" t="s">
        <v>7199</v>
      </c>
      <c r="C1582" s="2" t="s">
        <v>7241</v>
      </c>
      <c r="D1582" s="2" t="s">
        <v>7235</v>
      </c>
      <c r="E1582" s="2" t="s">
        <v>538</v>
      </c>
      <c r="F1582" s="2" t="s">
        <v>538</v>
      </c>
      <c r="G1582" s="2">
        <v>0</v>
      </c>
    </row>
    <row r="1583" spans="1:7" ht="15.75" customHeight="1">
      <c r="A1583" s="2" t="s">
        <v>7174</v>
      </c>
      <c r="B1583" s="2" t="s">
        <v>7199</v>
      </c>
      <c r="C1583" s="2" t="s">
        <v>7242</v>
      </c>
      <c r="D1583" s="2" t="s">
        <v>7243</v>
      </c>
      <c r="E1583" s="2" t="s">
        <v>3897</v>
      </c>
      <c r="F1583" s="2" t="s">
        <v>7210</v>
      </c>
      <c r="G1583" s="2">
        <v>18</v>
      </c>
    </row>
    <row r="1584" spans="1:7" ht="15.75" customHeight="1">
      <c r="A1584" s="2" t="s">
        <v>7174</v>
      </c>
      <c r="B1584" s="2" t="s">
        <v>7199</v>
      </c>
      <c r="C1584" s="2" t="s">
        <v>8540</v>
      </c>
      <c r="D1584" s="2" t="s">
        <v>8541</v>
      </c>
      <c r="E1584" s="2" t="s">
        <v>3897</v>
      </c>
      <c r="F1584" s="2" t="s">
        <v>7210</v>
      </c>
      <c r="G1584" s="2">
        <v>18</v>
      </c>
    </row>
    <row r="1585" spans="1:7" ht="15.75" customHeight="1">
      <c r="A1585" s="2" t="s">
        <v>7174</v>
      </c>
      <c r="B1585" s="2" t="s">
        <v>7199</v>
      </c>
      <c r="C1585" s="2" t="s">
        <v>8542</v>
      </c>
      <c r="D1585" s="2" t="s">
        <v>8063</v>
      </c>
      <c r="E1585" s="2" t="s">
        <v>7215</v>
      </c>
      <c r="F1585" s="2" t="s">
        <v>7215</v>
      </c>
      <c r="G1585" s="2">
        <v>131072</v>
      </c>
    </row>
    <row r="1586" spans="1:7" ht="15.75" customHeight="1">
      <c r="A1586" s="2" t="s">
        <v>7174</v>
      </c>
      <c r="B1586" s="2" t="s">
        <v>7199</v>
      </c>
      <c r="C1586" s="2" t="s">
        <v>7759</v>
      </c>
      <c r="D1586" s="2" t="s">
        <v>7245</v>
      </c>
      <c r="E1586" s="2" t="s">
        <v>3897</v>
      </c>
      <c r="F1586" s="2" t="s">
        <v>7210</v>
      </c>
      <c r="G1586" s="2">
        <v>18</v>
      </c>
    </row>
    <row r="1587" spans="1:7" ht="15.75" customHeight="1">
      <c r="A1587" s="2" t="s">
        <v>7174</v>
      </c>
      <c r="B1587" s="2" t="s">
        <v>7199</v>
      </c>
      <c r="C1587" s="2" t="s">
        <v>7758</v>
      </c>
      <c r="D1587" s="2" t="s">
        <v>7499</v>
      </c>
      <c r="E1587" s="2" t="s">
        <v>3897</v>
      </c>
      <c r="F1587" s="2" t="s">
        <v>7210</v>
      </c>
      <c r="G1587" s="2">
        <v>18</v>
      </c>
    </row>
    <row r="1588" spans="1:7" ht="15.75" customHeight="1">
      <c r="A1588" s="2" t="s">
        <v>7174</v>
      </c>
      <c r="B1588" s="2" t="s">
        <v>7199</v>
      </c>
      <c r="C1588" s="2" t="s">
        <v>8327</v>
      </c>
      <c r="D1588" s="2" t="s">
        <v>7808</v>
      </c>
      <c r="E1588" s="2" t="s">
        <v>3897</v>
      </c>
      <c r="F1588" s="2" t="s">
        <v>7210</v>
      </c>
      <c r="G1588" s="2">
        <v>18</v>
      </c>
    </row>
    <row r="1589" spans="1:7" ht="15.75" customHeight="1">
      <c r="A1589" s="2" t="s">
        <v>7174</v>
      </c>
      <c r="B1589" s="2" t="s">
        <v>7199</v>
      </c>
      <c r="C1589" s="2" t="s">
        <v>7810</v>
      </c>
      <c r="D1589" s="2" t="s">
        <v>7214</v>
      </c>
      <c r="E1589" s="2" t="s">
        <v>3897</v>
      </c>
      <c r="F1589" s="2" t="s">
        <v>7210</v>
      </c>
      <c r="G1589" s="2">
        <v>18</v>
      </c>
    </row>
    <row r="1590" spans="1:7" ht="15.75" customHeight="1">
      <c r="A1590" s="2" t="s">
        <v>7174</v>
      </c>
      <c r="B1590" s="2" t="s">
        <v>7199</v>
      </c>
      <c r="C1590" s="2" t="s">
        <v>8543</v>
      </c>
      <c r="D1590" s="2" t="s">
        <v>8544</v>
      </c>
      <c r="E1590" s="2" t="s">
        <v>3897</v>
      </c>
      <c r="F1590" s="2" t="s">
        <v>7210</v>
      </c>
      <c r="G1590" s="2">
        <v>18</v>
      </c>
    </row>
    <row r="1591" spans="1:7" ht="15.75" customHeight="1">
      <c r="A1591" s="2" t="s">
        <v>7174</v>
      </c>
      <c r="B1591" s="2" t="s">
        <v>7199</v>
      </c>
      <c r="C1591" s="2" t="s">
        <v>8545</v>
      </c>
      <c r="D1591" s="2" t="s">
        <v>8546</v>
      </c>
      <c r="E1591" s="2" t="s">
        <v>3897</v>
      </c>
      <c r="F1591" s="2" t="s">
        <v>7210</v>
      </c>
      <c r="G1591" s="2">
        <v>18</v>
      </c>
    </row>
    <row r="1592" spans="1:7" ht="15.75" customHeight="1">
      <c r="A1592" s="2" t="s">
        <v>7174</v>
      </c>
      <c r="B1592" s="2" t="s">
        <v>7199</v>
      </c>
      <c r="C1592" s="2" t="s">
        <v>8547</v>
      </c>
      <c r="D1592" s="2" t="s">
        <v>8548</v>
      </c>
      <c r="E1592" s="2" t="s">
        <v>3897</v>
      </c>
      <c r="F1592" s="2" t="s">
        <v>7210</v>
      </c>
      <c r="G1592" s="2">
        <v>18</v>
      </c>
    </row>
    <row r="1593" spans="1:7" ht="15.75" customHeight="1">
      <c r="A1593" s="2" t="s">
        <v>7174</v>
      </c>
      <c r="B1593" s="2" t="s">
        <v>7199</v>
      </c>
      <c r="C1593" s="2" t="s">
        <v>8549</v>
      </c>
      <c r="D1593" s="2" t="s">
        <v>8550</v>
      </c>
      <c r="E1593" s="2" t="s">
        <v>7215</v>
      </c>
      <c r="F1593" s="2" t="s">
        <v>7215</v>
      </c>
      <c r="G1593" s="2">
        <v>39</v>
      </c>
    </row>
    <row r="1594" spans="1:7" ht="15.75" customHeight="1">
      <c r="A1594" s="2" t="s">
        <v>7174</v>
      </c>
      <c r="B1594" s="2" t="s">
        <v>7199</v>
      </c>
      <c r="C1594" s="2" t="s">
        <v>4182</v>
      </c>
      <c r="D1594" s="2" t="s">
        <v>7450</v>
      </c>
      <c r="E1594" s="2" t="s">
        <v>7215</v>
      </c>
      <c r="F1594" s="2" t="s">
        <v>7215</v>
      </c>
      <c r="G1594" s="2">
        <v>200</v>
      </c>
    </row>
    <row r="1595" spans="1:7" ht="15.75" customHeight="1">
      <c r="A1595" s="2" t="s">
        <v>7174</v>
      </c>
      <c r="B1595" s="2" t="s">
        <v>7199</v>
      </c>
      <c r="C1595" s="2" t="s">
        <v>8551</v>
      </c>
      <c r="D1595" s="2" t="s">
        <v>7450</v>
      </c>
      <c r="E1595" s="2" t="s">
        <v>7215</v>
      </c>
      <c r="F1595" s="2" t="s">
        <v>7215</v>
      </c>
      <c r="G1595" s="2">
        <v>200</v>
      </c>
    </row>
    <row r="1596" spans="1:7" ht="15.75" customHeight="1">
      <c r="A1596" s="2" t="s">
        <v>7174</v>
      </c>
      <c r="B1596" s="2" t="s">
        <v>7199</v>
      </c>
      <c r="C1596" s="2" t="s">
        <v>8552</v>
      </c>
      <c r="D1596" s="2" t="s">
        <v>7450</v>
      </c>
      <c r="E1596" s="2" t="s">
        <v>7215</v>
      </c>
      <c r="F1596" s="2" t="s">
        <v>7215</v>
      </c>
      <c r="G1596" s="2">
        <v>200</v>
      </c>
    </row>
    <row r="1597" spans="1:7" ht="15.75" customHeight="1">
      <c r="A1597" s="2" t="s">
        <v>7174</v>
      </c>
      <c r="B1597" s="2" t="s">
        <v>7199</v>
      </c>
      <c r="C1597" s="2" t="s">
        <v>8553</v>
      </c>
      <c r="D1597" s="2" t="s">
        <v>7450</v>
      </c>
      <c r="E1597" s="2" t="s">
        <v>7215</v>
      </c>
      <c r="F1597" s="2" t="s">
        <v>7215</v>
      </c>
      <c r="G1597" s="2">
        <v>200</v>
      </c>
    </row>
    <row r="1598" spans="1:7" ht="15.75" customHeight="1">
      <c r="A1598" s="2" t="s">
        <v>7174</v>
      </c>
      <c r="B1598" s="2" t="s">
        <v>7199</v>
      </c>
      <c r="C1598" s="2" t="s">
        <v>8554</v>
      </c>
      <c r="D1598" s="2" t="s">
        <v>7450</v>
      </c>
      <c r="E1598" s="2" t="s">
        <v>7215</v>
      </c>
      <c r="F1598" s="2" t="s">
        <v>7215</v>
      </c>
      <c r="G1598" s="2">
        <v>200</v>
      </c>
    </row>
    <row r="1599" spans="1:7" ht="15.75" customHeight="1">
      <c r="A1599" s="2" t="s">
        <v>7174</v>
      </c>
      <c r="B1599" s="2" t="s">
        <v>7199</v>
      </c>
      <c r="C1599" s="2" t="s">
        <v>8555</v>
      </c>
      <c r="D1599" s="2" t="s">
        <v>7450</v>
      </c>
      <c r="E1599" s="2" t="s">
        <v>7215</v>
      </c>
      <c r="F1599" s="2" t="s">
        <v>7215</v>
      </c>
      <c r="G1599" s="2">
        <v>200</v>
      </c>
    </row>
    <row r="1600" spans="1:7" ht="15.75" customHeight="1">
      <c r="A1600" s="2" t="s">
        <v>7174</v>
      </c>
      <c r="B1600" s="2" t="s">
        <v>7199</v>
      </c>
      <c r="C1600" s="2" t="s">
        <v>8556</v>
      </c>
      <c r="D1600" s="2" t="s">
        <v>7450</v>
      </c>
      <c r="E1600" s="2" t="s">
        <v>7215</v>
      </c>
      <c r="F1600" s="2" t="s">
        <v>7215</v>
      </c>
      <c r="G1600" s="2">
        <v>200</v>
      </c>
    </row>
    <row r="1601" spans="1:7" ht="15.75" customHeight="1">
      <c r="A1601" s="2" t="s">
        <v>7174</v>
      </c>
      <c r="B1601" s="2" t="s">
        <v>7199</v>
      </c>
      <c r="C1601" s="2" t="s">
        <v>811</v>
      </c>
      <c r="D1601" s="2" t="s">
        <v>7216</v>
      </c>
      <c r="E1601" s="2" t="s">
        <v>7215</v>
      </c>
      <c r="F1601" s="2" t="s">
        <v>7215</v>
      </c>
      <c r="G1601" s="2">
        <v>255</v>
      </c>
    </row>
    <row r="1602" spans="1:7" ht="15.75" customHeight="1">
      <c r="A1602" s="2" t="s">
        <v>7174</v>
      </c>
      <c r="B1602" s="2" t="s">
        <v>7199</v>
      </c>
      <c r="C1602" s="2" t="s">
        <v>8557</v>
      </c>
      <c r="D1602" s="2" t="s">
        <v>7235</v>
      </c>
      <c r="E1602" s="2" t="s">
        <v>538</v>
      </c>
      <c r="F1602" s="2" t="s">
        <v>538</v>
      </c>
      <c r="G1602" s="2">
        <v>0</v>
      </c>
    </row>
    <row r="1603" spans="1:7" ht="15.75" customHeight="1">
      <c r="A1603" s="2" t="s">
        <v>7174</v>
      </c>
      <c r="B1603" s="2" t="s">
        <v>7199</v>
      </c>
      <c r="C1603" s="2" t="s">
        <v>5253</v>
      </c>
      <c r="D1603" s="2" t="s">
        <v>7235</v>
      </c>
      <c r="E1603" s="2" t="s">
        <v>538</v>
      </c>
      <c r="F1603" s="2" t="s">
        <v>538</v>
      </c>
      <c r="G1603" s="2">
        <v>0</v>
      </c>
    </row>
    <row r="1604" spans="1:7" ht="15.75" customHeight="1">
      <c r="A1604" s="2" t="s">
        <v>7174</v>
      </c>
      <c r="B1604" s="2" t="s">
        <v>7199</v>
      </c>
      <c r="C1604" s="2" t="s">
        <v>8558</v>
      </c>
      <c r="D1604" s="2" t="s">
        <v>7235</v>
      </c>
      <c r="E1604" s="2" t="s">
        <v>538</v>
      </c>
      <c r="F1604" s="2" t="s">
        <v>538</v>
      </c>
      <c r="G1604" s="2">
        <v>0</v>
      </c>
    </row>
    <row r="1605" spans="1:7" ht="15.75" customHeight="1">
      <c r="A1605" s="2" t="s">
        <v>7174</v>
      </c>
      <c r="B1605" s="2" t="s">
        <v>7199</v>
      </c>
      <c r="C1605" s="2" t="s">
        <v>8559</v>
      </c>
      <c r="D1605" s="2" t="s">
        <v>7216</v>
      </c>
      <c r="E1605" s="2" t="s">
        <v>7215</v>
      </c>
      <c r="F1605" s="2" t="s">
        <v>7215</v>
      </c>
      <c r="G1605" s="2">
        <v>255</v>
      </c>
    </row>
    <row r="1606" spans="1:7" ht="15.75" customHeight="1">
      <c r="A1606" s="2" t="s">
        <v>7174</v>
      </c>
      <c r="B1606" s="2" t="s">
        <v>7199</v>
      </c>
      <c r="C1606" s="2" t="s">
        <v>8560</v>
      </c>
      <c r="D1606" s="2" t="s">
        <v>7687</v>
      </c>
      <c r="E1606" s="2" t="s">
        <v>5664</v>
      </c>
      <c r="F1606" s="2" t="s">
        <v>5664</v>
      </c>
      <c r="G1606" s="2">
        <v>0</v>
      </c>
    </row>
    <row r="1607" spans="1:7" ht="15.75" customHeight="1">
      <c r="A1607" s="2" t="s">
        <v>7174</v>
      </c>
      <c r="B1607" s="2" t="s">
        <v>7199</v>
      </c>
      <c r="C1607" s="2" t="s">
        <v>8561</v>
      </c>
      <c r="D1607" s="2" t="s">
        <v>7687</v>
      </c>
      <c r="E1607" s="2" t="s">
        <v>5664</v>
      </c>
      <c r="F1607" s="2" t="s">
        <v>5664</v>
      </c>
      <c r="G1607" s="2">
        <v>0</v>
      </c>
    </row>
    <row r="1608" spans="1:7" ht="15.75" customHeight="1">
      <c r="A1608" s="2" t="s">
        <v>7174</v>
      </c>
      <c r="B1608" s="2" t="s">
        <v>7199</v>
      </c>
      <c r="C1608" s="2" t="s">
        <v>8562</v>
      </c>
      <c r="D1608" s="2" t="s">
        <v>7687</v>
      </c>
      <c r="E1608" s="2" t="s">
        <v>5664</v>
      </c>
      <c r="F1608" s="2" t="s">
        <v>5664</v>
      </c>
      <c r="G1608" s="2">
        <v>0</v>
      </c>
    </row>
    <row r="1609" spans="1:7" ht="15.75" customHeight="1">
      <c r="A1609" s="2" t="s">
        <v>7174</v>
      </c>
      <c r="B1609" s="2" t="s">
        <v>7199</v>
      </c>
      <c r="C1609" s="2" t="s">
        <v>8563</v>
      </c>
      <c r="D1609" s="2" t="s">
        <v>7687</v>
      </c>
      <c r="E1609" s="2" t="s">
        <v>5664</v>
      </c>
      <c r="F1609" s="2" t="s">
        <v>5664</v>
      </c>
      <c r="G1609" s="2">
        <v>0</v>
      </c>
    </row>
    <row r="1610" spans="1:7" ht="15.75" customHeight="1">
      <c r="A1610" s="2" t="s">
        <v>7174</v>
      </c>
      <c r="B1610" s="2" t="s">
        <v>7199</v>
      </c>
      <c r="C1610" s="2" t="s">
        <v>8564</v>
      </c>
      <c r="D1610" s="2" t="s">
        <v>7687</v>
      </c>
      <c r="E1610" s="2" t="s">
        <v>5664</v>
      </c>
      <c r="F1610" s="2" t="s">
        <v>5664</v>
      </c>
      <c r="G1610" s="2">
        <v>0</v>
      </c>
    </row>
    <row r="1611" spans="1:7" ht="15.75" customHeight="1">
      <c r="A1611" s="2" t="s">
        <v>7174</v>
      </c>
      <c r="B1611" s="2" t="s">
        <v>7199</v>
      </c>
      <c r="C1611" s="2" t="s">
        <v>8565</v>
      </c>
      <c r="D1611" s="2" t="s">
        <v>7450</v>
      </c>
      <c r="E1611" s="2" t="s">
        <v>7215</v>
      </c>
      <c r="F1611" s="2" t="s">
        <v>7215</v>
      </c>
      <c r="G1611" s="2">
        <v>200</v>
      </c>
    </row>
    <row r="1612" spans="1:7" ht="15.75" customHeight="1">
      <c r="A1612" s="2" t="s">
        <v>7174</v>
      </c>
      <c r="B1612" s="2" t="s">
        <v>7199</v>
      </c>
      <c r="C1612" s="2" t="s">
        <v>8566</v>
      </c>
      <c r="D1612" s="2" t="s">
        <v>8063</v>
      </c>
      <c r="E1612" s="2" t="s">
        <v>7215</v>
      </c>
      <c r="F1612" s="2" t="s">
        <v>7215</v>
      </c>
      <c r="G1612" s="2">
        <v>131072</v>
      </c>
    </row>
    <row r="1613" spans="1:7" ht="15.75" customHeight="1">
      <c r="A1613" s="2" t="s">
        <v>7174</v>
      </c>
      <c r="B1613" s="2" t="s">
        <v>7199</v>
      </c>
      <c r="C1613" s="2" t="s">
        <v>8567</v>
      </c>
      <c r="D1613" s="2" t="s">
        <v>7687</v>
      </c>
      <c r="E1613" s="2" t="s">
        <v>5664</v>
      </c>
      <c r="F1613" s="2" t="s">
        <v>5664</v>
      </c>
      <c r="G1613" s="2">
        <v>0</v>
      </c>
    </row>
    <row r="1614" spans="1:7" ht="15.75" customHeight="1">
      <c r="A1614" s="2" t="s">
        <v>7174</v>
      </c>
      <c r="B1614" s="2" t="s">
        <v>7199</v>
      </c>
      <c r="C1614" s="2" t="s">
        <v>8568</v>
      </c>
      <c r="D1614" s="2" t="s">
        <v>7450</v>
      </c>
      <c r="E1614" s="2" t="s">
        <v>7215</v>
      </c>
      <c r="F1614" s="2" t="s">
        <v>7215</v>
      </c>
      <c r="G1614" s="2">
        <v>200</v>
      </c>
    </row>
    <row r="1615" spans="1:7" ht="15.75" customHeight="1">
      <c r="A1615" s="2" t="s">
        <v>7174</v>
      </c>
      <c r="B1615" s="2" t="s">
        <v>7199</v>
      </c>
      <c r="C1615" s="2" t="s">
        <v>8569</v>
      </c>
      <c r="D1615" s="2" t="s">
        <v>7277</v>
      </c>
      <c r="E1615" s="2" t="s">
        <v>5664</v>
      </c>
      <c r="F1615" s="2" t="s">
        <v>5664</v>
      </c>
      <c r="G1615" s="2">
        <v>0</v>
      </c>
    </row>
    <row r="1616" spans="1:7" ht="15.75" customHeight="1">
      <c r="A1616" s="2" t="s">
        <v>7174</v>
      </c>
      <c r="B1616" s="2" t="s">
        <v>7199</v>
      </c>
      <c r="C1616" s="2" t="s">
        <v>8570</v>
      </c>
      <c r="D1616" s="2" t="s">
        <v>7277</v>
      </c>
      <c r="E1616" s="2" t="s">
        <v>5664</v>
      </c>
      <c r="F1616" s="2" t="s">
        <v>5664</v>
      </c>
      <c r="G1616" s="2">
        <v>0</v>
      </c>
    </row>
    <row r="1617" spans="1:7" ht="15.75" customHeight="1">
      <c r="A1617" s="2" t="s">
        <v>7174</v>
      </c>
      <c r="B1617" s="2" t="s">
        <v>7199</v>
      </c>
      <c r="C1617" s="2" t="s">
        <v>8571</v>
      </c>
      <c r="D1617" s="2" t="s">
        <v>7277</v>
      </c>
      <c r="E1617" s="2" t="s">
        <v>5664</v>
      </c>
      <c r="F1617" s="2" t="s">
        <v>5664</v>
      </c>
      <c r="G1617" s="2">
        <v>0</v>
      </c>
    </row>
    <row r="1618" spans="1:7" ht="15.75" customHeight="1">
      <c r="A1618" s="2" t="s">
        <v>7174</v>
      </c>
      <c r="B1618" s="2" t="s">
        <v>7199</v>
      </c>
      <c r="C1618" s="2" t="s">
        <v>8572</v>
      </c>
      <c r="D1618" s="2" t="s">
        <v>7212</v>
      </c>
      <c r="E1618" s="2" t="s">
        <v>5672</v>
      </c>
      <c r="F1618" s="2" t="s">
        <v>5672</v>
      </c>
      <c r="G1618" s="2">
        <v>0</v>
      </c>
    </row>
    <row r="1619" spans="1:7" ht="15.75" customHeight="1">
      <c r="A1619" s="2" t="s">
        <v>7174</v>
      </c>
      <c r="B1619" s="2" t="s">
        <v>7199</v>
      </c>
      <c r="C1619" s="2" t="s">
        <v>8573</v>
      </c>
      <c r="D1619" s="2" t="s">
        <v>7277</v>
      </c>
      <c r="E1619" s="2" t="s">
        <v>7278</v>
      </c>
      <c r="F1619" s="2" t="s">
        <v>7278</v>
      </c>
      <c r="G1619" s="2">
        <v>0</v>
      </c>
    </row>
    <row r="1620" spans="1:7" ht="15.75" customHeight="1">
      <c r="A1620" s="2" t="s">
        <v>7174</v>
      </c>
      <c r="B1620" s="2" t="s">
        <v>7199</v>
      </c>
      <c r="C1620" s="2" t="s">
        <v>7578</v>
      </c>
      <c r="D1620" s="2" t="s">
        <v>7284</v>
      </c>
      <c r="E1620" s="2" t="s">
        <v>7215</v>
      </c>
      <c r="F1620" s="2" t="s">
        <v>7215</v>
      </c>
      <c r="G1620" s="2">
        <v>1300</v>
      </c>
    </row>
    <row r="1621" spans="1:7" ht="15.75" customHeight="1">
      <c r="A1621" s="2" t="s">
        <v>7174</v>
      </c>
      <c r="B1621" s="2" t="s">
        <v>7199</v>
      </c>
      <c r="C1621" s="2" t="s">
        <v>7442</v>
      </c>
      <c r="D1621" s="2" t="s">
        <v>7277</v>
      </c>
      <c r="E1621" s="2" t="s">
        <v>7278</v>
      </c>
      <c r="F1621" s="2" t="s">
        <v>7278</v>
      </c>
      <c r="G1621" s="2">
        <v>0</v>
      </c>
    </row>
    <row r="1622" spans="1:7" ht="15.75" customHeight="1">
      <c r="A1622" s="2" t="s">
        <v>7174</v>
      </c>
      <c r="B1622" s="2" t="s">
        <v>7199</v>
      </c>
      <c r="C1622" s="2" t="s">
        <v>8574</v>
      </c>
      <c r="D1622" s="2" t="s">
        <v>7270</v>
      </c>
      <c r="E1622" s="2" t="s">
        <v>7215</v>
      </c>
      <c r="F1622" s="2" t="s">
        <v>7215</v>
      </c>
      <c r="G1622" s="2">
        <v>32768</v>
      </c>
    </row>
    <row r="1623" spans="1:7" ht="15.75" customHeight="1">
      <c r="A1623" s="2" t="s">
        <v>7174</v>
      </c>
      <c r="B1623" s="2" t="s">
        <v>7199</v>
      </c>
      <c r="C1623" s="2" t="s">
        <v>8575</v>
      </c>
      <c r="D1623" s="2" t="s">
        <v>7216</v>
      </c>
      <c r="E1623" s="2" t="s">
        <v>7215</v>
      </c>
      <c r="F1623" s="2" t="s">
        <v>7215</v>
      </c>
      <c r="G1623" s="2">
        <v>255</v>
      </c>
    </row>
    <row r="1624" spans="1:7" ht="15.75" customHeight="1">
      <c r="A1624" s="2" t="s">
        <v>7174</v>
      </c>
      <c r="B1624" s="2" t="s">
        <v>7199</v>
      </c>
      <c r="C1624" s="2" t="s">
        <v>8576</v>
      </c>
      <c r="D1624" s="2" t="s">
        <v>7216</v>
      </c>
      <c r="E1624" s="2" t="s">
        <v>7215</v>
      </c>
      <c r="F1624" s="2" t="s">
        <v>7215</v>
      </c>
      <c r="G1624" s="2">
        <v>255</v>
      </c>
    </row>
    <row r="1625" spans="1:7" ht="15.75" customHeight="1">
      <c r="A1625" s="2" t="s">
        <v>7174</v>
      </c>
      <c r="B1625" s="2" t="s">
        <v>7199</v>
      </c>
      <c r="C1625" s="2" t="s">
        <v>8577</v>
      </c>
      <c r="D1625" s="2" t="s">
        <v>7354</v>
      </c>
      <c r="E1625" s="2" t="s">
        <v>7215</v>
      </c>
      <c r="F1625" s="2" t="s">
        <v>7215</v>
      </c>
      <c r="G1625" s="2">
        <v>50</v>
      </c>
    </row>
    <row r="1626" spans="1:7" ht="15.75" customHeight="1">
      <c r="A1626" s="2" t="s">
        <v>7174</v>
      </c>
      <c r="B1626" s="2" t="s">
        <v>7199</v>
      </c>
      <c r="C1626" s="2" t="s">
        <v>8578</v>
      </c>
      <c r="D1626" s="2" t="s">
        <v>7354</v>
      </c>
      <c r="E1626" s="2" t="s">
        <v>7215</v>
      </c>
      <c r="F1626" s="2" t="s">
        <v>7215</v>
      </c>
      <c r="G1626" s="2">
        <v>50</v>
      </c>
    </row>
    <row r="1627" spans="1:7" ht="15.75" customHeight="1">
      <c r="A1627" s="2" t="s">
        <v>7174</v>
      </c>
      <c r="B1627" s="2" t="s">
        <v>7199</v>
      </c>
      <c r="C1627" s="2" t="s">
        <v>8579</v>
      </c>
      <c r="D1627" s="2" t="s">
        <v>8580</v>
      </c>
      <c r="E1627" s="2" t="s">
        <v>7278</v>
      </c>
      <c r="F1627" s="2" t="s">
        <v>7278</v>
      </c>
      <c r="G1627" s="2">
        <v>0</v>
      </c>
    </row>
    <row r="1628" spans="1:7" ht="15.75" customHeight="1">
      <c r="A1628" s="2" t="s">
        <v>7174</v>
      </c>
      <c r="B1628" s="2" t="s">
        <v>7199</v>
      </c>
      <c r="C1628" s="2" t="s">
        <v>8581</v>
      </c>
      <c r="D1628" s="2" t="s">
        <v>8395</v>
      </c>
      <c r="E1628" s="2" t="s">
        <v>3897</v>
      </c>
      <c r="F1628" s="2" t="s">
        <v>7210</v>
      </c>
      <c r="G1628" s="2">
        <v>18</v>
      </c>
    </row>
    <row r="1629" spans="1:7" ht="15.75" customHeight="1">
      <c r="A1629" s="2" t="s">
        <v>7174</v>
      </c>
      <c r="B1629" s="2" t="s">
        <v>7199</v>
      </c>
      <c r="C1629" s="2" t="s">
        <v>8582</v>
      </c>
      <c r="D1629" s="2" t="s">
        <v>8580</v>
      </c>
      <c r="E1629" s="2" t="s">
        <v>7278</v>
      </c>
      <c r="F1629" s="2" t="s">
        <v>7278</v>
      </c>
      <c r="G1629" s="2">
        <v>0</v>
      </c>
    </row>
    <row r="1630" spans="1:7" ht="15.75" customHeight="1">
      <c r="A1630" s="2" t="s">
        <v>7174</v>
      </c>
      <c r="B1630" s="2" t="s">
        <v>7199</v>
      </c>
      <c r="C1630" s="2" t="s">
        <v>8583</v>
      </c>
      <c r="D1630" s="2" t="s">
        <v>7277</v>
      </c>
      <c r="E1630" s="2" t="s">
        <v>7278</v>
      </c>
      <c r="F1630" s="2" t="s">
        <v>7278</v>
      </c>
      <c r="G1630" s="2">
        <v>0</v>
      </c>
    </row>
    <row r="1631" spans="1:7" ht="15.75" customHeight="1">
      <c r="A1631" s="2" t="s">
        <v>7174</v>
      </c>
      <c r="B1631" s="2" t="s">
        <v>7199</v>
      </c>
      <c r="C1631" s="2" t="s">
        <v>8584</v>
      </c>
      <c r="D1631" s="2" t="s">
        <v>8580</v>
      </c>
      <c r="E1631" s="2" t="s">
        <v>7278</v>
      </c>
      <c r="F1631" s="2" t="s">
        <v>7278</v>
      </c>
      <c r="G1631" s="2">
        <v>0</v>
      </c>
    </row>
    <row r="1632" spans="1:7" ht="15.75" customHeight="1">
      <c r="A1632" s="2" t="s">
        <v>7174</v>
      </c>
      <c r="B1632" s="2" t="s">
        <v>7199</v>
      </c>
      <c r="C1632" s="2" t="s">
        <v>8585</v>
      </c>
      <c r="D1632" s="2" t="s">
        <v>8580</v>
      </c>
      <c r="E1632" s="2" t="s">
        <v>7278</v>
      </c>
      <c r="F1632" s="2" t="s">
        <v>7278</v>
      </c>
      <c r="G1632" s="2">
        <v>0</v>
      </c>
    </row>
    <row r="1633" spans="1:7" ht="15.75" customHeight="1">
      <c r="A1633" s="2" t="s">
        <v>7174</v>
      </c>
      <c r="B1633" s="2" t="s">
        <v>7199</v>
      </c>
      <c r="C1633" s="2" t="s">
        <v>8586</v>
      </c>
      <c r="D1633" s="2" t="s">
        <v>7277</v>
      </c>
      <c r="E1633" s="2" t="s">
        <v>7278</v>
      </c>
      <c r="F1633" s="2" t="s">
        <v>7278</v>
      </c>
      <c r="G1633" s="2">
        <v>0</v>
      </c>
    </row>
    <row r="1634" spans="1:7" ht="15.75" customHeight="1">
      <c r="A1634" s="2" t="s">
        <v>7174</v>
      </c>
      <c r="B1634" s="2" t="s">
        <v>7199</v>
      </c>
      <c r="C1634" s="2" t="s">
        <v>8587</v>
      </c>
      <c r="D1634" s="2" t="s">
        <v>7277</v>
      </c>
      <c r="E1634" s="2" t="s">
        <v>7278</v>
      </c>
      <c r="F1634" s="2" t="s">
        <v>7278</v>
      </c>
      <c r="G1634" s="2">
        <v>0</v>
      </c>
    </row>
    <row r="1635" spans="1:7" ht="15.75" customHeight="1">
      <c r="A1635" s="2" t="s">
        <v>7174</v>
      </c>
      <c r="B1635" s="2" t="s">
        <v>7199</v>
      </c>
      <c r="C1635" s="2" t="s">
        <v>7462</v>
      </c>
      <c r="D1635" s="2" t="s">
        <v>7284</v>
      </c>
      <c r="E1635" s="2" t="s">
        <v>7215</v>
      </c>
      <c r="F1635" s="2" t="s">
        <v>7215</v>
      </c>
      <c r="G1635" s="2">
        <v>1300</v>
      </c>
    </row>
    <row r="1636" spans="1:7" ht="15.75" customHeight="1">
      <c r="A1636" s="2" t="s">
        <v>7174</v>
      </c>
      <c r="B1636" s="2" t="s">
        <v>7199</v>
      </c>
      <c r="C1636" s="2" t="s">
        <v>8588</v>
      </c>
      <c r="D1636" s="2" t="s">
        <v>7277</v>
      </c>
      <c r="E1636" s="2" t="s">
        <v>7278</v>
      </c>
      <c r="F1636" s="2" t="s">
        <v>7278</v>
      </c>
      <c r="G1636" s="2">
        <v>0</v>
      </c>
    </row>
    <row r="1637" spans="1:7" ht="15.75" customHeight="1">
      <c r="A1637" s="2" t="s">
        <v>7174</v>
      </c>
      <c r="B1637" s="2" t="s">
        <v>7199</v>
      </c>
      <c r="C1637" s="2" t="s">
        <v>8392</v>
      </c>
      <c r="D1637" s="2" t="s">
        <v>7354</v>
      </c>
      <c r="E1637" s="2" t="s">
        <v>7215</v>
      </c>
      <c r="F1637" s="2" t="s">
        <v>7215</v>
      </c>
      <c r="G1637" s="2">
        <v>50</v>
      </c>
    </row>
    <row r="1638" spans="1:7" ht="15.75" customHeight="1">
      <c r="A1638" s="2" t="s">
        <v>7174</v>
      </c>
      <c r="B1638" s="2" t="s">
        <v>7199</v>
      </c>
      <c r="C1638" s="2" t="s">
        <v>8589</v>
      </c>
      <c r="D1638" s="2" t="s">
        <v>7284</v>
      </c>
      <c r="E1638" s="2" t="s">
        <v>7215</v>
      </c>
      <c r="F1638" s="2" t="s">
        <v>7215</v>
      </c>
      <c r="G1638" s="2">
        <v>1300</v>
      </c>
    </row>
    <row r="1639" spans="1:7" ht="15.75" customHeight="1">
      <c r="A1639" s="2" t="s">
        <v>7174</v>
      </c>
      <c r="B1639" s="2" t="s">
        <v>7200</v>
      </c>
      <c r="C1639" s="2" t="s">
        <v>4304</v>
      </c>
      <c r="D1639" s="2" t="s">
        <v>7209</v>
      </c>
      <c r="E1639" s="2" t="s">
        <v>3897</v>
      </c>
      <c r="F1639" s="2" t="s">
        <v>7210</v>
      </c>
      <c r="G1639" s="2">
        <v>18</v>
      </c>
    </row>
    <row r="1640" spans="1:7" ht="15.75" customHeight="1">
      <c r="A1640" s="2" t="s">
        <v>7174</v>
      </c>
      <c r="B1640" s="2" t="s">
        <v>7200</v>
      </c>
      <c r="C1640" s="2" t="s">
        <v>7211</v>
      </c>
      <c r="D1640" s="2" t="s">
        <v>7212</v>
      </c>
      <c r="E1640" s="2" t="s">
        <v>5672</v>
      </c>
      <c r="F1640" s="2" t="s">
        <v>5672</v>
      </c>
      <c r="G1640" s="2">
        <v>0</v>
      </c>
    </row>
    <row r="1641" spans="1:7" ht="15.75" customHeight="1">
      <c r="A1641" s="2" t="s">
        <v>7174</v>
      </c>
      <c r="B1641" s="2" t="s">
        <v>7200</v>
      </c>
      <c r="C1641" s="2" t="s">
        <v>4306</v>
      </c>
      <c r="D1641" s="2" t="s">
        <v>6840</v>
      </c>
      <c r="E1641" s="2" t="s">
        <v>7215</v>
      </c>
      <c r="F1641" s="2" t="s">
        <v>7215</v>
      </c>
      <c r="G1641" s="2">
        <v>255</v>
      </c>
    </row>
    <row r="1642" spans="1:7" ht="15.75" customHeight="1">
      <c r="A1642" s="2" t="s">
        <v>7174</v>
      </c>
      <c r="B1642" s="2" t="s">
        <v>7200</v>
      </c>
      <c r="C1642" s="2" t="s">
        <v>7135</v>
      </c>
      <c r="D1642" s="2" t="s">
        <v>7235</v>
      </c>
      <c r="E1642" s="2" t="s">
        <v>538</v>
      </c>
      <c r="F1642" s="2" t="s">
        <v>538</v>
      </c>
      <c r="G1642" s="2">
        <v>0</v>
      </c>
    </row>
    <row r="1643" spans="1:7" ht="15.75" customHeight="1">
      <c r="A1643" s="2" t="s">
        <v>7174</v>
      </c>
      <c r="B1643" s="2" t="s">
        <v>7200</v>
      </c>
      <c r="C1643" s="2" t="s">
        <v>7236</v>
      </c>
      <c r="D1643" s="2" t="s">
        <v>7234</v>
      </c>
      <c r="E1643" s="2" t="s">
        <v>3897</v>
      </c>
      <c r="F1643" s="2" t="s">
        <v>7210</v>
      </c>
      <c r="G1643" s="2">
        <v>18</v>
      </c>
    </row>
    <row r="1644" spans="1:7" ht="15.75" customHeight="1">
      <c r="A1644" s="2" t="s">
        <v>7174</v>
      </c>
      <c r="B1644" s="2" t="s">
        <v>7200</v>
      </c>
      <c r="C1644" s="2" t="s">
        <v>7176</v>
      </c>
      <c r="D1644" s="2" t="s">
        <v>7235</v>
      </c>
      <c r="E1644" s="2" t="s">
        <v>538</v>
      </c>
      <c r="F1644" s="2" t="s">
        <v>538</v>
      </c>
      <c r="G1644" s="2">
        <v>0</v>
      </c>
    </row>
    <row r="1645" spans="1:7" ht="15.75" customHeight="1">
      <c r="A1645" s="2" t="s">
        <v>7174</v>
      </c>
      <c r="B1645" s="2" t="s">
        <v>7200</v>
      </c>
      <c r="C1645" s="2" t="s">
        <v>7237</v>
      </c>
      <c r="D1645" s="2" t="s">
        <v>7234</v>
      </c>
      <c r="E1645" s="2" t="s">
        <v>3897</v>
      </c>
      <c r="F1645" s="2" t="s">
        <v>7210</v>
      </c>
      <c r="G1645" s="2">
        <v>18</v>
      </c>
    </row>
    <row r="1646" spans="1:7" ht="15.75" customHeight="1">
      <c r="A1646" s="2" t="s">
        <v>7174</v>
      </c>
      <c r="B1646" s="2" t="s">
        <v>7200</v>
      </c>
      <c r="C1646" s="2" t="s">
        <v>7238</v>
      </c>
      <c r="D1646" s="2" t="s">
        <v>7235</v>
      </c>
      <c r="E1646" s="2" t="s">
        <v>538</v>
      </c>
      <c r="F1646" s="2" t="s">
        <v>538</v>
      </c>
      <c r="G1646" s="2">
        <v>0</v>
      </c>
    </row>
    <row r="1647" spans="1:7" ht="15.75" customHeight="1">
      <c r="A1647" s="2" t="s">
        <v>7174</v>
      </c>
      <c r="B1647" s="2" t="s">
        <v>7200</v>
      </c>
      <c r="C1647" s="2" t="s">
        <v>7240</v>
      </c>
      <c r="D1647" s="2" t="s">
        <v>7235</v>
      </c>
      <c r="E1647" s="2" t="s">
        <v>538</v>
      </c>
      <c r="F1647" s="2" t="s">
        <v>538</v>
      </c>
      <c r="G1647" s="2">
        <v>0</v>
      </c>
    </row>
    <row r="1648" spans="1:7" ht="15.75" customHeight="1">
      <c r="A1648" s="2" t="s">
        <v>7174</v>
      </c>
      <c r="B1648" s="2" t="s">
        <v>7200</v>
      </c>
      <c r="C1648" s="2" t="s">
        <v>7241</v>
      </c>
      <c r="D1648" s="2" t="s">
        <v>7235</v>
      </c>
      <c r="E1648" s="2" t="s">
        <v>538</v>
      </c>
      <c r="F1648" s="2" t="s">
        <v>538</v>
      </c>
      <c r="G1648" s="2">
        <v>0</v>
      </c>
    </row>
    <row r="1649" spans="1:7" ht="15.75" customHeight="1">
      <c r="A1649" s="2" t="s">
        <v>7174</v>
      </c>
      <c r="B1649" s="2" t="s">
        <v>7200</v>
      </c>
      <c r="C1649" s="2" t="s">
        <v>7242</v>
      </c>
      <c r="D1649" s="2" t="s">
        <v>7243</v>
      </c>
      <c r="E1649" s="2" t="s">
        <v>3897</v>
      </c>
      <c r="F1649" s="2" t="s">
        <v>7210</v>
      </c>
      <c r="G1649" s="2">
        <v>18</v>
      </c>
    </row>
    <row r="1650" spans="1:7" ht="15.75" customHeight="1">
      <c r="A1650" s="2" t="s">
        <v>7174</v>
      </c>
      <c r="B1650" s="2" t="s">
        <v>7200</v>
      </c>
      <c r="C1650" s="2" t="s">
        <v>8590</v>
      </c>
      <c r="D1650" s="2" t="s">
        <v>7450</v>
      </c>
      <c r="E1650" s="2" t="s">
        <v>7215</v>
      </c>
      <c r="F1650" s="2" t="s">
        <v>7215</v>
      </c>
      <c r="G1650" s="2">
        <v>200</v>
      </c>
    </row>
    <row r="1651" spans="1:7" ht="15.75" customHeight="1">
      <c r="A1651" s="2" t="s">
        <v>7174</v>
      </c>
      <c r="B1651" s="2" t="s">
        <v>7202</v>
      </c>
      <c r="C1651" s="2" t="s">
        <v>4304</v>
      </c>
      <c r="D1651" s="2" t="s">
        <v>7209</v>
      </c>
      <c r="E1651" s="2" t="s">
        <v>3897</v>
      </c>
      <c r="F1651" s="2" t="s">
        <v>7210</v>
      </c>
      <c r="G1651" s="2">
        <v>18</v>
      </c>
    </row>
    <row r="1652" spans="1:7" ht="15.75" customHeight="1">
      <c r="A1652" s="2" t="s">
        <v>7174</v>
      </c>
      <c r="B1652" s="2" t="s">
        <v>7202</v>
      </c>
      <c r="C1652" s="2" t="s">
        <v>7233</v>
      </c>
      <c r="D1652" s="2" t="s">
        <v>7574</v>
      </c>
      <c r="E1652" s="2" t="s">
        <v>3897</v>
      </c>
      <c r="F1652" s="2" t="s">
        <v>7210</v>
      </c>
      <c r="G1652" s="2">
        <v>18</v>
      </c>
    </row>
    <row r="1653" spans="1:7" ht="15.75" customHeight="1">
      <c r="A1653" s="2" t="s">
        <v>7174</v>
      </c>
      <c r="B1653" s="2" t="s">
        <v>7202</v>
      </c>
      <c r="C1653" s="2" t="s">
        <v>7211</v>
      </c>
      <c r="D1653" s="2" t="s">
        <v>7212</v>
      </c>
      <c r="E1653" s="2" t="s">
        <v>5672</v>
      </c>
      <c r="F1653" s="2" t="s">
        <v>5672</v>
      </c>
      <c r="G1653" s="2">
        <v>0</v>
      </c>
    </row>
    <row r="1654" spans="1:7" ht="15.75" customHeight="1">
      <c r="A1654" s="2" t="s">
        <v>7174</v>
      </c>
      <c r="B1654" s="2" t="s">
        <v>7202</v>
      </c>
      <c r="C1654" s="2" t="s">
        <v>4306</v>
      </c>
      <c r="D1654" s="2" t="s">
        <v>7254</v>
      </c>
      <c r="E1654" s="2" t="s">
        <v>7215</v>
      </c>
      <c r="F1654" s="2" t="s">
        <v>7215</v>
      </c>
      <c r="G1654" s="2">
        <v>80</v>
      </c>
    </row>
    <row r="1655" spans="1:7" ht="15.75" customHeight="1">
      <c r="A1655" s="2" t="s">
        <v>7174</v>
      </c>
      <c r="B1655" s="2" t="s">
        <v>7202</v>
      </c>
      <c r="C1655" s="2" t="s">
        <v>7135</v>
      </c>
      <c r="D1655" s="2" t="s">
        <v>7235</v>
      </c>
      <c r="E1655" s="2" t="s">
        <v>538</v>
      </c>
      <c r="F1655" s="2" t="s">
        <v>538</v>
      </c>
      <c r="G1655" s="2">
        <v>0</v>
      </c>
    </row>
    <row r="1656" spans="1:7" ht="15.75" customHeight="1">
      <c r="A1656" s="2" t="s">
        <v>7174</v>
      </c>
      <c r="B1656" s="2" t="s">
        <v>7202</v>
      </c>
      <c r="C1656" s="2" t="s">
        <v>7236</v>
      </c>
      <c r="D1656" s="2" t="s">
        <v>7234</v>
      </c>
      <c r="E1656" s="2" t="s">
        <v>3897</v>
      </c>
      <c r="F1656" s="2" t="s">
        <v>7210</v>
      </c>
      <c r="G1656" s="2">
        <v>18</v>
      </c>
    </row>
    <row r="1657" spans="1:7" ht="15.75" customHeight="1">
      <c r="A1657" s="2" t="s">
        <v>7174</v>
      </c>
      <c r="B1657" s="2" t="s">
        <v>7202</v>
      </c>
      <c r="C1657" s="2" t="s">
        <v>7176</v>
      </c>
      <c r="D1657" s="2" t="s">
        <v>7235</v>
      </c>
      <c r="E1657" s="2" t="s">
        <v>538</v>
      </c>
      <c r="F1657" s="2" t="s">
        <v>538</v>
      </c>
      <c r="G1657" s="2">
        <v>0</v>
      </c>
    </row>
    <row r="1658" spans="1:7" ht="15.75" customHeight="1">
      <c r="A1658" s="2" t="s">
        <v>7174</v>
      </c>
      <c r="B1658" s="2" t="s">
        <v>7202</v>
      </c>
      <c r="C1658" s="2" t="s">
        <v>7237</v>
      </c>
      <c r="D1658" s="2" t="s">
        <v>7234</v>
      </c>
      <c r="E1658" s="2" t="s">
        <v>3897</v>
      </c>
      <c r="F1658" s="2" t="s">
        <v>7210</v>
      </c>
      <c r="G1658" s="2">
        <v>18</v>
      </c>
    </row>
    <row r="1659" spans="1:7" ht="15.75" customHeight="1">
      <c r="A1659" s="2" t="s">
        <v>7174</v>
      </c>
      <c r="B1659" s="2" t="s">
        <v>7202</v>
      </c>
      <c r="C1659" s="2" t="s">
        <v>7238</v>
      </c>
      <c r="D1659" s="2" t="s">
        <v>7235</v>
      </c>
      <c r="E1659" s="2" t="s">
        <v>538</v>
      </c>
      <c r="F1659" s="2" t="s">
        <v>538</v>
      </c>
      <c r="G1659" s="2">
        <v>0</v>
      </c>
    </row>
    <row r="1660" spans="1:7" ht="15.75" customHeight="1">
      <c r="A1660" s="2" t="s">
        <v>7174</v>
      </c>
      <c r="B1660" s="2" t="s">
        <v>7202</v>
      </c>
      <c r="C1660" s="2" t="s">
        <v>7240</v>
      </c>
      <c r="D1660" s="2" t="s">
        <v>7235</v>
      </c>
      <c r="E1660" s="2" t="s">
        <v>538</v>
      </c>
      <c r="F1660" s="2" t="s">
        <v>538</v>
      </c>
      <c r="G1660" s="2">
        <v>0</v>
      </c>
    </row>
    <row r="1661" spans="1:7" ht="15.75" customHeight="1">
      <c r="A1661" s="2" t="s">
        <v>7174</v>
      </c>
      <c r="B1661" s="2" t="s">
        <v>7202</v>
      </c>
      <c r="C1661" s="2" t="s">
        <v>7241</v>
      </c>
      <c r="D1661" s="2" t="s">
        <v>7235</v>
      </c>
      <c r="E1661" s="2" t="s">
        <v>538</v>
      </c>
      <c r="F1661" s="2" t="s">
        <v>538</v>
      </c>
      <c r="G1661" s="2">
        <v>0</v>
      </c>
    </row>
    <row r="1662" spans="1:7" ht="15.75" customHeight="1">
      <c r="A1662" s="2" t="s">
        <v>7174</v>
      </c>
      <c r="B1662" s="2" t="s">
        <v>7202</v>
      </c>
      <c r="C1662" s="2" t="s">
        <v>7242</v>
      </c>
      <c r="D1662" s="2" t="s">
        <v>7243</v>
      </c>
      <c r="E1662" s="2" t="s">
        <v>3897</v>
      </c>
      <c r="F1662" s="2" t="s">
        <v>7210</v>
      </c>
      <c r="G1662" s="2">
        <v>18</v>
      </c>
    </row>
    <row r="1663" spans="1:7" ht="15.75" customHeight="1">
      <c r="A1663" s="2" t="s">
        <v>7174</v>
      </c>
      <c r="B1663" s="2" t="s">
        <v>7202</v>
      </c>
      <c r="C1663" s="2" t="s">
        <v>7283</v>
      </c>
      <c r="D1663" s="2" t="s">
        <v>7354</v>
      </c>
      <c r="E1663" s="2" t="s">
        <v>7215</v>
      </c>
      <c r="F1663" s="2" t="s">
        <v>7215</v>
      </c>
      <c r="G1663" s="2">
        <v>50</v>
      </c>
    </row>
    <row r="1664" spans="1:7" ht="15.75" customHeight="1">
      <c r="A1664" s="2" t="s">
        <v>7174</v>
      </c>
      <c r="B1664" s="2" t="s">
        <v>7202</v>
      </c>
      <c r="C1664" s="2" t="s">
        <v>8591</v>
      </c>
      <c r="D1664" s="2" t="s">
        <v>7259</v>
      </c>
      <c r="E1664" s="2" t="s">
        <v>7215</v>
      </c>
      <c r="F1664" s="2" t="s">
        <v>7215</v>
      </c>
      <c r="G1664" s="2">
        <v>255</v>
      </c>
    </row>
    <row r="1665" spans="1:7" ht="15.75" customHeight="1">
      <c r="A1665" s="2" t="s">
        <v>7174</v>
      </c>
      <c r="B1665" s="2" t="s">
        <v>7202</v>
      </c>
      <c r="C1665" s="2" t="s">
        <v>8592</v>
      </c>
      <c r="D1665" s="2" t="s">
        <v>7354</v>
      </c>
      <c r="E1665" s="2" t="s">
        <v>7215</v>
      </c>
      <c r="F1665" s="2" t="s">
        <v>7215</v>
      </c>
      <c r="G1665" s="2">
        <v>50</v>
      </c>
    </row>
    <row r="1666" spans="1:7" ht="15.75" customHeight="1">
      <c r="A1666" s="2" t="s">
        <v>7174</v>
      </c>
      <c r="B1666" s="2" t="s">
        <v>7202</v>
      </c>
      <c r="C1666" s="2" t="s">
        <v>7601</v>
      </c>
      <c r="D1666" s="2" t="s">
        <v>7354</v>
      </c>
      <c r="E1666" s="2" t="s">
        <v>7215</v>
      </c>
      <c r="F1666" s="2" t="s">
        <v>7215</v>
      </c>
      <c r="G1666" s="2">
        <v>50</v>
      </c>
    </row>
    <row r="1667" spans="1:7" ht="15.75" customHeight="1">
      <c r="A1667" s="2" t="s">
        <v>7174</v>
      </c>
      <c r="B1667" s="2" t="s">
        <v>7202</v>
      </c>
      <c r="C1667" s="2" t="s">
        <v>7428</v>
      </c>
      <c r="D1667" s="2" t="s">
        <v>7259</v>
      </c>
      <c r="E1667" s="2" t="s">
        <v>7215</v>
      </c>
      <c r="F1667" s="2" t="s">
        <v>7215</v>
      </c>
      <c r="G1667" s="2">
        <v>255</v>
      </c>
    </row>
    <row r="1668" spans="1:7" ht="15.75" customHeight="1">
      <c r="A1668" s="2" t="s">
        <v>7174</v>
      </c>
      <c r="B1668" s="2" t="s">
        <v>7202</v>
      </c>
      <c r="C1668" s="2" t="s">
        <v>7395</v>
      </c>
      <c r="D1668" s="2" t="s">
        <v>7354</v>
      </c>
      <c r="E1668" s="2" t="s">
        <v>7215</v>
      </c>
      <c r="F1668" s="2" t="s">
        <v>7215</v>
      </c>
      <c r="G1668" s="2">
        <v>50</v>
      </c>
    </row>
    <row r="1669" spans="1:7" ht="15.75" customHeight="1">
      <c r="A1669" s="2" t="s">
        <v>7174</v>
      </c>
      <c r="B1669" s="2" t="s">
        <v>7202</v>
      </c>
      <c r="C1669" s="2" t="s">
        <v>8593</v>
      </c>
      <c r="D1669" s="2" t="s">
        <v>7234</v>
      </c>
      <c r="E1669" s="2" t="s">
        <v>3897</v>
      </c>
      <c r="F1669" s="2" t="s">
        <v>7210</v>
      </c>
      <c r="G1669" s="2">
        <v>18</v>
      </c>
    </row>
    <row r="1670" spans="1:7" ht="15.75" customHeight="1">
      <c r="A1670" s="2" t="s">
        <v>7174</v>
      </c>
      <c r="B1670" s="2" t="s">
        <v>7202</v>
      </c>
      <c r="C1670" s="2" t="s">
        <v>8594</v>
      </c>
      <c r="D1670" s="2" t="s">
        <v>7259</v>
      </c>
      <c r="E1670" s="2" t="s">
        <v>7215</v>
      </c>
      <c r="F1670" s="2" t="s">
        <v>7215</v>
      </c>
      <c r="G1670" s="2">
        <v>255</v>
      </c>
    </row>
    <row r="1671" spans="1:7" ht="15.75" customHeight="1">
      <c r="A1671" s="2" t="s">
        <v>7174</v>
      </c>
      <c r="B1671" s="2" t="s">
        <v>7202</v>
      </c>
      <c r="C1671" s="2" t="s">
        <v>7427</v>
      </c>
      <c r="D1671" s="2" t="s">
        <v>7357</v>
      </c>
      <c r="E1671" s="2" t="s">
        <v>7215</v>
      </c>
      <c r="F1671" s="2" t="s">
        <v>7215</v>
      </c>
      <c r="G1671" s="2">
        <v>5</v>
      </c>
    </row>
    <row r="1672" spans="1:7" ht="15.75" customHeight="1">
      <c r="A1672" s="2" t="s">
        <v>7174</v>
      </c>
      <c r="B1672" s="2" t="s">
        <v>7202</v>
      </c>
      <c r="C1672" s="2" t="s">
        <v>8595</v>
      </c>
      <c r="D1672" s="2" t="s">
        <v>7365</v>
      </c>
      <c r="E1672" s="2" t="s">
        <v>7215</v>
      </c>
      <c r="F1672" s="2" t="s">
        <v>7215</v>
      </c>
      <c r="G1672" s="2">
        <v>255</v>
      </c>
    </row>
    <row r="1673" spans="1:7" ht="15.75" customHeight="1">
      <c r="A1673" s="2" t="s">
        <v>7174</v>
      </c>
      <c r="B1673" s="2" t="s">
        <v>7203</v>
      </c>
      <c r="C1673" s="2" t="s">
        <v>4304</v>
      </c>
      <c r="D1673" s="2" t="s">
        <v>7209</v>
      </c>
      <c r="E1673" s="2" t="s">
        <v>3897</v>
      </c>
      <c r="F1673" s="2" t="s">
        <v>7210</v>
      </c>
      <c r="G1673" s="2">
        <v>18</v>
      </c>
    </row>
    <row r="1674" spans="1:7" ht="15.75" customHeight="1">
      <c r="A1674" s="2" t="s">
        <v>7174</v>
      </c>
      <c r="B1674" s="2" t="s">
        <v>7203</v>
      </c>
      <c r="C1674" s="2" t="s">
        <v>7211</v>
      </c>
      <c r="D1674" s="2" t="s">
        <v>7212</v>
      </c>
      <c r="E1674" s="2" t="s">
        <v>5672</v>
      </c>
      <c r="F1674" s="2" t="s">
        <v>5672</v>
      </c>
      <c r="G1674" s="2">
        <v>0</v>
      </c>
    </row>
    <row r="1675" spans="1:7" ht="15.75" customHeight="1">
      <c r="A1675" s="2" t="s">
        <v>7174</v>
      </c>
      <c r="B1675" s="2" t="s">
        <v>7203</v>
      </c>
      <c r="C1675" s="2" t="s">
        <v>7810</v>
      </c>
      <c r="D1675" s="2" t="s">
        <v>7214</v>
      </c>
      <c r="E1675" s="2" t="s">
        <v>3897</v>
      </c>
      <c r="F1675" s="2" t="s">
        <v>7210</v>
      </c>
      <c r="G1675" s="2">
        <v>18</v>
      </c>
    </row>
    <row r="1676" spans="1:7" ht="15.75" customHeight="1">
      <c r="A1676" s="2" t="s">
        <v>7174</v>
      </c>
      <c r="B1676" s="2" t="s">
        <v>7203</v>
      </c>
      <c r="C1676" s="2" t="s">
        <v>7217</v>
      </c>
      <c r="D1676" s="2" t="s">
        <v>7218</v>
      </c>
      <c r="E1676" s="2" t="s">
        <v>3897</v>
      </c>
      <c r="F1676" s="2" t="s">
        <v>7210</v>
      </c>
      <c r="G1676" s="2">
        <v>18</v>
      </c>
    </row>
    <row r="1677" spans="1:7" ht="15.75" customHeight="1">
      <c r="A1677" s="2" t="s">
        <v>7174</v>
      </c>
      <c r="B1677" s="2" t="s">
        <v>7203</v>
      </c>
      <c r="C1677" s="2" t="s">
        <v>4306</v>
      </c>
      <c r="D1677" s="2" t="s">
        <v>7399</v>
      </c>
      <c r="E1677" s="2" t="s">
        <v>7215</v>
      </c>
      <c r="F1677" s="2" t="s">
        <v>7215</v>
      </c>
      <c r="G1677" s="2">
        <v>120</v>
      </c>
    </row>
    <row r="1678" spans="1:7" ht="15.75" customHeight="1">
      <c r="A1678" s="2" t="s">
        <v>7174</v>
      </c>
      <c r="B1678" s="2" t="s">
        <v>7203</v>
      </c>
      <c r="C1678" s="2" t="s">
        <v>1729</v>
      </c>
      <c r="D1678" s="2" t="s">
        <v>7232</v>
      </c>
      <c r="E1678" s="2" t="s">
        <v>7215</v>
      </c>
      <c r="F1678" s="2" t="s">
        <v>7215</v>
      </c>
      <c r="G1678" s="2">
        <v>32000</v>
      </c>
    </row>
    <row r="1679" spans="1:7" ht="15.75" customHeight="1">
      <c r="A1679" s="2" t="s">
        <v>7174</v>
      </c>
      <c r="B1679" s="2" t="s">
        <v>7203</v>
      </c>
      <c r="C1679" s="2" t="s">
        <v>8596</v>
      </c>
      <c r="D1679" s="2" t="s">
        <v>7216</v>
      </c>
      <c r="E1679" s="2" t="s">
        <v>7215</v>
      </c>
      <c r="F1679" s="2" t="s">
        <v>7215</v>
      </c>
      <c r="G1679" s="2">
        <v>255</v>
      </c>
    </row>
    <row r="1680" spans="1:7" ht="15.75" customHeight="1">
      <c r="A1680" s="2" t="s">
        <v>7174</v>
      </c>
      <c r="B1680" s="2" t="s">
        <v>7203</v>
      </c>
      <c r="C1680" s="2" t="s">
        <v>6207</v>
      </c>
      <c r="D1680" s="2" t="s">
        <v>7312</v>
      </c>
      <c r="E1680" s="2" t="s">
        <v>7278</v>
      </c>
      <c r="F1680" s="2" t="s">
        <v>7278</v>
      </c>
      <c r="G1680" s="2">
        <v>0</v>
      </c>
    </row>
    <row r="1681" spans="1:7" ht="15.75" customHeight="1">
      <c r="A1681" s="2" t="s">
        <v>7174</v>
      </c>
      <c r="B1681" s="2" t="s">
        <v>7203</v>
      </c>
      <c r="C1681" s="2" t="s">
        <v>8597</v>
      </c>
      <c r="D1681" s="2" t="s">
        <v>8598</v>
      </c>
      <c r="E1681" s="2" t="s">
        <v>7278</v>
      </c>
      <c r="F1681" s="2" t="s">
        <v>7278</v>
      </c>
      <c r="G1681" s="2">
        <v>0</v>
      </c>
    </row>
    <row r="1682" spans="1:7" ht="15.75" customHeight="1">
      <c r="A1682" s="2" t="s">
        <v>7174</v>
      </c>
      <c r="B1682" s="2" t="s">
        <v>7203</v>
      </c>
      <c r="C1682" s="2" t="s">
        <v>8599</v>
      </c>
      <c r="D1682" s="2" t="s">
        <v>6212</v>
      </c>
      <c r="E1682" s="2" t="s">
        <v>1974</v>
      </c>
      <c r="F1682" s="2" t="s">
        <v>1974</v>
      </c>
      <c r="G1682" s="2">
        <v>0</v>
      </c>
    </row>
    <row r="1683" spans="1:7" ht="15.75" customHeight="1">
      <c r="A1683" s="2" t="s">
        <v>7174</v>
      </c>
      <c r="B1683" s="2" t="s">
        <v>7203</v>
      </c>
      <c r="C1683" s="2" t="s">
        <v>1611</v>
      </c>
      <c r="D1683" s="2" t="s">
        <v>7216</v>
      </c>
      <c r="E1683" s="2" t="s">
        <v>7215</v>
      </c>
      <c r="F1683" s="2" t="s">
        <v>7215</v>
      </c>
      <c r="G1683" s="2">
        <v>255</v>
      </c>
    </row>
    <row r="1684" spans="1:7" ht="15.75" customHeight="1">
      <c r="A1684" s="2" t="s">
        <v>7174</v>
      </c>
      <c r="B1684" s="2" t="s">
        <v>7203</v>
      </c>
      <c r="C1684" s="2" t="s">
        <v>8600</v>
      </c>
      <c r="D1684" s="2" t="s">
        <v>7259</v>
      </c>
      <c r="E1684" s="2" t="s">
        <v>7215</v>
      </c>
      <c r="F1684" s="2" t="s">
        <v>7215</v>
      </c>
      <c r="G1684" s="2">
        <v>255</v>
      </c>
    </row>
    <row r="1685" spans="1:7" ht="15.75" customHeight="1">
      <c r="A1685" s="2" t="s">
        <v>7174</v>
      </c>
      <c r="B1685" s="2" t="s">
        <v>7203</v>
      </c>
      <c r="C1685" s="2" t="s">
        <v>7771</v>
      </c>
      <c r="D1685" s="2" t="s">
        <v>7216</v>
      </c>
      <c r="E1685" s="2" t="s">
        <v>7215</v>
      </c>
      <c r="F1685" s="2" t="s">
        <v>7215</v>
      </c>
      <c r="G1685" s="2">
        <v>255</v>
      </c>
    </row>
    <row r="1686" spans="1:7" ht="15.75" customHeight="1">
      <c r="A1686" s="2" t="s">
        <v>7174</v>
      </c>
      <c r="B1686" s="2" t="s">
        <v>7203</v>
      </c>
      <c r="C1686" s="2" t="s">
        <v>7821</v>
      </c>
      <c r="D1686" s="2" t="s">
        <v>7212</v>
      </c>
      <c r="E1686" s="2" t="s">
        <v>5672</v>
      </c>
      <c r="F1686" s="2" t="s">
        <v>5672</v>
      </c>
      <c r="G1686" s="2">
        <v>0</v>
      </c>
    </row>
    <row r="1687" spans="1:7" ht="15.75" customHeight="1">
      <c r="A1687" s="2" t="s">
        <v>7174</v>
      </c>
      <c r="B1687" s="2" t="s">
        <v>7203</v>
      </c>
      <c r="C1687" s="2" t="s">
        <v>8601</v>
      </c>
      <c r="D1687" s="2" t="s">
        <v>7212</v>
      </c>
      <c r="E1687" s="2" t="s">
        <v>5672</v>
      </c>
      <c r="F1687" s="2" t="s">
        <v>5672</v>
      </c>
      <c r="G1687" s="2">
        <v>0</v>
      </c>
    </row>
    <row r="1688" spans="1:7" ht="15.75" customHeight="1">
      <c r="A1688" s="2" t="s">
        <v>7174</v>
      </c>
      <c r="B1688" s="2" t="s">
        <v>7203</v>
      </c>
      <c r="C1688" s="2" t="s">
        <v>8602</v>
      </c>
      <c r="D1688" s="2" t="s">
        <v>7216</v>
      </c>
      <c r="E1688" s="2" t="s">
        <v>7215</v>
      </c>
      <c r="F1688" s="2" t="s">
        <v>7215</v>
      </c>
      <c r="G1688" s="2">
        <v>40</v>
      </c>
    </row>
    <row r="1689" spans="1:7" ht="15.75" customHeight="1">
      <c r="A1689" s="2" t="s">
        <v>7174</v>
      </c>
      <c r="B1689" s="2" t="s">
        <v>7203</v>
      </c>
      <c r="C1689" s="2" t="s">
        <v>8603</v>
      </c>
      <c r="D1689" s="2" t="s">
        <v>7216</v>
      </c>
      <c r="E1689" s="2" t="s">
        <v>7215</v>
      </c>
      <c r="F1689" s="2" t="s">
        <v>7215</v>
      </c>
      <c r="G1689" s="2">
        <v>255</v>
      </c>
    </row>
    <row r="1690" spans="1:7" ht="15.75" customHeight="1">
      <c r="A1690" s="2" t="s">
        <v>7174</v>
      </c>
      <c r="B1690" s="2" t="s">
        <v>7203</v>
      </c>
      <c r="C1690" s="2" t="s">
        <v>7757</v>
      </c>
      <c r="D1690" s="2" t="s">
        <v>7705</v>
      </c>
      <c r="E1690" s="2" t="s">
        <v>3897</v>
      </c>
      <c r="F1690" s="2" t="s">
        <v>7210</v>
      </c>
      <c r="G1690" s="2">
        <v>18</v>
      </c>
    </row>
    <row r="1691" spans="1:7" ht="15.75" customHeight="1">
      <c r="A1691" s="2" t="s">
        <v>7174</v>
      </c>
      <c r="B1691" s="2" t="s">
        <v>7203</v>
      </c>
      <c r="C1691" s="2" t="s">
        <v>8604</v>
      </c>
      <c r="D1691" s="2" t="s">
        <v>7212</v>
      </c>
      <c r="E1691" s="2" t="s">
        <v>5672</v>
      </c>
      <c r="F1691" s="2" t="s">
        <v>5672</v>
      </c>
      <c r="G1691" s="2">
        <v>0</v>
      </c>
    </row>
    <row r="1692" spans="1:7" ht="15.75" customHeight="1">
      <c r="A1692" s="2" t="s">
        <v>7174</v>
      </c>
      <c r="B1692" s="2" t="s">
        <v>7203</v>
      </c>
      <c r="C1692" s="2" t="s">
        <v>8605</v>
      </c>
      <c r="D1692" s="2" t="s">
        <v>8606</v>
      </c>
      <c r="E1692" s="2" t="s">
        <v>3897</v>
      </c>
      <c r="F1692" s="2" t="s">
        <v>7210</v>
      </c>
      <c r="G1692" s="2">
        <v>18</v>
      </c>
    </row>
    <row r="1693" spans="1:7" ht="15.75" customHeight="1">
      <c r="A1693" s="2" t="s">
        <v>7174</v>
      </c>
      <c r="B1693" s="2" t="s">
        <v>7203</v>
      </c>
      <c r="C1693" s="2" t="s">
        <v>7233</v>
      </c>
      <c r="D1693" s="2" t="s">
        <v>7234</v>
      </c>
      <c r="E1693" s="2" t="s">
        <v>3897</v>
      </c>
      <c r="F1693" s="2" t="s">
        <v>7210</v>
      </c>
      <c r="G1693" s="2">
        <v>18</v>
      </c>
    </row>
    <row r="1694" spans="1:7" ht="15.75" customHeight="1">
      <c r="A1694" s="2" t="s">
        <v>7174</v>
      </c>
      <c r="B1694" s="2" t="s">
        <v>7203</v>
      </c>
      <c r="C1694" s="2" t="s">
        <v>7135</v>
      </c>
      <c r="D1694" s="2" t="s">
        <v>7235</v>
      </c>
      <c r="E1694" s="2" t="s">
        <v>538</v>
      </c>
      <c r="F1694" s="2" t="s">
        <v>538</v>
      </c>
      <c r="G1694" s="2">
        <v>0</v>
      </c>
    </row>
    <row r="1695" spans="1:7" ht="15.75" customHeight="1">
      <c r="A1695" s="2" t="s">
        <v>7174</v>
      </c>
      <c r="B1695" s="2" t="s">
        <v>7203</v>
      </c>
      <c r="C1695" s="2" t="s">
        <v>7236</v>
      </c>
      <c r="D1695" s="2" t="s">
        <v>7234</v>
      </c>
      <c r="E1695" s="2" t="s">
        <v>3897</v>
      </c>
      <c r="F1695" s="2" t="s">
        <v>7210</v>
      </c>
      <c r="G1695" s="2">
        <v>18</v>
      </c>
    </row>
    <row r="1696" spans="1:7" ht="15.75" customHeight="1">
      <c r="A1696" s="2" t="s">
        <v>7174</v>
      </c>
      <c r="B1696" s="2" t="s">
        <v>7203</v>
      </c>
      <c r="C1696" s="2" t="s">
        <v>7176</v>
      </c>
      <c r="D1696" s="2" t="s">
        <v>7235</v>
      </c>
      <c r="E1696" s="2" t="s">
        <v>538</v>
      </c>
      <c r="F1696" s="2" t="s">
        <v>538</v>
      </c>
      <c r="G1696" s="2">
        <v>0</v>
      </c>
    </row>
    <row r="1697" spans="1:7" ht="15.75" customHeight="1">
      <c r="A1697" s="2" t="s">
        <v>7174</v>
      </c>
      <c r="B1697" s="2" t="s">
        <v>7203</v>
      </c>
      <c r="C1697" s="2" t="s">
        <v>7237</v>
      </c>
      <c r="D1697" s="2" t="s">
        <v>7234</v>
      </c>
      <c r="E1697" s="2" t="s">
        <v>3897</v>
      </c>
      <c r="F1697" s="2" t="s">
        <v>7210</v>
      </c>
      <c r="G1697" s="2">
        <v>18</v>
      </c>
    </row>
    <row r="1698" spans="1:7" ht="15.75" customHeight="1">
      <c r="A1698" s="2" t="s">
        <v>7174</v>
      </c>
      <c r="B1698" s="2" t="s">
        <v>7203</v>
      </c>
      <c r="C1698" s="2" t="s">
        <v>7238</v>
      </c>
      <c r="D1698" s="2" t="s">
        <v>7235</v>
      </c>
      <c r="E1698" s="2" t="s">
        <v>538</v>
      </c>
      <c r="F1698" s="2" t="s">
        <v>538</v>
      </c>
      <c r="G1698" s="2">
        <v>0</v>
      </c>
    </row>
    <row r="1699" spans="1:7" ht="15.75" customHeight="1">
      <c r="A1699" s="2" t="s">
        <v>7174</v>
      </c>
      <c r="B1699" s="2" t="s">
        <v>7203</v>
      </c>
      <c r="C1699" s="2" t="s">
        <v>7239</v>
      </c>
      <c r="D1699" s="2" t="s">
        <v>6212</v>
      </c>
      <c r="E1699" s="2" t="s">
        <v>1974</v>
      </c>
      <c r="F1699" s="2" t="s">
        <v>1974</v>
      </c>
      <c r="G1699" s="2">
        <v>0</v>
      </c>
    </row>
    <row r="1700" spans="1:7" ht="15.75" customHeight="1">
      <c r="A1700" s="2" t="s">
        <v>7174</v>
      </c>
      <c r="B1700" s="2" t="s">
        <v>7203</v>
      </c>
      <c r="C1700" s="2" t="s">
        <v>7759</v>
      </c>
      <c r="D1700" s="2" t="s">
        <v>7245</v>
      </c>
      <c r="E1700" s="2" t="s">
        <v>3897</v>
      </c>
      <c r="F1700" s="2" t="s">
        <v>7210</v>
      </c>
      <c r="G1700" s="2">
        <v>18</v>
      </c>
    </row>
    <row r="1701" spans="1:7" ht="15.75" customHeight="1">
      <c r="A1701" s="2" t="s">
        <v>7174</v>
      </c>
      <c r="B1701" s="2" t="s">
        <v>7203</v>
      </c>
      <c r="C1701" s="2" t="s">
        <v>7240</v>
      </c>
      <c r="D1701" s="2" t="s">
        <v>7235</v>
      </c>
      <c r="E1701" s="2" t="s">
        <v>538</v>
      </c>
      <c r="F1701" s="2" t="s">
        <v>538</v>
      </c>
      <c r="G1701" s="2">
        <v>0</v>
      </c>
    </row>
    <row r="1702" spans="1:7" ht="15.75" customHeight="1">
      <c r="A1702" s="2" t="s">
        <v>7174</v>
      </c>
      <c r="B1702" s="2" t="s">
        <v>7203</v>
      </c>
      <c r="C1702" s="2" t="s">
        <v>7241</v>
      </c>
      <c r="D1702" s="2" t="s">
        <v>7235</v>
      </c>
      <c r="E1702" s="2" t="s">
        <v>538</v>
      </c>
      <c r="F1702" s="2" t="s">
        <v>538</v>
      </c>
      <c r="G1702" s="2">
        <v>0</v>
      </c>
    </row>
    <row r="1703" spans="1:7" ht="15.75" customHeight="1">
      <c r="A1703" s="2" t="s">
        <v>7174</v>
      </c>
      <c r="B1703" s="2" t="s">
        <v>7203</v>
      </c>
      <c r="C1703" s="2" t="s">
        <v>7242</v>
      </c>
      <c r="D1703" s="2" t="s">
        <v>7243</v>
      </c>
      <c r="E1703" s="2" t="s">
        <v>3897</v>
      </c>
      <c r="F1703" s="2" t="s">
        <v>7210</v>
      </c>
      <c r="G1703" s="2">
        <v>18</v>
      </c>
    </row>
    <row r="1704" spans="1:7" ht="15.75" customHeight="1">
      <c r="A1704" s="2" t="s">
        <v>7174</v>
      </c>
      <c r="B1704" s="2" t="s">
        <v>7203</v>
      </c>
      <c r="C1704" s="2" t="s">
        <v>8607</v>
      </c>
      <c r="D1704" s="2" t="s">
        <v>8608</v>
      </c>
      <c r="E1704" s="2" t="s">
        <v>3897</v>
      </c>
      <c r="F1704" s="2" t="s">
        <v>7210</v>
      </c>
      <c r="G1704" s="2">
        <v>18</v>
      </c>
    </row>
    <row r="1705" spans="1:7" ht="15.75" customHeight="1">
      <c r="A1705" s="2" t="s">
        <v>7174</v>
      </c>
      <c r="B1705" s="2" t="s">
        <v>7203</v>
      </c>
      <c r="C1705" s="2" t="s">
        <v>8609</v>
      </c>
      <c r="D1705" s="2" t="s">
        <v>7212</v>
      </c>
      <c r="E1705" s="2" t="s">
        <v>5672</v>
      </c>
      <c r="F1705" s="2" t="s">
        <v>5672</v>
      </c>
      <c r="G1705" s="2">
        <v>0</v>
      </c>
    </row>
    <row r="1706" spans="1:7" ht="15.75" customHeight="1">
      <c r="A1706" s="2" t="s">
        <v>7174</v>
      </c>
      <c r="B1706" s="2" t="s">
        <v>7203</v>
      </c>
      <c r="C1706" s="2" t="s">
        <v>8610</v>
      </c>
      <c r="D1706" s="2" t="s">
        <v>7212</v>
      </c>
      <c r="E1706" s="2" t="s">
        <v>5672</v>
      </c>
      <c r="F1706" s="2" t="s">
        <v>5672</v>
      </c>
      <c r="G1706" s="2">
        <v>0</v>
      </c>
    </row>
    <row r="1707" spans="1:7" ht="15.75" customHeight="1">
      <c r="A1707" s="2" t="s">
        <v>7174</v>
      </c>
      <c r="B1707" s="2" t="s">
        <v>7203</v>
      </c>
      <c r="C1707" s="2" t="s">
        <v>8611</v>
      </c>
      <c r="D1707" s="2" t="s">
        <v>8612</v>
      </c>
      <c r="E1707" s="2" t="s">
        <v>3897</v>
      </c>
      <c r="F1707" s="2" t="s">
        <v>7210</v>
      </c>
      <c r="G1707" s="2">
        <v>18</v>
      </c>
    </row>
    <row r="1708" spans="1:7" ht="15.75" customHeight="1">
      <c r="A1708" s="2" t="s">
        <v>7174</v>
      </c>
      <c r="B1708" s="2" t="s">
        <v>7203</v>
      </c>
      <c r="C1708" s="2" t="s">
        <v>8613</v>
      </c>
      <c r="D1708" s="2" t="s">
        <v>8612</v>
      </c>
      <c r="E1708" s="2" t="s">
        <v>3897</v>
      </c>
      <c r="F1708" s="2" t="s">
        <v>7210</v>
      </c>
      <c r="G1708" s="2">
        <v>18</v>
      </c>
    </row>
    <row r="1709" spans="1:7" ht="15.75" customHeight="1">
      <c r="A1709" s="2" t="s">
        <v>7174</v>
      </c>
      <c r="B1709" s="2" t="s">
        <v>7203</v>
      </c>
      <c r="C1709" s="2" t="s">
        <v>8614</v>
      </c>
      <c r="D1709" s="2" t="s">
        <v>7212</v>
      </c>
      <c r="E1709" s="2" t="s">
        <v>5672</v>
      </c>
      <c r="F1709" s="2" t="s">
        <v>5672</v>
      </c>
      <c r="G1709" s="2">
        <v>0</v>
      </c>
    </row>
    <row r="1710" spans="1:7" ht="15.75" customHeight="1">
      <c r="A1710" s="2" t="s">
        <v>7174</v>
      </c>
      <c r="B1710" s="2" t="s">
        <v>7203</v>
      </c>
      <c r="C1710" s="2" t="s">
        <v>8615</v>
      </c>
      <c r="D1710" s="2" t="s">
        <v>7212</v>
      </c>
      <c r="E1710" s="2" t="s">
        <v>5672</v>
      </c>
      <c r="F1710" s="2" t="s">
        <v>5672</v>
      </c>
      <c r="G1710" s="2">
        <v>0</v>
      </c>
    </row>
    <row r="1711" spans="1:7" ht="15.75" customHeight="1">
      <c r="A1711" s="2" t="s">
        <v>7174</v>
      </c>
      <c r="B1711" s="2" t="s">
        <v>7203</v>
      </c>
      <c r="C1711" s="2" t="s">
        <v>8616</v>
      </c>
      <c r="D1711" s="2" t="s">
        <v>7212</v>
      </c>
      <c r="E1711" s="2" t="s">
        <v>5672</v>
      </c>
      <c r="F1711" s="2" t="s">
        <v>5672</v>
      </c>
      <c r="G1711" s="2">
        <v>0</v>
      </c>
    </row>
    <row r="1712" spans="1:7" ht="15.75" customHeight="1">
      <c r="A1712" s="2" t="s">
        <v>7174</v>
      </c>
      <c r="B1712" s="2" t="s">
        <v>7203</v>
      </c>
      <c r="C1712" s="2" t="s">
        <v>7179</v>
      </c>
      <c r="D1712" s="2" t="s">
        <v>8617</v>
      </c>
      <c r="E1712" s="2" t="s">
        <v>3897</v>
      </c>
      <c r="F1712" s="2" t="s">
        <v>7210</v>
      </c>
      <c r="G1712" s="2">
        <v>18</v>
      </c>
    </row>
    <row r="1713" spans="1:7" ht="15.75" customHeight="1">
      <c r="A1713" s="2" t="s">
        <v>7174</v>
      </c>
      <c r="B1713" s="2" t="s">
        <v>7203</v>
      </c>
      <c r="C1713" s="2" t="s">
        <v>8618</v>
      </c>
      <c r="D1713" s="2" t="s">
        <v>7216</v>
      </c>
      <c r="E1713" s="2" t="s">
        <v>7215</v>
      </c>
      <c r="F1713" s="2" t="s">
        <v>7215</v>
      </c>
      <c r="G1713" s="2">
        <v>255</v>
      </c>
    </row>
    <row r="1714" spans="1:7" ht="15.75" customHeight="1">
      <c r="A1714" s="2" t="s">
        <v>7174</v>
      </c>
      <c r="B1714" s="2" t="s">
        <v>7203</v>
      </c>
      <c r="C1714" s="2" t="s">
        <v>8619</v>
      </c>
      <c r="D1714" s="2" t="s">
        <v>7216</v>
      </c>
      <c r="E1714" s="2" t="s">
        <v>7215</v>
      </c>
      <c r="F1714" s="2" t="s">
        <v>7215</v>
      </c>
      <c r="G1714" s="2">
        <v>255</v>
      </c>
    </row>
    <row r="1715" spans="1:7" ht="15.75" customHeight="1">
      <c r="A1715" s="2" t="s">
        <v>7174</v>
      </c>
      <c r="B1715" s="2" t="s">
        <v>7203</v>
      </c>
      <c r="C1715" s="2" t="s">
        <v>8620</v>
      </c>
      <c r="D1715" s="2" t="s">
        <v>7521</v>
      </c>
      <c r="E1715" s="2" t="s">
        <v>7215</v>
      </c>
      <c r="F1715" s="2" t="s">
        <v>7215</v>
      </c>
      <c r="G1715" s="2">
        <v>255</v>
      </c>
    </row>
    <row r="1716" spans="1:7" ht="15.75" customHeight="1">
      <c r="A1716" s="2" t="s">
        <v>7174</v>
      </c>
      <c r="B1716" s="2" t="s">
        <v>7203</v>
      </c>
      <c r="C1716" s="2" t="s">
        <v>8621</v>
      </c>
      <c r="D1716" s="2" t="s">
        <v>7259</v>
      </c>
      <c r="E1716" s="2" t="s">
        <v>7215</v>
      </c>
      <c r="F1716" s="2" t="s">
        <v>7215</v>
      </c>
      <c r="G1716" s="2">
        <v>255</v>
      </c>
    </row>
    <row r="1717" spans="1:7" ht="15.75" customHeight="1">
      <c r="A1717" s="2" t="s">
        <v>7174</v>
      </c>
      <c r="B1717" s="2" t="s">
        <v>7203</v>
      </c>
      <c r="C1717" s="2" t="s">
        <v>8622</v>
      </c>
      <c r="D1717" s="2" t="s">
        <v>7259</v>
      </c>
      <c r="E1717" s="2" t="s">
        <v>7215</v>
      </c>
      <c r="F1717" s="2" t="s">
        <v>7215</v>
      </c>
      <c r="G1717" s="2">
        <v>255</v>
      </c>
    </row>
    <row r="1718" spans="1:7" ht="15.75" customHeight="1">
      <c r="A1718" s="2" t="s">
        <v>7174</v>
      </c>
      <c r="B1718" s="2" t="s">
        <v>7203</v>
      </c>
      <c r="C1718" s="2" t="s">
        <v>8623</v>
      </c>
      <c r="D1718" s="2" t="s">
        <v>7259</v>
      </c>
      <c r="E1718" s="2" t="s">
        <v>7215</v>
      </c>
      <c r="F1718" s="2" t="s">
        <v>7215</v>
      </c>
      <c r="G1718" s="2">
        <v>255</v>
      </c>
    </row>
    <row r="1719" spans="1:7" ht="15.75" customHeight="1">
      <c r="A1719" s="2" t="s">
        <v>7174</v>
      </c>
      <c r="B1719" s="2" t="s">
        <v>7203</v>
      </c>
      <c r="C1719" s="2" t="s">
        <v>8624</v>
      </c>
      <c r="D1719" s="2" t="s">
        <v>8069</v>
      </c>
      <c r="E1719" s="2" t="s">
        <v>7215</v>
      </c>
      <c r="F1719" s="2" t="s">
        <v>7215</v>
      </c>
      <c r="G1719" s="2">
        <v>100000</v>
      </c>
    </row>
    <row r="1720" spans="1:7" ht="15.75" customHeight="1">
      <c r="A1720" s="2" t="s">
        <v>7174</v>
      </c>
      <c r="B1720" s="2" t="s">
        <v>7203</v>
      </c>
      <c r="C1720" s="2" t="s">
        <v>8625</v>
      </c>
      <c r="D1720" s="2" t="s">
        <v>7259</v>
      </c>
      <c r="E1720" s="2" t="s">
        <v>7215</v>
      </c>
      <c r="F1720" s="2" t="s">
        <v>7215</v>
      </c>
      <c r="G1720" s="2">
        <v>255</v>
      </c>
    </row>
    <row r="1721" spans="1:7" ht="15.75" customHeight="1">
      <c r="A1721" s="2" t="s">
        <v>7174</v>
      </c>
      <c r="B1721" s="2" t="s">
        <v>7203</v>
      </c>
      <c r="C1721" s="2" t="s">
        <v>8626</v>
      </c>
      <c r="D1721" s="2" t="s">
        <v>6212</v>
      </c>
      <c r="E1721" s="2" t="s">
        <v>1974</v>
      </c>
      <c r="F1721" s="2" t="s">
        <v>1974</v>
      </c>
      <c r="G1721" s="2">
        <v>0</v>
      </c>
    </row>
    <row r="1722" spans="1:7" ht="15.75" customHeight="1">
      <c r="A1722" s="2" t="s">
        <v>7174</v>
      </c>
      <c r="B1722" s="2" t="s">
        <v>7203</v>
      </c>
      <c r="C1722" s="2" t="s">
        <v>8627</v>
      </c>
      <c r="D1722" s="2" t="s">
        <v>7259</v>
      </c>
      <c r="E1722" s="2" t="s">
        <v>7215</v>
      </c>
      <c r="F1722" s="2" t="s">
        <v>7215</v>
      </c>
      <c r="G1722" s="2">
        <v>255</v>
      </c>
    </row>
    <row r="1723" spans="1:7" ht="15.75" customHeight="1">
      <c r="A1723" s="2" t="s">
        <v>7174</v>
      </c>
      <c r="B1723" s="2" t="s">
        <v>7203</v>
      </c>
      <c r="C1723" s="2" t="s">
        <v>8628</v>
      </c>
      <c r="D1723" s="2" t="s">
        <v>7284</v>
      </c>
      <c r="E1723" s="2" t="s">
        <v>7215</v>
      </c>
      <c r="F1723" s="2" t="s">
        <v>7215</v>
      </c>
      <c r="G1723" s="2">
        <v>1300</v>
      </c>
    </row>
    <row r="1724" spans="1:7" ht="15.75" customHeight="1">
      <c r="A1724" s="2" t="s">
        <v>7174</v>
      </c>
      <c r="B1724" s="2" t="s">
        <v>7203</v>
      </c>
      <c r="C1724" s="2" t="s">
        <v>7418</v>
      </c>
      <c r="D1724" s="2" t="s">
        <v>7437</v>
      </c>
      <c r="E1724" s="2" t="s">
        <v>7278</v>
      </c>
      <c r="F1724" s="2" t="s">
        <v>7278</v>
      </c>
      <c r="G1724" s="2">
        <v>0</v>
      </c>
    </row>
    <row r="1725" spans="1:7" ht="15.75" customHeight="1">
      <c r="A1725" s="2" t="s">
        <v>7174</v>
      </c>
      <c r="B1725" s="2" t="s">
        <v>7203</v>
      </c>
      <c r="C1725" s="2" t="s">
        <v>7498</v>
      </c>
      <c r="D1725" s="2" t="s">
        <v>7499</v>
      </c>
      <c r="E1725" s="2" t="s">
        <v>3897</v>
      </c>
      <c r="F1725" s="2" t="s">
        <v>7210</v>
      </c>
      <c r="G1725" s="2">
        <v>18</v>
      </c>
    </row>
    <row r="1726" spans="1:7" ht="15.75" customHeight="1">
      <c r="A1726" s="2" t="s">
        <v>7174</v>
      </c>
      <c r="B1726" s="2" t="s">
        <v>7203</v>
      </c>
      <c r="C1726" s="2" t="s">
        <v>8629</v>
      </c>
      <c r="D1726" s="2" t="s">
        <v>7284</v>
      </c>
      <c r="E1726" s="2" t="s">
        <v>7215</v>
      </c>
      <c r="F1726" s="2" t="s">
        <v>7215</v>
      </c>
      <c r="G1726" s="2">
        <v>1300</v>
      </c>
    </row>
    <row r="1727" spans="1:7" ht="15.75" customHeight="1">
      <c r="A1727" s="2" t="s">
        <v>7174</v>
      </c>
      <c r="B1727" s="2" t="s">
        <v>7203</v>
      </c>
      <c r="C1727" s="2" t="s">
        <v>8630</v>
      </c>
      <c r="D1727" s="2" t="s">
        <v>7216</v>
      </c>
      <c r="E1727" s="2" t="s">
        <v>7215</v>
      </c>
      <c r="F1727" s="2" t="s">
        <v>7215</v>
      </c>
      <c r="G1727" s="2">
        <v>255</v>
      </c>
    </row>
    <row r="1728" spans="1:7" ht="15.75" customHeight="1">
      <c r="A1728" s="2" t="s">
        <v>7174</v>
      </c>
      <c r="B1728" s="2" t="s">
        <v>7203</v>
      </c>
      <c r="C1728" s="2" t="s">
        <v>7737</v>
      </c>
      <c r="D1728" s="2" t="s">
        <v>7216</v>
      </c>
      <c r="E1728" s="2" t="s">
        <v>7215</v>
      </c>
      <c r="F1728" s="2" t="s">
        <v>7215</v>
      </c>
      <c r="G1728" s="2">
        <v>255</v>
      </c>
    </row>
    <row r="1729" spans="1:7" ht="15.75" customHeight="1">
      <c r="A1729" s="2" t="s">
        <v>7174</v>
      </c>
      <c r="B1729" s="2" t="s">
        <v>7206</v>
      </c>
      <c r="C1729" s="2" t="s">
        <v>4304</v>
      </c>
      <c r="D1729" s="2" t="s">
        <v>7209</v>
      </c>
      <c r="E1729" s="2" t="s">
        <v>3897</v>
      </c>
      <c r="F1729" s="2" t="s">
        <v>7210</v>
      </c>
      <c r="G1729" s="2">
        <v>18</v>
      </c>
    </row>
    <row r="1730" spans="1:7" ht="15.75" customHeight="1">
      <c r="A1730" s="2" t="s">
        <v>7174</v>
      </c>
      <c r="B1730" s="2" t="s">
        <v>7206</v>
      </c>
      <c r="C1730" s="2" t="s">
        <v>7233</v>
      </c>
      <c r="D1730" s="2" t="s">
        <v>7574</v>
      </c>
      <c r="E1730" s="2" t="s">
        <v>3897</v>
      </c>
      <c r="F1730" s="2" t="s">
        <v>7210</v>
      </c>
      <c r="G1730" s="2">
        <v>18</v>
      </c>
    </row>
    <row r="1731" spans="1:7" ht="15.75" customHeight="1">
      <c r="A1731" s="2" t="s">
        <v>7174</v>
      </c>
      <c r="B1731" s="2" t="s">
        <v>7206</v>
      </c>
      <c r="C1731" s="2" t="s">
        <v>7211</v>
      </c>
      <c r="D1731" s="2" t="s">
        <v>7212</v>
      </c>
      <c r="E1731" s="2" t="s">
        <v>5672</v>
      </c>
      <c r="F1731" s="2" t="s">
        <v>5672</v>
      </c>
      <c r="G1731" s="2">
        <v>0</v>
      </c>
    </row>
    <row r="1732" spans="1:7" ht="15.75" customHeight="1">
      <c r="A1732" s="2" t="s">
        <v>7174</v>
      </c>
      <c r="B1732" s="2" t="s">
        <v>7206</v>
      </c>
      <c r="C1732" s="2" t="s">
        <v>4306</v>
      </c>
      <c r="D1732" s="2" t="s">
        <v>6840</v>
      </c>
      <c r="E1732" s="2" t="s">
        <v>7215</v>
      </c>
      <c r="F1732" s="2" t="s">
        <v>7215</v>
      </c>
      <c r="G1732" s="2">
        <v>80</v>
      </c>
    </row>
    <row r="1733" spans="1:7" ht="15.75" customHeight="1">
      <c r="A1733" s="2" t="s">
        <v>7174</v>
      </c>
      <c r="B1733" s="2" t="s">
        <v>7206</v>
      </c>
      <c r="C1733" s="2" t="s">
        <v>7217</v>
      </c>
      <c r="D1733" s="2" t="s">
        <v>7218</v>
      </c>
      <c r="E1733" s="2" t="s">
        <v>3897</v>
      </c>
      <c r="F1733" s="2" t="s">
        <v>7210</v>
      </c>
      <c r="G1733" s="2">
        <v>18</v>
      </c>
    </row>
    <row r="1734" spans="1:7" ht="15.75" customHeight="1">
      <c r="A1734" s="2" t="s">
        <v>7174</v>
      </c>
      <c r="B1734" s="2" t="s">
        <v>7206</v>
      </c>
      <c r="C1734" s="2" t="s">
        <v>7135</v>
      </c>
      <c r="D1734" s="2" t="s">
        <v>7235</v>
      </c>
      <c r="E1734" s="2" t="s">
        <v>538</v>
      </c>
      <c r="F1734" s="2" t="s">
        <v>538</v>
      </c>
      <c r="G1734" s="2">
        <v>0</v>
      </c>
    </row>
    <row r="1735" spans="1:7" ht="15.75" customHeight="1">
      <c r="A1735" s="2" t="s">
        <v>7174</v>
      </c>
      <c r="B1735" s="2" t="s">
        <v>7206</v>
      </c>
      <c r="C1735" s="2" t="s">
        <v>7236</v>
      </c>
      <c r="D1735" s="2" t="s">
        <v>7234</v>
      </c>
      <c r="E1735" s="2" t="s">
        <v>3897</v>
      </c>
      <c r="F1735" s="2" t="s">
        <v>7210</v>
      </c>
      <c r="G1735" s="2">
        <v>18</v>
      </c>
    </row>
    <row r="1736" spans="1:7" ht="15.75" customHeight="1">
      <c r="A1736" s="2" t="s">
        <v>7174</v>
      </c>
      <c r="B1736" s="2" t="s">
        <v>7206</v>
      </c>
      <c r="C1736" s="2" t="s">
        <v>7176</v>
      </c>
      <c r="D1736" s="2" t="s">
        <v>7235</v>
      </c>
      <c r="E1736" s="2" t="s">
        <v>538</v>
      </c>
      <c r="F1736" s="2" t="s">
        <v>538</v>
      </c>
      <c r="G1736" s="2">
        <v>0</v>
      </c>
    </row>
    <row r="1737" spans="1:7" ht="15.75" customHeight="1">
      <c r="A1737" s="2" t="s">
        <v>7174</v>
      </c>
      <c r="B1737" s="2" t="s">
        <v>7206</v>
      </c>
      <c r="C1737" s="2" t="s">
        <v>7237</v>
      </c>
      <c r="D1737" s="2" t="s">
        <v>7234</v>
      </c>
      <c r="E1737" s="2" t="s">
        <v>3897</v>
      </c>
      <c r="F1737" s="2" t="s">
        <v>7210</v>
      </c>
      <c r="G1737" s="2">
        <v>18</v>
      </c>
    </row>
    <row r="1738" spans="1:7" ht="15.75" customHeight="1">
      <c r="A1738" s="2" t="s">
        <v>7174</v>
      </c>
      <c r="B1738" s="2" t="s">
        <v>7206</v>
      </c>
      <c r="C1738" s="2" t="s">
        <v>7238</v>
      </c>
      <c r="D1738" s="2" t="s">
        <v>7235</v>
      </c>
      <c r="E1738" s="2" t="s">
        <v>538</v>
      </c>
      <c r="F1738" s="2" t="s">
        <v>538</v>
      </c>
      <c r="G1738" s="2">
        <v>0</v>
      </c>
    </row>
    <row r="1739" spans="1:7" ht="15.75" customHeight="1">
      <c r="A1739" s="2" t="s">
        <v>7174</v>
      </c>
      <c r="B1739" s="2" t="s">
        <v>7206</v>
      </c>
      <c r="C1739" s="2" t="s">
        <v>7240</v>
      </c>
      <c r="D1739" s="2" t="s">
        <v>7235</v>
      </c>
      <c r="E1739" s="2" t="s">
        <v>538</v>
      </c>
      <c r="F1739" s="2" t="s">
        <v>538</v>
      </c>
      <c r="G1739" s="2">
        <v>0</v>
      </c>
    </row>
    <row r="1740" spans="1:7" ht="15.75" customHeight="1">
      <c r="A1740" s="2" t="s">
        <v>7174</v>
      </c>
      <c r="B1740" s="2" t="s">
        <v>7206</v>
      </c>
      <c r="C1740" s="2" t="s">
        <v>7241</v>
      </c>
      <c r="D1740" s="2" t="s">
        <v>7235</v>
      </c>
      <c r="E1740" s="2" t="s">
        <v>538</v>
      </c>
      <c r="F1740" s="2" t="s">
        <v>538</v>
      </c>
      <c r="G1740" s="2">
        <v>0</v>
      </c>
    </row>
    <row r="1741" spans="1:7" ht="15.75" customHeight="1">
      <c r="A1741" s="2" t="s">
        <v>7174</v>
      </c>
      <c r="B1741" s="2" t="s">
        <v>7206</v>
      </c>
      <c r="C1741" s="2" t="s">
        <v>7242</v>
      </c>
      <c r="D1741" s="2" t="s">
        <v>7243</v>
      </c>
      <c r="E1741" s="2" t="s">
        <v>3897</v>
      </c>
      <c r="F1741" s="2" t="s">
        <v>7210</v>
      </c>
      <c r="G1741" s="2">
        <v>18</v>
      </c>
    </row>
    <row r="1742" spans="1:7" ht="15.75" customHeight="1">
      <c r="A1742" s="2" t="s">
        <v>7174</v>
      </c>
      <c r="B1742" s="2" t="s">
        <v>7206</v>
      </c>
      <c r="C1742" s="2" t="s">
        <v>7592</v>
      </c>
      <c r="D1742" s="2" t="s">
        <v>7214</v>
      </c>
      <c r="E1742" s="2" t="s">
        <v>3897</v>
      </c>
      <c r="F1742" s="2" t="s">
        <v>7210</v>
      </c>
      <c r="G1742" s="2">
        <v>18</v>
      </c>
    </row>
    <row r="1743" spans="1:7" ht="15.75" customHeight="1">
      <c r="A1743" s="2" t="s">
        <v>7174</v>
      </c>
      <c r="B1743" s="2" t="s">
        <v>7206</v>
      </c>
      <c r="C1743" s="2" t="s">
        <v>8364</v>
      </c>
      <c r="D1743" s="2" t="s">
        <v>7310</v>
      </c>
      <c r="E1743" s="2" t="s">
        <v>7215</v>
      </c>
      <c r="F1743" s="2" t="s">
        <v>7215</v>
      </c>
      <c r="G1743" s="2">
        <v>18</v>
      </c>
    </row>
    <row r="1744" spans="1:7" ht="15.75" customHeight="1">
      <c r="A1744" s="2" t="s">
        <v>7174</v>
      </c>
      <c r="B1744" s="2" t="s">
        <v>7206</v>
      </c>
      <c r="C1744" s="2" t="s">
        <v>7596</v>
      </c>
      <c r="D1744" s="2" t="s">
        <v>7245</v>
      </c>
      <c r="E1744" s="2" t="s">
        <v>3897</v>
      </c>
      <c r="F1744" s="2" t="s">
        <v>7210</v>
      </c>
      <c r="G1744" s="2">
        <v>18</v>
      </c>
    </row>
    <row r="1745" spans="1:7" ht="15.75" customHeight="1">
      <c r="A1745" s="2" t="s">
        <v>7174</v>
      </c>
      <c r="B1745" s="2" t="s">
        <v>7206</v>
      </c>
      <c r="C1745" s="2" t="s">
        <v>7462</v>
      </c>
      <c r="D1745" s="2" t="s">
        <v>7310</v>
      </c>
      <c r="E1745" s="2" t="s">
        <v>7215</v>
      </c>
      <c r="F1745" s="2" t="s">
        <v>7215</v>
      </c>
      <c r="G1745" s="2">
        <v>18</v>
      </c>
    </row>
    <row r="1746" spans="1:7" ht="15.75" customHeight="1">
      <c r="A1746" s="2" t="s">
        <v>7174</v>
      </c>
      <c r="B1746" s="2" t="s">
        <v>7206</v>
      </c>
      <c r="C1746" s="2" t="s">
        <v>8631</v>
      </c>
      <c r="D1746" s="2" t="s">
        <v>7477</v>
      </c>
      <c r="E1746" s="2" t="s">
        <v>7215</v>
      </c>
      <c r="F1746" s="2" t="s">
        <v>7215</v>
      </c>
      <c r="G1746" s="2">
        <v>1000</v>
      </c>
    </row>
    <row r="1747" spans="1:7" ht="15.75" customHeight="1">
      <c r="A1747" s="2" t="s">
        <v>7174</v>
      </c>
      <c r="B1747" s="2" t="s">
        <v>7206</v>
      </c>
      <c r="C1747" s="2" t="s">
        <v>8632</v>
      </c>
      <c r="D1747" s="2" t="s">
        <v>7477</v>
      </c>
      <c r="E1747" s="2" t="s">
        <v>7215</v>
      </c>
      <c r="F1747" s="2" t="s">
        <v>7215</v>
      </c>
      <c r="G1747" s="2">
        <v>1000</v>
      </c>
    </row>
    <row r="1748" spans="1:7" ht="15.75" customHeight="1">
      <c r="A1748" s="2" t="s">
        <v>7174</v>
      </c>
      <c r="B1748" s="2" t="s">
        <v>7206</v>
      </c>
      <c r="C1748" s="2" t="s">
        <v>8633</v>
      </c>
      <c r="D1748" s="2" t="s">
        <v>8634</v>
      </c>
      <c r="E1748" s="2" t="s">
        <v>7278</v>
      </c>
      <c r="F1748" s="2" t="s">
        <v>7278</v>
      </c>
      <c r="G1748" s="2">
        <v>0</v>
      </c>
    </row>
    <row r="1749" spans="1:7" ht="15.75" customHeight="1">
      <c r="A1749" s="2" t="s">
        <v>7174</v>
      </c>
      <c r="B1749" s="2" t="s">
        <v>7206</v>
      </c>
      <c r="C1749" s="2" t="s">
        <v>8635</v>
      </c>
      <c r="D1749" s="2" t="s">
        <v>8634</v>
      </c>
      <c r="E1749" s="2" t="s">
        <v>7278</v>
      </c>
      <c r="F1749" s="2" t="s">
        <v>7278</v>
      </c>
      <c r="G1749" s="2">
        <v>0</v>
      </c>
    </row>
    <row r="1750" spans="1:7" ht="15.75" customHeight="1">
      <c r="A1750" s="2" t="s">
        <v>7174</v>
      </c>
      <c r="B1750" s="2" t="s">
        <v>7206</v>
      </c>
      <c r="C1750" s="2" t="s">
        <v>8636</v>
      </c>
      <c r="D1750" s="2" t="s">
        <v>8634</v>
      </c>
      <c r="E1750" s="2" t="s">
        <v>7278</v>
      </c>
      <c r="F1750" s="2" t="s">
        <v>7278</v>
      </c>
      <c r="G1750" s="2">
        <v>0</v>
      </c>
    </row>
    <row r="1751" spans="1:7" ht="15.75" customHeight="1">
      <c r="A1751" s="2" t="s">
        <v>7174</v>
      </c>
      <c r="B1751" s="2" t="s">
        <v>7206</v>
      </c>
      <c r="C1751" s="2" t="s">
        <v>8637</v>
      </c>
      <c r="D1751" s="2" t="s">
        <v>8634</v>
      </c>
      <c r="E1751" s="2" t="s">
        <v>7278</v>
      </c>
      <c r="F1751" s="2" t="s">
        <v>7278</v>
      </c>
      <c r="G1751" s="2">
        <v>0</v>
      </c>
    </row>
    <row r="1752" spans="1:7" ht="15.75" customHeight="1">
      <c r="A1752" s="2" t="s">
        <v>7174</v>
      </c>
      <c r="B1752" s="2" t="s">
        <v>7206</v>
      </c>
      <c r="C1752" s="2" t="s">
        <v>8638</v>
      </c>
      <c r="D1752" s="2" t="s">
        <v>7477</v>
      </c>
      <c r="E1752" s="2" t="s">
        <v>7215</v>
      </c>
      <c r="F1752" s="2" t="s">
        <v>7215</v>
      </c>
      <c r="G1752" s="2">
        <v>1000</v>
      </c>
    </row>
    <row r="1753" spans="1:7" ht="15.75" customHeight="1">
      <c r="A1753" s="2" t="s">
        <v>7174</v>
      </c>
      <c r="B1753" s="2" t="s">
        <v>7206</v>
      </c>
      <c r="C1753" s="2" t="s">
        <v>8639</v>
      </c>
      <c r="D1753" s="2" t="s">
        <v>7477</v>
      </c>
      <c r="E1753" s="2" t="s">
        <v>7215</v>
      </c>
      <c r="F1753" s="2" t="s">
        <v>7215</v>
      </c>
      <c r="G1753" s="2">
        <v>1000</v>
      </c>
    </row>
    <row r="1754" spans="1:7" ht="15.75" customHeight="1">
      <c r="A1754" s="2" t="s">
        <v>7174</v>
      </c>
      <c r="B1754" s="2" t="s">
        <v>7206</v>
      </c>
      <c r="C1754" s="2" t="s">
        <v>8640</v>
      </c>
      <c r="D1754" s="2" t="s">
        <v>7216</v>
      </c>
      <c r="E1754" s="2" t="s">
        <v>7215</v>
      </c>
      <c r="F1754" s="2" t="s">
        <v>7215</v>
      </c>
      <c r="G1754" s="2">
        <v>255</v>
      </c>
    </row>
    <row r="1755" spans="1:7" ht="15.75" customHeight="1">
      <c r="A1755" s="2" t="s">
        <v>7174</v>
      </c>
      <c r="B1755" s="2" t="s">
        <v>7206</v>
      </c>
      <c r="C1755" s="2" t="s">
        <v>7980</v>
      </c>
      <c r="D1755" s="2" t="s">
        <v>7216</v>
      </c>
      <c r="E1755" s="2" t="s">
        <v>7215</v>
      </c>
      <c r="F1755" s="2" t="s">
        <v>7215</v>
      </c>
      <c r="G1755" s="2">
        <v>255</v>
      </c>
    </row>
    <row r="1756" spans="1:7" ht="15.75" customHeight="1">
      <c r="A1756" s="2" t="s">
        <v>7174</v>
      </c>
      <c r="B1756" s="2" t="s">
        <v>7206</v>
      </c>
      <c r="C1756" s="2" t="s">
        <v>8641</v>
      </c>
      <c r="D1756" s="2" t="s">
        <v>7235</v>
      </c>
      <c r="E1756" s="2" t="s">
        <v>538</v>
      </c>
      <c r="F1756" s="2" t="s">
        <v>538</v>
      </c>
      <c r="G1756" s="2">
        <v>0</v>
      </c>
    </row>
    <row r="1757" spans="1:7" ht="15.75" customHeight="1">
      <c r="A1757" s="2" t="s">
        <v>7174</v>
      </c>
      <c r="B1757" s="2" t="s">
        <v>7206</v>
      </c>
      <c r="C1757" s="2" t="s">
        <v>8642</v>
      </c>
      <c r="D1757" s="2" t="s">
        <v>7477</v>
      </c>
      <c r="E1757" s="2" t="s">
        <v>7215</v>
      </c>
      <c r="F1757" s="2" t="s">
        <v>7215</v>
      </c>
      <c r="G1757" s="2">
        <v>1000</v>
      </c>
    </row>
    <row r="1758" spans="1:7" ht="15.75" customHeight="1">
      <c r="A1758" s="2" t="s">
        <v>7174</v>
      </c>
      <c r="B1758" s="2" t="s">
        <v>7206</v>
      </c>
      <c r="C1758" s="2" t="s">
        <v>8643</v>
      </c>
      <c r="D1758" s="2" t="s">
        <v>7477</v>
      </c>
      <c r="E1758" s="2" t="s">
        <v>7215</v>
      </c>
      <c r="F1758" s="2" t="s">
        <v>7215</v>
      </c>
      <c r="G1758" s="2">
        <v>1000</v>
      </c>
    </row>
    <row r="1759" spans="1:7" ht="15.75" customHeight="1">
      <c r="A1759" s="2" t="s">
        <v>7174</v>
      </c>
      <c r="B1759" s="2" t="s">
        <v>7206</v>
      </c>
      <c r="C1759" s="2" t="s">
        <v>8644</v>
      </c>
      <c r="D1759" s="2" t="s">
        <v>8634</v>
      </c>
      <c r="E1759" s="2" t="s">
        <v>7278</v>
      </c>
      <c r="F1759" s="2" t="s">
        <v>7278</v>
      </c>
      <c r="G1759" s="2">
        <v>0</v>
      </c>
    </row>
    <row r="1760" spans="1:7" ht="15.75" customHeight="1">
      <c r="A1760" s="2" t="s">
        <v>7174</v>
      </c>
      <c r="B1760" s="2" t="s">
        <v>7206</v>
      </c>
      <c r="C1760" s="2" t="s">
        <v>8645</v>
      </c>
      <c r="D1760" s="2" t="s">
        <v>8634</v>
      </c>
      <c r="E1760" s="2" t="s">
        <v>7278</v>
      </c>
      <c r="F1760" s="2" t="s">
        <v>7278</v>
      </c>
      <c r="G1760" s="2">
        <v>0</v>
      </c>
    </row>
    <row r="1761" spans="1:7" ht="15.75" customHeight="1">
      <c r="A1761" s="2" t="s">
        <v>7174</v>
      </c>
      <c r="B1761" s="2" t="s">
        <v>7206</v>
      </c>
      <c r="C1761" s="2" t="s">
        <v>8646</v>
      </c>
      <c r="D1761" s="2" t="s">
        <v>7234</v>
      </c>
      <c r="E1761" s="2" t="s">
        <v>3897</v>
      </c>
      <c r="F1761" s="2" t="s">
        <v>7210</v>
      </c>
      <c r="G1761" s="2">
        <v>18</v>
      </c>
    </row>
    <row r="1762" spans="1:7" ht="15.75" customHeight="1">
      <c r="A1762" s="2" t="s">
        <v>7174</v>
      </c>
      <c r="B1762" s="2" t="s">
        <v>7206</v>
      </c>
      <c r="C1762" s="2" t="s">
        <v>8647</v>
      </c>
      <c r="D1762" s="2" t="s">
        <v>8395</v>
      </c>
      <c r="E1762" s="2" t="s">
        <v>3897</v>
      </c>
      <c r="F1762" s="2" t="s">
        <v>7210</v>
      </c>
      <c r="G1762" s="2">
        <v>18</v>
      </c>
    </row>
    <row r="1763" spans="1:7" ht="15.75" customHeight="1">
      <c r="A1763" s="2" t="s">
        <v>7174</v>
      </c>
      <c r="B1763" s="2" t="s">
        <v>7206</v>
      </c>
      <c r="C1763" s="2" t="s">
        <v>7602</v>
      </c>
      <c r="D1763" s="2" t="s">
        <v>5204</v>
      </c>
      <c r="E1763" s="2" t="s">
        <v>7215</v>
      </c>
      <c r="F1763" s="2" t="s">
        <v>7215</v>
      </c>
      <c r="G1763" s="2">
        <v>80</v>
      </c>
    </row>
    <row r="1764" spans="1:7" ht="15.75" customHeight="1">
      <c r="A1764" s="2" t="s">
        <v>7174</v>
      </c>
      <c r="B1764" s="2" t="s">
        <v>7206</v>
      </c>
      <c r="C1764" s="2" t="s">
        <v>8648</v>
      </c>
      <c r="D1764" s="2" t="s">
        <v>7259</v>
      </c>
      <c r="E1764" s="2" t="s">
        <v>7215</v>
      </c>
      <c r="F1764" s="2" t="s">
        <v>7215</v>
      </c>
      <c r="G1764" s="2">
        <v>255</v>
      </c>
    </row>
    <row r="1765" spans="1:7" ht="15.75" customHeight="1">
      <c r="A1765" s="2" t="s">
        <v>7174</v>
      </c>
      <c r="B1765" s="2" t="s">
        <v>7206</v>
      </c>
      <c r="C1765" s="2" t="s">
        <v>8392</v>
      </c>
      <c r="D1765" s="2" t="s">
        <v>7259</v>
      </c>
      <c r="E1765" s="2" t="s">
        <v>7215</v>
      </c>
      <c r="F1765" s="2" t="s">
        <v>7215</v>
      </c>
      <c r="G1765" s="2">
        <v>255</v>
      </c>
    </row>
    <row r="1766" spans="1:7" ht="15.75" customHeight="1">
      <c r="A1766" s="2" t="s">
        <v>7174</v>
      </c>
      <c r="B1766" s="2" t="s">
        <v>7206</v>
      </c>
      <c r="C1766" s="2" t="s">
        <v>8649</v>
      </c>
      <c r="D1766" s="2" t="s">
        <v>8634</v>
      </c>
      <c r="E1766" s="2" t="s">
        <v>7278</v>
      </c>
      <c r="F1766" s="2" t="s">
        <v>7278</v>
      </c>
      <c r="G1766" s="2">
        <v>0</v>
      </c>
    </row>
    <row r="1767" spans="1:7" ht="15.75" customHeight="1">
      <c r="A1767" s="2" t="s">
        <v>7174</v>
      </c>
      <c r="B1767" s="2" t="s">
        <v>7206</v>
      </c>
      <c r="C1767" s="2" t="s">
        <v>8650</v>
      </c>
      <c r="D1767" s="2" t="s">
        <v>8634</v>
      </c>
      <c r="E1767" s="2" t="s">
        <v>7278</v>
      </c>
      <c r="F1767" s="2" t="s">
        <v>7278</v>
      </c>
      <c r="G1767" s="2">
        <v>0</v>
      </c>
    </row>
    <row r="1768" spans="1:7" ht="15.75" customHeight="1">
      <c r="A1768" s="2" t="s">
        <v>7174</v>
      </c>
      <c r="B1768" s="2" t="s">
        <v>7206</v>
      </c>
      <c r="C1768" s="2" t="s">
        <v>8651</v>
      </c>
      <c r="D1768" s="2" t="s">
        <v>7477</v>
      </c>
      <c r="E1768" s="2" t="s">
        <v>7215</v>
      </c>
      <c r="F1768" s="2" t="s">
        <v>7215</v>
      </c>
      <c r="G1768" s="2">
        <v>1000</v>
      </c>
    </row>
    <row r="1769" spans="1:7" ht="15.75" customHeight="1">
      <c r="A1769" s="2" t="s">
        <v>7174</v>
      </c>
      <c r="B1769" s="2" t="s">
        <v>7206</v>
      </c>
      <c r="C1769" s="2" t="s">
        <v>8652</v>
      </c>
      <c r="D1769" s="2" t="s">
        <v>8634</v>
      </c>
      <c r="E1769" s="2" t="s">
        <v>7278</v>
      </c>
      <c r="F1769" s="2" t="s">
        <v>7278</v>
      </c>
      <c r="G1769" s="2">
        <v>0</v>
      </c>
    </row>
    <row r="1770" spans="1:7" ht="15.75" customHeight="1">
      <c r="A1770" s="2" t="s">
        <v>7174</v>
      </c>
      <c r="B1770" s="2" t="s">
        <v>7206</v>
      </c>
      <c r="C1770" s="2" t="s">
        <v>8653</v>
      </c>
      <c r="D1770" s="2" t="s">
        <v>8634</v>
      </c>
      <c r="E1770" s="2" t="s">
        <v>7278</v>
      </c>
      <c r="F1770" s="2" t="s">
        <v>7278</v>
      </c>
      <c r="G1770" s="2">
        <v>0</v>
      </c>
    </row>
    <row r="1771" spans="1:7" ht="15.75" customHeight="1">
      <c r="A1771" s="2" t="s">
        <v>7174</v>
      </c>
      <c r="B1771" s="2" t="s">
        <v>7206</v>
      </c>
      <c r="C1771" s="2" t="s">
        <v>8654</v>
      </c>
      <c r="D1771" s="2" t="s">
        <v>8634</v>
      </c>
      <c r="E1771" s="2" t="s">
        <v>7278</v>
      </c>
      <c r="F1771" s="2" t="s">
        <v>7278</v>
      </c>
      <c r="G1771" s="2">
        <v>0</v>
      </c>
    </row>
    <row r="1772" spans="1:7" ht="15.75" customHeight="1">
      <c r="A1772" s="2" t="s">
        <v>7174</v>
      </c>
      <c r="B1772" s="2" t="s">
        <v>7206</v>
      </c>
      <c r="C1772" s="2" t="s">
        <v>8655</v>
      </c>
      <c r="D1772" s="2" t="s">
        <v>8634</v>
      </c>
      <c r="E1772" s="2" t="s">
        <v>7278</v>
      </c>
      <c r="F1772" s="2" t="s">
        <v>7278</v>
      </c>
      <c r="G1772" s="2">
        <v>0</v>
      </c>
    </row>
    <row r="1773" spans="1:7" ht="15.75" customHeight="1">
      <c r="A1773" s="2" t="s">
        <v>7174</v>
      </c>
      <c r="B1773" s="2" t="s">
        <v>7206</v>
      </c>
      <c r="C1773" s="2" t="s">
        <v>8656</v>
      </c>
      <c r="D1773" s="2" t="s">
        <v>7310</v>
      </c>
      <c r="E1773" s="2" t="s">
        <v>7215</v>
      </c>
      <c r="F1773" s="2" t="s">
        <v>7215</v>
      </c>
      <c r="G1773" s="2">
        <v>18</v>
      </c>
    </row>
    <row r="1774" spans="1:7" ht="15.75" customHeight="1">
      <c r="A1774" s="2" t="s">
        <v>7174</v>
      </c>
      <c r="B1774" s="2" t="s">
        <v>7206</v>
      </c>
      <c r="C1774" s="2" t="s">
        <v>8657</v>
      </c>
      <c r="D1774" s="2" t="s">
        <v>7259</v>
      </c>
      <c r="E1774" s="2" t="s">
        <v>7215</v>
      </c>
      <c r="F1774" s="2" t="s">
        <v>7215</v>
      </c>
      <c r="G1774" s="2">
        <v>255</v>
      </c>
    </row>
    <row r="1775" spans="1:7" ht="15.75" customHeight="1">
      <c r="A1775" s="2" t="s">
        <v>7174</v>
      </c>
      <c r="B1775" s="2" t="s">
        <v>7204</v>
      </c>
      <c r="C1775" s="2" t="s">
        <v>4304</v>
      </c>
      <c r="D1775" s="2" t="s">
        <v>7209</v>
      </c>
      <c r="E1775" s="2" t="s">
        <v>3897</v>
      </c>
      <c r="F1775" s="2" t="s">
        <v>7210</v>
      </c>
      <c r="G1775" s="2">
        <v>18</v>
      </c>
    </row>
    <row r="1776" spans="1:7" ht="15.75" customHeight="1">
      <c r="A1776" s="2" t="s">
        <v>7174</v>
      </c>
      <c r="B1776" s="2" t="s">
        <v>7204</v>
      </c>
      <c r="C1776" s="2" t="s">
        <v>8432</v>
      </c>
      <c r="D1776" s="2" t="s">
        <v>8433</v>
      </c>
      <c r="E1776" s="2" t="s">
        <v>3897</v>
      </c>
      <c r="F1776" s="2" t="s">
        <v>7210</v>
      </c>
      <c r="G1776" s="2">
        <v>18</v>
      </c>
    </row>
    <row r="1777" spans="1:7" ht="15.75" customHeight="1">
      <c r="A1777" s="2" t="s">
        <v>7174</v>
      </c>
      <c r="B1777" s="2" t="s">
        <v>7204</v>
      </c>
      <c r="C1777" s="2" t="s">
        <v>8434</v>
      </c>
      <c r="D1777" s="2" t="s">
        <v>8424</v>
      </c>
      <c r="E1777" s="2" t="s">
        <v>3897</v>
      </c>
      <c r="F1777" s="2" t="s">
        <v>7210</v>
      </c>
      <c r="G1777" s="2">
        <v>18</v>
      </c>
    </row>
    <row r="1778" spans="1:7" ht="15.75" customHeight="1">
      <c r="A1778" s="2" t="s">
        <v>7174</v>
      </c>
      <c r="B1778" s="2" t="s">
        <v>7204</v>
      </c>
      <c r="C1778" s="2" t="s">
        <v>8435</v>
      </c>
      <c r="D1778" s="2" t="s">
        <v>7687</v>
      </c>
      <c r="E1778" s="2" t="s">
        <v>5664</v>
      </c>
      <c r="F1778" s="2" t="s">
        <v>5664</v>
      </c>
      <c r="G1778" s="2">
        <v>0</v>
      </c>
    </row>
    <row r="1779" spans="1:7" ht="15.75" customHeight="1">
      <c r="A1779" s="2" t="s">
        <v>7174</v>
      </c>
      <c r="B1779" s="2" t="s">
        <v>7204</v>
      </c>
      <c r="C1779" s="2" t="s">
        <v>8436</v>
      </c>
      <c r="D1779" s="2" t="s">
        <v>7687</v>
      </c>
      <c r="E1779" s="2" t="s">
        <v>5664</v>
      </c>
      <c r="F1779" s="2" t="s">
        <v>5664</v>
      </c>
      <c r="G1779" s="2">
        <v>0</v>
      </c>
    </row>
    <row r="1780" spans="1:7" ht="15.75" customHeight="1">
      <c r="A1780" s="2" t="s">
        <v>7174</v>
      </c>
      <c r="B1780" s="2" t="s">
        <v>7204</v>
      </c>
      <c r="C1780" s="2" t="s">
        <v>7819</v>
      </c>
      <c r="D1780" s="2" t="s">
        <v>7216</v>
      </c>
      <c r="E1780" s="2" t="s">
        <v>7215</v>
      </c>
      <c r="F1780" s="2" t="s">
        <v>7215</v>
      </c>
      <c r="G1780" s="2">
        <v>255</v>
      </c>
    </row>
    <row r="1781" spans="1:7" ht="15.75" customHeight="1">
      <c r="A1781" s="2" t="s">
        <v>7174</v>
      </c>
      <c r="B1781" s="2" t="s">
        <v>7204</v>
      </c>
      <c r="C1781" s="2" t="s">
        <v>8439</v>
      </c>
      <c r="D1781" s="2" t="s">
        <v>6212</v>
      </c>
      <c r="E1781" s="2" t="s">
        <v>1974</v>
      </c>
      <c r="F1781" s="2" t="s">
        <v>1974</v>
      </c>
      <c r="G1781" s="2">
        <v>0</v>
      </c>
    </row>
    <row r="1782" spans="1:7" ht="15.75" customHeight="1">
      <c r="A1782" s="2" t="s">
        <v>7174</v>
      </c>
      <c r="B1782" s="2" t="s">
        <v>7204</v>
      </c>
      <c r="C1782" s="2" t="s">
        <v>811</v>
      </c>
      <c r="D1782" s="2" t="s">
        <v>7216</v>
      </c>
      <c r="E1782" s="2" t="s">
        <v>7215</v>
      </c>
      <c r="F1782" s="2" t="s">
        <v>7215</v>
      </c>
      <c r="G1782" s="2">
        <v>255</v>
      </c>
    </row>
    <row r="1783" spans="1:7" ht="15.75" customHeight="1">
      <c r="A1783" s="2" t="s">
        <v>7174</v>
      </c>
      <c r="B1783" s="2" t="s">
        <v>7204</v>
      </c>
      <c r="C1783" s="2" t="s">
        <v>7820</v>
      </c>
      <c r="D1783" s="2" t="s">
        <v>7216</v>
      </c>
      <c r="E1783" s="2" t="s">
        <v>7215</v>
      </c>
      <c r="F1783" s="2" t="s">
        <v>7215</v>
      </c>
      <c r="G1783" s="2">
        <v>20</v>
      </c>
    </row>
    <row r="1784" spans="1:7" ht="15.75" customHeight="1">
      <c r="A1784" s="2" t="s">
        <v>7174</v>
      </c>
      <c r="B1784" s="2" t="s">
        <v>7204</v>
      </c>
      <c r="C1784" s="2" t="s">
        <v>8658</v>
      </c>
      <c r="D1784" s="2" t="s">
        <v>7212</v>
      </c>
      <c r="E1784" s="2" t="s">
        <v>5672</v>
      </c>
      <c r="F1784" s="2" t="s">
        <v>5672</v>
      </c>
      <c r="G1784" s="2">
        <v>0</v>
      </c>
    </row>
    <row r="1785" spans="1:7" ht="15.75" customHeight="1">
      <c r="A1785" s="2" t="s">
        <v>7174</v>
      </c>
      <c r="B1785" s="2" t="s">
        <v>7204</v>
      </c>
      <c r="C1785" s="2" t="s">
        <v>7233</v>
      </c>
      <c r="D1785" s="2" t="s">
        <v>8659</v>
      </c>
      <c r="E1785" s="2" t="s">
        <v>3897</v>
      </c>
      <c r="F1785" s="2" t="s">
        <v>7210</v>
      </c>
      <c r="G1785" s="2">
        <v>18</v>
      </c>
    </row>
    <row r="1786" spans="1:7" ht="15.75" customHeight="1">
      <c r="A1786" s="2" t="s">
        <v>7174</v>
      </c>
      <c r="B1786" s="2" t="s">
        <v>7204</v>
      </c>
      <c r="C1786" s="2" t="s">
        <v>1729</v>
      </c>
      <c r="D1786" s="2" t="s">
        <v>7232</v>
      </c>
      <c r="E1786" s="2" t="s">
        <v>7215</v>
      </c>
      <c r="F1786" s="2" t="s">
        <v>7215</v>
      </c>
      <c r="G1786" s="2">
        <v>32000</v>
      </c>
    </row>
    <row r="1787" spans="1:7" ht="15.75" customHeight="1">
      <c r="A1787" s="2" t="s">
        <v>7174</v>
      </c>
      <c r="B1787" s="2" t="s">
        <v>7204</v>
      </c>
      <c r="C1787" s="2" t="s">
        <v>1611</v>
      </c>
      <c r="D1787" s="2" t="s">
        <v>7216</v>
      </c>
      <c r="E1787" s="2" t="s">
        <v>7215</v>
      </c>
      <c r="F1787" s="2" t="s">
        <v>7215</v>
      </c>
      <c r="G1787" s="2">
        <v>255</v>
      </c>
    </row>
    <row r="1788" spans="1:7" ht="15.75" customHeight="1">
      <c r="A1788" s="2" t="s">
        <v>7174</v>
      </c>
      <c r="B1788" s="2" t="s">
        <v>7204</v>
      </c>
      <c r="C1788" s="2" t="s">
        <v>7211</v>
      </c>
      <c r="D1788" s="2" t="s">
        <v>7212</v>
      </c>
      <c r="E1788" s="2" t="s">
        <v>5672</v>
      </c>
      <c r="F1788" s="2" t="s">
        <v>5672</v>
      </c>
      <c r="G1788" s="2">
        <v>0</v>
      </c>
    </row>
    <row r="1789" spans="1:7" ht="15.75" customHeight="1">
      <c r="A1789" s="2" t="s">
        <v>7174</v>
      </c>
      <c r="B1789" s="2" t="s">
        <v>7204</v>
      </c>
      <c r="C1789" s="2" t="s">
        <v>7810</v>
      </c>
      <c r="D1789" s="2" t="s">
        <v>7214</v>
      </c>
      <c r="E1789" s="2" t="s">
        <v>3897</v>
      </c>
      <c r="F1789" s="2" t="s">
        <v>7210</v>
      </c>
      <c r="G1789" s="2">
        <v>18</v>
      </c>
    </row>
    <row r="1790" spans="1:7" ht="15.75" customHeight="1">
      <c r="A1790" s="2" t="s">
        <v>7174</v>
      </c>
      <c r="B1790" s="2" t="s">
        <v>7204</v>
      </c>
      <c r="C1790" s="2" t="s">
        <v>7821</v>
      </c>
      <c r="D1790" s="2" t="s">
        <v>7212</v>
      </c>
      <c r="E1790" s="2" t="s">
        <v>5672</v>
      </c>
      <c r="F1790" s="2" t="s">
        <v>5672</v>
      </c>
      <c r="G1790" s="2">
        <v>0</v>
      </c>
    </row>
    <row r="1791" spans="1:7" ht="15.75" customHeight="1">
      <c r="A1791" s="2" t="s">
        <v>7174</v>
      </c>
      <c r="B1791" s="2" t="s">
        <v>7204</v>
      </c>
      <c r="C1791" s="2" t="s">
        <v>7135</v>
      </c>
      <c r="D1791" s="2" t="s">
        <v>7235</v>
      </c>
      <c r="E1791" s="2" t="s">
        <v>538</v>
      </c>
      <c r="F1791" s="2" t="s">
        <v>538</v>
      </c>
      <c r="G1791" s="2">
        <v>0</v>
      </c>
    </row>
    <row r="1792" spans="1:7" ht="15.75" customHeight="1">
      <c r="A1792" s="2" t="s">
        <v>7174</v>
      </c>
      <c r="B1792" s="2" t="s">
        <v>7204</v>
      </c>
      <c r="C1792" s="2" t="s">
        <v>7236</v>
      </c>
      <c r="D1792" s="2" t="s">
        <v>7234</v>
      </c>
      <c r="E1792" s="2" t="s">
        <v>3897</v>
      </c>
      <c r="F1792" s="2" t="s">
        <v>7210</v>
      </c>
      <c r="G1792" s="2">
        <v>18</v>
      </c>
    </row>
    <row r="1793" spans="1:7" ht="15.75" customHeight="1">
      <c r="A1793" s="2" t="s">
        <v>7174</v>
      </c>
      <c r="B1793" s="2" t="s">
        <v>7204</v>
      </c>
      <c r="C1793" s="2" t="s">
        <v>7176</v>
      </c>
      <c r="D1793" s="2" t="s">
        <v>7235</v>
      </c>
      <c r="E1793" s="2" t="s">
        <v>538</v>
      </c>
      <c r="F1793" s="2" t="s">
        <v>538</v>
      </c>
      <c r="G1793" s="2">
        <v>0</v>
      </c>
    </row>
    <row r="1794" spans="1:7" ht="15.75" customHeight="1">
      <c r="A1794" s="2" t="s">
        <v>7174</v>
      </c>
      <c r="B1794" s="2" t="s">
        <v>7204</v>
      </c>
      <c r="C1794" s="2" t="s">
        <v>7237</v>
      </c>
      <c r="D1794" s="2" t="s">
        <v>7234</v>
      </c>
      <c r="E1794" s="2" t="s">
        <v>3897</v>
      </c>
      <c r="F1794" s="2" t="s">
        <v>7210</v>
      </c>
      <c r="G1794" s="2">
        <v>18</v>
      </c>
    </row>
    <row r="1795" spans="1:7" ht="15.75" customHeight="1">
      <c r="A1795" s="2" t="s">
        <v>7174</v>
      </c>
      <c r="B1795" s="2" t="s">
        <v>7204</v>
      </c>
      <c r="C1795" s="2" t="s">
        <v>7238</v>
      </c>
      <c r="D1795" s="2" t="s">
        <v>7235</v>
      </c>
      <c r="E1795" s="2" t="s">
        <v>538</v>
      </c>
      <c r="F1795" s="2" t="s">
        <v>538</v>
      </c>
      <c r="G1795" s="2">
        <v>0</v>
      </c>
    </row>
    <row r="1796" spans="1:7" ht="15.75" customHeight="1">
      <c r="A1796" s="2" t="s">
        <v>7174</v>
      </c>
      <c r="B1796" s="2" t="s">
        <v>7204</v>
      </c>
      <c r="C1796" s="2" t="s">
        <v>8449</v>
      </c>
      <c r="D1796" s="2" t="s">
        <v>7212</v>
      </c>
      <c r="E1796" s="2" t="s">
        <v>5672</v>
      </c>
      <c r="F1796" s="2" t="s">
        <v>5672</v>
      </c>
      <c r="G1796" s="2">
        <v>0</v>
      </c>
    </row>
    <row r="1797" spans="1:7" ht="15.75" customHeight="1">
      <c r="A1797" s="2" t="s">
        <v>7174</v>
      </c>
      <c r="B1797" s="2" t="s">
        <v>7204</v>
      </c>
      <c r="C1797" s="2" t="s">
        <v>5204</v>
      </c>
      <c r="D1797" s="2" t="s">
        <v>5204</v>
      </c>
      <c r="E1797" s="2" t="s">
        <v>7215</v>
      </c>
      <c r="F1797" s="2" t="s">
        <v>7215</v>
      </c>
      <c r="G1797" s="2">
        <v>80</v>
      </c>
    </row>
    <row r="1798" spans="1:7" ht="15.75" customHeight="1">
      <c r="A1798" s="2" t="s">
        <v>7174</v>
      </c>
      <c r="B1798" s="2" t="s">
        <v>7204</v>
      </c>
      <c r="C1798" s="2" t="s">
        <v>7224</v>
      </c>
      <c r="D1798" s="2" t="s">
        <v>7224</v>
      </c>
      <c r="E1798" s="2" t="s">
        <v>7215</v>
      </c>
      <c r="F1798" s="2" t="s">
        <v>7215</v>
      </c>
      <c r="G1798" s="2">
        <v>40</v>
      </c>
    </row>
    <row r="1799" spans="1:7" ht="15.75" customHeight="1">
      <c r="A1799" s="2" t="s">
        <v>7174</v>
      </c>
      <c r="B1799" s="2" t="s">
        <v>7204</v>
      </c>
      <c r="C1799" s="2" t="s">
        <v>8660</v>
      </c>
      <c r="D1799" s="2" t="s">
        <v>7231</v>
      </c>
      <c r="E1799" s="2" t="s">
        <v>5664</v>
      </c>
      <c r="F1799" s="2" t="s">
        <v>5664</v>
      </c>
      <c r="G1799" s="2">
        <v>0</v>
      </c>
    </row>
    <row r="1800" spans="1:7" ht="15.75" customHeight="1">
      <c r="A1800" s="2" t="s">
        <v>7174</v>
      </c>
      <c r="B1800" s="2" t="s">
        <v>7204</v>
      </c>
      <c r="C1800" s="2" t="s">
        <v>8661</v>
      </c>
      <c r="D1800" s="2" t="s">
        <v>7216</v>
      </c>
      <c r="E1800" s="2" t="s">
        <v>7215</v>
      </c>
      <c r="F1800" s="2" t="s">
        <v>7215</v>
      </c>
      <c r="G1800" s="2">
        <v>40</v>
      </c>
    </row>
    <row r="1801" spans="1:7" ht="15.75" customHeight="1">
      <c r="A1801" s="2" t="s">
        <v>7174</v>
      </c>
      <c r="B1801" s="2" t="s">
        <v>7204</v>
      </c>
      <c r="C1801" s="2" t="s">
        <v>8662</v>
      </c>
      <c r="D1801" s="2" t="s">
        <v>7259</v>
      </c>
      <c r="E1801" s="2" t="s">
        <v>7215</v>
      </c>
      <c r="F1801" s="2" t="s">
        <v>7215</v>
      </c>
      <c r="G1801" s="2">
        <v>255</v>
      </c>
    </row>
    <row r="1802" spans="1:7" ht="15.75" customHeight="1">
      <c r="A1802" s="2" t="s">
        <v>7174</v>
      </c>
      <c r="B1802" s="2" t="s">
        <v>7204</v>
      </c>
      <c r="C1802" s="2" t="s">
        <v>8663</v>
      </c>
      <c r="D1802" s="2" t="s">
        <v>7259</v>
      </c>
      <c r="E1802" s="2" t="s">
        <v>7215</v>
      </c>
      <c r="F1802" s="2" t="s">
        <v>7215</v>
      </c>
      <c r="G1802" s="2">
        <v>255</v>
      </c>
    </row>
    <row r="1803" spans="1:7" ht="15.75" customHeight="1">
      <c r="A1803" s="2" t="s">
        <v>7174</v>
      </c>
      <c r="B1803" s="2" t="s">
        <v>7204</v>
      </c>
      <c r="C1803" s="2" t="s">
        <v>8462</v>
      </c>
      <c r="D1803" s="2" t="s">
        <v>7235</v>
      </c>
      <c r="E1803" s="2" t="s">
        <v>538</v>
      </c>
      <c r="F1803" s="2" t="s">
        <v>538</v>
      </c>
      <c r="G1803" s="2">
        <v>0</v>
      </c>
    </row>
    <row r="1804" spans="1:7" ht="15.75" customHeight="1">
      <c r="A1804" s="2" t="s">
        <v>7174</v>
      </c>
      <c r="B1804" s="2" t="s">
        <v>7204</v>
      </c>
      <c r="C1804" s="2" t="s">
        <v>8463</v>
      </c>
      <c r="D1804" s="2" t="s">
        <v>7212</v>
      </c>
      <c r="E1804" s="2" t="s">
        <v>5672</v>
      </c>
      <c r="F1804" s="2" t="s">
        <v>5672</v>
      </c>
      <c r="G1804" s="2">
        <v>0</v>
      </c>
    </row>
    <row r="1805" spans="1:7" ht="15.75" customHeight="1">
      <c r="A1805" s="2" t="s">
        <v>7174</v>
      </c>
      <c r="B1805" s="2" t="s">
        <v>7204</v>
      </c>
      <c r="C1805" s="2" t="s">
        <v>8450</v>
      </c>
      <c r="D1805" s="2" t="s">
        <v>8400</v>
      </c>
      <c r="E1805" s="2" t="s">
        <v>3897</v>
      </c>
      <c r="F1805" s="2" t="s">
        <v>7210</v>
      </c>
      <c r="G1805" s="2">
        <v>18</v>
      </c>
    </row>
    <row r="1806" spans="1:7" ht="15.75" customHeight="1">
      <c r="A1806" s="2" t="s">
        <v>7174</v>
      </c>
      <c r="B1806" s="2" t="s">
        <v>7204</v>
      </c>
      <c r="C1806" s="2" t="s">
        <v>8452</v>
      </c>
      <c r="D1806" s="2" t="s">
        <v>7212</v>
      </c>
      <c r="E1806" s="2" t="s">
        <v>5672</v>
      </c>
      <c r="F1806" s="2" t="s">
        <v>5672</v>
      </c>
      <c r="G1806" s="2">
        <v>0</v>
      </c>
    </row>
    <row r="1807" spans="1:7" ht="15.75" customHeight="1">
      <c r="A1807" s="2" t="s">
        <v>7174</v>
      </c>
      <c r="B1807" s="2" t="s">
        <v>7204</v>
      </c>
      <c r="C1807" s="2" t="s">
        <v>8664</v>
      </c>
      <c r="D1807" s="2" t="s">
        <v>6212</v>
      </c>
      <c r="E1807" s="2" t="s">
        <v>1974</v>
      </c>
      <c r="F1807" s="2" t="s">
        <v>1974</v>
      </c>
      <c r="G1807" s="2">
        <v>0</v>
      </c>
    </row>
    <row r="1808" spans="1:7" ht="15.75" customHeight="1">
      <c r="A1808" s="2" t="s">
        <v>7174</v>
      </c>
      <c r="B1808" s="2" t="s">
        <v>7204</v>
      </c>
      <c r="C1808" s="2" t="s">
        <v>8454</v>
      </c>
      <c r="D1808" s="2" t="s">
        <v>6212</v>
      </c>
      <c r="E1808" s="2" t="s">
        <v>1974</v>
      </c>
      <c r="F1808" s="2" t="s">
        <v>1974</v>
      </c>
      <c r="G1808" s="2">
        <v>0</v>
      </c>
    </row>
    <row r="1809" spans="1:7" ht="15.75" customHeight="1">
      <c r="A1809" s="2" t="s">
        <v>7174</v>
      </c>
      <c r="B1809" s="2" t="s">
        <v>7204</v>
      </c>
      <c r="C1809" s="2" t="s">
        <v>8455</v>
      </c>
      <c r="D1809" s="2" t="s">
        <v>7216</v>
      </c>
      <c r="E1809" s="2" t="s">
        <v>7215</v>
      </c>
      <c r="F1809" s="2" t="s">
        <v>7215</v>
      </c>
      <c r="G1809" s="2">
        <v>40</v>
      </c>
    </row>
    <row r="1810" spans="1:7" ht="15.75" customHeight="1">
      <c r="A1810" s="2" t="s">
        <v>7174</v>
      </c>
      <c r="B1810" s="2" t="s">
        <v>7204</v>
      </c>
      <c r="C1810" s="2" t="s">
        <v>8456</v>
      </c>
      <c r="D1810" s="2" t="s">
        <v>7216</v>
      </c>
      <c r="E1810" s="2" t="s">
        <v>7215</v>
      </c>
      <c r="F1810" s="2" t="s">
        <v>7215</v>
      </c>
      <c r="G1810" s="2">
        <v>40</v>
      </c>
    </row>
    <row r="1811" spans="1:7" ht="15.75" customHeight="1">
      <c r="A1811" s="2" t="s">
        <v>7174</v>
      </c>
      <c r="B1811" s="2" t="s">
        <v>7204</v>
      </c>
      <c r="C1811" s="2" t="s">
        <v>8457</v>
      </c>
      <c r="D1811" s="2" t="s">
        <v>7687</v>
      </c>
      <c r="E1811" s="2" t="s">
        <v>5664</v>
      </c>
      <c r="F1811" s="2" t="s">
        <v>5664</v>
      </c>
      <c r="G1811" s="2">
        <v>0</v>
      </c>
    </row>
    <row r="1812" spans="1:7" ht="15.75" customHeight="1">
      <c r="A1812" s="2" t="s">
        <v>7174</v>
      </c>
      <c r="B1812" s="2" t="s">
        <v>7204</v>
      </c>
      <c r="C1812" s="2" t="s">
        <v>8458</v>
      </c>
      <c r="D1812" s="2" t="s">
        <v>7687</v>
      </c>
      <c r="E1812" s="2" t="s">
        <v>5664</v>
      </c>
      <c r="F1812" s="2" t="s">
        <v>5664</v>
      </c>
      <c r="G1812" s="2">
        <v>0</v>
      </c>
    </row>
    <row r="1813" spans="1:7" ht="15.75" customHeight="1">
      <c r="A1813" s="2" t="s">
        <v>7174</v>
      </c>
      <c r="B1813" s="2" t="s">
        <v>7204</v>
      </c>
      <c r="C1813" s="2" t="s">
        <v>8459</v>
      </c>
      <c r="D1813" s="2" t="s">
        <v>7687</v>
      </c>
      <c r="E1813" s="2" t="s">
        <v>5664</v>
      </c>
      <c r="F1813" s="2" t="s">
        <v>5664</v>
      </c>
      <c r="G1813" s="2">
        <v>0</v>
      </c>
    </row>
    <row r="1814" spans="1:7" ht="15.75" customHeight="1">
      <c r="A1814" s="2" t="s">
        <v>7174</v>
      </c>
      <c r="B1814" s="2" t="s">
        <v>7204</v>
      </c>
      <c r="C1814" s="2" t="s">
        <v>8460</v>
      </c>
      <c r="D1814" s="2" t="s">
        <v>7216</v>
      </c>
      <c r="E1814" s="2" t="s">
        <v>7215</v>
      </c>
      <c r="F1814" s="2" t="s">
        <v>7215</v>
      </c>
      <c r="G1814" s="2">
        <v>40</v>
      </c>
    </row>
    <row r="1815" spans="1:7" ht="15.75" customHeight="1">
      <c r="A1815" s="2" t="s">
        <v>7174</v>
      </c>
      <c r="B1815" s="2" t="s">
        <v>7204</v>
      </c>
      <c r="C1815" s="2" t="s">
        <v>8461</v>
      </c>
      <c r="D1815" s="2" t="s">
        <v>7216</v>
      </c>
      <c r="E1815" s="2" t="s">
        <v>7215</v>
      </c>
      <c r="F1815" s="2" t="s">
        <v>7215</v>
      </c>
      <c r="G1815" s="2">
        <v>40</v>
      </c>
    </row>
    <row r="1816" spans="1:7" ht="15.75" customHeight="1">
      <c r="A1816" s="2" t="s">
        <v>7174</v>
      </c>
      <c r="B1816" s="2" t="s">
        <v>7204</v>
      </c>
      <c r="C1816" s="2" t="s">
        <v>8665</v>
      </c>
      <c r="D1816" s="2" t="s">
        <v>7216</v>
      </c>
      <c r="E1816" s="2" t="s">
        <v>7215</v>
      </c>
      <c r="F1816" s="2" t="s">
        <v>7215</v>
      </c>
      <c r="G1816" s="2">
        <v>40</v>
      </c>
    </row>
    <row r="1817" spans="1:7" ht="15.75" customHeight="1">
      <c r="A1817" s="2" t="s">
        <v>7174</v>
      </c>
      <c r="B1817" s="2" t="s">
        <v>7204</v>
      </c>
      <c r="C1817" s="2" t="s">
        <v>8666</v>
      </c>
      <c r="D1817" s="2" t="s">
        <v>7216</v>
      </c>
      <c r="E1817" s="2" t="s">
        <v>7215</v>
      </c>
      <c r="F1817" s="2" t="s">
        <v>7215</v>
      </c>
      <c r="G1817" s="2">
        <v>40</v>
      </c>
    </row>
    <row r="1818" spans="1:7" ht="15.75" customHeight="1">
      <c r="A1818" s="2" t="s">
        <v>7174</v>
      </c>
      <c r="B1818" s="2" t="s">
        <v>7204</v>
      </c>
      <c r="C1818" s="2" t="s">
        <v>8667</v>
      </c>
      <c r="D1818" s="2" t="s">
        <v>7235</v>
      </c>
      <c r="E1818" s="2" t="s">
        <v>538</v>
      </c>
      <c r="F1818" s="2" t="s">
        <v>538</v>
      </c>
      <c r="G1818" s="2">
        <v>0</v>
      </c>
    </row>
    <row r="1819" spans="1:7" ht="15.75" customHeight="1">
      <c r="A1819" s="2" t="s">
        <v>7174</v>
      </c>
      <c r="B1819" s="2" t="s">
        <v>7204</v>
      </c>
      <c r="C1819" s="2" t="s">
        <v>8473</v>
      </c>
      <c r="D1819" s="2" t="s">
        <v>7277</v>
      </c>
      <c r="E1819" s="2" t="s">
        <v>7278</v>
      </c>
      <c r="F1819" s="2" t="s">
        <v>7278</v>
      </c>
      <c r="G1819" s="2">
        <v>0</v>
      </c>
    </row>
    <row r="1820" spans="1:7" ht="15.75" customHeight="1">
      <c r="A1820" s="2" t="s">
        <v>7174</v>
      </c>
      <c r="B1820" s="2" t="s">
        <v>7204</v>
      </c>
      <c r="C1820" s="2" t="s">
        <v>8474</v>
      </c>
      <c r="D1820" s="2" t="s">
        <v>7235</v>
      </c>
      <c r="E1820" s="2" t="s">
        <v>538</v>
      </c>
      <c r="F1820" s="2" t="s">
        <v>538</v>
      </c>
      <c r="G1820" s="2">
        <v>0</v>
      </c>
    </row>
    <row r="1821" spans="1:7" ht="15.75" customHeight="1">
      <c r="A1821" s="2" t="s">
        <v>7174</v>
      </c>
      <c r="B1821" s="2" t="s">
        <v>7204</v>
      </c>
      <c r="C1821" s="2" t="s">
        <v>8475</v>
      </c>
      <c r="D1821" s="2" t="s">
        <v>7515</v>
      </c>
      <c r="E1821" s="2" t="s">
        <v>7278</v>
      </c>
      <c r="F1821" s="2" t="s">
        <v>7278</v>
      </c>
      <c r="G1821" s="2">
        <v>0</v>
      </c>
    </row>
    <row r="1822" spans="1:7" ht="15.75" customHeight="1">
      <c r="A1822" s="2" t="s">
        <v>7174</v>
      </c>
      <c r="B1822" s="2" t="s">
        <v>7204</v>
      </c>
      <c r="C1822" s="2" t="s">
        <v>8476</v>
      </c>
      <c r="D1822" s="2" t="s">
        <v>7259</v>
      </c>
      <c r="E1822" s="2" t="s">
        <v>7215</v>
      </c>
      <c r="F1822" s="2" t="s">
        <v>7215</v>
      </c>
      <c r="G1822" s="2">
        <v>255</v>
      </c>
    </row>
    <row r="1823" spans="1:7" ht="15.75" customHeight="1">
      <c r="A1823" s="2" t="s">
        <v>7174</v>
      </c>
      <c r="B1823" s="2" t="s">
        <v>7204</v>
      </c>
      <c r="C1823" s="2" t="s">
        <v>8477</v>
      </c>
      <c r="D1823" s="2" t="s">
        <v>7282</v>
      </c>
      <c r="E1823" s="2" t="s">
        <v>7215</v>
      </c>
      <c r="F1823" s="2" t="s">
        <v>7215</v>
      </c>
      <c r="G1823" s="2">
        <v>100</v>
      </c>
    </row>
    <row r="1824" spans="1:7" ht="15.75" customHeight="1">
      <c r="A1824" s="2" t="s">
        <v>7174</v>
      </c>
      <c r="B1824" s="2" t="s">
        <v>7204</v>
      </c>
      <c r="C1824" s="2" t="s">
        <v>8478</v>
      </c>
      <c r="D1824" s="2" t="s">
        <v>7216</v>
      </c>
      <c r="E1824" s="2" t="s">
        <v>7215</v>
      </c>
      <c r="F1824" s="2" t="s">
        <v>7215</v>
      </c>
      <c r="G1824" s="2">
        <v>255</v>
      </c>
    </row>
    <row r="1825" spans="1:7" ht="15.75" customHeight="1">
      <c r="A1825" s="2" t="s">
        <v>7174</v>
      </c>
      <c r="B1825" s="2" t="s">
        <v>7204</v>
      </c>
      <c r="C1825" s="2" t="s">
        <v>8479</v>
      </c>
      <c r="D1825" s="2" t="s">
        <v>7235</v>
      </c>
      <c r="E1825" s="2" t="s">
        <v>538</v>
      </c>
      <c r="F1825" s="2" t="s">
        <v>538</v>
      </c>
      <c r="G1825" s="2">
        <v>0</v>
      </c>
    </row>
    <row r="1826" spans="1:7" ht="15.75" customHeight="1">
      <c r="A1826" s="2" t="s">
        <v>7174</v>
      </c>
      <c r="B1826" s="2" t="s">
        <v>7204</v>
      </c>
      <c r="C1826" s="2" t="s">
        <v>7178</v>
      </c>
      <c r="D1826" s="2" t="s">
        <v>8480</v>
      </c>
      <c r="E1826" s="2" t="s">
        <v>3897</v>
      </c>
      <c r="F1826" s="2" t="s">
        <v>7210</v>
      </c>
      <c r="G1826" s="2">
        <v>18</v>
      </c>
    </row>
    <row r="1827" spans="1:7" ht="15.75" customHeight="1">
      <c r="A1827" s="2" t="s">
        <v>7174</v>
      </c>
      <c r="B1827" s="2" t="s">
        <v>7204</v>
      </c>
      <c r="C1827" s="2" t="s">
        <v>7592</v>
      </c>
      <c r="D1827" s="2" t="s">
        <v>7214</v>
      </c>
      <c r="E1827" s="2" t="s">
        <v>3897</v>
      </c>
      <c r="F1827" s="2" t="s">
        <v>7210</v>
      </c>
      <c r="G1827" s="2">
        <v>18</v>
      </c>
    </row>
    <row r="1828" spans="1:7" ht="15.75" customHeight="1">
      <c r="A1828" s="2" t="s">
        <v>7174</v>
      </c>
      <c r="B1828" s="2" t="s">
        <v>7204</v>
      </c>
      <c r="C1828" s="2" t="s">
        <v>8481</v>
      </c>
      <c r="D1828" s="2" t="s">
        <v>7582</v>
      </c>
      <c r="E1828" s="2" t="s">
        <v>538</v>
      </c>
      <c r="F1828" s="2" t="s">
        <v>538</v>
      </c>
      <c r="G1828" s="2">
        <v>0</v>
      </c>
    </row>
    <row r="1829" spans="1:7" ht="15.75" customHeight="1">
      <c r="A1829" s="2" t="s">
        <v>7174</v>
      </c>
      <c r="B1829" s="2" t="s">
        <v>7204</v>
      </c>
      <c r="C1829" s="2" t="s">
        <v>8482</v>
      </c>
      <c r="D1829" s="2" t="s">
        <v>7259</v>
      </c>
      <c r="E1829" s="2" t="s">
        <v>7215</v>
      </c>
      <c r="F1829" s="2" t="s">
        <v>7215</v>
      </c>
      <c r="G1829" s="2">
        <v>255</v>
      </c>
    </row>
    <row r="1830" spans="1:7" ht="15.75" customHeight="1">
      <c r="A1830" s="2" t="s">
        <v>7174</v>
      </c>
      <c r="B1830" s="2" t="s">
        <v>7204</v>
      </c>
      <c r="C1830" s="2" t="s">
        <v>8483</v>
      </c>
      <c r="D1830" s="2" t="s">
        <v>7559</v>
      </c>
      <c r="E1830" s="2" t="s">
        <v>7215</v>
      </c>
      <c r="F1830" s="2" t="s">
        <v>7215</v>
      </c>
      <c r="G1830" s="2">
        <v>30</v>
      </c>
    </row>
    <row r="1831" spans="1:7" ht="15.75" customHeight="1">
      <c r="A1831" s="2" t="s">
        <v>7174</v>
      </c>
      <c r="B1831" s="2" t="s">
        <v>7204</v>
      </c>
      <c r="C1831" s="2" t="s">
        <v>8484</v>
      </c>
      <c r="D1831" s="2" t="s">
        <v>7559</v>
      </c>
      <c r="E1831" s="2" t="s">
        <v>7215</v>
      </c>
      <c r="F1831" s="2" t="s">
        <v>7215</v>
      </c>
      <c r="G1831" s="2">
        <v>30</v>
      </c>
    </row>
    <row r="1832" spans="1:7" ht="15.75" customHeight="1">
      <c r="A1832" s="2" t="s">
        <v>7174</v>
      </c>
      <c r="B1832" s="2" t="s">
        <v>7204</v>
      </c>
      <c r="C1832" s="2" t="s">
        <v>8485</v>
      </c>
      <c r="D1832" s="2" t="s">
        <v>7347</v>
      </c>
      <c r="E1832" s="2" t="s">
        <v>7215</v>
      </c>
      <c r="F1832" s="2" t="s">
        <v>7215</v>
      </c>
      <c r="G1832" s="2">
        <v>10</v>
      </c>
    </row>
    <row r="1833" spans="1:7" ht="15.75" customHeight="1">
      <c r="A1833" s="2" t="s">
        <v>7174</v>
      </c>
      <c r="B1833" s="2" t="s">
        <v>7204</v>
      </c>
      <c r="C1833" s="2" t="s">
        <v>8486</v>
      </c>
      <c r="D1833" s="2" t="s">
        <v>7282</v>
      </c>
      <c r="E1833" s="2" t="s">
        <v>7215</v>
      </c>
      <c r="F1833" s="2" t="s">
        <v>7215</v>
      </c>
      <c r="G1833" s="2">
        <v>100</v>
      </c>
    </row>
    <row r="1834" spans="1:7" ht="15.75" customHeight="1">
      <c r="A1834" s="2" t="s">
        <v>7174</v>
      </c>
      <c r="B1834" s="2" t="s">
        <v>7204</v>
      </c>
      <c r="C1834" s="2" t="s">
        <v>8487</v>
      </c>
      <c r="D1834" s="2" t="s">
        <v>7259</v>
      </c>
      <c r="E1834" s="2" t="s">
        <v>7215</v>
      </c>
      <c r="F1834" s="2" t="s">
        <v>7215</v>
      </c>
      <c r="G1834" s="2">
        <v>255</v>
      </c>
    </row>
    <row r="1835" spans="1:7" ht="15.75" customHeight="1">
      <c r="A1835" s="2" t="s">
        <v>7174</v>
      </c>
      <c r="B1835" s="2" t="s">
        <v>7204</v>
      </c>
      <c r="C1835" s="2" t="s">
        <v>8488</v>
      </c>
      <c r="D1835" s="2" t="s">
        <v>7282</v>
      </c>
      <c r="E1835" s="2" t="s">
        <v>7215</v>
      </c>
      <c r="F1835" s="2" t="s">
        <v>7215</v>
      </c>
      <c r="G1835" s="2">
        <v>100</v>
      </c>
    </row>
    <row r="1836" spans="1:7" ht="15.75" customHeight="1">
      <c r="A1836" s="2" t="s">
        <v>7174</v>
      </c>
      <c r="B1836" s="2" t="s">
        <v>7204</v>
      </c>
      <c r="C1836" s="2" t="s">
        <v>8489</v>
      </c>
      <c r="D1836" s="2" t="s">
        <v>7347</v>
      </c>
      <c r="E1836" s="2" t="s">
        <v>7215</v>
      </c>
      <c r="F1836" s="2" t="s">
        <v>7215</v>
      </c>
      <c r="G1836" s="2">
        <v>10</v>
      </c>
    </row>
    <row r="1837" spans="1:7" ht="15.75" customHeight="1">
      <c r="A1837" s="2" t="s">
        <v>7174</v>
      </c>
      <c r="B1837" s="2" t="s">
        <v>7204</v>
      </c>
      <c r="C1837" s="2" t="s">
        <v>8490</v>
      </c>
      <c r="D1837" s="2" t="s">
        <v>7284</v>
      </c>
      <c r="E1837" s="2" t="s">
        <v>7215</v>
      </c>
      <c r="F1837" s="2" t="s">
        <v>7215</v>
      </c>
      <c r="G1837" s="2">
        <v>1300</v>
      </c>
    </row>
    <row r="1838" spans="1:7" ht="15.75" customHeight="1">
      <c r="A1838" s="2" t="s">
        <v>7174</v>
      </c>
      <c r="B1838" s="2" t="s">
        <v>7204</v>
      </c>
      <c r="C1838" s="2" t="s">
        <v>8491</v>
      </c>
      <c r="D1838" s="2" t="s">
        <v>7439</v>
      </c>
      <c r="E1838" s="2" t="s">
        <v>5672</v>
      </c>
      <c r="F1838" s="2" t="s">
        <v>5672</v>
      </c>
      <c r="G1838" s="2">
        <v>0</v>
      </c>
    </row>
    <row r="1839" spans="1:7" ht="15.75" customHeight="1">
      <c r="A1839" s="2" t="s">
        <v>7174</v>
      </c>
      <c r="B1839" s="2" t="s">
        <v>7204</v>
      </c>
      <c r="C1839" s="2" t="s">
        <v>8492</v>
      </c>
      <c r="D1839" s="2" t="s">
        <v>7212</v>
      </c>
      <c r="E1839" s="2" t="s">
        <v>5672</v>
      </c>
      <c r="F1839" s="2" t="s">
        <v>5672</v>
      </c>
      <c r="G1839" s="2">
        <v>0</v>
      </c>
    </row>
    <row r="1840" spans="1:7" ht="15.75" customHeight="1">
      <c r="A1840" s="2" t="s">
        <v>7174</v>
      </c>
      <c r="B1840" s="2" t="s">
        <v>7204</v>
      </c>
      <c r="C1840" s="2" t="s">
        <v>8493</v>
      </c>
      <c r="D1840" s="2" t="s">
        <v>7216</v>
      </c>
      <c r="E1840" s="2" t="s">
        <v>7215</v>
      </c>
      <c r="F1840" s="2" t="s">
        <v>7215</v>
      </c>
      <c r="G1840" s="2">
        <v>255</v>
      </c>
    </row>
    <row r="1841" spans="1:7" ht="15.75" customHeight="1">
      <c r="A1841" s="2" t="s">
        <v>7174</v>
      </c>
      <c r="B1841" s="2" t="s">
        <v>7204</v>
      </c>
      <c r="C1841" s="2" t="s">
        <v>7780</v>
      </c>
      <c r="D1841" s="2" t="s">
        <v>7216</v>
      </c>
      <c r="E1841" s="2" t="s">
        <v>7215</v>
      </c>
      <c r="F1841" s="2" t="s">
        <v>7215</v>
      </c>
      <c r="G1841" s="2">
        <v>255</v>
      </c>
    </row>
    <row r="1842" spans="1:7" ht="15.75" customHeight="1">
      <c r="A1842" s="2" t="s">
        <v>7174</v>
      </c>
      <c r="B1842" s="2" t="s">
        <v>7204</v>
      </c>
      <c r="C1842" s="2" t="s">
        <v>8494</v>
      </c>
      <c r="D1842" s="2" t="s">
        <v>7216</v>
      </c>
      <c r="E1842" s="2" t="s">
        <v>7215</v>
      </c>
      <c r="F1842" s="2" t="s">
        <v>7215</v>
      </c>
      <c r="G1842" s="2">
        <v>255</v>
      </c>
    </row>
    <row r="1843" spans="1:7" ht="15.75" customHeight="1">
      <c r="A1843" s="2" t="s">
        <v>7174</v>
      </c>
      <c r="B1843" s="2" t="s">
        <v>7204</v>
      </c>
      <c r="C1843" s="2" t="s">
        <v>8495</v>
      </c>
      <c r="D1843" s="2" t="s">
        <v>7216</v>
      </c>
      <c r="E1843" s="2" t="s">
        <v>7215</v>
      </c>
      <c r="F1843" s="2" t="s">
        <v>7215</v>
      </c>
      <c r="G1843" s="2">
        <v>255</v>
      </c>
    </row>
  </sheetData>
  <autoFilter ref="A1:G1843" xr:uid="{00000000-0009-0000-0000-000015000000}"/>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sheetPr>
  <dimension ref="A1:K1000"/>
  <sheetViews>
    <sheetView workbookViewId="0"/>
  </sheetViews>
  <sheetFormatPr baseColWidth="10" defaultColWidth="12.6640625" defaultRowHeight="15" customHeight="1"/>
  <cols>
    <col min="1" max="1" width="10.1640625" customWidth="1"/>
    <col min="2" max="2" width="19.6640625" customWidth="1"/>
    <col min="3" max="3" width="15.1640625" customWidth="1"/>
    <col min="4" max="4" width="7.6640625" customWidth="1"/>
    <col min="5" max="5" width="14.33203125" customWidth="1"/>
    <col min="6" max="6" width="10.1640625" customWidth="1"/>
    <col min="7" max="7" width="24.6640625" customWidth="1"/>
    <col min="8" max="8" width="19.5" customWidth="1"/>
    <col min="9" max="9" width="11.1640625" customWidth="1"/>
    <col min="10" max="10" width="23.6640625" customWidth="1"/>
    <col min="11" max="11" width="22" customWidth="1"/>
    <col min="12" max="26" width="7.6640625" customWidth="1"/>
  </cols>
  <sheetData>
    <row r="1" spans="1:11">
      <c r="A1" s="214" t="s">
        <v>154</v>
      </c>
      <c r="B1" s="214" t="s">
        <v>155</v>
      </c>
      <c r="C1" s="214" t="s">
        <v>156</v>
      </c>
      <c r="D1" s="214" t="s">
        <v>157</v>
      </c>
      <c r="E1" s="214" t="s">
        <v>3628</v>
      </c>
      <c r="F1" s="245" t="s">
        <v>164</v>
      </c>
      <c r="G1" s="176" t="s">
        <v>165</v>
      </c>
      <c r="H1" s="176" t="s">
        <v>3632</v>
      </c>
      <c r="I1" s="103" t="s">
        <v>166</v>
      </c>
      <c r="J1" s="104" t="s">
        <v>167</v>
      </c>
      <c r="K1" s="105" t="s">
        <v>168</v>
      </c>
    </row>
    <row r="2" spans="1:11">
      <c r="A2" s="2" t="s">
        <v>8668</v>
      </c>
      <c r="C2" s="159" t="s">
        <v>8669</v>
      </c>
      <c r="D2" s="2">
        <v>67</v>
      </c>
      <c r="E2" s="159">
        <v>125</v>
      </c>
      <c r="G2" s="183"/>
      <c r="H2" s="183"/>
      <c r="I2" s="249" t="s">
        <v>8670</v>
      </c>
      <c r="J2" s="98" t="s">
        <v>8671</v>
      </c>
      <c r="K2" s="208" t="s">
        <v>176</v>
      </c>
    </row>
    <row r="3" spans="1:11">
      <c r="A3" s="2" t="s">
        <v>8668</v>
      </c>
      <c r="C3" s="2" t="s">
        <v>8672</v>
      </c>
      <c r="D3" s="212">
        <v>324229</v>
      </c>
      <c r="E3" s="159">
        <v>81800</v>
      </c>
      <c r="G3" s="183"/>
      <c r="H3" s="183"/>
      <c r="I3" s="249" t="s">
        <v>8670</v>
      </c>
      <c r="J3" s="98" t="s">
        <v>8673</v>
      </c>
      <c r="K3" s="208" t="s">
        <v>176</v>
      </c>
    </row>
    <row r="4" spans="1:11">
      <c r="A4" s="2" t="s">
        <v>8668</v>
      </c>
      <c r="C4" s="2" t="s">
        <v>102</v>
      </c>
      <c r="D4" s="2">
        <v>254</v>
      </c>
      <c r="E4" s="159">
        <v>272</v>
      </c>
      <c r="G4" s="183"/>
      <c r="H4" s="183"/>
      <c r="I4" s="249" t="s">
        <v>8670</v>
      </c>
      <c r="J4" s="98" t="s">
        <v>8671</v>
      </c>
      <c r="K4" s="208" t="s">
        <v>176</v>
      </c>
    </row>
    <row r="5" spans="1:11">
      <c r="A5" s="2" t="s">
        <v>8668</v>
      </c>
      <c r="C5" s="159" t="s">
        <v>8674</v>
      </c>
      <c r="D5" s="2">
        <v>10335</v>
      </c>
      <c r="E5" s="159">
        <v>54630</v>
      </c>
      <c r="G5" s="183"/>
      <c r="H5" s="183"/>
      <c r="I5" s="249" t="s">
        <v>8670</v>
      </c>
      <c r="J5" s="98" t="s">
        <v>8671</v>
      </c>
      <c r="K5" s="208" t="s">
        <v>176</v>
      </c>
    </row>
    <row r="6" spans="1:11">
      <c r="A6" s="2" t="s">
        <v>8668</v>
      </c>
      <c r="C6" s="159" t="s">
        <v>8675</v>
      </c>
      <c r="D6" s="2">
        <v>99943</v>
      </c>
      <c r="E6" s="159">
        <v>75800</v>
      </c>
      <c r="G6" s="183"/>
      <c r="H6" s="183"/>
      <c r="I6" s="249" t="s">
        <v>8670</v>
      </c>
      <c r="J6" s="98" t="s">
        <v>8671</v>
      </c>
      <c r="K6" s="208" t="s">
        <v>176</v>
      </c>
    </row>
    <row r="7" spans="1:11">
      <c r="G7" s="183"/>
      <c r="H7" s="183"/>
      <c r="I7" s="250"/>
    </row>
    <row r="8" spans="1:11">
      <c r="G8" s="183"/>
      <c r="H8" s="183"/>
    </row>
    <row r="9" spans="1:11">
      <c r="G9" s="183"/>
      <c r="H9" s="183"/>
    </row>
    <row r="10" spans="1:11">
      <c r="G10" s="183"/>
      <c r="H10" s="183"/>
    </row>
    <row r="11" spans="1:11">
      <c r="G11" s="183"/>
      <c r="H11" s="183"/>
    </row>
    <row r="12" spans="1:11">
      <c r="G12" s="183"/>
      <c r="H12" s="183"/>
    </row>
    <row r="13" spans="1:11">
      <c r="G13" s="183"/>
      <c r="H13" s="183"/>
    </row>
    <row r="14" spans="1:11">
      <c r="G14" s="183"/>
      <c r="H14" s="183"/>
    </row>
    <row r="15" spans="1:11">
      <c r="G15" s="183"/>
      <c r="H15" s="183"/>
    </row>
    <row r="16" spans="1:11">
      <c r="G16" s="183"/>
      <c r="H16" s="183"/>
    </row>
    <row r="17" spans="7:8">
      <c r="G17" s="183"/>
      <c r="H17" s="183"/>
    </row>
    <row r="18" spans="7:8">
      <c r="G18" s="183"/>
      <c r="H18" s="183"/>
    </row>
    <row r="19" spans="7:8">
      <c r="G19" s="183"/>
      <c r="H19" s="183"/>
    </row>
    <row r="20" spans="7:8">
      <c r="G20" s="183"/>
      <c r="H20" s="183"/>
    </row>
    <row r="21" spans="7:8" ht="15.75" customHeight="1">
      <c r="G21" s="183"/>
      <c r="H21" s="183"/>
    </row>
    <row r="22" spans="7:8" ht="15.75" customHeight="1">
      <c r="G22" s="183"/>
      <c r="H22" s="183"/>
    </row>
    <row r="23" spans="7:8" ht="15.75" customHeight="1">
      <c r="G23" s="183"/>
      <c r="H23" s="183"/>
    </row>
    <row r="24" spans="7:8" ht="15.75" customHeight="1">
      <c r="G24" s="183"/>
      <c r="H24" s="183"/>
    </row>
    <row r="25" spans="7:8" ht="15.75" customHeight="1">
      <c r="G25" s="183"/>
      <c r="H25" s="183"/>
    </row>
    <row r="26" spans="7:8" ht="15.75" customHeight="1">
      <c r="G26" s="183"/>
      <c r="H26" s="183"/>
    </row>
    <row r="27" spans="7:8" ht="15.75" customHeight="1">
      <c r="G27" s="183"/>
      <c r="H27" s="183"/>
    </row>
    <row r="28" spans="7:8" ht="15.75" customHeight="1">
      <c r="G28" s="183"/>
      <c r="H28" s="183"/>
    </row>
    <row r="29" spans="7:8" ht="15.75" customHeight="1">
      <c r="G29" s="183"/>
      <c r="H29" s="183"/>
    </row>
    <row r="30" spans="7:8" ht="15.75" customHeight="1">
      <c r="G30" s="183"/>
      <c r="H30" s="183"/>
    </row>
    <row r="31" spans="7:8" ht="15.75" customHeight="1">
      <c r="G31" s="183"/>
      <c r="H31" s="183"/>
    </row>
    <row r="32" spans="7:8" ht="15.75" customHeight="1">
      <c r="G32" s="183"/>
      <c r="H32" s="183"/>
    </row>
    <row r="33" spans="7:8" ht="15.75" customHeight="1">
      <c r="G33" s="183"/>
      <c r="H33" s="183"/>
    </row>
    <row r="34" spans="7:8" ht="15.75" customHeight="1">
      <c r="G34" s="183"/>
      <c r="H34" s="183"/>
    </row>
    <row r="35" spans="7:8" ht="15.75" customHeight="1">
      <c r="G35" s="183"/>
      <c r="H35" s="183"/>
    </row>
    <row r="36" spans="7:8" ht="15.75" customHeight="1">
      <c r="G36" s="183"/>
      <c r="H36" s="183"/>
    </row>
    <row r="37" spans="7:8" ht="15.75" customHeight="1">
      <c r="G37" s="183"/>
      <c r="H37" s="183"/>
    </row>
    <row r="38" spans="7:8" ht="15.75" customHeight="1">
      <c r="G38" s="183"/>
      <c r="H38" s="183"/>
    </row>
    <row r="39" spans="7:8" ht="15.75" customHeight="1">
      <c r="G39" s="183"/>
      <c r="H39" s="183"/>
    </row>
    <row r="40" spans="7:8" ht="15.75" customHeight="1">
      <c r="G40" s="183"/>
      <c r="H40" s="183"/>
    </row>
    <row r="41" spans="7:8" ht="15.75" customHeight="1">
      <c r="G41" s="183"/>
      <c r="H41" s="183"/>
    </row>
    <row r="42" spans="7:8" ht="15.75" customHeight="1">
      <c r="G42" s="183"/>
      <c r="H42" s="183"/>
    </row>
    <row r="43" spans="7:8" ht="15.75" customHeight="1">
      <c r="G43" s="183"/>
      <c r="H43" s="183"/>
    </row>
    <row r="44" spans="7:8" ht="15.75" customHeight="1">
      <c r="G44" s="183"/>
      <c r="H44" s="183"/>
    </row>
    <row r="45" spans="7:8" ht="15.75" customHeight="1">
      <c r="G45" s="183"/>
      <c r="H45" s="183"/>
    </row>
    <row r="46" spans="7:8" ht="15.75" customHeight="1">
      <c r="G46" s="183"/>
      <c r="H46" s="183"/>
    </row>
    <row r="47" spans="7:8" ht="15.75" customHeight="1">
      <c r="G47" s="183"/>
      <c r="H47" s="183"/>
    </row>
    <row r="48" spans="7:8" ht="15.75" customHeight="1">
      <c r="G48" s="183"/>
      <c r="H48" s="183"/>
    </row>
    <row r="49" spans="7:8" ht="15.75" customHeight="1">
      <c r="G49" s="183"/>
      <c r="H49" s="183"/>
    </row>
    <row r="50" spans="7:8" ht="15.75" customHeight="1">
      <c r="G50" s="183"/>
      <c r="H50" s="183"/>
    </row>
    <row r="51" spans="7:8" ht="15.75" customHeight="1">
      <c r="G51" s="183"/>
      <c r="H51" s="183"/>
    </row>
    <row r="52" spans="7:8" ht="15.75" customHeight="1">
      <c r="G52" s="183"/>
      <c r="H52" s="183"/>
    </row>
    <row r="53" spans="7:8" ht="15.75" customHeight="1">
      <c r="G53" s="183"/>
      <c r="H53" s="183"/>
    </row>
    <row r="54" spans="7:8" ht="15.75" customHeight="1">
      <c r="G54" s="183"/>
      <c r="H54" s="183"/>
    </row>
    <row r="55" spans="7:8" ht="15.75" customHeight="1">
      <c r="G55" s="183"/>
      <c r="H55" s="183"/>
    </row>
    <row r="56" spans="7:8" ht="15.75" customHeight="1">
      <c r="G56" s="183"/>
      <c r="H56" s="183"/>
    </row>
    <row r="57" spans="7:8" ht="15.75" customHeight="1">
      <c r="G57" s="183"/>
      <c r="H57" s="183"/>
    </row>
    <row r="58" spans="7:8" ht="15.75" customHeight="1">
      <c r="G58" s="183"/>
      <c r="H58" s="183"/>
    </row>
    <row r="59" spans="7:8" ht="15.75" customHeight="1">
      <c r="G59" s="183"/>
      <c r="H59" s="183"/>
    </row>
    <row r="60" spans="7:8" ht="15.75" customHeight="1">
      <c r="G60" s="183"/>
      <c r="H60" s="183"/>
    </row>
    <row r="61" spans="7:8" ht="15.75" customHeight="1">
      <c r="G61" s="183"/>
      <c r="H61" s="183"/>
    </row>
    <row r="62" spans="7:8" ht="15.75" customHeight="1">
      <c r="G62" s="183"/>
      <c r="H62" s="183"/>
    </row>
    <row r="63" spans="7:8" ht="15.75" customHeight="1">
      <c r="G63" s="183"/>
      <c r="H63" s="183"/>
    </row>
    <row r="64" spans="7:8" ht="15.75" customHeight="1">
      <c r="G64" s="183"/>
      <c r="H64" s="183"/>
    </row>
    <row r="65" spans="7:8" ht="15.75" customHeight="1">
      <c r="G65" s="183"/>
      <c r="H65" s="183"/>
    </row>
    <row r="66" spans="7:8" ht="15.75" customHeight="1">
      <c r="G66" s="183"/>
      <c r="H66" s="183"/>
    </row>
    <row r="67" spans="7:8" ht="15.75" customHeight="1">
      <c r="G67" s="183"/>
      <c r="H67" s="183"/>
    </row>
    <row r="68" spans="7:8" ht="15.75" customHeight="1">
      <c r="G68" s="183"/>
      <c r="H68" s="183"/>
    </row>
    <row r="69" spans="7:8" ht="15.75" customHeight="1">
      <c r="G69" s="183"/>
      <c r="H69" s="183"/>
    </row>
    <row r="70" spans="7:8" ht="15.75" customHeight="1">
      <c r="G70" s="183"/>
      <c r="H70" s="183"/>
    </row>
    <row r="71" spans="7:8" ht="15.75" customHeight="1">
      <c r="G71" s="183"/>
      <c r="H71" s="183"/>
    </row>
    <row r="72" spans="7:8" ht="15.75" customHeight="1">
      <c r="G72" s="183"/>
      <c r="H72" s="183"/>
    </row>
    <row r="73" spans="7:8" ht="15.75" customHeight="1">
      <c r="G73" s="183"/>
      <c r="H73" s="183"/>
    </row>
    <row r="74" spans="7:8" ht="15.75" customHeight="1">
      <c r="G74" s="183"/>
      <c r="H74" s="183"/>
    </row>
    <row r="75" spans="7:8" ht="15.75" customHeight="1">
      <c r="G75" s="183"/>
      <c r="H75" s="183"/>
    </row>
    <row r="76" spans="7:8" ht="15.75" customHeight="1">
      <c r="G76" s="183"/>
      <c r="H76" s="183"/>
    </row>
    <row r="77" spans="7:8" ht="15.75" customHeight="1">
      <c r="G77" s="183"/>
      <c r="H77" s="183"/>
    </row>
    <row r="78" spans="7:8" ht="15.75" customHeight="1">
      <c r="G78" s="183"/>
      <c r="H78" s="183"/>
    </row>
    <row r="79" spans="7:8" ht="15.75" customHeight="1">
      <c r="G79" s="183"/>
      <c r="H79" s="183"/>
    </row>
    <row r="80" spans="7:8" ht="15.75" customHeight="1">
      <c r="G80" s="183"/>
      <c r="H80" s="183"/>
    </row>
    <row r="81" spans="7:8" ht="15.75" customHeight="1">
      <c r="G81" s="183"/>
      <c r="H81" s="183"/>
    </row>
    <row r="82" spans="7:8" ht="15.75" customHeight="1">
      <c r="G82" s="183"/>
      <c r="H82" s="183"/>
    </row>
    <row r="83" spans="7:8" ht="15.75" customHeight="1">
      <c r="G83" s="183"/>
      <c r="H83" s="183"/>
    </row>
    <row r="84" spans="7:8" ht="15.75" customHeight="1">
      <c r="G84" s="183"/>
      <c r="H84" s="183"/>
    </row>
    <row r="85" spans="7:8" ht="15.75" customHeight="1">
      <c r="G85" s="183"/>
      <c r="H85" s="183"/>
    </row>
    <row r="86" spans="7:8" ht="15.75" customHeight="1">
      <c r="G86" s="183"/>
      <c r="H86" s="183"/>
    </row>
    <row r="87" spans="7:8" ht="15.75" customHeight="1">
      <c r="G87" s="183"/>
      <c r="H87" s="183"/>
    </row>
    <row r="88" spans="7:8" ht="15.75" customHeight="1">
      <c r="G88" s="183"/>
      <c r="H88" s="183"/>
    </row>
    <row r="89" spans="7:8" ht="15.75" customHeight="1">
      <c r="G89" s="183"/>
      <c r="H89" s="183"/>
    </row>
    <row r="90" spans="7:8" ht="15.75" customHeight="1">
      <c r="G90" s="183"/>
      <c r="H90" s="183"/>
    </row>
    <row r="91" spans="7:8" ht="15.75" customHeight="1">
      <c r="G91" s="183"/>
      <c r="H91" s="183"/>
    </row>
    <row r="92" spans="7:8" ht="15.75" customHeight="1">
      <c r="G92" s="183"/>
      <c r="H92" s="183"/>
    </row>
    <row r="93" spans="7:8" ht="15.75" customHeight="1">
      <c r="G93" s="183"/>
      <c r="H93" s="183"/>
    </row>
    <row r="94" spans="7:8" ht="15.75" customHeight="1">
      <c r="G94" s="183"/>
      <c r="H94" s="183"/>
    </row>
    <row r="95" spans="7:8" ht="15.75" customHeight="1">
      <c r="G95" s="183"/>
      <c r="H95" s="183"/>
    </row>
    <row r="96" spans="7:8" ht="15.75" customHeight="1">
      <c r="G96" s="183"/>
      <c r="H96" s="183"/>
    </row>
    <row r="97" spans="7:8" ht="15.75" customHeight="1">
      <c r="G97" s="183"/>
      <c r="H97" s="183"/>
    </row>
    <row r="98" spans="7:8" ht="15.75" customHeight="1">
      <c r="G98" s="183"/>
      <c r="H98" s="183"/>
    </row>
    <row r="99" spans="7:8" ht="15.75" customHeight="1">
      <c r="G99" s="183"/>
      <c r="H99" s="183"/>
    </row>
    <row r="100" spans="7:8" ht="15.75" customHeight="1">
      <c r="G100" s="183"/>
      <c r="H100" s="183"/>
    </row>
    <row r="101" spans="7:8" ht="15.75" customHeight="1">
      <c r="G101" s="183"/>
      <c r="H101" s="183"/>
    </row>
    <row r="102" spans="7:8" ht="15.75" customHeight="1">
      <c r="G102" s="183"/>
      <c r="H102" s="183"/>
    </row>
    <row r="103" spans="7:8" ht="15.75" customHeight="1">
      <c r="G103" s="183"/>
      <c r="H103" s="183"/>
    </row>
    <row r="104" spans="7:8" ht="15.75" customHeight="1">
      <c r="G104" s="183"/>
      <c r="H104" s="183"/>
    </row>
    <row r="105" spans="7:8" ht="15.75" customHeight="1">
      <c r="G105" s="183"/>
      <c r="H105" s="183"/>
    </row>
    <row r="106" spans="7:8" ht="15.75" customHeight="1">
      <c r="G106" s="183"/>
      <c r="H106" s="183"/>
    </row>
    <row r="107" spans="7:8" ht="15.75" customHeight="1">
      <c r="G107" s="183"/>
      <c r="H107" s="183"/>
    </row>
    <row r="108" spans="7:8" ht="15.75" customHeight="1">
      <c r="G108" s="183"/>
      <c r="H108" s="183"/>
    </row>
    <row r="109" spans="7:8" ht="15.75" customHeight="1">
      <c r="G109" s="183"/>
      <c r="H109" s="183"/>
    </row>
    <row r="110" spans="7:8" ht="15.75" customHeight="1">
      <c r="G110" s="183"/>
      <c r="H110" s="183"/>
    </row>
    <row r="111" spans="7:8" ht="15.75" customHeight="1">
      <c r="G111" s="183"/>
      <c r="H111" s="183"/>
    </row>
    <row r="112" spans="7:8" ht="15.75" customHeight="1">
      <c r="G112" s="183"/>
      <c r="H112" s="183"/>
    </row>
    <row r="113" spans="7:8" ht="15.75" customHeight="1">
      <c r="G113" s="183"/>
      <c r="H113" s="183"/>
    </row>
    <row r="114" spans="7:8" ht="15.75" customHeight="1">
      <c r="G114" s="183"/>
      <c r="H114" s="183"/>
    </row>
    <row r="115" spans="7:8" ht="15.75" customHeight="1">
      <c r="G115" s="183"/>
      <c r="H115" s="183"/>
    </row>
    <row r="116" spans="7:8" ht="15.75" customHeight="1">
      <c r="G116" s="183"/>
      <c r="H116" s="183"/>
    </row>
    <row r="117" spans="7:8" ht="15.75" customHeight="1">
      <c r="G117" s="183"/>
      <c r="H117" s="183"/>
    </row>
    <row r="118" spans="7:8" ht="15.75" customHeight="1">
      <c r="G118" s="183"/>
      <c r="H118" s="183"/>
    </row>
    <row r="119" spans="7:8" ht="15.75" customHeight="1">
      <c r="G119" s="183"/>
      <c r="H119" s="183"/>
    </row>
    <row r="120" spans="7:8" ht="15.75" customHeight="1">
      <c r="G120" s="183"/>
      <c r="H120" s="183"/>
    </row>
    <row r="121" spans="7:8" ht="15.75" customHeight="1">
      <c r="G121" s="183"/>
      <c r="H121" s="183"/>
    </row>
    <row r="122" spans="7:8" ht="15.75" customHeight="1">
      <c r="G122" s="183"/>
      <c r="H122" s="183"/>
    </row>
    <row r="123" spans="7:8" ht="15.75" customHeight="1">
      <c r="G123" s="183"/>
      <c r="H123" s="183"/>
    </row>
    <row r="124" spans="7:8" ht="15.75" customHeight="1">
      <c r="G124" s="183"/>
      <c r="H124" s="183"/>
    </row>
    <row r="125" spans="7:8" ht="15.75" customHeight="1">
      <c r="G125" s="183"/>
      <c r="H125" s="183"/>
    </row>
    <row r="126" spans="7:8" ht="15.75" customHeight="1">
      <c r="G126" s="183"/>
      <c r="H126" s="183"/>
    </row>
    <row r="127" spans="7:8" ht="15.75" customHeight="1">
      <c r="G127" s="183"/>
      <c r="H127" s="183"/>
    </row>
    <row r="128" spans="7:8" ht="15.75" customHeight="1">
      <c r="G128" s="183"/>
      <c r="H128" s="183"/>
    </row>
    <row r="129" spans="7:8" ht="15.75" customHeight="1">
      <c r="G129" s="183"/>
      <c r="H129" s="183"/>
    </row>
    <row r="130" spans="7:8" ht="15.75" customHeight="1">
      <c r="G130" s="183"/>
      <c r="H130" s="183"/>
    </row>
    <row r="131" spans="7:8" ht="15.75" customHeight="1">
      <c r="G131" s="183"/>
      <c r="H131" s="183"/>
    </row>
    <row r="132" spans="7:8" ht="15.75" customHeight="1">
      <c r="G132" s="183"/>
      <c r="H132" s="183"/>
    </row>
    <row r="133" spans="7:8" ht="15.75" customHeight="1">
      <c r="G133" s="183"/>
      <c r="H133" s="183"/>
    </row>
    <row r="134" spans="7:8" ht="15.75" customHeight="1">
      <c r="G134" s="183"/>
      <c r="H134" s="183"/>
    </row>
    <row r="135" spans="7:8" ht="15.75" customHeight="1">
      <c r="G135" s="183"/>
      <c r="H135" s="183"/>
    </row>
    <row r="136" spans="7:8" ht="15.75" customHeight="1">
      <c r="G136" s="183"/>
      <c r="H136" s="183"/>
    </row>
    <row r="137" spans="7:8" ht="15.75" customHeight="1">
      <c r="G137" s="183"/>
      <c r="H137" s="183"/>
    </row>
    <row r="138" spans="7:8" ht="15.75" customHeight="1">
      <c r="G138" s="183"/>
      <c r="H138" s="183"/>
    </row>
    <row r="139" spans="7:8" ht="15.75" customHeight="1">
      <c r="G139" s="183"/>
      <c r="H139" s="183"/>
    </row>
    <row r="140" spans="7:8" ht="15.75" customHeight="1">
      <c r="G140" s="183"/>
      <c r="H140" s="183"/>
    </row>
    <row r="141" spans="7:8" ht="15.75" customHeight="1">
      <c r="G141" s="183"/>
      <c r="H141" s="183"/>
    </row>
    <row r="142" spans="7:8" ht="15.75" customHeight="1">
      <c r="G142" s="183"/>
      <c r="H142" s="183"/>
    </row>
    <row r="143" spans="7:8" ht="15.75" customHeight="1">
      <c r="G143" s="183"/>
      <c r="H143" s="183"/>
    </row>
    <row r="144" spans="7:8" ht="15.75" customHeight="1">
      <c r="G144" s="183"/>
      <c r="H144" s="183"/>
    </row>
    <row r="145" spans="7:8" ht="15.75" customHeight="1">
      <c r="G145" s="183"/>
      <c r="H145" s="183"/>
    </row>
    <row r="146" spans="7:8" ht="15.75" customHeight="1">
      <c r="G146" s="183"/>
      <c r="H146" s="183"/>
    </row>
    <row r="147" spans="7:8" ht="15.75" customHeight="1">
      <c r="G147" s="183"/>
      <c r="H147" s="183"/>
    </row>
    <row r="148" spans="7:8" ht="15.75" customHeight="1">
      <c r="G148" s="183"/>
      <c r="H148" s="183"/>
    </row>
    <row r="149" spans="7:8" ht="15.75" customHeight="1">
      <c r="G149" s="183"/>
      <c r="H149" s="183"/>
    </row>
    <row r="150" spans="7:8" ht="15.75" customHeight="1">
      <c r="G150" s="183"/>
      <c r="H150" s="183"/>
    </row>
    <row r="151" spans="7:8" ht="15.75" customHeight="1">
      <c r="G151" s="183"/>
      <c r="H151" s="183"/>
    </row>
    <row r="152" spans="7:8" ht="15.75" customHeight="1">
      <c r="G152" s="183"/>
      <c r="H152" s="183"/>
    </row>
    <row r="153" spans="7:8" ht="15.75" customHeight="1">
      <c r="G153" s="183"/>
      <c r="H153" s="183"/>
    </row>
    <row r="154" spans="7:8" ht="15.75" customHeight="1">
      <c r="G154" s="183"/>
      <c r="H154" s="183"/>
    </row>
    <row r="155" spans="7:8" ht="15.75" customHeight="1">
      <c r="G155" s="183"/>
      <c r="H155" s="183"/>
    </row>
    <row r="156" spans="7:8" ht="15.75" customHeight="1">
      <c r="G156" s="183"/>
      <c r="H156" s="183"/>
    </row>
    <row r="157" spans="7:8" ht="15.75" customHeight="1">
      <c r="G157" s="183"/>
      <c r="H157" s="183"/>
    </row>
    <row r="158" spans="7:8" ht="15.75" customHeight="1">
      <c r="G158" s="183"/>
      <c r="H158" s="183"/>
    </row>
    <row r="159" spans="7:8" ht="15.75" customHeight="1">
      <c r="G159" s="183"/>
      <c r="H159" s="183"/>
    </row>
    <row r="160" spans="7:8" ht="15.75" customHeight="1">
      <c r="G160" s="183"/>
      <c r="H160" s="183"/>
    </row>
    <row r="161" spans="7:8" ht="15.75" customHeight="1">
      <c r="G161" s="183"/>
      <c r="H161" s="183"/>
    </row>
    <row r="162" spans="7:8" ht="15.75" customHeight="1">
      <c r="G162" s="183"/>
      <c r="H162" s="183"/>
    </row>
    <row r="163" spans="7:8" ht="15.75" customHeight="1">
      <c r="G163" s="183"/>
      <c r="H163" s="183"/>
    </row>
    <row r="164" spans="7:8" ht="15.75" customHeight="1">
      <c r="G164" s="183"/>
      <c r="H164" s="183"/>
    </row>
    <row r="165" spans="7:8" ht="15.75" customHeight="1">
      <c r="G165" s="183"/>
      <c r="H165" s="183"/>
    </row>
    <row r="166" spans="7:8" ht="15.75" customHeight="1">
      <c r="G166" s="183"/>
      <c r="H166" s="183"/>
    </row>
    <row r="167" spans="7:8" ht="15.75" customHeight="1">
      <c r="G167" s="183"/>
      <c r="H167" s="183"/>
    </row>
    <row r="168" spans="7:8" ht="15.75" customHeight="1">
      <c r="G168" s="183"/>
      <c r="H168" s="183"/>
    </row>
    <row r="169" spans="7:8" ht="15.75" customHeight="1">
      <c r="G169" s="183"/>
      <c r="H169" s="183"/>
    </row>
    <row r="170" spans="7:8" ht="15.75" customHeight="1">
      <c r="G170" s="183"/>
      <c r="H170" s="183"/>
    </row>
    <row r="171" spans="7:8" ht="15.75" customHeight="1">
      <c r="G171" s="183"/>
      <c r="H171" s="183"/>
    </row>
    <row r="172" spans="7:8" ht="15.75" customHeight="1">
      <c r="G172" s="183"/>
      <c r="H172" s="183"/>
    </row>
    <row r="173" spans="7:8" ht="15.75" customHeight="1">
      <c r="G173" s="183"/>
      <c r="H173" s="183"/>
    </row>
    <row r="174" spans="7:8" ht="15.75" customHeight="1">
      <c r="G174" s="183"/>
      <c r="H174" s="183"/>
    </row>
    <row r="175" spans="7:8" ht="15.75" customHeight="1">
      <c r="G175" s="183"/>
      <c r="H175" s="183"/>
    </row>
    <row r="176" spans="7:8" ht="15.75" customHeight="1">
      <c r="G176" s="183"/>
      <c r="H176" s="183"/>
    </row>
    <row r="177" spans="7:8" ht="15.75" customHeight="1">
      <c r="G177" s="183"/>
      <c r="H177" s="183"/>
    </row>
    <row r="178" spans="7:8" ht="15.75" customHeight="1">
      <c r="G178" s="183"/>
      <c r="H178" s="183"/>
    </row>
    <row r="179" spans="7:8" ht="15.75" customHeight="1">
      <c r="G179" s="183"/>
      <c r="H179" s="183"/>
    </row>
    <row r="180" spans="7:8" ht="15.75" customHeight="1">
      <c r="G180" s="183"/>
      <c r="H180" s="183"/>
    </row>
    <row r="181" spans="7:8" ht="15.75" customHeight="1">
      <c r="G181" s="183"/>
      <c r="H181" s="183"/>
    </row>
    <row r="182" spans="7:8" ht="15.75" customHeight="1">
      <c r="G182" s="183"/>
      <c r="H182" s="183"/>
    </row>
    <row r="183" spans="7:8" ht="15.75" customHeight="1">
      <c r="G183" s="183"/>
      <c r="H183" s="183"/>
    </row>
    <row r="184" spans="7:8" ht="15.75" customHeight="1">
      <c r="G184" s="183"/>
      <c r="H184" s="183"/>
    </row>
    <row r="185" spans="7:8" ht="15.75" customHeight="1">
      <c r="G185" s="183"/>
      <c r="H185" s="183"/>
    </row>
    <row r="186" spans="7:8" ht="15.75" customHeight="1">
      <c r="G186" s="183"/>
      <c r="H186" s="183"/>
    </row>
    <row r="187" spans="7:8" ht="15.75" customHeight="1">
      <c r="G187" s="183"/>
      <c r="H187" s="183"/>
    </row>
    <row r="188" spans="7:8" ht="15.75" customHeight="1">
      <c r="G188" s="183"/>
      <c r="H188" s="183"/>
    </row>
    <row r="189" spans="7:8" ht="15.75" customHeight="1">
      <c r="G189" s="183"/>
      <c r="H189" s="183"/>
    </row>
    <row r="190" spans="7:8" ht="15.75" customHeight="1">
      <c r="G190" s="183"/>
      <c r="H190" s="183"/>
    </row>
    <row r="191" spans="7:8" ht="15.75" customHeight="1">
      <c r="G191" s="183"/>
      <c r="H191" s="183"/>
    </row>
    <row r="192" spans="7:8" ht="15.75" customHeight="1">
      <c r="G192" s="183"/>
      <c r="H192" s="183"/>
    </row>
    <row r="193" spans="7:8" ht="15.75" customHeight="1">
      <c r="G193" s="183"/>
      <c r="H193" s="183"/>
    </row>
    <row r="194" spans="7:8" ht="15.75" customHeight="1">
      <c r="G194" s="183"/>
      <c r="H194" s="183"/>
    </row>
    <row r="195" spans="7:8" ht="15.75" customHeight="1">
      <c r="G195" s="183"/>
      <c r="H195" s="183"/>
    </row>
    <row r="196" spans="7:8" ht="15.75" customHeight="1">
      <c r="G196" s="183"/>
      <c r="H196" s="183"/>
    </row>
    <row r="197" spans="7:8" ht="15.75" customHeight="1">
      <c r="G197" s="183"/>
      <c r="H197" s="183"/>
    </row>
    <row r="198" spans="7:8" ht="15.75" customHeight="1">
      <c r="G198" s="183"/>
      <c r="H198" s="183"/>
    </row>
    <row r="199" spans="7:8" ht="15.75" customHeight="1">
      <c r="G199" s="183"/>
      <c r="H199" s="183"/>
    </row>
    <row r="200" spans="7:8" ht="15.75" customHeight="1">
      <c r="G200" s="183"/>
      <c r="H200" s="183"/>
    </row>
    <row r="201" spans="7:8" ht="15.75" customHeight="1">
      <c r="G201" s="183"/>
      <c r="H201" s="183"/>
    </row>
    <row r="202" spans="7:8" ht="15.75" customHeight="1">
      <c r="G202" s="183"/>
      <c r="H202" s="183"/>
    </row>
    <row r="203" spans="7:8" ht="15.75" customHeight="1">
      <c r="G203" s="183"/>
      <c r="H203" s="183"/>
    </row>
    <row r="204" spans="7:8" ht="15.75" customHeight="1">
      <c r="G204" s="183"/>
      <c r="H204" s="183"/>
    </row>
    <row r="205" spans="7:8" ht="15.75" customHeight="1">
      <c r="G205" s="183"/>
      <c r="H205" s="183"/>
    </row>
    <row r="206" spans="7:8" ht="15.75" customHeight="1">
      <c r="G206" s="183"/>
      <c r="H206" s="183"/>
    </row>
    <row r="207" spans="7:8" ht="15.75" customHeight="1">
      <c r="G207" s="183"/>
      <c r="H207" s="183"/>
    </row>
    <row r="208" spans="7:8" ht="15.75" customHeight="1">
      <c r="G208" s="183"/>
      <c r="H208" s="183"/>
    </row>
    <row r="209" spans="7:8" ht="15.75" customHeight="1">
      <c r="G209" s="183"/>
      <c r="H209" s="183"/>
    </row>
    <row r="210" spans="7:8" ht="15.75" customHeight="1">
      <c r="G210" s="183"/>
      <c r="H210" s="183"/>
    </row>
    <row r="211" spans="7:8" ht="15.75" customHeight="1">
      <c r="G211" s="183"/>
      <c r="H211" s="183"/>
    </row>
    <row r="212" spans="7:8" ht="15.75" customHeight="1">
      <c r="G212" s="183"/>
      <c r="H212" s="183"/>
    </row>
    <row r="213" spans="7:8" ht="15.75" customHeight="1">
      <c r="G213" s="183"/>
      <c r="H213" s="183"/>
    </row>
    <row r="214" spans="7:8" ht="15.75" customHeight="1">
      <c r="G214" s="183"/>
      <c r="H214" s="183"/>
    </row>
    <row r="215" spans="7:8" ht="15.75" customHeight="1">
      <c r="G215" s="183"/>
      <c r="H215" s="183"/>
    </row>
    <row r="216" spans="7:8" ht="15.75" customHeight="1">
      <c r="G216" s="183"/>
      <c r="H216" s="183"/>
    </row>
    <row r="217" spans="7:8" ht="15.75" customHeight="1">
      <c r="G217" s="183"/>
      <c r="H217" s="183"/>
    </row>
    <row r="218" spans="7:8" ht="15.75" customHeight="1">
      <c r="G218" s="183"/>
      <c r="H218" s="183"/>
    </row>
    <row r="219" spans="7:8" ht="15.75" customHeight="1">
      <c r="G219" s="183"/>
      <c r="H219" s="183"/>
    </row>
    <row r="220" spans="7:8" ht="15.75" customHeight="1">
      <c r="G220" s="183"/>
      <c r="H220" s="183"/>
    </row>
    <row r="221" spans="7:8" ht="15.75" customHeight="1">
      <c r="G221" s="183"/>
      <c r="H221" s="183"/>
    </row>
    <row r="222" spans="7:8" ht="15.75" customHeight="1">
      <c r="G222" s="183"/>
      <c r="H222" s="183"/>
    </row>
    <row r="223" spans="7:8" ht="15.75" customHeight="1">
      <c r="G223" s="183"/>
      <c r="H223" s="183"/>
    </row>
    <row r="224" spans="7:8" ht="15.75" customHeight="1">
      <c r="G224" s="183"/>
      <c r="H224" s="183"/>
    </row>
    <row r="225" spans="7:8" ht="15.75" customHeight="1">
      <c r="G225" s="183"/>
      <c r="H225" s="183"/>
    </row>
    <row r="226" spans="7:8" ht="15.75" customHeight="1">
      <c r="G226" s="183"/>
      <c r="H226" s="183"/>
    </row>
    <row r="227" spans="7:8" ht="15.75" customHeight="1">
      <c r="G227" s="183"/>
      <c r="H227" s="183"/>
    </row>
    <row r="228" spans="7:8" ht="15.75" customHeight="1">
      <c r="G228" s="183"/>
      <c r="H228" s="183"/>
    </row>
    <row r="229" spans="7:8" ht="15.75" customHeight="1">
      <c r="G229" s="183"/>
      <c r="H229" s="183"/>
    </row>
    <row r="230" spans="7:8" ht="15.75" customHeight="1">
      <c r="G230" s="183"/>
      <c r="H230" s="183"/>
    </row>
    <row r="231" spans="7:8" ht="15.75" customHeight="1">
      <c r="G231" s="183"/>
      <c r="H231" s="183"/>
    </row>
    <row r="232" spans="7:8" ht="15.75" customHeight="1">
      <c r="G232" s="183"/>
      <c r="H232" s="183"/>
    </row>
    <row r="233" spans="7:8" ht="15.75" customHeight="1">
      <c r="G233" s="183"/>
      <c r="H233" s="183"/>
    </row>
    <row r="234" spans="7:8" ht="15.75" customHeight="1">
      <c r="G234" s="183"/>
      <c r="H234" s="183"/>
    </row>
    <row r="235" spans="7:8" ht="15.75" customHeight="1">
      <c r="G235" s="183"/>
      <c r="H235" s="183"/>
    </row>
    <row r="236" spans="7:8" ht="15.75" customHeight="1">
      <c r="G236" s="183"/>
      <c r="H236" s="183"/>
    </row>
    <row r="237" spans="7:8" ht="15.75" customHeight="1">
      <c r="G237" s="183"/>
      <c r="H237" s="183"/>
    </row>
    <row r="238" spans="7:8" ht="15.75" customHeight="1">
      <c r="G238" s="183"/>
      <c r="H238" s="183"/>
    </row>
    <row r="239" spans="7:8" ht="15.75" customHeight="1">
      <c r="G239" s="183"/>
      <c r="H239" s="183"/>
    </row>
    <row r="240" spans="7:8" ht="15.75" customHeight="1">
      <c r="G240" s="183"/>
      <c r="H240" s="183"/>
    </row>
    <row r="241" spans="7:8" ht="15.75" customHeight="1">
      <c r="G241" s="183"/>
      <c r="H241" s="183"/>
    </row>
    <row r="242" spans="7:8" ht="15.75" customHeight="1">
      <c r="G242" s="183"/>
      <c r="H242" s="183"/>
    </row>
    <row r="243" spans="7:8" ht="15.75" customHeight="1">
      <c r="G243" s="183"/>
      <c r="H243" s="183"/>
    </row>
    <row r="244" spans="7:8" ht="15.75" customHeight="1">
      <c r="G244" s="183"/>
      <c r="H244" s="183"/>
    </row>
    <row r="245" spans="7:8" ht="15.75" customHeight="1">
      <c r="G245" s="183"/>
      <c r="H245" s="183"/>
    </row>
    <row r="246" spans="7:8" ht="15.75" customHeight="1">
      <c r="G246" s="183"/>
      <c r="H246" s="183"/>
    </row>
    <row r="247" spans="7:8" ht="15.75" customHeight="1">
      <c r="G247" s="183"/>
      <c r="H247" s="183"/>
    </row>
    <row r="248" spans="7:8" ht="15.75" customHeight="1">
      <c r="G248" s="183"/>
      <c r="H248" s="183"/>
    </row>
    <row r="249" spans="7:8" ht="15.75" customHeight="1">
      <c r="G249" s="183"/>
      <c r="H249" s="183"/>
    </row>
    <row r="250" spans="7:8" ht="15.75" customHeight="1">
      <c r="G250" s="183"/>
      <c r="H250" s="183"/>
    </row>
    <row r="251" spans="7:8" ht="15.75" customHeight="1">
      <c r="G251" s="183"/>
      <c r="H251" s="183"/>
    </row>
    <row r="252" spans="7:8" ht="15.75" customHeight="1">
      <c r="G252" s="183"/>
      <c r="H252" s="183"/>
    </row>
    <row r="253" spans="7:8" ht="15.75" customHeight="1">
      <c r="G253" s="183"/>
      <c r="H253" s="183"/>
    </row>
    <row r="254" spans="7:8" ht="15.75" customHeight="1">
      <c r="G254" s="183"/>
      <c r="H254" s="183"/>
    </row>
    <row r="255" spans="7:8" ht="15.75" customHeight="1">
      <c r="G255" s="183"/>
      <c r="H255" s="183"/>
    </row>
    <row r="256" spans="7:8" ht="15.75" customHeight="1">
      <c r="G256" s="183"/>
      <c r="H256" s="183"/>
    </row>
    <row r="257" spans="7:8" ht="15.75" customHeight="1">
      <c r="G257" s="183"/>
      <c r="H257" s="183"/>
    </row>
    <row r="258" spans="7:8" ht="15.75" customHeight="1">
      <c r="G258" s="183"/>
      <c r="H258" s="183"/>
    </row>
    <row r="259" spans="7:8" ht="15.75" customHeight="1">
      <c r="G259" s="183"/>
      <c r="H259" s="183"/>
    </row>
    <row r="260" spans="7:8" ht="15.75" customHeight="1">
      <c r="G260" s="183"/>
      <c r="H260" s="183"/>
    </row>
    <row r="261" spans="7:8" ht="15.75" customHeight="1">
      <c r="G261" s="183"/>
      <c r="H261" s="183"/>
    </row>
    <row r="262" spans="7:8" ht="15.75" customHeight="1">
      <c r="G262" s="183"/>
      <c r="H262" s="183"/>
    </row>
    <row r="263" spans="7:8" ht="15.75" customHeight="1">
      <c r="G263" s="183"/>
      <c r="H263" s="183"/>
    </row>
    <row r="264" spans="7:8" ht="15.75" customHeight="1">
      <c r="G264" s="183"/>
      <c r="H264" s="183"/>
    </row>
    <row r="265" spans="7:8" ht="15.75" customHeight="1">
      <c r="G265" s="183"/>
      <c r="H265" s="183"/>
    </row>
    <row r="266" spans="7:8" ht="15.75" customHeight="1">
      <c r="G266" s="183"/>
      <c r="H266" s="183"/>
    </row>
    <row r="267" spans="7:8" ht="15.75" customHeight="1">
      <c r="G267" s="183"/>
      <c r="H267" s="183"/>
    </row>
    <row r="268" spans="7:8" ht="15.75" customHeight="1">
      <c r="G268" s="183"/>
      <c r="H268" s="183"/>
    </row>
    <row r="269" spans="7:8" ht="15.75" customHeight="1">
      <c r="G269" s="183"/>
      <c r="H269" s="183"/>
    </row>
    <row r="270" spans="7:8" ht="15.75" customHeight="1">
      <c r="G270" s="183"/>
      <c r="H270" s="183"/>
    </row>
    <row r="271" spans="7:8" ht="15.75" customHeight="1">
      <c r="G271" s="183"/>
      <c r="H271" s="183"/>
    </row>
    <row r="272" spans="7:8" ht="15.75" customHeight="1">
      <c r="G272" s="183"/>
      <c r="H272" s="183"/>
    </row>
    <row r="273" spans="7:8" ht="15.75" customHeight="1">
      <c r="G273" s="183"/>
      <c r="H273" s="183"/>
    </row>
    <row r="274" spans="7:8" ht="15.75" customHeight="1">
      <c r="G274" s="183"/>
      <c r="H274" s="183"/>
    </row>
    <row r="275" spans="7:8" ht="15.75" customHeight="1">
      <c r="G275" s="183"/>
      <c r="H275" s="183"/>
    </row>
    <row r="276" spans="7:8" ht="15.75" customHeight="1">
      <c r="G276" s="183"/>
      <c r="H276" s="183"/>
    </row>
    <row r="277" spans="7:8" ht="15.75" customHeight="1">
      <c r="G277" s="183"/>
      <c r="H277" s="183"/>
    </row>
    <row r="278" spans="7:8" ht="15.75" customHeight="1">
      <c r="G278" s="183"/>
      <c r="H278" s="183"/>
    </row>
    <row r="279" spans="7:8" ht="15.75" customHeight="1">
      <c r="G279" s="183"/>
      <c r="H279" s="183"/>
    </row>
    <row r="280" spans="7:8" ht="15.75" customHeight="1">
      <c r="G280" s="183"/>
      <c r="H280" s="183"/>
    </row>
    <row r="281" spans="7:8" ht="15.75" customHeight="1">
      <c r="G281" s="183"/>
      <c r="H281" s="183"/>
    </row>
    <row r="282" spans="7:8" ht="15.75" customHeight="1">
      <c r="G282" s="183"/>
      <c r="H282" s="183"/>
    </row>
    <row r="283" spans="7:8" ht="15.75" customHeight="1">
      <c r="G283" s="183"/>
      <c r="H283" s="183"/>
    </row>
    <row r="284" spans="7:8" ht="15.75" customHeight="1">
      <c r="G284" s="183"/>
      <c r="H284" s="183"/>
    </row>
    <row r="285" spans="7:8" ht="15.75" customHeight="1">
      <c r="G285" s="183"/>
      <c r="H285" s="183"/>
    </row>
    <row r="286" spans="7:8" ht="15.75" customHeight="1">
      <c r="G286" s="183"/>
      <c r="H286" s="183"/>
    </row>
    <row r="287" spans="7:8" ht="15.75" customHeight="1">
      <c r="G287" s="183"/>
      <c r="H287" s="183"/>
    </row>
    <row r="288" spans="7:8" ht="15.75" customHeight="1">
      <c r="G288" s="183"/>
      <c r="H288" s="183"/>
    </row>
    <row r="289" spans="7:8" ht="15.75" customHeight="1">
      <c r="G289" s="183"/>
      <c r="H289" s="183"/>
    </row>
    <row r="290" spans="7:8" ht="15.75" customHeight="1">
      <c r="G290" s="183"/>
      <c r="H290" s="183"/>
    </row>
    <row r="291" spans="7:8" ht="15.75" customHeight="1">
      <c r="G291" s="183"/>
      <c r="H291" s="183"/>
    </row>
    <row r="292" spans="7:8" ht="15.75" customHeight="1">
      <c r="G292" s="183"/>
      <c r="H292" s="183"/>
    </row>
    <row r="293" spans="7:8" ht="15.75" customHeight="1">
      <c r="G293" s="183"/>
      <c r="H293" s="183"/>
    </row>
    <row r="294" spans="7:8" ht="15.75" customHeight="1">
      <c r="G294" s="183"/>
      <c r="H294" s="183"/>
    </row>
    <row r="295" spans="7:8" ht="15.75" customHeight="1">
      <c r="G295" s="183"/>
      <c r="H295" s="183"/>
    </row>
    <row r="296" spans="7:8" ht="15.75" customHeight="1">
      <c r="G296" s="183"/>
      <c r="H296" s="183"/>
    </row>
    <row r="297" spans="7:8" ht="15.75" customHeight="1">
      <c r="G297" s="183"/>
      <c r="H297" s="183"/>
    </row>
    <row r="298" spans="7:8" ht="15.75" customHeight="1">
      <c r="G298" s="183"/>
      <c r="H298" s="183"/>
    </row>
    <row r="299" spans="7:8" ht="15.75" customHeight="1">
      <c r="G299" s="183"/>
      <c r="H299" s="183"/>
    </row>
    <row r="300" spans="7:8" ht="15.75" customHeight="1">
      <c r="G300" s="183"/>
      <c r="H300" s="183"/>
    </row>
    <row r="301" spans="7:8" ht="15.75" customHeight="1">
      <c r="G301" s="183"/>
      <c r="H301" s="183"/>
    </row>
    <row r="302" spans="7:8" ht="15.75" customHeight="1">
      <c r="G302" s="183"/>
      <c r="H302" s="183"/>
    </row>
    <row r="303" spans="7:8" ht="15.75" customHeight="1">
      <c r="G303" s="183"/>
      <c r="H303" s="183"/>
    </row>
    <row r="304" spans="7:8" ht="15.75" customHeight="1">
      <c r="G304" s="183"/>
      <c r="H304" s="183"/>
    </row>
    <row r="305" spans="7:8" ht="15.75" customHeight="1">
      <c r="G305" s="183"/>
      <c r="H305" s="183"/>
    </row>
    <row r="306" spans="7:8" ht="15.75" customHeight="1">
      <c r="G306" s="183"/>
      <c r="H306" s="183"/>
    </row>
    <row r="307" spans="7:8" ht="15.75" customHeight="1">
      <c r="G307" s="183"/>
      <c r="H307" s="183"/>
    </row>
    <row r="308" spans="7:8" ht="15.75" customHeight="1">
      <c r="G308" s="183"/>
      <c r="H308" s="183"/>
    </row>
    <row r="309" spans="7:8" ht="15.75" customHeight="1">
      <c r="G309" s="183"/>
      <c r="H309" s="183"/>
    </row>
    <row r="310" spans="7:8" ht="15.75" customHeight="1">
      <c r="G310" s="183"/>
      <c r="H310" s="183"/>
    </row>
    <row r="311" spans="7:8" ht="15.75" customHeight="1">
      <c r="G311" s="183"/>
      <c r="H311" s="183"/>
    </row>
    <row r="312" spans="7:8" ht="15.75" customHeight="1">
      <c r="G312" s="183"/>
      <c r="H312" s="183"/>
    </row>
    <row r="313" spans="7:8" ht="15.75" customHeight="1">
      <c r="G313" s="183"/>
      <c r="H313" s="183"/>
    </row>
    <row r="314" spans="7:8" ht="15.75" customHeight="1">
      <c r="G314" s="183"/>
      <c r="H314" s="183"/>
    </row>
    <row r="315" spans="7:8" ht="15.75" customHeight="1">
      <c r="G315" s="183"/>
      <c r="H315" s="183"/>
    </row>
    <row r="316" spans="7:8" ht="15.75" customHeight="1">
      <c r="G316" s="183"/>
      <c r="H316" s="183"/>
    </row>
    <row r="317" spans="7:8" ht="15.75" customHeight="1">
      <c r="G317" s="183"/>
      <c r="H317" s="183"/>
    </row>
    <row r="318" spans="7:8" ht="15.75" customHeight="1">
      <c r="G318" s="183"/>
      <c r="H318" s="183"/>
    </row>
    <row r="319" spans="7:8" ht="15.75" customHeight="1">
      <c r="G319" s="183"/>
      <c r="H319" s="183"/>
    </row>
    <row r="320" spans="7:8" ht="15.75" customHeight="1">
      <c r="G320" s="183"/>
      <c r="H320" s="183"/>
    </row>
    <row r="321" spans="7:8" ht="15.75" customHeight="1">
      <c r="G321" s="183"/>
      <c r="H321" s="183"/>
    </row>
    <row r="322" spans="7:8" ht="15.75" customHeight="1">
      <c r="G322" s="183"/>
      <c r="H322" s="183"/>
    </row>
    <row r="323" spans="7:8" ht="15.75" customHeight="1">
      <c r="G323" s="183"/>
      <c r="H323" s="183"/>
    </row>
    <row r="324" spans="7:8" ht="15.75" customHeight="1">
      <c r="G324" s="183"/>
      <c r="H324" s="183"/>
    </row>
    <row r="325" spans="7:8" ht="15.75" customHeight="1">
      <c r="G325" s="183"/>
      <c r="H325" s="183"/>
    </row>
    <row r="326" spans="7:8" ht="15.75" customHeight="1">
      <c r="G326" s="183"/>
      <c r="H326" s="183"/>
    </row>
    <row r="327" spans="7:8" ht="15.75" customHeight="1">
      <c r="G327" s="183"/>
      <c r="H327" s="183"/>
    </row>
    <row r="328" spans="7:8" ht="15.75" customHeight="1">
      <c r="G328" s="183"/>
      <c r="H328" s="183"/>
    </row>
    <row r="329" spans="7:8" ht="15.75" customHeight="1">
      <c r="G329" s="183"/>
      <c r="H329" s="183"/>
    </row>
    <row r="330" spans="7:8" ht="15.75" customHeight="1">
      <c r="G330" s="183"/>
      <c r="H330" s="183"/>
    </row>
    <row r="331" spans="7:8" ht="15.75" customHeight="1">
      <c r="G331" s="183"/>
      <c r="H331" s="183"/>
    </row>
    <row r="332" spans="7:8" ht="15.75" customHeight="1">
      <c r="G332" s="183"/>
      <c r="H332" s="183"/>
    </row>
    <row r="333" spans="7:8" ht="15.75" customHeight="1">
      <c r="G333" s="183"/>
      <c r="H333" s="183"/>
    </row>
    <row r="334" spans="7:8" ht="15.75" customHeight="1">
      <c r="G334" s="183"/>
      <c r="H334" s="183"/>
    </row>
    <row r="335" spans="7:8" ht="15.75" customHeight="1">
      <c r="G335" s="183"/>
      <c r="H335" s="183"/>
    </row>
    <row r="336" spans="7:8" ht="15.75" customHeight="1">
      <c r="G336" s="183"/>
      <c r="H336" s="183"/>
    </row>
    <row r="337" spans="7:8" ht="15.75" customHeight="1">
      <c r="G337" s="183"/>
      <c r="H337" s="183"/>
    </row>
    <row r="338" spans="7:8" ht="15.75" customHeight="1">
      <c r="G338" s="183"/>
      <c r="H338" s="183"/>
    </row>
    <row r="339" spans="7:8" ht="15.75" customHeight="1">
      <c r="G339" s="183"/>
      <c r="H339" s="183"/>
    </row>
    <row r="340" spans="7:8" ht="15.75" customHeight="1">
      <c r="G340" s="183"/>
      <c r="H340" s="183"/>
    </row>
    <row r="341" spans="7:8" ht="15.75" customHeight="1">
      <c r="G341" s="183"/>
      <c r="H341" s="183"/>
    </row>
    <row r="342" spans="7:8" ht="15.75" customHeight="1">
      <c r="G342" s="183"/>
      <c r="H342" s="183"/>
    </row>
    <row r="343" spans="7:8" ht="15.75" customHeight="1">
      <c r="G343" s="183"/>
      <c r="H343" s="183"/>
    </row>
    <row r="344" spans="7:8" ht="15.75" customHeight="1">
      <c r="G344" s="183"/>
      <c r="H344" s="183"/>
    </row>
    <row r="345" spans="7:8" ht="15.75" customHeight="1">
      <c r="G345" s="183"/>
      <c r="H345" s="183"/>
    </row>
    <row r="346" spans="7:8" ht="15.75" customHeight="1">
      <c r="G346" s="183"/>
      <c r="H346" s="183"/>
    </row>
    <row r="347" spans="7:8" ht="15.75" customHeight="1">
      <c r="G347" s="183"/>
      <c r="H347" s="183"/>
    </row>
    <row r="348" spans="7:8" ht="15.75" customHeight="1">
      <c r="G348" s="183"/>
      <c r="H348" s="183"/>
    </row>
    <row r="349" spans="7:8" ht="15.75" customHeight="1">
      <c r="G349" s="183"/>
      <c r="H349" s="183"/>
    </row>
    <row r="350" spans="7:8" ht="15.75" customHeight="1">
      <c r="G350" s="183"/>
      <c r="H350" s="183"/>
    </row>
    <row r="351" spans="7:8" ht="15.75" customHeight="1">
      <c r="G351" s="183"/>
      <c r="H351" s="183"/>
    </row>
    <row r="352" spans="7:8" ht="15.75" customHeight="1">
      <c r="G352" s="183"/>
      <c r="H352" s="183"/>
    </row>
    <row r="353" spans="7:8" ht="15.75" customHeight="1">
      <c r="G353" s="183"/>
      <c r="H353" s="183"/>
    </row>
    <row r="354" spans="7:8" ht="15.75" customHeight="1">
      <c r="G354" s="183"/>
      <c r="H354" s="183"/>
    </row>
    <row r="355" spans="7:8" ht="15.75" customHeight="1">
      <c r="G355" s="183"/>
      <c r="H355" s="183"/>
    </row>
    <row r="356" spans="7:8" ht="15.75" customHeight="1">
      <c r="G356" s="183"/>
      <c r="H356" s="183"/>
    </row>
    <row r="357" spans="7:8" ht="15.75" customHeight="1">
      <c r="G357" s="183"/>
      <c r="H357" s="183"/>
    </row>
    <row r="358" spans="7:8" ht="15.75" customHeight="1">
      <c r="G358" s="183"/>
      <c r="H358" s="183"/>
    </row>
    <row r="359" spans="7:8" ht="15.75" customHeight="1">
      <c r="G359" s="183"/>
      <c r="H359" s="183"/>
    </row>
    <row r="360" spans="7:8" ht="15.75" customHeight="1">
      <c r="G360" s="183"/>
      <c r="H360" s="183"/>
    </row>
    <row r="361" spans="7:8" ht="15.75" customHeight="1">
      <c r="G361" s="183"/>
      <c r="H361" s="183"/>
    </row>
    <row r="362" spans="7:8" ht="15.75" customHeight="1">
      <c r="G362" s="183"/>
      <c r="H362" s="183"/>
    </row>
    <row r="363" spans="7:8" ht="15.75" customHeight="1">
      <c r="G363" s="183"/>
      <c r="H363" s="183"/>
    </row>
    <row r="364" spans="7:8" ht="15.75" customHeight="1">
      <c r="G364" s="183"/>
      <c r="H364" s="183"/>
    </row>
    <row r="365" spans="7:8" ht="15.75" customHeight="1">
      <c r="G365" s="183"/>
      <c r="H365" s="183"/>
    </row>
    <row r="366" spans="7:8" ht="15.75" customHeight="1">
      <c r="G366" s="183"/>
      <c r="H366" s="183"/>
    </row>
    <row r="367" spans="7:8" ht="15.75" customHeight="1">
      <c r="G367" s="183"/>
      <c r="H367" s="183"/>
    </row>
    <row r="368" spans="7:8" ht="15.75" customHeight="1">
      <c r="G368" s="183"/>
      <c r="H368" s="183"/>
    </row>
    <row r="369" spans="7:8" ht="15.75" customHeight="1">
      <c r="G369" s="183"/>
      <c r="H369" s="183"/>
    </row>
    <row r="370" spans="7:8" ht="15.75" customHeight="1">
      <c r="G370" s="183"/>
      <c r="H370" s="183"/>
    </row>
    <row r="371" spans="7:8" ht="15.75" customHeight="1">
      <c r="G371" s="183"/>
      <c r="H371" s="183"/>
    </row>
    <row r="372" spans="7:8" ht="15.75" customHeight="1">
      <c r="G372" s="183"/>
      <c r="H372" s="183"/>
    </row>
    <row r="373" spans="7:8" ht="15.75" customHeight="1">
      <c r="G373" s="183"/>
      <c r="H373" s="183"/>
    </row>
    <row r="374" spans="7:8" ht="15.75" customHeight="1">
      <c r="G374" s="183"/>
      <c r="H374" s="183"/>
    </row>
    <row r="375" spans="7:8" ht="15.75" customHeight="1">
      <c r="G375" s="183"/>
      <c r="H375" s="183"/>
    </row>
    <row r="376" spans="7:8" ht="15.75" customHeight="1">
      <c r="G376" s="183"/>
      <c r="H376" s="183"/>
    </row>
    <row r="377" spans="7:8" ht="15.75" customHeight="1">
      <c r="G377" s="183"/>
      <c r="H377" s="183"/>
    </row>
    <row r="378" spans="7:8" ht="15.75" customHeight="1">
      <c r="G378" s="183"/>
      <c r="H378" s="183"/>
    </row>
    <row r="379" spans="7:8" ht="15.75" customHeight="1">
      <c r="G379" s="183"/>
      <c r="H379" s="183"/>
    </row>
    <row r="380" spans="7:8" ht="15.75" customHeight="1">
      <c r="G380" s="183"/>
      <c r="H380" s="183"/>
    </row>
    <row r="381" spans="7:8" ht="15.75" customHeight="1">
      <c r="G381" s="183"/>
      <c r="H381" s="183"/>
    </row>
    <row r="382" spans="7:8" ht="15.75" customHeight="1">
      <c r="G382" s="183"/>
      <c r="H382" s="183"/>
    </row>
    <row r="383" spans="7:8" ht="15.75" customHeight="1">
      <c r="G383" s="183"/>
      <c r="H383" s="183"/>
    </row>
    <row r="384" spans="7:8" ht="15.75" customHeight="1">
      <c r="G384" s="183"/>
      <c r="H384" s="183"/>
    </row>
    <row r="385" spans="7:8" ht="15.75" customHeight="1">
      <c r="G385" s="183"/>
      <c r="H385" s="183"/>
    </row>
    <row r="386" spans="7:8" ht="15.75" customHeight="1">
      <c r="G386" s="183"/>
      <c r="H386" s="183"/>
    </row>
    <row r="387" spans="7:8" ht="15.75" customHeight="1">
      <c r="G387" s="183"/>
      <c r="H387" s="183"/>
    </row>
    <row r="388" spans="7:8" ht="15.75" customHeight="1">
      <c r="G388" s="183"/>
      <c r="H388" s="183"/>
    </row>
    <row r="389" spans="7:8" ht="15.75" customHeight="1">
      <c r="G389" s="183"/>
      <c r="H389" s="183"/>
    </row>
    <row r="390" spans="7:8" ht="15.75" customHeight="1">
      <c r="G390" s="183"/>
      <c r="H390" s="183"/>
    </row>
    <row r="391" spans="7:8" ht="15.75" customHeight="1">
      <c r="G391" s="183"/>
      <c r="H391" s="183"/>
    </row>
    <row r="392" spans="7:8" ht="15.75" customHeight="1">
      <c r="G392" s="183"/>
      <c r="H392" s="183"/>
    </row>
    <row r="393" spans="7:8" ht="15.75" customHeight="1">
      <c r="G393" s="183"/>
      <c r="H393" s="183"/>
    </row>
    <row r="394" spans="7:8" ht="15.75" customHeight="1">
      <c r="G394" s="183"/>
      <c r="H394" s="183"/>
    </row>
    <row r="395" spans="7:8" ht="15.75" customHeight="1">
      <c r="G395" s="183"/>
      <c r="H395" s="183"/>
    </row>
    <row r="396" spans="7:8" ht="15.75" customHeight="1">
      <c r="G396" s="183"/>
      <c r="H396" s="183"/>
    </row>
    <row r="397" spans="7:8" ht="15.75" customHeight="1">
      <c r="G397" s="183"/>
      <c r="H397" s="183"/>
    </row>
    <row r="398" spans="7:8" ht="15.75" customHeight="1">
      <c r="G398" s="183"/>
      <c r="H398" s="183"/>
    </row>
    <row r="399" spans="7:8" ht="15.75" customHeight="1">
      <c r="G399" s="183"/>
      <c r="H399" s="183"/>
    </row>
    <row r="400" spans="7:8" ht="15.75" customHeight="1">
      <c r="G400" s="183"/>
      <c r="H400" s="183"/>
    </row>
    <row r="401" spans="7:8" ht="15.75" customHeight="1">
      <c r="G401" s="183"/>
      <c r="H401" s="183"/>
    </row>
    <row r="402" spans="7:8" ht="15.75" customHeight="1">
      <c r="G402" s="183"/>
      <c r="H402" s="183"/>
    </row>
    <row r="403" spans="7:8" ht="15.75" customHeight="1">
      <c r="G403" s="183"/>
      <c r="H403" s="183"/>
    </row>
    <row r="404" spans="7:8" ht="15.75" customHeight="1">
      <c r="G404" s="183"/>
      <c r="H404" s="183"/>
    </row>
    <row r="405" spans="7:8" ht="15.75" customHeight="1">
      <c r="G405" s="183"/>
      <c r="H405" s="183"/>
    </row>
    <row r="406" spans="7:8" ht="15.75" customHeight="1">
      <c r="G406" s="183"/>
      <c r="H406" s="183"/>
    </row>
    <row r="407" spans="7:8" ht="15.75" customHeight="1">
      <c r="G407" s="183"/>
      <c r="H407" s="183"/>
    </row>
    <row r="408" spans="7:8" ht="15.75" customHeight="1">
      <c r="G408" s="183"/>
      <c r="H408" s="183"/>
    </row>
    <row r="409" spans="7:8" ht="15.75" customHeight="1">
      <c r="G409" s="183"/>
      <c r="H409" s="183"/>
    </row>
    <row r="410" spans="7:8" ht="15.75" customHeight="1">
      <c r="G410" s="183"/>
      <c r="H410" s="183"/>
    </row>
    <row r="411" spans="7:8" ht="15.75" customHeight="1">
      <c r="G411" s="183"/>
      <c r="H411" s="183"/>
    </row>
    <row r="412" spans="7:8" ht="15.75" customHeight="1">
      <c r="G412" s="183"/>
      <c r="H412" s="183"/>
    </row>
    <row r="413" spans="7:8" ht="15.75" customHeight="1">
      <c r="G413" s="183"/>
      <c r="H413" s="183"/>
    </row>
    <row r="414" spans="7:8" ht="15.75" customHeight="1">
      <c r="G414" s="183"/>
      <c r="H414" s="183"/>
    </row>
    <row r="415" spans="7:8" ht="15.75" customHeight="1">
      <c r="G415" s="183"/>
      <c r="H415" s="183"/>
    </row>
    <row r="416" spans="7:8" ht="15.75" customHeight="1">
      <c r="G416" s="183"/>
      <c r="H416" s="183"/>
    </row>
    <row r="417" spans="7:8" ht="15.75" customHeight="1">
      <c r="G417" s="183"/>
      <c r="H417" s="183"/>
    </row>
    <row r="418" spans="7:8" ht="15.75" customHeight="1">
      <c r="G418" s="183"/>
      <c r="H418" s="183"/>
    </row>
    <row r="419" spans="7:8" ht="15.75" customHeight="1">
      <c r="G419" s="183"/>
      <c r="H419" s="183"/>
    </row>
    <row r="420" spans="7:8" ht="15.75" customHeight="1">
      <c r="G420" s="183"/>
      <c r="H420" s="183"/>
    </row>
    <row r="421" spans="7:8" ht="15.75" customHeight="1">
      <c r="G421" s="183"/>
      <c r="H421" s="183"/>
    </row>
    <row r="422" spans="7:8" ht="15.75" customHeight="1">
      <c r="G422" s="183"/>
      <c r="H422" s="183"/>
    </row>
    <row r="423" spans="7:8" ht="15.75" customHeight="1">
      <c r="G423" s="183"/>
      <c r="H423" s="183"/>
    </row>
    <row r="424" spans="7:8" ht="15.75" customHeight="1">
      <c r="G424" s="183"/>
      <c r="H424" s="183"/>
    </row>
    <row r="425" spans="7:8" ht="15.75" customHeight="1">
      <c r="G425" s="183"/>
      <c r="H425" s="183"/>
    </row>
    <row r="426" spans="7:8" ht="15.75" customHeight="1">
      <c r="G426" s="183"/>
      <c r="H426" s="183"/>
    </row>
    <row r="427" spans="7:8" ht="15.75" customHeight="1">
      <c r="G427" s="183"/>
      <c r="H427" s="183"/>
    </row>
    <row r="428" spans="7:8" ht="15.75" customHeight="1">
      <c r="G428" s="183"/>
      <c r="H428" s="183"/>
    </row>
    <row r="429" spans="7:8" ht="15.75" customHeight="1">
      <c r="G429" s="183"/>
      <c r="H429" s="183"/>
    </row>
    <row r="430" spans="7:8" ht="15.75" customHeight="1">
      <c r="G430" s="183"/>
      <c r="H430" s="183"/>
    </row>
    <row r="431" spans="7:8" ht="15.75" customHeight="1">
      <c r="G431" s="183"/>
      <c r="H431" s="183"/>
    </row>
    <row r="432" spans="7:8" ht="15.75" customHeight="1">
      <c r="G432" s="183"/>
      <c r="H432" s="183"/>
    </row>
    <row r="433" spans="7:8" ht="15.75" customHeight="1">
      <c r="G433" s="183"/>
      <c r="H433" s="183"/>
    </row>
    <row r="434" spans="7:8" ht="15.75" customHeight="1">
      <c r="G434" s="183"/>
      <c r="H434" s="183"/>
    </row>
    <row r="435" spans="7:8" ht="15.75" customHeight="1">
      <c r="G435" s="183"/>
      <c r="H435" s="183"/>
    </row>
    <row r="436" spans="7:8" ht="15.75" customHeight="1">
      <c r="G436" s="183"/>
      <c r="H436" s="183"/>
    </row>
    <row r="437" spans="7:8" ht="15.75" customHeight="1">
      <c r="G437" s="183"/>
      <c r="H437" s="183"/>
    </row>
    <row r="438" spans="7:8" ht="15.75" customHeight="1">
      <c r="G438" s="183"/>
      <c r="H438" s="183"/>
    </row>
    <row r="439" spans="7:8" ht="15.75" customHeight="1">
      <c r="G439" s="183"/>
      <c r="H439" s="183"/>
    </row>
    <row r="440" spans="7:8" ht="15.75" customHeight="1">
      <c r="G440" s="183"/>
      <c r="H440" s="183"/>
    </row>
    <row r="441" spans="7:8" ht="15.75" customHeight="1">
      <c r="G441" s="183"/>
      <c r="H441" s="183"/>
    </row>
    <row r="442" spans="7:8" ht="15.75" customHeight="1">
      <c r="G442" s="183"/>
      <c r="H442" s="183"/>
    </row>
    <row r="443" spans="7:8" ht="15.75" customHeight="1">
      <c r="G443" s="183"/>
      <c r="H443" s="183"/>
    </row>
    <row r="444" spans="7:8" ht="15.75" customHeight="1">
      <c r="G444" s="183"/>
      <c r="H444" s="183"/>
    </row>
    <row r="445" spans="7:8" ht="15.75" customHeight="1">
      <c r="G445" s="183"/>
      <c r="H445" s="183"/>
    </row>
    <row r="446" spans="7:8" ht="15.75" customHeight="1">
      <c r="G446" s="183"/>
      <c r="H446" s="183"/>
    </row>
    <row r="447" spans="7:8" ht="15.75" customHeight="1">
      <c r="G447" s="183"/>
      <c r="H447" s="183"/>
    </row>
    <row r="448" spans="7:8" ht="15.75" customHeight="1">
      <c r="G448" s="183"/>
      <c r="H448" s="183"/>
    </row>
    <row r="449" spans="7:8" ht="15.75" customHeight="1">
      <c r="G449" s="183"/>
      <c r="H449" s="183"/>
    </row>
    <row r="450" spans="7:8" ht="15.75" customHeight="1">
      <c r="G450" s="183"/>
      <c r="H450" s="183"/>
    </row>
    <row r="451" spans="7:8" ht="15.75" customHeight="1">
      <c r="G451" s="183"/>
      <c r="H451" s="183"/>
    </row>
    <row r="452" spans="7:8" ht="15.75" customHeight="1">
      <c r="G452" s="183"/>
      <c r="H452" s="183"/>
    </row>
    <row r="453" spans="7:8" ht="15.75" customHeight="1">
      <c r="G453" s="183"/>
      <c r="H453" s="183"/>
    </row>
    <row r="454" spans="7:8" ht="15.75" customHeight="1">
      <c r="G454" s="183"/>
      <c r="H454" s="183"/>
    </row>
    <row r="455" spans="7:8" ht="15.75" customHeight="1">
      <c r="G455" s="183"/>
      <c r="H455" s="183"/>
    </row>
    <row r="456" spans="7:8" ht="15.75" customHeight="1">
      <c r="G456" s="183"/>
      <c r="H456" s="183"/>
    </row>
    <row r="457" spans="7:8" ht="15.75" customHeight="1">
      <c r="G457" s="183"/>
      <c r="H457" s="183"/>
    </row>
    <row r="458" spans="7:8" ht="15.75" customHeight="1">
      <c r="G458" s="183"/>
      <c r="H458" s="183"/>
    </row>
    <row r="459" spans="7:8" ht="15.75" customHeight="1">
      <c r="G459" s="183"/>
      <c r="H459" s="183"/>
    </row>
    <row r="460" spans="7:8" ht="15.75" customHeight="1">
      <c r="G460" s="183"/>
      <c r="H460" s="183"/>
    </row>
    <row r="461" spans="7:8" ht="15.75" customHeight="1">
      <c r="G461" s="183"/>
      <c r="H461" s="183"/>
    </row>
    <row r="462" spans="7:8" ht="15.75" customHeight="1">
      <c r="G462" s="183"/>
      <c r="H462" s="183"/>
    </row>
    <row r="463" spans="7:8" ht="15.75" customHeight="1">
      <c r="G463" s="183"/>
      <c r="H463" s="183"/>
    </row>
    <row r="464" spans="7:8" ht="15.75" customHeight="1">
      <c r="G464" s="183"/>
      <c r="H464" s="183"/>
    </row>
    <row r="465" spans="7:8" ht="15.75" customHeight="1">
      <c r="G465" s="183"/>
      <c r="H465" s="183"/>
    </row>
    <row r="466" spans="7:8" ht="15.75" customHeight="1">
      <c r="G466" s="183"/>
      <c r="H466" s="183"/>
    </row>
    <row r="467" spans="7:8" ht="15.75" customHeight="1">
      <c r="G467" s="183"/>
      <c r="H467" s="183"/>
    </row>
    <row r="468" spans="7:8" ht="15.75" customHeight="1">
      <c r="G468" s="183"/>
      <c r="H468" s="183"/>
    </row>
    <row r="469" spans="7:8" ht="15.75" customHeight="1">
      <c r="G469" s="183"/>
      <c r="H469" s="183"/>
    </row>
    <row r="470" spans="7:8" ht="15.75" customHeight="1">
      <c r="G470" s="183"/>
      <c r="H470" s="183"/>
    </row>
    <row r="471" spans="7:8" ht="15.75" customHeight="1">
      <c r="G471" s="183"/>
      <c r="H471" s="183"/>
    </row>
    <row r="472" spans="7:8" ht="15.75" customHeight="1">
      <c r="G472" s="183"/>
      <c r="H472" s="183"/>
    </row>
    <row r="473" spans="7:8" ht="15.75" customHeight="1">
      <c r="G473" s="183"/>
      <c r="H473" s="183"/>
    </row>
    <row r="474" spans="7:8" ht="15.75" customHeight="1">
      <c r="G474" s="183"/>
      <c r="H474" s="183"/>
    </row>
    <row r="475" spans="7:8" ht="15.75" customHeight="1">
      <c r="G475" s="183"/>
      <c r="H475" s="183"/>
    </row>
    <row r="476" spans="7:8" ht="15.75" customHeight="1">
      <c r="G476" s="183"/>
      <c r="H476" s="183"/>
    </row>
    <row r="477" spans="7:8" ht="15.75" customHeight="1">
      <c r="G477" s="183"/>
      <c r="H477" s="183"/>
    </row>
    <row r="478" spans="7:8" ht="15.75" customHeight="1">
      <c r="G478" s="183"/>
      <c r="H478" s="183"/>
    </row>
    <row r="479" spans="7:8" ht="15.75" customHeight="1">
      <c r="G479" s="183"/>
      <c r="H479" s="183"/>
    </row>
    <row r="480" spans="7:8" ht="15.75" customHeight="1">
      <c r="G480" s="183"/>
      <c r="H480" s="183"/>
    </row>
    <row r="481" spans="7:8" ht="15.75" customHeight="1">
      <c r="G481" s="183"/>
      <c r="H481" s="183"/>
    </row>
    <row r="482" spans="7:8" ht="15.75" customHeight="1">
      <c r="G482" s="183"/>
      <c r="H482" s="183"/>
    </row>
    <row r="483" spans="7:8" ht="15.75" customHeight="1">
      <c r="G483" s="183"/>
      <c r="H483" s="183"/>
    </row>
    <row r="484" spans="7:8" ht="15.75" customHeight="1">
      <c r="G484" s="183"/>
      <c r="H484" s="183"/>
    </row>
    <row r="485" spans="7:8" ht="15.75" customHeight="1">
      <c r="G485" s="183"/>
      <c r="H485" s="183"/>
    </row>
    <row r="486" spans="7:8" ht="15.75" customHeight="1">
      <c r="G486" s="183"/>
      <c r="H486" s="183"/>
    </row>
    <row r="487" spans="7:8" ht="15.75" customHeight="1">
      <c r="G487" s="183"/>
      <c r="H487" s="183"/>
    </row>
    <row r="488" spans="7:8" ht="15.75" customHeight="1">
      <c r="G488" s="183"/>
      <c r="H488" s="183"/>
    </row>
    <row r="489" spans="7:8" ht="15.75" customHeight="1">
      <c r="G489" s="183"/>
      <c r="H489" s="183"/>
    </row>
    <row r="490" spans="7:8" ht="15.75" customHeight="1">
      <c r="G490" s="183"/>
      <c r="H490" s="183"/>
    </row>
    <row r="491" spans="7:8" ht="15.75" customHeight="1">
      <c r="G491" s="183"/>
      <c r="H491" s="183"/>
    </row>
    <row r="492" spans="7:8" ht="15.75" customHeight="1">
      <c r="G492" s="183"/>
      <c r="H492" s="183"/>
    </row>
    <row r="493" spans="7:8" ht="15.75" customHeight="1">
      <c r="G493" s="183"/>
      <c r="H493" s="183"/>
    </row>
    <row r="494" spans="7:8" ht="15.75" customHeight="1">
      <c r="G494" s="183"/>
      <c r="H494" s="183"/>
    </row>
    <row r="495" spans="7:8" ht="15.75" customHeight="1">
      <c r="G495" s="183"/>
      <c r="H495" s="183"/>
    </row>
    <row r="496" spans="7:8" ht="15.75" customHeight="1">
      <c r="G496" s="183"/>
      <c r="H496" s="183"/>
    </row>
    <row r="497" spans="7:8" ht="15.75" customHeight="1">
      <c r="G497" s="183"/>
      <c r="H497" s="183"/>
    </row>
    <row r="498" spans="7:8" ht="15.75" customHeight="1">
      <c r="G498" s="183"/>
      <c r="H498" s="183"/>
    </row>
    <row r="499" spans="7:8" ht="15.75" customHeight="1">
      <c r="G499" s="183"/>
      <c r="H499" s="183"/>
    </row>
    <row r="500" spans="7:8" ht="15.75" customHeight="1">
      <c r="G500" s="183"/>
      <c r="H500" s="183"/>
    </row>
    <row r="501" spans="7:8" ht="15.75" customHeight="1">
      <c r="G501" s="183"/>
      <c r="H501" s="183"/>
    </row>
    <row r="502" spans="7:8" ht="15.75" customHeight="1">
      <c r="G502" s="183"/>
      <c r="H502" s="183"/>
    </row>
    <row r="503" spans="7:8" ht="15.75" customHeight="1">
      <c r="G503" s="183"/>
      <c r="H503" s="183"/>
    </row>
    <row r="504" spans="7:8" ht="15.75" customHeight="1">
      <c r="G504" s="183"/>
      <c r="H504" s="183"/>
    </row>
    <row r="505" spans="7:8" ht="15.75" customHeight="1">
      <c r="G505" s="183"/>
      <c r="H505" s="183"/>
    </row>
    <row r="506" spans="7:8" ht="15.75" customHeight="1">
      <c r="G506" s="183"/>
      <c r="H506" s="183"/>
    </row>
    <row r="507" spans="7:8" ht="15.75" customHeight="1">
      <c r="G507" s="183"/>
      <c r="H507" s="183"/>
    </row>
    <row r="508" spans="7:8" ht="15.75" customHeight="1">
      <c r="G508" s="183"/>
      <c r="H508" s="183"/>
    </row>
    <row r="509" spans="7:8" ht="15.75" customHeight="1">
      <c r="G509" s="183"/>
      <c r="H509" s="183"/>
    </row>
    <row r="510" spans="7:8" ht="15.75" customHeight="1">
      <c r="G510" s="183"/>
      <c r="H510" s="183"/>
    </row>
    <row r="511" spans="7:8" ht="15.75" customHeight="1">
      <c r="G511" s="183"/>
      <c r="H511" s="183"/>
    </row>
    <row r="512" spans="7:8" ht="15.75" customHeight="1">
      <c r="G512" s="183"/>
      <c r="H512" s="183"/>
    </row>
    <row r="513" spans="7:8" ht="15.75" customHeight="1">
      <c r="G513" s="183"/>
      <c r="H513" s="183"/>
    </row>
    <row r="514" spans="7:8" ht="15.75" customHeight="1">
      <c r="G514" s="183"/>
      <c r="H514" s="183"/>
    </row>
    <row r="515" spans="7:8" ht="15.75" customHeight="1">
      <c r="G515" s="183"/>
      <c r="H515" s="183"/>
    </row>
    <row r="516" spans="7:8" ht="15.75" customHeight="1">
      <c r="G516" s="183"/>
      <c r="H516" s="183"/>
    </row>
    <row r="517" spans="7:8" ht="15.75" customHeight="1">
      <c r="G517" s="183"/>
      <c r="H517" s="183"/>
    </row>
    <row r="518" spans="7:8" ht="15.75" customHeight="1">
      <c r="G518" s="183"/>
      <c r="H518" s="183"/>
    </row>
    <row r="519" spans="7:8" ht="15.75" customHeight="1">
      <c r="G519" s="183"/>
      <c r="H519" s="183"/>
    </row>
    <row r="520" spans="7:8" ht="15.75" customHeight="1">
      <c r="G520" s="183"/>
      <c r="H520" s="183"/>
    </row>
    <row r="521" spans="7:8" ht="15.75" customHeight="1">
      <c r="G521" s="183"/>
      <c r="H521" s="183"/>
    </row>
    <row r="522" spans="7:8" ht="15.75" customHeight="1">
      <c r="G522" s="183"/>
      <c r="H522" s="183"/>
    </row>
    <row r="523" spans="7:8" ht="15.75" customHeight="1">
      <c r="G523" s="183"/>
      <c r="H523" s="183"/>
    </row>
    <row r="524" spans="7:8" ht="15.75" customHeight="1">
      <c r="G524" s="183"/>
      <c r="H524" s="183"/>
    </row>
    <row r="525" spans="7:8" ht="15.75" customHeight="1">
      <c r="G525" s="183"/>
      <c r="H525" s="183"/>
    </row>
    <row r="526" spans="7:8" ht="15.75" customHeight="1">
      <c r="G526" s="183"/>
      <c r="H526" s="183"/>
    </row>
    <row r="527" spans="7:8" ht="15.75" customHeight="1">
      <c r="G527" s="183"/>
      <c r="H527" s="183"/>
    </row>
    <row r="528" spans="7:8" ht="15.75" customHeight="1">
      <c r="G528" s="183"/>
      <c r="H528" s="183"/>
    </row>
    <row r="529" spans="7:8" ht="15.75" customHeight="1">
      <c r="G529" s="183"/>
      <c r="H529" s="183"/>
    </row>
    <row r="530" spans="7:8" ht="15.75" customHeight="1">
      <c r="G530" s="183"/>
      <c r="H530" s="183"/>
    </row>
    <row r="531" spans="7:8" ht="15.75" customHeight="1">
      <c r="G531" s="183"/>
      <c r="H531" s="183"/>
    </row>
    <row r="532" spans="7:8" ht="15.75" customHeight="1">
      <c r="G532" s="183"/>
      <c r="H532" s="183"/>
    </row>
    <row r="533" spans="7:8" ht="15.75" customHeight="1">
      <c r="G533" s="183"/>
      <c r="H533" s="183"/>
    </row>
    <row r="534" spans="7:8" ht="15.75" customHeight="1">
      <c r="G534" s="183"/>
      <c r="H534" s="183"/>
    </row>
    <row r="535" spans="7:8" ht="15.75" customHeight="1">
      <c r="G535" s="183"/>
      <c r="H535" s="183"/>
    </row>
    <row r="536" spans="7:8" ht="15.75" customHeight="1">
      <c r="G536" s="183"/>
      <c r="H536" s="183"/>
    </row>
    <row r="537" spans="7:8" ht="15.75" customHeight="1">
      <c r="G537" s="183"/>
      <c r="H537" s="183"/>
    </row>
    <row r="538" spans="7:8" ht="15.75" customHeight="1">
      <c r="G538" s="183"/>
      <c r="H538" s="183"/>
    </row>
    <row r="539" spans="7:8" ht="15.75" customHeight="1">
      <c r="G539" s="183"/>
      <c r="H539" s="183"/>
    </row>
    <row r="540" spans="7:8" ht="15.75" customHeight="1">
      <c r="G540" s="183"/>
      <c r="H540" s="183"/>
    </row>
    <row r="541" spans="7:8" ht="15.75" customHeight="1">
      <c r="G541" s="183"/>
      <c r="H541" s="183"/>
    </row>
    <row r="542" spans="7:8" ht="15.75" customHeight="1">
      <c r="G542" s="183"/>
      <c r="H542" s="183"/>
    </row>
    <row r="543" spans="7:8" ht="15.75" customHeight="1">
      <c r="G543" s="183"/>
      <c r="H543" s="183"/>
    </row>
    <row r="544" spans="7:8" ht="15.75" customHeight="1">
      <c r="G544" s="183"/>
      <c r="H544" s="183"/>
    </row>
    <row r="545" spans="7:8" ht="15.75" customHeight="1">
      <c r="G545" s="183"/>
      <c r="H545" s="183"/>
    </row>
    <row r="546" spans="7:8" ht="15.75" customHeight="1">
      <c r="G546" s="183"/>
      <c r="H546" s="183"/>
    </row>
    <row r="547" spans="7:8" ht="15.75" customHeight="1">
      <c r="G547" s="183"/>
      <c r="H547" s="183"/>
    </row>
    <row r="548" spans="7:8" ht="15.75" customHeight="1">
      <c r="G548" s="183"/>
      <c r="H548" s="183"/>
    </row>
    <row r="549" spans="7:8" ht="15.75" customHeight="1">
      <c r="G549" s="183"/>
      <c r="H549" s="183"/>
    </row>
    <row r="550" spans="7:8" ht="15.75" customHeight="1">
      <c r="G550" s="183"/>
      <c r="H550" s="183"/>
    </row>
    <row r="551" spans="7:8" ht="15.75" customHeight="1">
      <c r="G551" s="183"/>
      <c r="H551" s="183"/>
    </row>
    <row r="552" spans="7:8" ht="15.75" customHeight="1">
      <c r="G552" s="183"/>
      <c r="H552" s="183"/>
    </row>
    <row r="553" spans="7:8" ht="15.75" customHeight="1">
      <c r="G553" s="183"/>
      <c r="H553" s="183"/>
    </row>
    <row r="554" spans="7:8" ht="15.75" customHeight="1">
      <c r="G554" s="183"/>
      <c r="H554" s="183"/>
    </row>
    <row r="555" spans="7:8" ht="15.75" customHeight="1">
      <c r="G555" s="183"/>
      <c r="H555" s="183"/>
    </row>
    <row r="556" spans="7:8" ht="15.75" customHeight="1">
      <c r="G556" s="183"/>
      <c r="H556" s="183"/>
    </row>
    <row r="557" spans="7:8" ht="15.75" customHeight="1">
      <c r="G557" s="183"/>
      <c r="H557" s="183"/>
    </row>
    <row r="558" spans="7:8" ht="15.75" customHeight="1">
      <c r="G558" s="183"/>
      <c r="H558" s="183"/>
    </row>
    <row r="559" spans="7:8" ht="15.75" customHeight="1">
      <c r="G559" s="183"/>
      <c r="H559" s="183"/>
    </row>
    <row r="560" spans="7:8" ht="15.75" customHeight="1">
      <c r="G560" s="183"/>
      <c r="H560" s="183"/>
    </row>
    <row r="561" spans="7:8" ht="15.75" customHeight="1">
      <c r="G561" s="183"/>
      <c r="H561" s="183"/>
    </row>
    <row r="562" spans="7:8" ht="15.75" customHeight="1">
      <c r="G562" s="183"/>
      <c r="H562" s="183"/>
    </row>
    <row r="563" spans="7:8" ht="15.75" customHeight="1">
      <c r="G563" s="183"/>
      <c r="H563" s="183"/>
    </row>
    <row r="564" spans="7:8" ht="15.75" customHeight="1">
      <c r="G564" s="183"/>
      <c r="H564" s="183"/>
    </row>
    <row r="565" spans="7:8" ht="15.75" customHeight="1">
      <c r="G565" s="183"/>
      <c r="H565" s="183"/>
    </row>
    <row r="566" spans="7:8" ht="15.75" customHeight="1">
      <c r="G566" s="183"/>
      <c r="H566" s="183"/>
    </row>
    <row r="567" spans="7:8" ht="15.75" customHeight="1">
      <c r="G567" s="183"/>
      <c r="H567" s="183"/>
    </row>
    <row r="568" spans="7:8" ht="15.75" customHeight="1">
      <c r="G568" s="183"/>
      <c r="H568" s="183"/>
    </row>
    <row r="569" spans="7:8" ht="15.75" customHeight="1">
      <c r="G569" s="183"/>
      <c r="H569" s="183"/>
    </row>
    <row r="570" spans="7:8" ht="15.75" customHeight="1">
      <c r="G570" s="183"/>
      <c r="H570" s="183"/>
    </row>
    <row r="571" spans="7:8" ht="15.75" customHeight="1">
      <c r="G571" s="183"/>
      <c r="H571" s="183"/>
    </row>
    <row r="572" spans="7:8" ht="15.75" customHeight="1">
      <c r="G572" s="183"/>
      <c r="H572" s="183"/>
    </row>
    <row r="573" spans="7:8" ht="15.75" customHeight="1">
      <c r="G573" s="183"/>
      <c r="H573" s="183"/>
    </row>
    <row r="574" spans="7:8" ht="15.75" customHeight="1">
      <c r="G574" s="183"/>
      <c r="H574" s="183"/>
    </row>
    <row r="575" spans="7:8" ht="15.75" customHeight="1">
      <c r="G575" s="183"/>
      <c r="H575" s="183"/>
    </row>
    <row r="576" spans="7:8" ht="15.75" customHeight="1">
      <c r="G576" s="183"/>
      <c r="H576" s="183"/>
    </row>
    <row r="577" spans="7:8" ht="15.75" customHeight="1">
      <c r="G577" s="183"/>
      <c r="H577" s="183"/>
    </row>
    <row r="578" spans="7:8" ht="15.75" customHeight="1">
      <c r="G578" s="183"/>
      <c r="H578" s="183"/>
    </row>
    <row r="579" spans="7:8" ht="15.75" customHeight="1">
      <c r="G579" s="183"/>
      <c r="H579" s="183"/>
    </row>
    <row r="580" spans="7:8" ht="15.75" customHeight="1">
      <c r="G580" s="183"/>
      <c r="H580" s="183"/>
    </row>
    <row r="581" spans="7:8" ht="15.75" customHeight="1">
      <c r="G581" s="183"/>
      <c r="H581" s="183"/>
    </row>
    <row r="582" spans="7:8" ht="15.75" customHeight="1">
      <c r="G582" s="183"/>
      <c r="H582" s="183"/>
    </row>
    <row r="583" spans="7:8" ht="15.75" customHeight="1">
      <c r="G583" s="183"/>
      <c r="H583" s="183"/>
    </row>
    <row r="584" spans="7:8" ht="15.75" customHeight="1">
      <c r="G584" s="183"/>
      <c r="H584" s="183"/>
    </row>
    <row r="585" spans="7:8" ht="15.75" customHeight="1">
      <c r="G585" s="183"/>
      <c r="H585" s="183"/>
    </row>
    <row r="586" spans="7:8" ht="15.75" customHeight="1">
      <c r="G586" s="183"/>
      <c r="H586" s="183"/>
    </row>
    <row r="587" spans="7:8" ht="15.75" customHeight="1">
      <c r="G587" s="183"/>
      <c r="H587" s="183"/>
    </row>
    <row r="588" spans="7:8" ht="15.75" customHeight="1">
      <c r="G588" s="183"/>
      <c r="H588" s="183"/>
    </row>
    <row r="589" spans="7:8" ht="15.75" customHeight="1">
      <c r="G589" s="183"/>
      <c r="H589" s="183"/>
    </row>
    <row r="590" spans="7:8" ht="15.75" customHeight="1">
      <c r="G590" s="183"/>
      <c r="H590" s="183"/>
    </row>
    <row r="591" spans="7:8" ht="15.75" customHeight="1">
      <c r="G591" s="183"/>
      <c r="H591" s="183"/>
    </row>
    <row r="592" spans="7:8" ht="15.75" customHeight="1">
      <c r="G592" s="183"/>
      <c r="H592" s="183"/>
    </row>
    <row r="593" spans="7:8" ht="15.75" customHeight="1">
      <c r="G593" s="183"/>
      <c r="H593" s="183"/>
    </row>
    <row r="594" spans="7:8" ht="15.75" customHeight="1">
      <c r="G594" s="183"/>
      <c r="H594" s="183"/>
    </row>
    <row r="595" spans="7:8" ht="15.75" customHeight="1">
      <c r="G595" s="183"/>
      <c r="H595" s="183"/>
    </row>
    <row r="596" spans="7:8" ht="15.75" customHeight="1">
      <c r="G596" s="183"/>
      <c r="H596" s="183"/>
    </row>
    <row r="597" spans="7:8" ht="15.75" customHeight="1">
      <c r="G597" s="183"/>
      <c r="H597" s="183"/>
    </row>
    <row r="598" spans="7:8" ht="15.75" customHeight="1">
      <c r="G598" s="183"/>
      <c r="H598" s="183"/>
    </row>
    <row r="599" spans="7:8" ht="15.75" customHeight="1">
      <c r="G599" s="183"/>
      <c r="H599" s="183"/>
    </row>
    <row r="600" spans="7:8" ht="15.75" customHeight="1">
      <c r="G600" s="183"/>
      <c r="H600" s="183"/>
    </row>
    <row r="601" spans="7:8" ht="15.75" customHeight="1">
      <c r="G601" s="183"/>
      <c r="H601" s="183"/>
    </row>
    <row r="602" spans="7:8" ht="15.75" customHeight="1">
      <c r="G602" s="183"/>
      <c r="H602" s="183"/>
    </row>
    <row r="603" spans="7:8" ht="15.75" customHeight="1">
      <c r="G603" s="183"/>
      <c r="H603" s="183"/>
    </row>
    <row r="604" spans="7:8" ht="15.75" customHeight="1">
      <c r="G604" s="183"/>
      <c r="H604" s="183"/>
    </row>
    <row r="605" spans="7:8" ht="15.75" customHeight="1">
      <c r="G605" s="183"/>
      <c r="H605" s="183"/>
    </row>
    <row r="606" spans="7:8" ht="15.75" customHeight="1">
      <c r="G606" s="183"/>
      <c r="H606" s="183"/>
    </row>
    <row r="607" spans="7:8" ht="15.75" customHeight="1">
      <c r="G607" s="183"/>
      <c r="H607" s="183"/>
    </row>
    <row r="608" spans="7:8" ht="15.75" customHeight="1">
      <c r="G608" s="183"/>
      <c r="H608" s="183"/>
    </row>
    <row r="609" spans="7:8" ht="15.75" customHeight="1">
      <c r="G609" s="183"/>
      <c r="H609" s="183"/>
    </row>
    <row r="610" spans="7:8" ht="15.75" customHeight="1">
      <c r="G610" s="183"/>
      <c r="H610" s="183"/>
    </row>
    <row r="611" spans="7:8" ht="15.75" customHeight="1">
      <c r="G611" s="183"/>
      <c r="H611" s="183"/>
    </row>
    <row r="612" spans="7:8" ht="15.75" customHeight="1">
      <c r="G612" s="183"/>
      <c r="H612" s="183"/>
    </row>
    <row r="613" spans="7:8" ht="15.75" customHeight="1">
      <c r="G613" s="183"/>
      <c r="H613" s="183"/>
    </row>
    <row r="614" spans="7:8" ht="15.75" customHeight="1">
      <c r="G614" s="183"/>
      <c r="H614" s="183"/>
    </row>
    <row r="615" spans="7:8" ht="15.75" customHeight="1">
      <c r="G615" s="183"/>
      <c r="H615" s="183"/>
    </row>
    <row r="616" spans="7:8" ht="15.75" customHeight="1">
      <c r="G616" s="183"/>
      <c r="H616" s="183"/>
    </row>
    <row r="617" spans="7:8" ht="15.75" customHeight="1">
      <c r="G617" s="183"/>
      <c r="H617" s="183"/>
    </row>
    <row r="618" spans="7:8" ht="15.75" customHeight="1">
      <c r="G618" s="183"/>
      <c r="H618" s="183"/>
    </row>
    <row r="619" spans="7:8" ht="15.75" customHeight="1">
      <c r="G619" s="183"/>
      <c r="H619" s="183"/>
    </row>
    <row r="620" spans="7:8" ht="15.75" customHeight="1">
      <c r="G620" s="183"/>
      <c r="H620" s="183"/>
    </row>
    <row r="621" spans="7:8" ht="15.75" customHeight="1">
      <c r="G621" s="183"/>
      <c r="H621" s="183"/>
    </row>
    <row r="622" spans="7:8" ht="15.75" customHeight="1">
      <c r="G622" s="183"/>
      <c r="H622" s="183"/>
    </row>
    <row r="623" spans="7:8" ht="15.75" customHeight="1">
      <c r="G623" s="183"/>
      <c r="H623" s="183"/>
    </row>
    <row r="624" spans="7:8" ht="15.75" customHeight="1">
      <c r="G624" s="183"/>
      <c r="H624" s="183"/>
    </row>
    <row r="625" spans="7:8" ht="15.75" customHeight="1">
      <c r="G625" s="183"/>
      <c r="H625" s="183"/>
    </row>
    <row r="626" spans="7:8" ht="15.75" customHeight="1">
      <c r="G626" s="183"/>
      <c r="H626" s="183"/>
    </row>
    <row r="627" spans="7:8" ht="15.75" customHeight="1">
      <c r="G627" s="183"/>
      <c r="H627" s="183"/>
    </row>
    <row r="628" spans="7:8" ht="15.75" customHeight="1">
      <c r="G628" s="183"/>
      <c r="H628" s="183"/>
    </row>
    <row r="629" spans="7:8" ht="15.75" customHeight="1">
      <c r="G629" s="183"/>
      <c r="H629" s="183"/>
    </row>
    <row r="630" spans="7:8" ht="15.75" customHeight="1">
      <c r="G630" s="183"/>
      <c r="H630" s="183"/>
    </row>
    <row r="631" spans="7:8" ht="15.75" customHeight="1">
      <c r="G631" s="183"/>
      <c r="H631" s="183"/>
    </row>
    <row r="632" spans="7:8" ht="15.75" customHeight="1">
      <c r="G632" s="183"/>
      <c r="H632" s="183"/>
    </row>
    <row r="633" spans="7:8" ht="15.75" customHeight="1">
      <c r="G633" s="183"/>
      <c r="H633" s="183"/>
    </row>
    <row r="634" spans="7:8" ht="15.75" customHeight="1">
      <c r="G634" s="183"/>
      <c r="H634" s="183"/>
    </row>
    <row r="635" spans="7:8" ht="15.75" customHeight="1">
      <c r="G635" s="183"/>
      <c r="H635" s="183"/>
    </row>
    <row r="636" spans="7:8" ht="15.75" customHeight="1">
      <c r="G636" s="183"/>
      <c r="H636" s="183"/>
    </row>
    <row r="637" spans="7:8" ht="15.75" customHeight="1">
      <c r="G637" s="183"/>
      <c r="H637" s="183"/>
    </row>
    <row r="638" spans="7:8" ht="15.75" customHeight="1">
      <c r="G638" s="183"/>
      <c r="H638" s="183"/>
    </row>
    <row r="639" spans="7:8" ht="15.75" customHeight="1">
      <c r="G639" s="183"/>
      <c r="H639" s="183"/>
    </row>
    <row r="640" spans="7:8" ht="15.75" customHeight="1">
      <c r="G640" s="183"/>
      <c r="H640" s="183"/>
    </row>
    <row r="641" spans="7:8" ht="15.75" customHeight="1">
      <c r="G641" s="183"/>
      <c r="H641" s="183"/>
    </row>
    <row r="642" spans="7:8" ht="15.75" customHeight="1">
      <c r="G642" s="183"/>
      <c r="H642" s="183"/>
    </row>
    <row r="643" spans="7:8" ht="15.75" customHeight="1">
      <c r="G643" s="183"/>
      <c r="H643" s="183"/>
    </row>
    <row r="644" spans="7:8" ht="15.75" customHeight="1">
      <c r="G644" s="183"/>
      <c r="H644" s="183"/>
    </row>
    <row r="645" spans="7:8" ht="15.75" customHeight="1">
      <c r="G645" s="183"/>
      <c r="H645" s="183"/>
    </row>
    <row r="646" spans="7:8" ht="15.75" customHeight="1">
      <c r="G646" s="183"/>
      <c r="H646" s="183"/>
    </row>
    <row r="647" spans="7:8" ht="15.75" customHeight="1">
      <c r="G647" s="183"/>
      <c r="H647" s="183"/>
    </row>
    <row r="648" spans="7:8" ht="15.75" customHeight="1">
      <c r="G648" s="183"/>
      <c r="H648" s="183"/>
    </row>
    <row r="649" spans="7:8" ht="15.75" customHeight="1">
      <c r="G649" s="183"/>
      <c r="H649" s="183"/>
    </row>
    <row r="650" spans="7:8" ht="15.75" customHeight="1">
      <c r="G650" s="183"/>
      <c r="H650" s="183"/>
    </row>
    <row r="651" spans="7:8" ht="15.75" customHeight="1">
      <c r="G651" s="183"/>
      <c r="H651" s="183"/>
    </row>
    <row r="652" spans="7:8" ht="15.75" customHeight="1">
      <c r="G652" s="183"/>
      <c r="H652" s="183"/>
    </row>
    <row r="653" spans="7:8" ht="15.75" customHeight="1">
      <c r="G653" s="183"/>
      <c r="H653" s="183"/>
    </row>
    <row r="654" spans="7:8" ht="15.75" customHeight="1">
      <c r="G654" s="183"/>
      <c r="H654" s="183"/>
    </row>
    <row r="655" spans="7:8" ht="15.75" customHeight="1">
      <c r="G655" s="183"/>
      <c r="H655" s="183"/>
    </row>
    <row r="656" spans="7:8" ht="15.75" customHeight="1">
      <c r="G656" s="183"/>
      <c r="H656" s="183"/>
    </row>
    <row r="657" spans="7:8" ht="15.75" customHeight="1">
      <c r="G657" s="183"/>
      <c r="H657" s="183"/>
    </row>
    <row r="658" spans="7:8" ht="15.75" customHeight="1">
      <c r="G658" s="183"/>
      <c r="H658" s="183"/>
    </row>
    <row r="659" spans="7:8" ht="15.75" customHeight="1">
      <c r="G659" s="183"/>
      <c r="H659" s="183"/>
    </row>
    <row r="660" spans="7:8" ht="15.75" customHeight="1">
      <c r="G660" s="183"/>
      <c r="H660" s="183"/>
    </row>
    <row r="661" spans="7:8" ht="15.75" customHeight="1">
      <c r="G661" s="183"/>
      <c r="H661" s="183"/>
    </row>
    <row r="662" spans="7:8" ht="15.75" customHeight="1">
      <c r="G662" s="183"/>
      <c r="H662" s="183"/>
    </row>
    <row r="663" spans="7:8" ht="15.75" customHeight="1">
      <c r="G663" s="183"/>
      <c r="H663" s="183"/>
    </row>
    <row r="664" spans="7:8" ht="15.75" customHeight="1">
      <c r="G664" s="183"/>
      <c r="H664" s="183"/>
    </row>
    <row r="665" spans="7:8" ht="15.75" customHeight="1">
      <c r="G665" s="183"/>
      <c r="H665" s="183"/>
    </row>
    <row r="666" spans="7:8" ht="15.75" customHeight="1">
      <c r="G666" s="183"/>
      <c r="H666" s="183"/>
    </row>
    <row r="667" spans="7:8" ht="15.75" customHeight="1">
      <c r="G667" s="183"/>
      <c r="H667" s="183"/>
    </row>
    <row r="668" spans="7:8" ht="15.75" customHeight="1">
      <c r="G668" s="183"/>
      <c r="H668" s="183"/>
    </row>
    <row r="669" spans="7:8" ht="15.75" customHeight="1">
      <c r="G669" s="183"/>
      <c r="H669" s="183"/>
    </row>
    <row r="670" spans="7:8" ht="15.75" customHeight="1">
      <c r="G670" s="183"/>
      <c r="H670" s="183"/>
    </row>
    <row r="671" spans="7:8" ht="15.75" customHeight="1">
      <c r="G671" s="183"/>
      <c r="H671" s="183"/>
    </row>
    <row r="672" spans="7:8" ht="15.75" customHeight="1">
      <c r="G672" s="183"/>
      <c r="H672" s="183"/>
    </row>
    <row r="673" spans="7:8" ht="15.75" customHeight="1">
      <c r="G673" s="183"/>
      <c r="H673" s="183"/>
    </row>
    <row r="674" spans="7:8" ht="15.75" customHeight="1">
      <c r="G674" s="183"/>
      <c r="H674" s="183"/>
    </row>
    <row r="675" spans="7:8" ht="15.75" customHeight="1">
      <c r="G675" s="183"/>
      <c r="H675" s="183"/>
    </row>
    <row r="676" spans="7:8" ht="15.75" customHeight="1">
      <c r="G676" s="183"/>
      <c r="H676" s="183"/>
    </row>
    <row r="677" spans="7:8" ht="15.75" customHeight="1">
      <c r="G677" s="183"/>
      <c r="H677" s="183"/>
    </row>
    <row r="678" spans="7:8" ht="15.75" customHeight="1">
      <c r="G678" s="183"/>
      <c r="H678" s="183"/>
    </row>
    <row r="679" spans="7:8" ht="15.75" customHeight="1">
      <c r="G679" s="183"/>
      <c r="H679" s="183"/>
    </row>
    <row r="680" spans="7:8" ht="15.75" customHeight="1">
      <c r="G680" s="183"/>
      <c r="H680" s="183"/>
    </row>
    <row r="681" spans="7:8" ht="15.75" customHeight="1">
      <c r="G681" s="183"/>
      <c r="H681" s="183"/>
    </row>
    <row r="682" spans="7:8" ht="15.75" customHeight="1">
      <c r="G682" s="183"/>
      <c r="H682" s="183"/>
    </row>
    <row r="683" spans="7:8" ht="15.75" customHeight="1">
      <c r="G683" s="183"/>
      <c r="H683" s="183"/>
    </row>
    <row r="684" spans="7:8" ht="15.75" customHeight="1">
      <c r="G684" s="183"/>
      <c r="H684" s="183"/>
    </row>
    <row r="685" spans="7:8" ht="15.75" customHeight="1">
      <c r="G685" s="183"/>
      <c r="H685" s="183"/>
    </row>
    <row r="686" spans="7:8" ht="15.75" customHeight="1">
      <c r="G686" s="183"/>
      <c r="H686" s="183"/>
    </row>
    <row r="687" spans="7:8" ht="15.75" customHeight="1">
      <c r="G687" s="183"/>
      <c r="H687" s="183"/>
    </row>
    <row r="688" spans="7:8" ht="15.75" customHeight="1">
      <c r="G688" s="183"/>
      <c r="H688" s="183"/>
    </row>
    <row r="689" spans="7:8" ht="15.75" customHeight="1">
      <c r="G689" s="183"/>
      <c r="H689" s="183"/>
    </row>
    <row r="690" spans="7:8" ht="15.75" customHeight="1">
      <c r="G690" s="183"/>
      <c r="H690" s="183"/>
    </row>
    <row r="691" spans="7:8" ht="15.75" customHeight="1">
      <c r="G691" s="183"/>
      <c r="H691" s="183"/>
    </row>
    <row r="692" spans="7:8" ht="15.75" customHeight="1">
      <c r="G692" s="183"/>
      <c r="H692" s="183"/>
    </row>
    <row r="693" spans="7:8" ht="15.75" customHeight="1">
      <c r="G693" s="183"/>
      <c r="H693" s="183"/>
    </row>
    <row r="694" spans="7:8" ht="15.75" customHeight="1">
      <c r="G694" s="183"/>
      <c r="H694" s="183"/>
    </row>
    <row r="695" spans="7:8" ht="15.75" customHeight="1">
      <c r="G695" s="183"/>
      <c r="H695" s="183"/>
    </row>
    <row r="696" spans="7:8" ht="15.75" customHeight="1">
      <c r="G696" s="183"/>
      <c r="H696" s="183"/>
    </row>
    <row r="697" spans="7:8" ht="15.75" customHeight="1">
      <c r="G697" s="183"/>
      <c r="H697" s="183"/>
    </row>
    <row r="698" spans="7:8" ht="15.75" customHeight="1">
      <c r="G698" s="183"/>
      <c r="H698" s="183"/>
    </row>
    <row r="699" spans="7:8" ht="15.75" customHeight="1">
      <c r="G699" s="183"/>
      <c r="H699" s="183"/>
    </row>
    <row r="700" spans="7:8" ht="15.75" customHeight="1">
      <c r="G700" s="183"/>
      <c r="H700" s="183"/>
    </row>
    <row r="701" spans="7:8" ht="15.75" customHeight="1">
      <c r="G701" s="183"/>
      <c r="H701" s="183"/>
    </row>
    <row r="702" spans="7:8" ht="15.75" customHeight="1">
      <c r="G702" s="183"/>
      <c r="H702" s="183"/>
    </row>
    <row r="703" spans="7:8" ht="15.75" customHeight="1">
      <c r="G703" s="183"/>
      <c r="H703" s="183"/>
    </row>
    <row r="704" spans="7:8" ht="15.75" customHeight="1">
      <c r="G704" s="183"/>
      <c r="H704" s="183"/>
    </row>
    <row r="705" spans="7:8" ht="15.75" customHeight="1">
      <c r="G705" s="183"/>
      <c r="H705" s="183"/>
    </row>
    <row r="706" spans="7:8" ht="15.75" customHeight="1">
      <c r="G706" s="183"/>
      <c r="H706" s="183"/>
    </row>
    <row r="707" spans="7:8" ht="15.75" customHeight="1">
      <c r="G707" s="183"/>
      <c r="H707" s="183"/>
    </row>
    <row r="708" spans="7:8" ht="15.75" customHeight="1">
      <c r="G708" s="183"/>
      <c r="H708" s="183"/>
    </row>
    <row r="709" spans="7:8" ht="15.75" customHeight="1">
      <c r="G709" s="183"/>
      <c r="H709" s="183"/>
    </row>
    <row r="710" spans="7:8" ht="15.75" customHeight="1">
      <c r="G710" s="183"/>
      <c r="H710" s="183"/>
    </row>
    <row r="711" spans="7:8" ht="15.75" customHeight="1">
      <c r="G711" s="183"/>
      <c r="H711" s="183"/>
    </row>
    <row r="712" spans="7:8" ht="15.75" customHeight="1">
      <c r="G712" s="183"/>
      <c r="H712" s="183"/>
    </row>
    <row r="713" spans="7:8" ht="15.75" customHeight="1">
      <c r="G713" s="183"/>
      <c r="H713" s="183"/>
    </row>
    <row r="714" spans="7:8" ht="15.75" customHeight="1">
      <c r="G714" s="183"/>
      <c r="H714" s="183"/>
    </row>
    <row r="715" spans="7:8" ht="15.75" customHeight="1">
      <c r="G715" s="183"/>
      <c r="H715" s="183"/>
    </row>
    <row r="716" spans="7:8" ht="15.75" customHeight="1">
      <c r="G716" s="183"/>
      <c r="H716" s="183"/>
    </row>
    <row r="717" spans="7:8" ht="15.75" customHeight="1">
      <c r="G717" s="183"/>
      <c r="H717" s="183"/>
    </row>
    <row r="718" spans="7:8" ht="15.75" customHeight="1">
      <c r="G718" s="183"/>
      <c r="H718" s="183"/>
    </row>
    <row r="719" spans="7:8" ht="15.75" customHeight="1">
      <c r="G719" s="183"/>
      <c r="H719" s="183"/>
    </row>
    <row r="720" spans="7:8" ht="15.75" customHeight="1">
      <c r="G720" s="183"/>
      <c r="H720" s="183"/>
    </row>
    <row r="721" spans="7:8" ht="15.75" customHeight="1">
      <c r="G721" s="183"/>
      <c r="H721" s="183"/>
    </row>
    <row r="722" spans="7:8" ht="15.75" customHeight="1">
      <c r="G722" s="183"/>
      <c r="H722" s="183"/>
    </row>
    <row r="723" spans="7:8" ht="15.75" customHeight="1">
      <c r="G723" s="183"/>
      <c r="H723" s="183"/>
    </row>
    <row r="724" spans="7:8" ht="15.75" customHeight="1">
      <c r="G724" s="183"/>
      <c r="H724" s="183"/>
    </row>
    <row r="725" spans="7:8" ht="15.75" customHeight="1">
      <c r="G725" s="183"/>
      <c r="H725" s="183"/>
    </row>
    <row r="726" spans="7:8" ht="15.75" customHeight="1">
      <c r="G726" s="183"/>
      <c r="H726" s="183"/>
    </row>
    <row r="727" spans="7:8" ht="15.75" customHeight="1">
      <c r="G727" s="183"/>
      <c r="H727" s="183"/>
    </row>
    <row r="728" spans="7:8" ht="15.75" customHeight="1">
      <c r="G728" s="183"/>
      <c r="H728" s="183"/>
    </row>
    <row r="729" spans="7:8" ht="15.75" customHeight="1">
      <c r="G729" s="183"/>
      <c r="H729" s="183"/>
    </row>
    <row r="730" spans="7:8" ht="15.75" customHeight="1">
      <c r="G730" s="183"/>
      <c r="H730" s="183"/>
    </row>
    <row r="731" spans="7:8" ht="15.75" customHeight="1">
      <c r="G731" s="183"/>
      <c r="H731" s="183"/>
    </row>
    <row r="732" spans="7:8" ht="15.75" customHeight="1">
      <c r="G732" s="183"/>
      <c r="H732" s="183"/>
    </row>
    <row r="733" spans="7:8" ht="15.75" customHeight="1">
      <c r="G733" s="183"/>
      <c r="H733" s="183"/>
    </row>
    <row r="734" spans="7:8" ht="15.75" customHeight="1">
      <c r="G734" s="183"/>
      <c r="H734" s="183"/>
    </row>
    <row r="735" spans="7:8" ht="15.75" customHeight="1">
      <c r="G735" s="183"/>
      <c r="H735" s="183"/>
    </row>
    <row r="736" spans="7:8" ht="15.75" customHeight="1">
      <c r="G736" s="183"/>
      <c r="H736" s="183"/>
    </row>
    <row r="737" spans="7:8" ht="15.75" customHeight="1">
      <c r="G737" s="183"/>
      <c r="H737" s="183"/>
    </row>
    <row r="738" spans="7:8" ht="15.75" customHeight="1">
      <c r="G738" s="183"/>
      <c r="H738" s="183"/>
    </row>
    <row r="739" spans="7:8" ht="15.75" customHeight="1">
      <c r="G739" s="183"/>
      <c r="H739" s="183"/>
    </row>
    <row r="740" spans="7:8" ht="15.75" customHeight="1">
      <c r="G740" s="183"/>
      <c r="H740" s="183"/>
    </row>
    <row r="741" spans="7:8" ht="15.75" customHeight="1">
      <c r="G741" s="183"/>
      <c r="H741" s="183"/>
    </row>
    <row r="742" spans="7:8" ht="15.75" customHeight="1">
      <c r="G742" s="183"/>
      <c r="H742" s="183"/>
    </row>
    <row r="743" spans="7:8" ht="15.75" customHeight="1">
      <c r="G743" s="183"/>
      <c r="H743" s="183"/>
    </row>
    <row r="744" spans="7:8" ht="15.75" customHeight="1">
      <c r="G744" s="183"/>
      <c r="H744" s="183"/>
    </row>
    <row r="745" spans="7:8" ht="15.75" customHeight="1">
      <c r="G745" s="183"/>
      <c r="H745" s="183"/>
    </row>
    <row r="746" spans="7:8" ht="15.75" customHeight="1">
      <c r="G746" s="183"/>
      <c r="H746" s="183"/>
    </row>
    <row r="747" spans="7:8" ht="15.75" customHeight="1">
      <c r="G747" s="183"/>
      <c r="H747" s="183"/>
    </row>
    <row r="748" spans="7:8" ht="15.75" customHeight="1">
      <c r="G748" s="183"/>
      <c r="H748" s="183"/>
    </row>
    <row r="749" spans="7:8" ht="15.75" customHeight="1">
      <c r="G749" s="183"/>
      <c r="H749" s="183"/>
    </row>
    <row r="750" spans="7:8" ht="15.75" customHeight="1">
      <c r="G750" s="183"/>
      <c r="H750" s="183"/>
    </row>
    <row r="751" spans="7:8" ht="15.75" customHeight="1">
      <c r="G751" s="183"/>
      <c r="H751" s="183"/>
    </row>
    <row r="752" spans="7:8" ht="15.75" customHeight="1">
      <c r="G752" s="183"/>
      <c r="H752" s="183"/>
    </row>
    <row r="753" spans="7:8" ht="15.75" customHeight="1">
      <c r="G753" s="183"/>
      <c r="H753" s="183"/>
    </row>
    <row r="754" spans="7:8" ht="15.75" customHeight="1">
      <c r="G754" s="183"/>
      <c r="H754" s="183"/>
    </row>
    <row r="755" spans="7:8" ht="15.75" customHeight="1">
      <c r="G755" s="183"/>
      <c r="H755" s="183"/>
    </row>
    <row r="756" spans="7:8" ht="15.75" customHeight="1">
      <c r="G756" s="183"/>
      <c r="H756" s="183"/>
    </row>
    <row r="757" spans="7:8" ht="15.75" customHeight="1">
      <c r="G757" s="183"/>
      <c r="H757" s="183"/>
    </row>
    <row r="758" spans="7:8" ht="15.75" customHeight="1">
      <c r="G758" s="183"/>
      <c r="H758" s="183"/>
    </row>
    <row r="759" spans="7:8" ht="15.75" customHeight="1">
      <c r="G759" s="183"/>
      <c r="H759" s="183"/>
    </row>
    <row r="760" spans="7:8" ht="15.75" customHeight="1">
      <c r="G760" s="183"/>
      <c r="H760" s="183"/>
    </row>
    <row r="761" spans="7:8" ht="15.75" customHeight="1">
      <c r="G761" s="183"/>
      <c r="H761" s="183"/>
    </row>
    <row r="762" spans="7:8" ht="15.75" customHeight="1">
      <c r="G762" s="183"/>
      <c r="H762" s="183"/>
    </row>
    <row r="763" spans="7:8" ht="15.75" customHeight="1">
      <c r="G763" s="183"/>
      <c r="H763" s="183"/>
    </row>
    <row r="764" spans="7:8" ht="15.75" customHeight="1">
      <c r="G764" s="183"/>
      <c r="H764" s="183"/>
    </row>
    <row r="765" spans="7:8" ht="15.75" customHeight="1">
      <c r="G765" s="183"/>
      <c r="H765" s="183"/>
    </row>
    <row r="766" spans="7:8" ht="15.75" customHeight="1">
      <c r="G766" s="183"/>
      <c r="H766" s="183"/>
    </row>
    <row r="767" spans="7:8" ht="15.75" customHeight="1">
      <c r="G767" s="183"/>
      <c r="H767" s="183"/>
    </row>
    <row r="768" spans="7:8" ht="15.75" customHeight="1">
      <c r="G768" s="183"/>
      <c r="H768" s="183"/>
    </row>
    <row r="769" spans="7:8" ht="15.75" customHeight="1">
      <c r="G769" s="183"/>
      <c r="H769" s="183"/>
    </row>
    <row r="770" spans="7:8" ht="15.75" customHeight="1">
      <c r="G770" s="183"/>
      <c r="H770" s="183"/>
    </row>
    <row r="771" spans="7:8" ht="15.75" customHeight="1">
      <c r="G771" s="183"/>
      <c r="H771" s="183"/>
    </row>
    <row r="772" spans="7:8" ht="15.75" customHeight="1">
      <c r="G772" s="183"/>
      <c r="H772" s="183"/>
    </row>
    <row r="773" spans="7:8" ht="15.75" customHeight="1">
      <c r="G773" s="183"/>
      <c r="H773" s="183"/>
    </row>
    <row r="774" spans="7:8" ht="15.75" customHeight="1">
      <c r="G774" s="183"/>
      <c r="H774" s="183"/>
    </row>
    <row r="775" spans="7:8" ht="15.75" customHeight="1">
      <c r="G775" s="183"/>
      <c r="H775" s="183"/>
    </row>
    <row r="776" spans="7:8" ht="15.75" customHeight="1">
      <c r="G776" s="183"/>
      <c r="H776" s="183"/>
    </row>
    <row r="777" spans="7:8" ht="15.75" customHeight="1">
      <c r="G777" s="183"/>
      <c r="H777" s="183"/>
    </row>
    <row r="778" spans="7:8" ht="15.75" customHeight="1">
      <c r="G778" s="183"/>
      <c r="H778" s="183"/>
    </row>
    <row r="779" spans="7:8" ht="15.75" customHeight="1">
      <c r="G779" s="183"/>
      <c r="H779" s="183"/>
    </row>
    <row r="780" spans="7:8" ht="15.75" customHeight="1">
      <c r="G780" s="183"/>
      <c r="H780" s="183"/>
    </row>
    <row r="781" spans="7:8" ht="15.75" customHeight="1">
      <c r="G781" s="183"/>
      <c r="H781" s="183"/>
    </row>
    <row r="782" spans="7:8" ht="15.75" customHeight="1">
      <c r="G782" s="183"/>
      <c r="H782" s="183"/>
    </row>
    <row r="783" spans="7:8" ht="15.75" customHeight="1">
      <c r="G783" s="183"/>
      <c r="H783" s="183"/>
    </row>
    <row r="784" spans="7:8" ht="15.75" customHeight="1">
      <c r="G784" s="183"/>
      <c r="H784" s="183"/>
    </row>
    <row r="785" spans="7:8" ht="15.75" customHeight="1">
      <c r="G785" s="183"/>
      <c r="H785" s="183"/>
    </row>
    <row r="786" spans="7:8" ht="15.75" customHeight="1">
      <c r="G786" s="183"/>
      <c r="H786" s="183"/>
    </row>
    <row r="787" spans="7:8" ht="15.75" customHeight="1">
      <c r="G787" s="183"/>
      <c r="H787" s="183"/>
    </row>
    <row r="788" spans="7:8" ht="15.75" customHeight="1">
      <c r="G788" s="183"/>
      <c r="H788" s="183"/>
    </row>
    <row r="789" spans="7:8" ht="15.75" customHeight="1">
      <c r="G789" s="183"/>
      <c r="H789" s="183"/>
    </row>
    <row r="790" spans="7:8" ht="15.75" customHeight="1">
      <c r="G790" s="183"/>
      <c r="H790" s="183"/>
    </row>
    <row r="791" spans="7:8" ht="15.75" customHeight="1">
      <c r="G791" s="183"/>
      <c r="H791" s="183"/>
    </row>
    <row r="792" spans="7:8" ht="15.75" customHeight="1">
      <c r="G792" s="183"/>
      <c r="H792" s="183"/>
    </row>
    <row r="793" spans="7:8" ht="15.75" customHeight="1">
      <c r="G793" s="183"/>
      <c r="H793" s="183"/>
    </row>
    <row r="794" spans="7:8" ht="15.75" customHeight="1">
      <c r="G794" s="183"/>
      <c r="H794" s="183"/>
    </row>
    <row r="795" spans="7:8" ht="15.75" customHeight="1">
      <c r="G795" s="183"/>
      <c r="H795" s="183"/>
    </row>
    <row r="796" spans="7:8" ht="15.75" customHeight="1">
      <c r="G796" s="183"/>
      <c r="H796" s="183"/>
    </row>
    <row r="797" spans="7:8" ht="15.75" customHeight="1">
      <c r="G797" s="183"/>
      <c r="H797" s="183"/>
    </row>
    <row r="798" spans="7:8" ht="15.75" customHeight="1">
      <c r="G798" s="183"/>
      <c r="H798" s="183"/>
    </row>
    <row r="799" spans="7:8" ht="15.75" customHeight="1">
      <c r="G799" s="183"/>
      <c r="H799" s="183"/>
    </row>
    <row r="800" spans="7:8" ht="15.75" customHeight="1">
      <c r="G800" s="183"/>
      <c r="H800" s="183"/>
    </row>
    <row r="801" spans="7:8" ht="15.75" customHeight="1">
      <c r="G801" s="183"/>
      <c r="H801" s="183"/>
    </row>
    <row r="802" spans="7:8" ht="15.75" customHeight="1">
      <c r="G802" s="183"/>
      <c r="H802" s="183"/>
    </row>
    <row r="803" spans="7:8" ht="15.75" customHeight="1">
      <c r="G803" s="183"/>
      <c r="H803" s="183"/>
    </row>
    <row r="804" spans="7:8" ht="15.75" customHeight="1">
      <c r="G804" s="183"/>
      <c r="H804" s="183"/>
    </row>
    <row r="805" spans="7:8" ht="15.75" customHeight="1">
      <c r="G805" s="183"/>
      <c r="H805" s="183"/>
    </row>
    <row r="806" spans="7:8" ht="15.75" customHeight="1">
      <c r="G806" s="183"/>
      <c r="H806" s="183"/>
    </row>
    <row r="807" spans="7:8" ht="15.75" customHeight="1">
      <c r="G807" s="183"/>
      <c r="H807" s="183"/>
    </row>
    <row r="808" spans="7:8" ht="15.75" customHeight="1">
      <c r="G808" s="183"/>
      <c r="H808" s="183"/>
    </row>
    <row r="809" spans="7:8" ht="15.75" customHeight="1">
      <c r="G809" s="183"/>
      <c r="H809" s="183"/>
    </row>
    <row r="810" spans="7:8" ht="15.75" customHeight="1">
      <c r="G810" s="183"/>
      <c r="H810" s="183"/>
    </row>
    <row r="811" spans="7:8" ht="15.75" customHeight="1">
      <c r="G811" s="183"/>
      <c r="H811" s="183"/>
    </row>
    <row r="812" spans="7:8" ht="15.75" customHeight="1">
      <c r="G812" s="183"/>
      <c r="H812" s="183"/>
    </row>
    <row r="813" spans="7:8" ht="15.75" customHeight="1">
      <c r="G813" s="183"/>
      <c r="H813" s="183"/>
    </row>
    <row r="814" spans="7:8" ht="15.75" customHeight="1">
      <c r="G814" s="183"/>
      <c r="H814" s="183"/>
    </row>
    <row r="815" spans="7:8" ht="15.75" customHeight="1">
      <c r="G815" s="183"/>
      <c r="H815" s="183"/>
    </row>
    <row r="816" spans="7:8" ht="15.75" customHeight="1">
      <c r="G816" s="183"/>
      <c r="H816" s="183"/>
    </row>
    <row r="817" spans="7:8" ht="15.75" customHeight="1">
      <c r="G817" s="183"/>
      <c r="H817" s="183"/>
    </row>
    <row r="818" spans="7:8" ht="15.75" customHeight="1">
      <c r="G818" s="183"/>
      <c r="H818" s="183"/>
    </row>
    <row r="819" spans="7:8" ht="15.75" customHeight="1">
      <c r="G819" s="183"/>
      <c r="H819" s="183"/>
    </row>
    <row r="820" spans="7:8" ht="15.75" customHeight="1">
      <c r="G820" s="183"/>
      <c r="H820" s="183"/>
    </row>
    <row r="821" spans="7:8" ht="15.75" customHeight="1">
      <c r="G821" s="183"/>
      <c r="H821" s="183"/>
    </row>
    <row r="822" spans="7:8" ht="15.75" customHeight="1">
      <c r="G822" s="183"/>
      <c r="H822" s="183"/>
    </row>
    <row r="823" spans="7:8" ht="15.75" customHeight="1">
      <c r="G823" s="183"/>
      <c r="H823" s="183"/>
    </row>
    <row r="824" spans="7:8" ht="15.75" customHeight="1">
      <c r="G824" s="183"/>
      <c r="H824" s="183"/>
    </row>
    <row r="825" spans="7:8" ht="15.75" customHeight="1">
      <c r="G825" s="183"/>
      <c r="H825" s="183"/>
    </row>
    <row r="826" spans="7:8" ht="15.75" customHeight="1">
      <c r="G826" s="183"/>
      <c r="H826" s="183"/>
    </row>
    <row r="827" spans="7:8" ht="15.75" customHeight="1">
      <c r="G827" s="183"/>
      <c r="H827" s="183"/>
    </row>
    <row r="828" spans="7:8" ht="15.75" customHeight="1">
      <c r="G828" s="183"/>
      <c r="H828" s="183"/>
    </row>
    <row r="829" spans="7:8" ht="15.75" customHeight="1">
      <c r="G829" s="183"/>
      <c r="H829" s="183"/>
    </row>
    <row r="830" spans="7:8" ht="15.75" customHeight="1">
      <c r="G830" s="183"/>
      <c r="H830" s="183"/>
    </row>
    <row r="831" spans="7:8" ht="15.75" customHeight="1">
      <c r="G831" s="183"/>
      <c r="H831" s="183"/>
    </row>
    <row r="832" spans="7:8" ht="15.75" customHeight="1">
      <c r="G832" s="183"/>
      <c r="H832" s="183"/>
    </row>
    <row r="833" spans="7:8" ht="15.75" customHeight="1">
      <c r="G833" s="183"/>
      <c r="H833" s="183"/>
    </row>
    <row r="834" spans="7:8" ht="15.75" customHeight="1">
      <c r="G834" s="183"/>
      <c r="H834" s="183"/>
    </row>
    <row r="835" spans="7:8" ht="15.75" customHeight="1">
      <c r="G835" s="183"/>
      <c r="H835" s="183"/>
    </row>
    <row r="836" spans="7:8" ht="15.75" customHeight="1">
      <c r="G836" s="183"/>
      <c r="H836" s="183"/>
    </row>
    <row r="837" spans="7:8" ht="15.75" customHeight="1">
      <c r="G837" s="183"/>
      <c r="H837" s="183"/>
    </row>
    <row r="838" spans="7:8" ht="15.75" customHeight="1">
      <c r="G838" s="183"/>
      <c r="H838" s="183"/>
    </row>
    <row r="839" spans="7:8" ht="15.75" customHeight="1">
      <c r="G839" s="183"/>
      <c r="H839" s="183"/>
    </row>
    <row r="840" spans="7:8" ht="15.75" customHeight="1">
      <c r="G840" s="183"/>
      <c r="H840" s="183"/>
    </row>
    <row r="841" spans="7:8" ht="15.75" customHeight="1">
      <c r="G841" s="183"/>
      <c r="H841" s="183"/>
    </row>
    <row r="842" spans="7:8" ht="15.75" customHeight="1">
      <c r="G842" s="183"/>
      <c r="H842" s="183"/>
    </row>
    <row r="843" spans="7:8" ht="15.75" customHeight="1">
      <c r="G843" s="183"/>
      <c r="H843" s="183"/>
    </row>
    <row r="844" spans="7:8" ht="15.75" customHeight="1">
      <c r="G844" s="183"/>
      <c r="H844" s="183"/>
    </row>
    <row r="845" spans="7:8" ht="15.75" customHeight="1">
      <c r="G845" s="183"/>
      <c r="H845" s="183"/>
    </row>
    <row r="846" spans="7:8" ht="15.75" customHeight="1">
      <c r="G846" s="183"/>
      <c r="H846" s="183"/>
    </row>
    <row r="847" spans="7:8" ht="15.75" customHeight="1">
      <c r="G847" s="183"/>
      <c r="H847" s="183"/>
    </row>
    <row r="848" spans="7:8" ht="15.75" customHeight="1">
      <c r="G848" s="183"/>
      <c r="H848" s="183"/>
    </row>
    <row r="849" spans="7:8" ht="15.75" customHeight="1">
      <c r="G849" s="183"/>
      <c r="H849" s="183"/>
    </row>
    <row r="850" spans="7:8" ht="15.75" customHeight="1">
      <c r="G850" s="183"/>
      <c r="H850" s="183"/>
    </row>
    <row r="851" spans="7:8" ht="15.75" customHeight="1">
      <c r="G851" s="183"/>
      <c r="H851" s="183"/>
    </row>
    <row r="852" spans="7:8" ht="15.75" customHeight="1">
      <c r="G852" s="183"/>
      <c r="H852" s="183"/>
    </row>
    <row r="853" spans="7:8" ht="15.75" customHeight="1">
      <c r="G853" s="183"/>
      <c r="H853" s="183"/>
    </row>
    <row r="854" spans="7:8" ht="15.75" customHeight="1">
      <c r="G854" s="183"/>
      <c r="H854" s="183"/>
    </row>
    <row r="855" spans="7:8" ht="15.75" customHeight="1">
      <c r="G855" s="183"/>
      <c r="H855" s="183"/>
    </row>
    <row r="856" spans="7:8" ht="15.75" customHeight="1">
      <c r="G856" s="183"/>
      <c r="H856" s="183"/>
    </row>
    <row r="857" spans="7:8" ht="15.75" customHeight="1">
      <c r="G857" s="183"/>
      <c r="H857" s="183"/>
    </row>
    <row r="858" spans="7:8" ht="15.75" customHeight="1">
      <c r="G858" s="183"/>
      <c r="H858" s="183"/>
    </row>
    <row r="859" spans="7:8" ht="15.75" customHeight="1">
      <c r="G859" s="183"/>
      <c r="H859" s="183"/>
    </row>
    <row r="860" spans="7:8" ht="15.75" customHeight="1">
      <c r="G860" s="183"/>
      <c r="H860" s="183"/>
    </row>
    <row r="861" spans="7:8" ht="15.75" customHeight="1">
      <c r="G861" s="183"/>
      <c r="H861" s="183"/>
    </row>
    <row r="862" spans="7:8" ht="15.75" customHeight="1">
      <c r="G862" s="183"/>
      <c r="H862" s="183"/>
    </row>
    <row r="863" spans="7:8" ht="15.75" customHeight="1">
      <c r="G863" s="183"/>
      <c r="H863" s="183"/>
    </row>
    <row r="864" spans="7:8" ht="15.75" customHeight="1">
      <c r="G864" s="183"/>
      <c r="H864" s="183"/>
    </row>
    <row r="865" spans="7:8" ht="15.75" customHeight="1">
      <c r="G865" s="183"/>
      <c r="H865" s="183"/>
    </row>
    <row r="866" spans="7:8" ht="15.75" customHeight="1">
      <c r="G866" s="183"/>
      <c r="H866" s="183"/>
    </row>
    <row r="867" spans="7:8" ht="15.75" customHeight="1">
      <c r="G867" s="183"/>
      <c r="H867" s="183"/>
    </row>
    <row r="868" spans="7:8" ht="15.75" customHeight="1">
      <c r="G868" s="183"/>
      <c r="H868" s="183"/>
    </row>
    <row r="869" spans="7:8" ht="15.75" customHeight="1">
      <c r="G869" s="183"/>
      <c r="H869" s="183"/>
    </row>
    <row r="870" spans="7:8" ht="15.75" customHeight="1">
      <c r="G870" s="183"/>
      <c r="H870" s="183"/>
    </row>
    <row r="871" spans="7:8" ht="15.75" customHeight="1">
      <c r="G871" s="183"/>
      <c r="H871" s="183"/>
    </row>
    <row r="872" spans="7:8" ht="15.75" customHeight="1">
      <c r="G872" s="183"/>
      <c r="H872" s="183"/>
    </row>
    <row r="873" spans="7:8" ht="15.75" customHeight="1">
      <c r="G873" s="183"/>
      <c r="H873" s="183"/>
    </row>
    <row r="874" spans="7:8" ht="15.75" customHeight="1">
      <c r="G874" s="183"/>
      <c r="H874" s="183"/>
    </row>
    <row r="875" spans="7:8" ht="15.75" customHeight="1">
      <c r="G875" s="183"/>
      <c r="H875" s="183"/>
    </row>
    <row r="876" spans="7:8" ht="15.75" customHeight="1">
      <c r="G876" s="183"/>
      <c r="H876" s="183"/>
    </row>
    <row r="877" spans="7:8" ht="15.75" customHeight="1">
      <c r="G877" s="183"/>
      <c r="H877" s="183"/>
    </row>
    <row r="878" spans="7:8" ht="15.75" customHeight="1">
      <c r="G878" s="183"/>
      <c r="H878" s="183"/>
    </row>
    <row r="879" spans="7:8" ht="15.75" customHeight="1">
      <c r="G879" s="183"/>
      <c r="H879" s="183"/>
    </row>
    <row r="880" spans="7:8" ht="15.75" customHeight="1">
      <c r="G880" s="183"/>
      <c r="H880" s="183"/>
    </row>
    <row r="881" spans="7:8" ht="15.75" customHeight="1">
      <c r="G881" s="183"/>
      <c r="H881" s="183"/>
    </row>
    <row r="882" spans="7:8" ht="15.75" customHeight="1">
      <c r="G882" s="183"/>
      <c r="H882" s="183"/>
    </row>
    <row r="883" spans="7:8" ht="15.75" customHeight="1">
      <c r="G883" s="183"/>
      <c r="H883" s="183"/>
    </row>
    <row r="884" spans="7:8" ht="15.75" customHeight="1">
      <c r="G884" s="183"/>
      <c r="H884" s="183"/>
    </row>
    <row r="885" spans="7:8" ht="15.75" customHeight="1">
      <c r="G885" s="183"/>
      <c r="H885" s="183"/>
    </row>
    <row r="886" spans="7:8" ht="15.75" customHeight="1">
      <c r="G886" s="183"/>
      <c r="H886" s="183"/>
    </row>
    <row r="887" spans="7:8" ht="15.75" customHeight="1">
      <c r="G887" s="183"/>
      <c r="H887" s="183"/>
    </row>
    <row r="888" spans="7:8" ht="15.75" customHeight="1">
      <c r="G888" s="183"/>
      <c r="H888" s="183"/>
    </row>
    <row r="889" spans="7:8" ht="15.75" customHeight="1">
      <c r="G889" s="183"/>
      <c r="H889" s="183"/>
    </row>
    <row r="890" spans="7:8" ht="15.75" customHeight="1">
      <c r="G890" s="183"/>
      <c r="H890" s="183"/>
    </row>
    <row r="891" spans="7:8" ht="15.75" customHeight="1">
      <c r="G891" s="183"/>
      <c r="H891" s="183"/>
    </row>
    <row r="892" spans="7:8" ht="15.75" customHeight="1">
      <c r="G892" s="183"/>
      <c r="H892" s="183"/>
    </row>
    <row r="893" spans="7:8" ht="15.75" customHeight="1">
      <c r="G893" s="183"/>
      <c r="H893" s="183"/>
    </row>
    <row r="894" spans="7:8" ht="15.75" customHeight="1">
      <c r="G894" s="183"/>
      <c r="H894" s="183"/>
    </row>
    <row r="895" spans="7:8" ht="15.75" customHeight="1">
      <c r="G895" s="183"/>
      <c r="H895" s="183"/>
    </row>
    <row r="896" spans="7:8" ht="15.75" customHeight="1">
      <c r="G896" s="183"/>
      <c r="H896" s="183"/>
    </row>
    <row r="897" spans="7:8" ht="15.75" customHeight="1">
      <c r="G897" s="183"/>
      <c r="H897" s="183"/>
    </row>
    <row r="898" spans="7:8" ht="15.75" customHeight="1">
      <c r="G898" s="183"/>
      <c r="H898" s="183"/>
    </row>
    <row r="899" spans="7:8" ht="15.75" customHeight="1">
      <c r="G899" s="183"/>
      <c r="H899" s="183"/>
    </row>
    <row r="900" spans="7:8" ht="15.75" customHeight="1">
      <c r="G900" s="183"/>
      <c r="H900" s="183"/>
    </row>
    <row r="901" spans="7:8" ht="15.75" customHeight="1">
      <c r="G901" s="183"/>
      <c r="H901" s="183"/>
    </row>
    <row r="902" spans="7:8" ht="15.75" customHeight="1">
      <c r="G902" s="183"/>
      <c r="H902" s="183"/>
    </row>
    <row r="903" spans="7:8" ht="15.75" customHeight="1">
      <c r="G903" s="183"/>
      <c r="H903" s="183"/>
    </row>
    <row r="904" spans="7:8" ht="15.75" customHeight="1">
      <c r="G904" s="183"/>
      <c r="H904" s="183"/>
    </row>
    <row r="905" spans="7:8" ht="15.75" customHeight="1">
      <c r="G905" s="183"/>
      <c r="H905" s="183"/>
    </row>
    <row r="906" spans="7:8" ht="15.75" customHeight="1">
      <c r="G906" s="183"/>
      <c r="H906" s="183"/>
    </row>
    <row r="907" spans="7:8" ht="15.75" customHeight="1">
      <c r="G907" s="183"/>
      <c r="H907" s="183"/>
    </row>
    <row r="908" spans="7:8" ht="15.75" customHeight="1">
      <c r="G908" s="183"/>
      <c r="H908" s="183"/>
    </row>
    <row r="909" spans="7:8" ht="15.75" customHeight="1">
      <c r="G909" s="183"/>
      <c r="H909" s="183"/>
    </row>
    <row r="910" spans="7:8" ht="15.75" customHeight="1">
      <c r="G910" s="183"/>
      <c r="H910" s="183"/>
    </row>
    <row r="911" spans="7:8" ht="15.75" customHeight="1">
      <c r="G911" s="183"/>
      <c r="H911" s="183"/>
    </row>
    <row r="912" spans="7:8" ht="15.75" customHeight="1">
      <c r="G912" s="183"/>
      <c r="H912" s="183"/>
    </row>
    <row r="913" spans="7:8" ht="15.75" customHeight="1">
      <c r="G913" s="183"/>
      <c r="H913" s="183"/>
    </row>
    <row r="914" spans="7:8" ht="15.75" customHeight="1">
      <c r="G914" s="183"/>
      <c r="H914" s="183"/>
    </row>
    <row r="915" spans="7:8" ht="15.75" customHeight="1">
      <c r="G915" s="183"/>
      <c r="H915" s="183"/>
    </row>
    <row r="916" spans="7:8" ht="15.75" customHeight="1">
      <c r="G916" s="183"/>
      <c r="H916" s="183"/>
    </row>
    <row r="917" spans="7:8" ht="15.75" customHeight="1">
      <c r="G917" s="183"/>
      <c r="H917" s="183"/>
    </row>
    <row r="918" spans="7:8" ht="15.75" customHeight="1">
      <c r="G918" s="183"/>
      <c r="H918" s="183"/>
    </row>
    <row r="919" spans="7:8" ht="15.75" customHeight="1">
      <c r="G919" s="183"/>
      <c r="H919" s="183"/>
    </row>
    <row r="920" spans="7:8" ht="15.75" customHeight="1">
      <c r="G920" s="183"/>
      <c r="H920" s="183"/>
    </row>
    <row r="921" spans="7:8" ht="15.75" customHeight="1">
      <c r="G921" s="183"/>
      <c r="H921" s="183"/>
    </row>
    <row r="922" spans="7:8" ht="15.75" customHeight="1">
      <c r="G922" s="183"/>
      <c r="H922" s="183"/>
    </row>
    <row r="923" spans="7:8" ht="15.75" customHeight="1">
      <c r="G923" s="183"/>
      <c r="H923" s="183"/>
    </row>
    <row r="924" spans="7:8" ht="15.75" customHeight="1">
      <c r="G924" s="183"/>
      <c r="H924" s="183"/>
    </row>
    <row r="925" spans="7:8" ht="15.75" customHeight="1">
      <c r="G925" s="183"/>
      <c r="H925" s="183"/>
    </row>
    <row r="926" spans="7:8" ht="15.75" customHeight="1">
      <c r="G926" s="183"/>
      <c r="H926" s="183"/>
    </row>
    <row r="927" spans="7:8" ht="15.75" customHeight="1">
      <c r="G927" s="183"/>
      <c r="H927" s="183"/>
    </row>
    <row r="928" spans="7:8" ht="15.75" customHeight="1">
      <c r="G928" s="183"/>
      <c r="H928" s="183"/>
    </row>
    <row r="929" spans="7:8" ht="15.75" customHeight="1">
      <c r="G929" s="183"/>
      <c r="H929" s="183"/>
    </row>
    <row r="930" spans="7:8" ht="15.75" customHeight="1">
      <c r="G930" s="183"/>
      <c r="H930" s="183"/>
    </row>
    <row r="931" spans="7:8" ht="15.75" customHeight="1">
      <c r="G931" s="183"/>
      <c r="H931" s="183"/>
    </row>
    <row r="932" spans="7:8" ht="15.75" customHeight="1">
      <c r="G932" s="183"/>
      <c r="H932" s="183"/>
    </row>
    <row r="933" spans="7:8" ht="15.75" customHeight="1">
      <c r="G933" s="183"/>
      <c r="H933" s="183"/>
    </row>
    <row r="934" spans="7:8" ht="15.75" customHeight="1">
      <c r="G934" s="183"/>
      <c r="H934" s="183"/>
    </row>
    <row r="935" spans="7:8" ht="15.75" customHeight="1">
      <c r="G935" s="183"/>
      <c r="H935" s="183"/>
    </row>
    <row r="936" spans="7:8" ht="15.75" customHeight="1">
      <c r="G936" s="183"/>
      <c r="H936" s="183"/>
    </row>
    <row r="937" spans="7:8" ht="15.75" customHeight="1">
      <c r="G937" s="183"/>
      <c r="H937" s="183"/>
    </row>
    <row r="938" spans="7:8" ht="15.75" customHeight="1">
      <c r="G938" s="183"/>
      <c r="H938" s="183"/>
    </row>
    <row r="939" spans="7:8" ht="15.75" customHeight="1">
      <c r="G939" s="183"/>
      <c r="H939" s="183"/>
    </row>
    <row r="940" spans="7:8" ht="15.75" customHeight="1">
      <c r="G940" s="183"/>
      <c r="H940" s="183"/>
    </row>
    <row r="941" spans="7:8" ht="15.75" customHeight="1">
      <c r="G941" s="183"/>
      <c r="H941" s="183"/>
    </row>
    <row r="942" spans="7:8" ht="15.75" customHeight="1">
      <c r="G942" s="183"/>
      <c r="H942" s="183"/>
    </row>
    <row r="943" spans="7:8" ht="15.75" customHeight="1">
      <c r="G943" s="183"/>
      <c r="H943" s="183"/>
    </row>
    <row r="944" spans="7:8" ht="15.75" customHeight="1">
      <c r="G944" s="183"/>
      <c r="H944" s="183"/>
    </row>
    <row r="945" spans="7:8" ht="15.75" customHeight="1">
      <c r="G945" s="183"/>
      <c r="H945" s="183"/>
    </row>
    <row r="946" spans="7:8" ht="15.75" customHeight="1">
      <c r="G946" s="183"/>
      <c r="H946" s="183"/>
    </row>
    <row r="947" spans="7:8" ht="15.75" customHeight="1">
      <c r="G947" s="183"/>
      <c r="H947" s="183"/>
    </row>
    <row r="948" spans="7:8" ht="15.75" customHeight="1">
      <c r="G948" s="183"/>
      <c r="H948" s="183"/>
    </row>
    <row r="949" spans="7:8" ht="15.75" customHeight="1">
      <c r="G949" s="183"/>
      <c r="H949" s="183"/>
    </row>
    <row r="950" spans="7:8" ht="15.75" customHeight="1">
      <c r="G950" s="183"/>
      <c r="H950" s="183"/>
    </row>
    <row r="951" spans="7:8" ht="15.75" customHeight="1">
      <c r="G951" s="183"/>
      <c r="H951" s="183"/>
    </row>
    <row r="952" spans="7:8" ht="15.75" customHeight="1">
      <c r="G952" s="183"/>
      <c r="H952" s="183"/>
    </row>
    <row r="953" spans="7:8" ht="15.75" customHeight="1">
      <c r="G953" s="183"/>
      <c r="H953" s="183"/>
    </row>
    <row r="954" spans="7:8" ht="15.75" customHeight="1">
      <c r="G954" s="183"/>
      <c r="H954" s="183"/>
    </row>
    <row r="955" spans="7:8" ht="15.75" customHeight="1">
      <c r="G955" s="183"/>
      <c r="H955" s="183"/>
    </row>
    <row r="956" spans="7:8" ht="15.75" customHeight="1">
      <c r="G956" s="183"/>
      <c r="H956" s="183"/>
    </row>
    <row r="957" spans="7:8" ht="15.75" customHeight="1">
      <c r="G957" s="183"/>
      <c r="H957" s="183"/>
    </row>
    <row r="958" spans="7:8" ht="15.75" customHeight="1">
      <c r="G958" s="183"/>
      <c r="H958" s="183"/>
    </row>
    <row r="959" spans="7:8" ht="15.75" customHeight="1">
      <c r="G959" s="183"/>
      <c r="H959" s="183"/>
    </row>
    <row r="960" spans="7:8" ht="15.75" customHeight="1">
      <c r="G960" s="183"/>
      <c r="H960" s="183"/>
    </row>
    <row r="961" spans="7:8" ht="15.75" customHeight="1">
      <c r="G961" s="183"/>
      <c r="H961" s="183"/>
    </row>
    <row r="962" spans="7:8" ht="15.75" customHeight="1">
      <c r="G962" s="183"/>
      <c r="H962" s="183"/>
    </row>
    <row r="963" spans="7:8" ht="15.75" customHeight="1">
      <c r="G963" s="183"/>
      <c r="H963" s="183"/>
    </row>
    <row r="964" spans="7:8" ht="15.75" customHeight="1">
      <c r="G964" s="183"/>
      <c r="H964" s="183"/>
    </row>
    <row r="965" spans="7:8" ht="15.75" customHeight="1">
      <c r="G965" s="183"/>
      <c r="H965" s="183"/>
    </row>
    <row r="966" spans="7:8" ht="15.75" customHeight="1">
      <c r="G966" s="183"/>
      <c r="H966" s="183"/>
    </row>
    <row r="967" spans="7:8" ht="15.75" customHeight="1">
      <c r="G967" s="183"/>
      <c r="H967" s="183"/>
    </row>
    <row r="968" spans="7:8" ht="15.75" customHeight="1">
      <c r="G968" s="183"/>
      <c r="H968" s="183"/>
    </row>
    <row r="969" spans="7:8" ht="15.75" customHeight="1">
      <c r="G969" s="183"/>
      <c r="H969" s="183"/>
    </row>
    <row r="970" spans="7:8" ht="15.75" customHeight="1">
      <c r="G970" s="183"/>
      <c r="H970" s="183"/>
    </row>
    <row r="971" spans="7:8" ht="15.75" customHeight="1">
      <c r="G971" s="183"/>
      <c r="H971" s="183"/>
    </row>
    <row r="972" spans="7:8" ht="15.75" customHeight="1">
      <c r="G972" s="183"/>
      <c r="H972" s="183"/>
    </row>
    <row r="973" spans="7:8" ht="15.75" customHeight="1">
      <c r="G973" s="183"/>
      <c r="H973" s="183"/>
    </row>
    <row r="974" spans="7:8" ht="15.75" customHeight="1">
      <c r="G974" s="183"/>
      <c r="H974" s="183"/>
    </row>
    <row r="975" spans="7:8" ht="15.75" customHeight="1">
      <c r="G975" s="183"/>
      <c r="H975" s="183"/>
    </row>
    <row r="976" spans="7:8" ht="15.75" customHeight="1">
      <c r="G976" s="183"/>
      <c r="H976" s="183"/>
    </row>
    <row r="977" spans="7:8" ht="15.75" customHeight="1">
      <c r="G977" s="183"/>
      <c r="H977" s="183"/>
    </row>
    <row r="978" spans="7:8" ht="15.75" customHeight="1">
      <c r="G978" s="183"/>
      <c r="H978" s="183"/>
    </row>
    <row r="979" spans="7:8" ht="15.75" customHeight="1">
      <c r="G979" s="183"/>
      <c r="H979" s="183"/>
    </row>
    <row r="980" spans="7:8" ht="15.75" customHeight="1">
      <c r="G980" s="183"/>
      <c r="H980" s="183"/>
    </row>
    <row r="981" spans="7:8" ht="15.75" customHeight="1">
      <c r="G981" s="183"/>
      <c r="H981" s="183"/>
    </row>
    <row r="982" spans="7:8" ht="15.75" customHeight="1">
      <c r="G982" s="183"/>
      <c r="H982" s="183"/>
    </row>
    <row r="983" spans="7:8" ht="15.75" customHeight="1">
      <c r="G983" s="183"/>
      <c r="H983" s="183"/>
    </row>
    <row r="984" spans="7:8" ht="15.75" customHeight="1">
      <c r="G984" s="183"/>
      <c r="H984" s="183"/>
    </row>
    <row r="985" spans="7:8" ht="15.75" customHeight="1">
      <c r="G985" s="183"/>
      <c r="H985" s="183"/>
    </row>
    <row r="986" spans="7:8" ht="15.75" customHeight="1">
      <c r="G986" s="183"/>
      <c r="H986" s="183"/>
    </row>
    <row r="987" spans="7:8" ht="15.75" customHeight="1">
      <c r="G987" s="183"/>
      <c r="H987" s="183"/>
    </row>
    <row r="988" spans="7:8" ht="15.75" customHeight="1">
      <c r="G988" s="183"/>
      <c r="H988" s="183"/>
    </row>
    <row r="989" spans="7:8" ht="15.75" customHeight="1">
      <c r="G989" s="183"/>
      <c r="H989" s="183"/>
    </row>
    <row r="990" spans="7:8" ht="15.75" customHeight="1">
      <c r="G990" s="183"/>
      <c r="H990" s="183"/>
    </row>
    <row r="991" spans="7:8" ht="15.75" customHeight="1">
      <c r="G991" s="183"/>
      <c r="H991" s="183"/>
    </row>
    <row r="992" spans="7:8" ht="15.75" customHeight="1">
      <c r="G992" s="183"/>
      <c r="H992" s="183"/>
    </row>
    <row r="993" spans="7:8" ht="15.75" customHeight="1">
      <c r="G993" s="183"/>
      <c r="H993" s="183"/>
    </row>
    <row r="994" spans="7:8" ht="15.75" customHeight="1">
      <c r="G994" s="183"/>
      <c r="H994" s="183"/>
    </row>
    <row r="995" spans="7:8" ht="15.75" customHeight="1">
      <c r="G995" s="183"/>
      <c r="H995" s="183"/>
    </row>
    <row r="996" spans="7:8" ht="15.75" customHeight="1">
      <c r="G996" s="183"/>
      <c r="H996" s="183"/>
    </row>
    <row r="997" spans="7:8" ht="15.75" customHeight="1">
      <c r="G997" s="183"/>
      <c r="H997" s="183"/>
    </row>
    <row r="998" spans="7:8" ht="15.75" customHeight="1">
      <c r="G998" s="183"/>
      <c r="H998" s="183"/>
    </row>
    <row r="999" spans="7:8" ht="15.75" customHeight="1">
      <c r="G999" s="183"/>
      <c r="H999" s="183"/>
    </row>
    <row r="1000" spans="7:8" ht="15.75" customHeight="1">
      <c r="G1000" s="183"/>
      <c r="H1000" s="183"/>
    </row>
  </sheetData>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D9E2F3"/>
  </sheetPr>
  <dimension ref="A1:E1000"/>
  <sheetViews>
    <sheetView workbookViewId="0"/>
  </sheetViews>
  <sheetFormatPr baseColWidth="10" defaultColWidth="12.6640625" defaultRowHeight="15" customHeight="1"/>
  <cols>
    <col min="1" max="1" width="18" customWidth="1"/>
    <col min="2" max="2" width="21.6640625" customWidth="1"/>
    <col min="3" max="3" width="24" customWidth="1"/>
    <col min="4" max="4" width="21.6640625" customWidth="1"/>
    <col min="5" max="5" width="14.83203125" customWidth="1"/>
    <col min="6" max="26" width="7.6640625" customWidth="1"/>
  </cols>
  <sheetData>
    <row r="1" spans="1:5">
      <c r="A1" s="155" t="s">
        <v>154</v>
      </c>
      <c r="B1" s="251" t="s">
        <v>8676</v>
      </c>
      <c r="C1" s="155" t="s">
        <v>6088</v>
      </c>
      <c r="D1" s="155" t="s">
        <v>6089</v>
      </c>
      <c r="E1" s="252"/>
    </row>
    <row r="2" spans="1:5">
      <c r="A2" s="159" t="s">
        <v>8668</v>
      </c>
      <c r="B2" s="159" t="s">
        <v>8675</v>
      </c>
      <c r="C2" s="159" t="s">
        <v>8670</v>
      </c>
      <c r="D2" s="159" t="s">
        <v>7210</v>
      </c>
      <c r="E2" s="247"/>
    </row>
    <row r="3" spans="1:5">
      <c r="A3" s="159" t="s">
        <v>8668</v>
      </c>
      <c r="B3" s="159" t="s">
        <v>8675</v>
      </c>
      <c r="C3" s="159" t="s">
        <v>8677</v>
      </c>
      <c r="D3" s="159" t="s">
        <v>6212</v>
      </c>
    </row>
    <row r="4" spans="1:5">
      <c r="A4" s="159" t="s">
        <v>8668</v>
      </c>
      <c r="B4" s="159" t="s">
        <v>8675</v>
      </c>
      <c r="C4" s="159" t="s">
        <v>8671</v>
      </c>
      <c r="D4" s="159" t="s">
        <v>6212</v>
      </c>
    </row>
    <row r="5" spans="1:5">
      <c r="A5" s="159" t="s">
        <v>8668</v>
      </c>
      <c r="B5" s="159" t="s">
        <v>8675</v>
      </c>
      <c r="C5" s="159" t="s">
        <v>8678</v>
      </c>
      <c r="D5" s="159" t="s">
        <v>7210</v>
      </c>
    </row>
    <row r="6" spans="1:5">
      <c r="A6" s="159" t="s">
        <v>8668</v>
      </c>
      <c r="B6" s="159" t="s">
        <v>8675</v>
      </c>
      <c r="C6" s="159" t="s">
        <v>8679</v>
      </c>
      <c r="D6" s="159" t="s">
        <v>7210</v>
      </c>
    </row>
    <row r="7" spans="1:5">
      <c r="A7" s="159" t="s">
        <v>8668</v>
      </c>
      <c r="B7" s="159" t="s">
        <v>8675</v>
      </c>
      <c r="C7" s="159" t="s">
        <v>8680</v>
      </c>
      <c r="D7" s="159" t="s">
        <v>7210</v>
      </c>
    </row>
    <row r="8" spans="1:5">
      <c r="A8" s="159" t="s">
        <v>8668</v>
      </c>
      <c r="B8" s="159" t="s">
        <v>8675</v>
      </c>
      <c r="C8" s="159" t="s">
        <v>8681</v>
      </c>
      <c r="D8" s="159" t="s">
        <v>7210</v>
      </c>
    </row>
    <row r="9" spans="1:5">
      <c r="A9" s="159" t="s">
        <v>8668</v>
      </c>
      <c r="B9" s="159" t="s">
        <v>8675</v>
      </c>
      <c r="C9" s="159" t="s">
        <v>5099</v>
      </c>
      <c r="D9" s="159" t="s">
        <v>7210</v>
      </c>
    </row>
    <row r="10" spans="1:5">
      <c r="A10" s="159" t="s">
        <v>8668</v>
      </c>
      <c r="B10" s="159" t="s">
        <v>8675</v>
      </c>
      <c r="C10" s="159" t="s">
        <v>156</v>
      </c>
      <c r="D10" s="159" t="s">
        <v>7210</v>
      </c>
    </row>
    <row r="11" spans="1:5">
      <c r="A11" s="159" t="s">
        <v>8668</v>
      </c>
      <c r="B11" s="159" t="s">
        <v>8675</v>
      </c>
      <c r="C11" s="159" t="s">
        <v>8682</v>
      </c>
      <c r="D11" s="159" t="s">
        <v>7210</v>
      </c>
    </row>
    <row r="12" spans="1:5">
      <c r="A12" s="159" t="s">
        <v>8668</v>
      </c>
      <c r="B12" s="159" t="s">
        <v>8675</v>
      </c>
      <c r="C12" s="159" t="s">
        <v>8683</v>
      </c>
      <c r="D12" s="159" t="s">
        <v>7210</v>
      </c>
    </row>
    <row r="13" spans="1:5">
      <c r="A13" s="159" t="s">
        <v>8668</v>
      </c>
      <c r="B13" s="159" t="s">
        <v>8675</v>
      </c>
      <c r="C13" s="159" t="s">
        <v>8684</v>
      </c>
      <c r="D13" s="159" t="s">
        <v>7210</v>
      </c>
    </row>
    <row r="14" spans="1:5">
      <c r="A14" s="159" t="s">
        <v>8668</v>
      </c>
      <c r="B14" s="159" t="s">
        <v>8675</v>
      </c>
      <c r="C14" s="159" t="s">
        <v>3545</v>
      </c>
      <c r="D14" s="159" t="s">
        <v>7210</v>
      </c>
    </row>
    <row r="15" spans="1:5">
      <c r="A15" s="159" t="s">
        <v>8668</v>
      </c>
      <c r="B15" s="159" t="s">
        <v>8675</v>
      </c>
      <c r="C15" s="159" t="s">
        <v>1419</v>
      </c>
      <c r="D15" s="159" t="s">
        <v>7210</v>
      </c>
    </row>
    <row r="16" spans="1:5">
      <c r="A16" s="159" t="s">
        <v>8668</v>
      </c>
      <c r="B16" s="159" t="s">
        <v>8674</v>
      </c>
      <c r="C16" s="159" t="s">
        <v>8670</v>
      </c>
      <c r="D16" s="159" t="s">
        <v>7210</v>
      </c>
    </row>
    <row r="17" spans="1:4">
      <c r="A17" s="159" t="s">
        <v>8668</v>
      </c>
      <c r="B17" s="159" t="s">
        <v>8674</v>
      </c>
      <c r="C17" s="159" t="s">
        <v>8677</v>
      </c>
      <c r="D17" s="159" t="s">
        <v>6212</v>
      </c>
    </row>
    <row r="18" spans="1:4">
      <c r="A18" s="159" t="s">
        <v>8668</v>
      </c>
      <c r="B18" s="159" t="s">
        <v>8674</v>
      </c>
      <c r="C18" s="159" t="s">
        <v>8671</v>
      </c>
      <c r="D18" s="159" t="s">
        <v>6212</v>
      </c>
    </row>
    <row r="19" spans="1:4">
      <c r="A19" s="159" t="s">
        <v>8668</v>
      </c>
      <c r="B19" s="159" t="s">
        <v>8674</v>
      </c>
      <c r="C19" s="159" t="s">
        <v>8685</v>
      </c>
      <c r="D19" s="159" t="s">
        <v>7210</v>
      </c>
    </row>
    <row r="20" spans="1:4">
      <c r="A20" s="159" t="s">
        <v>8668</v>
      </c>
      <c r="B20" s="159" t="s">
        <v>8674</v>
      </c>
      <c r="C20" s="159" t="s">
        <v>5764</v>
      </c>
      <c r="D20" s="159" t="s">
        <v>7210</v>
      </c>
    </row>
    <row r="21" spans="1:4" ht="15.75" customHeight="1">
      <c r="A21" s="159" t="s">
        <v>8668</v>
      </c>
      <c r="B21" s="159" t="s">
        <v>8674</v>
      </c>
      <c r="C21" s="159" t="s">
        <v>5891</v>
      </c>
      <c r="D21" s="159" t="s">
        <v>7210</v>
      </c>
    </row>
    <row r="22" spans="1:4" ht="15.75" customHeight="1">
      <c r="A22" s="159" t="s">
        <v>8668</v>
      </c>
      <c r="B22" s="159" t="s">
        <v>8674</v>
      </c>
      <c r="C22" s="159" t="s">
        <v>8686</v>
      </c>
      <c r="D22" s="159" t="s">
        <v>8687</v>
      </c>
    </row>
    <row r="23" spans="1:4" ht="15.75" customHeight="1">
      <c r="A23" s="159" t="s">
        <v>8668</v>
      </c>
      <c r="B23" s="159" t="s">
        <v>8674</v>
      </c>
      <c r="C23" s="159" t="s">
        <v>8688</v>
      </c>
      <c r="D23" s="159" t="s">
        <v>7210</v>
      </c>
    </row>
    <row r="24" spans="1:4" ht="15.75" customHeight="1">
      <c r="A24" s="159" t="s">
        <v>8668</v>
      </c>
      <c r="B24" s="159" t="s">
        <v>8674</v>
      </c>
      <c r="C24" s="159" t="s">
        <v>8678</v>
      </c>
      <c r="D24" s="159" t="s">
        <v>7210</v>
      </c>
    </row>
    <row r="25" spans="1:4" ht="15.75" customHeight="1">
      <c r="A25" s="159" t="s">
        <v>8668</v>
      </c>
      <c r="B25" s="159" t="s">
        <v>8674</v>
      </c>
      <c r="C25" s="159" t="s">
        <v>8689</v>
      </c>
      <c r="D25" s="159" t="s">
        <v>7210</v>
      </c>
    </row>
    <row r="26" spans="1:4" ht="15.75" customHeight="1">
      <c r="A26" s="159" t="s">
        <v>8668</v>
      </c>
      <c r="B26" s="159" t="s">
        <v>8674</v>
      </c>
      <c r="C26" s="159" t="s">
        <v>8690</v>
      </c>
      <c r="D26" s="159" t="s">
        <v>7210</v>
      </c>
    </row>
    <row r="27" spans="1:4" ht="15.75" customHeight="1">
      <c r="A27" s="159" t="s">
        <v>8668</v>
      </c>
      <c r="B27" s="159" t="s">
        <v>8674</v>
      </c>
      <c r="C27" s="159" t="s">
        <v>8691</v>
      </c>
      <c r="D27" s="159" t="s">
        <v>6212</v>
      </c>
    </row>
    <row r="28" spans="1:4" ht="15.75" customHeight="1">
      <c r="A28" s="159" t="s">
        <v>8668</v>
      </c>
      <c r="B28" s="159" t="s">
        <v>8674</v>
      </c>
      <c r="C28" s="159" t="s">
        <v>8692</v>
      </c>
      <c r="D28" s="159" t="s">
        <v>6212</v>
      </c>
    </row>
    <row r="29" spans="1:4" ht="15.75" customHeight="1">
      <c r="A29" s="159" t="s">
        <v>8668</v>
      </c>
      <c r="B29" s="159" t="s">
        <v>102</v>
      </c>
      <c r="C29" s="159" t="s">
        <v>8670</v>
      </c>
      <c r="D29" s="159" t="s">
        <v>7210</v>
      </c>
    </row>
    <row r="30" spans="1:4" ht="15.75" customHeight="1">
      <c r="A30" s="159" t="s">
        <v>8668</v>
      </c>
      <c r="B30" s="159" t="s">
        <v>102</v>
      </c>
      <c r="C30" s="159" t="s">
        <v>8677</v>
      </c>
      <c r="D30" s="159" t="s">
        <v>6212</v>
      </c>
    </row>
    <row r="31" spans="1:4" ht="15.75" customHeight="1">
      <c r="A31" s="159" t="s">
        <v>8668</v>
      </c>
      <c r="B31" s="159" t="s">
        <v>102</v>
      </c>
      <c r="C31" s="159" t="s">
        <v>8671</v>
      </c>
      <c r="D31" s="159" t="s">
        <v>6212</v>
      </c>
    </row>
    <row r="32" spans="1:4" ht="15.75" customHeight="1">
      <c r="A32" s="159" t="s">
        <v>8668</v>
      </c>
      <c r="B32" s="159" t="s">
        <v>102</v>
      </c>
      <c r="C32" s="159" t="s">
        <v>8685</v>
      </c>
      <c r="D32" s="159" t="s">
        <v>7210</v>
      </c>
    </row>
    <row r="33" spans="1:4" ht="15.75" customHeight="1">
      <c r="A33" s="159" t="s">
        <v>8668</v>
      </c>
      <c r="B33" s="159" t="s">
        <v>102</v>
      </c>
      <c r="C33" s="159" t="s">
        <v>5764</v>
      </c>
      <c r="D33" s="159" t="s">
        <v>7210</v>
      </c>
    </row>
    <row r="34" spans="1:4" ht="15.75" customHeight="1">
      <c r="A34" s="159" t="s">
        <v>8668</v>
      </c>
      <c r="B34" s="159" t="s">
        <v>102</v>
      </c>
      <c r="C34" s="159" t="s">
        <v>5891</v>
      </c>
      <c r="D34" s="159" t="s">
        <v>7210</v>
      </c>
    </row>
    <row r="35" spans="1:4" ht="15.75" customHeight="1">
      <c r="A35" s="159" t="s">
        <v>8668</v>
      </c>
      <c r="B35" s="159" t="s">
        <v>102</v>
      </c>
      <c r="C35" s="159" t="s">
        <v>8686</v>
      </c>
      <c r="D35" s="159" t="s">
        <v>8687</v>
      </c>
    </row>
    <row r="36" spans="1:4" ht="15.75" customHeight="1">
      <c r="A36" s="159" t="s">
        <v>8668</v>
      </c>
      <c r="B36" s="159" t="s">
        <v>102</v>
      </c>
      <c r="C36" s="159" t="s">
        <v>8688</v>
      </c>
      <c r="D36" s="159" t="s">
        <v>7210</v>
      </c>
    </row>
    <row r="37" spans="1:4" ht="15.75" customHeight="1">
      <c r="A37" s="159" t="s">
        <v>8668</v>
      </c>
      <c r="B37" s="159" t="s">
        <v>102</v>
      </c>
      <c r="C37" s="159" t="s">
        <v>8690</v>
      </c>
      <c r="D37" s="159" t="s">
        <v>7210</v>
      </c>
    </row>
    <row r="38" spans="1:4" ht="15.75" customHeight="1">
      <c r="A38" s="159" t="s">
        <v>8668</v>
      </c>
      <c r="B38" s="159" t="s">
        <v>102</v>
      </c>
      <c r="C38" s="159" t="s">
        <v>8691</v>
      </c>
      <c r="D38" s="159" t="s">
        <v>6212</v>
      </c>
    </row>
    <row r="39" spans="1:4" ht="15.75" customHeight="1">
      <c r="A39" s="159" t="s">
        <v>8668</v>
      </c>
      <c r="B39" s="159" t="s">
        <v>102</v>
      </c>
      <c r="C39" s="159" t="s">
        <v>8692</v>
      </c>
      <c r="D39" s="159" t="s">
        <v>6212</v>
      </c>
    </row>
    <row r="40" spans="1:4" ht="15.75" customHeight="1">
      <c r="A40" s="159" t="s">
        <v>8668</v>
      </c>
      <c r="B40" s="159" t="s">
        <v>102</v>
      </c>
      <c r="C40" s="159" t="s">
        <v>8693</v>
      </c>
      <c r="D40" s="159" t="s">
        <v>7210</v>
      </c>
    </row>
    <row r="41" spans="1:4" ht="15.75" customHeight="1">
      <c r="A41" s="159" t="s">
        <v>8668</v>
      </c>
      <c r="B41" s="159" t="s">
        <v>102</v>
      </c>
      <c r="C41" s="159" t="s">
        <v>8694</v>
      </c>
      <c r="D41" s="159" t="s">
        <v>7210</v>
      </c>
    </row>
    <row r="42" spans="1:4" ht="15.75" customHeight="1">
      <c r="A42" s="159" t="s">
        <v>8668</v>
      </c>
      <c r="B42" s="159" t="s">
        <v>102</v>
      </c>
      <c r="C42" s="159" t="s">
        <v>1419</v>
      </c>
      <c r="D42" s="159" t="s">
        <v>7210</v>
      </c>
    </row>
    <row r="43" spans="1:4" ht="15.75" customHeight="1">
      <c r="A43" s="159" t="s">
        <v>8668</v>
      </c>
      <c r="B43" s="159" t="s">
        <v>8672</v>
      </c>
      <c r="C43" s="159" t="s">
        <v>8670</v>
      </c>
      <c r="D43" s="159" t="s">
        <v>7210</v>
      </c>
    </row>
    <row r="44" spans="1:4" ht="15.75" customHeight="1">
      <c r="A44" s="159" t="s">
        <v>8668</v>
      </c>
      <c r="B44" s="159" t="s">
        <v>8672</v>
      </c>
      <c r="C44" s="159" t="s">
        <v>8677</v>
      </c>
      <c r="D44" s="159" t="s">
        <v>6212</v>
      </c>
    </row>
    <row r="45" spans="1:4" ht="15.75" customHeight="1">
      <c r="A45" s="159" t="s">
        <v>8668</v>
      </c>
      <c r="B45" s="159" t="s">
        <v>8672</v>
      </c>
      <c r="C45" s="159" t="s">
        <v>8671</v>
      </c>
      <c r="D45" s="159" t="s">
        <v>6212</v>
      </c>
    </row>
    <row r="46" spans="1:4" ht="15.75" customHeight="1">
      <c r="A46" s="159" t="s">
        <v>8668</v>
      </c>
      <c r="B46" s="159" t="s">
        <v>8672</v>
      </c>
      <c r="C46" s="159" t="s">
        <v>8695</v>
      </c>
      <c r="D46" s="159" t="s">
        <v>7210</v>
      </c>
    </row>
    <row r="47" spans="1:4" ht="15.75" customHeight="1">
      <c r="A47" s="159" t="s">
        <v>8668</v>
      </c>
      <c r="B47" s="159" t="s">
        <v>8672</v>
      </c>
      <c r="C47" s="159" t="s">
        <v>8696</v>
      </c>
      <c r="D47" s="159" t="s">
        <v>8697</v>
      </c>
    </row>
    <row r="48" spans="1:4" ht="15.75" customHeight="1">
      <c r="A48" s="159" t="s">
        <v>8668</v>
      </c>
      <c r="B48" s="159" t="s">
        <v>8672</v>
      </c>
      <c r="C48" s="159" t="s">
        <v>8698</v>
      </c>
      <c r="D48" s="159" t="s">
        <v>7210</v>
      </c>
    </row>
    <row r="49" spans="1:4" ht="15.75" customHeight="1">
      <c r="A49" s="159" t="s">
        <v>8668</v>
      </c>
      <c r="B49" s="159" t="s">
        <v>8672</v>
      </c>
      <c r="C49" s="159" t="s">
        <v>8699</v>
      </c>
      <c r="D49" s="159" t="s">
        <v>7210</v>
      </c>
    </row>
    <row r="50" spans="1:4" ht="15.75" customHeight="1">
      <c r="A50" s="159" t="s">
        <v>8668</v>
      </c>
      <c r="B50" s="159" t="s">
        <v>8672</v>
      </c>
      <c r="C50" s="159" t="s">
        <v>8700</v>
      </c>
      <c r="D50" s="159" t="s">
        <v>7210</v>
      </c>
    </row>
    <row r="51" spans="1:4" ht="15.75" customHeight="1">
      <c r="A51" s="159" t="s">
        <v>8668</v>
      </c>
      <c r="B51" s="159" t="s">
        <v>8672</v>
      </c>
      <c r="C51" s="159" t="s">
        <v>8701</v>
      </c>
      <c r="D51" s="159" t="s">
        <v>7210</v>
      </c>
    </row>
    <row r="52" spans="1:4" ht="15.75" customHeight="1">
      <c r="A52" s="159" t="s">
        <v>8668</v>
      </c>
      <c r="B52" s="159" t="s">
        <v>8672</v>
      </c>
      <c r="C52" s="159" t="s">
        <v>8678</v>
      </c>
      <c r="D52" s="159" t="s">
        <v>7210</v>
      </c>
    </row>
    <row r="53" spans="1:4" ht="15.75" customHeight="1">
      <c r="A53" s="159" t="s">
        <v>8668</v>
      </c>
      <c r="B53" s="159" t="s">
        <v>8672</v>
      </c>
      <c r="C53" s="159" t="s">
        <v>8702</v>
      </c>
      <c r="D53" s="159" t="s">
        <v>7210</v>
      </c>
    </row>
    <row r="54" spans="1:4" ht="15.75" customHeight="1">
      <c r="A54" s="159" t="s">
        <v>8668</v>
      </c>
      <c r="B54" s="159" t="s">
        <v>8672</v>
      </c>
      <c r="C54" s="159" t="s">
        <v>8681</v>
      </c>
      <c r="D54" s="159" t="s">
        <v>7210</v>
      </c>
    </row>
    <row r="55" spans="1:4" ht="15.75" customHeight="1">
      <c r="A55" s="159" t="s">
        <v>8668</v>
      </c>
      <c r="B55" s="159" t="s">
        <v>8672</v>
      </c>
      <c r="C55" s="159" t="s">
        <v>5099</v>
      </c>
      <c r="D55" s="159" t="s">
        <v>7210</v>
      </c>
    </row>
    <row r="56" spans="1:4" ht="15.75" customHeight="1">
      <c r="A56" s="159" t="s">
        <v>8668</v>
      </c>
      <c r="B56" s="159" t="s">
        <v>8672</v>
      </c>
      <c r="C56" s="159" t="s">
        <v>8703</v>
      </c>
      <c r="D56" s="159" t="s">
        <v>7210</v>
      </c>
    </row>
    <row r="57" spans="1:4" ht="15.75" customHeight="1">
      <c r="A57" s="159" t="s">
        <v>8668</v>
      </c>
      <c r="B57" s="159" t="s">
        <v>8672</v>
      </c>
      <c r="C57" s="159" t="s">
        <v>8704</v>
      </c>
      <c r="D57" s="159" t="s">
        <v>7210</v>
      </c>
    </row>
    <row r="58" spans="1:4" ht="15.75" customHeight="1">
      <c r="A58" s="159" t="s">
        <v>8668</v>
      </c>
      <c r="B58" s="159" t="s">
        <v>8672</v>
      </c>
      <c r="C58" s="159" t="s">
        <v>156</v>
      </c>
      <c r="D58" s="159" t="s">
        <v>7210</v>
      </c>
    </row>
    <row r="59" spans="1:4" ht="15.75" customHeight="1">
      <c r="A59" s="159" t="s">
        <v>8668</v>
      </c>
      <c r="B59" s="159" t="s">
        <v>8672</v>
      </c>
      <c r="C59" s="159" t="s">
        <v>8705</v>
      </c>
      <c r="D59" s="159" t="s">
        <v>7210</v>
      </c>
    </row>
    <row r="60" spans="1:4" ht="15.75" customHeight="1">
      <c r="A60" s="159" t="s">
        <v>8668</v>
      </c>
      <c r="B60" s="159" t="s">
        <v>8672</v>
      </c>
      <c r="C60" s="159" t="s">
        <v>8706</v>
      </c>
      <c r="D60" s="159" t="s">
        <v>6212</v>
      </c>
    </row>
    <row r="61" spans="1:4" ht="15.75" customHeight="1">
      <c r="A61" s="159" t="s">
        <v>8668</v>
      </c>
      <c r="B61" s="159" t="s">
        <v>8672</v>
      </c>
      <c r="C61" s="159" t="s">
        <v>8707</v>
      </c>
      <c r="D61" s="159" t="s">
        <v>7210</v>
      </c>
    </row>
    <row r="62" spans="1:4" ht="15.75" customHeight="1">
      <c r="A62" s="159" t="s">
        <v>8668</v>
      </c>
      <c r="B62" s="159" t="s">
        <v>8672</v>
      </c>
      <c r="C62" s="159" t="s">
        <v>8684</v>
      </c>
      <c r="D62" s="159" t="s">
        <v>7210</v>
      </c>
    </row>
    <row r="63" spans="1:4" ht="15.75" customHeight="1">
      <c r="A63" s="159" t="s">
        <v>8668</v>
      </c>
      <c r="B63" s="159" t="s">
        <v>8672</v>
      </c>
      <c r="C63" s="159" t="s">
        <v>8673</v>
      </c>
      <c r="D63" s="159" t="s">
        <v>6212</v>
      </c>
    </row>
    <row r="64" spans="1:4" ht="15.75" customHeight="1">
      <c r="A64" s="159" t="s">
        <v>8668</v>
      </c>
      <c r="B64" s="159" t="s">
        <v>8672</v>
      </c>
      <c r="C64" s="159" t="s">
        <v>3545</v>
      </c>
      <c r="D64" s="159" t="s">
        <v>7210</v>
      </c>
    </row>
    <row r="65" spans="1:4" ht="15.75" customHeight="1">
      <c r="A65" s="159" t="s">
        <v>8668</v>
      </c>
      <c r="B65" s="159" t="s">
        <v>8672</v>
      </c>
      <c r="C65" s="159" t="s">
        <v>8708</v>
      </c>
      <c r="D65" s="159" t="s">
        <v>7210</v>
      </c>
    </row>
    <row r="66" spans="1:4" ht="15.75" customHeight="1">
      <c r="A66" s="159" t="s">
        <v>8668</v>
      </c>
      <c r="B66" s="159" t="s">
        <v>8669</v>
      </c>
      <c r="C66" s="159" t="s">
        <v>8670</v>
      </c>
      <c r="D66" s="159" t="s">
        <v>7210</v>
      </c>
    </row>
    <row r="67" spans="1:4" ht="15.75" customHeight="1">
      <c r="A67" s="159" t="s">
        <v>8668</v>
      </c>
      <c r="B67" s="159" t="s">
        <v>8669</v>
      </c>
      <c r="C67" s="159" t="s">
        <v>8677</v>
      </c>
      <c r="D67" s="159" t="s">
        <v>6212</v>
      </c>
    </row>
    <row r="68" spans="1:4" ht="15.75" customHeight="1">
      <c r="A68" s="159" t="s">
        <v>8668</v>
      </c>
      <c r="B68" s="159" t="s">
        <v>8669</v>
      </c>
      <c r="C68" s="159" t="s">
        <v>8671</v>
      </c>
      <c r="D68" s="159" t="s">
        <v>6212</v>
      </c>
    </row>
    <row r="69" spans="1:4" ht="15.75" customHeight="1">
      <c r="A69" s="159" t="s">
        <v>8668</v>
      </c>
      <c r="B69" s="159" t="s">
        <v>8669</v>
      </c>
      <c r="C69" s="159" t="s">
        <v>5099</v>
      </c>
      <c r="D69" s="159" t="s">
        <v>7210</v>
      </c>
    </row>
    <row r="70" spans="1:4" ht="15.75" customHeight="1">
      <c r="A70" s="159" t="s">
        <v>8668</v>
      </c>
      <c r="B70" s="159" t="s">
        <v>8669</v>
      </c>
      <c r="C70" s="159" t="s">
        <v>156</v>
      </c>
      <c r="D70" s="159" t="s">
        <v>7210</v>
      </c>
    </row>
    <row r="71" spans="1:4" ht="15.75" customHeight="1">
      <c r="A71" s="159" t="s">
        <v>8668</v>
      </c>
      <c r="B71" s="159" t="s">
        <v>8669</v>
      </c>
      <c r="C71" s="159" t="s">
        <v>8709</v>
      </c>
      <c r="D71" s="159" t="s">
        <v>7210</v>
      </c>
    </row>
    <row r="72" spans="1:4" ht="15.75" customHeight="1">
      <c r="A72" s="159" t="s">
        <v>8668</v>
      </c>
      <c r="B72" s="159" t="s">
        <v>8669</v>
      </c>
      <c r="C72" s="159" t="s">
        <v>7223</v>
      </c>
      <c r="D72" s="159" t="s">
        <v>7210</v>
      </c>
    </row>
    <row r="73" spans="1:4" ht="15.75" customHeight="1">
      <c r="A73" s="159" t="s">
        <v>8668</v>
      </c>
      <c r="B73" s="159" t="s">
        <v>8669</v>
      </c>
      <c r="C73" s="159" t="s">
        <v>8710</v>
      </c>
      <c r="D73" s="159" t="s">
        <v>7210</v>
      </c>
    </row>
    <row r="74" spans="1:4" ht="15.75" customHeight="1">
      <c r="A74" s="159" t="s">
        <v>8668</v>
      </c>
      <c r="B74" s="159" t="s">
        <v>8669</v>
      </c>
      <c r="C74" s="159" t="s">
        <v>8711</v>
      </c>
      <c r="D74" s="159" t="s">
        <v>7210</v>
      </c>
    </row>
    <row r="75" spans="1:4" ht="15.75" customHeight="1">
      <c r="A75" s="159" t="s">
        <v>8668</v>
      </c>
      <c r="B75" s="159" t="s">
        <v>8669</v>
      </c>
      <c r="C75" s="159" t="s">
        <v>2225</v>
      </c>
      <c r="D75" s="159" t="s">
        <v>7210</v>
      </c>
    </row>
    <row r="76" spans="1:4" ht="15.75" customHeight="1">
      <c r="A76" s="159" t="s">
        <v>8668</v>
      </c>
      <c r="B76" s="159" t="s">
        <v>8669</v>
      </c>
      <c r="C76" s="159" t="s">
        <v>3948</v>
      </c>
      <c r="D76" s="159" t="s">
        <v>7210</v>
      </c>
    </row>
    <row r="77" spans="1:4" ht="15.75" customHeight="1">
      <c r="A77" s="159" t="s">
        <v>8668</v>
      </c>
      <c r="B77" s="159" t="s">
        <v>8669</v>
      </c>
      <c r="C77" s="159" t="s">
        <v>8712</v>
      </c>
      <c r="D77" s="159" t="s">
        <v>7210</v>
      </c>
    </row>
    <row r="78" spans="1:4" ht="15.75" customHeight="1">
      <c r="A78" s="159" t="s">
        <v>8668</v>
      </c>
      <c r="B78" s="159" t="s">
        <v>8669</v>
      </c>
      <c r="C78" s="159" t="s">
        <v>8713</v>
      </c>
      <c r="D78" s="159" t="s">
        <v>7210</v>
      </c>
    </row>
    <row r="79" spans="1:4" ht="15.75" customHeight="1">
      <c r="A79" s="159" t="s">
        <v>8668</v>
      </c>
      <c r="B79" s="159" t="s">
        <v>8669</v>
      </c>
      <c r="C79" s="159" t="s">
        <v>5601</v>
      </c>
      <c r="D79" s="159" t="s">
        <v>7210</v>
      </c>
    </row>
    <row r="80" spans="1:4" ht="15.75" customHeight="1">
      <c r="A80" s="159" t="s">
        <v>8668</v>
      </c>
      <c r="B80" s="159" t="s">
        <v>8669</v>
      </c>
      <c r="C80" s="159" t="s">
        <v>8714</v>
      </c>
      <c r="D80" s="159" t="s">
        <v>7210</v>
      </c>
    </row>
    <row r="81" spans="1:4" ht="15.75" customHeight="1">
      <c r="A81" s="159" t="s">
        <v>8668</v>
      </c>
      <c r="B81" s="159" t="s">
        <v>8669</v>
      </c>
      <c r="C81" s="159" t="s">
        <v>8715</v>
      </c>
      <c r="D81" s="159" t="s">
        <v>7210</v>
      </c>
    </row>
    <row r="82" spans="1:4" ht="15.75" customHeight="1">
      <c r="A82" s="159" t="s">
        <v>8668</v>
      </c>
      <c r="B82" s="159" t="s">
        <v>8669</v>
      </c>
      <c r="C82" s="159" t="s">
        <v>8716</v>
      </c>
      <c r="D82" s="159" t="s">
        <v>7210</v>
      </c>
    </row>
    <row r="83" spans="1:4" ht="15.75" customHeight="1">
      <c r="A83" s="159" t="s">
        <v>8668</v>
      </c>
      <c r="B83" s="159" t="s">
        <v>8669</v>
      </c>
      <c r="C83" s="159" t="s">
        <v>2226</v>
      </c>
      <c r="D83" s="159" t="s">
        <v>7210</v>
      </c>
    </row>
    <row r="84" spans="1:4" ht="15.75" customHeight="1">
      <c r="A84" s="159" t="s">
        <v>8668</v>
      </c>
      <c r="B84" s="159" t="s">
        <v>8669</v>
      </c>
      <c r="C84" s="159" t="s">
        <v>1419</v>
      </c>
      <c r="D84" s="159" t="s">
        <v>7210</v>
      </c>
    </row>
    <row r="85" spans="1:4" ht="15.75" customHeight="1"/>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4" xr:uid="{00000000-0009-0000-0000-000017000000}"/>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L1000"/>
  <sheetViews>
    <sheetView workbookViewId="0"/>
  </sheetViews>
  <sheetFormatPr baseColWidth="10" defaultColWidth="12.6640625" defaultRowHeight="15" customHeight="1"/>
  <cols>
    <col min="1" max="1" width="13" customWidth="1"/>
    <col min="2" max="2" width="16.1640625" customWidth="1"/>
    <col min="3" max="3" width="23.5" customWidth="1"/>
    <col min="4" max="4" width="12.6640625" customWidth="1"/>
    <col min="5" max="5" width="14.1640625" customWidth="1"/>
    <col min="6" max="6" width="12.1640625" customWidth="1"/>
    <col min="7" max="7" width="10.6640625" customWidth="1"/>
    <col min="8" max="8" width="19.5" customWidth="1"/>
    <col min="9" max="9" width="16.83203125" customWidth="1"/>
    <col min="10" max="10" width="13.6640625" customWidth="1"/>
    <col min="11" max="11" width="27.1640625" customWidth="1"/>
    <col min="12" max="12" width="18.1640625" customWidth="1"/>
    <col min="13" max="22" width="7.6640625" customWidth="1"/>
  </cols>
  <sheetData>
    <row r="1" spans="1:12">
      <c r="A1" s="253" t="s">
        <v>154</v>
      </c>
      <c r="B1" s="253" t="s">
        <v>155</v>
      </c>
      <c r="C1" s="253" t="s">
        <v>156</v>
      </c>
      <c r="D1" s="253" t="s">
        <v>157</v>
      </c>
      <c r="E1" s="254" t="s">
        <v>8717</v>
      </c>
      <c r="F1" s="255" t="s">
        <v>3630</v>
      </c>
      <c r="G1" s="245" t="s">
        <v>164</v>
      </c>
      <c r="H1" s="176" t="s">
        <v>165</v>
      </c>
      <c r="I1" s="176" t="s">
        <v>3632</v>
      </c>
      <c r="J1" s="103" t="s">
        <v>166</v>
      </c>
      <c r="K1" s="104" t="s">
        <v>167</v>
      </c>
      <c r="L1" s="105" t="s">
        <v>168</v>
      </c>
    </row>
    <row r="2" spans="1:12">
      <c r="A2" s="133" t="s">
        <v>8718</v>
      </c>
      <c r="B2" s="133" t="s">
        <v>4032</v>
      </c>
      <c r="C2" s="133" t="s">
        <v>8719</v>
      </c>
      <c r="D2" s="98">
        <v>752</v>
      </c>
      <c r="E2" s="133">
        <v>0.85683600000000004</v>
      </c>
      <c r="F2" s="133">
        <v>24</v>
      </c>
      <c r="G2" s="160"/>
      <c r="H2" s="133" t="s">
        <v>173</v>
      </c>
      <c r="I2" s="133"/>
      <c r="J2" s="98" t="s">
        <v>8670</v>
      </c>
      <c r="K2" s="98" t="s">
        <v>8720</v>
      </c>
      <c r="L2" s="208" t="s">
        <v>176</v>
      </c>
    </row>
    <row r="3" spans="1:12">
      <c r="A3" s="133" t="s">
        <v>8718</v>
      </c>
      <c r="B3" s="133" t="s">
        <v>4032</v>
      </c>
      <c r="C3" s="133" t="s">
        <v>5671</v>
      </c>
      <c r="D3" s="98">
        <v>600</v>
      </c>
      <c r="E3" s="133">
        <v>0.336621</v>
      </c>
      <c r="F3" s="133">
        <v>44</v>
      </c>
      <c r="G3" s="160"/>
      <c r="H3" s="133" t="s">
        <v>173</v>
      </c>
      <c r="I3" s="133"/>
      <c r="J3" s="98" t="s">
        <v>8670</v>
      </c>
      <c r="K3" s="98" t="s">
        <v>8720</v>
      </c>
      <c r="L3" s="208" t="s">
        <v>176</v>
      </c>
    </row>
    <row r="4" spans="1:12">
      <c r="A4" s="133" t="s">
        <v>8718</v>
      </c>
      <c r="B4" s="133" t="s">
        <v>4032</v>
      </c>
      <c r="C4" s="133" t="s">
        <v>8721</v>
      </c>
      <c r="D4" s="98">
        <v>1932</v>
      </c>
      <c r="E4" s="133">
        <v>5.4</v>
      </c>
      <c r="F4" s="133">
        <v>64</v>
      </c>
      <c r="G4" s="160"/>
      <c r="H4" s="133" t="s">
        <v>173</v>
      </c>
      <c r="I4" s="133"/>
      <c r="J4" s="98" t="s">
        <v>8670</v>
      </c>
      <c r="K4" s="98" t="s">
        <v>8720</v>
      </c>
      <c r="L4" s="208" t="s">
        <v>176</v>
      </c>
    </row>
    <row r="5" spans="1:12">
      <c r="A5" s="133" t="s">
        <v>8718</v>
      </c>
      <c r="B5" s="133" t="s">
        <v>4032</v>
      </c>
      <c r="C5" s="133" t="s">
        <v>8722</v>
      </c>
      <c r="D5" s="98">
        <v>837</v>
      </c>
      <c r="E5" s="133">
        <v>2.1</v>
      </c>
      <c r="F5" s="133">
        <v>52</v>
      </c>
      <c r="G5" s="160"/>
      <c r="H5" s="133" t="s">
        <v>173</v>
      </c>
      <c r="I5" s="133"/>
      <c r="J5" s="98" t="s">
        <v>8670</v>
      </c>
      <c r="K5" s="98" t="s">
        <v>8720</v>
      </c>
      <c r="L5" s="208" t="s">
        <v>176</v>
      </c>
    </row>
    <row r="6" spans="1:12">
      <c r="A6" s="133" t="s">
        <v>8718</v>
      </c>
      <c r="B6" s="133" t="s">
        <v>4032</v>
      </c>
      <c r="C6" s="133" t="s">
        <v>8723</v>
      </c>
      <c r="D6" s="98">
        <v>6115</v>
      </c>
      <c r="E6" s="133">
        <v>7.5</v>
      </c>
      <c r="F6" s="133">
        <v>140</v>
      </c>
      <c r="G6" s="160"/>
      <c r="H6" s="133" t="s">
        <v>173</v>
      </c>
      <c r="I6" s="133"/>
      <c r="J6" s="98" t="s">
        <v>8670</v>
      </c>
      <c r="K6" s="98" t="s">
        <v>8720</v>
      </c>
      <c r="L6" s="208" t="s">
        <v>176</v>
      </c>
    </row>
    <row r="7" spans="1:12">
      <c r="A7" s="133" t="s">
        <v>8718</v>
      </c>
      <c r="B7" s="133" t="s">
        <v>4032</v>
      </c>
      <c r="C7" s="133" t="s">
        <v>8724</v>
      </c>
      <c r="D7" s="98">
        <v>988</v>
      </c>
      <c r="E7" s="133">
        <v>3</v>
      </c>
      <c r="F7" s="133">
        <v>56</v>
      </c>
      <c r="G7" s="160"/>
      <c r="H7" s="133" t="s">
        <v>173</v>
      </c>
      <c r="I7" s="133"/>
      <c r="J7" s="98" t="s">
        <v>8670</v>
      </c>
      <c r="K7" s="98" t="s">
        <v>8720</v>
      </c>
      <c r="L7" s="208" t="s">
        <v>176</v>
      </c>
    </row>
    <row r="8" spans="1:12">
      <c r="A8" s="98" t="s">
        <v>8725</v>
      </c>
      <c r="B8" s="98" t="s">
        <v>4032</v>
      </c>
      <c r="C8" s="191" t="s">
        <v>8726</v>
      </c>
      <c r="D8" s="98">
        <v>141526</v>
      </c>
      <c r="E8" s="98">
        <v>2867.2</v>
      </c>
      <c r="F8" s="256">
        <v>3481.6</v>
      </c>
      <c r="G8" s="257"/>
      <c r="H8" s="176" t="s">
        <v>173</v>
      </c>
      <c r="I8" s="183"/>
      <c r="J8" s="98" t="s">
        <v>8670</v>
      </c>
      <c r="K8" s="98" t="s">
        <v>8720</v>
      </c>
      <c r="L8" s="208" t="s">
        <v>176</v>
      </c>
    </row>
    <row r="9" spans="1:12">
      <c r="C9" s="159"/>
      <c r="F9" s="258"/>
      <c r="G9" s="257"/>
      <c r="H9" s="183"/>
      <c r="I9" s="183"/>
    </row>
    <row r="10" spans="1:12">
      <c r="C10" s="159"/>
      <c r="F10" s="258"/>
      <c r="G10" s="257"/>
      <c r="H10" s="183"/>
      <c r="I10" s="183"/>
    </row>
    <row r="11" spans="1:12">
      <c r="C11" s="159"/>
      <c r="F11" s="258"/>
      <c r="G11" s="257"/>
      <c r="H11" s="183"/>
      <c r="I11" s="183"/>
    </row>
    <row r="12" spans="1:12">
      <c r="C12" s="159"/>
      <c r="F12" s="258"/>
      <c r="G12" s="257"/>
      <c r="H12" s="183"/>
      <c r="I12" s="183"/>
    </row>
    <row r="13" spans="1:12">
      <c r="C13" s="159"/>
      <c r="F13" s="258"/>
      <c r="G13" s="257"/>
      <c r="H13" s="183"/>
      <c r="I13" s="183"/>
    </row>
    <row r="14" spans="1:12">
      <c r="C14" s="159"/>
      <c r="F14" s="258"/>
      <c r="G14" s="257"/>
      <c r="H14" s="183"/>
      <c r="I14" s="183"/>
    </row>
    <row r="15" spans="1:12">
      <c r="C15" s="159"/>
      <c r="F15" s="258"/>
      <c r="G15" s="257"/>
      <c r="H15" s="183"/>
      <c r="I15" s="183"/>
    </row>
    <row r="16" spans="1:12">
      <c r="C16" s="159"/>
      <c r="F16" s="258"/>
      <c r="G16" s="257"/>
      <c r="H16" s="183"/>
      <c r="I16" s="183"/>
    </row>
    <row r="17" spans="3:9">
      <c r="C17" s="159"/>
      <c r="F17" s="258"/>
      <c r="G17" s="257"/>
      <c r="H17" s="183"/>
      <c r="I17" s="183"/>
    </row>
    <row r="18" spans="3:9">
      <c r="C18" s="159"/>
      <c r="F18" s="258"/>
      <c r="G18" s="257"/>
      <c r="H18" s="183"/>
      <c r="I18" s="183"/>
    </row>
    <row r="19" spans="3:9">
      <c r="C19" s="159"/>
      <c r="F19" s="258"/>
      <c r="G19" s="257"/>
      <c r="H19" s="183"/>
      <c r="I19" s="183"/>
    </row>
    <row r="20" spans="3:9">
      <c r="C20" s="159"/>
      <c r="F20" s="258"/>
      <c r="G20" s="257"/>
      <c r="H20" s="183"/>
      <c r="I20" s="183"/>
    </row>
    <row r="21" spans="3:9" ht="15.75" customHeight="1">
      <c r="C21" s="159"/>
      <c r="F21" s="258"/>
      <c r="G21" s="257"/>
      <c r="H21" s="183"/>
      <c r="I21" s="183"/>
    </row>
    <row r="22" spans="3:9" ht="15.75" customHeight="1">
      <c r="C22" s="159"/>
      <c r="F22" s="258"/>
      <c r="G22" s="257"/>
      <c r="H22" s="183"/>
      <c r="I22" s="183"/>
    </row>
    <row r="23" spans="3:9" ht="15.75" customHeight="1">
      <c r="C23" s="159"/>
      <c r="F23" s="258"/>
      <c r="G23" s="257"/>
      <c r="H23" s="183"/>
      <c r="I23" s="183"/>
    </row>
    <row r="24" spans="3:9" ht="15.75" customHeight="1">
      <c r="C24" s="159"/>
      <c r="F24" s="258"/>
      <c r="G24" s="257"/>
      <c r="H24" s="183"/>
      <c r="I24" s="183"/>
    </row>
    <row r="25" spans="3:9" ht="15.75" customHeight="1">
      <c r="C25" s="159"/>
      <c r="F25" s="258"/>
      <c r="G25" s="257"/>
      <c r="H25" s="183"/>
      <c r="I25" s="183"/>
    </row>
    <row r="26" spans="3:9" ht="15.75" customHeight="1">
      <c r="C26" s="159"/>
      <c r="F26" s="258"/>
      <c r="G26" s="257"/>
      <c r="H26" s="183"/>
      <c r="I26" s="183"/>
    </row>
    <row r="27" spans="3:9" ht="15.75" customHeight="1">
      <c r="C27" s="159"/>
      <c r="F27" s="258"/>
      <c r="G27" s="257"/>
      <c r="H27" s="183"/>
      <c r="I27" s="183"/>
    </row>
    <row r="28" spans="3:9" ht="15.75" customHeight="1">
      <c r="C28" s="159"/>
      <c r="F28" s="258"/>
      <c r="G28" s="257"/>
      <c r="H28" s="183"/>
      <c r="I28" s="183"/>
    </row>
    <row r="29" spans="3:9" ht="15.75" customHeight="1">
      <c r="C29" s="159"/>
      <c r="F29" s="258"/>
      <c r="G29" s="257"/>
      <c r="H29" s="183"/>
      <c r="I29" s="183"/>
    </row>
    <row r="30" spans="3:9" ht="15.75" customHeight="1">
      <c r="C30" s="159"/>
      <c r="F30" s="258"/>
      <c r="G30" s="257"/>
      <c r="H30" s="183"/>
      <c r="I30" s="183"/>
    </row>
    <row r="31" spans="3:9" ht="15.75" customHeight="1">
      <c r="C31" s="159"/>
      <c r="F31" s="258"/>
      <c r="G31" s="257"/>
      <c r="H31" s="183"/>
      <c r="I31" s="183"/>
    </row>
    <row r="32" spans="3:9" ht="15.75" customHeight="1">
      <c r="C32" s="159"/>
      <c r="F32" s="258"/>
      <c r="G32" s="257"/>
      <c r="H32" s="183"/>
      <c r="I32" s="183"/>
    </row>
    <row r="33" spans="3:9" ht="15.75" customHeight="1">
      <c r="C33" s="159"/>
      <c r="F33" s="258"/>
      <c r="G33" s="257"/>
      <c r="H33" s="183"/>
      <c r="I33" s="183"/>
    </row>
    <row r="34" spans="3:9" ht="15.75" customHeight="1">
      <c r="C34" s="159"/>
      <c r="F34" s="258"/>
      <c r="G34" s="257"/>
      <c r="H34" s="183"/>
      <c r="I34" s="183"/>
    </row>
    <row r="35" spans="3:9" ht="15.75" customHeight="1">
      <c r="C35" s="159"/>
      <c r="F35" s="258"/>
      <c r="G35" s="257"/>
      <c r="H35" s="183"/>
      <c r="I35" s="183"/>
    </row>
    <row r="36" spans="3:9" ht="15.75" customHeight="1">
      <c r="F36" s="259"/>
      <c r="H36" s="183"/>
      <c r="I36" s="183"/>
    </row>
    <row r="37" spans="3:9" ht="15.75" customHeight="1">
      <c r="F37" s="259"/>
      <c r="H37" s="183"/>
      <c r="I37" s="183"/>
    </row>
    <row r="38" spans="3:9" ht="15.75" customHeight="1">
      <c r="F38" s="259"/>
      <c r="H38" s="183"/>
      <c r="I38" s="183"/>
    </row>
    <row r="39" spans="3:9" ht="15.75" customHeight="1">
      <c r="F39" s="259"/>
      <c r="H39" s="183"/>
      <c r="I39" s="183"/>
    </row>
    <row r="40" spans="3:9" ht="15.75" customHeight="1">
      <c r="F40" s="259"/>
      <c r="H40" s="183"/>
      <c r="I40" s="183"/>
    </row>
    <row r="41" spans="3:9" ht="15.75" customHeight="1">
      <c r="F41" s="259"/>
      <c r="H41" s="183"/>
      <c r="I41" s="183"/>
    </row>
    <row r="42" spans="3:9" ht="15.75" customHeight="1">
      <c r="F42" s="259"/>
      <c r="H42" s="183"/>
      <c r="I42" s="183"/>
    </row>
    <row r="43" spans="3:9" ht="15.75" customHeight="1">
      <c r="F43" s="259"/>
      <c r="H43" s="183"/>
      <c r="I43" s="183"/>
    </row>
    <row r="44" spans="3:9" ht="15.75" customHeight="1">
      <c r="F44" s="259"/>
      <c r="H44" s="183"/>
      <c r="I44" s="183"/>
    </row>
    <row r="45" spans="3:9" ht="15.75" customHeight="1">
      <c r="F45" s="259"/>
      <c r="H45" s="183"/>
      <c r="I45" s="183"/>
    </row>
    <row r="46" spans="3:9" ht="15.75" customHeight="1">
      <c r="F46" s="259"/>
      <c r="H46" s="183"/>
      <c r="I46" s="183"/>
    </row>
    <row r="47" spans="3:9" ht="15.75" customHeight="1">
      <c r="F47" s="259"/>
      <c r="H47" s="183"/>
      <c r="I47" s="183"/>
    </row>
    <row r="48" spans="3:9" ht="15.75" customHeight="1">
      <c r="F48" s="259"/>
      <c r="H48" s="183"/>
      <c r="I48" s="183"/>
    </row>
    <row r="49" spans="6:9" ht="15.75" customHeight="1">
      <c r="F49" s="259"/>
      <c r="H49" s="183"/>
      <c r="I49" s="183"/>
    </row>
    <row r="50" spans="6:9" ht="15.75" customHeight="1">
      <c r="F50" s="259"/>
      <c r="H50" s="183"/>
      <c r="I50" s="183"/>
    </row>
    <row r="51" spans="6:9" ht="15.75" customHeight="1">
      <c r="F51" s="259"/>
      <c r="H51" s="183"/>
      <c r="I51" s="183"/>
    </row>
    <row r="52" spans="6:9" ht="15.75" customHeight="1">
      <c r="F52" s="259"/>
      <c r="H52" s="183"/>
      <c r="I52" s="183"/>
    </row>
    <row r="53" spans="6:9" ht="15.75" customHeight="1">
      <c r="F53" s="259"/>
      <c r="H53" s="183"/>
      <c r="I53" s="183"/>
    </row>
    <row r="54" spans="6:9" ht="15.75" customHeight="1">
      <c r="F54" s="259"/>
      <c r="H54" s="183"/>
      <c r="I54" s="183"/>
    </row>
    <row r="55" spans="6:9" ht="15.75" customHeight="1">
      <c r="F55" s="259"/>
      <c r="H55" s="183"/>
      <c r="I55" s="183"/>
    </row>
    <row r="56" spans="6:9" ht="15.75" customHeight="1">
      <c r="F56" s="259"/>
      <c r="H56" s="183"/>
      <c r="I56" s="183"/>
    </row>
    <row r="57" spans="6:9" ht="15.75" customHeight="1">
      <c r="F57" s="259"/>
      <c r="H57" s="183"/>
      <c r="I57" s="183"/>
    </row>
    <row r="58" spans="6:9" ht="15.75" customHeight="1">
      <c r="F58" s="259"/>
      <c r="H58" s="183"/>
      <c r="I58" s="183"/>
    </row>
    <row r="59" spans="6:9" ht="15.75" customHeight="1">
      <c r="F59" s="259"/>
      <c r="H59" s="183"/>
      <c r="I59" s="183"/>
    </row>
    <row r="60" spans="6:9" ht="15.75" customHeight="1">
      <c r="F60" s="259"/>
      <c r="H60" s="183"/>
      <c r="I60" s="183"/>
    </row>
    <row r="61" spans="6:9" ht="15.75" customHeight="1">
      <c r="F61" s="259"/>
      <c r="H61" s="183"/>
      <c r="I61" s="183"/>
    </row>
    <row r="62" spans="6:9" ht="15.75" customHeight="1">
      <c r="F62" s="259"/>
      <c r="H62" s="183"/>
      <c r="I62" s="183"/>
    </row>
    <row r="63" spans="6:9" ht="15.75" customHeight="1">
      <c r="F63" s="259"/>
      <c r="H63" s="183"/>
      <c r="I63" s="183"/>
    </row>
    <row r="64" spans="6:9" ht="15.75" customHeight="1">
      <c r="F64" s="259"/>
      <c r="H64" s="183"/>
      <c r="I64" s="183"/>
    </row>
    <row r="65" spans="6:9" ht="15.75" customHeight="1">
      <c r="F65" s="259"/>
      <c r="H65" s="183"/>
      <c r="I65" s="183"/>
    </row>
    <row r="66" spans="6:9" ht="15.75" customHeight="1">
      <c r="F66" s="259"/>
      <c r="H66" s="183"/>
      <c r="I66" s="183"/>
    </row>
    <row r="67" spans="6:9" ht="15.75" customHeight="1">
      <c r="F67" s="259"/>
      <c r="H67" s="183"/>
      <c r="I67" s="183"/>
    </row>
    <row r="68" spans="6:9" ht="15.75" customHeight="1">
      <c r="F68" s="259"/>
      <c r="H68" s="183"/>
      <c r="I68" s="183"/>
    </row>
    <row r="69" spans="6:9" ht="15.75" customHeight="1">
      <c r="F69" s="259"/>
      <c r="H69" s="183"/>
      <c r="I69" s="183"/>
    </row>
    <row r="70" spans="6:9" ht="15.75" customHeight="1">
      <c r="F70" s="259"/>
      <c r="H70" s="183"/>
      <c r="I70" s="183"/>
    </row>
    <row r="71" spans="6:9" ht="15.75" customHeight="1">
      <c r="F71" s="259"/>
      <c r="H71" s="183"/>
      <c r="I71" s="183"/>
    </row>
    <row r="72" spans="6:9" ht="15.75" customHeight="1">
      <c r="F72" s="259"/>
      <c r="H72" s="183"/>
      <c r="I72" s="183"/>
    </row>
    <row r="73" spans="6:9" ht="15.75" customHeight="1">
      <c r="F73" s="259"/>
      <c r="H73" s="183"/>
      <c r="I73" s="183"/>
    </row>
    <row r="74" spans="6:9" ht="15.75" customHeight="1">
      <c r="F74" s="259"/>
      <c r="H74" s="183"/>
      <c r="I74" s="183"/>
    </row>
    <row r="75" spans="6:9" ht="15.75" customHeight="1">
      <c r="F75" s="259"/>
      <c r="H75" s="183"/>
      <c r="I75" s="183"/>
    </row>
    <row r="76" spans="6:9" ht="15.75" customHeight="1">
      <c r="F76" s="259"/>
      <c r="H76" s="183"/>
      <c r="I76" s="183"/>
    </row>
    <row r="77" spans="6:9" ht="15.75" customHeight="1">
      <c r="F77" s="259"/>
      <c r="H77" s="183"/>
      <c r="I77" s="183"/>
    </row>
    <row r="78" spans="6:9" ht="15.75" customHeight="1">
      <c r="F78" s="259"/>
      <c r="H78" s="183"/>
      <c r="I78" s="183"/>
    </row>
    <row r="79" spans="6:9" ht="15.75" customHeight="1">
      <c r="F79" s="259"/>
      <c r="H79" s="183"/>
      <c r="I79" s="183"/>
    </row>
    <row r="80" spans="6:9" ht="15.75" customHeight="1">
      <c r="F80" s="259"/>
      <c r="H80" s="183"/>
      <c r="I80" s="183"/>
    </row>
    <row r="81" spans="6:9" ht="15.75" customHeight="1">
      <c r="F81" s="259"/>
      <c r="H81" s="183"/>
      <c r="I81" s="183"/>
    </row>
    <row r="82" spans="6:9" ht="15.75" customHeight="1">
      <c r="F82" s="259"/>
      <c r="H82" s="183"/>
      <c r="I82" s="183"/>
    </row>
    <row r="83" spans="6:9" ht="15.75" customHeight="1">
      <c r="F83" s="259"/>
      <c r="H83" s="183"/>
      <c r="I83" s="183"/>
    </row>
    <row r="84" spans="6:9" ht="15.75" customHeight="1">
      <c r="F84" s="259"/>
      <c r="H84" s="183"/>
      <c r="I84" s="183"/>
    </row>
    <row r="85" spans="6:9" ht="15.75" customHeight="1">
      <c r="F85" s="259"/>
      <c r="H85" s="183"/>
      <c r="I85" s="183"/>
    </row>
    <row r="86" spans="6:9" ht="15.75" customHeight="1">
      <c r="F86" s="259"/>
      <c r="H86" s="183"/>
      <c r="I86" s="183"/>
    </row>
    <row r="87" spans="6:9" ht="15.75" customHeight="1">
      <c r="F87" s="259"/>
      <c r="H87" s="183"/>
      <c r="I87" s="183"/>
    </row>
    <row r="88" spans="6:9" ht="15.75" customHeight="1">
      <c r="F88" s="259"/>
      <c r="H88" s="183"/>
      <c r="I88" s="183"/>
    </row>
    <row r="89" spans="6:9" ht="15.75" customHeight="1">
      <c r="F89" s="259"/>
      <c r="H89" s="183"/>
      <c r="I89" s="183"/>
    </row>
    <row r="90" spans="6:9" ht="15.75" customHeight="1">
      <c r="F90" s="259"/>
      <c r="H90" s="183"/>
      <c r="I90" s="183"/>
    </row>
    <row r="91" spans="6:9" ht="15.75" customHeight="1">
      <c r="F91" s="259"/>
      <c r="H91" s="183"/>
      <c r="I91" s="183"/>
    </row>
    <row r="92" spans="6:9" ht="15.75" customHeight="1">
      <c r="F92" s="259"/>
      <c r="H92" s="183"/>
      <c r="I92" s="183"/>
    </row>
    <row r="93" spans="6:9" ht="15.75" customHeight="1">
      <c r="F93" s="259"/>
      <c r="H93" s="183"/>
      <c r="I93" s="183"/>
    </row>
    <row r="94" spans="6:9" ht="15.75" customHeight="1">
      <c r="F94" s="259"/>
      <c r="H94" s="183"/>
      <c r="I94" s="183"/>
    </row>
    <row r="95" spans="6:9" ht="15.75" customHeight="1">
      <c r="F95" s="259"/>
      <c r="H95" s="183"/>
      <c r="I95" s="183"/>
    </row>
    <row r="96" spans="6:9" ht="15.75" customHeight="1">
      <c r="F96" s="259"/>
      <c r="H96" s="183"/>
      <c r="I96" s="183"/>
    </row>
    <row r="97" spans="6:9" ht="15.75" customHeight="1">
      <c r="F97" s="259"/>
      <c r="H97" s="183"/>
      <c r="I97" s="183"/>
    </row>
    <row r="98" spans="6:9" ht="15.75" customHeight="1">
      <c r="F98" s="259"/>
      <c r="H98" s="183"/>
      <c r="I98" s="183"/>
    </row>
    <row r="99" spans="6:9" ht="15.75" customHeight="1">
      <c r="F99" s="259"/>
      <c r="H99" s="183"/>
      <c r="I99" s="183"/>
    </row>
    <row r="100" spans="6:9" ht="15.75" customHeight="1">
      <c r="F100" s="259"/>
      <c r="H100" s="183"/>
      <c r="I100" s="183"/>
    </row>
    <row r="101" spans="6:9" ht="15.75" customHeight="1">
      <c r="F101" s="259"/>
      <c r="H101" s="183"/>
      <c r="I101" s="183"/>
    </row>
    <row r="102" spans="6:9" ht="15.75" customHeight="1">
      <c r="F102" s="259"/>
      <c r="H102" s="183"/>
      <c r="I102" s="183"/>
    </row>
    <row r="103" spans="6:9" ht="15.75" customHeight="1">
      <c r="F103" s="259"/>
      <c r="H103" s="183"/>
      <c r="I103" s="183"/>
    </row>
    <row r="104" spans="6:9" ht="15.75" customHeight="1">
      <c r="F104" s="259"/>
      <c r="H104" s="183"/>
      <c r="I104" s="183"/>
    </row>
    <row r="105" spans="6:9" ht="15.75" customHeight="1">
      <c r="F105" s="259"/>
      <c r="H105" s="183"/>
      <c r="I105" s="183"/>
    </row>
    <row r="106" spans="6:9" ht="15.75" customHeight="1">
      <c r="F106" s="259"/>
      <c r="H106" s="183"/>
      <c r="I106" s="183"/>
    </row>
    <row r="107" spans="6:9" ht="15.75" customHeight="1">
      <c r="F107" s="259"/>
      <c r="H107" s="183"/>
      <c r="I107" s="183"/>
    </row>
    <row r="108" spans="6:9" ht="15.75" customHeight="1">
      <c r="F108" s="259"/>
      <c r="H108" s="183"/>
      <c r="I108" s="183"/>
    </row>
    <row r="109" spans="6:9" ht="15.75" customHeight="1">
      <c r="F109" s="259"/>
      <c r="H109" s="183"/>
      <c r="I109" s="183"/>
    </row>
    <row r="110" spans="6:9" ht="15.75" customHeight="1">
      <c r="F110" s="259"/>
      <c r="H110" s="183"/>
      <c r="I110" s="183"/>
    </row>
    <row r="111" spans="6:9" ht="15.75" customHeight="1">
      <c r="F111" s="259"/>
      <c r="H111" s="183"/>
      <c r="I111" s="183"/>
    </row>
    <row r="112" spans="6:9" ht="15.75" customHeight="1">
      <c r="F112" s="259"/>
      <c r="H112" s="183"/>
      <c r="I112" s="183"/>
    </row>
    <row r="113" spans="6:9" ht="15.75" customHeight="1">
      <c r="F113" s="259"/>
      <c r="H113" s="183"/>
      <c r="I113" s="183"/>
    </row>
    <row r="114" spans="6:9" ht="15.75" customHeight="1">
      <c r="F114" s="259"/>
      <c r="H114" s="183"/>
      <c r="I114" s="183"/>
    </row>
    <row r="115" spans="6:9" ht="15.75" customHeight="1">
      <c r="F115" s="259"/>
      <c r="H115" s="183"/>
      <c r="I115" s="183"/>
    </row>
    <row r="116" spans="6:9" ht="15.75" customHeight="1">
      <c r="F116" s="259"/>
      <c r="H116" s="183"/>
      <c r="I116" s="183"/>
    </row>
    <row r="117" spans="6:9" ht="15.75" customHeight="1">
      <c r="F117" s="259"/>
      <c r="H117" s="183"/>
      <c r="I117" s="183"/>
    </row>
    <row r="118" spans="6:9" ht="15.75" customHeight="1">
      <c r="F118" s="259"/>
      <c r="H118" s="183"/>
      <c r="I118" s="183"/>
    </row>
    <row r="119" spans="6:9" ht="15.75" customHeight="1">
      <c r="F119" s="259"/>
      <c r="H119" s="183"/>
      <c r="I119" s="183"/>
    </row>
    <row r="120" spans="6:9" ht="15.75" customHeight="1">
      <c r="F120" s="259"/>
      <c r="H120" s="183"/>
      <c r="I120" s="183"/>
    </row>
    <row r="121" spans="6:9" ht="15.75" customHeight="1">
      <c r="F121" s="259"/>
      <c r="H121" s="183"/>
      <c r="I121" s="183"/>
    </row>
    <row r="122" spans="6:9" ht="15.75" customHeight="1">
      <c r="F122" s="259"/>
      <c r="H122" s="183"/>
      <c r="I122" s="183"/>
    </row>
    <row r="123" spans="6:9" ht="15.75" customHeight="1">
      <c r="F123" s="259"/>
      <c r="H123" s="183"/>
      <c r="I123" s="183"/>
    </row>
    <row r="124" spans="6:9" ht="15.75" customHeight="1">
      <c r="F124" s="259"/>
      <c r="H124" s="183"/>
      <c r="I124" s="183"/>
    </row>
    <row r="125" spans="6:9" ht="15.75" customHeight="1">
      <c r="F125" s="259"/>
      <c r="H125" s="183"/>
      <c r="I125" s="183"/>
    </row>
    <row r="126" spans="6:9" ht="15.75" customHeight="1">
      <c r="F126" s="259"/>
      <c r="H126" s="183"/>
      <c r="I126" s="183"/>
    </row>
    <row r="127" spans="6:9" ht="15.75" customHeight="1">
      <c r="F127" s="259"/>
      <c r="H127" s="183"/>
      <c r="I127" s="183"/>
    </row>
    <row r="128" spans="6:9" ht="15.75" customHeight="1">
      <c r="F128" s="259"/>
      <c r="H128" s="183"/>
      <c r="I128" s="183"/>
    </row>
    <row r="129" spans="6:9" ht="15.75" customHeight="1">
      <c r="F129" s="259"/>
      <c r="H129" s="183"/>
      <c r="I129" s="183"/>
    </row>
    <row r="130" spans="6:9" ht="15.75" customHeight="1">
      <c r="F130" s="259"/>
      <c r="H130" s="183"/>
      <c r="I130" s="183"/>
    </row>
    <row r="131" spans="6:9" ht="15.75" customHeight="1">
      <c r="F131" s="259"/>
      <c r="H131" s="183"/>
      <c r="I131" s="183"/>
    </row>
    <row r="132" spans="6:9" ht="15.75" customHeight="1">
      <c r="F132" s="259"/>
      <c r="H132" s="183"/>
      <c r="I132" s="183"/>
    </row>
    <row r="133" spans="6:9" ht="15.75" customHeight="1">
      <c r="F133" s="259"/>
      <c r="H133" s="183"/>
      <c r="I133" s="183"/>
    </row>
    <row r="134" spans="6:9" ht="15.75" customHeight="1">
      <c r="F134" s="259"/>
      <c r="H134" s="183"/>
      <c r="I134" s="183"/>
    </row>
    <row r="135" spans="6:9" ht="15.75" customHeight="1">
      <c r="F135" s="259"/>
      <c r="H135" s="183"/>
      <c r="I135" s="183"/>
    </row>
    <row r="136" spans="6:9" ht="15.75" customHeight="1">
      <c r="F136" s="259"/>
      <c r="H136" s="183"/>
      <c r="I136" s="183"/>
    </row>
    <row r="137" spans="6:9" ht="15.75" customHeight="1">
      <c r="F137" s="259"/>
      <c r="H137" s="183"/>
      <c r="I137" s="183"/>
    </row>
    <row r="138" spans="6:9" ht="15.75" customHeight="1">
      <c r="F138" s="259"/>
      <c r="H138" s="183"/>
      <c r="I138" s="183"/>
    </row>
    <row r="139" spans="6:9" ht="15.75" customHeight="1">
      <c r="F139" s="259"/>
      <c r="H139" s="183"/>
      <c r="I139" s="183"/>
    </row>
    <row r="140" spans="6:9" ht="15.75" customHeight="1">
      <c r="F140" s="259"/>
      <c r="H140" s="183"/>
      <c r="I140" s="183"/>
    </row>
    <row r="141" spans="6:9" ht="15.75" customHeight="1">
      <c r="F141" s="259"/>
      <c r="H141" s="183"/>
      <c r="I141" s="183"/>
    </row>
    <row r="142" spans="6:9" ht="15.75" customHeight="1">
      <c r="F142" s="259"/>
      <c r="H142" s="183"/>
      <c r="I142" s="183"/>
    </row>
    <row r="143" spans="6:9" ht="15.75" customHeight="1">
      <c r="F143" s="259"/>
      <c r="H143" s="183"/>
      <c r="I143" s="183"/>
    </row>
    <row r="144" spans="6:9" ht="15.75" customHeight="1">
      <c r="F144" s="259"/>
      <c r="H144" s="183"/>
      <c r="I144" s="183"/>
    </row>
    <row r="145" spans="6:9" ht="15.75" customHeight="1">
      <c r="F145" s="259"/>
      <c r="H145" s="183"/>
      <c r="I145" s="183"/>
    </row>
    <row r="146" spans="6:9" ht="15.75" customHeight="1">
      <c r="F146" s="259"/>
      <c r="H146" s="183"/>
      <c r="I146" s="183"/>
    </row>
    <row r="147" spans="6:9" ht="15.75" customHeight="1">
      <c r="F147" s="259"/>
      <c r="H147" s="183"/>
      <c r="I147" s="183"/>
    </row>
    <row r="148" spans="6:9" ht="15.75" customHeight="1">
      <c r="F148" s="259"/>
      <c r="H148" s="183"/>
      <c r="I148" s="183"/>
    </row>
    <row r="149" spans="6:9" ht="15.75" customHeight="1">
      <c r="F149" s="259"/>
      <c r="H149" s="183"/>
      <c r="I149" s="183"/>
    </row>
    <row r="150" spans="6:9" ht="15.75" customHeight="1">
      <c r="F150" s="259"/>
      <c r="H150" s="183"/>
      <c r="I150" s="183"/>
    </row>
    <row r="151" spans="6:9" ht="15.75" customHeight="1">
      <c r="F151" s="259"/>
      <c r="H151" s="183"/>
      <c r="I151" s="183"/>
    </row>
    <row r="152" spans="6:9" ht="15.75" customHeight="1">
      <c r="F152" s="259"/>
      <c r="H152" s="183"/>
      <c r="I152" s="183"/>
    </row>
    <row r="153" spans="6:9" ht="15.75" customHeight="1">
      <c r="F153" s="259"/>
      <c r="H153" s="183"/>
      <c r="I153" s="183"/>
    </row>
    <row r="154" spans="6:9" ht="15.75" customHeight="1">
      <c r="F154" s="259"/>
      <c r="H154" s="183"/>
      <c r="I154" s="183"/>
    </row>
    <row r="155" spans="6:9" ht="15.75" customHeight="1">
      <c r="F155" s="259"/>
      <c r="H155" s="183"/>
      <c r="I155" s="183"/>
    </row>
    <row r="156" spans="6:9" ht="15.75" customHeight="1">
      <c r="F156" s="259"/>
      <c r="H156" s="183"/>
      <c r="I156" s="183"/>
    </row>
    <row r="157" spans="6:9" ht="15.75" customHeight="1">
      <c r="F157" s="259"/>
      <c r="H157" s="183"/>
      <c r="I157" s="183"/>
    </row>
    <row r="158" spans="6:9" ht="15.75" customHeight="1">
      <c r="F158" s="259"/>
      <c r="H158" s="183"/>
      <c r="I158" s="183"/>
    </row>
    <row r="159" spans="6:9" ht="15.75" customHeight="1">
      <c r="F159" s="259"/>
      <c r="H159" s="183"/>
      <c r="I159" s="183"/>
    </row>
    <row r="160" spans="6:9" ht="15.75" customHeight="1">
      <c r="F160" s="259"/>
      <c r="H160" s="183"/>
      <c r="I160" s="183"/>
    </row>
    <row r="161" spans="6:9" ht="15.75" customHeight="1">
      <c r="F161" s="259"/>
      <c r="H161" s="183"/>
      <c r="I161" s="183"/>
    </row>
    <row r="162" spans="6:9" ht="15.75" customHeight="1">
      <c r="F162" s="259"/>
      <c r="H162" s="183"/>
      <c r="I162" s="183"/>
    </row>
    <row r="163" spans="6:9" ht="15.75" customHeight="1">
      <c r="F163" s="259"/>
      <c r="H163" s="183"/>
      <c r="I163" s="183"/>
    </row>
    <row r="164" spans="6:9" ht="15.75" customHeight="1">
      <c r="F164" s="259"/>
      <c r="H164" s="183"/>
      <c r="I164" s="183"/>
    </row>
    <row r="165" spans="6:9" ht="15.75" customHeight="1">
      <c r="F165" s="259"/>
      <c r="H165" s="183"/>
      <c r="I165" s="183"/>
    </row>
    <row r="166" spans="6:9" ht="15.75" customHeight="1">
      <c r="F166" s="259"/>
      <c r="H166" s="183"/>
      <c r="I166" s="183"/>
    </row>
    <row r="167" spans="6:9" ht="15.75" customHeight="1">
      <c r="F167" s="259"/>
      <c r="H167" s="183"/>
      <c r="I167" s="183"/>
    </row>
    <row r="168" spans="6:9" ht="15.75" customHeight="1">
      <c r="F168" s="259"/>
      <c r="H168" s="183"/>
      <c r="I168" s="183"/>
    </row>
    <row r="169" spans="6:9" ht="15.75" customHeight="1">
      <c r="F169" s="259"/>
      <c r="H169" s="183"/>
      <c r="I169" s="183"/>
    </row>
    <row r="170" spans="6:9" ht="15.75" customHeight="1">
      <c r="F170" s="259"/>
      <c r="H170" s="183"/>
      <c r="I170" s="183"/>
    </row>
    <row r="171" spans="6:9" ht="15.75" customHeight="1">
      <c r="F171" s="259"/>
      <c r="H171" s="183"/>
      <c r="I171" s="183"/>
    </row>
    <row r="172" spans="6:9" ht="15.75" customHeight="1">
      <c r="F172" s="259"/>
      <c r="H172" s="183"/>
      <c r="I172" s="183"/>
    </row>
    <row r="173" spans="6:9" ht="15.75" customHeight="1">
      <c r="F173" s="259"/>
      <c r="H173" s="183"/>
      <c r="I173" s="183"/>
    </row>
    <row r="174" spans="6:9" ht="15.75" customHeight="1">
      <c r="F174" s="259"/>
      <c r="H174" s="183"/>
      <c r="I174" s="183"/>
    </row>
    <row r="175" spans="6:9" ht="15.75" customHeight="1">
      <c r="F175" s="259"/>
      <c r="H175" s="183"/>
      <c r="I175" s="183"/>
    </row>
    <row r="176" spans="6:9" ht="15.75" customHeight="1">
      <c r="F176" s="259"/>
      <c r="H176" s="183"/>
      <c r="I176" s="183"/>
    </row>
    <row r="177" spans="6:9" ht="15.75" customHeight="1">
      <c r="F177" s="259"/>
      <c r="H177" s="183"/>
      <c r="I177" s="183"/>
    </row>
    <row r="178" spans="6:9" ht="15.75" customHeight="1">
      <c r="F178" s="259"/>
      <c r="H178" s="183"/>
      <c r="I178" s="183"/>
    </row>
    <row r="179" spans="6:9" ht="15.75" customHeight="1">
      <c r="F179" s="259"/>
      <c r="H179" s="183"/>
      <c r="I179" s="183"/>
    </row>
    <row r="180" spans="6:9" ht="15.75" customHeight="1">
      <c r="F180" s="259"/>
      <c r="H180" s="183"/>
      <c r="I180" s="183"/>
    </row>
    <row r="181" spans="6:9" ht="15.75" customHeight="1">
      <c r="F181" s="259"/>
      <c r="H181" s="183"/>
      <c r="I181" s="183"/>
    </row>
    <row r="182" spans="6:9" ht="15.75" customHeight="1">
      <c r="F182" s="259"/>
      <c r="H182" s="183"/>
      <c r="I182" s="183"/>
    </row>
    <row r="183" spans="6:9" ht="15.75" customHeight="1">
      <c r="F183" s="259"/>
      <c r="H183" s="183"/>
      <c r="I183" s="183"/>
    </row>
    <row r="184" spans="6:9" ht="15.75" customHeight="1">
      <c r="F184" s="259"/>
      <c r="H184" s="183"/>
      <c r="I184" s="183"/>
    </row>
    <row r="185" spans="6:9" ht="15.75" customHeight="1">
      <c r="F185" s="259"/>
      <c r="H185" s="183"/>
      <c r="I185" s="183"/>
    </row>
    <row r="186" spans="6:9" ht="15.75" customHeight="1">
      <c r="F186" s="259"/>
      <c r="H186" s="183"/>
      <c r="I186" s="183"/>
    </row>
    <row r="187" spans="6:9" ht="15.75" customHeight="1">
      <c r="F187" s="259"/>
      <c r="H187" s="183"/>
      <c r="I187" s="183"/>
    </row>
    <row r="188" spans="6:9" ht="15.75" customHeight="1">
      <c r="F188" s="259"/>
      <c r="H188" s="183"/>
      <c r="I188" s="183"/>
    </row>
    <row r="189" spans="6:9" ht="15.75" customHeight="1">
      <c r="F189" s="259"/>
      <c r="H189" s="183"/>
      <c r="I189" s="183"/>
    </row>
    <row r="190" spans="6:9" ht="15.75" customHeight="1">
      <c r="F190" s="259"/>
      <c r="H190" s="183"/>
      <c r="I190" s="183"/>
    </row>
    <row r="191" spans="6:9" ht="15.75" customHeight="1">
      <c r="F191" s="259"/>
      <c r="H191" s="183"/>
      <c r="I191" s="183"/>
    </row>
    <row r="192" spans="6:9" ht="15.75" customHeight="1">
      <c r="F192" s="259"/>
      <c r="H192" s="183"/>
      <c r="I192" s="183"/>
    </row>
    <row r="193" spans="6:9" ht="15.75" customHeight="1">
      <c r="F193" s="259"/>
      <c r="H193" s="183"/>
      <c r="I193" s="183"/>
    </row>
    <row r="194" spans="6:9" ht="15.75" customHeight="1">
      <c r="F194" s="259"/>
      <c r="H194" s="183"/>
      <c r="I194" s="183"/>
    </row>
    <row r="195" spans="6:9" ht="15.75" customHeight="1">
      <c r="F195" s="259"/>
      <c r="H195" s="183"/>
      <c r="I195" s="183"/>
    </row>
    <row r="196" spans="6:9" ht="15.75" customHeight="1">
      <c r="F196" s="259"/>
      <c r="H196" s="183"/>
      <c r="I196" s="183"/>
    </row>
    <row r="197" spans="6:9" ht="15.75" customHeight="1">
      <c r="F197" s="259"/>
      <c r="H197" s="183"/>
      <c r="I197" s="183"/>
    </row>
    <row r="198" spans="6:9" ht="15.75" customHeight="1">
      <c r="F198" s="259"/>
      <c r="H198" s="183"/>
      <c r="I198" s="183"/>
    </row>
    <row r="199" spans="6:9" ht="15.75" customHeight="1">
      <c r="F199" s="259"/>
      <c r="H199" s="183"/>
      <c r="I199" s="183"/>
    </row>
    <row r="200" spans="6:9" ht="15.75" customHeight="1">
      <c r="F200" s="259"/>
      <c r="H200" s="183"/>
      <c r="I200" s="183"/>
    </row>
    <row r="201" spans="6:9" ht="15.75" customHeight="1">
      <c r="F201" s="259"/>
      <c r="H201" s="183"/>
      <c r="I201" s="183"/>
    </row>
    <row r="202" spans="6:9" ht="15.75" customHeight="1">
      <c r="F202" s="259"/>
      <c r="H202" s="183"/>
      <c r="I202" s="183"/>
    </row>
    <row r="203" spans="6:9" ht="15.75" customHeight="1">
      <c r="F203" s="259"/>
      <c r="H203" s="183"/>
      <c r="I203" s="183"/>
    </row>
    <row r="204" spans="6:9" ht="15.75" customHeight="1">
      <c r="F204" s="259"/>
      <c r="H204" s="183"/>
      <c r="I204" s="183"/>
    </row>
    <row r="205" spans="6:9" ht="15.75" customHeight="1">
      <c r="F205" s="259"/>
      <c r="H205" s="183"/>
      <c r="I205" s="183"/>
    </row>
    <row r="206" spans="6:9" ht="15.75" customHeight="1">
      <c r="F206" s="259"/>
      <c r="H206" s="183"/>
      <c r="I206" s="183"/>
    </row>
    <row r="207" spans="6:9" ht="15.75" customHeight="1">
      <c r="F207" s="259"/>
      <c r="H207" s="183"/>
      <c r="I207" s="183"/>
    </row>
    <row r="208" spans="6:9" ht="15.75" customHeight="1">
      <c r="F208" s="259"/>
      <c r="H208" s="183"/>
      <c r="I208" s="183"/>
    </row>
    <row r="209" spans="6:9" ht="15.75" customHeight="1">
      <c r="F209" s="259"/>
      <c r="H209" s="183"/>
      <c r="I209" s="183"/>
    </row>
    <row r="210" spans="6:9" ht="15.75" customHeight="1">
      <c r="F210" s="259"/>
      <c r="H210" s="183"/>
      <c r="I210" s="183"/>
    </row>
    <row r="211" spans="6:9" ht="15.75" customHeight="1">
      <c r="F211" s="259"/>
      <c r="H211" s="183"/>
      <c r="I211" s="183"/>
    </row>
    <row r="212" spans="6:9" ht="15.75" customHeight="1">
      <c r="F212" s="259"/>
      <c r="H212" s="183"/>
      <c r="I212" s="183"/>
    </row>
    <row r="213" spans="6:9" ht="15.75" customHeight="1">
      <c r="F213" s="259"/>
      <c r="H213" s="183"/>
      <c r="I213" s="183"/>
    </row>
    <row r="214" spans="6:9" ht="15.75" customHeight="1">
      <c r="F214" s="259"/>
      <c r="H214" s="183"/>
      <c r="I214" s="183"/>
    </row>
    <row r="215" spans="6:9" ht="15.75" customHeight="1">
      <c r="F215" s="259"/>
      <c r="H215" s="183"/>
      <c r="I215" s="183"/>
    </row>
    <row r="216" spans="6:9" ht="15.75" customHeight="1">
      <c r="F216" s="259"/>
      <c r="H216" s="183"/>
      <c r="I216" s="183"/>
    </row>
    <row r="217" spans="6:9" ht="15.75" customHeight="1">
      <c r="F217" s="259"/>
      <c r="H217" s="183"/>
      <c r="I217" s="183"/>
    </row>
    <row r="218" spans="6:9" ht="15.75" customHeight="1">
      <c r="F218" s="259"/>
      <c r="H218" s="183"/>
      <c r="I218" s="183"/>
    </row>
    <row r="219" spans="6:9" ht="15.75" customHeight="1">
      <c r="F219" s="259"/>
      <c r="H219" s="183"/>
      <c r="I219" s="183"/>
    </row>
    <row r="220" spans="6:9" ht="15.75" customHeight="1">
      <c r="F220" s="259"/>
      <c r="H220" s="183"/>
      <c r="I220" s="183"/>
    </row>
    <row r="221" spans="6:9" ht="15.75" customHeight="1">
      <c r="F221" s="259"/>
      <c r="H221" s="183"/>
      <c r="I221" s="183"/>
    </row>
    <row r="222" spans="6:9" ht="15.75" customHeight="1">
      <c r="F222" s="259"/>
      <c r="H222" s="183"/>
      <c r="I222" s="183"/>
    </row>
    <row r="223" spans="6:9" ht="15.75" customHeight="1">
      <c r="F223" s="259"/>
      <c r="H223" s="183"/>
      <c r="I223" s="183"/>
    </row>
    <row r="224" spans="6:9" ht="15.75" customHeight="1">
      <c r="F224" s="259"/>
      <c r="H224" s="183"/>
      <c r="I224" s="183"/>
    </row>
    <row r="225" spans="6:9" ht="15.75" customHeight="1">
      <c r="F225" s="259"/>
      <c r="H225" s="183"/>
      <c r="I225" s="183"/>
    </row>
    <row r="226" spans="6:9" ht="15.75" customHeight="1">
      <c r="F226" s="259"/>
      <c r="H226" s="183"/>
      <c r="I226" s="183"/>
    </row>
    <row r="227" spans="6:9" ht="15.75" customHeight="1">
      <c r="F227" s="259"/>
      <c r="H227" s="183"/>
      <c r="I227" s="183"/>
    </row>
    <row r="228" spans="6:9" ht="15.75" customHeight="1">
      <c r="F228" s="259"/>
      <c r="H228" s="183"/>
      <c r="I228" s="183"/>
    </row>
    <row r="229" spans="6:9" ht="15.75" customHeight="1">
      <c r="F229" s="259"/>
      <c r="H229" s="183"/>
      <c r="I229" s="183"/>
    </row>
    <row r="230" spans="6:9" ht="15.75" customHeight="1">
      <c r="F230" s="259"/>
      <c r="H230" s="183"/>
      <c r="I230" s="183"/>
    </row>
    <row r="231" spans="6:9" ht="15.75" customHeight="1">
      <c r="F231" s="259"/>
      <c r="H231" s="183"/>
      <c r="I231" s="183"/>
    </row>
    <row r="232" spans="6:9" ht="15.75" customHeight="1">
      <c r="F232" s="259"/>
      <c r="H232" s="183"/>
      <c r="I232" s="183"/>
    </row>
    <row r="233" spans="6:9" ht="15.75" customHeight="1">
      <c r="F233" s="259"/>
      <c r="H233" s="183"/>
      <c r="I233" s="183"/>
    </row>
    <row r="234" spans="6:9" ht="15.75" customHeight="1">
      <c r="F234" s="259"/>
      <c r="H234" s="183"/>
      <c r="I234" s="183"/>
    </row>
    <row r="235" spans="6:9" ht="15.75" customHeight="1">
      <c r="F235" s="259"/>
      <c r="H235" s="183"/>
      <c r="I235" s="183"/>
    </row>
    <row r="236" spans="6:9" ht="15.75" customHeight="1">
      <c r="F236" s="259"/>
      <c r="H236" s="183"/>
      <c r="I236" s="183"/>
    </row>
    <row r="237" spans="6:9" ht="15.75" customHeight="1">
      <c r="F237" s="259"/>
      <c r="H237" s="183"/>
      <c r="I237" s="183"/>
    </row>
    <row r="238" spans="6:9" ht="15.75" customHeight="1">
      <c r="F238" s="259"/>
      <c r="H238" s="183"/>
      <c r="I238" s="183"/>
    </row>
    <row r="239" spans="6:9" ht="15.75" customHeight="1">
      <c r="F239" s="259"/>
      <c r="H239" s="183"/>
      <c r="I239" s="183"/>
    </row>
    <row r="240" spans="6:9" ht="15.75" customHeight="1">
      <c r="F240" s="259"/>
      <c r="H240" s="183"/>
      <c r="I240" s="183"/>
    </row>
    <row r="241" spans="6:9" ht="15.75" customHeight="1">
      <c r="F241" s="259"/>
      <c r="H241" s="183"/>
      <c r="I241" s="183"/>
    </row>
    <row r="242" spans="6:9" ht="15.75" customHeight="1">
      <c r="F242" s="259"/>
      <c r="H242" s="183"/>
      <c r="I242" s="183"/>
    </row>
    <row r="243" spans="6:9" ht="15.75" customHeight="1">
      <c r="F243" s="259"/>
      <c r="H243" s="183"/>
      <c r="I243" s="183"/>
    </row>
    <row r="244" spans="6:9" ht="15.75" customHeight="1">
      <c r="F244" s="259"/>
      <c r="H244" s="183"/>
      <c r="I244" s="183"/>
    </row>
    <row r="245" spans="6:9" ht="15.75" customHeight="1">
      <c r="F245" s="259"/>
      <c r="H245" s="183"/>
      <c r="I245" s="183"/>
    </row>
    <row r="246" spans="6:9" ht="15.75" customHeight="1">
      <c r="F246" s="259"/>
      <c r="H246" s="183"/>
      <c r="I246" s="183"/>
    </row>
    <row r="247" spans="6:9" ht="15.75" customHeight="1">
      <c r="F247" s="259"/>
      <c r="H247" s="183"/>
      <c r="I247" s="183"/>
    </row>
    <row r="248" spans="6:9" ht="15.75" customHeight="1">
      <c r="F248" s="259"/>
      <c r="H248" s="183"/>
      <c r="I248" s="183"/>
    </row>
    <row r="249" spans="6:9" ht="15.75" customHeight="1">
      <c r="F249" s="259"/>
      <c r="H249" s="183"/>
      <c r="I249" s="183"/>
    </row>
    <row r="250" spans="6:9" ht="15.75" customHeight="1">
      <c r="F250" s="259"/>
      <c r="H250" s="183"/>
      <c r="I250" s="183"/>
    </row>
    <row r="251" spans="6:9" ht="15.75" customHeight="1">
      <c r="F251" s="259"/>
      <c r="H251" s="183"/>
      <c r="I251" s="183"/>
    </row>
    <row r="252" spans="6:9" ht="15.75" customHeight="1">
      <c r="F252" s="259"/>
      <c r="H252" s="183"/>
      <c r="I252" s="183"/>
    </row>
    <row r="253" spans="6:9" ht="15.75" customHeight="1">
      <c r="F253" s="259"/>
      <c r="H253" s="183"/>
      <c r="I253" s="183"/>
    </row>
    <row r="254" spans="6:9" ht="15.75" customHeight="1">
      <c r="F254" s="259"/>
      <c r="H254" s="183"/>
      <c r="I254" s="183"/>
    </row>
    <row r="255" spans="6:9" ht="15.75" customHeight="1">
      <c r="F255" s="259"/>
      <c r="H255" s="183"/>
      <c r="I255" s="183"/>
    </row>
    <row r="256" spans="6:9" ht="15.75" customHeight="1">
      <c r="F256" s="259"/>
      <c r="H256" s="183"/>
      <c r="I256" s="183"/>
    </row>
    <row r="257" spans="6:9" ht="15.75" customHeight="1">
      <c r="F257" s="259"/>
      <c r="H257" s="183"/>
      <c r="I257" s="183"/>
    </row>
    <row r="258" spans="6:9" ht="15.75" customHeight="1">
      <c r="F258" s="259"/>
      <c r="H258" s="183"/>
      <c r="I258" s="183"/>
    </row>
    <row r="259" spans="6:9" ht="15.75" customHeight="1">
      <c r="F259" s="259"/>
      <c r="H259" s="183"/>
      <c r="I259" s="183"/>
    </row>
    <row r="260" spans="6:9" ht="15.75" customHeight="1">
      <c r="F260" s="259"/>
      <c r="H260" s="183"/>
      <c r="I260" s="183"/>
    </row>
    <row r="261" spans="6:9" ht="15.75" customHeight="1">
      <c r="F261" s="259"/>
      <c r="H261" s="183"/>
      <c r="I261" s="183"/>
    </row>
    <row r="262" spans="6:9" ht="15.75" customHeight="1">
      <c r="F262" s="259"/>
      <c r="H262" s="183"/>
      <c r="I262" s="183"/>
    </row>
    <row r="263" spans="6:9" ht="15.75" customHeight="1">
      <c r="F263" s="259"/>
      <c r="H263" s="183"/>
      <c r="I263" s="183"/>
    </row>
    <row r="264" spans="6:9" ht="15.75" customHeight="1">
      <c r="F264" s="259"/>
      <c r="H264" s="183"/>
      <c r="I264" s="183"/>
    </row>
    <row r="265" spans="6:9" ht="15.75" customHeight="1">
      <c r="F265" s="259"/>
      <c r="H265" s="183"/>
      <c r="I265" s="183"/>
    </row>
    <row r="266" spans="6:9" ht="15.75" customHeight="1">
      <c r="F266" s="259"/>
      <c r="H266" s="183"/>
      <c r="I266" s="183"/>
    </row>
    <row r="267" spans="6:9" ht="15.75" customHeight="1">
      <c r="F267" s="259"/>
      <c r="H267" s="183"/>
      <c r="I267" s="183"/>
    </row>
    <row r="268" spans="6:9" ht="15.75" customHeight="1">
      <c r="F268" s="259"/>
      <c r="H268" s="183"/>
      <c r="I268" s="183"/>
    </row>
    <row r="269" spans="6:9" ht="15.75" customHeight="1">
      <c r="F269" s="259"/>
      <c r="H269" s="183"/>
      <c r="I269" s="183"/>
    </row>
    <row r="270" spans="6:9" ht="15.75" customHeight="1">
      <c r="F270" s="259"/>
      <c r="H270" s="183"/>
      <c r="I270" s="183"/>
    </row>
    <row r="271" spans="6:9" ht="15.75" customHeight="1">
      <c r="F271" s="259"/>
      <c r="H271" s="183"/>
      <c r="I271" s="183"/>
    </row>
    <row r="272" spans="6:9" ht="15.75" customHeight="1">
      <c r="F272" s="259"/>
      <c r="H272" s="183"/>
      <c r="I272" s="183"/>
    </row>
    <row r="273" spans="6:9" ht="15.75" customHeight="1">
      <c r="F273" s="259"/>
      <c r="H273" s="183"/>
      <c r="I273" s="183"/>
    </row>
    <row r="274" spans="6:9" ht="15.75" customHeight="1">
      <c r="F274" s="259"/>
      <c r="H274" s="183"/>
      <c r="I274" s="183"/>
    </row>
    <row r="275" spans="6:9" ht="15.75" customHeight="1">
      <c r="F275" s="259"/>
      <c r="H275" s="183"/>
      <c r="I275" s="183"/>
    </row>
    <row r="276" spans="6:9" ht="15.75" customHeight="1">
      <c r="F276" s="259"/>
      <c r="H276" s="183"/>
      <c r="I276" s="183"/>
    </row>
    <row r="277" spans="6:9" ht="15.75" customHeight="1">
      <c r="F277" s="259"/>
      <c r="H277" s="183"/>
      <c r="I277" s="183"/>
    </row>
    <row r="278" spans="6:9" ht="15.75" customHeight="1">
      <c r="F278" s="259"/>
      <c r="H278" s="183"/>
      <c r="I278" s="183"/>
    </row>
    <row r="279" spans="6:9" ht="15.75" customHeight="1">
      <c r="F279" s="259"/>
      <c r="H279" s="183"/>
      <c r="I279" s="183"/>
    </row>
    <row r="280" spans="6:9" ht="15.75" customHeight="1">
      <c r="F280" s="259"/>
      <c r="H280" s="183"/>
      <c r="I280" s="183"/>
    </row>
    <row r="281" spans="6:9" ht="15.75" customHeight="1">
      <c r="F281" s="259"/>
      <c r="H281" s="183"/>
      <c r="I281" s="183"/>
    </row>
    <row r="282" spans="6:9" ht="15.75" customHeight="1">
      <c r="F282" s="259"/>
      <c r="H282" s="183"/>
      <c r="I282" s="183"/>
    </row>
    <row r="283" spans="6:9" ht="15.75" customHeight="1">
      <c r="F283" s="259"/>
      <c r="H283" s="183"/>
      <c r="I283" s="183"/>
    </row>
    <row r="284" spans="6:9" ht="15.75" customHeight="1">
      <c r="F284" s="259"/>
      <c r="H284" s="183"/>
      <c r="I284" s="183"/>
    </row>
    <row r="285" spans="6:9" ht="15.75" customHeight="1">
      <c r="F285" s="259"/>
      <c r="H285" s="183"/>
      <c r="I285" s="183"/>
    </row>
    <row r="286" spans="6:9" ht="15.75" customHeight="1">
      <c r="F286" s="259"/>
      <c r="H286" s="183"/>
      <c r="I286" s="183"/>
    </row>
    <row r="287" spans="6:9" ht="15.75" customHeight="1">
      <c r="F287" s="259"/>
      <c r="H287" s="183"/>
      <c r="I287" s="183"/>
    </row>
    <row r="288" spans="6:9" ht="15.75" customHeight="1">
      <c r="F288" s="259"/>
      <c r="H288" s="183"/>
      <c r="I288" s="183"/>
    </row>
    <row r="289" spans="6:9" ht="15.75" customHeight="1">
      <c r="F289" s="259"/>
      <c r="H289" s="183"/>
      <c r="I289" s="183"/>
    </row>
    <row r="290" spans="6:9" ht="15.75" customHeight="1">
      <c r="F290" s="259"/>
      <c r="H290" s="183"/>
      <c r="I290" s="183"/>
    </row>
    <row r="291" spans="6:9" ht="15.75" customHeight="1">
      <c r="F291" s="259"/>
      <c r="H291" s="183"/>
      <c r="I291" s="183"/>
    </row>
    <row r="292" spans="6:9" ht="15.75" customHeight="1">
      <c r="F292" s="259"/>
      <c r="H292" s="183"/>
      <c r="I292" s="183"/>
    </row>
    <row r="293" spans="6:9" ht="15.75" customHeight="1">
      <c r="F293" s="259"/>
      <c r="H293" s="183"/>
      <c r="I293" s="183"/>
    </row>
    <row r="294" spans="6:9" ht="15.75" customHeight="1">
      <c r="F294" s="259"/>
      <c r="H294" s="183"/>
      <c r="I294" s="183"/>
    </row>
    <row r="295" spans="6:9" ht="15.75" customHeight="1">
      <c r="F295" s="259"/>
      <c r="H295" s="183"/>
      <c r="I295" s="183"/>
    </row>
    <row r="296" spans="6:9" ht="15.75" customHeight="1">
      <c r="F296" s="259"/>
      <c r="H296" s="183"/>
      <c r="I296" s="183"/>
    </row>
    <row r="297" spans="6:9" ht="15.75" customHeight="1">
      <c r="F297" s="259"/>
      <c r="H297" s="183"/>
      <c r="I297" s="183"/>
    </row>
    <row r="298" spans="6:9" ht="15.75" customHeight="1">
      <c r="F298" s="259"/>
      <c r="H298" s="183"/>
      <c r="I298" s="183"/>
    </row>
    <row r="299" spans="6:9" ht="15.75" customHeight="1">
      <c r="F299" s="259"/>
      <c r="H299" s="183"/>
      <c r="I299" s="183"/>
    </row>
    <row r="300" spans="6:9" ht="15.75" customHeight="1">
      <c r="F300" s="259"/>
      <c r="H300" s="183"/>
      <c r="I300" s="183"/>
    </row>
    <row r="301" spans="6:9" ht="15.75" customHeight="1">
      <c r="F301" s="259"/>
      <c r="H301" s="183"/>
      <c r="I301" s="183"/>
    </row>
    <row r="302" spans="6:9" ht="15.75" customHeight="1">
      <c r="F302" s="259"/>
      <c r="H302" s="183"/>
      <c r="I302" s="183"/>
    </row>
    <row r="303" spans="6:9" ht="15.75" customHeight="1">
      <c r="F303" s="259"/>
      <c r="H303" s="183"/>
      <c r="I303" s="183"/>
    </row>
    <row r="304" spans="6:9" ht="15.75" customHeight="1">
      <c r="F304" s="259"/>
      <c r="H304" s="183"/>
      <c r="I304" s="183"/>
    </row>
    <row r="305" spans="6:9" ht="15.75" customHeight="1">
      <c r="F305" s="259"/>
      <c r="H305" s="183"/>
      <c r="I305" s="183"/>
    </row>
    <row r="306" spans="6:9" ht="15.75" customHeight="1">
      <c r="F306" s="259"/>
      <c r="H306" s="183"/>
      <c r="I306" s="183"/>
    </row>
    <row r="307" spans="6:9" ht="15.75" customHeight="1">
      <c r="F307" s="259"/>
      <c r="H307" s="183"/>
      <c r="I307" s="183"/>
    </row>
    <row r="308" spans="6:9" ht="15.75" customHeight="1">
      <c r="F308" s="259"/>
      <c r="H308" s="183"/>
      <c r="I308" s="183"/>
    </row>
    <row r="309" spans="6:9" ht="15.75" customHeight="1">
      <c r="F309" s="259"/>
      <c r="H309" s="183"/>
      <c r="I309" s="183"/>
    </row>
    <row r="310" spans="6:9" ht="15.75" customHeight="1">
      <c r="F310" s="259"/>
      <c r="H310" s="183"/>
      <c r="I310" s="183"/>
    </row>
    <row r="311" spans="6:9" ht="15.75" customHeight="1">
      <c r="F311" s="259"/>
      <c r="H311" s="183"/>
      <c r="I311" s="183"/>
    </row>
    <row r="312" spans="6:9" ht="15.75" customHeight="1">
      <c r="F312" s="259"/>
      <c r="H312" s="183"/>
      <c r="I312" s="183"/>
    </row>
    <row r="313" spans="6:9" ht="15.75" customHeight="1">
      <c r="F313" s="259"/>
      <c r="H313" s="183"/>
      <c r="I313" s="183"/>
    </row>
    <row r="314" spans="6:9" ht="15.75" customHeight="1">
      <c r="F314" s="259"/>
      <c r="H314" s="183"/>
      <c r="I314" s="183"/>
    </row>
    <row r="315" spans="6:9" ht="15.75" customHeight="1">
      <c r="F315" s="259"/>
      <c r="H315" s="183"/>
      <c r="I315" s="183"/>
    </row>
    <row r="316" spans="6:9" ht="15.75" customHeight="1">
      <c r="F316" s="259"/>
      <c r="H316" s="183"/>
      <c r="I316" s="183"/>
    </row>
    <row r="317" spans="6:9" ht="15.75" customHeight="1">
      <c r="F317" s="259"/>
      <c r="H317" s="183"/>
      <c r="I317" s="183"/>
    </row>
    <row r="318" spans="6:9" ht="15.75" customHeight="1">
      <c r="F318" s="259"/>
      <c r="H318" s="183"/>
      <c r="I318" s="183"/>
    </row>
    <row r="319" spans="6:9" ht="15.75" customHeight="1">
      <c r="F319" s="259"/>
      <c r="H319" s="183"/>
      <c r="I319" s="183"/>
    </row>
    <row r="320" spans="6:9" ht="15.75" customHeight="1">
      <c r="F320" s="259"/>
      <c r="H320" s="183"/>
      <c r="I320" s="183"/>
    </row>
    <row r="321" spans="6:9" ht="15.75" customHeight="1">
      <c r="F321" s="259"/>
      <c r="H321" s="183"/>
      <c r="I321" s="183"/>
    </row>
    <row r="322" spans="6:9" ht="15.75" customHeight="1">
      <c r="F322" s="259"/>
      <c r="H322" s="183"/>
      <c r="I322" s="183"/>
    </row>
    <row r="323" spans="6:9" ht="15.75" customHeight="1">
      <c r="F323" s="259"/>
      <c r="H323" s="183"/>
      <c r="I323" s="183"/>
    </row>
    <row r="324" spans="6:9" ht="15.75" customHeight="1">
      <c r="F324" s="259"/>
      <c r="H324" s="183"/>
      <c r="I324" s="183"/>
    </row>
    <row r="325" spans="6:9" ht="15.75" customHeight="1">
      <c r="F325" s="259"/>
      <c r="H325" s="183"/>
      <c r="I325" s="183"/>
    </row>
    <row r="326" spans="6:9" ht="15.75" customHeight="1">
      <c r="F326" s="259"/>
      <c r="H326" s="183"/>
      <c r="I326" s="183"/>
    </row>
    <row r="327" spans="6:9" ht="15.75" customHeight="1">
      <c r="F327" s="259"/>
      <c r="H327" s="183"/>
      <c r="I327" s="183"/>
    </row>
    <row r="328" spans="6:9" ht="15.75" customHeight="1">
      <c r="F328" s="259"/>
      <c r="H328" s="183"/>
      <c r="I328" s="183"/>
    </row>
    <row r="329" spans="6:9" ht="15.75" customHeight="1">
      <c r="F329" s="259"/>
      <c r="H329" s="183"/>
      <c r="I329" s="183"/>
    </row>
    <row r="330" spans="6:9" ht="15.75" customHeight="1">
      <c r="F330" s="259"/>
      <c r="H330" s="183"/>
      <c r="I330" s="183"/>
    </row>
    <row r="331" spans="6:9" ht="15.75" customHeight="1">
      <c r="F331" s="259"/>
      <c r="H331" s="183"/>
      <c r="I331" s="183"/>
    </row>
    <row r="332" spans="6:9" ht="15.75" customHeight="1">
      <c r="F332" s="259"/>
      <c r="H332" s="183"/>
      <c r="I332" s="183"/>
    </row>
    <row r="333" spans="6:9" ht="15.75" customHeight="1">
      <c r="F333" s="259"/>
      <c r="H333" s="183"/>
      <c r="I333" s="183"/>
    </row>
    <row r="334" spans="6:9" ht="15.75" customHeight="1">
      <c r="F334" s="259"/>
      <c r="H334" s="183"/>
      <c r="I334" s="183"/>
    </row>
    <row r="335" spans="6:9" ht="15.75" customHeight="1">
      <c r="F335" s="259"/>
      <c r="H335" s="183"/>
      <c r="I335" s="183"/>
    </row>
    <row r="336" spans="6:9" ht="15.75" customHeight="1">
      <c r="F336" s="259"/>
      <c r="H336" s="183"/>
      <c r="I336" s="183"/>
    </row>
    <row r="337" spans="6:9" ht="15.75" customHeight="1">
      <c r="F337" s="259"/>
      <c r="H337" s="183"/>
      <c r="I337" s="183"/>
    </row>
    <row r="338" spans="6:9" ht="15.75" customHeight="1">
      <c r="F338" s="259"/>
      <c r="H338" s="183"/>
      <c r="I338" s="183"/>
    </row>
    <row r="339" spans="6:9" ht="15.75" customHeight="1">
      <c r="F339" s="259"/>
      <c r="H339" s="183"/>
      <c r="I339" s="183"/>
    </row>
    <row r="340" spans="6:9" ht="15.75" customHeight="1">
      <c r="F340" s="259"/>
      <c r="H340" s="183"/>
      <c r="I340" s="183"/>
    </row>
    <row r="341" spans="6:9" ht="15.75" customHeight="1">
      <c r="F341" s="259"/>
      <c r="H341" s="183"/>
      <c r="I341" s="183"/>
    </row>
    <row r="342" spans="6:9" ht="15.75" customHeight="1">
      <c r="F342" s="259"/>
      <c r="H342" s="183"/>
      <c r="I342" s="183"/>
    </row>
    <row r="343" spans="6:9" ht="15.75" customHeight="1">
      <c r="F343" s="259"/>
      <c r="H343" s="183"/>
      <c r="I343" s="183"/>
    </row>
    <row r="344" spans="6:9" ht="15.75" customHeight="1">
      <c r="F344" s="259"/>
      <c r="H344" s="183"/>
      <c r="I344" s="183"/>
    </row>
    <row r="345" spans="6:9" ht="15.75" customHeight="1">
      <c r="F345" s="259"/>
      <c r="H345" s="183"/>
      <c r="I345" s="183"/>
    </row>
    <row r="346" spans="6:9" ht="15.75" customHeight="1">
      <c r="F346" s="259"/>
      <c r="H346" s="183"/>
      <c r="I346" s="183"/>
    </row>
    <row r="347" spans="6:9" ht="15.75" customHeight="1">
      <c r="F347" s="259"/>
      <c r="H347" s="183"/>
      <c r="I347" s="183"/>
    </row>
    <row r="348" spans="6:9" ht="15.75" customHeight="1">
      <c r="F348" s="259"/>
      <c r="H348" s="183"/>
      <c r="I348" s="183"/>
    </row>
    <row r="349" spans="6:9" ht="15.75" customHeight="1">
      <c r="F349" s="259"/>
      <c r="H349" s="183"/>
      <c r="I349" s="183"/>
    </row>
    <row r="350" spans="6:9" ht="15.75" customHeight="1">
      <c r="F350" s="259"/>
      <c r="H350" s="183"/>
      <c r="I350" s="183"/>
    </row>
    <row r="351" spans="6:9" ht="15.75" customHeight="1">
      <c r="F351" s="259"/>
      <c r="H351" s="183"/>
      <c r="I351" s="183"/>
    </row>
    <row r="352" spans="6:9" ht="15.75" customHeight="1">
      <c r="F352" s="259"/>
      <c r="H352" s="183"/>
      <c r="I352" s="183"/>
    </row>
    <row r="353" spans="6:9" ht="15.75" customHeight="1">
      <c r="F353" s="259"/>
      <c r="H353" s="183"/>
      <c r="I353" s="183"/>
    </row>
    <row r="354" spans="6:9" ht="15.75" customHeight="1">
      <c r="F354" s="259"/>
      <c r="H354" s="183"/>
      <c r="I354" s="183"/>
    </row>
    <row r="355" spans="6:9" ht="15.75" customHeight="1">
      <c r="F355" s="259"/>
      <c r="H355" s="183"/>
      <c r="I355" s="183"/>
    </row>
    <row r="356" spans="6:9" ht="15.75" customHeight="1">
      <c r="F356" s="259"/>
      <c r="H356" s="183"/>
      <c r="I356" s="183"/>
    </row>
    <row r="357" spans="6:9" ht="15.75" customHeight="1">
      <c r="F357" s="259"/>
      <c r="H357" s="183"/>
      <c r="I357" s="183"/>
    </row>
    <row r="358" spans="6:9" ht="15.75" customHeight="1">
      <c r="F358" s="259"/>
      <c r="H358" s="183"/>
      <c r="I358" s="183"/>
    </row>
    <row r="359" spans="6:9" ht="15.75" customHeight="1">
      <c r="F359" s="259"/>
      <c r="H359" s="183"/>
      <c r="I359" s="183"/>
    </row>
    <row r="360" spans="6:9" ht="15.75" customHeight="1">
      <c r="F360" s="259"/>
      <c r="H360" s="183"/>
      <c r="I360" s="183"/>
    </row>
    <row r="361" spans="6:9" ht="15.75" customHeight="1">
      <c r="F361" s="259"/>
      <c r="H361" s="183"/>
      <c r="I361" s="183"/>
    </row>
    <row r="362" spans="6:9" ht="15.75" customHeight="1">
      <c r="F362" s="259"/>
      <c r="H362" s="183"/>
      <c r="I362" s="183"/>
    </row>
    <row r="363" spans="6:9" ht="15.75" customHeight="1">
      <c r="F363" s="259"/>
      <c r="H363" s="183"/>
      <c r="I363" s="183"/>
    </row>
    <row r="364" spans="6:9" ht="15.75" customHeight="1">
      <c r="F364" s="259"/>
      <c r="H364" s="183"/>
      <c r="I364" s="183"/>
    </row>
    <row r="365" spans="6:9" ht="15.75" customHeight="1">
      <c r="F365" s="259"/>
      <c r="H365" s="183"/>
      <c r="I365" s="183"/>
    </row>
    <row r="366" spans="6:9" ht="15.75" customHeight="1">
      <c r="F366" s="259"/>
      <c r="H366" s="183"/>
      <c r="I366" s="183"/>
    </row>
    <row r="367" spans="6:9" ht="15.75" customHeight="1">
      <c r="F367" s="259"/>
      <c r="H367" s="183"/>
      <c r="I367" s="183"/>
    </row>
    <row r="368" spans="6:9" ht="15.75" customHeight="1">
      <c r="F368" s="259"/>
      <c r="H368" s="183"/>
      <c r="I368" s="183"/>
    </row>
    <row r="369" spans="6:9" ht="15.75" customHeight="1">
      <c r="F369" s="259"/>
      <c r="H369" s="183"/>
      <c r="I369" s="183"/>
    </row>
    <row r="370" spans="6:9" ht="15.75" customHeight="1">
      <c r="F370" s="259"/>
      <c r="H370" s="183"/>
      <c r="I370" s="183"/>
    </row>
    <row r="371" spans="6:9" ht="15.75" customHeight="1">
      <c r="F371" s="259"/>
      <c r="H371" s="183"/>
      <c r="I371" s="183"/>
    </row>
    <row r="372" spans="6:9" ht="15.75" customHeight="1">
      <c r="F372" s="259"/>
      <c r="H372" s="183"/>
      <c r="I372" s="183"/>
    </row>
    <row r="373" spans="6:9" ht="15.75" customHeight="1">
      <c r="F373" s="259"/>
      <c r="H373" s="183"/>
      <c r="I373" s="183"/>
    </row>
    <row r="374" spans="6:9" ht="15.75" customHeight="1">
      <c r="F374" s="259"/>
      <c r="H374" s="183"/>
      <c r="I374" s="183"/>
    </row>
    <row r="375" spans="6:9" ht="15.75" customHeight="1">
      <c r="F375" s="259"/>
      <c r="H375" s="183"/>
      <c r="I375" s="183"/>
    </row>
    <row r="376" spans="6:9" ht="15.75" customHeight="1">
      <c r="F376" s="259"/>
      <c r="H376" s="183"/>
      <c r="I376" s="183"/>
    </row>
    <row r="377" spans="6:9" ht="15.75" customHeight="1">
      <c r="F377" s="259"/>
      <c r="H377" s="183"/>
      <c r="I377" s="183"/>
    </row>
    <row r="378" spans="6:9" ht="15.75" customHeight="1">
      <c r="F378" s="259"/>
      <c r="H378" s="183"/>
      <c r="I378" s="183"/>
    </row>
    <row r="379" spans="6:9" ht="15.75" customHeight="1">
      <c r="F379" s="259"/>
      <c r="H379" s="183"/>
      <c r="I379" s="183"/>
    </row>
    <row r="380" spans="6:9" ht="15.75" customHeight="1">
      <c r="F380" s="259"/>
      <c r="H380" s="183"/>
      <c r="I380" s="183"/>
    </row>
    <row r="381" spans="6:9" ht="15.75" customHeight="1">
      <c r="F381" s="259"/>
      <c r="H381" s="183"/>
      <c r="I381" s="183"/>
    </row>
    <row r="382" spans="6:9" ht="15.75" customHeight="1">
      <c r="F382" s="259"/>
      <c r="H382" s="183"/>
      <c r="I382" s="183"/>
    </row>
    <row r="383" spans="6:9" ht="15.75" customHeight="1">
      <c r="F383" s="259"/>
      <c r="H383" s="183"/>
      <c r="I383" s="183"/>
    </row>
    <row r="384" spans="6:9" ht="15.75" customHeight="1">
      <c r="F384" s="259"/>
      <c r="H384" s="183"/>
      <c r="I384" s="183"/>
    </row>
    <row r="385" spans="6:9" ht="15.75" customHeight="1">
      <c r="F385" s="259"/>
      <c r="H385" s="183"/>
      <c r="I385" s="183"/>
    </row>
    <row r="386" spans="6:9" ht="15.75" customHeight="1">
      <c r="F386" s="259"/>
      <c r="H386" s="183"/>
      <c r="I386" s="183"/>
    </row>
    <row r="387" spans="6:9" ht="15.75" customHeight="1">
      <c r="F387" s="259"/>
      <c r="H387" s="183"/>
      <c r="I387" s="183"/>
    </row>
    <row r="388" spans="6:9" ht="15.75" customHeight="1">
      <c r="F388" s="259"/>
      <c r="H388" s="183"/>
      <c r="I388" s="183"/>
    </row>
    <row r="389" spans="6:9" ht="15.75" customHeight="1">
      <c r="F389" s="259"/>
      <c r="H389" s="183"/>
      <c r="I389" s="183"/>
    </row>
    <row r="390" spans="6:9" ht="15.75" customHeight="1">
      <c r="F390" s="259"/>
      <c r="H390" s="183"/>
      <c r="I390" s="183"/>
    </row>
    <row r="391" spans="6:9" ht="15.75" customHeight="1">
      <c r="F391" s="259"/>
      <c r="H391" s="183"/>
      <c r="I391" s="183"/>
    </row>
    <row r="392" spans="6:9" ht="15.75" customHeight="1">
      <c r="F392" s="259"/>
      <c r="H392" s="183"/>
      <c r="I392" s="183"/>
    </row>
    <row r="393" spans="6:9" ht="15.75" customHeight="1">
      <c r="F393" s="259"/>
      <c r="H393" s="183"/>
      <c r="I393" s="183"/>
    </row>
    <row r="394" spans="6:9" ht="15.75" customHeight="1">
      <c r="F394" s="259"/>
      <c r="H394" s="183"/>
      <c r="I394" s="183"/>
    </row>
    <row r="395" spans="6:9" ht="15.75" customHeight="1">
      <c r="F395" s="259"/>
      <c r="H395" s="183"/>
      <c r="I395" s="183"/>
    </row>
    <row r="396" spans="6:9" ht="15.75" customHeight="1">
      <c r="F396" s="259"/>
      <c r="H396" s="183"/>
      <c r="I396" s="183"/>
    </row>
    <row r="397" spans="6:9" ht="15.75" customHeight="1">
      <c r="F397" s="259"/>
      <c r="H397" s="183"/>
      <c r="I397" s="183"/>
    </row>
    <row r="398" spans="6:9" ht="15.75" customHeight="1">
      <c r="F398" s="259"/>
      <c r="H398" s="183"/>
      <c r="I398" s="183"/>
    </row>
    <row r="399" spans="6:9" ht="15.75" customHeight="1">
      <c r="F399" s="259"/>
      <c r="H399" s="183"/>
      <c r="I399" s="183"/>
    </row>
    <row r="400" spans="6:9" ht="15.75" customHeight="1">
      <c r="F400" s="259"/>
      <c r="H400" s="183"/>
      <c r="I400" s="183"/>
    </row>
    <row r="401" spans="6:9" ht="15.75" customHeight="1">
      <c r="F401" s="259"/>
      <c r="H401" s="183"/>
      <c r="I401" s="183"/>
    </row>
    <row r="402" spans="6:9" ht="15.75" customHeight="1">
      <c r="F402" s="259"/>
      <c r="H402" s="183"/>
      <c r="I402" s="183"/>
    </row>
    <row r="403" spans="6:9" ht="15.75" customHeight="1">
      <c r="F403" s="259"/>
      <c r="H403" s="183"/>
      <c r="I403" s="183"/>
    </row>
    <row r="404" spans="6:9" ht="15.75" customHeight="1">
      <c r="F404" s="259"/>
      <c r="H404" s="183"/>
      <c r="I404" s="183"/>
    </row>
    <row r="405" spans="6:9" ht="15.75" customHeight="1">
      <c r="F405" s="259"/>
      <c r="H405" s="183"/>
      <c r="I405" s="183"/>
    </row>
    <row r="406" spans="6:9" ht="15.75" customHeight="1">
      <c r="F406" s="259"/>
      <c r="H406" s="183"/>
      <c r="I406" s="183"/>
    </row>
    <row r="407" spans="6:9" ht="15.75" customHeight="1">
      <c r="F407" s="259"/>
      <c r="H407" s="183"/>
      <c r="I407" s="183"/>
    </row>
    <row r="408" spans="6:9" ht="15.75" customHeight="1">
      <c r="F408" s="259"/>
      <c r="H408" s="183"/>
      <c r="I408" s="183"/>
    </row>
    <row r="409" spans="6:9" ht="15.75" customHeight="1">
      <c r="F409" s="259"/>
      <c r="H409" s="183"/>
      <c r="I409" s="183"/>
    </row>
    <row r="410" spans="6:9" ht="15.75" customHeight="1">
      <c r="F410" s="259"/>
      <c r="H410" s="183"/>
      <c r="I410" s="183"/>
    </row>
    <row r="411" spans="6:9" ht="15.75" customHeight="1">
      <c r="F411" s="259"/>
      <c r="H411" s="183"/>
      <c r="I411" s="183"/>
    </row>
    <row r="412" spans="6:9" ht="15.75" customHeight="1">
      <c r="F412" s="259"/>
      <c r="H412" s="183"/>
      <c r="I412" s="183"/>
    </row>
    <row r="413" spans="6:9" ht="15.75" customHeight="1">
      <c r="F413" s="259"/>
      <c r="H413" s="183"/>
      <c r="I413" s="183"/>
    </row>
    <row r="414" spans="6:9" ht="15.75" customHeight="1">
      <c r="F414" s="259"/>
      <c r="H414" s="183"/>
      <c r="I414" s="183"/>
    </row>
    <row r="415" spans="6:9" ht="15.75" customHeight="1">
      <c r="F415" s="259"/>
      <c r="H415" s="183"/>
      <c r="I415" s="183"/>
    </row>
    <row r="416" spans="6:9" ht="15.75" customHeight="1">
      <c r="F416" s="259"/>
      <c r="H416" s="183"/>
      <c r="I416" s="183"/>
    </row>
    <row r="417" spans="6:9" ht="15.75" customHeight="1">
      <c r="F417" s="259"/>
      <c r="H417" s="183"/>
      <c r="I417" s="183"/>
    </row>
    <row r="418" spans="6:9" ht="15.75" customHeight="1">
      <c r="F418" s="259"/>
      <c r="H418" s="183"/>
      <c r="I418" s="183"/>
    </row>
    <row r="419" spans="6:9" ht="15.75" customHeight="1">
      <c r="F419" s="259"/>
      <c r="H419" s="183"/>
      <c r="I419" s="183"/>
    </row>
    <row r="420" spans="6:9" ht="15.75" customHeight="1">
      <c r="F420" s="259"/>
      <c r="H420" s="183"/>
      <c r="I420" s="183"/>
    </row>
    <row r="421" spans="6:9" ht="15.75" customHeight="1">
      <c r="F421" s="259"/>
      <c r="H421" s="183"/>
      <c r="I421" s="183"/>
    </row>
    <row r="422" spans="6:9" ht="15.75" customHeight="1">
      <c r="F422" s="259"/>
      <c r="H422" s="183"/>
      <c r="I422" s="183"/>
    </row>
    <row r="423" spans="6:9" ht="15.75" customHeight="1">
      <c r="F423" s="259"/>
      <c r="H423" s="183"/>
      <c r="I423" s="183"/>
    </row>
    <row r="424" spans="6:9" ht="15.75" customHeight="1">
      <c r="F424" s="259"/>
      <c r="H424" s="183"/>
      <c r="I424" s="183"/>
    </row>
    <row r="425" spans="6:9" ht="15.75" customHeight="1">
      <c r="F425" s="259"/>
      <c r="H425" s="183"/>
      <c r="I425" s="183"/>
    </row>
    <row r="426" spans="6:9" ht="15.75" customHeight="1">
      <c r="F426" s="259"/>
      <c r="H426" s="183"/>
      <c r="I426" s="183"/>
    </row>
    <row r="427" spans="6:9" ht="15.75" customHeight="1">
      <c r="F427" s="259"/>
      <c r="H427" s="183"/>
      <c r="I427" s="183"/>
    </row>
    <row r="428" spans="6:9" ht="15.75" customHeight="1">
      <c r="F428" s="259"/>
      <c r="H428" s="183"/>
      <c r="I428" s="183"/>
    </row>
    <row r="429" spans="6:9" ht="15.75" customHeight="1">
      <c r="F429" s="259"/>
      <c r="H429" s="183"/>
      <c r="I429" s="183"/>
    </row>
    <row r="430" spans="6:9" ht="15.75" customHeight="1">
      <c r="F430" s="259"/>
      <c r="H430" s="183"/>
      <c r="I430" s="183"/>
    </row>
    <row r="431" spans="6:9" ht="15.75" customHeight="1">
      <c r="F431" s="259"/>
      <c r="H431" s="183"/>
      <c r="I431" s="183"/>
    </row>
    <row r="432" spans="6:9" ht="15.75" customHeight="1">
      <c r="F432" s="259"/>
      <c r="H432" s="183"/>
      <c r="I432" s="183"/>
    </row>
    <row r="433" spans="6:9" ht="15.75" customHeight="1">
      <c r="F433" s="259"/>
      <c r="H433" s="183"/>
      <c r="I433" s="183"/>
    </row>
    <row r="434" spans="6:9" ht="15.75" customHeight="1">
      <c r="F434" s="259"/>
      <c r="H434" s="183"/>
      <c r="I434" s="183"/>
    </row>
    <row r="435" spans="6:9" ht="15.75" customHeight="1">
      <c r="F435" s="259"/>
      <c r="H435" s="183"/>
      <c r="I435" s="183"/>
    </row>
    <row r="436" spans="6:9" ht="15.75" customHeight="1">
      <c r="F436" s="259"/>
      <c r="H436" s="183"/>
      <c r="I436" s="183"/>
    </row>
    <row r="437" spans="6:9" ht="15.75" customHeight="1">
      <c r="F437" s="259"/>
      <c r="H437" s="183"/>
      <c r="I437" s="183"/>
    </row>
    <row r="438" spans="6:9" ht="15.75" customHeight="1">
      <c r="F438" s="259"/>
      <c r="H438" s="183"/>
      <c r="I438" s="183"/>
    </row>
    <row r="439" spans="6:9" ht="15.75" customHeight="1">
      <c r="F439" s="259"/>
      <c r="H439" s="183"/>
      <c r="I439" s="183"/>
    </row>
    <row r="440" spans="6:9" ht="15.75" customHeight="1">
      <c r="F440" s="259"/>
      <c r="H440" s="183"/>
      <c r="I440" s="183"/>
    </row>
    <row r="441" spans="6:9" ht="15.75" customHeight="1">
      <c r="F441" s="259"/>
      <c r="H441" s="183"/>
      <c r="I441" s="183"/>
    </row>
    <row r="442" spans="6:9" ht="15.75" customHeight="1">
      <c r="F442" s="259"/>
      <c r="H442" s="183"/>
      <c r="I442" s="183"/>
    </row>
    <row r="443" spans="6:9" ht="15.75" customHeight="1">
      <c r="F443" s="259"/>
      <c r="H443" s="183"/>
      <c r="I443" s="183"/>
    </row>
    <row r="444" spans="6:9" ht="15.75" customHeight="1">
      <c r="F444" s="259"/>
      <c r="H444" s="183"/>
      <c r="I444" s="183"/>
    </row>
    <row r="445" spans="6:9" ht="15.75" customHeight="1">
      <c r="F445" s="259"/>
      <c r="H445" s="183"/>
      <c r="I445" s="183"/>
    </row>
    <row r="446" spans="6:9" ht="15.75" customHeight="1">
      <c r="F446" s="259"/>
      <c r="H446" s="183"/>
      <c r="I446" s="183"/>
    </row>
    <row r="447" spans="6:9" ht="15.75" customHeight="1">
      <c r="F447" s="259"/>
      <c r="H447" s="183"/>
      <c r="I447" s="183"/>
    </row>
    <row r="448" spans="6:9" ht="15.75" customHeight="1">
      <c r="F448" s="259"/>
      <c r="H448" s="183"/>
      <c r="I448" s="183"/>
    </row>
    <row r="449" spans="6:9" ht="15.75" customHeight="1">
      <c r="F449" s="259"/>
      <c r="H449" s="183"/>
      <c r="I449" s="183"/>
    </row>
    <row r="450" spans="6:9" ht="15.75" customHeight="1">
      <c r="F450" s="259"/>
      <c r="H450" s="183"/>
      <c r="I450" s="183"/>
    </row>
    <row r="451" spans="6:9" ht="15.75" customHeight="1">
      <c r="F451" s="259"/>
      <c r="H451" s="183"/>
      <c r="I451" s="183"/>
    </row>
    <row r="452" spans="6:9" ht="15.75" customHeight="1">
      <c r="F452" s="259"/>
      <c r="H452" s="183"/>
      <c r="I452" s="183"/>
    </row>
    <row r="453" spans="6:9" ht="15.75" customHeight="1">
      <c r="F453" s="259"/>
      <c r="H453" s="183"/>
      <c r="I453" s="183"/>
    </row>
    <row r="454" spans="6:9" ht="15.75" customHeight="1">
      <c r="F454" s="259"/>
      <c r="H454" s="183"/>
      <c r="I454" s="183"/>
    </row>
    <row r="455" spans="6:9" ht="15.75" customHeight="1">
      <c r="F455" s="259"/>
      <c r="H455" s="183"/>
      <c r="I455" s="183"/>
    </row>
    <row r="456" spans="6:9" ht="15.75" customHeight="1">
      <c r="F456" s="259"/>
      <c r="H456" s="183"/>
      <c r="I456" s="183"/>
    </row>
    <row r="457" spans="6:9" ht="15.75" customHeight="1">
      <c r="F457" s="259"/>
      <c r="H457" s="183"/>
      <c r="I457" s="183"/>
    </row>
    <row r="458" spans="6:9" ht="15.75" customHeight="1">
      <c r="F458" s="259"/>
      <c r="H458" s="183"/>
      <c r="I458" s="183"/>
    </row>
    <row r="459" spans="6:9" ht="15.75" customHeight="1">
      <c r="F459" s="259"/>
      <c r="H459" s="183"/>
      <c r="I459" s="183"/>
    </row>
    <row r="460" spans="6:9" ht="15.75" customHeight="1">
      <c r="F460" s="259"/>
      <c r="H460" s="183"/>
      <c r="I460" s="183"/>
    </row>
    <row r="461" spans="6:9" ht="15.75" customHeight="1">
      <c r="F461" s="259"/>
      <c r="H461" s="183"/>
      <c r="I461" s="183"/>
    </row>
    <row r="462" spans="6:9" ht="15.75" customHeight="1">
      <c r="F462" s="259"/>
      <c r="H462" s="183"/>
      <c r="I462" s="183"/>
    </row>
    <row r="463" spans="6:9" ht="15.75" customHeight="1">
      <c r="F463" s="259"/>
      <c r="H463" s="183"/>
      <c r="I463" s="183"/>
    </row>
    <row r="464" spans="6:9" ht="15.75" customHeight="1">
      <c r="F464" s="259"/>
      <c r="H464" s="183"/>
      <c r="I464" s="183"/>
    </row>
    <row r="465" spans="6:9" ht="15.75" customHeight="1">
      <c r="F465" s="259"/>
      <c r="H465" s="183"/>
      <c r="I465" s="183"/>
    </row>
    <row r="466" spans="6:9" ht="15.75" customHeight="1">
      <c r="F466" s="259"/>
      <c r="H466" s="183"/>
      <c r="I466" s="183"/>
    </row>
    <row r="467" spans="6:9" ht="15.75" customHeight="1">
      <c r="F467" s="259"/>
      <c r="H467" s="183"/>
      <c r="I467" s="183"/>
    </row>
    <row r="468" spans="6:9" ht="15.75" customHeight="1">
      <c r="F468" s="259"/>
      <c r="H468" s="183"/>
      <c r="I468" s="183"/>
    </row>
    <row r="469" spans="6:9" ht="15.75" customHeight="1">
      <c r="F469" s="259"/>
      <c r="H469" s="183"/>
      <c r="I469" s="183"/>
    </row>
    <row r="470" spans="6:9" ht="15.75" customHeight="1">
      <c r="F470" s="259"/>
      <c r="H470" s="183"/>
      <c r="I470" s="183"/>
    </row>
    <row r="471" spans="6:9" ht="15.75" customHeight="1">
      <c r="F471" s="259"/>
      <c r="H471" s="183"/>
      <c r="I471" s="183"/>
    </row>
    <row r="472" spans="6:9" ht="15.75" customHeight="1">
      <c r="F472" s="259"/>
      <c r="H472" s="183"/>
      <c r="I472" s="183"/>
    </row>
    <row r="473" spans="6:9" ht="15.75" customHeight="1">
      <c r="F473" s="259"/>
      <c r="H473" s="183"/>
      <c r="I473" s="183"/>
    </row>
    <row r="474" spans="6:9" ht="15.75" customHeight="1">
      <c r="F474" s="259"/>
      <c r="H474" s="183"/>
      <c r="I474" s="183"/>
    </row>
    <row r="475" spans="6:9" ht="15.75" customHeight="1">
      <c r="F475" s="259"/>
      <c r="H475" s="183"/>
      <c r="I475" s="183"/>
    </row>
    <row r="476" spans="6:9" ht="15.75" customHeight="1">
      <c r="F476" s="259"/>
      <c r="H476" s="183"/>
      <c r="I476" s="183"/>
    </row>
    <row r="477" spans="6:9" ht="15.75" customHeight="1">
      <c r="F477" s="259"/>
      <c r="H477" s="183"/>
      <c r="I477" s="183"/>
    </row>
    <row r="478" spans="6:9" ht="15.75" customHeight="1">
      <c r="F478" s="259"/>
      <c r="H478" s="183"/>
      <c r="I478" s="183"/>
    </row>
    <row r="479" spans="6:9" ht="15.75" customHeight="1">
      <c r="F479" s="259"/>
      <c r="H479" s="183"/>
      <c r="I479" s="183"/>
    </row>
    <row r="480" spans="6:9" ht="15.75" customHeight="1">
      <c r="F480" s="259"/>
      <c r="H480" s="183"/>
      <c r="I480" s="183"/>
    </row>
    <row r="481" spans="6:9" ht="15.75" customHeight="1">
      <c r="F481" s="259"/>
      <c r="H481" s="183"/>
      <c r="I481" s="183"/>
    </row>
    <row r="482" spans="6:9" ht="15.75" customHeight="1">
      <c r="F482" s="259"/>
      <c r="H482" s="183"/>
      <c r="I482" s="183"/>
    </row>
    <row r="483" spans="6:9" ht="15.75" customHeight="1">
      <c r="F483" s="259"/>
      <c r="H483" s="183"/>
      <c r="I483" s="183"/>
    </row>
    <row r="484" spans="6:9" ht="15.75" customHeight="1">
      <c r="F484" s="259"/>
      <c r="H484" s="183"/>
      <c r="I484" s="183"/>
    </row>
    <row r="485" spans="6:9" ht="15.75" customHeight="1">
      <c r="F485" s="259"/>
      <c r="H485" s="183"/>
      <c r="I485" s="183"/>
    </row>
    <row r="486" spans="6:9" ht="15.75" customHeight="1">
      <c r="F486" s="259"/>
      <c r="H486" s="183"/>
      <c r="I486" s="183"/>
    </row>
    <row r="487" spans="6:9" ht="15.75" customHeight="1">
      <c r="F487" s="259"/>
      <c r="H487" s="183"/>
      <c r="I487" s="183"/>
    </row>
    <row r="488" spans="6:9" ht="15.75" customHeight="1">
      <c r="F488" s="259"/>
      <c r="H488" s="183"/>
      <c r="I488" s="183"/>
    </row>
    <row r="489" spans="6:9" ht="15.75" customHeight="1">
      <c r="F489" s="259"/>
      <c r="H489" s="183"/>
      <c r="I489" s="183"/>
    </row>
    <row r="490" spans="6:9" ht="15.75" customHeight="1">
      <c r="F490" s="259"/>
      <c r="H490" s="183"/>
      <c r="I490" s="183"/>
    </row>
    <row r="491" spans="6:9" ht="15.75" customHeight="1">
      <c r="F491" s="259"/>
      <c r="H491" s="183"/>
      <c r="I491" s="183"/>
    </row>
    <row r="492" spans="6:9" ht="15.75" customHeight="1">
      <c r="F492" s="259"/>
      <c r="H492" s="183"/>
      <c r="I492" s="183"/>
    </row>
    <row r="493" spans="6:9" ht="15.75" customHeight="1">
      <c r="F493" s="259"/>
      <c r="H493" s="183"/>
      <c r="I493" s="183"/>
    </row>
    <row r="494" spans="6:9" ht="15.75" customHeight="1">
      <c r="F494" s="259"/>
      <c r="H494" s="183"/>
      <c r="I494" s="183"/>
    </row>
    <row r="495" spans="6:9" ht="15.75" customHeight="1">
      <c r="F495" s="259"/>
      <c r="H495" s="183"/>
      <c r="I495" s="183"/>
    </row>
    <row r="496" spans="6:9" ht="15.75" customHeight="1">
      <c r="F496" s="259"/>
      <c r="H496" s="183"/>
      <c r="I496" s="183"/>
    </row>
    <row r="497" spans="6:9" ht="15.75" customHeight="1">
      <c r="F497" s="259"/>
      <c r="H497" s="183"/>
      <c r="I497" s="183"/>
    </row>
    <row r="498" spans="6:9" ht="15.75" customHeight="1">
      <c r="F498" s="259"/>
      <c r="H498" s="183"/>
      <c r="I498" s="183"/>
    </row>
    <row r="499" spans="6:9" ht="15.75" customHeight="1">
      <c r="F499" s="259"/>
      <c r="H499" s="183"/>
      <c r="I499" s="183"/>
    </row>
    <row r="500" spans="6:9" ht="15.75" customHeight="1">
      <c r="F500" s="259"/>
      <c r="H500" s="183"/>
      <c r="I500" s="183"/>
    </row>
    <row r="501" spans="6:9" ht="15.75" customHeight="1">
      <c r="F501" s="259"/>
      <c r="H501" s="183"/>
      <c r="I501" s="183"/>
    </row>
    <row r="502" spans="6:9" ht="15.75" customHeight="1">
      <c r="F502" s="259"/>
      <c r="H502" s="183"/>
      <c r="I502" s="183"/>
    </row>
    <row r="503" spans="6:9" ht="15.75" customHeight="1">
      <c r="F503" s="259"/>
      <c r="H503" s="183"/>
      <c r="I503" s="183"/>
    </row>
    <row r="504" spans="6:9" ht="15.75" customHeight="1">
      <c r="F504" s="259"/>
      <c r="H504" s="183"/>
      <c r="I504" s="183"/>
    </row>
    <row r="505" spans="6:9" ht="15.75" customHeight="1">
      <c r="F505" s="259"/>
      <c r="H505" s="183"/>
      <c r="I505" s="183"/>
    </row>
    <row r="506" spans="6:9" ht="15.75" customHeight="1">
      <c r="F506" s="259"/>
      <c r="H506" s="183"/>
      <c r="I506" s="183"/>
    </row>
    <row r="507" spans="6:9" ht="15.75" customHeight="1">
      <c r="F507" s="259"/>
      <c r="H507" s="183"/>
      <c r="I507" s="183"/>
    </row>
    <row r="508" spans="6:9" ht="15.75" customHeight="1">
      <c r="F508" s="259"/>
      <c r="H508" s="183"/>
      <c r="I508" s="183"/>
    </row>
    <row r="509" spans="6:9" ht="15.75" customHeight="1">
      <c r="F509" s="259"/>
      <c r="H509" s="183"/>
      <c r="I509" s="183"/>
    </row>
    <row r="510" spans="6:9" ht="15.75" customHeight="1">
      <c r="F510" s="259"/>
      <c r="H510" s="183"/>
      <c r="I510" s="183"/>
    </row>
    <row r="511" spans="6:9" ht="15.75" customHeight="1">
      <c r="F511" s="259"/>
      <c r="H511" s="183"/>
      <c r="I511" s="183"/>
    </row>
    <row r="512" spans="6:9" ht="15.75" customHeight="1">
      <c r="F512" s="259"/>
      <c r="H512" s="183"/>
      <c r="I512" s="183"/>
    </row>
    <row r="513" spans="6:9" ht="15.75" customHeight="1">
      <c r="F513" s="259"/>
      <c r="H513" s="183"/>
      <c r="I513" s="183"/>
    </row>
    <row r="514" spans="6:9" ht="15.75" customHeight="1">
      <c r="F514" s="259"/>
      <c r="H514" s="183"/>
      <c r="I514" s="183"/>
    </row>
    <row r="515" spans="6:9" ht="15.75" customHeight="1">
      <c r="F515" s="259"/>
      <c r="H515" s="183"/>
      <c r="I515" s="183"/>
    </row>
    <row r="516" spans="6:9" ht="15.75" customHeight="1">
      <c r="F516" s="259"/>
      <c r="H516" s="183"/>
      <c r="I516" s="183"/>
    </row>
    <row r="517" spans="6:9" ht="15.75" customHeight="1">
      <c r="F517" s="259"/>
      <c r="H517" s="183"/>
      <c r="I517" s="183"/>
    </row>
    <row r="518" spans="6:9" ht="15.75" customHeight="1">
      <c r="F518" s="259"/>
      <c r="H518" s="183"/>
      <c r="I518" s="183"/>
    </row>
    <row r="519" spans="6:9" ht="15.75" customHeight="1">
      <c r="F519" s="259"/>
      <c r="H519" s="183"/>
      <c r="I519" s="183"/>
    </row>
    <row r="520" spans="6:9" ht="15.75" customHeight="1">
      <c r="F520" s="259"/>
      <c r="H520" s="183"/>
      <c r="I520" s="183"/>
    </row>
    <row r="521" spans="6:9" ht="15.75" customHeight="1">
      <c r="F521" s="259"/>
      <c r="H521" s="183"/>
      <c r="I521" s="183"/>
    </row>
    <row r="522" spans="6:9" ht="15.75" customHeight="1">
      <c r="F522" s="259"/>
      <c r="H522" s="183"/>
      <c r="I522" s="183"/>
    </row>
    <row r="523" spans="6:9" ht="15.75" customHeight="1">
      <c r="F523" s="259"/>
      <c r="H523" s="183"/>
      <c r="I523" s="183"/>
    </row>
    <row r="524" spans="6:9" ht="15.75" customHeight="1">
      <c r="F524" s="259"/>
      <c r="H524" s="183"/>
      <c r="I524" s="183"/>
    </row>
    <row r="525" spans="6:9" ht="15.75" customHeight="1">
      <c r="F525" s="259"/>
      <c r="H525" s="183"/>
      <c r="I525" s="183"/>
    </row>
    <row r="526" spans="6:9" ht="15.75" customHeight="1">
      <c r="F526" s="259"/>
      <c r="H526" s="183"/>
      <c r="I526" s="183"/>
    </row>
    <row r="527" spans="6:9" ht="15.75" customHeight="1">
      <c r="F527" s="259"/>
      <c r="H527" s="183"/>
      <c r="I527" s="183"/>
    </row>
    <row r="528" spans="6:9" ht="15.75" customHeight="1">
      <c r="F528" s="259"/>
      <c r="H528" s="183"/>
      <c r="I528" s="183"/>
    </row>
    <row r="529" spans="6:9" ht="15.75" customHeight="1">
      <c r="F529" s="259"/>
      <c r="H529" s="183"/>
      <c r="I529" s="183"/>
    </row>
    <row r="530" spans="6:9" ht="15.75" customHeight="1">
      <c r="F530" s="259"/>
      <c r="H530" s="183"/>
      <c r="I530" s="183"/>
    </row>
    <row r="531" spans="6:9" ht="15.75" customHeight="1">
      <c r="F531" s="259"/>
      <c r="H531" s="183"/>
      <c r="I531" s="183"/>
    </row>
    <row r="532" spans="6:9" ht="15.75" customHeight="1">
      <c r="F532" s="259"/>
      <c r="H532" s="183"/>
      <c r="I532" s="183"/>
    </row>
    <row r="533" spans="6:9" ht="15.75" customHeight="1">
      <c r="F533" s="259"/>
      <c r="H533" s="183"/>
      <c r="I533" s="183"/>
    </row>
    <row r="534" spans="6:9" ht="15.75" customHeight="1">
      <c r="F534" s="259"/>
      <c r="H534" s="183"/>
      <c r="I534" s="183"/>
    </row>
    <row r="535" spans="6:9" ht="15.75" customHeight="1">
      <c r="F535" s="259"/>
      <c r="H535" s="183"/>
      <c r="I535" s="183"/>
    </row>
    <row r="536" spans="6:9" ht="15.75" customHeight="1">
      <c r="F536" s="259"/>
      <c r="H536" s="183"/>
      <c r="I536" s="183"/>
    </row>
    <row r="537" spans="6:9" ht="15.75" customHeight="1">
      <c r="F537" s="259"/>
      <c r="H537" s="183"/>
      <c r="I537" s="183"/>
    </row>
    <row r="538" spans="6:9" ht="15.75" customHeight="1">
      <c r="F538" s="259"/>
      <c r="H538" s="183"/>
      <c r="I538" s="183"/>
    </row>
    <row r="539" spans="6:9" ht="15.75" customHeight="1">
      <c r="F539" s="259"/>
      <c r="H539" s="183"/>
      <c r="I539" s="183"/>
    </row>
    <row r="540" spans="6:9" ht="15.75" customHeight="1">
      <c r="F540" s="259"/>
      <c r="H540" s="183"/>
      <c r="I540" s="183"/>
    </row>
    <row r="541" spans="6:9" ht="15.75" customHeight="1">
      <c r="F541" s="259"/>
      <c r="H541" s="183"/>
      <c r="I541" s="183"/>
    </row>
    <row r="542" spans="6:9" ht="15.75" customHeight="1">
      <c r="F542" s="259"/>
      <c r="H542" s="183"/>
      <c r="I542" s="183"/>
    </row>
    <row r="543" spans="6:9" ht="15.75" customHeight="1">
      <c r="F543" s="259"/>
      <c r="H543" s="183"/>
      <c r="I543" s="183"/>
    </row>
    <row r="544" spans="6:9" ht="15.75" customHeight="1">
      <c r="F544" s="259"/>
      <c r="H544" s="183"/>
      <c r="I544" s="183"/>
    </row>
    <row r="545" spans="6:9" ht="15.75" customHeight="1">
      <c r="F545" s="259"/>
      <c r="H545" s="183"/>
      <c r="I545" s="183"/>
    </row>
    <row r="546" spans="6:9" ht="15.75" customHeight="1">
      <c r="F546" s="259"/>
      <c r="H546" s="183"/>
      <c r="I546" s="183"/>
    </row>
    <row r="547" spans="6:9" ht="15.75" customHeight="1">
      <c r="F547" s="259"/>
      <c r="H547" s="183"/>
      <c r="I547" s="183"/>
    </row>
    <row r="548" spans="6:9" ht="15.75" customHeight="1">
      <c r="F548" s="259"/>
      <c r="H548" s="183"/>
      <c r="I548" s="183"/>
    </row>
    <row r="549" spans="6:9" ht="15.75" customHeight="1">
      <c r="F549" s="259"/>
      <c r="H549" s="183"/>
      <c r="I549" s="183"/>
    </row>
    <row r="550" spans="6:9" ht="15.75" customHeight="1">
      <c r="F550" s="259"/>
      <c r="H550" s="183"/>
      <c r="I550" s="183"/>
    </row>
    <row r="551" spans="6:9" ht="15.75" customHeight="1">
      <c r="F551" s="259"/>
      <c r="H551" s="183"/>
      <c r="I551" s="183"/>
    </row>
    <row r="552" spans="6:9" ht="15.75" customHeight="1">
      <c r="F552" s="259"/>
      <c r="H552" s="183"/>
      <c r="I552" s="183"/>
    </row>
    <row r="553" spans="6:9" ht="15.75" customHeight="1">
      <c r="F553" s="259"/>
      <c r="H553" s="183"/>
      <c r="I553" s="183"/>
    </row>
    <row r="554" spans="6:9" ht="15.75" customHeight="1">
      <c r="F554" s="259"/>
      <c r="H554" s="183"/>
      <c r="I554" s="183"/>
    </row>
    <row r="555" spans="6:9" ht="15.75" customHeight="1">
      <c r="F555" s="259"/>
      <c r="H555" s="183"/>
      <c r="I555" s="183"/>
    </row>
    <row r="556" spans="6:9" ht="15.75" customHeight="1">
      <c r="F556" s="259"/>
      <c r="H556" s="183"/>
      <c r="I556" s="183"/>
    </row>
    <row r="557" spans="6:9" ht="15.75" customHeight="1">
      <c r="F557" s="259"/>
      <c r="H557" s="183"/>
      <c r="I557" s="183"/>
    </row>
    <row r="558" spans="6:9" ht="15.75" customHeight="1">
      <c r="F558" s="259"/>
      <c r="H558" s="183"/>
      <c r="I558" s="183"/>
    </row>
    <row r="559" spans="6:9" ht="15.75" customHeight="1">
      <c r="F559" s="259"/>
      <c r="H559" s="183"/>
      <c r="I559" s="183"/>
    </row>
    <row r="560" spans="6:9" ht="15.75" customHeight="1">
      <c r="F560" s="259"/>
      <c r="H560" s="183"/>
      <c r="I560" s="183"/>
    </row>
    <row r="561" spans="6:9" ht="15.75" customHeight="1">
      <c r="F561" s="259"/>
      <c r="H561" s="183"/>
      <c r="I561" s="183"/>
    </row>
    <row r="562" spans="6:9" ht="15.75" customHeight="1">
      <c r="F562" s="259"/>
      <c r="H562" s="183"/>
      <c r="I562" s="183"/>
    </row>
    <row r="563" spans="6:9" ht="15.75" customHeight="1">
      <c r="F563" s="259"/>
      <c r="H563" s="183"/>
      <c r="I563" s="183"/>
    </row>
    <row r="564" spans="6:9" ht="15.75" customHeight="1">
      <c r="F564" s="259"/>
      <c r="H564" s="183"/>
      <c r="I564" s="183"/>
    </row>
    <row r="565" spans="6:9" ht="15.75" customHeight="1">
      <c r="F565" s="259"/>
      <c r="H565" s="183"/>
      <c r="I565" s="183"/>
    </row>
    <row r="566" spans="6:9" ht="15.75" customHeight="1">
      <c r="F566" s="259"/>
      <c r="H566" s="183"/>
      <c r="I566" s="183"/>
    </row>
    <row r="567" spans="6:9" ht="15.75" customHeight="1">
      <c r="F567" s="259"/>
      <c r="H567" s="183"/>
      <c r="I567" s="183"/>
    </row>
    <row r="568" spans="6:9" ht="15.75" customHeight="1">
      <c r="F568" s="259"/>
      <c r="H568" s="183"/>
      <c r="I568" s="183"/>
    </row>
    <row r="569" spans="6:9" ht="15.75" customHeight="1">
      <c r="F569" s="259"/>
      <c r="H569" s="183"/>
      <c r="I569" s="183"/>
    </row>
    <row r="570" spans="6:9" ht="15.75" customHeight="1">
      <c r="F570" s="259"/>
      <c r="H570" s="183"/>
      <c r="I570" s="183"/>
    </row>
    <row r="571" spans="6:9" ht="15.75" customHeight="1">
      <c r="F571" s="259"/>
      <c r="H571" s="183"/>
      <c r="I571" s="183"/>
    </row>
    <row r="572" spans="6:9" ht="15.75" customHeight="1">
      <c r="F572" s="259"/>
      <c r="H572" s="183"/>
      <c r="I572" s="183"/>
    </row>
    <row r="573" spans="6:9" ht="15.75" customHeight="1">
      <c r="F573" s="259"/>
      <c r="H573" s="183"/>
      <c r="I573" s="183"/>
    </row>
    <row r="574" spans="6:9" ht="15.75" customHeight="1">
      <c r="F574" s="259"/>
      <c r="H574" s="183"/>
      <c r="I574" s="183"/>
    </row>
    <row r="575" spans="6:9" ht="15.75" customHeight="1">
      <c r="F575" s="259"/>
      <c r="H575" s="183"/>
      <c r="I575" s="183"/>
    </row>
    <row r="576" spans="6:9" ht="15.75" customHeight="1">
      <c r="F576" s="259"/>
      <c r="H576" s="183"/>
      <c r="I576" s="183"/>
    </row>
    <row r="577" spans="6:9" ht="15.75" customHeight="1">
      <c r="F577" s="259"/>
      <c r="H577" s="183"/>
      <c r="I577" s="183"/>
    </row>
    <row r="578" spans="6:9" ht="15.75" customHeight="1">
      <c r="F578" s="259"/>
      <c r="H578" s="183"/>
      <c r="I578" s="183"/>
    </row>
    <row r="579" spans="6:9" ht="15.75" customHeight="1">
      <c r="F579" s="259"/>
      <c r="H579" s="183"/>
      <c r="I579" s="183"/>
    </row>
    <row r="580" spans="6:9" ht="15.75" customHeight="1">
      <c r="F580" s="259"/>
      <c r="H580" s="183"/>
      <c r="I580" s="183"/>
    </row>
    <row r="581" spans="6:9" ht="15.75" customHeight="1">
      <c r="F581" s="259"/>
      <c r="H581" s="183"/>
      <c r="I581" s="183"/>
    </row>
    <row r="582" spans="6:9" ht="15.75" customHeight="1">
      <c r="F582" s="259"/>
      <c r="H582" s="183"/>
      <c r="I582" s="183"/>
    </row>
    <row r="583" spans="6:9" ht="15.75" customHeight="1">
      <c r="F583" s="259"/>
      <c r="H583" s="183"/>
      <c r="I583" s="183"/>
    </row>
    <row r="584" spans="6:9" ht="15.75" customHeight="1">
      <c r="F584" s="259"/>
      <c r="H584" s="183"/>
      <c r="I584" s="183"/>
    </row>
    <row r="585" spans="6:9" ht="15.75" customHeight="1">
      <c r="F585" s="259"/>
      <c r="H585" s="183"/>
      <c r="I585" s="183"/>
    </row>
    <row r="586" spans="6:9" ht="15.75" customHeight="1">
      <c r="F586" s="259"/>
      <c r="H586" s="183"/>
      <c r="I586" s="183"/>
    </row>
    <row r="587" spans="6:9" ht="15.75" customHeight="1">
      <c r="F587" s="259"/>
      <c r="H587" s="183"/>
      <c r="I587" s="183"/>
    </row>
    <row r="588" spans="6:9" ht="15.75" customHeight="1">
      <c r="F588" s="259"/>
      <c r="H588" s="183"/>
      <c r="I588" s="183"/>
    </row>
    <row r="589" spans="6:9" ht="15.75" customHeight="1">
      <c r="F589" s="259"/>
      <c r="H589" s="183"/>
      <c r="I589" s="183"/>
    </row>
    <row r="590" spans="6:9" ht="15.75" customHeight="1">
      <c r="F590" s="259"/>
      <c r="H590" s="183"/>
      <c r="I590" s="183"/>
    </row>
    <row r="591" spans="6:9" ht="15.75" customHeight="1">
      <c r="F591" s="259"/>
      <c r="H591" s="183"/>
      <c r="I591" s="183"/>
    </row>
    <row r="592" spans="6:9" ht="15.75" customHeight="1">
      <c r="F592" s="259"/>
      <c r="H592" s="183"/>
      <c r="I592" s="183"/>
    </row>
    <row r="593" spans="6:9" ht="15.75" customHeight="1">
      <c r="F593" s="259"/>
      <c r="H593" s="183"/>
      <c r="I593" s="183"/>
    </row>
    <row r="594" spans="6:9" ht="15.75" customHeight="1">
      <c r="F594" s="259"/>
      <c r="H594" s="183"/>
      <c r="I594" s="183"/>
    </row>
    <row r="595" spans="6:9" ht="15.75" customHeight="1">
      <c r="F595" s="259"/>
      <c r="H595" s="183"/>
      <c r="I595" s="183"/>
    </row>
    <row r="596" spans="6:9" ht="15.75" customHeight="1">
      <c r="F596" s="259"/>
      <c r="H596" s="183"/>
      <c r="I596" s="183"/>
    </row>
    <row r="597" spans="6:9" ht="15.75" customHeight="1">
      <c r="F597" s="259"/>
      <c r="H597" s="183"/>
      <c r="I597" s="183"/>
    </row>
    <row r="598" spans="6:9" ht="15.75" customHeight="1">
      <c r="F598" s="259"/>
      <c r="H598" s="183"/>
      <c r="I598" s="183"/>
    </row>
    <row r="599" spans="6:9" ht="15.75" customHeight="1">
      <c r="F599" s="259"/>
      <c r="H599" s="183"/>
      <c r="I599" s="183"/>
    </row>
    <row r="600" spans="6:9" ht="15.75" customHeight="1">
      <c r="F600" s="259"/>
      <c r="H600" s="183"/>
      <c r="I600" s="183"/>
    </row>
    <row r="601" spans="6:9" ht="15.75" customHeight="1">
      <c r="F601" s="259"/>
      <c r="H601" s="183"/>
      <c r="I601" s="183"/>
    </row>
    <row r="602" spans="6:9" ht="15.75" customHeight="1">
      <c r="F602" s="259"/>
      <c r="H602" s="183"/>
      <c r="I602" s="183"/>
    </row>
    <row r="603" spans="6:9" ht="15.75" customHeight="1">
      <c r="F603" s="259"/>
      <c r="H603" s="183"/>
      <c r="I603" s="183"/>
    </row>
    <row r="604" spans="6:9" ht="15.75" customHeight="1">
      <c r="F604" s="259"/>
      <c r="H604" s="183"/>
      <c r="I604" s="183"/>
    </row>
    <row r="605" spans="6:9" ht="15.75" customHeight="1">
      <c r="F605" s="259"/>
      <c r="H605" s="183"/>
      <c r="I605" s="183"/>
    </row>
    <row r="606" spans="6:9" ht="15.75" customHeight="1">
      <c r="F606" s="259"/>
      <c r="H606" s="183"/>
      <c r="I606" s="183"/>
    </row>
    <row r="607" spans="6:9" ht="15.75" customHeight="1">
      <c r="F607" s="259"/>
      <c r="H607" s="183"/>
      <c r="I607" s="183"/>
    </row>
    <row r="608" spans="6:9" ht="15.75" customHeight="1">
      <c r="F608" s="259"/>
      <c r="H608" s="183"/>
      <c r="I608" s="183"/>
    </row>
    <row r="609" spans="6:9" ht="15.75" customHeight="1">
      <c r="F609" s="259"/>
      <c r="H609" s="183"/>
      <c r="I609" s="183"/>
    </row>
    <row r="610" spans="6:9" ht="15.75" customHeight="1">
      <c r="F610" s="259"/>
      <c r="H610" s="183"/>
      <c r="I610" s="183"/>
    </row>
    <row r="611" spans="6:9" ht="15.75" customHeight="1">
      <c r="F611" s="259"/>
      <c r="H611" s="183"/>
      <c r="I611" s="183"/>
    </row>
    <row r="612" spans="6:9" ht="15.75" customHeight="1">
      <c r="F612" s="259"/>
      <c r="H612" s="183"/>
      <c r="I612" s="183"/>
    </row>
    <row r="613" spans="6:9" ht="15.75" customHeight="1">
      <c r="F613" s="259"/>
      <c r="H613" s="183"/>
      <c r="I613" s="183"/>
    </row>
    <row r="614" spans="6:9" ht="15.75" customHeight="1">
      <c r="F614" s="259"/>
      <c r="H614" s="183"/>
      <c r="I614" s="183"/>
    </row>
    <row r="615" spans="6:9" ht="15.75" customHeight="1">
      <c r="F615" s="259"/>
      <c r="H615" s="183"/>
      <c r="I615" s="183"/>
    </row>
    <row r="616" spans="6:9" ht="15.75" customHeight="1">
      <c r="F616" s="259"/>
      <c r="H616" s="183"/>
      <c r="I616" s="183"/>
    </row>
    <row r="617" spans="6:9" ht="15.75" customHeight="1">
      <c r="F617" s="259"/>
      <c r="H617" s="183"/>
      <c r="I617" s="183"/>
    </row>
    <row r="618" spans="6:9" ht="15.75" customHeight="1">
      <c r="F618" s="259"/>
      <c r="H618" s="183"/>
      <c r="I618" s="183"/>
    </row>
    <row r="619" spans="6:9" ht="15.75" customHeight="1">
      <c r="F619" s="259"/>
      <c r="H619" s="183"/>
      <c r="I619" s="183"/>
    </row>
    <row r="620" spans="6:9" ht="15.75" customHeight="1">
      <c r="F620" s="259"/>
      <c r="H620" s="183"/>
      <c r="I620" s="183"/>
    </row>
    <row r="621" spans="6:9" ht="15.75" customHeight="1">
      <c r="F621" s="259"/>
      <c r="H621" s="183"/>
      <c r="I621" s="183"/>
    </row>
    <row r="622" spans="6:9" ht="15.75" customHeight="1">
      <c r="F622" s="259"/>
      <c r="H622" s="183"/>
      <c r="I622" s="183"/>
    </row>
    <row r="623" spans="6:9" ht="15.75" customHeight="1">
      <c r="F623" s="259"/>
      <c r="H623" s="183"/>
      <c r="I623" s="183"/>
    </row>
    <row r="624" spans="6:9" ht="15.75" customHeight="1">
      <c r="F624" s="259"/>
      <c r="H624" s="183"/>
      <c r="I624" s="183"/>
    </row>
    <row r="625" spans="6:9" ht="15.75" customHeight="1">
      <c r="F625" s="259"/>
      <c r="H625" s="183"/>
      <c r="I625" s="183"/>
    </row>
    <row r="626" spans="6:9" ht="15.75" customHeight="1">
      <c r="F626" s="259"/>
      <c r="H626" s="183"/>
      <c r="I626" s="183"/>
    </row>
    <row r="627" spans="6:9" ht="15.75" customHeight="1">
      <c r="F627" s="259"/>
      <c r="H627" s="183"/>
      <c r="I627" s="183"/>
    </row>
    <row r="628" spans="6:9" ht="15.75" customHeight="1">
      <c r="F628" s="259"/>
      <c r="H628" s="183"/>
      <c r="I628" s="183"/>
    </row>
    <row r="629" spans="6:9" ht="15.75" customHeight="1">
      <c r="F629" s="259"/>
      <c r="H629" s="183"/>
      <c r="I629" s="183"/>
    </row>
    <row r="630" spans="6:9" ht="15.75" customHeight="1">
      <c r="F630" s="259"/>
      <c r="H630" s="183"/>
      <c r="I630" s="183"/>
    </row>
    <row r="631" spans="6:9" ht="15.75" customHeight="1">
      <c r="F631" s="259"/>
      <c r="H631" s="183"/>
      <c r="I631" s="183"/>
    </row>
    <row r="632" spans="6:9" ht="15.75" customHeight="1">
      <c r="F632" s="259"/>
      <c r="H632" s="183"/>
      <c r="I632" s="183"/>
    </row>
    <row r="633" spans="6:9" ht="15.75" customHeight="1">
      <c r="F633" s="259"/>
      <c r="H633" s="183"/>
      <c r="I633" s="183"/>
    </row>
    <row r="634" spans="6:9" ht="15.75" customHeight="1">
      <c r="F634" s="259"/>
      <c r="H634" s="183"/>
      <c r="I634" s="183"/>
    </row>
    <row r="635" spans="6:9" ht="15.75" customHeight="1">
      <c r="F635" s="259"/>
      <c r="H635" s="183"/>
      <c r="I635" s="183"/>
    </row>
    <row r="636" spans="6:9" ht="15.75" customHeight="1">
      <c r="F636" s="259"/>
      <c r="H636" s="183"/>
      <c r="I636" s="183"/>
    </row>
    <row r="637" spans="6:9" ht="15.75" customHeight="1">
      <c r="F637" s="259"/>
      <c r="H637" s="183"/>
      <c r="I637" s="183"/>
    </row>
    <row r="638" spans="6:9" ht="15.75" customHeight="1">
      <c r="F638" s="259"/>
      <c r="H638" s="183"/>
      <c r="I638" s="183"/>
    </row>
    <row r="639" spans="6:9" ht="15.75" customHeight="1">
      <c r="F639" s="259"/>
      <c r="H639" s="183"/>
      <c r="I639" s="183"/>
    </row>
    <row r="640" spans="6:9" ht="15.75" customHeight="1">
      <c r="F640" s="259"/>
      <c r="H640" s="183"/>
      <c r="I640" s="183"/>
    </row>
    <row r="641" spans="6:9" ht="15.75" customHeight="1">
      <c r="F641" s="259"/>
      <c r="H641" s="183"/>
      <c r="I641" s="183"/>
    </row>
    <row r="642" spans="6:9" ht="15.75" customHeight="1">
      <c r="F642" s="259"/>
      <c r="H642" s="183"/>
      <c r="I642" s="183"/>
    </row>
    <row r="643" spans="6:9" ht="15.75" customHeight="1">
      <c r="F643" s="259"/>
      <c r="H643" s="183"/>
      <c r="I643" s="183"/>
    </row>
    <row r="644" spans="6:9" ht="15.75" customHeight="1">
      <c r="F644" s="259"/>
      <c r="H644" s="183"/>
      <c r="I644" s="183"/>
    </row>
    <row r="645" spans="6:9" ht="15.75" customHeight="1">
      <c r="F645" s="259"/>
      <c r="H645" s="183"/>
      <c r="I645" s="183"/>
    </row>
    <row r="646" spans="6:9" ht="15.75" customHeight="1">
      <c r="F646" s="259"/>
      <c r="H646" s="183"/>
      <c r="I646" s="183"/>
    </row>
    <row r="647" spans="6:9" ht="15.75" customHeight="1">
      <c r="F647" s="259"/>
      <c r="H647" s="183"/>
      <c r="I647" s="183"/>
    </row>
    <row r="648" spans="6:9" ht="15.75" customHeight="1">
      <c r="F648" s="259"/>
      <c r="H648" s="183"/>
      <c r="I648" s="183"/>
    </row>
    <row r="649" spans="6:9" ht="15.75" customHeight="1">
      <c r="F649" s="259"/>
      <c r="H649" s="183"/>
      <c r="I649" s="183"/>
    </row>
    <row r="650" spans="6:9" ht="15.75" customHeight="1">
      <c r="F650" s="259"/>
      <c r="H650" s="183"/>
      <c r="I650" s="183"/>
    </row>
    <row r="651" spans="6:9" ht="15.75" customHeight="1">
      <c r="F651" s="259"/>
      <c r="H651" s="183"/>
      <c r="I651" s="183"/>
    </row>
    <row r="652" spans="6:9" ht="15.75" customHeight="1">
      <c r="F652" s="259"/>
      <c r="H652" s="183"/>
      <c r="I652" s="183"/>
    </row>
    <row r="653" spans="6:9" ht="15.75" customHeight="1">
      <c r="F653" s="259"/>
      <c r="H653" s="183"/>
      <c r="I653" s="183"/>
    </row>
    <row r="654" spans="6:9" ht="15.75" customHeight="1">
      <c r="F654" s="259"/>
      <c r="H654" s="183"/>
      <c r="I654" s="183"/>
    </row>
    <row r="655" spans="6:9" ht="15.75" customHeight="1">
      <c r="F655" s="259"/>
      <c r="H655" s="183"/>
      <c r="I655" s="183"/>
    </row>
    <row r="656" spans="6:9" ht="15.75" customHeight="1">
      <c r="F656" s="259"/>
      <c r="H656" s="183"/>
      <c r="I656" s="183"/>
    </row>
    <row r="657" spans="6:9" ht="15.75" customHeight="1">
      <c r="F657" s="259"/>
      <c r="H657" s="183"/>
      <c r="I657" s="183"/>
    </row>
    <row r="658" spans="6:9" ht="15.75" customHeight="1">
      <c r="F658" s="259"/>
      <c r="H658" s="183"/>
      <c r="I658" s="183"/>
    </row>
    <row r="659" spans="6:9" ht="15.75" customHeight="1">
      <c r="F659" s="259"/>
      <c r="H659" s="183"/>
      <c r="I659" s="183"/>
    </row>
    <row r="660" spans="6:9" ht="15.75" customHeight="1">
      <c r="F660" s="259"/>
      <c r="H660" s="183"/>
      <c r="I660" s="183"/>
    </row>
    <row r="661" spans="6:9" ht="15.75" customHeight="1">
      <c r="F661" s="259"/>
      <c r="H661" s="183"/>
      <c r="I661" s="183"/>
    </row>
    <row r="662" spans="6:9" ht="15.75" customHeight="1">
      <c r="F662" s="259"/>
      <c r="H662" s="183"/>
      <c r="I662" s="183"/>
    </row>
    <row r="663" spans="6:9" ht="15.75" customHeight="1">
      <c r="F663" s="259"/>
      <c r="H663" s="183"/>
      <c r="I663" s="183"/>
    </row>
    <row r="664" spans="6:9" ht="15.75" customHeight="1">
      <c r="F664" s="259"/>
      <c r="H664" s="183"/>
      <c r="I664" s="183"/>
    </row>
    <row r="665" spans="6:9" ht="15.75" customHeight="1">
      <c r="F665" s="259"/>
      <c r="H665" s="183"/>
      <c r="I665" s="183"/>
    </row>
    <row r="666" spans="6:9" ht="15.75" customHeight="1">
      <c r="F666" s="259"/>
      <c r="H666" s="183"/>
      <c r="I666" s="183"/>
    </row>
    <row r="667" spans="6:9" ht="15.75" customHeight="1">
      <c r="F667" s="259"/>
      <c r="H667" s="183"/>
      <c r="I667" s="183"/>
    </row>
    <row r="668" spans="6:9" ht="15.75" customHeight="1">
      <c r="F668" s="259"/>
      <c r="H668" s="183"/>
      <c r="I668" s="183"/>
    </row>
    <row r="669" spans="6:9" ht="15.75" customHeight="1">
      <c r="F669" s="259"/>
      <c r="H669" s="183"/>
      <c r="I669" s="183"/>
    </row>
    <row r="670" spans="6:9" ht="15.75" customHeight="1">
      <c r="F670" s="259"/>
      <c r="H670" s="183"/>
      <c r="I670" s="183"/>
    </row>
    <row r="671" spans="6:9" ht="15.75" customHeight="1">
      <c r="F671" s="259"/>
      <c r="H671" s="183"/>
      <c r="I671" s="183"/>
    </row>
    <row r="672" spans="6:9" ht="15.75" customHeight="1">
      <c r="F672" s="259"/>
      <c r="H672" s="183"/>
      <c r="I672" s="183"/>
    </row>
    <row r="673" spans="6:9" ht="15.75" customHeight="1">
      <c r="F673" s="259"/>
      <c r="H673" s="183"/>
      <c r="I673" s="183"/>
    </row>
    <row r="674" spans="6:9" ht="15.75" customHeight="1">
      <c r="F674" s="259"/>
      <c r="H674" s="183"/>
      <c r="I674" s="183"/>
    </row>
    <row r="675" spans="6:9" ht="15.75" customHeight="1">
      <c r="F675" s="259"/>
      <c r="H675" s="183"/>
      <c r="I675" s="183"/>
    </row>
    <row r="676" spans="6:9" ht="15.75" customHeight="1">
      <c r="F676" s="259"/>
      <c r="H676" s="183"/>
      <c r="I676" s="183"/>
    </row>
    <row r="677" spans="6:9" ht="15.75" customHeight="1">
      <c r="F677" s="259"/>
      <c r="H677" s="183"/>
      <c r="I677" s="183"/>
    </row>
    <row r="678" spans="6:9" ht="15.75" customHeight="1">
      <c r="F678" s="259"/>
      <c r="H678" s="183"/>
      <c r="I678" s="183"/>
    </row>
    <row r="679" spans="6:9" ht="15.75" customHeight="1">
      <c r="F679" s="259"/>
      <c r="H679" s="183"/>
      <c r="I679" s="183"/>
    </row>
    <row r="680" spans="6:9" ht="15.75" customHeight="1">
      <c r="F680" s="259"/>
      <c r="H680" s="183"/>
      <c r="I680" s="183"/>
    </row>
    <row r="681" spans="6:9" ht="15.75" customHeight="1">
      <c r="F681" s="259"/>
      <c r="H681" s="183"/>
      <c r="I681" s="183"/>
    </row>
    <row r="682" spans="6:9" ht="15.75" customHeight="1">
      <c r="F682" s="259"/>
      <c r="H682" s="183"/>
      <c r="I682" s="183"/>
    </row>
    <row r="683" spans="6:9" ht="15.75" customHeight="1">
      <c r="F683" s="259"/>
      <c r="H683" s="183"/>
      <c r="I683" s="183"/>
    </row>
    <row r="684" spans="6:9" ht="15.75" customHeight="1">
      <c r="F684" s="259"/>
      <c r="H684" s="183"/>
      <c r="I684" s="183"/>
    </row>
    <row r="685" spans="6:9" ht="15.75" customHeight="1">
      <c r="F685" s="259"/>
      <c r="H685" s="183"/>
      <c r="I685" s="183"/>
    </row>
    <row r="686" spans="6:9" ht="15.75" customHeight="1">
      <c r="F686" s="259"/>
      <c r="H686" s="183"/>
      <c r="I686" s="183"/>
    </row>
    <row r="687" spans="6:9" ht="15.75" customHeight="1">
      <c r="F687" s="259"/>
      <c r="H687" s="183"/>
      <c r="I687" s="183"/>
    </row>
    <row r="688" spans="6:9" ht="15.75" customHeight="1">
      <c r="F688" s="259"/>
      <c r="H688" s="183"/>
      <c r="I688" s="183"/>
    </row>
    <row r="689" spans="6:9" ht="15.75" customHeight="1">
      <c r="F689" s="259"/>
      <c r="H689" s="183"/>
      <c r="I689" s="183"/>
    </row>
    <row r="690" spans="6:9" ht="15.75" customHeight="1">
      <c r="F690" s="259"/>
      <c r="H690" s="183"/>
      <c r="I690" s="183"/>
    </row>
    <row r="691" spans="6:9" ht="15.75" customHeight="1">
      <c r="F691" s="259"/>
      <c r="H691" s="183"/>
      <c r="I691" s="183"/>
    </row>
    <row r="692" spans="6:9" ht="15.75" customHeight="1">
      <c r="F692" s="259"/>
      <c r="H692" s="183"/>
      <c r="I692" s="183"/>
    </row>
    <row r="693" spans="6:9" ht="15.75" customHeight="1">
      <c r="F693" s="259"/>
      <c r="H693" s="183"/>
      <c r="I693" s="183"/>
    </row>
    <row r="694" spans="6:9" ht="15.75" customHeight="1">
      <c r="F694" s="259"/>
      <c r="H694" s="183"/>
      <c r="I694" s="183"/>
    </row>
    <row r="695" spans="6:9" ht="15.75" customHeight="1">
      <c r="F695" s="259"/>
      <c r="H695" s="183"/>
      <c r="I695" s="183"/>
    </row>
    <row r="696" spans="6:9" ht="15.75" customHeight="1">
      <c r="F696" s="259"/>
      <c r="H696" s="183"/>
      <c r="I696" s="183"/>
    </row>
    <row r="697" spans="6:9" ht="15.75" customHeight="1">
      <c r="F697" s="259"/>
      <c r="H697" s="183"/>
      <c r="I697" s="183"/>
    </row>
    <row r="698" spans="6:9" ht="15.75" customHeight="1">
      <c r="F698" s="259"/>
      <c r="H698" s="183"/>
      <c r="I698" s="183"/>
    </row>
    <row r="699" spans="6:9" ht="15.75" customHeight="1">
      <c r="F699" s="259"/>
      <c r="H699" s="183"/>
      <c r="I699" s="183"/>
    </row>
    <row r="700" spans="6:9" ht="15.75" customHeight="1">
      <c r="F700" s="259"/>
      <c r="H700" s="183"/>
      <c r="I700" s="183"/>
    </row>
    <row r="701" spans="6:9" ht="15.75" customHeight="1">
      <c r="F701" s="259"/>
      <c r="H701" s="183"/>
      <c r="I701" s="183"/>
    </row>
    <row r="702" spans="6:9" ht="15.75" customHeight="1">
      <c r="F702" s="259"/>
      <c r="H702" s="183"/>
      <c r="I702" s="183"/>
    </row>
    <row r="703" spans="6:9" ht="15.75" customHeight="1">
      <c r="F703" s="259"/>
      <c r="H703" s="183"/>
      <c r="I703" s="183"/>
    </row>
    <row r="704" spans="6:9" ht="15.75" customHeight="1">
      <c r="F704" s="259"/>
      <c r="H704" s="183"/>
      <c r="I704" s="183"/>
    </row>
    <row r="705" spans="6:9" ht="15.75" customHeight="1">
      <c r="F705" s="259"/>
      <c r="H705" s="183"/>
      <c r="I705" s="183"/>
    </row>
    <row r="706" spans="6:9" ht="15.75" customHeight="1">
      <c r="F706" s="259"/>
      <c r="H706" s="183"/>
      <c r="I706" s="183"/>
    </row>
    <row r="707" spans="6:9" ht="15.75" customHeight="1">
      <c r="F707" s="259"/>
      <c r="H707" s="183"/>
      <c r="I707" s="183"/>
    </row>
    <row r="708" spans="6:9" ht="15.75" customHeight="1">
      <c r="F708" s="259"/>
      <c r="H708" s="183"/>
      <c r="I708" s="183"/>
    </row>
    <row r="709" spans="6:9" ht="15.75" customHeight="1">
      <c r="F709" s="259"/>
      <c r="H709" s="183"/>
      <c r="I709" s="183"/>
    </row>
    <row r="710" spans="6:9" ht="15.75" customHeight="1">
      <c r="F710" s="259"/>
      <c r="H710" s="183"/>
      <c r="I710" s="183"/>
    </row>
    <row r="711" spans="6:9" ht="15.75" customHeight="1">
      <c r="F711" s="259"/>
      <c r="H711" s="183"/>
      <c r="I711" s="183"/>
    </row>
    <row r="712" spans="6:9" ht="15.75" customHeight="1">
      <c r="F712" s="259"/>
      <c r="H712" s="183"/>
      <c r="I712" s="183"/>
    </row>
    <row r="713" spans="6:9" ht="15.75" customHeight="1">
      <c r="F713" s="259"/>
      <c r="H713" s="183"/>
      <c r="I713" s="183"/>
    </row>
    <row r="714" spans="6:9" ht="15.75" customHeight="1">
      <c r="F714" s="259"/>
      <c r="H714" s="183"/>
      <c r="I714" s="183"/>
    </row>
    <row r="715" spans="6:9" ht="15.75" customHeight="1">
      <c r="F715" s="259"/>
      <c r="H715" s="183"/>
      <c r="I715" s="183"/>
    </row>
    <row r="716" spans="6:9" ht="15.75" customHeight="1">
      <c r="F716" s="259"/>
      <c r="H716" s="183"/>
      <c r="I716" s="183"/>
    </row>
    <row r="717" spans="6:9" ht="15.75" customHeight="1">
      <c r="F717" s="259"/>
      <c r="H717" s="183"/>
      <c r="I717" s="183"/>
    </row>
    <row r="718" spans="6:9" ht="15.75" customHeight="1">
      <c r="F718" s="259"/>
      <c r="H718" s="183"/>
      <c r="I718" s="183"/>
    </row>
    <row r="719" spans="6:9" ht="15.75" customHeight="1">
      <c r="F719" s="259"/>
      <c r="H719" s="183"/>
      <c r="I719" s="183"/>
    </row>
    <row r="720" spans="6:9" ht="15.75" customHeight="1">
      <c r="F720" s="259"/>
      <c r="H720" s="183"/>
      <c r="I720" s="183"/>
    </row>
    <row r="721" spans="6:9" ht="15.75" customHeight="1">
      <c r="F721" s="259"/>
      <c r="H721" s="183"/>
      <c r="I721" s="183"/>
    </row>
    <row r="722" spans="6:9" ht="15.75" customHeight="1">
      <c r="F722" s="259"/>
      <c r="H722" s="183"/>
      <c r="I722" s="183"/>
    </row>
    <row r="723" spans="6:9" ht="15.75" customHeight="1">
      <c r="F723" s="259"/>
      <c r="H723" s="183"/>
      <c r="I723" s="183"/>
    </row>
    <row r="724" spans="6:9" ht="15.75" customHeight="1">
      <c r="F724" s="259"/>
      <c r="H724" s="183"/>
      <c r="I724" s="183"/>
    </row>
    <row r="725" spans="6:9" ht="15.75" customHeight="1">
      <c r="F725" s="259"/>
      <c r="H725" s="183"/>
      <c r="I725" s="183"/>
    </row>
    <row r="726" spans="6:9" ht="15.75" customHeight="1">
      <c r="F726" s="259"/>
      <c r="H726" s="183"/>
      <c r="I726" s="183"/>
    </row>
    <row r="727" spans="6:9" ht="15.75" customHeight="1">
      <c r="F727" s="259"/>
      <c r="H727" s="183"/>
      <c r="I727" s="183"/>
    </row>
    <row r="728" spans="6:9" ht="15.75" customHeight="1">
      <c r="F728" s="259"/>
      <c r="H728" s="183"/>
      <c r="I728" s="183"/>
    </row>
    <row r="729" spans="6:9" ht="15.75" customHeight="1">
      <c r="F729" s="259"/>
      <c r="H729" s="183"/>
      <c r="I729" s="183"/>
    </row>
    <row r="730" spans="6:9" ht="15.75" customHeight="1">
      <c r="F730" s="259"/>
      <c r="H730" s="183"/>
      <c r="I730" s="183"/>
    </row>
    <row r="731" spans="6:9" ht="15.75" customHeight="1">
      <c r="F731" s="259"/>
      <c r="H731" s="183"/>
      <c r="I731" s="183"/>
    </row>
    <row r="732" spans="6:9" ht="15.75" customHeight="1">
      <c r="F732" s="259"/>
      <c r="H732" s="183"/>
      <c r="I732" s="183"/>
    </row>
    <row r="733" spans="6:9" ht="15.75" customHeight="1">
      <c r="F733" s="259"/>
      <c r="H733" s="183"/>
      <c r="I733" s="183"/>
    </row>
    <row r="734" spans="6:9" ht="15.75" customHeight="1">
      <c r="F734" s="259"/>
      <c r="H734" s="183"/>
      <c r="I734" s="183"/>
    </row>
    <row r="735" spans="6:9" ht="15.75" customHeight="1">
      <c r="F735" s="259"/>
      <c r="H735" s="183"/>
      <c r="I735" s="183"/>
    </row>
    <row r="736" spans="6:9" ht="15.75" customHeight="1">
      <c r="F736" s="259"/>
      <c r="H736" s="183"/>
      <c r="I736" s="183"/>
    </row>
    <row r="737" spans="6:9" ht="15.75" customHeight="1">
      <c r="F737" s="259"/>
      <c r="H737" s="183"/>
      <c r="I737" s="183"/>
    </row>
    <row r="738" spans="6:9" ht="15.75" customHeight="1">
      <c r="F738" s="259"/>
      <c r="H738" s="183"/>
      <c r="I738" s="183"/>
    </row>
    <row r="739" spans="6:9" ht="15.75" customHeight="1">
      <c r="F739" s="259"/>
      <c r="H739" s="183"/>
      <c r="I739" s="183"/>
    </row>
    <row r="740" spans="6:9" ht="15.75" customHeight="1">
      <c r="F740" s="259"/>
      <c r="H740" s="183"/>
      <c r="I740" s="183"/>
    </row>
    <row r="741" spans="6:9" ht="15.75" customHeight="1">
      <c r="F741" s="259"/>
      <c r="H741" s="183"/>
      <c r="I741" s="183"/>
    </row>
    <row r="742" spans="6:9" ht="15.75" customHeight="1">
      <c r="F742" s="259"/>
      <c r="H742" s="183"/>
      <c r="I742" s="183"/>
    </row>
    <row r="743" spans="6:9" ht="15.75" customHeight="1">
      <c r="F743" s="259"/>
      <c r="H743" s="183"/>
      <c r="I743" s="183"/>
    </row>
    <row r="744" spans="6:9" ht="15.75" customHeight="1">
      <c r="F744" s="259"/>
      <c r="H744" s="183"/>
      <c r="I744" s="183"/>
    </row>
    <row r="745" spans="6:9" ht="15.75" customHeight="1">
      <c r="F745" s="259"/>
      <c r="H745" s="183"/>
      <c r="I745" s="183"/>
    </row>
    <row r="746" spans="6:9" ht="15.75" customHeight="1">
      <c r="F746" s="259"/>
      <c r="H746" s="183"/>
      <c r="I746" s="183"/>
    </row>
    <row r="747" spans="6:9" ht="15.75" customHeight="1">
      <c r="F747" s="259"/>
      <c r="H747" s="183"/>
      <c r="I747" s="183"/>
    </row>
    <row r="748" spans="6:9" ht="15.75" customHeight="1">
      <c r="F748" s="259"/>
      <c r="H748" s="183"/>
      <c r="I748" s="183"/>
    </row>
    <row r="749" spans="6:9" ht="15.75" customHeight="1">
      <c r="F749" s="259"/>
      <c r="H749" s="183"/>
      <c r="I749" s="183"/>
    </row>
    <row r="750" spans="6:9" ht="15.75" customHeight="1">
      <c r="F750" s="259"/>
      <c r="H750" s="183"/>
      <c r="I750" s="183"/>
    </row>
    <row r="751" spans="6:9" ht="15.75" customHeight="1">
      <c r="F751" s="259"/>
      <c r="H751" s="183"/>
      <c r="I751" s="183"/>
    </row>
    <row r="752" spans="6:9" ht="15.75" customHeight="1">
      <c r="F752" s="259"/>
      <c r="H752" s="183"/>
      <c r="I752" s="183"/>
    </row>
    <row r="753" spans="6:9" ht="15.75" customHeight="1">
      <c r="F753" s="259"/>
      <c r="H753" s="183"/>
      <c r="I753" s="183"/>
    </row>
    <row r="754" spans="6:9" ht="15.75" customHeight="1">
      <c r="F754" s="259"/>
      <c r="H754" s="183"/>
      <c r="I754" s="183"/>
    </row>
    <row r="755" spans="6:9" ht="15.75" customHeight="1">
      <c r="F755" s="259"/>
      <c r="H755" s="183"/>
      <c r="I755" s="183"/>
    </row>
    <row r="756" spans="6:9" ht="15.75" customHeight="1">
      <c r="F756" s="259"/>
      <c r="H756" s="183"/>
      <c r="I756" s="183"/>
    </row>
    <row r="757" spans="6:9" ht="15.75" customHeight="1">
      <c r="F757" s="259"/>
      <c r="H757" s="183"/>
      <c r="I757" s="183"/>
    </row>
    <row r="758" spans="6:9" ht="15.75" customHeight="1">
      <c r="F758" s="259"/>
      <c r="H758" s="183"/>
      <c r="I758" s="183"/>
    </row>
    <row r="759" spans="6:9" ht="15.75" customHeight="1">
      <c r="F759" s="259"/>
      <c r="H759" s="183"/>
      <c r="I759" s="183"/>
    </row>
    <row r="760" spans="6:9" ht="15.75" customHeight="1">
      <c r="F760" s="259"/>
      <c r="H760" s="183"/>
      <c r="I760" s="183"/>
    </row>
    <row r="761" spans="6:9" ht="15.75" customHeight="1">
      <c r="F761" s="259"/>
      <c r="H761" s="183"/>
      <c r="I761" s="183"/>
    </row>
    <row r="762" spans="6:9" ht="15.75" customHeight="1">
      <c r="F762" s="259"/>
      <c r="H762" s="183"/>
      <c r="I762" s="183"/>
    </row>
    <row r="763" spans="6:9" ht="15.75" customHeight="1">
      <c r="F763" s="259"/>
      <c r="H763" s="183"/>
      <c r="I763" s="183"/>
    </row>
    <row r="764" spans="6:9" ht="15.75" customHeight="1">
      <c r="F764" s="259"/>
      <c r="H764" s="183"/>
      <c r="I764" s="183"/>
    </row>
    <row r="765" spans="6:9" ht="15.75" customHeight="1">
      <c r="F765" s="259"/>
      <c r="H765" s="183"/>
      <c r="I765" s="183"/>
    </row>
    <row r="766" spans="6:9" ht="15.75" customHeight="1">
      <c r="F766" s="259"/>
      <c r="H766" s="183"/>
      <c r="I766" s="183"/>
    </row>
    <row r="767" spans="6:9" ht="15.75" customHeight="1">
      <c r="F767" s="259"/>
      <c r="H767" s="183"/>
      <c r="I767" s="183"/>
    </row>
    <row r="768" spans="6:9" ht="15.75" customHeight="1">
      <c r="F768" s="259"/>
      <c r="H768" s="183"/>
      <c r="I768" s="183"/>
    </row>
    <row r="769" spans="6:9" ht="15.75" customHeight="1">
      <c r="F769" s="259"/>
      <c r="H769" s="183"/>
      <c r="I769" s="183"/>
    </row>
    <row r="770" spans="6:9" ht="15.75" customHeight="1">
      <c r="F770" s="259"/>
      <c r="H770" s="183"/>
      <c r="I770" s="183"/>
    </row>
    <row r="771" spans="6:9" ht="15.75" customHeight="1">
      <c r="F771" s="259"/>
      <c r="H771" s="183"/>
      <c r="I771" s="183"/>
    </row>
    <row r="772" spans="6:9" ht="15.75" customHeight="1">
      <c r="F772" s="259"/>
      <c r="H772" s="183"/>
      <c r="I772" s="183"/>
    </row>
    <row r="773" spans="6:9" ht="15.75" customHeight="1">
      <c r="F773" s="259"/>
      <c r="H773" s="183"/>
      <c r="I773" s="183"/>
    </row>
    <row r="774" spans="6:9" ht="15.75" customHeight="1">
      <c r="F774" s="259"/>
      <c r="H774" s="183"/>
      <c r="I774" s="183"/>
    </row>
    <row r="775" spans="6:9" ht="15.75" customHeight="1">
      <c r="F775" s="259"/>
      <c r="H775" s="183"/>
      <c r="I775" s="183"/>
    </row>
    <row r="776" spans="6:9" ht="15.75" customHeight="1">
      <c r="F776" s="259"/>
      <c r="H776" s="183"/>
      <c r="I776" s="183"/>
    </row>
    <row r="777" spans="6:9" ht="15.75" customHeight="1">
      <c r="F777" s="259"/>
      <c r="H777" s="183"/>
      <c r="I777" s="183"/>
    </row>
    <row r="778" spans="6:9" ht="15.75" customHeight="1">
      <c r="F778" s="259"/>
      <c r="H778" s="183"/>
      <c r="I778" s="183"/>
    </row>
    <row r="779" spans="6:9" ht="15.75" customHeight="1">
      <c r="F779" s="259"/>
      <c r="H779" s="183"/>
      <c r="I779" s="183"/>
    </row>
    <row r="780" spans="6:9" ht="15.75" customHeight="1">
      <c r="F780" s="259"/>
      <c r="H780" s="183"/>
      <c r="I780" s="183"/>
    </row>
    <row r="781" spans="6:9" ht="15.75" customHeight="1">
      <c r="F781" s="259"/>
      <c r="H781" s="183"/>
      <c r="I781" s="183"/>
    </row>
    <row r="782" spans="6:9" ht="15.75" customHeight="1">
      <c r="F782" s="259"/>
      <c r="H782" s="183"/>
      <c r="I782" s="183"/>
    </row>
    <row r="783" spans="6:9" ht="15.75" customHeight="1">
      <c r="F783" s="259"/>
      <c r="H783" s="183"/>
      <c r="I783" s="183"/>
    </row>
    <row r="784" spans="6:9" ht="15.75" customHeight="1">
      <c r="F784" s="259"/>
      <c r="H784" s="183"/>
      <c r="I784" s="183"/>
    </row>
    <row r="785" spans="6:9" ht="15.75" customHeight="1">
      <c r="F785" s="259"/>
      <c r="H785" s="183"/>
      <c r="I785" s="183"/>
    </row>
    <row r="786" spans="6:9" ht="15.75" customHeight="1">
      <c r="F786" s="259"/>
      <c r="H786" s="183"/>
      <c r="I786" s="183"/>
    </row>
    <row r="787" spans="6:9" ht="15.75" customHeight="1">
      <c r="F787" s="259"/>
      <c r="H787" s="183"/>
      <c r="I787" s="183"/>
    </row>
    <row r="788" spans="6:9" ht="15.75" customHeight="1">
      <c r="F788" s="259"/>
      <c r="H788" s="183"/>
      <c r="I788" s="183"/>
    </row>
    <row r="789" spans="6:9" ht="15.75" customHeight="1">
      <c r="F789" s="259"/>
      <c r="H789" s="183"/>
      <c r="I789" s="183"/>
    </row>
    <row r="790" spans="6:9" ht="15.75" customHeight="1">
      <c r="F790" s="259"/>
      <c r="H790" s="183"/>
      <c r="I790" s="183"/>
    </row>
    <row r="791" spans="6:9" ht="15.75" customHeight="1">
      <c r="F791" s="259"/>
      <c r="H791" s="183"/>
      <c r="I791" s="183"/>
    </row>
    <row r="792" spans="6:9" ht="15.75" customHeight="1">
      <c r="F792" s="259"/>
      <c r="H792" s="183"/>
      <c r="I792" s="183"/>
    </row>
    <row r="793" spans="6:9" ht="15.75" customHeight="1">
      <c r="F793" s="259"/>
      <c r="H793" s="183"/>
      <c r="I793" s="183"/>
    </row>
    <row r="794" spans="6:9" ht="15.75" customHeight="1">
      <c r="F794" s="259"/>
      <c r="H794" s="183"/>
      <c r="I794" s="183"/>
    </row>
    <row r="795" spans="6:9" ht="15.75" customHeight="1">
      <c r="F795" s="259"/>
      <c r="H795" s="183"/>
      <c r="I795" s="183"/>
    </row>
    <row r="796" spans="6:9" ht="15.75" customHeight="1">
      <c r="F796" s="259"/>
      <c r="H796" s="183"/>
      <c r="I796" s="183"/>
    </row>
    <row r="797" spans="6:9" ht="15.75" customHeight="1">
      <c r="F797" s="259"/>
      <c r="H797" s="183"/>
      <c r="I797" s="183"/>
    </row>
    <row r="798" spans="6:9" ht="15.75" customHeight="1">
      <c r="F798" s="259"/>
      <c r="H798" s="183"/>
      <c r="I798" s="183"/>
    </row>
    <row r="799" spans="6:9" ht="15.75" customHeight="1">
      <c r="F799" s="259"/>
      <c r="H799" s="183"/>
      <c r="I799" s="183"/>
    </row>
    <row r="800" spans="6:9" ht="15.75" customHeight="1">
      <c r="F800" s="259"/>
      <c r="H800" s="183"/>
      <c r="I800" s="183"/>
    </row>
    <row r="801" spans="6:9" ht="15.75" customHeight="1">
      <c r="F801" s="259"/>
      <c r="H801" s="183"/>
      <c r="I801" s="183"/>
    </row>
    <row r="802" spans="6:9" ht="15.75" customHeight="1">
      <c r="F802" s="259"/>
      <c r="H802" s="183"/>
      <c r="I802" s="183"/>
    </row>
    <row r="803" spans="6:9" ht="15.75" customHeight="1">
      <c r="F803" s="259"/>
      <c r="H803" s="183"/>
      <c r="I803" s="183"/>
    </row>
    <row r="804" spans="6:9" ht="15.75" customHeight="1">
      <c r="F804" s="259"/>
      <c r="H804" s="183"/>
      <c r="I804" s="183"/>
    </row>
    <row r="805" spans="6:9" ht="15.75" customHeight="1">
      <c r="F805" s="259"/>
      <c r="H805" s="183"/>
      <c r="I805" s="183"/>
    </row>
    <row r="806" spans="6:9" ht="15.75" customHeight="1">
      <c r="F806" s="259"/>
      <c r="H806" s="183"/>
      <c r="I806" s="183"/>
    </row>
    <row r="807" spans="6:9" ht="15.75" customHeight="1">
      <c r="F807" s="259"/>
      <c r="H807" s="183"/>
      <c r="I807" s="183"/>
    </row>
    <row r="808" spans="6:9" ht="15.75" customHeight="1">
      <c r="F808" s="259"/>
      <c r="H808" s="183"/>
      <c r="I808" s="183"/>
    </row>
    <row r="809" spans="6:9" ht="15.75" customHeight="1">
      <c r="F809" s="259"/>
      <c r="H809" s="183"/>
      <c r="I809" s="183"/>
    </row>
    <row r="810" spans="6:9" ht="15.75" customHeight="1">
      <c r="F810" s="259"/>
      <c r="H810" s="183"/>
      <c r="I810" s="183"/>
    </row>
    <row r="811" spans="6:9" ht="15.75" customHeight="1">
      <c r="F811" s="259"/>
      <c r="H811" s="183"/>
      <c r="I811" s="183"/>
    </row>
    <row r="812" spans="6:9" ht="15.75" customHeight="1">
      <c r="F812" s="259"/>
      <c r="H812" s="183"/>
      <c r="I812" s="183"/>
    </row>
    <row r="813" spans="6:9" ht="15.75" customHeight="1">
      <c r="F813" s="259"/>
      <c r="H813" s="183"/>
      <c r="I813" s="183"/>
    </row>
    <row r="814" spans="6:9" ht="15.75" customHeight="1">
      <c r="F814" s="259"/>
      <c r="H814" s="183"/>
      <c r="I814" s="183"/>
    </row>
    <row r="815" spans="6:9" ht="15.75" customHeight="1">
      <c r="F815" s="259"/>
      <c r="H815" s="183"/>
      <c r="I815" s="183"/>
    </row>
    <row r="816" spans="6:9" ht="15.75" customHeight="1">
      <c r="F816" s="259"/>
      <c r="H816" s="183"/>
      <c r="I816" s="183"/>
    </row>
    <row r="817" spans="6:9" ht="15.75" customHeight="1">
      <c r="F817" s="259"/>
      <c r="H817" s="183"/>
      <c r="I817" s="183"/>
    </row>
    <row r="818" spans="6:9" ht="15.75" customHeight="1">
      <c r="F818" s="259"/>
      <c r="H818" s="183"/>
      <c r="I818" s="183"/>
    </row>
    <row r="819" spans="6:9" ht="15.75" customHeight="1">
      <c r="F819" s="259"/>
      <c r="H819" s="183"/>
      <c r="I819" s="183"/>
    </row>
    <row r="820" spans="6:9" ht="15.75" customHeight="1">
      <c r="F820" s="259"/>
      <c r="H820" s="183"/>
      <c r="I820" s="183"/>
    </row>
    <row r="821" spans="6:9" ht="15.75" customHeight="1">
      <c r="F821" s="259"/>
      <c r="H821" s="183"/>
      <c r="I821" s="183"/>
    </row>
    <row r="822" spans="6:9" ht="15.75" customHeight="1">
      <c r="F822" s="259"/>
      <c r="H822" s="183"/>
      <c r="I822" s="183"/>
    </row>
    <row r="823" spans="6:9" ht="15.75" customHeight="1">
      <c r="F823" s="259"/>
      <c r="H823" s="183"/>
      <c r="I823" s="183"/>
    </row>
    <row r="824" spans="6:9" ht="15.75" customHeight="1">
      <c r="F824" s="259"/>
      <c r="H824" s="183"/>
      <c r="I824" s="183"/>
    </row>
    <row r="825" spans="6:9" ht="15.75" customHeight="1">
      <c r="F825" s="259"/>
      <c r="H825" s="183"/>
      <c r="I825" s="183"/>
    </row>
    <row r="826" spans="6:9" ht="15.75" customHeight="1">
      <c r="F826" s="259"/>
      <c r="H826" s="183"/>
      <c r="I826" s="183"/>
    </row>
    <row r="827" spans="6:9" ht="15.75" customHeight="1">
      <c r="F827" s="259"/>
      <c r="H827" s="183"/>
      <c r="I827" s="183"/>
    </row>
    <row r="828" spans="6:9" ht="15.75" customHeight="1">
      <c r="F828" s="259"/>
      <c r="H828" s="183"/>
      <c r="I828" s="183"/>
    </row>
    <row r="829" spans="6:9" ht="15.75" customHeight="1">
      <c r="F829" s="259"/>
      <c r="H829" s="183"/>
      <c r="I829" s="183"/>
    </row>
    <row r="830" spans="6:9" ht="15.75" customHeight="1">
      <c r="F830" s="259"/>
      <c r="H830" s="183"/>
      <c r="I830" s="183"/>
    </row>
    <row r="831" spans="6:9" ht="15.75" customHeight="1">
      <c r="F831" s="259"/>
      <c r="H831" s="183"/>
      <c r="I831" s="183"/>
    </row>
    <row r="832" spans="6:9" ht="15.75" customHeight="1">
      <c r="F832" s="259"/>
      <c r="H832" s="183"/>
      <c r="I832" s="183"/>
    </row>
    <row r="833" spans="6:9" ht="15.75" customHeight="1">
      <c r="F833" s="259"/>
      <c r="H833" s="183"/>
      <c r="I833" s="183"/>
    </row>
    <row r="834" spans="6:9" ht="15.75" customHeight="1">
      <c r="F834" s="259"/>
      <c r="H834" s="183"/>
      <c r="I834" s="183"/>
    </row>
    <row r="835" spans="6:9" ht="15.75" customHeight="1">
      <c r="F835" s="259"/>
      <c r="H835" s="183"/>
      <c r="I835" s="183"/>
    </row>
    <row r="836" spans="6:9" ht="15.75" customHeight="1">
      <c r="F836" s="259"/>
      <c r="H836" s="183"/>
      <c r="I836" s="183"/>
    </row>
    <row r="837" spans="6:9" ht="15.75" customHeight="1">
      <c r="F837" s="259"/>
      <c r="H837" s="183"/>
      <c r="I837" s="183"/>
    </row>
    <row r="838" spans="6:9" ht="15.75" customHeight="1">
      <c r="F838" s="259"/>
      <c r="H838" s="183"/>
      <c r="I838" s="183"/>
    </row>
    <row r="839" spans="6:9" ht="15.75" customHeight="1">
      <c r="F839" s="259"/>
      <c r="H839" s="183"/>
      <c r="I839" s="183"/>
    </row>
    <row r="840" spans="6:9" ht="15.75" customHeight="1">
      <c r="F840" s="259"/>
      <c r="H840" s="183"/>
      <c r="I840" s="183"/>
    </row>
    <row r="841" spans="6:9" ht="15.75" customHeight="1">
      <c r="F841" s="259"/>
      <c r="H841" s="183"/>
      <c r="I841" s="183"/>
    </row>
    <row r="842" spans="6:9" ht="15.75" customHeight="1">
      <c r="F842" s="259"/>
      <c r="H842" s="183"/>
      <c r="I842" s="183"/>
    </row>
    <row r="843" spans="6:9" ht="15.75" customHeight="1">
      <c r="F843" s="259"/>
      <c r="H843" s="183"/>
      <c r="I843" s="183"/>
    </row>
    <row r="844" spans="6:9" ht="15.75" customHeight="1">
      <c r="F844" s="259"/>
      <c r="H844" s="183"/>
      <c r="I844" s="183"/>
    </row>
    <row r="845" spans="6:9" ht="15.75" customHeight="1">
      <c r="F845" s="259"/>
      <c r="H845" s="183"/>
      <c r="I845" s="183"/>
    </row>
    <row r="846" spans="6:9" ht="15.75" customHeight="1">
      <c r="F846" s="259"/>
      <c r="H846" s="183"/>
      <c r="I846" s="183"/>
    </row>
    <row r="847" spans="6:9" ht="15.75" customHeight="1">
      <c r="F847" s="259"/>
      <c r="H847" s="183"/>
      <c r="I847" s="183"/>
    </row>
    <row r="848" spans="6:9" ht="15.75" customHeight="1">
      <c r="F848" s="259"/>
      <c r="H848" s="183"/>
      <c r="I848" s="183"/>
    </row>
    <row r="849" spans="6:9" ht="15.75" customHeight="1">
      <c r="F849" s="259"/>
      <c r="H849" s="183"/>
      <c r="I849" s="183"/>
    </row>
    <row r="850" spans="6:9" ht="15.75" customHeight="1">
      <c r="F850" s="259"/>
      <c r="H850" s="183"/>
      <c r="I850" s="183"/>
    </row>
    <row r="851" spans="6:9" ht="15.75" customHeight="1">
      <c r="F851" s="259"/>
      <c r="H851" s="183"/>
      <c r="I851" s="183"/>
    </row>
    <row r="852" spans="6:9" ht="15.75" customHeight="1">
      <c r="F852" s="259"/>
      <c r="H852" s="183"/>
      <c r="I852" s="183"/>
    </row>
    <row r="853" spans="6:9" ht="15.75" customHeight="1">
      <c r="F853" s="259"/>
      <c r="H853" s="183"/>
      <c r="I853" s="183"/>
    </row>
    <row r="854" spans="6:9" ht="15.75" customHeight="1">
      <c r="F854" s="259"/>
      <c r="H854" s="183"/>
      <c r="I854" s="183"/>
    </row>
    <row r="855" spans="6:9" ht="15.75" customHeight="1">
      <c r="F855" s="259"/>
      <c r="H855" s="183"/>
      <c r="I855" s="183"/>
    </row>
    <row r="856" spans="6:9" ht="15.75" customHeight="1">
      <c r="F856" s="259"/>
      <c r="H856" s="183"/>
      <c r="I856" s="183"/>
    </row>
    <row r="857" spans="6:9" ht="15.75" customHeight="1">
      <c r="F857" s="259"/>
      <c r="H857" s="183"/>
      <c r="I857" s="183"/>
    </row>
    <row r="858" spans="6:9" ht="15.75" customHeight="1">
      <c r="F858" s="259"/>
      <c r="H858" s="183"/>
      <c r="I858" s="183"/>
    </row>
    <row r="859" spans="6:9" ht="15.75" customHeight="1">
      <c r="F859" s="259"/>
      <c r="H859" s="183"/>
      <c r="I859" s="183"/>
    </row>
    <row r="860" spans="6:9" ht="15.75" customHeight="1">
      <c r="F860" s="259"/>
      <c r="H860" s="183"/>
      <c r="I860" s="183"/>
    </row>
    <row r="861" spans="6:9" ht="15.75" customHeight="1">
      <c r="F861" s="259"/>
      <c r="H861" s="183"/>
      <c r="I861" s="183"/>
    </row>
    <row r="862" spans="6:9" ht="15.75" customHeight="1">
      <c r="F862" s="259"/>
      <c r="H862" s="183"/>
      <c r="I862" s="183"/>
    </row>
    <row r="863" spans="6:9" ht="15.75" customHeight="1">
      <c r="F863" s="259"/>
      <c r="H863" s="183"/>
      <c r="I863" s="183"/>
    </row>
    <row r="864" spans="6:9" ht="15.75" customHeight="1">
      <c r="F864" s="259"/>
      <c r="H864" s="183"/>
      <c r="I864" s="183"/>
    </row>
    <row r="865" spans="6:9" ht="15.75" customHeight="1">
      <c r="F865" s="259"/>
      <c r="H865" s="183"/>
      <c r="I865" s="183"/>
    </row>
    <row r="866" spans="6:9" ht="15.75" customHeight="1">
      <c r="F866" s="259"/>
      <c r="H866" s="183"/>
      <c r="I866" s="183"/>
    </row>
    <row r="867" spans="6:9" ht="15.75" customHeight="1">
      <c r="F867" s="259"/>
      <c r="H867" s="183"/>
      <c r="I867" s="183"/>
    </row>
    <row r="868" spans="6:9" ht="15.75" customHeight="1">
      <c r="F868" s="259"/>
      <c r="H868" s="183"/>
      <c r="I868" s="183"/>
    </row>
    <row r="869" spans="6:9" ht="15.75" customHeight="1">
      <c r="F869" s="259"/>
      <c r="H869" s="183"/>
      <c r="I869" s="183"/>
    </row>
    <row r="870" spans="6:9" ht="15.75" customHeight="1">
      <c r="F870" s="259"/>
      <c r="H870" s="183"/>
      <c r="I870" s="183"/>
    </row>
    <row r="871" spans="6:9" ht="15.75" customHeight="1">
      <c r="F871" s="259"/>
      <c r="H871" s="183"/>
      <c r="I871" s="183"/>
    </row>
    <row r="872" spans="6:9" ht="15.75" customHeight="1">
      <c r="F872" s="259"/>
      <c r="H872" s="183"/>
      <c r="I872" s="183"/>
    </row>
    <row r="873" spans="6:9" ht="15.75" customHeight="1">
      <c r="F873" s="259"/>
      <c r="H873" s="183"/>
      <c r="I873" s="183"/>
    </row>
    <row r="874" spans="6:9" ht="15.75" customHeight="1">
      <c r="F874" s="259"/>
      <c r="H874" s="183"/>
      <c r="I874" s="183"/>
    </row>
    <row r="875" spans="6:9" ht="15.75" customHeight="1">
      <c r="F875" s="259"/>
      <c r="H875" s="183"/>
      <c r="I875" s="183"/>
    </row>
    <row r="876" spans="6:9" ht="15.75" customHeight="1">
      <c r="F876" s="259"/>
      <c r="H876" s="183"/>
      <c r="I876" s="183"/>
    </row>
    <row r="877" spans="6:9" ht="15.75" customHeight="1">
      <c r="F877" s="259"/>
      <c r="H877" s="183"/>
      <c r="I877" s="183"/>
    </row>
    <row r="878" spans="6:9" ht="15.75" customHeight="1">
      <c r="F878" s="259"/>
      <c r="H878" s="183"/>
      <c r="I878" s="183"/>
    </row>
    <row r="879" spans="6:9" ht="15.75" customHeight="1">
      <c r="F879" s="259"/>
      <c r="H879" s="183"/>
      <c r="I879" s="183"/>
    </row>
    <row r="880" spans="6:9" ht="15.75" customHeight="1">
      <c r="F880" s="259"/>
      <c r="H880" s="183"/>
      <c r="I880" s="183"/>
    </row>
    <row r="881" spans="6:9" ht="15.75" customHeight="1">
      <c r="F881" s="259"/>
      <c r="H881" s="183"/>
      <c r="I881" s="183"/>
    </row>
    <row r="882" spans="6:9" ht="15.75" customHeight="1">
      <c r="F882" s="259"/>
      <c r="H882" s="183"/>
      <c r="I882" s="183"/>
    </row>
    <row r="883" spans="6:9" ht="15.75" customHeight="1">
      <c r="F883" s="259"/>
      <c r="H883" s="183"/>
      <c r="I883" s="183"/>
    </row>
    <row r="884" spans="6:9" ht="15.75" customHeight="1">
      <c r="F884" s="259"/>
      <c r="H884" s="183"/>
      <c r="I884" s="183"/>
    </row>
    <row r="885" spans="6:9" ht="15.75" customHeight="1">
      <c r="F885" s="259"/>
      <c r="H885" s="183"/>
      <c r="I885" s="183"/>
    </row>
    <row r="886" spans="6:9" ht="15.75" customHeight="1">
      <c r="F886" s="259"/>
      <c r="H886" s="183"/>
      <c r="I886" s="183"/>
    </row>
    <row r="887" spans="6:9" ht="15.75" customHeight="1">
      <c r="F887" s="259"/>
      <c r="H887" s="183"/>
      <c r="I887" s="183"/>
    </row>
    <row r="888" spans="6:9" ht="15.75" customHeight="1">
      <c r="F888" s="259"/>
      <c r="H888" s="183"/>
      <c r="I888" s="183"/>
    </row>
    <row r="889" spans="6:9" ht="15.75" customHeight="1">
      <c r="F889" s="259"/>
      <c r="H889" s="183"/>
      <c r="I889" s="183"/>
    </row>
    <row r="890" spans="6:9" ht="15.75" customHeight="1">
      <c r="F890" s="259"/>
      <c r="H890" s="183"/>
      <c r="I890" s="183"/>
    </row>
    <row r="891" spans="6:9" ht="15.75" customHeight="1">
      <c r="F891" s="259"/>
      <c r="H891" s="183"/>
      <c r="I891" s="183"/>
    </row>
    <row r="892" spans="6:9" ht="15.75" customHeight="1">
      <c r="F892" s="259"/>
      <c r="H892" s="183"/>
      <c r="I892" s="183"/>
    </row>
    <row r="893" spans="6:9" ht="15.75" customHeight="1">
      <c r="F893" s="259"/>
      <c r="H893" s="183"/>
      <c r="I893" s="183"/>
    </row>
    <row r="894" spans="6:9" ht="15.75" customHeight="1">
      <c r="F894" s="259"/>
      <c r="H894" s="183"/>
      <c r="I894" s="183"/>
    </row>
    <row r="895" spans="6:9" ht="15.75" customHeight="1">
      <c r="F895" s="259"/>
      <c r="H895" s="183"/>
      <c r="I895" s="183"/>
    </row>
    <row r="896" spans="6:9" ht="15.75" customHeight="1">
      <c r="F896" s="259"/>
      <c r="H896" s="183"/>
      <c r="I896" s="183"/>
    </row>
    <row r="897" spans="6:9" ht="15.75" customHeight="1">
      <c r="F897" s="259"/>
      <c r="H897" s="183"/>
      <c r="I897" s="183"/>
    </row>
    <row r="898" spans="6:9" ht="15.75" customHeight="1">
      <c r="F898" s="259"/>
      <c r="H898" s="183"/>
      <c r="I898" s="183"/>
    </row>
    <row r="899" spans="6:9" ht="15.75" customHeight="1">
      <c r="F899" s="259"/>
      <c r="H899" s="183"/>
      <c r="I899" s="183"/>
    </row>
    <row r="900" spans="6:9" ht="15.75" customHeight="1">
      <c r="F900" s="259"/>
      <c r="H900" s="183"/>
      <c r="I900" s="183"/>
    </row>
    <row r="901" spans="6:9" ht="15.75" customHeight="1">
      <c r="F901" s="259"/>
      <c r="H901" s="183"/>
      <c r="I901" s="183"/>
    </row>
    <row r="902" spans="6:9" ht="15.75" customHeight="1">
      <c r="F902" s="259"/>
      <c r="H902" s="183"/>
      <c r="I902" s="183"/>
    </row>
    <row r="903" spans="6:9" ht="15.75" customHeight="1">
      <c r="F903" s="259"/>
      <c r="H903" s="183"/>
      <c r="I903" s="183"/>
    </row>
    <row r="904" spans="6:9" ht="15.75" customHeight="1">
      <c r="F904" s="259"/>
      <c r="H904" s="183"/>
      <c r="I904" s="183"/>
    </row>
    <row r="905" spans="6:9" ht="15.75" customHeight="1">
      <c r="F905" s="259"/>
      <c r="H905" s="183"/>
      <c r="I905" s="183"/>
    </row>
    <row r="906" spans="6:9" ht="15.75" customHeight="1">
      <c r="F906" s="259"/>
      <c r="H906" s="183"/>
      <c r="I906" s="183"/>
    </row>
    <row r="907" spans="6:9" ht="15.75" customHeight="1">
      <c r="F907" s="259"/>
      <c r="H907" s="183"/>
      <c r="I907" s="183"/>
    </row>
    <row r="908" spans="6:9" ht="15.75" customHeight="1">
      <c r="F908" s="259"/>
      <c r="H908" s="183"/>
      <c r="I908" s="183"/>
    </row>
    <row r="909" spans="6:9" ht="15.75" customHeight="1">
      <c r="F909" s="259"/>
      <c r="H909" s="183"/>
      <c r="I909" s="183"/>
    </row>
    <row r="910" spans="6:9" ht="15.75" customHeight="1">
      <c r="F910" s="259"/>
      <c r="H910" s="183"/>
      <c r="I910" s="183"/>
    </row>
    <row r="911" spans="6:9" ht="15.75" customHeight="1">
      <c r="F911" s="259"/>
      <c r="H911" s="183"/>
      <c r="I911" s="183"/>
    </row>
    <row r="912" spans="6:9" ht="15.75" customHeight="1">
      <c r="F912" s="259"/>
      <c r="H912" s="183"/>
      <c r="I912" s="183"/>
    </row>
    <row r="913" spans="6:9" ht="15.75" customHeight="1">
      <c r="F913" s="259"/>
      <c r="H913" s="183"/>
      <c r="I913" s="183"/>
    </row>
    <row r="914" spans="6:9" ht="15.75" customHeight="1">
      <c r="F914" s="259"/>
      <c r="H914" s="183"/>
      <c r="I914" s="183"/>
    </row>
    <row r="915" spans="6:9" ht="15.75" customHeight="1">
      <c r="F915" s="259"/>
      <c r="H915" s="183"/>
      <c r="I915" s="183"/>
    </row>
    <row r="916" spans="6:9" ht="15.75" customHeight="1">
      <c r="F916" s="259"/>
      <c r="H916" s="183"/>
      <c r="I916" s="183"/>
    </row>
    <row r="917" spans="6:9" ht="15.75" customHeight="1">
      <c r="F917" s="259"/>
      <c r="H917" s="183"/>
      <c r="I917" s="183"/>
    </row>
    <row r="918" spans="6:9" ht="15.75" customHeight="1">
      <c r="F918" s="259"/>
      <c r="H918" s="183"/>
      <c r="I918" s="183"/>
    </row>
    <row r="919" spans="6:9" ht="15.75" customHeight="1">
      <c r="F919" s="259"/>
      <c r="H919" s="183"/>
      <c r="I919" s="183"/>
    </row>
    <row r="920" spans="6:9" ht="15.75" customHeight="1">
      <c r="F920" s="259"/>
      <c r="H920" s="183"/>
      <c r="I920" s="183"/>
    </row>
    <row r="921" spans="6:9" ht="15.75" customHeight="1">
      <c r="F921" s="259"/>
      <c r="H921" s="183"/>
      <c r="I921" s="183"/>
    </row>
    <row r="922" spans="6:9" ht="15.75" customHeight="1">
      <c r="F922" s="259"/>
      <c r="H922" s="183"/>
      <c r="I922" s="183"/>
    </row>
    <row r="923" spans="6:9" ht="15.75" customHeight="1">
      <c r="F923" s="259"/>
      <c r="H923" s="183"/>
      <c r="I923" s="183"/>
    </row>
    <row r="924" spans="6:9" ht="15.75" customHeight="1">
      <c r="F924" s="259"/>
      <c r="H924" s="183"/>
      <c r="I924" s="183"/>
    </row>
    <row r="925" spans="6:9" ht="15.75" customHeight="1">
      <c r="F925" s="259"/>
      <c r="H925" s="183"/>
      <c r="I925" s="183"/>
    </row>
    <row r="926" spans="6:9" ht="15.75" customHeight="1">
      <c r="F926" s="259"/>
      <c r="H926" s="183"/>
      <c r="I926" s="183"/>
    </row>
    <row r="927" spans="6:9" ht="15.75" customHeight="1">
      <c r="F927" s="259"/>
      <c r="H927" s="183"/>
      <c r="I927" s="183"/>
    </row>
    <row r="928" spans="6:9" ht="15.75" customHeight="1">
      <c r="F928" s="259"/>
      <c r="H928" s="183"/>
      <c r="I928" s="183"/>
    </row>
    <row r="929" spans="6:9" ht="15.75" customHeight="1">
      <c r="F929" s="259"/>
      <c r="H929" s="183"/>
      <c r="I929" s="183"/>
    </row>
    <row r="930" spans="6:9" ht="15.75" customHeight="1">
      <c r="F930" s="259"/>
      <c r="H930" s="183"/>
      <c r="I930" s="183"/>
    </row>
    <row r="931" spans="6:9" ht="15.75" customHeight="1">
      <c r="F931" s="259"/>
      <c r="H931" s="183"/>
      <c r="I931" s="183"/>
    </row>
    <row r="932" spans="6:9" ht="15.75" customHeight="1">
      <c r="F932" s="259"/>
      <c r="H932" s="183"/>
      <c r="I932" s="183"/>
    </row>
    <row r="933" spans="6:9" ht="15.75" customHeight="1">
      <c r="F933" s="259"/>
      <c r="H933" s="183"/>
      <c r="I933" s="183"/>
    </row>
    <row r="934" spans="6:9" ht="15.75" customHeight="1">
      <c r="F934" s="259"/>
      <c r="H934" s="183"/>
      <c r="I934" s="183"/>
    </row>
    <row r="935" spans="6:9" ht="15.75" customHeight="1">
      <c r="F935" s="259"/>
      <c r="H935" s="183"/>
      <c r="I935" s="183"/>
    </row>
    <row r="936" spans="6:9" ht="15.75" customHeight="1">
      <c r="F936" s="259"/>
      <c r="H936" s="183"/>
      <c r="I936" s="183"/>
    </row>
    <row r="937" spans="6:9" ht="15.75" customHeight="1">
      <c r="F937" s="259"/>
      <c r="H937" s="183"/>
      <c r="I937" s="183"/>
    </row>
    <row r="938" spans="6:9" ht="15.75" customHeight="1">
      <c r="F938" s="259"/>
      <c r="H938" s="183"/>
      <c r="I938" s="183"/>
    </row>
    <row r="939" spans="6:9" ht="15.75" customHeight="1">
      <c r="F939" s="259"/>
      <c r="H939" s="183"/>
      <c r="I939" s="183"/>
    </row>
    <row r="940" spans="6:9" ht="15.75" customHeight="1">
      <c r="F940" s="259"/>
      <c r="H940" s="183"/>
      <c r="I940" s="183"/>
    </row>
    <row r="941" spans="6:9" ht="15.75" customHeight="1">
      <c r="F941" s="259"/>
      <c r="H941" s="183"/>
      <c r="I941" s="183"/>
    </row>
    <row r="942" spans="6:9" ht="15.75" customHeight="1">
      <c r="F942" s="259"/>
      <c r="H942" s="183"/>
      <c r="I942" s="183"/>
    </row>
    <row r="943" spans="6:9" ht="15.75" customHeight="1">
      <c r="F943" s="259"/>
      <c r="H943" s="183"/>
      <c r="I943" s="183"/>
    </row>
    <row r="944" spans="6:9" ht="15.75" customHeight="1">
      <c r="F944" s="259"/>
      <c r="H944" s="183"/>
      <c r="I944" s="183"/>
    </row>
    <row r="945" spans="6:9" ht="15.75" customHeight="1">
      <c r="F945" s="259"/>
      <c r="H945" s="183"/>
      <c r="I945" s="183"/>
    </row>
    <row r="946" spans="6:9" ht="15.75" customHeight="1">
      <c r="F946" s="259"/>
      <c r="H946" s="183"/>
      <c r="I946" s="183"/>
    </row>
    <row r="947" spans="6:9" ht="15.75" customHeight="1">
      <c r="F947" s="259"/>
      <c r="H947" s="183"/>
      <c r="I947" s="183"/>
    </row>
    <row r="948" spans="6:9" ht="15.75" customHeight="1">
      <c r="F948" s="259"/>
      <c r="H948" s="183"/>
      <c r="I948" s="183"/>
    </row>
    <row r="949" spans="6:9" ht="15.75" customHeight="1">
      <c r="F949" s="259"/>
      <c r="H949" s="183"/>
      <c r="I949" s="183"/>
    </row>
    <row r="950" spans="6:9" ht="15.75" customHeight="1">
      <c r="F950" s="259"/>
      <c r="H950" s="183"/>
      <c r="I950" s="183"/>
    </row>
    <row r="951" spans="6:9" ht="15.75" customHeight="1">
      <c r="F951" s="259"/>
      <c r="H951" s="183"/>
      <c r="I951" s="183"/>
    </row>
    <row r="952" spans="6:9" ht="15.75" customHeight="1">
      <c r="F952" s="259"/>
      <c r="H952" s="183"/>
      <c r="I952" s="183"/>
    </row>
    <row r="953" spans="6:9" ht="15.75" customHeight="1">
      <c r="F953" s="259"/>
      <c r="H953" s="183"/>
      <c r="I953" s="183"/>
    </row>
    <row r="954" spans="6:9" ht="15.75" customHeight="1">
      <c r="F954" s="259"/>
      <c r="H954" s="183"/>
      <c r="I954" s="183"/>
    </row>
    <row r="955" spans="6:9" ht="15.75" customHeight="1">
      <c r="F955" s="259"/>
      <c r="H955" s="183"/>
      <c r="I955" s="183"/>
    </row>
    <row r="956" spans="6:9" ht="15.75" customHeight="1">
      <c r="F956" s="259"/>
      <c r="H956" s="183"/>
      <c r="I956" s="183"/>
    </row>
    <row r="957" spans="6:9" ht="15.75" customHeight="1">
      <c r="F957" s="259"/>
      <c r="H957" s="183"/>
      <c r="I957" s="183"/>
    </row>
    <row r="958" spans="6:9" ht="15.75" customHeight="1">
      <c r="F958" s="259"/>
      <c r="H958" s="183"/>
      <c r="I958" s="183"/>
    </row>
    <row r="959" spans="6:9" ht="15.75" customHeight="1">
      <c r="F959" s="259"/>
      <c r="H959" s="183"/>
      <c r="I959" s="183"/>
    </row>
    <row r="960" spans="6:9" ht="15.75" customHeight="1">
      <c r="F960" s="259"/>
      <c r="H960" s="183"/>
      <c r="I960" s="183"/>
    </row>
    <row r="961" spans="6:9" ht="15.75" customHeight="1">
      <c r="F961" s="259"/>
      <c r="H961" s="183"/>
      <c r="I961" s="183"/>
    </row>
    <row r="962" spans="6:9" ht="15.75" customHeight="1">
      <c r="F962" s="259"/>
      <c r="H962" s="183"/>
      <c r="I962" s="183"/>
    </row>
    <row r="963" spans="6:9" ht="15.75" customHeight="1">
      <c r="F963" s="259"/>
      <c r="H963" s="183"/>
      <c r="I963" s="183"/>
    </row>
    <row r="964" spans="6:9" ht="15.75" customHeight="1">
      <c r="F964" s="259"/>
      <c r="H964" s="183"/>
      <c r="I964" s="183"/>
    </row>
    <row r="965" spans="6:9" ht="15.75" customHeight="1">
      <c r="F965" s="259"/>
      <c r="H965" s="183"/>
      <c r="I965" s="183"/>
    </row>
    <row r="966" spans="6:9" ht="15.75" customHeight="1">
      <c r="F966" s="259"/>
      <c r="H966" s="183"/>
      <c r="I966" s="183"/>
    </row>
    <row r="967" spans="6:9" ht="15.75" customHeight="1">
      <c r="F967" s="259"/>
      <c r="H967" s="183"/>
      <c r="I967" s="183"/>
    </row>
    <row r="968" spans="6:9" ht="15.75" customHeight="1">
      <c r="F968" s="259"/>
      <c r="H968" s="183"/>
      <c r="I968" s="183"/>
    </row>
    <row r="969" spans="6:9" ht="15.75" customHeight="1">
      <c r="F969" s="259"/>
      <c r="H969" s="183"/>
      <c r="I969" s="183"/>
    </row>
    <row r="970" spans="6:9" ht="15.75" customHeight="1">
      <c r="F970" s="259"/>
      <c r="H970" s="183"/>
      <c r="I970" s="183"/>
    </row>
    <row r="971" spans="6:9" ht="15.75" customHeight="1">
      <c r="F971" s="259"/>
      <c r="H971" s="183"/>
      <c r="I971" s="183"/>
    </row>
    <row r="972" spans="6:9" ht="15.75" customHeight="1">
      <c r="F972" s="259"/>
      <c r="H972" s="183"/>
      <c r="I972" s="183"/>
    </row>
    <row r="973" spans="6:9" ht="15.75" customHeight="1">
      <c r="F973" s="259"/>
      <c r="H973" s="183"/>
      <c r="I973" s="183"/>
    </row>
    <row r="974" spans="6:9" ht="15.75" customHeight="1">
      <c r="F974" s="259"/>
      <c r="H974" s="183"/>
      <c r="I974" s="183"/>
    </row>
    <row r="975" spans="6:9" ht="15.75" customHeight="1">
      <c r="F975" s="259"/>
      <c r="H975" s="183"/>
      <c r="I975" s="183"/>
    </row>
    <row r="976" spans="6:9" ht="15.75" customHeight="1">
      <c r="F976" s="259"/>
      <c r="H976" s="183"/>
      <c r="I976" s="183"/>
    </row>
    <row r="977" spans="6:9" ht="15.75" customHeight="1">
      <c r="F977" s="259"/>
      <c r="H977" s="183"/>
      <c r="I977" s="183"/>
    </row>
    <row r="978" spans="6:9" ht="15.75" customHeight="1">
      <c r="F978" s="259"/>
      <c r="H978" s="183"/>
      <c r="I978" s="183"/>
    </row>
    <row r="979" spans="6:9" ht="15.75" customHeight="1">
      <c r="F979" s="259"/>
      <c r="H979" s="183"/>
      <c r="I979" s="183"/>
    </row>
    <row r="980" spans="6:9" ht="15.75" customHeight="1">
      <c r="F980" s="259"/>
      <c r="H980" s="183"/>
      <c r="I980" s="183"/>
    </row>
    <row r="981" spans="6:9" ht="15.75" customHeight="1">
      <c r="F981" s="259"/>
      <c r="H981" s="183"/>
      <c r="I981" s="183"/>
    </row>
    <row r="982" spans="6:9" ht="15.75" customHeight="1">
      <c r="F982" s="259"/>
      <c r="H982" s="183"/>
      <c r="I982" s="183"/>
    </row>
    <row r="983" spans="6:9" ht="15.75" customHeight="1">
      <c r="F983" s="259"/>
      <c r="H983" s="183"/>
      <c r="I983" s="183"/>
    </row>
    <row r="984" spans="6:9" ht="15.75" customHeight="1">
      <c r="F984" s="259"/>
      <c r="H984" s="183"/>
      <c r="I984" s="183"/>
    </row>
    <row r="985" spans="6:9" ht="15.75" customHeight="1">
      <c r="F985" s="259"/>
      <c r="H985" s="183"/>
      <c r="I985" s="183"/>
    </row>
    <row r="986" spans="6:9" ht="15.75" customHeight="1">
      <c r="F986" s="259"/>
      <c r="H986" s="183"/>
      <c r="I986" s="183"/>
    </row>
    <row r="987" spans="6:9" ht="15.75" customHeight="1">
      <c r="F987" s="259"/>
      <c r="H987" s="183"/>
      <c r="I987" s="183"/>
    </row>
    <row r="988" spans="6:9" ht="15.75" customHeight="1">
      <c r="F988" s="259"/>
      <c r="H988" s="183"/>
      <c r="I988" s="183"/>
    </row>
    <row r="989" spans="6:9" ht="15.75" customHeight="1">
      <c r="F989" s="259"/>
      <c r="H989" s="183"/>
      <c r="I989" s="183"/>
    </row>
    <row r="990" spans="6:9" ht="15.75" customHeight="1">
      <c r="F990" s="259"/>
      <c r="H990" s="183"/>
      <c r="I990" s="183"/>
    </row>
    <row r="991" spans="6:9" ht="15.75" customHeight="1">
      <c r="F991" s="259"/>
      <c r="H991" s="183"/>
      <c r="I991" s="183"/>
    </row>
    <row r="992" spans="6:9" ht="15.75" customHeight="1">
      <c r="F992" s="259"/>
      <c r="H992" s="183"/>
      <c r="I992" s="183"/>
    </row>
    <row r="993" spans="6:9" ht="15.75" customHeight="1">
      <c r="F993" s="259"/>
      <c r="H993" s="183"/>
      <c r="I993" s="183"/>
    </row>
    <row r="994" spans="6:9" ht="15.75" customHeight="1">
      <c r="F994" s="259"/>
      <c r="H994" s="183"/>
      <c r="I994" s="183"/>
    </row>
    <row r="995" spans="6:9" ht="15.75" customHeight="1">
      <c r="F995" s="259"/>
      <c r="H995" s="183"/>
      <c r="I995" s="183"/>
    </row>
    <row r="996" spans="6:9" ht="15.75" customHeight="1">
      <c r="F996" s="259"/>
      <c r="H996" s="183"/>
      <c r="I996" s="183"/>
    </row>
    <row r="997" spans="6:9" ht="15.75" customHeight="1">
      <c r="F997" s="259"/>
      <c r="H997" s="183"/>
      <c r="I997" s="183"/>
    </row>
    <row r="998" spans="6:9" ht="15.75" customHeight="1">
      <c r="F998" s="259"/>
      <c r="H998" s="183"/>
      <c r="I998" s="183"/>
    </row>
    <row r="999" spans="6:9" ht="15.75" customHeight="1">
      <c r="F999" s="259"/>
      <c r="H999" s="183"/>
      <c r="I999" s="183"/>
    </row>
    <row r="1000" spans="6:9" ht="15.75" customHeight="1">
      <c r="F1000" s="259"/>
      <c r="H1000" s="183"/>
      <c r="I1000" s="183"/>
    </row>
  </sheetData>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FF00"/>
  </sheetPr>
  <dimension ref="A1:AA1001"/>
  <sheetViews>
    <sheetView workbookViewId="0"/>
  </sheetViews>
  <sheetFormatPr baseColWidth="10" defaultColWidth="12.6640625" defaultRowHeight="15" customHeight="1"/>
  <cols>
    <col min="1" max="2" width="22.6640625" customWidth="1"/>
    <col min="3" max="3" width="68.1640625" customWidth="1"/>
    <col min="4" max="4" width="39.83203125" customWidth="1"/>
    <col min="5" max="5" width="22.6640625" customWidth="1"/>
    <col min="6" max="27" width="7.6640625" customWidth="1"/>
  </cols>
  <sheetData>
    <row r="1" spans="1:27">
      <c r="A1" s="260" t="s">
        <v>8727</v>
      </c>
      <c r="B1" s="261" t="s">
        <v>7079</v>
      </c>
      <c r="C1" s="262" t="s">
        <v>8728</v>
      </c>
      <c r="D1" s="261" t="s">
        <v>6088</v>
      </c>
      <c r="E1" s="261" t="s">
        <v>6089</v>
      </c>
      <c r="F1" s="231"/>
      <c r="G1" s="231"/>
      <c r="H1" s="231"/>
      <c r="I1" s="231"/>
      <c r="J1" s="231"/>
      <c r="K1" s="231"/>
      <c r="L1" s="231"/>
      <c r="M1" s="231"/>
      <c r="N1" s="231"/>
      <c r="O1" s="231"/>
      <c r="P1" s="231"/>
      <c r="Q1" s="231"/>
      <c r="R1" s="231"/>
      <c r="S1" s="231"/>
      <c r="T1" s="231"/>
      <c r="U1" s="231"/>
      <c r="V1" s="231"/>
      <c r="W1" s="231"/>
      <c r="X1" s="231"/>
      <c r="Y1" s="231"/>
      <c r="Z1" s="231"/>
      <c r="AA1" s="231"/>
    </row>
    <row r="2" spans="1:27">
      <c r="A2" s="263" t="s">
        <v>8718</v>
      </c>
      <c r="B2" s="263" t="s">
        <v>8719</v>
      </c>
      <c r="C2" s="263" t="s">
        <v>8670</v>
      </c>
      <c r="D2" s="263" t="s">
        <v>3897</v>
      </c>
      <c r="E2" s="263" t="s">
        <v>7210</v>
      </c>
      <c r="F2" s="264"/>
      <c r="G2" s="264"/>
      <c r="H2" s="264"/>
      <c r="I2" s="264"/>
      <c r="J2" s="264"/>
      <c r="K2" s="264"/>
      <c r="L2" s="264"/>
      <c r="M2" s="264"/>
      <c r="N2" s="264"/>
      <c r="O2" s="264"/>
      <c r="P2" s="264"/>
      <c r="Q2" s="264"/>
      <c r="R2" s="264"/>
      <c r="S2" s="264"/>
      <c r="T2" s="264"/>
      <c r="U2" s="264"/>
      <c r="V2" s="264"/>
      <c r="W2" s="264"/>
      <c r="X2" s="264"/>
      <c r="Y2" s="264"/>
      <c r="Z2" s="264"/>
      <c r="AA2" s="264"/>
    </row>
    <row r="3" spans="1:27">
      <c r="A3" s="263" t="s">
        <v>8718</v>
      </c>
      <c r="B3" s="263" t="s">
        <v>8719</v>
      </c>
      <c r="C3" s="263" t="s">
        <v>8729</v>
      </c>
      <c r="D3" s="263" t="s">
        <v>8729</v>
      </c>
      <c r="E3" s="263" t="s">
        <v>7210</v>
      </c>
      <c r="F3" s="264"/>
      <c r="G3" s="264"/>
      <c r="H3" s="264"/>
      <c r="I3" s="264"/>
      <c r="J3" s="264"/>
      <c r="K3" s="264"/>
      <c r="L3" s="264"/>
      <c r="M3" s="264"/>
      <c r="N3" s="264"/>
      <c r="O3" s="264"/>
      <c r="P3" s="264"/>
      <c r="Q3" s="264"/>
      <c r="R3" s="264"/>
      <c r="S3" s="264"/>
      <c r="T3" s="264"/>
      <c r="U3" s="264"/>
      <c r="V3" s="264"/>
      <c r="W3" s="264"/>
      <c r="X3" s="264"/>
      <c r="Y3" s="264"/>
      <c r="Z3" s="264"/>
      <c r="AA3" s="264"/>
    </row>
    <row r="4" spans="1:27">
      <c r="A4" s="263" t="s">
        <v>8718</v>
      </c>
      <c r="B4" s="263" t="s">
        <v>8719</v>
      </c>
      <c r="C4" s="265" t="s">
        <v>8730</v>
      </c>
      <c r="D4" s="265" t="s">
        <v>8731</v>
      </c>
      <c r="E4" s="263" t="s">
        <v>7210</v>
      </c>
      <c r="F4" s="264"/>
      <c r="G4" s="264"/>
      <c r="H4" s="264"/>
      <c r="I4" s="264"/>
      <c r="J4" s="264"/>
      <c r="K4" s="264"/>
      <c r="L4" s="264"/>
      <c r="M4" s="264"/>
      <c r="N4" s="264"/>
      <c r="O4" s="264"/>
      <c r="P4" s="264"/>
      <c r="Q4" s="264"/>
      <c r="R4" s="264"/>
      <c r="S4" s="264"/>
      <c r="T4" s="264"/>
      <c r="U4" s="264"/>
      <c r="V4" s="264"/>
      <c r="W4" s="264"/>
      <c r="X4" s="264"/>
      <c r="Y4" s="264"/>
      <c r="Z4" s="264"/>
      <c r="AA4" s="264"/>
    </row>
    <row r="5" spans="1:27">
      <c r="A5" s="263" t="s">
        <v>8718</v>
      </c>
      <c r="B5" s="263" t="s">
        <v>8719</v>
      </c>
      <c r="C5" s="98" t="s">
        <v>8732</v>
      </c>
      <c r="D5" s="98" t="s">
        <v>8733</v>
      </c>
      <c r="E5" s="263" t="s">
        <v>7210</v>
      </c>
      <c r="F5" s="264"/>
      <c r="G5" s="264"/>
      <c r="H5" s="264"/>
      <c r="I5" s="264"/>
      <c r="J5" s="264"/>
      <c r="K5" s="264"/>
      <c r="L5" s="264"/>
      <c r="M5" s="264"/>
      <c r="N5" s="264"/>
      <c r="O5" s="264"/>
      <c r="P5" s="264"/>
      <c r="Q5" s="264"/>
      <c r="R5" s="264"/>
      <c r="S5" s="264"/>
      <c r="T5" s="264"/>
      <c r="U5" s="264"/>
      <c r="V5" s="264"/>
      <c r="W5" s="264"/>
      <c r="X5" s="264"/>
      <c r="Y5" s="264"/>
      <c r="Z5" s="264"/>
      <c r="AA5" s="264"/>
    </row>
    <row r="6" spans="1:27">
      <c r="A6" s="263" t="s">
        <v>8718</v>
      </c>
      <c r="B6" s="263" t="s">
        <v>8719</v>
      </c>
      <c r="C6" s="263" t="s">
        <v>5609</v>
      </c>
      <c r="D6" s="263" t="s">
        <v>5609</v>
      </c>
      <c r="E6" s="263" t="s">
        <v>7210</v>
      </c>
      <c r="F6" s="264"/>
      <c r="G6" s="264"/>
      <c r="H6" s="264"/>
      <c r="I6" s="264"/>
      <c r="J6" s="264"/>
      <c r="K6" s="264"/>
      <c r="L6" s="264"/>
      <c r="M6" s="264"/>
      <c r="N6" s="264"/>
      <c r="O6" s="264"/>
      <c r="P6" s="264"/>
      <c r="Q6" s="264"/>
      <c r="R6" s="264"/>
      <c r="S6" s="264"/>
      <c r="T6" s="264"/>
      <c r="U6" s="264"/>
      <c r="V6" s="264"/>
      <c r="W6" s="264"/>
      <c r="X6" s="264"/>
      <c r="Y6" s="264"/>
      <c r="Z6" s="264"/>
      <c r="AA6" s="264"/>
    </row>
    <row r="7" spans="1:27">
      <c r="A7" s="263" t="s">
        <v>8718</v>
      </c>
      <c r="B7" s="263" t="s">
        <v>8719</v>
      </c>
      <c r="C7" s="263" t="s">
        <v>8734</v>
      </c>
      <c r="D7" s="263" t="s">
        <v>8734</v>
      </c>
      <c r="E7" s="263" t="s">
        <v>8735</v>
      </c>
      <c r="F7" s="264"/>
      <c r="G7" s="264"/>
      <c r="H7" s="264"/>
      <c r="I7" s="264"/>
      <c r="J7" s="264"/>
      <c r="K7" s="264"/>
      <c r="L7" s="264"/>
      <c r="M7" s="264"/>
      <c r="N7" s="264"/>
      <c r="O7" s="264"/>
      <c r="P7" s="264"/>
      <c r="Q7" s="264"/>
      <c r="R7" s="264"/>
      <c r="S7" s="264"/>
      <c r="T7" s="264"/>
      <c r="U7" s="264"/>
      <c r="V7" s="264"/>
      <c r="W7" s="264"/>
      <c r="X7" s="264"/>
      <c r="Y7" s="264"/>
      <c r="Z7" s="264"/>
      <c r="AA7" s="264"/>
    </row>
    <row r="8" spans="1:27">
      <c r="A8" s="263" t="s">
        <v>8718</v>
      </c>
      <c r="B8" s="263" t="s">
        <v>8719</v>
      </c>
      <c r="C8" s="263" t="s">
        <v>8736</v>
      </c>
      <c r="D8" s="263" t="s">
        <v>8736</v>
      </c>
      <c r="E8" s="263" t="s">
        <v>8735</v>
      </c>
      <c r="F8" s="264"/>
      <c r="G8" s="264"/>
      <c r="H8" s="264"/>
      <c r="I8" s="264"/>
      <c r="J8" s="264"/>
      <c r="K8" s="264"/>
      <c r="L8" s="264"/>
      <c r="M8" s="264"/>
      <c r="N8" s="264"/>
      <c r="O8" s="264"/>
      <c r="P8" s="264"/>
      <c r="Q8" s="264"/>
      <c r="R8" s="264"/>
      <c r="S8" s="264"/>
      <c r="T8" s="264"/>
      <c r="U8" s="264"/>
      <c r="V8" s="264"/>
      <c r="W8" s="264"/>
      <c r="X8" s="264"/>
      <c r="Y8" s="264"/>
      <c r="Z8" s="264"/>
      <c r="AA8" s="264"/>
    </row>
    <row r="9" spans="1:27">
      <c r="A9" s="263" t="s">
        <v>8718</v>
      </c>
      <c r="B9" s="263" t="s">
        <v>8719</v>
      </c>
      <c r="C9" s="263" t="s">
        <v>8737</v>
      </c>
      <c r="D9" s="263" t="s">
        <v>8737</v>
      </c>
      <c r="E9" s="263" t="s">
        <v>8735</v>
      </c>
      <c r="F9" s="264"/>
      <c r="G9" s="264"/>
      <c r="H9" s="264"/>
      <c r="I9" s="264"/>
      <c r="J9" s="264"/>
      <c r="K9" s="264"/>
      <c r="L9" s="264"/>
      <c r="M9" s="264"/>
      <c r="N9" s="264"/>
      <c r="O9" s="264"/>
      <c r="P9" s="264"/>
      <c r="Q9" s="264"/>
      <c r="R9" s="264"/>
      <c r="S9" s="264"/>
      <c r="T9" s="264"/>
      <c r="U9" s="264"/>
      <c r="V9" s="264"/>
      <c r="W9" s="264"/>
      <c r="X9" s="264"/>
      <c r="Y9" s="264"/>
      <c r="Z9" s="264"/>
      <c r="AA9" s="264"/>
    </row>
    <row r="10" spans="1:27">
      <c r="A10" s="263" t="s">
        <v>8718</v>
      </c>
      <c r="B10" s="263" t="s">
        <v>8719</v>
      </c>
      <c r="C10" s="263" t="s">
        <v>8738</v>
      </c>
      <c r="D10" s="263" t="s">
        <v>8738</v>
      </c>
      <c r="E10" s="263" t="s">
        <v>8735</v>
      </c>
      <c r="F10" s="264"/>
      <c r="G10" s="264"/>
      <c r="H10" s="264"/>
      <c r="I10" s="264"/>
      <c r="J10" s="264"/>
      <c r="K10" s="264"/>
      <c r="L10" s="264"/>
      <c r="M10" s="264"/>
      <c r="N10" s="264"/>
      <c r="O10" s="264"/>
      <c r="P10" s="264"/>
      <c r="Q10" s="264"/>
      <c r="R10" s="264"/>
      <c r="S10" s="264"/>
      <c r="T10" s="264"/>
      <c r="U10" s="264"/>
      <c r="V10" s="264"/>
      <c r="W10" s="264"/>
      <c r="X10" s="264"/>
      <c r="Y10" s="264"/>
      <c r="Z10" s="264"/>
      <c r="AA10" s="264"/>
    </row>
    <row r="11" spans="1:27">
      <c r="A11" s="263" t="s">
        <v>8718</v>
      </c>
      <c r="B11" s="263" t="s">
        <v>8719</v>
      </c>
      <c r="C11" s="266" t="s">
        <v>8739</v>
      </c>
      <c r="D11" s="266" t="s">
        <v>8740</v>
      </c>
      <c r="E11" s="267" t="s">
        <v>8687</v>
      </c>
      <c r="F11" s="264"/>
      <c r="G11" s="264"/>
      <c r="H11" s="264"/>
      <c r="I11" s="264"/>
      <c r="J11" s="264"/>
      <c r="K11" s="264"/>
      <c r="L11" s="264"/>
      <c r="M11" s="264"/>
      <c r="N11" s="264"/>
      <c r="O11" s="264"/>
      <c r="P11" s="264"/>
      <c r="Q11" s="264"/>
      <c r="R11" s="264"/>
      <c r="S11" s="264"/>
      <c r="T11" s="264"/>
      <c r="U11" s="264"/>
      <c r="V11" s="264"/>
      <c r="W11" s="264"/>
      <c r="X11" s="264"/>
      <c r="Y11" s="264"/>
      <c r="Z11" s="264"/>
      <c r="AA11" s="264"/>
    </row>
    <row r="12" spans="1:27">
      <c r="A12" s="263" t="s">
        <v>8718</v>
      </c>
      <c r="B12" s="263" t="s">
        <v>8719</v>
      </c>
      <c r="C12" s="266" t="s">
        <v>8741</v>
      </c>
      <c r="D12" s="266" t="s">
        <v>8742</v>
      </c>
      <c r="E12" s="263" t="s">
        <v>8735</v>
      </c>
      <c r="F12" s="264"/>
      <c r="G12" s="264"/>
      <c r="H12" s="264"/>
      <c r="I12" s="264"/>
      <c r="J12" s="264"/>
      <c r="K12" s="264"/>
      <c r="L12" s="264"/>
      <c r="M12" s="264"/>
      <c r="N12" s="264"/>
      <c r="O12" s="264"/>
      <c r="P12" s="264"/>
      <c r="Q12" s="264"/>
      <c r="R12" s="264"/>
      <c r="S12" s="264"/>
      <c r="T12" s="264"/>
      <c r="U12" s="264"/>
      <c r="V12" s="264"/>
      <c r="W12" s="264"/>
      <c r="X12" s="264"/>
      <c r="Y12" s="264"/>
      <c r="Z12" s="264"/>
      <c r="AA12" s="264"/>
    </row>
    <row r="13" spans="1:27">
      <c r="A13" s="263" t="s">
        <v>8718</v>
      </c>
      <c r="B13" s="263" t="s">
        <v>8719</v>
      </c>
      <c r="C13" s="266" t="s">
        <v>8743</v>
      </c>
      <c r="D13" s="266" t="s">
        <v>8744</v>
      </c>
      <c r="E13" s="266" t="s">
        <v>7210</v>
      </c>
      <c r="F13" s="264"/>
      <c r="G13" s="264"/>
      <c r="H13" s="264"/>
      <c r="I13" s="264"/>
      <c r="J13" s="264"/>
      <c r="K13" s="264"/>
      <c r="L13" s="264"/>
      <c r="M13" s="264"/>
      <c r="N13" s="264"/>
      <c r="O13" s="264"/>
      <c r="P13" s="264"/>
      <c r="Q13" s="264"/>
      <c r="R13" s="264"/>
      <c r="S13" s="264"/>
      <c r="T13" s="264"/>
      <c r="U13" s="264"/>
      <c r="V13" s="264"/>
      <c r="W13" s="264"/>
      <c r="X13" s="264"/>
      <c r="Y13" s="264"/>
      <c r="Z13" s="264"/>
      <c r="AA13" s="264"/>
    </row>
    <row r="14" spans="1:27">
      <c r="A14" s="263" t="s">
        <v>8718</v>
      </c>
      <c r="B14" s="263" t="s">
        <v>8719</v>
      </c>
      <c r="C14" s="266" t="s">
        <v>8745</v>
      </c>
      <c r="D14" s="266" t="s">
        <v>8746</v>
      </c>
      <c r="E14" s="266" t="s">
        <v>7210</v>
      </c>
      <c r="F14" s="264"/>
      <c r="G14" s="264"/>
      <c r="H14" s="264"/>
      <c r="I14" s="264"/>
      <c r="J14" s="264"/>
      <c r="K14" s="264"/>
      <c r="L14" s="264"/>
      <c r="M14" s="264"/>
      <c r="N14" s="264"/>
      <c r="O14" s="264"/>
      <c r="P14" s="264"/>
      <c r="Q14" s="264"/>
      <c r="R14" s="264"/>
      <c r="S14" s="264"/>
      <c r="T14" s="264"/>
      <c r="U14" s="264"/>
      <c r="V14" s="264"/>
      <c r="W14" s="264"/>
      <c r="X14" s="264"/>
      <c r="Y14" s="264"/>
      <c r="Z14" s="264"/>
      <c r="AA14" s="264"/>
    </row>
    <row r="15" spans="1:27">
      <c r="A15" s="263" t="s">
        <v>8718</v>
      </c>
      <c r="B15" s="263" t="s">
        <v>8719</v>
      </c>
      <c r="C15" s="266" t="s">
        <v>1419</v>
      </c>
      <c r="D15" s="266" t="s">
        <v>1419</v>
      </c>
      <c r="E15" s="266" t="s">
        <v>7210</v>
      </c>
      <c r="F15" s="264"/>
      <c r="G15" s="264"/>
      <c r="H15" s="264"/>
      <c r="I15" s="264"/>
      <c r="J15" s="264"/>
      <c r="K15" s="264"/>
      <c r="L15" s="264"/>
      <c r="M15" s="264"/>
      <c r="N15" s="264"/>
      <c r="O15" s="264"/>
      <c r="P15" s="264"/>
      <c r="Q15" s="264"/>
      <c r="R15" s="264"/>
      <c r="S15" s="264"/>
      <c r="T15" s="264"/>
      <c r="U15" s="264"/>
      <c r="V15" s="264"/>
      <c r="W15" s="264"/>
      <c r="X15" s="264"/>
      <c r="Y15" s="264"/>
      <c r="Z15" s="264"/>
      <c r="AA15" s="264"/>
    </row>
    <row r="16" spans="1:27">
      <c r="A16" s="263" t="s">
        <v>8718</v>
      </c>
      <c r="B16" s="263" t="s">
        <v>8719</v>
      </c>
      <c r="C16" s="266" t="s">
        <v>8747</v>
      </c>
      <c r="D16" s="266" t="s">
        <v>8748</v>
      </c>
      <c r="E16" s="266" t="s">
        <v>538</v>
      </c>
      <c r="F16" s="264"/>
      <c r="G16" s="264"/>
      <c r="H16" s="264"/>
      <c r="I16" s="264"/>
      <c r="J16" s="264"/>
      <c r="K16" s="264"/>
      <c r="L16" s="264"/>
      <c r="M16" s="264"/>
      <c r="N16" s="264"/>
      <c r="O16" s="264"/>
      <c r="P16" s="264"/>
      <c r="Q16" s="264"/>
      <c r="R16" s="264"/>
      <c r="S16" s="264"/>
      <c r="T16" s="264"/>
      <c r="U16" s="264"/>
      <c r="V16" s="264"/>
      <c r="W16" s="264"/>
      <c r="X16" s="264"/>
      <c r="Y16" s="264"/>
      <c r="Z16" s="264"/>
      <c r="AA16" s="264"/>
    </row>
    <row r="17" spans="1:27">
      <c r="A17" s="263" t="s">
        <v>8718</v>
      </c>
      <c r="B17" s="263" t="s">
        <v>8719</v>
      </c>
      <c r="C17" s="266" t="s">
        <v>8749</v>
      </c>
      <c r="D17" s="266" t="s">
        <v>8750</v>
      </c>
      <c r="E17" s="266" t="s">
        <v>7210</v>
      </c>
      <c r="F17" s="264"/>
      <c r="G17" s="264"/>
      <c r="H17" s="264"/>
      <c r="I17" s="264"/>
      <c r="J17" s="264"/>
      <c r="K17" s="264"/>
      <c r="L17" s="264"/>
      <c r="M17" s="264"/>
      <c r="N17" s="264"/>
      <c r="O17" s="264"/>
      <c r="P17" s="264"/>
      <c r="Q17" s="264"/>
      <c r="R17" s="264"/>
      <c r="S17" s="264"/>
      <c r="T17" s="264"/>
      <c r="U17" s="264"/>
      <c r="V17" s="264"/>
      <c r="W17" s="264"/>
      <c r="X17" s="264"/>
      <c r="Y17" s="264"/>
      <c r="Z17" s="264"/>
      <c r="AA17" s="264"/>
    </row>
    <row r="18" spans="1:27">
      <c r="A18" s="263" t="s">
        <v>8718</v>
      </c>
      <c r="B18" s="263" t="s">
        <v>8719</v>
      </c>
      <c r="C18" s="266" t="s">
        <v>8751</v>
      </c>
      <c r="D18" s="266" t="s">
        <v>8752</v>
      </c>
      <c r="E18" s="266" t="s">
        <v>7210</v>
      </c>
      <c r="F18" s="264"/>
      <c r="G18" s="264"/>
      <c r="H18" s="264"/>
      <c r="I18" s="264"/>
      <c r="J18" s="264"/>
      <c r="K18" s="264"/>
      <c r="L18" s="264"/>
      <c r="M18" s="264"/>
      <c r="N18" s="264"/>
      <c r="O18" s="264"/>
      <c r="P18" s="264"/>
      <c r="Q18" s="264"/>
      <c r="R18" s="264"/>
      <c r="S18" s="264"/>
      <c r="T18" s="264"/>
      <c r="U18" s="264"/>
      <c r="V18" s="264"/>
      <c r="W18" s="264"/>
      <c r="X18" s="264"/>
      <c r="Y18" s="264"/>
      <c r="Z18" s="264"/>
      <c r="AA18" s="264"/>
    </row>
    <row r="19" spans="1:27">
      <c r="A19" s="263" t="s">
        <v>8718</v>
      </c>
      <c r="B19" s="263" t="s">
        <v>8719</v>
      </c>
      <c r="C19" s="266" t="s">
        <v>8753</v>
      </c>
      <c r="D19" s="266" t="s">
        <v>8754</v>
      </c>
      <c r="E19" s="266" t="s">
        <v>7210</v>
      </c>
      <c r="F19" s="264"/>
      <c r="G19" s="264"/>
      <c r="H19" s="264"/>
      <c r="I19" s="264"/>
      <c r="J19" s="264"/>
      <c r="K19" s="264"/>
      <c r="L19" s="264"/>
      <c r="M19" s="264"/>
      <c r="N19" s="264"/>
      <c r="O19" s="264"/>
      <c r="P19" s="264"/>
      <c r="Q19" s="264"/>
      <c r="R19" s="264"/>
      <c r="S19" s="264"/>
      <c r="T19" s="264"/>
      <c r="U19" s="264"/>
      <c r="V19" s="264"/>
      <c r="W19" s="264"/>
      <c r="X19" s="264"/>
      <c r="Y19" s="264"/>
      <c r="Z19" s="264"/>
      <c r="AA19" s="264"/>
    </row>
    <row r="20" spans="1:27">
      <c r="A20" s="263" t="s">
        <v>8718</v>
      </c>
      <c r="B20" s="263" t="s">
        <v>8719</v>
      </c>
      <c r="C20" s="268" t="s">
        <v>8755</v>
      </c>
      <c r="D20" s="268" t="s">
        <v>8756</v>
      </c>
      <c r="E20" s="266" t="s">
        <v>7210</v>
      </c>
      <c r="F20" s="264"/>
      <c r="G20" s="264"/>
      <c r="H20" s="264"/>
      <c r="I20" s="264"/>
      <c r="J20" s="264"/>
      <c r="K20" s="264"/>
      <c r="L20" s="264"/>
      <c r="M20" s="264"/>
      <c r="N20" s="264"/>
      <c r="O20" s="264"/>
      <c r="P20" s="264"/>
      <c r="Q20" s="264"/>
      <c r="R20" s="264"/>
      <c r="S20" s="264"/>
      <c r="T20" s="264"/>
      <c r="U20" s="264"/>
      <c r="V20" s="264"/>
      <c r="W20" s="264"/>
      <c r="X20" s="264"/>
      <c r="Y20" s="264"/>
      <c r="Z20" s="264"/>
      <c r="AA20" s="264"/>
    </row>
    <row r="21" spans="1:27">
      <c r="A21" s="263" t="s">
        <v>8718</v>
      </c>
      <c r="B21" s="263" t="s">
        <v>8719</v>
      </c>
      <c r="C21" s="266" t="s">
        <v>8757</v>
      </c>
      <c r="D21" s="266" t="s">
        <v>8758</v>
      </c>
      <c r="E21" s="266" t="s">
        <v>7210</v>
      </c>
      <c r="F21" s="264"/>
      <c r="G21" s="264"/>
      <c r="H21" s="264"/>
      <c r="I21" s="264"/>
      <c r="J21" s="264"/>
      <c r="K21" s="264"/>
      <c r="L21" s="264"/>
      <c r="M21" s="264"/>
      <c r="N21" s="264"/>
      <c r="O21" s="264"/>
      <c r="P21" s="264"/>
      <c r="Q21" s="264"/>
      <c r="R21" s="264"/>
      <c r="S21" s="264"/>
      <c r="T21" s="264"/>
      <c r="U21" s="264"/>
      <c r="V21" s="264"/>
      <c r="W21" s="264"/>
      <c r="X21" s="264"/>
      <c r="Y21" s="264"/>
      <c r="Z21" s="264"/>
      <c r="AA21" s="264"/>
    </row>
    <row r="22" spans="1:27">
      <c r="A22" s="263" t="s">
        <v>8718</v>
      </c>
      <c r="B22" s="263" t="s">
        <v>8719</v>
      </c>
      <c r="C22" s="266" t="s">
        <v>8759</v>
      </c>
      <c r="D22" s="266" t="s">
        <v>8760</v>
      </c>
      <c r="E22" s="266" t="s">
        <v>538</v>
      </c>
      <c r="F22" s="264"/>
      <c r="G22" s="264"/>
      <c r="H22" s="264"/>
      <c r="I22" s="264"/>
      <c r="J22" s="264"/>
      <c r="K22" s="264"/>
      <c r="L22" s="264"/>
      <c r="M22" s="264"/>
      <c r="N22" s="264"/>
      <c r="O22" s="264"/>
      <c r="P22" s="264"/>
      <c r="Q22" s="264"/>
      <c r="R22" s="264"/>
      <c r="S22" s="264"/>
      <c r="T22" s="264"/>
      <c r="U22" s="264"/>
      <c r="V22" s="264"/>
      <c r="W22" s="264"/>
      <c r="X22" s="264"/>
      <c r="Y22" s="264"/>
      <c r="Z22" s="264"/>
      <c r="AA22" s="264"/>
    </row>
    <row r="23" spans="1:27" ht="15.75" customHeight="1">
      <c r="A23" s="263" t="s">
        <v>8718</v>
      </c>
      <c r="B23" s="263" t="s">
        <v>8719</v>
      </c>
      <c r="C23" s="266" t="s">
        <v>8761</v>
      </c>
      <c r="D23" s="266" t="s">
        <v>8762</v>
      </c>
      <c r="E23" s="266" t="s">
        <v>7210</v>
      </c>
      <c r="F23" s="264"/>
      <c r="G23" s="264"/>
      <c r="H23" s="264"/>
      <c r="I23" s="264"/>
      <c r="J23" s="264"/>
      <c r="K23" s="264"/>
      <c r="L23" s="264"/>
      <c r="M23" s="264"/>
      <c r="N23" s="264"/>
      <c r="O23" s="264"/>
      <c r="P23" s="264"/>
      <c r="Q23" s="264"/>
      <c r="R23" s="264"/>
      <c r="S23" s="264"/>
      <c r="T23" s="264"/>
      <c r="U23" s="264"/>
      <c r="V23" s="264"/>
      <c r="W23" s="264"/>
      <c r="X23" s="264"/>
      <c r="Y23" s="264"/>
      <c r="Z23" s="264"/>
      <c r="AA23" s="264"/>
    </row>
    <row r="24" spans="1:27" ht="15.75" customHeight="1">
      <c r="A24" s="263" t="s">
        <v>8718</v>
      </c>
      <c r="B24" s="263" t="s">
        <v>8719</v>
      </c>
      <c r="C24" s="266" t="s">
        <v>8763</v>
      </c>
      <c r="D24" s="266" t="s">
        <v>8764</v>
      </c>
      <c r="E24" s="266" t="s">
        <v>7210</v>
      </c>
      <c r="F24" s="264"/>
      <c r="G24" s="264"/>
      <c r="H24" s="264"/>
      <c r="I24" s="264"/>
      <c r="J24" s="264"/>
      <c r="K24" s="264"/>
      <c r="L24" s="264"/>
      <c r="M24" s="264"/>
      <c r="N24" s="264"/>
      <c r="O24" s="264"/>
      <c r="P24" s="264"/>
      <c r="Q24" s="264"/>
      <c r="R24" s="264"/>
      <c r="S24" s="264"/>
      <c r="T24" s="264"/>
      <c r="U24" s="264"/>
      <c r="V24" s="264"/>
      <c r="W24" s="264"/>
      <c r="X24" s="264"/>
      <c r="Y24" s="264"/>
      <c r="Z24" s="264"/>
      <c r="AA24" s="264"/>
    </row>
    <row r="25" spans="1:27" ht="15.75" customHeight="1">
      <c r="A25" s="263" t="s">
        <v>8718</v>
      </c>
      <c r="B25" s="263" t="s">
        <v>8719</v>
      </c>
      <c r="C25" s="266" t="s">
        <v>8765</v>
      </c>
      <c r="D25" s="266" t="s">
        <v>8766</v>
      </c>
      <c r="E25" s="266" t="s">
        <v>7210</v>
      </c>
      <c r="F25" s="264"/>
      <c r="G25" s="264"/>
      <c r="H25" s="264"/>
      <c r="I25" s="264"/>
      <c r="J25" s="264"/>
      <c r="K25" s="264"/>
      <c r="L25" s="264"/>
      <c r="M25" s="264"/>
      <c r="N25" s="264"/>
      <c r="O25" s="264"/>
      <c r="P25" s="264"/>
      <c r="Q25" s="264"/>
      <c r="R25" s="264"/>
      <c r="S25" s="264"/>
      <c r="T25" s="264"/>
      <c r="U25" s="264"/>
      <c r="V25" s="264"/>
      <c r="W25" s="264"/>
      <c r="X25" s="264"/>
      <c r="Y25" s="264"/>
      <c r="Z25" s="264"/>
      <c r="AA25" s="264"/>
    </row>
    <row r="26" spans="1:27" ht="15.75" customHeight="1">
      <c r="A26" s="263" t="s">
        <v>8718</v>
      </c>
      <c r="B26" s="263" t="s">
        <v>8719</v>
      </c>
      <c r="C26" s="268" t="s">
        <v>8767</v>
      </c>
      <c r="D26" s="268" t="s">
        <v>8768</v>
      </c>
      <c r="E26" s="266" t="s">
        <v>7210</v>
      </c>
      <c r="F26" s="264"/>
      <c r="G26" s="264"/>
      <c r="H26" s="264"/>
      <c r="I26" s="264"/>
      <c r="J26" s="264"/>
      <c r="K26" s="264"/>
      <c r="L26" s="264"/>
      <c r="M26" s="264"/>
      <c r="N26" s="264"/>
      <c r="O26" s="264"/>
      <c r="P26" s="264"/>
      <c r="Q26" s="264"/>
      <c r="R26" s="264"/>
      <c r="S26" s="264"/>
      <c r="T26" s="264"/>
      <c r="U26" s="264"/>
      <c r="V26" s="264"/>
      <c r="W26" s="264"/>
      <c r="X26" s="264"/>
      <c r="Y26" s="264"/>
      <c r="Z26" s="264"/>
      <c r="AA26" s="264"/>
    </row>
    <row r="27" spans="1:27" ht="15.75" customHeight="1">
      <c r="A27" s="263" t="s">
        <v>8718</v>
      </c>
      <c r="B27" s="263" t="s">
        <v>8719</v>
      </c>
      <c r="C27" s="266" t="s">
        <v>8769</v>
      </c>
      <c r="D27" s="266" t="s">
        <v>8770</v>
      </c>
      <c r="E27" s="266" t="s">
        <v>7210</v>
      </c>
      <c r="F27" s="264"/>
      <c r="G27" s="264"/>
      <c r="H27" s="264"/>
      <c r="I27" s="264"/>
      <c r="J27" s="264"/>
      <c r="K27" s="264"/>
      <c r="L27" s="264"/>
      <c r="M27" s="264"/>
      <c r="N27" s="264"/>
      <c r="O27" s="264"/>
      <c r="P27" s="264"/>
      <c r="Q27" s="264"/>
      <c r="R27" s="264"/>
      <c r="S27" s="264"/>
      <c r="T27" s="264"/>
      <c r="U27" s="264"/>
      <c r="V27" s="264"/>
      <c r="W27" s="264"/>
      <c r="X27" s="264"/>
      <c r="Y27" s="264"/>
      <c r="Z27" s="264"/>
      <c r="AA27" s="264"/>
    </row>
    <row r="28" spans="1:27" ht="15.75" customHeight="1">
      <c r="A28" s="263" t="s">
        <v>8718</v>
      </c>
      <c r="B28" s="266" t="s">
        <v>5671</v>
      </c>
      <c r="C28" s="263" t="s">
        <v>8670</v>
      </c>
      <c r="D28" s="263" t="s">
        <v>3897</v>
      </c>
      <c r="E28" s="266" t="s">
        <v>7210</v>
      </c>
      <c r="F28" s="264"/>
      <c r="G28" s="264"/>
      <c r="H28" s="264"/>
      <c r="I28" s="264"/>
      <c r="J28" s="264"/>
      <c r="K28" s="264"/>
      <c r="L28" s="264"/>
      <c r="M28" s="264"/>
      <c r="N28" s="264"/>
      <c r="O28" s="264"/>
      <c r="P28" s="264"/>
      <c r="Q28" s="264"/>
      <c r="R28" s="264"/>
      <c r="S28" s="264"/>
      <c r="T28" s="264"/>
      <c r="U28" s="264"/>
      <c r="V28" s="264"/>
      <c r="W28" s="264"/>
      <c r="X28" s="264"/>
      <c r="Y28" s="264"/>
      <c r="Z28" s="264"/>
      <c r="AA28" s="264"/>
    </row>
    <row r="29" spans="1:27" ht="15.75" customHeight="1">
      <c r="A29" s="263" t="s">
        <v>8718</v>
      </c>
      <c r="B29" s="266" t="s">
        <v>5671</v>
      </c>
      <c r="C29" s="265" t="s">
        <v>8730</v>
      </c>
      <c r="D29" s="265" t="s">
        <v>8731</v>
      </c>
      <c r="E29" s="263" t="s">
        <v>7210</v>
      </c>
      <c r="F29" s="264"/>
      <c r="G29" s="264"/>
      <c r="H29" s="264"/>
      <c r="I29" s="264"/>
      <c r="J29" s="264"/>
      <c r="K29" s="264"/>
      <c r="L29" s="264"/>
      <c r="M29" s="264"/>
      <c r="N29" s="264"/>
      <c r="O29" s="264"/>
      <c r="P29" s="264"/>
      <c r="Q29" s="264"/>
      <c r="R29" s="264"/>
      <c r="S29" s="264"/>
      <c r="T29" s="264"/>
      <c r="U29" s="264"/>
      <c r="V29" s="264"/>
      <c r="W29" s="264"/>
      <c r="X29" s="264"/>
      <c r="Y29" s="264"/>
      <c r="Z29" s="264"/>
      <c r="AA29" s="264"/>
    </row>
    <row r="30" spans="1:27" ht="15.75" customHeight="1">
      <c r="A30" s="263" t="s">
        <v>8718</v>
      </c>
      <c r="B30" s="266" t="s">
        <v>5671</v>
      </c>
      <c r="C30" s="98" t="s">
        <v>8732</v>
      </c>
      <c r="D30" s="98" t="s">
        <v>8733</v>
      </c>
      <c r="E30" s="263" t="s">
        <v>7210</v>
      </c>
      <c r="F30" s="264"/>
      <c r="G30" s="264"/>
      <c r="H30" s="264"/>
      <c r="I30" s="264"/>
      <c r="J30" s="264"/>
      <c r="K30" s="264"/>
      <c r="L30" s="264"/>
      <c r="M30" s="264"/>
      <c r="N30" s="264"/>
      <c r="O30" s="264"/>
      <c r="P30" s="264"/>
      <c r="Q30" s="264"/>
      <c r="R30" s="264"/>
      <c r="S30" s="264"/>
      <c r="T30" s="264"/>
      <c r="U30" s="264"/>
      <c r="V30" s="264"/>
      <c r="W30" s="264"/>
      <c r="X30" s="264"/>
      <c r="Y30" s="264"/>
      <c r="Z30" s="264"/>
      <c r="AA30" s="264"/>
    </row>
    <row r="31" spans="1:27" ht="15.75" customHeight="1">
      <c r="A31" s="263" t="s">
        <v>8718</v>
      </c>
      <c r="B31" s="266" t="s">
        <v>5671</v>
      </c>
      <c r="C31" s="266" t="s">
        <v>8771</v>
      </c>
      <c r="D31" s="266" t="s">
        <v>8771</v>
      </c>
      <c r="E31" s="266" t="s">
        <v>7210</v>
      </c>
      <c r="F31" s="264"/>
      <c r="G31" s="264"/>
      <c r="H31" s="264"/>
      <c r="I31" s="264"/>
      <c r="J31" s="264"/>
      <c r="K31" s="264"/>
      <c r="L31" s="264"/>
      <c r="M31" s="264"/>
      <c r="N31" s="264"/>
      <c r="O31" s="264"/>
      <c r="P31" s="264"/>
      <c r="Q31" s="264"/>
      <c r="R31" s="264"/>
      <c r="S31" s="264"/>
      <c r="T31" s="264"/>
      <c r="U31" s="264"/>
      <c r="V31" s="264"/>
      <c r="W31" s="264"/>
      <c r="X31" s="264"/>
      <c r="Y31" s="264"/>
      <c r="Z31" s="264"/>
      <c r="AA31" s="264"/>
    </row>
    <row r="32" spans="1:27" ht="15.75" customHeight="1">
      <c r="A32" s="263" t="s">
        <v>8718</v>
      </c>
      <c r="B32" s="266" t="s">
        <v>5671</v>
      </c>
      <c r="C32" s="266" t="s">
        <v>1419</v>
      </c>
      <c r="D32" s="266" t="s">
        <v>1419</v>
      </c>
      <c r="E32" s="266" t="s">
        <v>7210</v>
      </c>
      <c r="F32" s="264"/>
      <c r="G32" s="264"/>
      <c r="H32" s="264"/>
      <c r="I32" s="264"/>
      <c r="J32" s="264"/>
      <c r="K32" s="264"/>
      <c r="L32" s="264"/>
      <c r="M32" s="264"/>
      <c r="N32" s="264"/>
      <c r="O32" s="264"/>
      <c r="P32" s="264"/>
      <c r="Q32" s="264"/>
      <c r="R32" s="264"/>
      <c r="S32" s="264"/>
      <c r="T32" s="264"/>
      <c r="U32" s="264"/>
      <c r="V32" s="264"/>
      <c r="W32" s="264"/>
      <c r="X32" s="264"/>
      <c r="Y32" s="264"/>
      <c r="Z32" s="264"/>
      <c r="AA32" s="264"/>
    </row>
    <row r="33" spans="1:27" ht="15.75" customHeight="1">
      <c r="A33" s="263" t="s">
        <v>8718</v>
      </c>
      <c r="B33" s="266" t="s">
        <v>5671</v>
      </c>
      <c r="C33" s="266" t="s">
        <v>8747</v>
      </c>
      <c r="D33" s="266" t="s">
        <v>8748</v>
      </c>
      <c r="E33" s="266" t="s">
        <v>538</v>
      </c>
      <c r="F33" s="264"/>
      <c r="G33" s="264"/>
      <c r="H33" s="264"/>
      <c r="I33" s="264"/>
      <c r="J33" s="264"/>
      <c r="K33" s="264"/>
      <c r="L33" s="264"/>
      <c r="M33" s="264"/>
      <c r="N33" s="264"/>
      <c r="O33" s="264"/>
      <c r="P33" s="264"/>
      <c r="Q33" s="264"/>
      <c r="R33" s="264"/>
      <c r="S33" s="264"/>
      <c r="T33" s="264"/>
      <c r="U33" s="264"/>
      <c r="V33" s="264"/>
      <c r="W33" s="264"/>
      <c r="X33" s="264"/>
      <c r="Y33" s="264"/>
      <c r="Z33" s="264"/>
      <c r="AA33" s="264"/>
    </row>
    <row r="34" spans="1:27" ht="15.75" customHeight="1">
      <c r="A34" s="263" t="s">
        <v>8718</v>
      </c>
      <c r="B34" s="266" t="s">
        <v>5671</v>
      </c>
      <c r="C34" s="266" t="s">
        <v>8749</v>
      </c>
      <c r="D34" s="266" t="s">
        <v>8750</v>
      </c>
      <c r="E34" s="266" t="s">
        <v>7210</v>
      </c>
      <c r="F34" s="264"/>
      <c r="G34" s="264"/>
      <c r="H34" s="264"/>
      <c r="I34" s="264"/>
      <c r="J34" s="264"/>
      <c r="K34" s="264"/>
      <c r="L34" s="264"/>
      <c r="M34" s="264"/>
      <c r="N34" s="264"/>
      <c r="O34" s="264"/>
      <c r="P34" s="264"/>
      <c r="Q34" s="264"/>
      <c r="R34" s="264"/>
      <c r="S34" s="264"/>
      <c r="T34" s="264"/>
      <c r="U34" s="264"/>
      <c r="V34" s="264"/>
      <c r="W34" s="264"/>
      <c r="X34" s="264"/>
      <c r="Y34" s="264"/>
      <c r="Z34" s="264"/>
      <c r="AA34" s="264"/>
    </row>
    <row r="35" spans="1:27" ht="15.75" customHeight="1">
      <c r="A35" s="263" t="s">
        <v>8718</v>
      </c>
      <c r="B35" s="266" t="s">
        <v>5671</v>
      </c>
      <c r="C35" s="266" t="s">
        <v>8751</v>
      </c>
      <c r="D35" s="266" t="s">
        <v>8752</v>
      </c>
      <c r="E35" s="266" t="s">
        <v>7210</v>
      </c>
      <c r="F35" s="264"/>
      <c r="G35" s="264"/>
      <c r="H35" s="264"/>
      <c r="I35" s="264"/>
      <c r="J35" s="264"/>
      <c r="K35" s="264"/>
      <c r="L35" s="264"/>
      <c r="M35" s="264"/>
      <c r="N35" s="264"/>
      <c r="O35" s="264"/>
      <c r="P35" s="264"/>
      <c r="Q35" s="264"/>
      <c r="R35" s="264"/>
      <c r="S35" s="264"/>
      <c r="T35" s="264"/>
      <c r="U35" s="264"/>
      <c r="V35" s="264"/>
      <c r="W35" s="264"/>
      <c r="X35" s="264"/>
      <c r="Y35" s="264"/>
      <c r="Z35" s="264"/>
      <c r="AA35" s="264"/>
    </row>
    <row r="36" spans="1:27" ht="15.75" customHeight="1">
      <c r="A36" s="263" t="s">
        <v>8718</v>
      </c>
      <c r="B36" s="266" t="s">
        <v>5671</v>
      </c>
      <c r="C36" s="266" t="s">
        <v>8753</v>
      </c>
      <c r="D36" s="266" t="s">
        <v>8754</v>
      </c>
      <c r="E36" s="266" t="s">
        <v>7210</v>
      </c>
      <c r="F36" s="264"/>
      <c r="G36" s="264"/>
      <c r="H36" s="264"/>
      <c r="I36" s="264"/>
      <c r="J36" s="264"/>
      <c r="K36" s="264"/>
      <c r="L36" s="264"/>
      <c r="M36" s="264"/>
      <c r="N36" s="264"/>
      <c r="O36" s="264"/>
      <c r="P36" s="264"/>
      <c r="Q36" s="264"/>
      <c r="R36" s="264"/>
      <c r="S36" s="264"/>
      <c r="T36" s="264"/>
      <c r="U36" s="264"/>
      <c r="V36" s="264"/>
      <c r="W36" s="264"/>
      <c r="X36" s="264"/>
      <c r="Y36" s="264"/>
      <c r="Z36" s="264"/>
      <c r="AA36" s="264"/>
    </row>
    <row r="37" spans="1:27" ht="15.75" customHeight="1">
      <c r="A37" s="263" t="s">
        <v>8718</v>
      </c>
      <c r="B37" s="266" t="s">
        <v>5671</v>
      </c>
      <c r="C37" s="268" t="s">
        <v>8755</v>
      </c>
      <c r="D37" s="268" t="s">
        <v>8756</v>
      </c>
      <c r="E37" s="266" t="s">
        <v>7210</v>
      </c>
      <c r="F37" s="264"/>
      <c r="G37" s="264"/>
      <c r="H37" s="264"/>
      <c r="I37" s="264"/>
      <c r="J37" s="264"/>
      <c r="K37" s="264"/>
      <c r="L37" s="264"/>
      <c r="M37" s="264"/>
      <c r="N37" s="264"/>
      <c r="O37" s="264"/>
      <c r="P37" s="264"/>
      <c r="Q37" s="264"/>
      <c r="R37" s="264"/>
      <c r="S37" s="264"/>
      <c r="T37" s="264"/>
      <c r="U37" s="264"/>
      <c r="V37" s="264"/>
      <c r="W37" s="264"/>
      <c r="X37" s="264"/>
      <c r="Y37" s="264"/>
      <c r="Z37" s="264"/>
      <c r="AA37" s="264"/>
    </row>
    <row r="38" spans="1:27" ht="15.75" customHeight="1">
      <c r="A38" s="263" t="s">
        <v>8718</v>
      </c>
      <c r="B38" s="266" t="s">
        <v>5671</v>
      </c>
      <c r="C38" s="266" t="s">
        <v>8757</v>
      </c>
      <c r="D38" s="266" t="s">
        <v>8758</v>
      </c>
      <c r="E38" s="266" t="s">
        <v>7210</v>
      </c>
      <c r="F38" s="264"/>
      <c r="G38" s="264"/>
      <c r="H38" s="264"/>
      <c r="I38" s="264"/>
      <c r="J38" s="264"/>
      <c r="K38" s="264"/>
      <c r="L38" s="264"/>
      <c r="M38" s="264"/>
      <c r="N38" s="264"/>
      <c r="O38" s="264"/>
      <c r="P38" s="264"/>
      <c r="Q38" s="264"/>
      <c r="R38" s="264"/>
      <c r="S38" s="264"/>
      <c r="T38" s="264"/>
      <c r="U38" s="264"/>
      <c r="V38" s="264"/>
      <c r="W38" s="264"/>
      <c r="X38" s="264"/>
      <c r="Y38" s="264"/>
      <c r="Z38" s="264"/>
      <c r="AA38" s="264"/>
    </row>
    <row r="39" spans="1:27" ht="15.75" customHeight="1">
      <c r="A39" s="263" t="s">
        <v>8718</v>
      </c>
      <c r="B39" s="266" t="s">
        <v>5671</v>
      </c>
      <c r="C39" s="266" t="s">
        <v>8759</v>
      </c>
      <c r="D39" s="266" t="s">
        <v>8760</v>
      </c>
      <c r="E39" s="266" t="s">
        <v>538</v>
      </c>
      <c r="F39" s="264"/>
      <c r="G39" s="264"/>
      <c r="H39" s="264"/>
      <c r="I39" s="264"/>
      <c r="J39" s="264"/>
      <c r="K39" s="264"/>
      <c r="L39" s="264"/>
      <c r="M39" s="264"/>
      <c r="N39" s="264"/>
      <c r="O39" s="264"/>
      <c r="P39" s="264"/>
      <c r="Q39" s="264"/>
      <c r="R39" s="264"/>
      <c r="S39" s="264"/>
      <c r="T39" s="264"/>
      <c r="U39" s="264"/>
      <c r="V39" s="264"/>
      <c r="W39" s="264"/>
      <c r="X39" s="264"/>
      <c r="Y39" s="264"/>
      <c r="Z39" s="264"/>
      <c r="AA39" s="264"/>
    </row>
    <row r="40" spans="1:27" ht="15.75" customHeight="1">
      <c r="A40" s="263" t="s">
        <v>8718</v>
      </c>
      <c r="B40" s="266" t="s">
        <v>5671</v>
      </c>
      <c r="C40" s="266" t="s">
        <v>8761</v>
      </c>
      <c r="D40" s="266" t="s">
        <v>8762</v>
      </c>
      <c r="E40" s="266" t="s">
        <v>7210</v>
      </c>
      <c r="F40" s="264"/>
      <c r="G40" s="264"/>
      <c r="H40" s="264"/>
      <c r="I40" s="264"/>
      <c r="J40" s="264"/>
      <c r="K40" s="264"/>
      <c r="L40" s="264"/>
      <c r="M40" s="264"/>
      <c r="N40" s="264"/>
      <c r="O40" s="264"/>
      <c r="P40" s="264"/>
      <c r="Q40" s="264"/>
      <c r="R40" s="264"/>
      <c r="S40" s="264"/>
      <c r="T40" s="264"/>
      <c r="U40" s="264"/>
      <c r="V40" s="264"/>
      <c r="W40" s="264"/>
      <c r="X40" s="264"/>
      <c r="Y40" s="264"/>
      <c r="Z40" s="264"/>
      <c r="AA40" s="264"/>
    </row>
    <row r="41" spans="1:27" ht="15.75" customHeight="1">
      <c r="A41" s="263" t="s">
        <v>8718</v>
      </c>
      <c r="B41" s="266" t="s">
        <v>5671</v>
      </c>
      <c r="C41" s="266" t="s">
        <v>8763</v>
      </c>
      <c r="D41" s="266" t="s">
        <v>8764</v>
      </c>
      <c r="E41" s="266" t="s">
        <v>7210</v>
      </c>
      <c r="F41" s="264"/>
      <c r="G41" s="264"/>
      <c r="H41" s="264"/>
      <c r="I41" s="264"/>
      <c r="J41" s="264"/>
      <c r="K41" s="264"/>
      <c r="L41" s="264"/>
      <c r="M41" s="264"/>
      <c r="N41" s="264"/>
      <c r="O41" s="264"/>
      <c r="P41" s="264"/>
      <c r="Q41" s="264"/>
      <c r="R41" s="264"/>
      <c r="S41" s="264"/>
      <c r="T41" s="264"/>
      <c r="U41" s="264"/>
      <c r="V41" s="264"/>
      <c r="W41" s="264"/>
      <c r="X41" s="264"/>
      <c r="Y41" s="264"/>
      <c r="Z41" s="264"/>
      <c r="AA41" s="264"/>
    </row>
    <row r="42" spans="1:27" ht="15.75" customHeight="1">
      <c r="A42" s="263" t="s">
        <v>8718</v>
      </c>
      <c r="B42" s="266" t="s">
        <v>5671</v>
      </c>
      <c r="C42" s="266" t="s">
        <v>8765</v>
      </c>
      <c r="D42" s="266" t="s">
        <v>8766</v>
      </c>
      <c r="E42" s="266" t="s">
        <v>7210</v>
      </c>
      <c r="F42" s="264"/>
      <c r="G42" s="264"/>
      <c r="H42" s="264"/>
      <c r="I42" s="264"/>
      <c r="J42" s="264"/>
      <c r="K42" s="264"/>
      <c r="L42" s="264"/>
      <c r="M42" s="264"/>
      <c r="N42" s="264"/>
      <c r="O42" s="264"/>
      <c r="P42" s="264"/>
      <c r="Q42" s="264"/>
      <c r="R42" s="264"/>
      <c r="S42" s="264"/>
      <c r="T42" s="264"/>
      <c r="U42" s="264"/>
      <c r="V42" s="264"/>
      <c r="W42" s="264"/>
      <c r="X42" s="264"/>
      <c r="Y42" s="264"/>
      <c r="Z42" s="264"/>
      <c r="AA42" s="264"/>
    </row>
    <row r="43" spans="1:27" ht="15.75" customHeight="1">
      <c r="A43" s="263" t="s">
        <v>8718</v>
      </c>
      <c r="B43" s="266" t="s">
        <v>5671</v>
      </c>
      <c r="C43" s="268" t="s">
        <v>8767</v>
      </c>
      <c r="D43" s="268" t="s">
        <v>8768</v>
      </c>
      <c r="E43" s="266" t="s">
        <v>7210</v>
      </c>
      <c r="F43" s="264"/>
      <c r="G43" s="264"/>
      <c r="H43" s="264"/>
      <c r="I43" s="264"/>
      <c r="J43" s="264"/>
      <c r="K43" s="264"/>
      <c r="L43" s="264"/>
      <c r="M43" s="264"/>
      <c r="N43" s="264"/>
      <c r="O43" s="264"/>
      <c r="P43" s="264"/>
      <c r="Q43" s="264"/>
      <c r="R43" s="264"/>
      <c r="S43" s="264"/>
      <c r="T43" s="264"/>
      <c r="U43" s="264"/>
      <c r="V43" s="264"/>
      <c r="W43" s="264"/>
      <c r="X43" s="264"/>
      <c r="Y43" s="264"/>
      <c r="Z43" s="264"/>
      <c r="AA43" s="264"/>
    </row>
    <row r="44" spans="1:27" ht="15.75" customHeight="1">
      <c r="A44" s="263" t="s">
        <v>8718</v>
      </c>
      <c r="B44" s="266" t="s">
        <v>5671</v>
      </c>
      <c r="C44" s="266" t="s">
        <v>8769</v>
      </c>
      <c r="D44" s="266" t="s">
        <v>8770</v>
      </c>
      <c r="E44" s="266" t="s">
        <v>7210</v>
      </c>
      <c r="F44" s="264"/>
      <c r="G44" s="264"/>
      <c r="H44" s="264"/>
      <c r="I44" s="264"/>
      <c r="J44" s="264"/>
      <c r="K44" s="264"/>
      <c r="L44" s="264"/>
      <c r="M44" s="264"/>
      <c r="N44" s="264"/>
      <c r="O44" s="264"/>
      <c r="P44" s="264"/>
      <c r="Q44" s="264"/>
      <c r="R44" s="264"/>
      <c r="S44" s="264"/>
      <c r="T44" s="264"/>
      <c r="U44" s="264"/>
      <c r="V44" s="264"/>
      <c r="W44" s="264"/>
      <c r="X44" s="264"/>
      <c r="Y44" s="264"/>
      <c r="Z44" s="264"/>
      <c r="AA44" s="264"/>
    </row>
    <row r="45" spans="1:27" ht="15.75" customHeight="1">
      <c r="A45" s="266" t="s">
        <v>8718</v>
      </c>
      <c r="B45" s="266" t="s">
        <v>8721</v>
      </c>
      <c r="C45" s="263" t="s">
        <v>8670</v>
      </c>
      <c r="D45" s="263" t="s">
        <v>3897</v>
      </c>
      <c r="E45" s="266" t="s">
        <v>7210</v>
      </c>
      <c r="F45" s="264"/>
      <c r="G45" s="264"/>
      <c r="H45" s="264"/>
      <c r="I45" s="264"/>
      <c r="J45" s="264"/>
      <c r="K45" s="264"/>
      <c r="L45" s="264"/>
      <c r="M45" s="264"/>
      <c r="N45" s="264"/>
      <c r="O45" s="264"/>
      <c r="P45" s="264"/>
      <c r="Q45" s="264"/>
      <c r="R45" s="264"/>
      <c r="S45" s="264"/>
      <c r="T45" s="264"/>
      <c r="U45" s="264"/>
      <c r="V45" s="264"/>
      <c r="W45" s="264"/>
      <c r="X45" s="264"/>
      <c r="Y45" s="264"/>
      <c r="Z45" s="264"/>
      <c r="AA45" s="264"/>
    </row>
    <row r="46" spans="1:27" ht="15.75" customHeight="1">
      <c r="A46" s="266" t="s">
        <v>8718</v>
      </c>
      <c r="B46" s="266" t="s">
        <v>8721</v>
      </c>
      <c r="C46" s="266" t="s">
        <v>5678</v>
      </c>
      <c r="D46" s="266" t="s">
        <v>5678</v>
      </c>
      <c r="E46" s="266" t="s">
        <v>7210</v>
      </c>
      <c r="F46" s="264"/>
      <c r="G46" s="264"/>
      <c r="H46" s="264"/>
      <c r="I46" s="264"/>
      <c r="J46" s="264"/>
      <c r="K46" s="264"/>
      <c r="L46" s="264"/>
      <c r="M46" s="264"/>
      <c r="N46" s="264"/>
      <c r="O46" s="264"/>
      <c r="P46" s="264"/>
      <c r="Q46" s="264"/>
      <c r="R46" s="264"/>
      <c r="S46" s="264"/>
      <c r="T46" s="264"/>
      <c r="U46" s="264"/>
      <c r="V46" s="264"/>
      <c r="W46" s="264"/>
      <c r="X46" s="264"/>
      <c r="Y46" s="264"/>
      <c r="Z46" s="264"/>
      <c r="AA46" s="264"/>
    </row>
    <row r="47" spans="1:27" ht="15.75" customHeight="1">
      <c r="A47" s="266" t="s">
        <v>8718</v>
      </c>
      <c r="B47" s="266" t="s">
        <v>8721</v>
      </c>
      <c r="C47" s="266" t="s">
        <v>8772</v>
      </c>
      <c r="D47" s="266" t="s">
        <v>8772</v>
      </c>
      <c r="E47" s="266" t="s">
        <v>8687</v>
      </c>
      <c r="F47" s="264"/>
      <c r="G47" s="264"/>
      <c r="H47" s="264"/>
      <c r="I47" s="264"/>
      <c r="J47" s="264"/>
      <c r="K47" s="264"/>
      <c r="L47" s="264"/>
      <c r="M47" s="264"/>
      <c r="N47" s="264"/>
      <c r="O47" s="264"/>
      <c r="P47" s="264"/>
      <c r="Q47" s="264"/>
      <c r="R47" s="264"/>
      <c r="S47" s="264"/>
      <c r="T47" s="264"/>
      <c r="U47" s="264"/>
      <c r="V47" s="264"/>
      <c r="W47" s="264"/>
      <c r="X47" s="264"/>
      <c r="Y47" s="264"/>
      <c r="Z47" s="264"/>
      <c r="AA47" s="264"/>
    </row>
    <row r="48" spans="1:27" ht="15.75" customHeight="1">
      <c r="A48" s="266" t="s">
        <v>8718</v>
      </c>
      <c r="B48" s="266" t="s">
        <v>8721</v>
      </c>
      <c r="C48" s="266" t="s">
        <v>5764</v>
      </c>
      <c r="D48" s="266" t="s">
        <v>5764</v>
      </c>
      <c r="E48" s="266" t="s">
        <v>7210</v>
      </c>
      <c r="F48" s="264"/>
      <c r="G48" s="264"/>
      <c r="H48" s="264"/>
      <c r="I48" s="264"/>
      <c r="J48" s="264"/>
      <c r="K48" s="264"/>
      <c r="L48" s="264"/>
      <c r="M48" s="264"/>
      <c r="N48" s="264"/>
      <c r="O48" s="264"/>
      <c r="P48" s="264"/>
      <c r="Q48" s="264"/>
      <c r="R48" s="264"/>
      <c r="S48" s="264"/>
      <c r="T48" s="264"/>
      <c r="U48" s="264"/>
      <c r="V48" s="264"/>
      <c r="W48" s="264"/>
      <c r="X48" s="264"/>
      <c r="Y48" s="264"/>
      <c r="Z48" s="264"/>
      <c r="AA48" s="264"/>
    </row>
    <row r="49" spans="1:27" ht="15.75" customHeight="1">
      <c r="A49" s="266" t="s">
        <v>8718</v>
      </c>
      <c r="B49" s="266" t="s">
        <v>8721</v>
      </c>
      <c r="C49" s="265" t="s">
        <v>8730</v>
      </c>
      <c r="D49" s="265" t="s">
        <v>8731</v>
      </c>
      <c r="E49" s="263" t="s">
        <v>7210</v>
      </c>
      <c r="F49" s="264"/>
      <c r="G49" s="264"/>
      <c r="H49" s="264"/>
      <c r="I49" s="264"/>
      <c r="J49" s="264"/>
      <c r="K49" s="264"/>
      <c r="L49" s="264"/>
      <c r="M49" s="264"/>
      <c r="N49" s="264"/>
      <c r="O49" s="264"/>
      <c r="P49" s="264"/>
      <c r="Q49" s="264"/>
      <c r="R49" s="264"/>
      <c r="S49" s="264"/>
      <c r="T49" s="264"/>
      <c r="U49" s="264"/>
      <c r="V49" s="264"/>
      <c r="W49" s="264"/>
      <c r="X49" s="264"/>
      <c r="Y49" s="264"/>
      <c r="Z49" s="264"/>
      <c r="AA49" s="264"/>
    </row>
    <row r="50" spans="1:27" ht="15.75" customHeight="1">
      <c r="A50" s="266" t="s">
        <v>8718</v>
      </c>
      <c r="B50" s="266" t="s">
        <v>8721</v>
      </c>
      <c r="C50" s="98" t="s">
        <v>8732</v>
      </c>
      <c r="D50" s="98" t="s">
        <v>8733</v>
      </c>
      <c r="E50" s="263" t="s">
        <v>7210</v>
      </c>
      <c r="F50" s="264"/>
      <c r="G50" s="264"/>
      <c r="H50" s="264"/>
      <c r="I50" s="264"/>
      <c r="J50" s="264"/>
      <c r="K50" s="264"/>
      <c r="L50" s="264"/>
      <c r="M50" s="264"/>
      <c r="N50" s="264"/>
      <c r="O50" s="264"/>
      <c r="P50" s="264"/>
      <c r="Q50" s="264"/>
      <c r="R50" s="264"/>
      <c r="S50" s="264"/>
      <c r="T50" s="264"/>
      <c r="U50" s="264"/>
      <c r="V50" s="264"/>
      <c r="W50" s="264"/>
      <c r="X50" s="264"/>
      <c r="Y50" s="264"/>
      <c r="Z50" s="264"/>
      <c r="AA50" s="264"/>
    </row>
    <row r="51" spans="1:27" ht="15.75" customHeight="1">
      <c r="A51" s="266" t="s">
        <v>8718</v>
      </c>
      <c r="B51" s="266" t="s">
        <v>8721</v>
      </c>
      <c r="C51" s="266" t="s">
        <v>3896</v>
      </c>
      <c r="D51" s="266" t="s">
        <v>3896</v>
      </c>
      <c r="E51" s="266" t="s">
        <v>8773</v>
      </c>
      <c r="F51" s="264"/>
      <c r="G51" s="264"/>
      <c r="H51" s="264"/>
      <c r="I51" s="264"/>
      <c r="J51" s="264"/>
      <c r="K51" s="264"/>
      <c r="L51" s="264"/>
      <c r="M51" s="264"/>
      <c r="N51" s="264"/>
      <c r="O51" s="264"/>
      <c r="P51" s="264"/>
      <c r="Q51" s="264"/>
      <c r="R51" s="264"/>
      <c r="S51" s="264"/>
      <c r="T51" s="264"/>
      <c r="U51" s="264"/>
      <c r="V51" s="264"/>
      <c r="W51" s="264"/>
      <c r="X51" s="264"/>
      <c r="Y51" s="264"/>
      <c r="Z51" s="264"/>
      <c r="AA51" s="264"/>
    </row>
    <row r="52" spans="1:27" ht="15.75" customHeight="1">
      <c r="A52" s="266" t="s">
        <v>8718</v>
      </c>
      <c r="B52" s="266" t="s">
        <v>8721</v>
      </c>
      <c r="C52" s="266" t="s">
        <v>8774</v>
      </c>
      <c r="D52" s="266" t="s">
        <v>8774</v>
      </c>
      <c r="E52" s="266" t="s">
        <v>8735</v>
      </c>
      <c r="F52" s="264"/>
      <c r="G52" s="264"/>
      <c r="H52" s="264"/>
      <c r="I52" s="264"/>
      <c r="J52" s="264"/>
      <c r="K52" s="264"/>
      <c r="L52" s="264"/>
      <c r="M52" s="264"/>
      <c r="N52" s="264"/>
      <c r="O52" s="264"/>
      <c r="P52" s="264"/>
      <c r="Q52" s="264"/>
      <c r="R52" s="264"/>
      <c r="S52" s="264"/>
      <c r="T52" s="264"/>
      <c r="U52" s="264"/>
      <c r="V52" s="264"/>
      <c r="W52" s="264"/>
      <c r="X52" s="264"/>
      <c r="Y52" s="264"/>
      <c r="Z52" s="264"/>
      <c r="AA52" s="264"/>
    </row>
    <row r="53" spans="1:27" ht="15.75" customHeight="1">
      <c r="A53" s="266" t="s">
        <v>8718</v>
      </c>
      <c r="B53" s="266" t="s">
        <v>8721</v>
      </c>
      <c r="C53" s="266" t="s">
        <v>1419</v>
      </c>
      <c r="D53" s="266" t="s">
        <v>1419</v>
      </c>
      <c r="E53" s="266" t="s">
        <v>7210</v>
      </c>
      <c r="F53" s="264"/>
      <c r="G53" s="264"/>
      <c r="H53" s="264"/>
      <c r="I53" s="264"/>
      <c r="J53" s="264"/>
      <c r="K53" s="264"/>
      <c r="L53" s="264"/>
      <c r="M53" s="264"/>
      <c r="N53" s="264"/>
      <c r="O53" s="264"/>
      <c r="P53" s="264"/>
      <c r="Q53" s="264"/>
      <c r="R53" s="264"/>
      <c r="S53" s="264"/>
      <c r="T53" s="264"/>
      <c r="U53" s="264"/>
      <c r="V53" s="264"/>
      <c r="W53" s="264"/>
      <c r="X53" s="264"/>
      <c r="Y53" s="264"/>
      <c r="Z53" s="264"/>
      <c r="AA53" s="264"/>
    </row>
    <row r="54" spans="1:27" ht="15.75" customHeight="1">
      <c r="A54" s="266" t="s">
        <v>8718</v>
      </c>
      <c r="B54" s="266" t="s">
        <v>8721</v>
      </c>
      <c r="C54" s="266" t="s">
        <v>8775</v>
      </c>
      <c r="D54" s="269" t="s">
        <v>8776</v>
      </c>
      <c r="E54" s="266" t="s">
        <v>7210</v>
      </c>
      <c r="F54" s="264"/>
      <c r="G54" s="264"/>
      <c r="H54" s="264"/>
      <c r="I54" s="264"/>
      <c r="J54" s="264"/>
      <c r="K54" s="264"/>
      <c r="L54" s="264"/>
      <c r="M54" s="264"/>
      <c r="N54" s="264"/>
      <c r="O54" s="264"/>
      <c r="P54" s="264"/>
      <c r="Q54" s="264"/>
      <c r="R54" s="264"/>
      <c r="S54" s="264"/>
      <c r="T54" s="264"/>
      <c r="U54" s="264"/>
      <c r="V54" s="264"/>
      <c r="W54" s="264"/>
      <c r="X54" s="264"/>
      <c r="Y54" s="264"/>
      <c r="Z54" s="264"/>
      <c r="AA54" s="264"/>
    </row>
    <row r="55" spans="1:27" ht="15.75" customHeight="1">
      <c r="A55" s="266" t="s">
        <v>8718</v>
      </c>
      <c r="B55" s="266" t="s">
        <v>8721</v>
      </c>
      <c r="C55" s="266" t="s">
        <v>8777</v>
      </c>
      <c r="D55" s="266" t="s">
        <v>8778</v>
      </c>
      <c r="E55" s="266" t="s">
        <v>7210</v>
      </c>
      <c r="F55" s="264"/>
      <c r="G55" s="264"/>
      <c r="H55" s="264"/>
      <c r="I55" s="264"/>
      <c r="J55" s="264"/>
      <c r="K55" s="264"/>
      <c r="L55" s="264"/>
      <c r="M55" s="264"/>
      <c r="N55" s="264"/>
      <c r="O55" s="264"/>
      <c r="P55" s="264"/>
      <c r="Q55" s="264"/>
      <c r="R55" s="264"/>
      <c r="S55" s="264"/>
      <c r="T55" s="264"/>
      <c r="U55" s="264"/>
      <c r="V55" s="264"/>
      <c r="W55" s="264"/>
      <c r="X55" s="264"/>
      <c r="Y55" s="264"/>
      <c r="Z55" s="264"/>
      <c r="AA55" s="264"/>
    </row>
    <row r="56" spans="1:27" ht="15.75" customHeight="1">
      <c r="A56" s="266" t="s">
        <v>8718</v>
      </c>
      <c r="B56" s="266" t="s">
        <v>8721</v>
      </c>
      <c r="C56" s="266" t="s">
        <v>8779</v>
      </c>
      <c r="D56" s="266" t="s">
        <v>8780</v>
      </c>
      <c r="E56" s="266" t="s">
        <v>7210</v>
      </c>
      <c r="F56" s="264"/>
      <c r="G56" s="264"/>
      <c r="H56" s="264"/>
      <c r="I56" s="264"/>
      <c r="J56" s="264"/>
      <c r="K56" s="264"/>
      <c r="L56" s="264"/>
      <c r="M56" s="264"/>
      <c r="N56" s="264"/>
      <c r="O56" s="264"/>
      <c r="P56" s="264"/>
      <c r="Q56" s="264"/>
      <c r="R56" s="264"/>
      <c r="S56" s="264"/>
      <c r="T56" s="264"/>
      <c r="U56" s="264"/>
      <c r="V56" s="264"/>
      <c r="W56" s="264"/>
      <c r="X56" s="264"/>
      <c r="Y56" s="264"/>
      <c r="Z56" s="264"/>
      <c r="AA56" s="264"/>
    </row>
    <row r="57" spans="1:27" ht="15.75" customHeight="1">
      <c r="A57" s="266" t="s">
        <v>8718</v>
      </c>
      <c r="B57" s="266" t="s">
        <v>8721</v>
      </c>
      <c r="C57" s="266" t="s">
        <v>8781</v>
      </c>
      <c r="D57" s="266" t="s">
        <v>8782</v>
      </c>
      <c r="E57" s="266" t="s">
        <v>8687</v>
      </c>
      <c r="F57" s="264"/>
      <c r="G57" s="264"/>
      <c r="H57" s="264"/>
      <c r="I57" s="264"/>
      <c r="J57" s="264"/>
      <c r="K57" s="264"/>
      <c r="L57" s="264"/>
      <c r="M57" s="264"/>
      <c r="N57" s="264"/>
      <c r="O57" s="264"/>
      <c r="P57" s="264"/>
      <c r="Q57" s="264"/>
      <c r="R57" s="264"/>
      <c r="S57" s="264"/>
      <c r="T57" s="264"/>
      <c r="U57" s="264"/>
      <c r="V57" s="264"/>
      <c r="W57" s="264"/>
      <c r="X57" s="264"/>
      <c r="Y57" s="264"/>
      <c r="Z57" s="264"/>
      <c r="AA57" s="264"/>
    </row>
    <row r="58" spans="1:27" ht="15.75" customHeight="1">
      <c r="A58" s="266" t="s">
        <v>8718</v>
      </c>
      <c r="B58" s="266" t="s">
        <v>8721</v>
      </c>
      <c r="C58" s="266" t="s">
        <v>8783</v>
      </c>
      <c r="D58" s="266" t="s">
        <v>8784</v>
      </c>
      <c r="E58" s="266" t="s">
        <v>7210</v>
      </c>
      <c r="F58" s="264"/>
      <c r="G58" s="264"/>
      <c r="H58" s="264"/>
      <c r="I58" s="264"/>
      <c r="J58" s="264"/>
      <c r="K58" s="264"/>
      <c r="L58" s="264"/>
      <c r="M58" s="264"/>
      <c r="N58" s="264"/>
      <c r="O58" s="264"/>
      <c r="P58" s="264"/>
      <c r="Q58" s="264"/>
      <c r="R58" s="264"/>
      <c r="S58" s="264"/>
      <c r="T58" s="264"/>
      <c r="U58" s="264"/>
      <c r="V58" s="264"/>
      <c r="W58" s="264"/>
      <c r="X58" s="264"/>
      <c r="Y58" s="264"/>
      <c r="Z58" s="264"/>
      <c r="AA58" s="264"/>
    </row>
    <row r="59" spans="1:27" ht="15.75" customHeight="1">
      <c r="A59" s="266" t="s">
        <v>8718</v>
      </c>
      <c r="B59" s="266" t="s">
        <v>8721</v>
      </c>
      <c r="C59" s="265" t="s">
        <v>8785</v>
      </c>
      <c r="D59" s="265" t="s">
        <v>8786</v>
      </c>
      <c r="E59" s="263" t="s">
        <v>7210</v>
      </c>
      <c r="F59" s="264"/>
      <c r="G59" s="264"/>
      <c r="H59" s="264"/>
      <c r="I59" s="264"/>
      <c r="J59" s="264"/>
      <c r="K59" s="264"/>
      <c r="L59" s="264"/>
      <c r="M59" s="264"/>
      <c r="N59" s="264"/>
      <c r="O59" s="264"/>
      <c r="P59" s="264"/>
      <c r="Q59" s="264"/>
      <c r="R59" s="264"/>
      <c r="S59" s="264"/>
      <c r="T59" s="264"/>
      <c r="U59" s="264"/>
      <c r="V59" s="264"/>
      <c r="W59" s="264"/>
      <c r="X59" s="264"/>
      <c r="Y59" s="264"/>
      <c r="Z59" s="264"/>
      <c r="AA59" s="264"/>
    </row>
    <row r="60" spans="1:27" ht="15.75" customHeight="1">
      <c r="A60" s="266" t="s">
        <v>8718</v>
      </c>
      <c r="B60" s="266" t="s">
        <v>8721</v>
      </c>
      <c r="C60" s="98" t="s">
        <v>8787</v>
      </c>
      <c r="D60" s="98" t="s">
        <v>8788</v>
      </c>
      <c r="E60" s="263" t="s">
        <v>7210</v>
      </c>
      <c r="F60" s="264"/>
      <c r="G60" s="264"/>
      <c r="H60" s="264"/>
      <c r="I60" s="264"/>
      <c r="J60" s="264"/>
      <c r="K60" s="264"/>
      <c r="L60" s="264"/>
      <c r="M60" s="264"/>
      <c r="N60" s="264"/>
      <c r="O60" s="264"/>
      <c r="P60" s="264"/>
      <c r="Q60" s="264"/>
      <c r="R60" s="264"/>
      <c r="S60" s="264"/>
      <c r="T60" s="264"/>
      <c r="U60" s="264"/>
      <c r="V60" s="264"/>
      <c r="W60" s="264"/>
      <c r="X60" s="264"/>
      <c r="Y60" s="264"/>
      <c r="Z60" s="264"/>
      <c r="AA60" s="264"/>
    </row>
    <row r="61" spans="1:27" ht="15.75" customHeight="1">
      <c r="A61" s="266" t="s">
        <v>8718</v>
      </c>
      <c r="B61" s="266" t="s">
        <v>8721</v>
      </c>
      <c r="C61" s="266" t="s">
        <v>8789</v>
      </c>
      <c r="D61" s="266" t="s">
        <v>8790</v>
      </c>
      <c r="E61" s="266" t="s">
        <v>7210</v>
      </c>
      <c r="F61" s="264"/>
      <c r="G61" s="264"/>
      <c r="H61" s="264"/>
      <c r="I61" s="264"/>
      <c r="J61" s="264"/>
      <c r="K61" s="264"/>
      <c r="L61" s="264"/>
      <c r="M61" s="264"/>
      <c r="N61" s="264"/>
      <c r="O61" s="264"/>
      <c r="P61" s="264"/>
      <c r="Q61" s="264"/>
      <c r="R61" s="264"/>
      <c r="S61" s="264"/>
      <c r="T61" s="264"/>
      <c r="U61" s="264"/>
      <c r="V61" s="264"/>
      <c r="W61" s="264"/>
      <c r="X61" s="264"/>
      <c r="Y61" s="264"/>
      <c r="Z61" s="264"/>
      <c r="AA61" s="264"/>
    </row>
    <row r="62" spans="1:27" ht="15.75" customHeight="1">
      <c r="A62" s="266" t="s">
        <v>8718</v>
      </c>
      <c r="B62" s="266" t="s">
        <v>8721</v>
      </c>
      <c r="C62" s="266" t="s">
        <v>8791</v>
      </c>
      <c r="D62" s="266" t="s">
        <v>8792</v>
      </c>
      <c r="E62" s="266" t="s">
        <v>7210</v>
      </c>
      <c r="F62" s="264"/>
      <c r="G62" s="264"/>
      <c r="H62" s="264"/>
      <c r="I62" s="264"/>
      <c r="J62" s="264"/>
      <c r="K62" s="264"/>
      <c r="L62" s="264"/>
      <c r="M62" s="264"/>
      <c r="N62" s="264"/>
      <c r="O62" s="264"/>
      <c r="P62" s="264"/>
      <c r="Q62" s="264"/>
      <c r="R62" s="264"/>
      <c r="S62" s="264"/>
      <c r="T62" s="264"/>
      <c r="U62" s="264"/>
      <c r="V62" s="264"/>
      <c r="W62" s="264"/>
      <c r="X62" s="264"/>
      <c r="Y62" s="264"/>
      <c r="Z62" s="264"/>
      <c r="AA62" s="264"/>
    </row>
    <row r="63" spans="1:27" ht="15.75" customHeight="1">
      <c r="A63" s="266" t="s">
        <v>8718</v>
      </c>
      <c r="B63" s="266" t="s">
        <v>8721</v>
      </c>
      <c r="C63" s="266" t="s">
        <v>8793</v>
      </c>
      <c r="D63" s="269" t="s">
        <v>8794</v>
      </c>
      <c r="E63" s="266" t="s">
        <v>5664</v>
      </c>
      <c r="F63" s="264"/>
      <c r="G63" s="264"/>
      <c r="H63" s="264"/>
      <c r="I63" s="264"/>
      <c r="J63" s="264"/>
      <c r="K63" s="264"/>
      <c r="L63" s="264"/>
      <c r="M63" s="264"/>
      <c r="N63" s="264"/>
      <c r="O63" s="264"/>
      <c r="P63" s="264"/>
      <c r="Q63" s="264"/>
      <c r="R63" s="264"/>
      <c r="S63" s="264"/>
      <c r="T63" s="264"/>
      <c r="U63" s="264"/>
      <c r="V63" s="264"/>
      <c r="W63" s="264"/>
      <c r="X63" s="264"/>
      <c r="Y63" s="264"/>
      <c r="Z63" s="264"/>
      <c r="AA63" s="264"/>
    </row>
    <row r="64" spans="1:27" ht="15.75" customHeight="1">
      <c r="A64" s="266" t="s">
        <v>8718</v>
      </c>
      <c r="B64" s="266" t="s">
        <v>8721</v>
      </c>
      <c r="C64" s="266" t="s">
        <v>8795</v>
      </c>
      <c r="D64" s="266" t="s">
        <v>8796</v>
      </c>
      <c r="E64" s="266" t="s">
        <v>7210</v>
      </c>
      <c r="F64" s="264"/>
      <c r="G64" s="264"/>
      <c r="H64" s="264"/>
      <c r="I64" s="264"/>
      <c r="J64" s="264"/>
      <c r="K64" s="264"/>
      <c r="L64" s="264"/>
      <c r="M64" s="264"/>
      <c r="N64" s="264"/>
      <c r="O64" s="264"/>
      <c r="P64" s="264"/>
      <c r="Q64" s="264"/>
      <c r="R64" s="264"/>
      <c r="S64" s="264"/>
      <c r="T64" s="264"/>
      <c r="U64" s="264"/>
      <c r="V64" s="264"/>
      <c r="W64" s="264"/>
      <c r="X64" s="264"/>
      <c r="Y64" s="264"/>
      <c r="Z64" s="264"/>
      <c r="AA64" s="264"/>
    </row>
    <row r="65" spans="1:27" ht="15.75" customHeight="1">
      <c r="A65" s="266" t="s">
        <v>8718</v>
      </c>
      <c r="B65" s="266" t="s">
        <v>8721</v>
      </c>
      <c r="C65" s="265" t="s">
        <v>8797</v>
      </c>
      <c r="D65" s="265" t="s">
        <v>8798</v>
      </c>
      <c r="E65" s="263" t="s">
        <v>7210</v>
      </c>
      <c r="F65" s="264"/>
      <c r="G65" s="264"/>
      <c r="H65" s="264"/>
      <c r="I65" s="264"/>
      <c r="J65" s="264"/>
      <c r="K65" s="264"/>
      <c r="L65" s="264"/>
      <c r="M65" s="264"/>
      <c r="N65" s="264"/>
      <c r="O65" s="264"/>
      <c r="P65" s="264"/>
      <c r="Q65" s="264"/>
      <c r="R65" s="264"/>
      <c r="S65" s="264"/>
      <c r="T65" s="264"/>
      <c r="U65" s="264"/>
      <c r="V65" s="264"/>
      <c r="W65" s="264"/>
      <c r="X65" s="264"/>
      <c r="Y65" s="264"/>
      <c r="Z65" s="264"/>
      <c r="AA65" s="264"/>
    </row>
    <row r="66" spans="1:27" ht="15.75" customHeight="1">
      <c r="A66" s="266" t="s">
        <v>8718</v>
      </c>
      <c r="B66" s="266" t="s">
        <v>8721</v>
      </c>
      <c r="C66" s="98" t="s">
        <v>8799</v>
      </c>
      <c r="D66" s="98" t="s">
        <v>8800</v>
      </c>
      <c r="E66" s="263" t="s">
        <v>7210</v>
      </c>
      <c r="F66" s="264"/>
      <c r="G66" s="264"/>
      <c r="H66" s="264"/>
      <c r="I66" s="264"/>
      <c r="J66" s="264"/>
      <c r="K66" s="264"/>
      <c r="L66" s="264"/>
      <c r="M66" s="264"/>
      <c r="N66" s="264"/>
      <c r="O66" s="264"/>
      <c r="P66" s="264"/>
      <c r="Q66" s="264"/>
      <c r="R66" s="264"/>
      <c r="S66" s="264"/>
      <c r="T66" s="264"/>
      <c r="U66" s="264"/>
      <c r="V66" s="264"/>
      <c r="W66" s="264"/>
      <c r="X66" s="264"/>
      <c r="Y66" s="264"/>
      <c r="Z66" s="264"/>
      <c r="AA66" s="264"/>
    </row>
    <row r="67" spans="1:27" ht="15.75" customHeight="1">
      <c r="A67" s="266" t="s">
        <v>8718</v>
      </c>
      <c r="B67" s="266" t="s">
        <v>8721</v>
      </c>
      <c r="C67" s="266" t="s">
        <v>8747</v>
      </c>
      <c r="D67" s="266" t="s">
        <v>8748</v>
      </c>
      <c r="E67" s="266" t="s">
        <v>538</v>
      </c>
      <c r="F67" s="264"/>
      <c r="G67" s="264"/>
      <c r="H67" s="264"/>
      <c r="I67" s="264"/>
      <c r="J67" s="264"/>
      <c r="K67" s="264"/>
      <c r="L67" s="264"/>
      <c r="M67" s="264"/>
      <c r="N67" s="264"/>
      <c r="O67" s="264"/>
      <c r="P67" s="264"/>
      <c r="Q67" s="264"/>
      <c r="R67" s="264"/>
      <c r="S67" s="264"/>
      <c r="T67" s="264"/>
      <c r="U67" s="264"/>
      <c r="V67" s="264"/>
      <c r="W67" s="264"/>
      <c r="X67" s="264"/>
      <c r="Y67" s="264"/>
      <c r="Z67" s="264"/>
      <c r="AA67" s="264"/>
    </row>
    <row r="68" spans="1:27" ht="15.75" customHeight="1">
      <c r="A68" s="266" t="s">
        <v>8718</v>
      </c>
      <c r="B68" s="266" t="s">
        <v>8721</v>
      </c>
      <c r="C68" s="266" t="s">
        <v>8749</v>
      </c>
      <c r="D68" s="266" t="s">
        <v>8750</v>
      </c>
      <c r="E68" s="266" t="s">
        <v>7210</v>
      </c>
      <c r="F68" s="264"/>
      <c r="G68" s="264"/>
      <c r="H68" s="264"/>
      <c r="I68" s="264"/>
      <c r="J68" s="264"/>
      <c r="K68" s="264"/>
      <c r="L68" s="264"/>
      <c r="M68" s="264"/>
      <c r="N68" s="264"/>
      <c r="O68" s="264"/>
      <c r="P68" s="264"/>
      <c r="Q68" s="264"/>
      <c r="R68" s="264"/>
      <c r="S68" s="264"/>
      <c r="T68" s="264"/>
      <c r="U68" s="264"/>
      <c r="V68" s="264"/>
      <c r="W68" s="264"/>
      <c r="X68" s="264"/>
      <c r="Y68" s="264"/>
      <c r="Z68" s="264"/>
      <c r="AA68" s="264"/>
    </row>
    <row r="69" spans="1:27" ht="15.75" customHeight="1">
      <c r="A69" s="266" t="s">
        <v>8718</v>
      </c>
      <c r="B69" s="266" t="s">
        <v>8721</v>
      </c>
      <c r="C69" s="266" t="s">
        <v>8751</v>
      </c>
      <c r="D69" s="266" t="s">
        <v>8752</v>
      </c>
      <c r="E69" s="266" t="s">
        <v>7210</v>
      </c>
      <c r="F69" s="264"/>
      <c r="G69" s="264"/>
      <c r="H69" s="264"/>
      <c r="I69" s="264"/>
      <c r="J69" s="264"/>
      <c r="K69" s="264"/>
      <c r="L69" s="264"/>
      <c r="M69" s="264"/>
      <c r="N69" s="264"/>
      <c r="O69" s="264"/>
      <c r="P69" s="264"/>
      <c r="Q69" s="264"/>
      <c r="R69" s="264"/>
      <c r="S69" s="264"/>
      <c r="T69" s="264"/>
      <c r="U69" s="264"/>
      <c r="V69" s="264"/>
      <c r="W69" s="264"/>
      <c r="X69" s="264"/>
      <c r="Y69" s="264"/>
      <c r="Z69" s="264"/>
      <c r="AA69" s="264"/>
    </row>
    <row r="70" spans="1:27" ht="15.75" customHeight="1">
      <c r="A70" s="266" t="s">
        <v>8718</v>
      </c>
      <c r="B70" s="266" t="s">
        <v>8721</v>
      </c>
      <c r="C70" s="266" t="s">
        <v>8753</v>
      </c>
      <c r="D70" s="266" t="s">
        <v>8754</v>
      </c>
      <c r="E70" s="266" t="s">
        <v>7210</v>
      </c>
      <c r="F70" s="264"/>
      <c r="G70" s="264"/>
      <c r="H70" s="264"/>
      <c r="I70" s="264"/>
      <c r="J70" s="264"/>
      <c r="K70" s="264"/>
      <c r="L70" s="264"/>
      <c r="M70" s="264"/>
      <c r="N70" s="264"/>
      <c r="O70" s="264"/>
      <c r="P70" s="264"/>
      <c r="Q70" s="264"/>
      <c r="R70" s="264"/>
      <c r="S70" s="264"/>
      <c r="T70" s="264"/>
      <c r="U70" s="264"/>
      <c r="V70" s="264"/>
      <c r="W70" s="264"/>
      <c r="X70" s="264"/>
      <c r="Y70" s="264"/>
      <c r="Z70" s="264"/>
      <c r="AA70" s="264"/>
    </row>
    <row r="71" spans="1:27" ht="15.75" customHeight="1">
      <c r="A71" s="266" t="s">
        <v>8718</v>
      </c>
      <c r="B71" s="266" t="s">
        <v>8721</v>
      </c>
      <c r="C71" s="268" t="s">
        <v>8755</v>
      </c>
      <c r="D71" s="268" t="s">
        <v>8756</v>
      </c>
      <c r="E71" s="266" t="s">
        <v>7210</v>
      </c>
      <c r="F71" s="264"/>
      <c r="G71" s="264"/>
      <c r="H71" s="264"/>
      <c r="I71" s="264"/>
      <c r="J71" s="264"/>
      <c r="K71" s="264"/>
      <c r="L71" s="264"/>
      <c r="M71" s="264"/>
      <c r="N71" s="264"/>
      <c r="O71" s="264"/>
      <c r="P71" s="264"/>
      <c r="Q71" s="264"/>
      <c r="R71" s="264"/>
      <c r="S71" s="264"/>
      <c r="T71" s="264"/>
      <c r="U71" s="264"/>
      <c r="V71" s="264"/>
      <c r="W71" s="264"/>
      <c r="X71" s="264"/>
      <c r="Y71" s="264"/>
      <c r="Z71" s="264"/>
      <c r="AA71" s="264"/>
    </row>
    <row r="72" spans="1:27" ht="15.75" customHeight="1">
      <c r="A72" s="266" t="s">
        <v>8718</v>
      </c>
      <c r="B72" s="266" t="s">
        <v>8721</v>
      </c>
      <c r="C72" s="266" t="s">
        <v>8757</v>
      </c>
      <c r="D72" s="266" t="s">
        <v>8758</v>
      </c>
      <c r="E72" s="266" t="s">
        <v>7210</v>
      </c>
      <c r="F72" s="264"/>
      <c r="G72" s="264"/>
      <c r="H72" s="264"/>
      <c r="I72" s="264"/>
      <c r="J72" s="264"/>
      <c r="K72" s="264"/>
      <c r="L72" s="264"/>
      <c r="M72" s="264"/>
      <c r="N72" s="264"/>
      <c r="O72" s="264"/>
      <c r="P72" s="264"/>
      <c r="Q72" s="264"/>
      <c r="R72" s="264"/>
      <c r="S72" s="264"/>
      <c r="T72" s="264"/>
      <c r="U72" s="264"/>
      <c r="V72" s="264"/>
      <c r="W72" s="264"/>
      <c r="X72" s="264"/>
      <c r="Y72" s="264"/>
      <c r="Z72" s="264"/>
      <c r="AA72" s="264"/>
    </row>
    <row r="73" spans="1:27" ht="15.75" customHeight="1">
      <c r="A73" s="266" t="s">
        <v>8718</v>
      </c>
      <c r="B73" s="266" t="s">
        <v>8721</v>
      </c>
      <c r="C73" s="266" t="s">
        <v>8759</v>
      </c>
      <c r="D73" s="266" t="s">
        <v>8760</v>
      </c>
      <c r="E73" s="266" t="s">
        <v>538</v>
      </c>
      <c r="F73" s="264"/>
      <c r="G73" s="264"/>
      <c r="H73" s="264"/>
      <c r="I73" s="264"/>
      <c r="J73" s="264"/>
      <c r="K73" s="264"/>
      <c r="L73" s="264"/>
      <c r="M73" s="264"/>
      <c r="N73" s="264"/>
      <c r="O73" s="264"/>
      <c r="P73" s="264"/>
      <c r="Q73" s="264"/>
      <c r="R73" s="264"/>
      <c r="S73" s="264"/>
      <c r="T73" s="264"/>
      <c r="U73" s="264"/>
      <c r="V73" s="264"/>
      <c r="W73" s="264"/>
      <c r="X73" s="264"/>
      <c r="Y73" s="264"/>
      <c r="Z73" s="264"/>
      <c r="AA73" s="264"/>
    </row>
    <row r="74" spans="1:27" ht="15.75" customHeight="1">
      <c r="A74" s="266" t="s">
        <v>8718</v>
      </c>
      <c r="B74" s="266" t="s">
        <v>8721</v>
      </c>
      <c r="C74" s="266" t="s">
        <v>8761</v>
      </c>
      <c r="D74" s="266" t="s">
        <v>8762</v>
      </c>
      <c r="E74" s="266" t="s">
        <v>7210</v>
      </c>
      <c r="F74" s="264"/>
      <c r="G74" s="264"/>
      <c r="H74" s="264"/>
      <c r="I74" s="264"/>
      <c r="J74" s="264"/>
      <c r="K74" s="264"/>
      <c r="L74" s="264"/>
      <c r="M74" s="264"/>
      <c r="N74" s="264"/>
      <c r="O74" s="264"/>
      <c r="P74" s="264"/>
      <c r="Q74" s="264"/>
      <c r="R74" s="264"/>
      <c r="S74" s="264"/>
      <c r="T74" s="264"/>
      <c r="U74" s="264"/>
      <c r="V74" s="264"/>
      <c r="W74" s="264"/>
      <c r="X74" s="264"/>
      <c r="Y74" s="264"/>
      <c r="Z74" s="264"/>
      <c r="AA74" s="264"/>
    </row>
    <row r="75" spans="1:27" ht="15.75" customHeight="1">
      <c r="A75" s="266" t="s">
        <v>8718</v>
      </c>
      <c r="B75" s="266" t="s">
        <v>8721</v>
      </c>
      <c r="C75" s="266" t="s">
        <v>8763</v>
      </c>
      <c r="D75" s="266" t="s">
        <v>8764</v>
      </c>
      <c r="E75" s="266" t="s">
        <v>7210</v>
      </c>
      <c r="F75" s="264"/>
      <c r="G75" s="264"/>
      <c r="H75" s="264"/>
      <c r="I75" s="264"/>
      <c r="J75" s="264"/>
      <c r="K75" s="264"/>
      <c r="L75" s="264"/>
      <c r="M75" s="264"/>
      <c r="N75" s="264"/>
      <c r="O75" s="264"/>
      <c r="P75" s="264"/>
      <c r="Q75" s="264"/>
      <c r="R75" s="264"/>
      <c r="S75" s="264"/>
      <c r="T75" s="264"/>
      <c r="U75" s="264"/>
      <c r="V75" s="264"/>
      <c r="W75" s="264"/>
      <c r="X75" s="264"/>
      <c r="Y75" s="264"/>
      <c r="Z75" s="264"/>
      <c r="AA75" s="264"/>
    </row>
    <row r="76" spans="1:27" ht="15.75" customHeight="1">
      <c r="A76" s="266" t="s">
        <v>8718</v>
      </c>
      <c r="B76" s="266" t="s">
        <v>8721</v>
      </c>
      <c r="C76" s="266" t="s">
        <v>8765</v>
      </c>
      <c r="D76" s="266" t="s">
        <v>8766</v>
      </c>
      <c r="E76" s="266" t="s">
        <v>7210</v>
      </c>
      <c r="F76" s="264"/>
      <c r="G76" s="264"/>
      <c r="H76" s="264"/>
      <c r="I76" s="264"/>
      <c r="J76" s="264"/>
      <c r="K76" s="264"/>
      <c r="L76" s="264"/>
      <c r="M76" s="264"/>
      <c r="N76" s="264"/>
      <c r="O76" s="264"/>
      <c r="P76" s="264"/>
      <c r="Q76" s="264"/>
      <c r="R76" s="264"/>
      <c r="S76" s="264"/>
      <c r="T76" s="264"/>
      <c r="U76" s="264"/>
      <c r="V76" s="264"/>
      <c r="W76" s="264"/>
      <c r="X76" s="264"/>
      <c r="Y76" s="264"/>
      <c r="Z76" s="264"/>
      <c r="AA76" s="264"/>
    </row>
    <row r="77" spans="1:27" ht="15.75" customHeight="1">
      <c r="A77" s="266" t="s">
        <v>8718</v>
      </c>
      <c r="B77" s="266" t="s">
        <v>8721</v>
      </c>
      <c r="C77" s="268" t="s">
        <v>8767</v>
      </c>
      <c r="D77" s="268" t="s">
        <v>8768</v>
      </c>
      <c r="E77" s="266" t="s">
        <v>7210</v>
      </c>
      <c r="F77" s="264"/>
      <c r="G77" s="264"/>
      <c r="H77" s="264"/>
      <c r="I77" s="264"/>
      <c r="J77" s="264"/>
      <c r="K77" s="264"/>
      <c r="L77" s="264"/>
      <c r="M77" s="264"/>
      <c r="N77" s="264"/>
      <c r="O77" s="264"/>
      <c r="P77" s="264"/>
      <c r="Q77" s="264"/>
      <c r="R77" s="264"/>
      <c r="S77" s="264"/>
      <c r="T77" s="264"/>
      <c r="U77" s="264"/>
      <c r="V77" s="264"/>
      <c r="W77" s="264"/>
      <c r="X77" s="264"/>
      <c r="Y77" s="264"/>
      <c r="Z77" s="264"/>
      <c r="AA77" s="264"/>
    </row>
    <row r="78" spans="1:27" ht="15.75" customHeight="1">
      <c r="A78" s="266" t="s">
        <v>8718</v>
      </c>
      <c r="B78" s="266" t="s">
        <v>8721</v>
      </c>
      <c r="C78" s="266" t="s">
        <v>8769</v>
      </c>
      <c r="D78" s="266" t="s">
        <v>8770</v>
      </c>
      <c r="E78" s="266" t="s">
        <v>7210</v>
      </c>
      <c r="F78" s="264"/>
      <c r="G78" s="264"/>
      <c r="H78" s="264"/>
      <c r="I78" s="264"/>
      <c r="J78" s="264"/>
      <c r="K78" s="264"/>
      <c r="L78" s="264"/>
      <c r="M78" s="264"/>
      <c r="N78" s="264"/>
      <c r="O78" s="264"/>
      <c r="P78" s="264"/>
      <c r="Q78" s="264"/>
      <c r="R78" s="264"/>
      <c r="S78" s="264"/>
      <c r="T78" s="264"/>
      <c r="U78" s="264"/>
      <c r="V78" s="264"/>
      <c r="W78" s="264"/>
      <c r="X78" s="264"/>
      <c r="Y78" s="264"/>
      <c r="Z78" s="264"/>
      <c r="AA78" s="264"/>
    </row>
    <row r="79" spans="1:27" ht="15.75" customHeight="1">
      <c r="A79" s="266" t="s">
        <v>8718</v>
      </c>
      <c r="B79" s="266" t="s">
        <v>8722</v>
      </c>
      <c r="C79" s="263" t="s">
        <v>8670</v>
      </c>
      <c r="D79" s="263" t="s">
        <v>3897</v>
      </c>
      <c r="E79" s="266" t="s">
        <v>7210</v>
      </c>
      <c r="F79" s="264"/>
      <c r="G79" s="264"/>
      <c r="H79" s="264"/>
      <c r="I79" s="264"/>
      <c r="J79" s="264"/>
      <c r="K79" s="264"/>
      <c r="L79" s="264"/>
      <c r="M79" s="264"/>
      <c r="N79" s="264"/>
      <c r="O79" s="264"/>
      <c r="P79" s="264"/>
      <c r="Q79" s="264"/>
      <c r="R79" s="264"/>
      <c r="S79" s="264"/>
      <c r="T79" s="264"/>
      <c r="U79" s="264"/>
      <c r="V79" s="264"/>
      <c r="W79" s="264"/>
      <c r="X79" s="264"/>
      <c r="Y79" s="264"/>
      <c r="Z79" s="264"/>
      <c r="AA79" s="264"/>
    </row>
    <row r="80" spans="1:27" ht="15.75" customHeight="1">
      <c r="A80" s="266" t="s">
        <v>8718</v>
      </c>
      <c r="B80" s="266" t="s">
        <v>8722</v>
      </c>
      <c r="C80" s="266" t="s">
        <v>5678</v>
      </c>
      <c r="D80" s="266" t="s">
        <v>5678</v>
      </c>
      <c r="E80" s="266" t="s">
        <v>7210</v>
      </c>
      <c r="F80" s="264"/>
      <c r="G80" s="264"/>
      <c r="H80" s="264"/>
      <c r="I80" s="264"/>
      <c r="J80" s="264"/>
      <c r="K80" s="264"/>
      <c r="L80" s="264"/>
      <c r="M80" s="264"/>
      <c r="N80" s="264"/>
      <c r="O80" s="264"/>
      <c r="P80" s="264"/>
      <c r="Q80" s="264"/>
      <c r="R80" s="264"/>
      <c r="S80" s="264"/>
      <c r="T80" s="264"/>
      <c r="U80" s="264"/>
      <c r="V80" s="264"/>
      <c r="W80" s="264"/>
      <c r="X80" s="264"/>
      <c r="Y80" s="264"/>
      <c r="Z80" s="264"/>
      <c r="AA80" s="264"/>
    </row>
    <row r="81" spans="1:27" ht="15.75" customHeight="1">
      <c r="A81" s="266" t="s">
        <v>8718</v>
      </c>
      <c r="B81" s="266" t="s">
        <v>8722</v>
      </c>
      <c r="C81" s="266" t="s">
        <v>8772</v>
      </c>
      <c r="D81" s="266" t="s">
        <v>8772</v>
      </c>
      <c r="E81" s="266" t="s">
        <v>8687</v>
      </c>
      <c r="F81" s="264"/>
      <c r="G81" s="264"/>
      <c r="H81" s="264"/>
      <c r="I81" s="264"/>
      <c r="J81" s="264"/>
      <c r="K81" s="264"/>
      <c r="L81" s="264"/>
      <c r="M81" s="264"/>
      <c r="N81" s="264"/>
      <c r="O81" s="264"/>
      <c r="P81" s="264"/>
      <c r="Q81" s="264"/>
      <c r="R81" s="264"/>
      <c r="S81" s="264"/>
      <c r="T81" s="264"/>
      <c r="U81" s="264"/>
      <c r="V81" s="264"/>
      <c r="W81" s="264"/>
      <c r="X81" s="264"/>
      <c r="Y81" s="264"/>
      <c r="Z81" s="264"/>
      <c r="AA81" s="264"/>
    </row>
    <row r="82" spans="1:27" ht="15.75" customHeight="1">
      <c r="A82" s="266" t="s">
        <v>8718</v>
      </c>
      <c r="B82" s="266" t="s">
        <v>8722</v>
      </c>
      <c r="C82" s="266" t="s">
        <v>5764</v>
      </c>
      <c r="D82" s="266" t="s">
        <v>5764</v>
      </c>
      <c r="E82" s="266" t="s">
        <v>7210</v>
      </c>
      <c r="F82" s="264"/>
      <c r="G82" s="264"/>
      <c r="H82" s="264"/>
      <c r="I82" s="264"/>
      <c r="J82" s="264"/>
      <c r="K82" s="264"/>
      <c r="L82" s="264"/>
      <c r="M82" s="264"/>
      <c r="N82" s="264"/>
      <c r="O82" s="264"/>
      <c r="P82" s="264"/>
      <c r="Q82" s="264"/>
      <c r="R82" s="264"/>
      <c r="S82" s="264"/>
      <c r="T82" s="264"/>
      <c r="U82" s="264"/>
      <c r="V82" s="264"/>
      <c r="W82" s="264"/>
      <c r="X82" s="264"/>
      <c r="Y82" s="264"/>
      <c r="Z82" s="264"/>
      <c r="AA82" s="264"/>
    </row>
    <row r="83" spans="1:27" ht="15.75" customHeight="1">
      <c r="A83" s="266" t="s">
        <v>8718</v>
      </c>
      <c r="B83" s="266" t="s">
        <v>8722</v>
      </c>
      <c r="C83" s="265" t="s">
        <v>8730</v>
      </c>
      <c r="D83" s="265" t="s">
        <v>8731</v>
      </c>
      <c r="E83" s="263" t="s">
        <v>7210</v>
      </c>
      <c r="F83" s="264"/>
      <c r="G83" s="264"/>
      <c r="H83" s="264"/>
      <c r="I83" s="264"/>
      <c r="J83" s="264"/>
      <c r="K83" s="264"/>
      <c r="L83" s="264"/>
      <c r="M83" s="264"/>
      <c r="N83" s="264"/>
      <c r="O83" s="264"/>
      <c r="P83" s="264"/>
      <c r="Q83" s="264"/>
      <c r="R83" s="264"/>
      <c r="S83" s="264"/>
      <c r="T83" s="264"/>
      <c r="U83" s="264"/>
      <c r="V83" s="264"/>
      <c r="W83" s="264"/>
      <c r="X83" s="264"/>
      <c r="Y83" s="264"/>
      <c r="Z83" s="264"/>
      <c r="AA83" s="264"/>
    </row>
    <row r="84" spans="1:27" ht="15.75" customHeight="1">
      <c r="A84" s="266" t="s">
        <v>8718</v>
      </c>
      <c r="B84" s="266" t="s">
        <v>8722</v>
      </c>
      <c r="C84" s="98" t="s">
        <v>8732</v>
      </c>
      <c r="D84" s="98" t="s">
        <v>8733</v>
      </c>
      <c r="E84" s="263" t="s">
        <v>7210</v>
      </c>
      <c r="F84" s="264"/>
      <c r="G84" s="264"/>
      <c r="H84" s="264"/>
      <c r="I84" s="264"/>
      <c r="J84" s="264"/>
      <c r="K84" s="264"/>
      <c r="L84" s="264"/>
      <c r="M84" s="264"/>
      <c r="N84" s="264"/>
      <c r="O84" s="264"/>
      <c r="P84" s="264"/>
      <c r="Q84" s="264"/>
      <c r="R84" s="264"/>
      <c r="S84" s="264"/>
      <c r="T84" s="264"/>
      <c r="U84" s="264"/>
      <c r="V84" s="264"/>
      <c r="W84" s="264"/>
      <c r="X84" s="264"/>
      <c r="Y84" s="264"/>
      <c r="Z84" s="264"/>
      <c r="AA84" s="264"/>
    </row>
    <row r="85" spans="1:27" ht="15.75" customHeight="1">
      <c r="A85" s="266" t="s">
        <v>8718</v>
      </c>
      <c r="B85" s="266" t="s">
        <v>8722</v>
      </c>
      <c r="C85" s="266" t="s">
        <v>8801</v>
      </c>
      <c r="D85" s="266" t="s">
        <v>8801</v>
      </c>
      <c r="E85" s="266" t="s">
        <v>7210</v>
      </c>
      <c r="F85" s="264"/>
      <c r="G85" s="264"/>
      <c r="H85" s="264"/>
      <c r="I85" s="264"/>
      <c r="J85" s="264"/>
      <c r="K85" s="264"/>
      <c r="L85" s="264"/>
      <c r="M85" s="264"/>
      <c r="N85" s="264"/>
      <c r="O85" s="264"/>
      <c r="P85" s="264"/>
      <c r="Q85" s="264"/>
      <c r="R85" s="264"/>
      <c r="S85" s="264"/>
      <c r="T85" s="264"/>
      <c r="U85" s="264"/>
      <c r="V85" s="264"/>
      <c r="W85" s="264"/>
      <c r="X85" s="264"/>
      <c r="Y85" s="264"/>
      <c r="Z85" s="264"/>
      <c r="AA85" s="264"/>
    </row>
    <row r="86" spans="1:27" ht="15.75" customHeight="1">
      <c r="A86" s="266" t="s">
        <v>8718</v>
      </c>
      <c r="B86" s="266" t="s">
        <v>8722</v>
      </c>
      <c r="C86" s="266" t="s">
        <v>8802</v>
      </c>
      <c r="D86" s="266" t="s">
        <v>8802</v>
      </c>
      <c r="E86" s="266" t="s">
        <v>8773</v>
      </c>
      <c r="F86" s="264"/>
      <c r="G86" s="264"/>
      <c r="H86" s="264"/>
      <c r="I86" s="264"/>
      <c r="J86" s="264"/>
      <c r="K86" s="264"/>
      <c r="L86" s="264"/>
      <c r="M86" s="264"/>
      <c r="N86" s="264"/>
      <c r="O86" s="264"/>
      <c r="P86" s="264"/>
      <c r="Q86" s="264"/>
      <c r="R86" s="264"/>
      <c r="S86" s="264"/>
      <c r="T86" s="264"/>
      <c r="U86" s="264"/>
      <c r="V86" s="264"/>
      <c r="W86" s="264"/>
      <c r="X86" s="264"/>
      <c r="Y86" s="264"/>
      <c r="Z86" s="264"/>
      <c r="AA86" s="264"/>
    </row>
    <row r="87" spans="1:27" ht="15.75" customHeight="1">
      <c r="A87" s="266" t="s">
        <v>8718</v>
      </c>
      <c r="B87" s="266" t="s">
        <v>8722</v>
      </c>
      <c r="C87" s="266" t="s">
        <v>5609</v>
      </c>
      <c r="D87" s="266" t="s">
        <v>5609</v>
      </c>
      <c r="E87" s="266" t="s">
        <v>7210</v>
      </c>
      <c r="F87" s="264"/>
      <c r="G87" s="264"/>
      <c r="H87" s="264"/>
      <c r="I87" s="264"/>
      <c r="J87" s="264"/>
      <c r="K87" s="264"/>
      <c r="L87" s="264"/>
      <c r="M87" s="264"/>
      <c r="N87" s="264"/>
      <c r="O87" s="264"/>
      <c r="P87" s="264"/>
      <c r="Q87" s="264"/>
      <c r="R87" s="264"/>
      <c r="S87" s="264"/>
      <c r="T87" s="264"/>
      <c r="U87" s="264"/>
      <c r="V87" s="264"/>
      <c r="W87" s="264"/>
      <c r="X87" s="264"/>
      <c r="Y87" s="264"/>
      <c r="Z87" s="264"/>
      <c r="AA87" s="264"/>
    </row>
    <row r="88" spans="1:27" ht="15.75" customHeight="1">
      <c r="A88" s="266" t="s">
        <v>8718</v>
      </c>
      <c r="B88" s="266" t="s">
        <v>8722</v>
      </c>
      <c r="C88" s="266" t="s">
        <v>3838</v>
      </c>
      <c r="D88" s="266" t="s">
        <v>3838</v>
      </c>
      <c r="E88" s="266" t="s">
        <v>8735</v>
      </c>
      <c r="F88" s="264"/>
      <c r="G88" s="264"/>
      <c r="H88" s="264"/>
      <c r="I88" s="264"/>
      <c r="J88" s="264"/>
      <c r="K88" s="264"/>
      <c r="L88" s="264"/>
      <c r="M88" s="264"/>
      <c r="N88" s="264"/>
      <c r="O88" s="264"/>
      <c r="P88" s="264"/>
      <c r="Q88" s="264"/>
      <c r="R88" s="264"/>
      <c r="S88" s="264"/>
      <c r="T88" s="264"/>
      <c r="U88" s="264"/>
      <c r="V88" s="264"/>
      <c r="W88" s="264"/>
      <c r="X88" s="264"/>
      <c r="Y88" s="264"/>
      <c r="Z88" s="264"/>
      <c r="AA88" s="264"/>
    </row>
    <row r="89" spans="1:27" ht="15.75" customHeight="1">
      <c r="A89" s="266" t="s">
        <v>8718</v>
      </c>
      <c r="B89" s="266" t="s">
        <v>8722</v>
      </c>
      <c r="C89" s="266" t="s">
        <v>8774</v>
      </c>
      <c r="D89" s="266" t="s">
        <v>8774</v>
      </c>
      <c r="E89" s="266" t="s">
        <v>5672</v>
      </c>
      <c r="F89" s="264"/>
      <c r="G89" s="264"/>
      <c r="H89" s="264"/>
      <c r="I89" s="264"/>
      <c r="J89" s="264"/>
      <c r="K89" s="264"/>
      <c r="L89" s="264"/>
      <c r="M89" s="264"/>
      <c r="N89" s="264"/>
      <c r="O89" s="264"/>
      <c r="P89" s="264"/>
      <c r="Q89" s="264"/>
      <c r="R89" s="264"/>
      <c r="S89" s="264"/>
      <c r="T89" s="264"/>
      <c r="U89" s="264"/>
      <c r="V89" s="264"/>
      <c r="W89" s="264"/>
      <c r="X89" s="264"/>
      <c r="Y89" s="264"/>
      <c r="Z89" s="264"/>
      <c r="AA89" s="264"/>
    </row>
    <row r="90" spans="1:27" ht="15.75" customHeight="1">
      <c r="A90" s="266" t="s">
        <v>8718</v>
      </c>
      <c r="B90" s="266" t="s">
        <v>8722</v>
      </c>
      <c r="C90" s="266" t="s">
        <v>1419</v>
      </c>
      <c r="D90" s="266" t="s">
        <v>1419</v>
      </c>
      <c r="E90" s="266" t="s">
        <v>7210</v>
      </c>
      <c r="F90" s="264"/>
      <c r="G90" s="264"/>
      <c r="H90" s="264"/>
      <c r="I90" s="264"/>
      <c r="J90" s="264"/>
      <c r="K90" s="264"/>
      <c r="L90" s="264"/>
      <c r="M90" s="264"/>
      <c r="N90" s="264"/>
      <c r="O90" s="264"/>
      <c r="P90" s="264"/>
      <c r="Q90" s="264"/>
      <c r="R90" s="264"/>
      <c r="S90" s="264"/>
      <c r="T90" s="264"/>
      <c r="U90" s="264"/>
      <c r="V90" s="264"/>
      <c r="W90" s="264"/>
      <c r="X90" s="264"/>
      <c r="Y90" s="264"/>
      <c r="Z90" s="264"/>
      <c r="AA90" s="264"/>
    </row>
    <row r="91" spans="1:27" ht="15.75" customHeight="1">
      <c r="A91" s="266" t="s">
        <v>8718</v>
      </c>
      <c r="B91" s="266" t="s">
        <v>8722</v>
      </c>
      <c r="C91" s="266" t="s">
        <v>8803</v>
      </c>
      <c r="D91" s="267" t="s">
        <v>8804</v>
      </c>
      <c r="E91" s="266" t="s">
        <v>7210</v>
      </c>
      <c r="F91" s="264"/>
      <c r="G91" s="264"/>
      <c r="H91" s="264"/>
      <c r="I91" s="264"/>
      <c r="J91" s="264"/>
      <c r="K91" s="264"/>
      <c r="L91" s="264"/>
      <c r="M91" s="264"/>
      <c r="N91" s="264"/>
      <c r="O91" s="264"/>
      <c r="P91" s="264"/>
      <c r="Q91" s="264"/>
      <c r="R91" s="264"/>
      <c r="S91" s="264"/>
      <c r="T91" s="264"/>
      <c r="U91" s="264"/>
      <c r="V91" s="264"/>
      <c r="W91" s="264"/>
      <c r="X91" s="264"/>
      <c r="Y91" s="264"/>
      <c r="Z91" s="264"/>
      <c r="AA91" s="264"/>
    </row>
    <row r="92" spans="1:27" ht="15.75" customHeight="1">
      <c r="A92" s="266" t="s">
        <v>8718</v>
      </c>
      <c r="B92" s="266" t="s">
        <v>8722</v>
      </c>
      <c r="C92" s="266" t="s">
        <v>8805</v>
      </c>
      <c r="D92" s="267" t="s">
        <v>8806</v>
      </c>
      <c r="E92" s="266" t="s">
        <v>7210</v>
      </c>
      <c r="F92" s="264"/>
      <c r="G92" s="264"/>
      <c r="H92" s="264"/>
      <c r="I92" s="264"/>
      <c r="J92" s="264"/>
      <c r="K92" s="264"/>
      <c r="L92" s="264"/>
      <c r="M92" s="264"/>
      <c r="N92" s="264"/>
      <c r="O92" s="264"/>
      <c r="P92" s="264"/>
      <c r="Q92" s="264"/>
      <c r="R92" s="264"/>
      <c r="S92" s="264"/>
      <c r="T92" s="264"/>
      <c r="U92" s="264"/>
      <c r="V92" s="264"/>
      <c r="W92" s="264"/>
      <c r="X92" s="264"/>
      <c r="Y92" s="264"/>
      <c r="Z92" s="264"/>
      <c r="AA92" s="264"/>
    </row>
    <row r="93" spans="1:27" ht="15.75" customHeight="1">
      <c r="A93" s="266" t="s">
        <v>8718</v>
      </c>
      <c r="B93" s="266" t="s">
        <v>8722</v>
      </c>
      <c r="C93" s="266" t="s">
        <v>8807</v>
      </c>
      <c r="D93" s="267" t="s">
        <v>8808</v>
      </c>
      <c r="E93" s="266" t="s">
        <v>7210</v>
      </c>
      <c r="F93" s="264"/>
      <c r="G93" s="264"/>
      <c r="H93" s="264"/>
      <c r="I93" s="264"/>
      <c r="J93" s="264"/>
      <c r="K93" s="264"/>
      <c r="L93" s="264"/>
      <c r="M93" s="264"/>
      <c r="N93" s="264"/>
      <c r="O93" s="264"/>
      <c r="P93" s="264"/>
      <c r="Q93" s="264"/>
      <c r="R93" s="264"/>
      <c r="S93" s="264"/>
      <c r="T93" s="264"/>
      <c r="U93" s="264"/>
      <c r="V93" s="264"/>
      <c r="W93" s="264"/>
      <c r="X93" s="264"/>
      <c r="Y93" s="264"/>
      <c r="Z93" s="264"/>
      <c r="AA93" s="264"/>
    </row>
    <row r="94" spans="1:27" ht="15.75" customHeight="1">
      <c r="A94" s="266" t="s">
        <v>8718</v>
      </c>
      <c r="B94" s="266" t="s">
        <v>8722</v>
      </c>
      <c r="C94" s="266" t="s">
        <v>8809</v>
      </c>
      <c r="D94" s="267" t="s">
        <v>8810</v>
      </c>
      <c r="E94" s="266" t="s">
        <v>8687</v>
      </c>
      <c r="F94" s="264"/>
      <c r="G94" s="264"/>
      <c r="H94" s="264"/>
      <c r="I94" s="264"/>
      <c r="J94" s="264"/>
      <c r="K94" s="264"/>
      <c r="L94" s="264"/>
      <c r="M94" s="264"/>
      <c r="N94" s="264"/>
      <c r="O94" s="264"/>
      <c r="P94" s="264"/>
      <c r="Q94" s="264"/>
      <c r="R94" s="264"/>
      <c r="S94" s="264"/>
      <c r="T94" s="264"/>
      <c r="U94" s="264"/>
      <c r="V94" s="264"/>
      <c r="W94" s="264"/>
      <c r="X94" s="264"/>
      <c r="Y94" s="264"/>
      <c r="Z94" s="264"/>
      <c r="AA94" s="264"/>
    </row>
    <row r="95" spans="1:27" ht="15.75" customHeight="1">
      <c r="A95" s="266" t="s">
        <v>8718</v>
      </c>
      <c r="B95" s="266" t="s">
        <v>8722</v>
      </c>
      <c r="C95" s="268" t="s">
        <v>8811</v>
      </c>
      <c r="D95" s="266" t="s">
        <v>8812</v>
      </c>
      <c r="E95" s="266" t="s">
        <v>7210</v>
      </c>
      <c r="F95" s="264"/>
      <c r="G95" s="264"/>
      <c r="H95" s="264"/>
      <c r="I95" s="264"/>
      <c r="J95" s="264"/>
      <c r="K95" s="264"/>
      <c r="L95" s="264"/>
      <c r="M95" s="264"/>
      <c r="N95" s="264"/>
      <c r="O95" s="264"/>
      <c r="P95" s="264"/>
      <c r="Q95" s="264"/>
      <c r="R95" s="264"/>
      <c r="S95" s="264"/>
      <c r="T95" s="264"/>
      <c r="U95" s="264"/>
      <c r="V95" s="264"/>
      <c r="W95" s="264"/>
      <c r="X95" s="264"/>
      <c r="Y95" s="264"/>
      <c r="Z95" s="264"/>
      <c r="AA95" s="264"/>
    </row>
    <row r="96" spans="1:27" ht="15.75" customHeight="1">
      <c r="A96" s="266" t="s">
        <v>8718</v>
      </c>
      <c r="B96" s="266" t="s">
        <v>8722</v>
      </c>
      <c r="C96" s="266" t="s">
        <v>8813</v>
      </c>
      <c r="D96" s="266" t="s">
        <v>8814</v>
      </c>
      <c r="E96" s="266" t="s">
        <v>7210</v>
      </c>
      <c r="F96" s="264"/>
      <c r="G96" s="264"/>
      <c r="H96" s="264"/>
      <c r="I96" s="264"/>
      <c r="J96" s="264"/>
      <c r="K96" s="264"/>
      <c r="L96" s="264"/>
      <c r="M96" s="264"/>
      <c r="N96" s="264"/>
      <c r="O96" s="264"/>
      <c r="P96" s="264"/>
      <c r="Q96" s="264"/>
      <c r="R96" s="264"/>
      <c r="S96" s="264"/>
      <c r="T96" s="264"/>
      <c r="U96" s="264"/>
      <c r="V96" s="264"/>
      <c r="W96" s="264"/>
      <c r="X96" s="264"/>
      <c r="Y96" s="264"/>
      <c r="Z96" s="264"/>
      <c r="AA96" s="264"/>
    </row>
    <row r="97" spans="1:27" ht="15.75" customHeight="1">
      <c r="A97" s="266" t="s">
        <v>8718</v>
      </c>
      <c r="B97" s="266" t="s">
        <v>8722</v>
      </c>
      <c r="C97" s="266" t="s">
        <v>8815</v>
      </c>
      <c r="D97" s="269" t="s">
        <v>8816</v>
      </c>
      <c r="E97" s="266" t="s">
        <v>7210</v>
      </c>
      <c r="F97" s="264"/>
      <c r="G97" s="264"/>
      <c r="H97" s="264"/>
      <c r="I97" s="264"/>
      <c r="J97" s="264"/>
      <c r="K97" s="264"/>
      <c r="L97" s="264"/>
      <c r="M97" s="264"/>
      <c r="N97" s="264"/>
      <c r="O97" s="264"/>
      <c r="P97" s="264"/>
      <c r="Q97" s="264"/>
      <c r="R97" s="264"/>
      <c r="S97" s="264"/>
      <c r="T97" s="264"/>
      <c r="U97" s="264"/>
      <c r="V97" s="264"/>
      <c r="W97" s="264"/>
      <c r="X97" s="264"/>
      <c r="Y97" s="264"/>
      <c r="Z97" s="264"/>
      <c r="AA97" s="264"/>
    </row>
    <row r="98" spans="1:27" ht="15.75" customHeight="1">
      <c r="A98" s="266" t="s">
        <v>8718</v>
      </c>
      <c r="B98" s="266" t="s">
        <v>8722</v>
      </c>
      <c r="C98" s="266" t="s">
        <v>8817</v>
      </c>
      <c r="D98" s="266" t="s">
        <v>8818</v>
      </c>
      <c r="E98" s="266" t="s">
        <v>7210</v>
      </c>
      <c r="F98" s="264"/>
      <c r="G98" s="264"/>
      <c r="H98" s="264"/>
      <c r="I98" s="264"/>
      <c r="J98" s="264"/>
      <c r="K98" s="264"/>
      <c r="L98" s="264"/>
      <c r="M98" s="264"/>
      <c r="N98" s="264"/>
      <c r="O98" s="264"/>
      <c r="P98" s="264"/>
      <c r="Q98" s="264"/>
      <c r="R98" s="264"/>
      <c r="S98" s="264"/>
      <c r="T98" s="264"/>
      <c r="U98" s="264"/>
      <c r="V98" s="264"/>
      <c r="W98" s="264"/>
      <c r="X98" s="264"/>
      <c r="Y98" s="264"/>
      <c r="Z98" s="264"/>
      <c r="AA98" s="264"/>
    </row>
    <row r="99" spans="1:27" ht="15.75" customHeight="1">
      <c r="A99" s="266" t="s">
        <v>8718</v>
      </c>
      <c r="B99" s="266" t="s">
        <v>8722</v>
      </c>
      <c r="C99" s="266" t="s">
        <v>8819</v>
      </c>
      <c r="D99" s="266" t="s">
        <v>8820</v>
      </c>
      <c r="E99" s="266" t="s">
        <v>7210</v>
      </c>
      <c r="F99" s="264"/>
      <c r="G99" s="264"/>
      <c r="H99" s="264"/>
      <c r="I99" s="264"/>
      <c r="J99" s="264"/>
      <c r="K99" s="264"/>
      <c r="L99" s="264"/>
      <c r="M99" s="264"/>
      <c r="N99" s="264"/>
      <c r="O99" s="264"/>
      <c r="P99" s="264"/>
      <c r="Q99" s="264"/>
      <c r="R99" s="264"/>
      <c r="S99" s="264"/>
      <c r="T99" s="264"/>
      <c r="U99" s="264"/>
      <c r="V99" s="264"/>
      <c r="W99" s="264"/>
      <c r="X99" s="264"/>
      <c r="Y99" s="264"/>
      <c r="Z99" s="264"/>
      <c r="AA99" s="264"/>
    </row>
    <row r="100" spans="1:27" ht="15.75" customHeight="1">
      <c r="A100" s="266" t="s">
        <v>8718</v>
      </c>
      <c r="B100" s="266" t="s">
        <v>8722</v>
      </c>
      <c r="C100" s="266" t="s">
        <v>8821</v>
      </c>
      <c r="D100" s="269" t="s">
        <v>8822</v>
      </c>
      <c r="E100" s="266" t="s">
        <v>8687</v>
      </c>
      <c r="F100" s="264"/>
      <c r="G100" s="264"/>
      <c r="H100" s="264"/>
      <c r="I100" s="264"/>
      <c r="J100" s="264"/>
      <c r="K100" s="264"/>
      <c r="L100" s="264"/>
      <c r="M100" s="264"/>
      <c r="N100" s="264"/>
      <c r="O100" s="264"/>
      <c r="P100" s="264"/>
      <c r="Q100" s="264"/>
      <c r="R100" s="264"/>
      <c r="S100" s="264"/>
      <c r="T100" s="264"/>
      <c r="U100" s="264"/>
      <c r="V100" s="264"/>
      <c r="W100" s="264"/>
      <c r="X100" s="264"/>
      <c r="Y100" s="264"/>
      <c r="Z100" s="264"/>
      <c r="AA100" s="264"/>
    </row>
    <row r="101" spans="1:27" ht="15.75" customHeight="1">
      <c r="A101" s="266" t="s">
        <v>8718</v>
      </c>
      <c r="B101" s="266" t="s">
        <v>8722</v>
      </c>
      <c r="C101" s="265" t="s">
        <v>8823</v>
      </c>
      <c r="D101" s="265" t="s">
        <v>8824</v>
      </c>
      <c r="E101" s="263" t="s">
        <v>7210</v>
      </c>
      <c r="F101" s="264"/>
      <c r="G101" s="264"/>
      <c r="H101" s="264"/>
      <c r="I101" s="264"/>
      <c r="J101" s="264"/>
      <c r="K101" s="264"/>
      <c r="L101" s="264"/>
      <c r="M101" s="264"/>
      <c r="N101" s="264"/>
      <c r="O101" s="264"/>
      <c r="P101" s="264"/>
      <c r="Q101" s="264"/>
      <c r="R101" s="264"/>
      <c r="S101" s="264"/>
      <c r="T101" s="264"/>
      <c r="U101" s="264"/>
      <c r="V101" s="264"/>
      <c r="W101" s="264"/>
      <c r="X101" s="264"/>
      <c r="Y101" s="264"/>
      <c r="Z101" s="264"/>
      <c r="AA101" s="264"/>
    </row>
    <row r="102" spans="1:27" ht="15.75" customHeight="1">
      <c r="A102" s="266" t="s">
        <v>8718</v>
      </c>
      <c r="B102" s="266" t="s">
        <v>8722</v>
      </c>
      <c r="C102" s="98" t="s">
        <v>8825</v>
      </c>
      <c r="D102" s="98" t="s">
        <v>8826</v>
      </c>
      <c r="E102" s="263" t="s">
        <v>7210</v>
      </c>
      <c r="F102" s="264"/>
      <c r="G102" s="264"/>
      <c r="H102" s="264"/>
      <c r="I102" s="264"/>
      <c r="J102" s="264"/>
      <c r="K102" s="264"/>
      <c r="L102" s="264"/>
      <c r="M102" s="264"/>
      <c r="N102" s="264"/>
      <c r="O102" s="264"/>
      <c r="P102" s="264"/>
      <c r="Q102" s="264"/>
      <c r="R102" s="264"/>
      <c r="S102" s="264"/>
      <c r="T102" s="264"/>
      <c r="U102" s="264"/>
      <c r="V102" s="264"/>
      <c r="W102" s="264"/>
      <c r="X102" s="264"/>
      <c r="Y102" s="264"/>
      <c r="Z102" s="264"/>
      <c r="AA102" s="264"/>
    </row>
    <row r="103" spans="1:27" ht="15.75" customHeight="1">
      <c r="A103" s="266" t="s">
        <v>8718</v>
      </c>
      <c r="B103" s="266" t="s">
        <v>8722</v>
      </c>
      <c r="C103" s="266" t="s">
        <v>8747</v>
      </c>
      <c r="D103" s="266" t="s">
        <v>8748</v>
      </c>
      <c r="E103" s="266" t="s">
        <v>538</v>
      </c>
      <c r="F103" s="264"/>
      <c r="G103" s="264"/>
      <c r="H103" s="264"/>
      <c r="I103" s="264"/>
      <c r="J103" s="264"/>
      <c r="K103" s="264"/>
      <c r="L103" s="264"/>
      <c r="M103" s="264"/>
      <c r="N103" s="264"/>
      <c r="O103" s="264"/>
      <c r="P103" s="264"/>
      <c r="Q103" s="264"/>
      <c r="R103" s="264"/>
      <c r="S103" s="264"/>
      <c r="T103" s="264"/>
      <c r="U103" s="264"/>
      <c r="V103" s="264"/>
      <c r="W103" s="264"/>
      <c r="X103" s="264"/>
      <c r="Y103" s="264"/>
      <c r="Z103" s="264"/>
      <c r="AA103" s="264"/>
    </row>
    <row r="104" spans="1:27" ht="15.75" customHeight="1">
      <c r="A104" s="266" t="s">
        <v>8718</v>
      </c>
      <c r="B104" s="266" t="s">
        <v>8722</v>
      </c>
      <c r="C104" s="266" t="s">
        <v>8749</v>
      </c>
      <c r="D104" s="266" t="s">
        <v>8750</v>
      </c>
      <c r="E104" s="266" t="s">
        <v>7210</v>
      </c>
      <c r="F104" s="264"/>
      <c r="G104" s="264"/>
      <c r="H104" s="264"/>
      <c r="I104" s="264"/>
      <c r="J104" s="264"/>
      <c r="K104" s="264"/>
      <c r="L104" s="264"/>
      <c r="M104" s="264"/>
      <c r="N104" s="264"/>
      <c r="O104" s="264"/>
      <c r="P104" s="264"/>
      <c r="Q104" s="264"/>
      <c r="R104" s="264"/>
      <c r="S104" s="264"/>
      <c r="T104" s="264"/>
      <c r="U104" s="264"/>
      <c r="V104" s="264"/>
      <c r="W104" s="264"/>
      <c r="X104" s="264"/>
      <c r="Y104" s="264"/>
      <c r="Z104" s="264"/>
      <c r="AA104" s="264"/>
    </row>
    <row r="105" spans="1:27" ht="15.75" customHeight="1">
      <c r="A105" s="266" t="s">
        <v>8718</v>
      </c>
      <c r="B105" s="266" t="s">
        <v>8722</v>
      </c>
      <c r="C105" s="266" t="s">
        <v>8751</v>
      </c>
      <c r="D105" s="266" t="s">
        <v>8752</v>
      </c>
      <c r="E105" s="266" t="s">
        <v>7210</v>
      </c>
      <c r="F105" s="264"/>
      <c r="G105" s="264"/>
      <c r="H105" s="264"/>
      <c r="I105" s="264"/>
      <c r="J105" s="264"/>
      <c r="K105" s="264"/>
      <c r="L105" s="264"/>
      <c r="M105" s="264"/>
      <c r="N105" s="264"/>
      <c r="O105" s="264"/>
      <c r="P105" s="264"/>
      <c r="Q105" s="264"/>
      <c r="R105" s="264"/>
      <c r="S105" s="264"/>
      <c r="T105" s="264"/>
      <c r="U105" s="264"/>
      <c r="V105" s="264"/>
      <c r="W105" s="264"/>
      <c r="X105" s="264"/>
      <c r="Y105" s="264"/>
      <c r="Z105" s="264"/>
      <c r="AA105" s="264"/>
    </row>
    <row r="106" spans="1:27" ht="15.75" customHeight="1">
      <c r="A106" s="266" t="s">
        <v>8718</v>
      </c>
      <c r="B106" s="266" t="s">
        <v>8722</v>
      </c>
      <c r="C106" s="266" t="s">
        <v>8753</v>
      </c>
      <c r="D106" s="266" t="s">
        <v>8754</v>
      </c>
      <c r="E106" s="266" t="s">
        <v>7210</v>
      </c>
      <c r="F106" s="264"/>
      <c r="G106" s="264"/>
      <c r="H106" s="264"/>
      <c r="I106" s="264"/>
      <c r="J106" s="264"/>
      <c r="K106" s="264"/>
      <c r="L106" s="264"/>
      <c r="M106" s="264"/>
      <c r="N106" s="264"/>
      <c r="O106" s="264"/>
      <c r="P106" s="264"/>
      <c r="Q106" s="264"/>
      <c r="R106" s="264"/>
      <c r="S106" s="264"/>
      <c r="T106" s="264"/>
      <c r="U106" s="264"/>
      <c r="V106" s="264"/>
      <c r="W106" s="264"/>
      <c r="X106" s="264"/>
      <c r="Y106" s="264"/>
      <c r="Z106" s="264"/>
      <c r="AA106" s="264"/>
    </row>
    <row r="107" spans="1:27" ht="15.75" customHeight="1">
      <c r="A107" s="266" t="s">
        <v>8718</v>
      </c>
      <c r="B107" s="266" t="s">
        <v>8722</v>
      </c>
      <c r="C107" s="268" t="s">
        <v>8755</v>
      </c>
      <c r="D107" s="268" t="s">
        <v>8756</v>
      </c>
      <c r="E107" s="266" t="s">
        <v>7210</v>
      </c>
      <c r="F107" s="264"/>
      <c r="G107" s="264"/>
      <c r="H107" s="264"/>
      <c r="I107" s="264"/>
      <c r="J107" s="264"/>
      <c r="K107" s="264"/>
      <c r="L107" s="264"/>
      <c r="M107" s="264"/>
      <c r="N107" s="264"/>
      <c r="O107" s="264"/>
      <c r="P107" s="264"/>
      <c r="Q107" s="264"/>
      <c r="R107" s="264"/>
      <c r="S107" s="264"/>
      <c r="T107" s="264"/>
      <c r="U107" s="264"/>
      <c r="V107" s="264"/>
      <c r="W107" s="264"/>
      <c r="X107" s="264"/>
      <c r="Y107" s="264"/>
      <c r="Z107" s="264"/>
      <c r="AA107" s="264"/>
    </row>
    <row r="108" spans="1:27" ht="15.75" customHeight="1">
      <c r="A108" s="266" t="s">
        <v>8718</v>
      </c>
      <c r="B108" s="266" t="s">
        <v>8722</v>
      </c>
      <c r="C108" s="266" t="s">
        <v>8757</v>
      </c>
      <c r="D108" s="266" t="s">
        <v>8758</v>
      </c>
      <c r="E108" s="266" t="s">
        <v>7210</v>
      </c>
      <c r="F108" s="264"/>
      <c r="G108" s="264"/>
      <c r="H108" s="264"/>
      <c r="I108" s="264"/>
      <c r="J108" s="264"/>
      <c r="K108" s="264"/>
      <c r="L108" s="264"/>
      <c r="M108" s="264"/>
      <c r="N108" s="264"/>
      <c r="O108" s="264"/>
      <c r="P108" s="264"/>
      <c r="Q108" s="264"/>
      <c r="R108" s="264"/>
      <c r="S108" s="264"/>
      <c r="T108" s="264"/>
      <c r="U108" s="264"/>
      <c r="V108" s="264"/>
      <c r="W108" s="264"/>
      <c r="X108" s="264"/>
      <c r="Y108" s="264"/>
      <c r="Z108" s="264"/>
      <c r="AA108" s="264"/>
    </row>
    <row r="109" spans="1:27" ht="15.75" customHeight="1">
      <c r="A109" s="266" t="s">
        <v>8718</v>
      </c>
      <c r="B109" s="266" t="s">
        <v>8722</v>
      </c>
      <c r="C109" s="266" t="s">
        <v>8759</v>
      </c>
      <c r="D109" s="266" t="s">
        <v>8760</v>
      </c>
      <c r="E109" s="266" t="s">
        <v>538</v>
      </c>
      <c r="F109" s="264"/>
      <c r="G109" s="264"/>
      <c r="H109" s="264"/>
      <c r="I109" s="264"/>
      <c r="J109" s="264"/>
      <c r="K109" s="264"/>
      <c r="L109" s="264"/>
      <c r="M109" s="264"/>
      <c r="N109" s="264"/>
      <c r="O109" s="264"/>
      <c r="P109" s="264"/>
      <c r="Q109" s="264"/>
      <c r="R109" s="264"/>
      <c r="S109" s="264"/>
      <c r="T109" s="264"/>
      <c r="U109" s="264"/>
      <c r="V109" s="264"/>
      <c r="W109" s="264"/>
      <c r="X109" s="264"/>
      <c r="Y109" s="264"/>
      <c r="Z109" s="264"/>
      <c r="AA109" s="264"/>
    </row>
    <row r="110" spans="1:27" ht="15.75" customHeight="1">
      <c r="A110" s="266" t="s">
        <v>8718</v>
      </c>
      <c r="B110" s="266" t="s">
        <v>8722</v>
      </c>
      <c r="C110" s="266" t="s">
        <v>8761</v>
      </c>
      <c r="D110" s="266" t="s">
        <v>8762</v>
      </c>
      <c r="E110" s="266" t="s">
        <v>7210</v>
      </c>
      <c r="F110" s="264"/>
      <c r="G110" s="264"/>
      <c r="H110" s="264"/>
      <c r="I110" s="264"/>
      <c r="J110" s="264"/>
      <c r="K110" s="264"/>
      <c r="L110" s="264"/>
      <c r="M110" s="264"/>
      <c r="N110" s="264"/>
      <c r="O110" s="264"/>
      <c r="P110" s="264"/>
      <c r="Q110" s="264"/>
      <c r="R110" s="264"/>
      <c r="S110" s="264"/>
      <c r="T110" s="264"/>
      <c r="U110" s="264"/>
      <c r="V110" s="264"/>
      <c r="W110" s="264"/>
      <c r="X110" s="264"/>
      <c r="Y110" s="264"/>
      <c r="Z110" s="264"/>
      <c r="AA110" s="264"/>
    </row>
    <row r="111" spans="1:27" ht="15.75" customHeight="1">
      <c r="A111" s="266" t="s">
        <v>8718</v>
      </c>
      <c r="B111" s="266" t="s">
        <v>8722</v>
      </c>
      <c r="C111" s="266" t="s">
        <v>8763</v>
      </c>
      <c r="D111" s="266" t="s">
        <v>8764</v>
      </c>
      <c r="E111" s="266" t="s">
        <v>7210</v>
      </c>
      <c r="F111" s="264"/>
      <c r="G111" s="264"/>
      <c r="H111" s="264"/>
      <c r="I111" s="264"/>
      <c r="J111" s="264"/>
      <c r="K111" s="264"/>
      <c r="L111" s="264"/>
      <c r="M111" s="264"/>
      <c r="N111" s="264"/>
      <c r="O111" s="264"/>
      <c r="P111" s="264"/>
      <c r="Q111" s="264"/>
      <c r="R111" s="264"/>
      <c r="S111" s="264"/>
      <c r="T111" s="264"/>
      <c r="U111" s="264"/>
      <c r="V111" s="264"/>
      <c r="W111" s="264"/>
      <c r="X111" s="264"/>
      <c r="Y111" s="264"/>
      <c r="Z111" s="264"/>
      <c r="AA111" s="264"/>
    </row>
    <row r="112" spans="1:27" ht="15.75" customHeight="1">
      <c r="A112" s="266" t="s">
        <v>8718</v>
      </c>
      <c r="B112" s="266" t="s">
        <v>8722</v>
      </c>
      <c r="C112" s="266" t="s">
        <v>8765</v>
      </c>
      <c r="D112" s="266" t="s">
        <v>8766</v>
      </c>
      <c r="E112" s="266" t="s">
        <v>7210</v>
      </c>
      <c r="F112" s="264"/>
      <c r="G112" s="264"/>
      <c r="H112" s="264"/>
      <c r="I112" s="264"/>
      <c r="J112" s="264"/>
      <c r="K112" s="264"/>
      <c r="L112" s="264"/>
      <c r="M112" s="264"/>
      <c r="N112" s="264"/>
      <c r="O112" s="264"/>
      <c r="P112" s="264"/>
      <c r="Q112" s="264"/>
      <c r="R112" s="264"/>
      <c r="S112" s="264"/>
      <c r="T112" s="264"/>
      <c r="U112" s="264"/>
      <c r="V112" s="264"/>
      <c r="W112" s="264"/>
      <c r="X112" s="264"/>
      <c r="Y112" s="264"/>
      <c r="Z112" s="264"/>
      <c r="AA112" s="264"/>
    </row>
    <row r="113" spans="1:27" ht="15.75" customHeight="1">
      <c r="A113" s="266" t="s">
        <v>8718</v>
      </c>
      <c r="B113" s="266" t="s">
        <v>8722</v>
      </c>
      <c r="C113" s="268" t="s">
        <v>8767</v>
      </c>
      <c r="D113" s="268" t="s">
        <v>8768</v>
      </c>
      <c r="E113" s="266" t="s">
        <v>7210</v>
      </c>
      <c r="F113" s="264"/>
      <c r="G113" s="264"/>
      <c r="H113" s="264"/>
      <c r="I113" s="264"/>
      <c r="J113" s="264"/>
      <c r="K113" s="264"/>
      <c r="L113" s="264"/>
      <c r="M113" s="264"/>
      <c r="N113" s="264"/>
      <c r="O113" s="264"/>
      <c r="P113" s="264"/>
      <c r="Q113" s="264"/>
      <c r="R113" s="264"/>
      <c r="S113" s="264"/>
      <c r="T113" s="264"/>
      <c r="U113" s="264"/>
      <c r="V113" s="264"/>
      <c r="W113" s="264"/>
      <c r="X113" s="264"/>
      <c r="Y113" s="264"/>
      <c r="Z113" s="264"/>
      <c r="AA113" s="264"/>
    </row>
    <row r="114" spans="1:27" ht="15.75" customHeight="1">
      <c r="A114" s="266" t="s">
        <v>8718</v>
      </c>
      <c r="B114" s="266" t="s">
        <v>8722</v>
      </c>
      <c r="C114" s="266" t="s">
        <v>8769</v>
      </c>
      <c r="D114" s="266" t="s">
        <v>8770</v>
      </c>
      <c r="E114" s="266" t="s">
        <v>7210</v>
      </c>
      <c r="F114" s="264"/>
      <c r="G114" s="264"/>
      <c r="H114" s="264"/>
      <c r="I114" s="264"/>
      <c r="J114" s="264"/>
      <c r="K114" s="264"/>
      <c r="L114" s="264"/>
      <c r="M114" s="264"/>
      <c r="N114" s="264"/>
      <c r="O114" s="264"/>
      <c r="P114" s="264"/>
      <c r="Q114" s="264"/>
      <c r="R114" s="264"/>
      <c r="S114" s="264"/>
      <c r="T114" s="264"/>
      <c r="U114" s="264"/>
      <c r="V114" s="264"/>
      <c r="W114" s="264"/>
      <c r="X114" s="264"/>
      <c r="Y114" s="264"/>
      <c r="Z114" s="264"/>
      <c r="AA114" s="264"/>
    </row>
    <row r="115" spans="1:27" ht="15.75" customHeight="1">
      <c r="A115" s="266" t="s">
        <v>8718</v>
      </c>
      <c r="B115" s="266" t="s">
        <v>8723</v>
      </c>
      <c r="C115" s="263" t="s">
        <v>8670</v>
      </c>
      <c r="D115" s="263" t="s">
        <v>3897</v>
      </c>
      <c r="E115" s="266" t="s">
        <v>7210</v>
      </c>
      <c r="F115" s="264"/>
      <c r="G115" s="264"/>
      <c r="H115" s="264"/>
      <c r="I115" s="264"/>
      <c r="J115" s="264"/>
      <c r="K115" s="264"/>
      <c r="L115" s="264"/>
      <c r="M115" s="264"/>
      <c r="N115" s="264"/>
      <c r="O115" s="264"/>
      <c r="P115" s="264"/>
      <c r="Q115" s="264"/>
      <c r="R115" s="264"/>
      <c r="S115" s="264"/>
      <c r="T115" s="264"/>
      <c r="U115" s="264"/>
      <c r="V115" s="264"/>
      <c r="W115" s="264"/>
      <c r="X115" s="264"/>
      <c r="Y115" s="264"/>
      <c r="Z115" s="264"/>
      <c r="AA115" s="264"/>
    </row>
    <row r="116" spans="1:27" ht="15.75" customHeight="1">
      <c r="A116" s="266" t="s">
        <v>8718</v>
      </c>
      <c r="B116" s="266" t="s">
        <v>8723</v>
      </c>
      <c r="C116" s="266" t="s">
        <v>5678</v>
      </c>
      <c r="D116" s="266" t="s">
        <v>5678</v>
      </c>
      <c r="E116" s="266" t="s">
        <v>7210</v>
      </c>
      <c r="F116" s="264"/>
      <c r="G116" s="264"/>
      <c r="H116" s="264"/>
      <c r="I116" s="264"/>
      <c r="J116" s="264"/>
      <c r="K116" s="264"/>
      <c r="L116" s="264"/>
      <c r="M116" s="264"/>
      <c r="N116" s="264"/>
      <c r="O116" s="264"/>
      <c r="P116" s="264"/>
      <c r="Q116" s="264"/>
      <c r="R116" s="264"/>
      <c r="S116" s="264"/>
      <c r="T116" s="264"/>
      <c r="U116" s="264"/>
      <c r="V116" s="264"/>
      <c r="W116" s="264"/>
      <c r="X116" s="264"/>
      <c r="Y116" s="264"/>
      <c r="Z116" s="264"/>
      <c r="AA116" s="264"/>
    </row>
    <row r="117" spans="1:27" ht="15.75" customHeight="1">
      <c r="A117" s="266" t="s">
        <v>8718</v>
      </c>
      <c r="B117" s="266" t="s">
        <v>8723</v>
      </c>
      <c r="C117" s="266" t="s">
        <v>8772</v>
      </c>
      <c r="D117" s="266" t="s">
        <v>8772</v>
      </c>
      <c r="E117" s="266" t="s">
        <v>8687</v>
      </c>
      <c r="F117" s="264"/>
      <c r="G117" s="264"/>
      <c r="H117" s="264"/>
      <c r="I117" s="264"/>
      <c r="J117" s="264"/>
      <c r="K117" s="264"/>
      <c r="L117" s="264"/>
      <c r="M117" s="264"/>
      <c r="N117" s="264"/>
      <c r="O117" s="264"/>
      <c r="P117" s="264"/>
      <c r="Q117" s="264"/>
      <c r="R117" s="264"/>
      <c r="S117" s="264"/>
      <c r="T117" s="264"/>
      <c r="U117" s="264"/>
      <c r="V117" s="264"/>
      <c r="W117" s="264"/>
      <c r="X117" s="264"/>
      <c r="Y117" s="264"/>
      <c r="Z117" s="264"/>
      <c r="AA117" s="264"/>
    </row>
    <row r="118" spans="1:27" ht="15.75" customHeight="1">
      <c r="A118" s="266" t="s">
        <v>8718</v>
      </c>
      <c r="B118" s="266" t="s">
        <v>8723</v>
      </c>
      <c r="C118" s="266" t="s">
        <v>5764</v>
      </c>
      <c r="D118" s="266" t="s">
        <v>5764</v>
      </c>
      <c r="E118" s="266" t="s">
        <v>7210</v>
      </c>
      <c r="F118" s="264"/>
      <c r="G118" s="264"/>
      <c r="H118" s="264"/>
      <c r="I118" s="264"/>
      <c r="J118" s="264"/>
      <c r="K118" s="264"/>
      <c r="L118" s="264"/>
      <c r="M118" s="264"/>
      <c r="N118" s="264"/>
      <c r="O118" s="264"/>
      <c r="P118" s="264"/>
      <c r="Q118" s="264"/>
      <c r="R118" s="264"/>
      <c r="S118" s="264"/>
      <c r="T118" s="264"/>
      <c r="U118" s="264"/>
      <c r="V118" s="264"/>
      <c r="W118" s="264"/>
      <c r="X118" s="264"/>
      <c r="Y118" s="264"/>
      <c r="Z118" s="264"/>
      <c r="AA118" s="264"/>
    </row>
    <row r="119" spans="1:27" ht="15.75" customHeight="1">
      <c r="A119" s="266" t="s">
        <v>8718</v>
      </c>
      <c r="B119" s="266" t="s">
        <v>8723</v>
      </c>
      <c r="C119" s="265" t="s">
        <v>8827</v>
      </c>
      <c r="D119" s="265" t="s">
        <v>8827</v>
      </c>
      <c r="E119" s="263" t="s">
        <v>7210</v>
      </c>
      <c r="F119" s="264"/>
      <c r="G119" s="264"/>
      <c r="H119" s="264"/>
      <c r="I119" s="264"/>
      <c r="J119" s="264"/>
      <c r="K119" s="264"/>
      <c r="L119" s="264"/>
      <c r="M119" s="264"/>
      <c r="N119" s="264"/>
      <c r="O119" s="264"/>
      <c r="P119" s="264"/>
      <c r="Q119" s="264"/>
      <c r="R119" s="264"/>
      <c r="S119" s="264"/>
      <c r="T119" s="264"/>
      <c r="U119" s="264"/>
      <c r="V119" s="264"/>
      <c r="W119" s="264"/>
      <c r="X119" s="264"/>
      <c r="Y119" s="264"/>
      <c r="Z119" s="264"/>
      <c r="AA119" s="264"/>
    </row>
    <row r="120" spans="1:27" ht="15.75" customHeight="1">
      <c r="A120" s="266" t="s">
        <v>8718</v>
      </c>
      <c r="B120" s="266" t="s">
        <v>8723</v>
      </c>
      <c r="C120" s="265" t="s">
        <v>8730</v>
      </c>
      <c r="D120" s="265" t="s">
        <v>8731</v>
      </c>
      <c r="E120" s="263" t="s">
        <v>7210</v>
      </c>
      <c r="F120" s="264"/>
      <c r="G120" s="264"/>
      <c r="H120" s="264"/>
      <c r="I120" s="264"/>
      <c r="J120" s="264"/>
      <c r="K120" s="264"/>
      <c r="L120" s="264"/>
      <c r="M120" s="264"/>
      <c r="N120" s="264"/>
      <c r="O120" s="264"/>
      <c r="P120" s="264"/>
      <c r="Q120" s="264"/>
      <c r="R120" s="264"/>
      <c r="S120" s="264"/>
      <c r="T120" s="264"/>
      <c r="U120" s="264"/>
      <c r="V120" s="264"/>
      <c r="W120" s="264"/>
      <c r="X120" s="264"/>
      <c r="Y120" s="264"/>
      <c r="Z120" s="264"/>
      <c r="AA120" s="264"/>
    </row>
    <row r="121" spans="1:27" ht="15.75" customHeight="1">
      <c r="A121" s="266" t="s">
        <v>8718</v>
      </c>
      <c r="B121" s="266" t="s">
        <v>8723</v>
      </c>
      <c r="C121" s="98" t="s">
        <v>8732</v>
      </c>
      <c r="D121" s="98" t="s">
        <v>8733</v>
      </c>
      <c r="E121" s="263" t="s">
        <v>7210</v>
      </c>
      <c r="F121" s="264"/>
      <c r="G121" s="264"/>
      <c r="H121" s="264"/>
      <c r="I121" s="264"/>
      <c r="J121" s="264"/>
      <c r="K121" s="264"/>
      <c r="L121" s="264"/>
      <c r="M121" s="264"/>
      <c r="N121" s="264"/>
      <c r="O121" s="264"/>
      <c r="P121" s="264"/>
      <c r="Q121" s="264"/>
      <c r="R121" s="264"/>
      <c r="S121" s="264"/>
      <c r="T121" s="264"/>
      <c r="U121" s="264"/>
      <c r="V121" s="264"/>
      <c r="W121" s="264"/>
      <c r="X121" s="264"/>
      <c r="Y121" s="264"/>
      <c r="Z121" s="264"/>
      <c r="AA121" s="264"/>
    </row>
    <row r="122" spans="1:27" ht="15.75" customHeight="1">
      <c r="A122" s="266" t="s">
        <v>8718</v>
      </c>
      <c r="B122" s="266" t="s">
        <v>8723</v>
      </c>
      <c r="C122" s="266" t="s">
        <v>8828</v>
      </c>
      <c r="D122" s="266" t="s">
        <v>8828</v>
      </c>
      <c r="E122" s="266" t="s">
        <v>7210</v>
      </c>
      <c r="F122" s="264"/>
      <c r="G122" s="264"/>
      <c r="H122" s="264"/>
      <c r="I122" s="264"/>
      <c r="J122" s="264"/>
      <c r="K122" s="264"/>
      <c r="L122" s="264"/>
      <c r="M122" s="264"/>
      <c r="N122" s="264"/>
      <c r="O122" s="264"/>
      <c r="P122" s="264"/>
      <c r="Q122" s="264"/>
      <c r="R122" s="264"/>
      <c r="S122" s="264"/>
      <c r="T122" s="264"/>
      <c r="U122" s="264"/>
      <c r="V122" s="264"/>
      <c r="W122" s="264"/>
      <c r="X122" s="264"/>
      <c r="Y122" s="264"/>
      <c r="Z122" s="264"/>
      <c r="AA122" s="264"/>
    </row>
    <row r="123" spans="1:27" ht="15.75" customHeight="1">
      <c r="A123" s="266" t="s">
        <v>8718</v>
      </c>
      <c r="B123" s="266" t="s">
        <v>8723</v>
      </c>
      <c r="C123" s="266" t="s">
        <v>5609</v>
      </c>
      <c r="D123" s="266" t="s">
        <v>5609</v>
      </c>
      <c r="E123" s="266" t="s">
        <v>7210</v>
      </c>
      <c r="F123" s="264"/>
      <c r="G123" s="264"/>
      <c r="H123" s="264"/>
      <c r="I123" s="264"/>
      <c r="J123" s="264"/>
      <c r="K123" s="264"/>
      <c r="L123" s="264"/>
      <c r="M123" s="264"/>
      <c r="N123" s="264"/>
      <c r="O123" s="264"/>
      <c r="P123" s="264"/>
      <c r="Q123" s="264"/>
      <c r="R123" s="264"/>
      <c r="S123" s="264"/>
      <c r="T123" s="264"/>
      <c r="U123" s="264"/>
      <c r="V123" s="264"/>
      <c r="W123" s="264"/>
      <c r="X123" s="264"/>
      <c r="Y123" s="264"/>
      <c r="Z123" s="264"/>
      <c r="AA123" s="264"/>
    </row>
    <row r="124" spans="1:27" ht="15.75" customHeight="1">
      <c r="A124" s="266" t="s">
        <v>8718</v>
      </c>
      <c r="B124" s="266" t="s">
        <v>8723</v>
      </c>
      <c r="C124" s="266" t="s">
        <v>3838</v>
      </c>
      <c r="D124" s="266" t="s">
        <v>3838</v>
      </c>
      <c r="E124" s="266" t="s">
        <v>5672</v>
      </c>
      <c r="F124" s="264"/>
      <c r="G124" s="264"/>
      <c r="H124" s="264"/>
      <c r="I124" s="264"/>
      <c r="J124" s="264"/>
      <c r="K124" s="264"/>
      <c r="L124" s="264"/>
      <c r="M124" s="264"/>
      <c r="N124" s="264"/>
      <c r="O124" s="264"/>
      <c r="P124" s="264"/>
      <c r="Q124" s="264"/>
      <c r="R124" s="264"/>
      <c r="S124" s="264"/>
      <c r="T124" s="264"/>
      <c r="U124" s="264"/>
      <c r="V124" s="264"/>
      <c r="W124" s="264"/>
      <c r="X124" s="264"/>
      <c r="Y124" s="264"/>
      <c r="Z124" s="264"/>
      <c r="AA124" s="264"/>
    </row>
    <row r="125" spans="1:27" ht="15.75" customHeight="1">
      <c r="A125" s="266" t="s">
        <v>8718</v>
      </c>
      <c r="B125" s="266" t="s">
        <v>8723</v>
      </c>
      <c r="C125" s="266" t="s">
        <v>8774</v>
      </c>
      <c r="D125" s="266" t="s">
        <v>8774</v>
      </c>
      <c r="E125" s="266" t="s">
        <v>5672</v>
      </c>
      <c r="F125" s="264"/>
      <c r="G125" s="264"/>
      <c r="H125" s="264"/>
      <c r="I125" s="264"/>
      <c r="J125" s="264"/>
      <c r="K125" s="264"/>
      <c r="L125" s="264"/>
      <c r="M125" s="264"/>
      <c r="N125" s="264"/>
      <c r="O125" s="264"/>
      <c r="P125" s="264"/>
      <c r="Q125" s="264"/>
      <c r="R125" s="264"/>
      <c r="S125" s="264"/>
      <c r="T125" s="264"/>
      <c r="U125" s="264"/>
      <c r="V125" s="264"/>
      <c r="W125" s="264"/>
      <c r="X125" s="264"/>
      <c r="Y125" s="264"/>
      <c r="Z125" s="264"/>
      <c r="AA125" s="264"/>
    </row>
    <row r="126" spans="1:27" ht="15.75" customHeight="1">
      <c r="A126" s="266" t="s">
        <v>8718</v>
      </c>
      <c r="B126" s="266" t="s">
        <v>8723</v>
      </c>
      <c r="C126" s="266" t="s">
        <v>1419</v>
      </c>
      <c r="D126" s="266" t="s">
        <v>1419</v>
      </c>
      <c r="E126" s="266" t="s">
        <v>7210</v>
      </c>
      <c r="F126" s="264"/>
      <c r="G126" s="264"/>
      <c r="H126" s="264"/>
      <c r="I126" s="264"/>
      <c r="J126" s="264"/>
      <c r="K126" s="264"/>
      <c r="L126" s="264"/>
      <c r="M126" s="264"/>
      <c r="N126" s="264"/>
      <c r="O126" s="264"/>
      <c r="P126" s="264"/>
      <c r="Q126" s="264"/>
      <c r="R126" s="264"/>
      <c r="S126" s="264"/>
      <c r="T126" s="264"/>
      <c r="U126" s="264"/>
      <c r="V126" s="264"/>
      <c r="W126" s="264"/>
      <c r="X126" s="264"/>
      <c r="Y126" s="264"/>
      <c r="Z126" s="264"/>
      <c r="AA126" s="264"/>
    </row>
    <row r="127" spans="1:27" ht="15.75" customHeight="1">
      <c r="A127" s="266" t="s">
        <v>8718</v>
      </c>
      <c r="B127" s="266" t="s">
        <v>8723</v>
      </c>
      <c r="C127" s="266" t="s">
        <v>8803</v>
      </c>
      <c r="D127" s="267" t="s">
        <v>8804</v>
      </c>
      <c r="E127" s="266" t="s">
        <v>7210</v>
      </c>
      <c r="F127" s="264"/>
      <c r="G127" s="264"/>
      <c r="H127" s="264"/>
      <c r="I127" s="264"/>
      <c r="J127" s="264"/>
      <c r="K127" s="264"/>
      <c r="L127" s="264"/>
      <c r="M127" s="264"/>
      <c r="N127" s="264"/>
      <c r="O127" s="264"/>
      <c r="P127" s="264"/>
      <c r="Q127" s="264"/>
      <c r="R127" s="264"/>
      <c r="S127" s="264"/>
      <c r="T127" s="264"/>
      <c r="U127" s="264"/>
      <c r="V127" s="264"/>
      <c r="W127" s="264"/>
      <c r="X127" s="264"/>
      <c r="Y127" s="264"/>
      <c r="Z127" s="264"/>
      <c r="AA127" s="264"/>
    </row>
    <row r="128" spans="1:27" ht="15.75" customHeight="1">
      <c r="A128" s="266" t="s">
        <v>8718</v>
      </c>
      <c r="B128" s="266" t="s">
        <v>8723</v>
      </c>
      <c r="C128" s="266" t="s">
        <v>8805</v>
      </c>
      <c r="D128" s="266" t="s">
        <v>8806</v>
      </c>
      <c r="E128" s="266" t="s">
        <v>7210</v>
      </c>
      <c r="F128" s="264"/>
      <c r="G128" s="264"/>
      <c r="H128" s="264"/>
      <c r="I128" s="264"/>
      <c r="J128" s="264"/>
      <c r="K128" s="264"/>
      <c r="L128" s="264"/>
      <c r="M128" s="264"/>
      <c r="N128" s="264"/>
      <c r="O128" s="264"/>
      <c r="P128" s="264"/>
      <c r="Q128" s="264"/>
      <c r="R128" s="264"/>
      <c r="S128" s="264"/>
      <c r="T128" s="264"/>
      <c r="U128" s="264"/>
      <c r="V128" s="264"/>
      <c r="W128" s="264"/>
      <c r="X128" s="264"/>
      <c r="Y128" s="264"/>
      <c r="Z128" s="264"/>
      <c r="AA128" s="264"/>
    </row>
    <row r="129" spans="1:27" ht="15.75" customHeight="1">
      <c r="A129" s="266" t="s">
        <v>8718</v>
      </c>
      <c r="B129" s="266" t="s">
        <v>8723</v>
      </c>
      <c r="C129" s="266" t="s">
        <v>8807</v>
      </c>
      <c r="D129" s="266" t="s">
        <v>8808</v>
      </c>
      <c r="E129" s="266" t="s">
        <v>7210</v>
      </c>
      <c r="F129" s="264"/>
      <c r="G129" s="264"/>
      <c r="H129" s="264"/>
      <c r="I129" s="264"/>
      <c r="J129" s="264"/>
      <c r="K129" s="264"/>
      <c r="L129" s="264"/>
      <c r="M129" s="264"/>
      <c r="N129" s="264"/>
      <c r="O129" s="264"/>
      <c r="P129" s="264"/>
      <c r="Q129" s="264"/>
      <c r="R129" s="264"/>
      <c r="S129" s="264"/>
      <c r="T129" s="264"/>
      <c r="U129" s="264"/>
      <c r="V129" s="264"/>
      <c r="W129" s="264"/>
      <c r="X129" s="264"/>
      <c r="Y129" s="264"/>
      <c r="Z129" s="264"/>
      <c r="AA129" s="264"/>
    </row>
    <row r="130" spans="1:27" ht="15.75" customHeight="1">
      <c r="A130" s="266" t="s">
        <v>8718</v>
      </c>
      <c r="B130" s="266" t="s">
        <v>8723</v>
      </c>
      <c r="C130" s="266" t="s">
        <v>8809</v>
      </c>
      <c r="D130" s="266" t="s">
        <v>8810</v>
      </c>
      <c r="E130" s="266" t="s">
        <v>8687</v>
      </c>
      <c r="F130" s="264"/>
      <c r="G130" s="264"/>
      <c r="H130" s="264"/>
      <c r="I130" s="264"/>
      <c r="J130" s="264"/>
      <c r="K130" s="264"/>
      <c r="L130" s="264"/>
      <c r="M130" s="264"/>
      <c r="N130" s="264"/>
      <c r="O130" s="264"/>
      <c r="P130" s="264"/>
      <c r="Q130" s="264"/>
      <c r="R130" s="264"/>
      <c r="S130" s="264"/>
      <c r="T130" s="264"/>
      <c r="U130" s="264"/>
      <c r="V130" s="264"/>
      <c r="W130" s="264"/>
      <c r="X130" s="264"/>
      <c r="Y130" s="264"/>
      <c r="Z130" s="264"/>
      <c r="AA130" s="264"/>
    </row>
    <row r="131" spans="1:27" ht="15.75" customHeight="1">
      <c r="A131" s="266" t="s">
        <v>8718</v>
      </c>
      <c r="B131" s="266" t="s">
        <v>8723</v>
      </c>
      <c r="C131" s="270" t="s">
        <v>8811</v>
      </c>
      <c r="D131" s="270" t="s">
        <v>8812</v>
      </c>
      <c r="E131" s="266" t="s">
        <v>7210</v>
      </c>
      <c r="F131" s="264"/>
      <c r="G131" s="264"/>
      <c r="H131" s="264"/>
      <c r="I131" s="264"/>
      <c r="J131" s="264"/>
      <c r="K131" s="264"/>
      <c r="L131" s="264"/>
      <c r="M131" s="264"/>
      <c r="N131" s="264"/>
      <c r="O131" s="264"/>
      <c r="P131" s="264"/>
      <c r="Q131" s="264"/>
      <c r="R131" s="264"/>
      <c r="S131" s="264"/>
      <c r="T131" s="264"/>
      <c r="U131" s="264"/>
      <c r="V131" s="264"/>
      <c r="W131" s="264"/>
      <c r="X131" s="264"/>
      <c r="Y131" s="264"/>
      <c r="Z131" s="264"/>
      <c r="AA131" s="264"/>
    </row>
    <row r="132" spans="1:27" ht="15.75" customHeight="1">
      <c r="A132" s="266" t="s">
        <v>8718</v>
      </c>
      <c r="B132" s="266" t="s">
        <v>8723</v>
      </c>
      <c r="C132" s="266" t="s">
        <v>8813</v>
      </c>
      <c r="D132" s="270" t="s">
        <v>8814</v>
      </c>
      <c r="E132" s="266" t="s">
        <v>7210</v>
      </c>
      <c r="F132" s="264"/>
      <c r="G132" s="264"/>
      <c r="H132" s="264"/>
      <c r="I132" s="264"/>
      <c r="J132" s="264"/>
      <c r="K132" s="264"/>
      <c r="L132" s="264"/>
      <c r="M132" s="264"/>
      <c r="N132" s="264"/>
      <c r="O132" s="264"/>
      <c r="P132" s="264"/>
      <c r="Q132" s="264"/>
      <c r="R132" s="264"/>
      <c r="S132" s="264"/>
      <c r="T132" s="264"/>
      <c r="U132" s="264"/>
      <c r="V132" s="264"/>
      <c r="W132" s="264"/>
      <c r="X132" s="264"/>
      <c r="Y132" s="264"/>
      <c r="Z132" s="264"/>
      <c r="AA132" s="264"/>
    </row>
    <row r="133" spans="1:27" ht="15.75" customHeight="1">
      <c r="A133" s="266" t="s">
        <v>8718</v>
      </c>
      <c r="B133" s="266" t="s">
        <v>8723</v>
      </c>
      <c r="C133" s="266" t="s">
        <v>8815</v>
      </c>
      <c r="D133" s="266" t="s">
        <v>8816</v>
      </c>
      <c r="E133" s="266" t="s">
        <v>7210</v>
      </c>
      <c r="F133" s="264"/>
      <c r="G133" s="264"/>
      <c r="H133" s="264"/>
      <c r="I133" s="264"/>
      <c r="J133" s="264"/>
      <c r="K133" s="264"/>
      <c r="L133" s="264"/>
      <c r="M133" s="264"/>
      <c r="N133" s="264"/>
      <c r="O133" s="264"/>
      <c r="P133" s="264"/>
      <c r="Q133" s="264"/>
      <c r="R133" s="264"/>
      <c r="S133" s="264"/>
      <c r="T133" s="264"/>
      <c r="U133" s="264"/>
      <c r="V133" s="264"/>
      <c r="W133" s="264"/>
      <c r="X133" s="264"/>
      <c r="Y133" s="264"/>
      <c r="Z133" s="264"/>
      <c r="AA133" s="264"/>
    </row>
    <row r="134" spans="1:27" ht="15.75" customHeight="1">
      <c r="A134" s="266" t="s">
        <v>8718</v>
      </c>
      <c r="B134" s="266" t="s">
        <v>8723</v>
      </c>
      <c r="C134" s="266" t="s">
        <v>8817</v>
      </c>
      <c r="D134" s="266" t="s">
        <v>8818</v>
      </c>
      <c r="E134" s="266" t="s">
        <v>7210</v>
      </c>
      <c r="F134" s="264"/>
      <c r="G134" s="264"/>
      <c r="H134" s="264"/>
      <c r="I134" s="264"/>
      <c r="J134" s="264"/>
      <c r="K134" s="264"/>
      <c r="L134" s="264"/>
      <c r="M134" s="264"/>
      <c r="N134" s="264"/>
      <c r="O134" s="264"/>
      <c r="P134" s="264"/>
      <c r="Q134" s="264"/>
      <c r="R134" s="264"/>
      <c r="S134" s="264"/>
      <c r="T134" s="264"/>
      <c r="U134" s="264"/>
      <c r="V134" s="264"/>
      <c r="W134" s="264"/>
      <c r="X134" s="264"/>
      <c r="Y134" s="264"/>
      <c r="Z134" s="264"/>
      <c r="AA134" s="264"/>
    </row>
    <row r="135" spans="1:27" ht="15.75" customHeight="1">
      <c r="A135" s="266" t="s">
        <v>8718</v>
      </c>
      <c r="B135" s="266" t="s">
        <v>8723</v>
      </c>
      <c r="C135" s="266" t="s">
        <v>8819</v>
      </c>
      <c r="D135" s="269" t="s">
        <v>8820</v>
      </c>
      <c r="E135" s="266" t="s">
        <v>7210</v>
      </c>
      <c r="F135" s="264"/>
      <c r="G135" s="264"/>
      <c r="H135" s="264"/>
      <c r="I135" s="264"/>
      <c r="J135" s="264"/>
      <c r="K135" s="264"/>
      <c r="L135" s="264"/>
      <c r="M135" s="264"/>
      <c r="N135" s="264"/>
      <c r="O135" s="264"/>
      <c r="P135" s="264"/>
      <c r="Q135" s="264"/>
      <c r="R135" s="264"/>
      <c r="S135" s="264"/>
      <c r="T135" s="264"/>
      <c r="U135" s="264"/>
      <c r="V135" s="264"/>
      <c r="W135" s="264"/>
      <c r="X135" s="264"/>
      <c r="Y135" s="264"/>
      <c r="Z135" s="264"/>
      <c r="AA135" s="264"/>
    </row>
    <row r="136" spans="1:27" ht="15.75" customHeight="1">
      <c r="A136" s="266" t="s">
        <v>8718</v>
      </c>
      <c r="B136" s="266" t="s">
        <v>8723</v>
      </c>
      <c r="C136" s="266" t="s">
        <v>8821</v>
      </c>
      <c r="D136" s="266" t="s">
        <v>8822</v>
      </c>
      <c r="E136" s="266" t="s">
        <v>8687</v>
      </c>
      <c r="F136" s="264"/>
      <c r="G136" s="264"/>
      <c r="H136" s="264"/>
      <c r="I136" s="264"/>
      <c r="J136" s="264"/>
      <c r="K136" s="264"/>
      <c r="L136" s="264"/>
      <c r="M136" s="264"/>
      <c r="N136" s="264"/>
      <c r="O136" s="264"/>
      <c r="P136" s="264"/>
      <c r="Q136" s="264"/>
      <c r="R136" s="264"/>
      <c r="S136" s="264"/>
      <c r="T136" s="264"/>
      <c r="U136" s="264"/>
      <c r="V136" s="264"/>
      <c r="W136" s="264"/>
      <c r="X136" s="264"/>
      <c r="Y136" s="264"/>
      <c r="Z136" s="264"/>
      <c r="AA136" s="264"/>
    </row>
    <row r="137" spans="1:27" ht="15.75" customHeight="1">
      <c r="A137" s="266" t="s">
        <v>8718</v>
      </c>
      <c r="B137" s="266" t="s">
        <v>8723</v>
      </c>
      <c r="C137" s="265" t="s">
        <v>8823</v>
      </c>
      <c r="D137" s="265" t="s">
        <v>8824</v>
      </c>
      <c r="E137" s="263" t="s">
        <v>7210</v>
      </c>
      <c r="F137" s="264"/>
      <c r="G137" s="264"/>
      <c r="H137" s="264"/>
      <c r="I137" s="264"/>
      <c r="J137" s="264"/>
      <c r="K137" s="264"/>
      <c r="L137" s="264"/>
      <c r="M137" s="264"/>
      <c r="N137" s="264"/>
      <c r="O137" s="264"/>
      <c r="P137" s="264"/>
      <c r="Q137" s="264"/>
      <c r="R137" s="264"/>
      <c r="S137" s="264"/>
      <c r="T137" s="264"/>
      <c r="U137" s="264"/>
      <c r="V137" s="264"/>
      <c r="W137" s="264"/>
      <c r="X137" s="264"/>
      <c r="Y137" s="264"/>
      <c r="Z137" s="264"/>
      <c r="AA137" s="264"/>
    </row>
    <row r="138" spans="1:27" ht="15.75" customHeight="1">
      <c r="A138" s="266" t="s">
        <v>8718</v>
      </c>
      <c r="B138" s="266" t="s">
        <v>8723</v>
      </c>
      <c r="C138" s="98" t="s">
        <v>8825</v>
      </c>
      <c r="D138" s="98" t="s">
        <v>8826</v>
      </c>
      <c r="E138" s="263" t="s">
        <v>7210</v>
      </c>
      <c r="F138" s="264"/>
      <c r="G138" s="264"/>
      <c r="H138" s="264"/>
      <c r="I138" s="264"/>
      <c r="J138" s="264"/>
      <c r="K138" s="264"/>
      <c r="L138" s="264"/>
      <c r="M138" s="264"/>
      <c r="N138" s="264"/>
      <c r="O138" s="264"/>
      <c r="P138" s="264"/>
      <c r="Q138" s="264"/>
      <c r="R138" s="264"/>
      <c r="S138" s="264"/>
      <c r="T138" s="264"/>
      <c r="U138" s="264"/>
      <c r="V138" s="264"/>
      <c r="W138" s="264"/>
      <c r="X138" s="264"/>
      <c r="Y138" s="264"/>
      <c r="Z138" s="264"/>
      <c r="AA138" s="264"/>
    </row>
    <row r="139" spans="1:27" ht="15.75" customHeight="1">
      <c r="A139" s="266" t="s">
        <v>8718</v>
      </c>
      <c r="B139" s="266" t="s">
        <v>8723</v>
      </c>
      <c r="C139" s="266" t="s">
        <v>8747</v>
      </c>
      <c r="D139" s="266" t="s">
        <v>8748</v>
      </c>
      <c r="E139" s="266" t="s">
        <v>538</v>
      </c>
      <c r="F139" s="264"/>
      <c r="G139" s="264"/>
      <c r="H139" s="264"/>
      <c r="I139" s="264"/>
      <c r="J139" s="264"/>
      <c r="K139" s="264"/>
      <c r="L139" s="264"/>
      <c r="M139" s="264"/>
      <c r="N139" s="264"/>
      <c r="O139" s="264"/>
      <c r="P139" s="264"/>
      <c r="Q139" s="264"/>
      <c r="R139" s="264"/>
      <c r="S139" s="264"/>
      <c r="T139" s="264"/>
      <c r="U139" s="264"/>
      <c r="V139" s="264"/>
      <c r="W139" s="264"/>
      <c r="X139" s="264"/>
      <c r="Y139" s="264"/>
      <c r="Z139" s="264"/>
      <c r="AA139" s="264"/>
    </row>
    <row r="140" spans="1:27" ht="15.75" customHeight="1">
      <c r="A140" s="266" t="s">
        <v>8718</v>
      </c>
      <c r="B140" s="266" t="s">
        <v>8723</v>
      </c>
      <c r="C140" s="266" t="s">
        <v>8749</v>
      </c>
      <c r="D140" s="266" t="s">
        <v>8750</v>
      </c>
      <c r="E140" s="266" t="s">
        <v>7210</v>
      </c>
      <c r="F140" s="264"/>
      <c r="G140" s="264"/>
      <c r="H140" s="264"/>
      <c r="I140" s="264"/>
      <c r="J140" s="264"/>
      <c r="K140" s="264"/>
      <c r="L140" s="264"/>
      <c r="M140" s="264"/>
      <c r="N140" s="264"/>
      <c r="O140" s="264"/>
      <c r="P140" s="264"/>
      <c r="Q140" s="264"/>
      <c r="R140" s="264"/>
      <c r="S140" s="264"/>
      <c r="T140" s="264"/>
      <c r="U140" s="264"/>
      <c r="V140" s="264"/>
      <c r="W140" s="264"/>
      <c r="X140" s="264"/>
      <c r="Y140" s="264"/>
      <c r="Z140" s="264"/>
      <c r="AA140" s="264"/>
    </row>
    <row r="141" spans="1:27" ht="15.75" customHeight="1">
      <c r="A141" s="266" t="s">
        <v>8718</v>
      </c>
      <c r="B141" s="266" t="s">
        <v>8723</v>
      </c>
      <c r="C141" s="266" t="s">
        <v>8751</v>
      </c>
      <c r="D141" s="266" t="s">
        <v>8752</v>
      </c>
      <c r="E141" s="266" t="s">
        <v>7210</v>
      </c>
      <c r="F141" s="264"/>
      <c r="G141" s="264"/>
      <c r="H141" s="264"/>
      <c r="I141" s="264"/>
      <c r="J141" s="264"/>
      <c r="K141" s="264"/>
      <c r="L141" s="264"/>
      <c r="M141" s="264"/>
      <c r="N141" s="264"/>
      <c r="O141" s="264"/>
      <c r="P141" s="264"/>
      <c r="Q141" s="264"/>
      <c r="R141" s="264"/>
      <c r="S141" s="264"/>
      <c r="T141" s="264"/>
      <c r="U141" s="264"/>
      <c r="V141" s="264"/>
      <c r="W141" s="264"/>
      <c r="X141" s="264"/>
      <c r="Y141" s="264"/>
      <c r="Z141" s="264"/>
      <c r="AA141" s="264"/>
    </row>
    <row r="142" spans="1:27" ht="15.75" customHeight="1">
      <c r="A142" s="266" t="s">
        <v>8718</v>
      </c>
      <c r="B142" s="266" t="s">
        <v>8723</v>
      </c>
      <c r="C142" s="266" t="s">
        <v>8753</v>
      </c>
      <c r="D142" s="266" t="s">
        <v>8754</v>
      </c>
      <c r="E142" s="266" t="s">
        <v>7210</v>
      </c>
      <c r="F142" s="264"/>
      <c r="G142" s="264"/>
      <c r="H142" s="264"/>
      <c r="I142" s="264"/>
      <c r="J142" s="264"/>
      <c r="K142" s="264"/>
      <c r="L142" s="264"/>
      <c r="M142" s="264"/>
      <c r="N142" s="264"/>
      <c r="O142" s="264"/>
      <c r="P142" s="264"/>
      <c r="Q142" s="264"/>
      <c r="R142" s="264"/>
      <c r="S142" s="264"/>
      <c r="T142" s="264"/>
      <c r="U142" s="264"/>
      <c r="V142" s="264"/>
      <c r="W142" s="264"/>
      <c r="X142" s="264"/>
      <c r="Y142" s="264"/>
      <c r="Z142" s="264"/>
      <c r="AA142" s="264"/>
    </row>
    <row r="143" spans="1:27" ht="15.75" customHeight="1">
      <c r="A143" s="266" t="s">
        <v>8718</v>
      </c>
      <c r="B143" s="266" t="s">
        <v>8723</v>
      </c>
      <c r="C143" s="268" t="s">
        <v>8755</v>
      </c>
      <c r="D143" s="268" t="s">
        <v>8756</v>
      </c>
      <c r="E143" s="266" t="s">
        <v>7210</v>
      </c>
      <c r="F143" s="264"/>
      <c r="G143" s="264"/>
      <c r="H143" s="264"/>
      <c r="I143" s="264"/>
      <c r="J143" s="264"/>
      <c r="K143" s="264"/>
      <c r="L143" s="264"/>
      <c r="M143" s="264"/>
      <c r="N143" s="264"/>
      <c r="O143" s="264"/>
      <c r="P143" s="264"/>
      <c r="Q143" s="264"/>
      <c r="R143" s="264"/>
      <c r="S143" s="264"/>
      <c r="T143" s="264"/>
      <c r="U143" s="264"/>
      <c r="V143" s="264"/>
      <c r="W143" s="264"/>
      <c r="X143" s="264"/>
      <c r="Y143" s="264"/>
      <c r="Z143" s="264"/>
      <c r="AA143" s="264"/>
    </row>
    <row r="144" spans="1:27" ht="15.75" customHeight="1">
      <c r="A144" s="266" t="s">
        <v>8718</v>
      </c>
      <c r="B144" s="266" t="s">
        <v>8723</v>
      </c>
      <c r="C144" s="266" t="s">
        <v>8757</v>
      </c>
      <c r="D144" s="266" t="s">
        <v>8758</v>
      </c>
      <c r="E144" s="266" t="s">
        <v>7210</v>
      </c>
      <c r="F144" s="264"/>
      <c r="G144" s="264"/>
      <c r="H144" s="264"/>
      <c r="I144" s="264"/>
      <c r="J144" s="264"/>
      <c r="K144" s="264"/>
      <c r="L144" s="264"/>
      <c r="M144" s="264"/>
      <c r="N144" s="264"/>
      <c r="O144" s="264"/>
      <c r="P144" s="264"/>
      <c r="Q144" s="264"/>
      <c r="R144" s="264"/>
      <c r="S144" s="264"/>
      <c r="T144" s="264"/>
      <c r="U144" s="264"/>
      <c r="V144" s="264"/>
      <c r="W144" s="264"/>
      <c r="X144" s="264"/>
      <c r="Y144" s="264"/>
      <c r="Z144" s="264"/>
      <c r="AA144" s="264"/>
    </row>
    <row r="145" spans="1:27" ht="15.75" customHeight="1">
      <c r="A145" s="266" t="s">
        <v>8718</v>
      </c>
      <c r="B145" s="266" t="s">
        <v>8723</v>
      </c>
      <c r="C145" s="266" t="s">
        <v>8759</v>
      </c>
      <c r="D145" s="266" t="s">
        <v>8760</v>
      </c>
      <c r="E145" s="266" t="s">
        <v>538</v>
      </c>
      <c r="F145" s="264"/>
      <c r="G145" s="264"/>
      <c r="H145" s="264"/>
      <c r="I145" s="264"/>
      <c r="J145" s="264"/>
      <c r="K145" s="264"/>
      <c r="L145" s="264"/>
      <c r="M145" s="264"/>
      <c r="N145" s="264"/>
      <c r="O145" s="264"/>
      <c r="P145" s="264"/>
      <c r="Q145" s="264"/>
      <c r="R145" s="264"/>
      <c r="S145" s="264"/>
      <c r="T145" s="264"/>
      <c r="U145" s="264"/>
      <c r="V145" s="264"/>
      <c r="W145" s="264"/>
      <c r="X145" s="264"/>
      <c r="Y145" s="264"/>
      <c r="Z145" s="264"/>
      <c r="AA145" s="264"/>
    </row>
    <row r="146" spans="1:27" ht="15.75" customHeight="1">
      <c r="A146" s="266" t="s">
        <v>8718</v>
      </c>
      <c r="B146" s="266" t="s">
        <v>8723</v>
      </c>
      <c r="C146" s="266" t="s">
        <v>8761</v>
      </c>
      <c r="D146" s="266" t="s">
        <v>8762</v>
      </c>
      <c r="E146" s="266" t="s">
        <v>7210</v>
      </c>
      <c r="F146" s="264"/>
      <c r="G146" s="264"/>
      <c r="H146" s="264"/>
      <c r="I146" s="264"/>
      <c r="J146" s="264"/>
      <c r="K146" s="264"/>
      <c r="L146" s="264"/>
      <c r="M146" s="264"/>
      <c r="N146" s="264"/>
      <c r="O146" s="264"/>
      <c r="P146" s="264"/>
      <c r="Q146" s="264"/>
      <c r="R146" s="264"/>
      <c r="S146" s="264"/>
      <c r="T146" s="264"/>
      <c r="U146" s="264"/>
      <c r="V146" s="264"/>
      <c r="W146" s="264"/>
      <c r="X146" s="264"/>
      <c r="Y146" s="264"/>
      <c r="Z146" s="264"/>
      <c r="AA146" s="264"/>
    </row>
    <row r="147" spans="1:27" ht="15.75" customHeight="1">
      <c r="A147" s="266" t="s">
        <v>8718</v>
      </c>
      <c r="B147" s="266" t="s">
        <v>8723</v>
      </c>
      <c r="C147" s="266" t="s">
        <v>8763</v>
      </c>
      <c r="D147" s="266" t="s">
        <v>8764</v>
      </c>
      <c r="E147" s="266" t="s">
        <v>7210</v>
      </c>
      <c r="F147" s="264"/>
      <c r="G147" s="264"/>
      <c r="H147" s="264"/>
      <c r="I147" s="264"/>
      <c r="J147" s="264"/>
      <c r="K147" s="264"/>
      <c r="L147" s="264"/>
      <c r="M147" s="264"/>
      <c r="N147" s="264"/>
      <c r="O147" s="264"/>
      <c r="P147" s="264"/>
      <c r="Q147" s="264"/>
      <c r="R147" s="264"/>
      <c r="S147" s="264"/>
      <c r="T147" s="264"/>
      <c r="U147" s="264"/>
      <c r="V147" s="264"/>
      <c r="W147" s="264"/>
      <c r="X147" s="264"/>
      <c r="Y147" s="264"/>
      <c r="Z147" s="264"/>
      <c r="AA147" s="264"/>
    </row>
    <row r="148" spans="1:27" ht="15.75" customHeight="1">
      <c r="A148" s="266" t="s">
        <v>8718</v>
      </c>
      <c r="B148" s="266" t="s">
        <v>8723</v>
      </c>
      <c r="C148" s="266" t="s">
        <v>8765</v>
      </c>
      <c r="D148" s="266" t="s">
        <v>8766</v>
      </c>
      <c r="E148" s="266" t="s">
        <v>7210</v>
      </c>
      <c r="F148" s="264"/>
      <c r="G148" s="264"/>
      <c r="H148" s="264"/>
      <c r="I148" s="264"/>
      <c r="J148" s="264"/>
      <c r="K148" s="264"/>
      <c r="L148" s="264"/>
      <c r="M148" s="264"/>
      <c r="N148" s="264"/>
      <c r="O148" s="264"/>
      <c r="P148" s="264"/>
      <c r="Q148" s="264"/>
      <c r="R148" s="264"/>
      <c r="S148" s="264"/>
      <c r="T148" s="264"/>
      <c r="U148" s="264"/>
      <c r="V148" s="264"/>
      <c r="W148" s="264"/>
      <c r="X148" s="264"/>
      <c r="Y148" s="264"/>
      <c r="Z148" s="264"/>
      <c r="AA148" s="264"/>
    </row>
    <row r="149" spans="1:27" ht="15.75" customHeight="1">
      <c r="A149" s="266" t="s">
        <v>8718</v>
      </c>
      <c r="B149" s="266" t="s">
        <v>8723</v>
      </c>
      <c r="C149" s="268" t="s">
        <v>8767</v>
      </c>
      <c r="D149" s="268" t="s">
        <v>8768</v>
      </c>
      <c r="E149" s="266" t="s">
        <v>7210</v>
      </c>
      <c r="F149" s="264"/>
      <c r="G149" s="264"/>
      <c r="H149" s="264"/>
      <c r="I149" s="264"/>
      <c r="J149" s="264"/>
      <c r="K149" s="264"/>
      <c r="L149" s="264"/>
      <c r="M149" s="264"/>
      <c r="N149" s="264"/>
      <c r="O149" s="264"/>
      <c r="P149" s="264"/>
      <c r="Q149" s="264"/>
      <c r="R149" s="264"/>
      <c r="S149" s="264"/>
      <c r="T149" s="264"/>
      <c r="U149" s="264"/>
      <c r="V149" s="264"/>
      <c r="W149" s="264"/>
      <c r="X149" s="264"/>
      <c r="Y149" s="264"/>
      <c r="Z149" s="264"/>
      <c r="AA149" s="264"/>
    </row>
    <row r="150" spans="1:27" ht="15.75" customHeight="1">
      <c r="A150" s="266" t="s">
        <v>8718</v>
      </c>
      <c r="B150" s="266" t="s">
        <v>8723</v>
      </c>
      <c r="C150" s="266" t="s">
        <v>8769</v>
      </c>
      <c r="D150" s="266" t="s">
        <v>8770</v>
      </c>
      <c r="E150" s="266" t="s">
        <v>7210</v>
      </c>
      <c r="F150" s="264"/>
      <c r="G150" s="264"/>
      <c r="H150" s="264"/>
      <c r="I150" s="264"/>
      <c r="J150" s="264"/>
      <c r="K150" s="264"/>
      <c r="L150" s="264"/>
      <c r="M150" s="264"/>
      <c r="N150" s="264"/>
      <c r="O150" s="264"/>
      <c r="P150" s="264"/>
      <c r="Q150" s="264"/>
      <c r="R150" s="264"/>
      <c r="S150" s="264"/>
      <c r="T150" s="264"/>
      <c r="U150" s="264"/>
      <c r="V150" s="264"/>
      <c r="W150" s="264"/>
      <c r="X150" s="264"/>
      <c r="Y150" s="264"/>
      <c r="Z150" s="264"/>
      <c r="AA150" s="264"/>
    </row>
    <row r="151" spans="1:27" ht="15.75" customHeight="1">
      <c r="A151" s="266" t="s">
        <v>8718</v>
      </c>
      <c r="B151" s="266" t="s">
        <v>8724</v>
      </c>
      <c r="C151" s="263" t="s">
        <v>8670</v>
      </c>
      <c r="D151" s="263" t="s">
        <v>3897</v>
      </c>
      <c r="E151" s="266" t="s">
        <v>7210</v>
      </c>
      <c r="F151" s="264"/>
      <c r="G151" s="264"/>
      <c r="H151" s="264"/>
      <c r="I151" s="264"/>
      <c r="J151" s="264"/>
      <c r="K151" s="264"/>
      <c r="L151" s="264"/>
      <c r="M151" s="264"/>
      <c r="N151" s="264"/>
      <c r="O151" s="264"/>
      <c r="P151" s="264"/>
      <c r="Q151" s="264"/>
      <c r="R151" s="264"/>
      <c r="S151" s="264"/>
      <c r="T151" s="264"/>
      <c r="U151" s="264"/>
      <c r="V151" s="264"/>
      <c r="W151" s="264"/>
      <c r="X151" s="264"/>
      <c r="Y151" s="264"/>
      <c r="Z151" s="264"/>
      <c r="AA151" s="264"/>
    </row>
    <row r="152" spans="1:27" ht="15.75" customHeight="1">
      <c r="A152" s="266" t="s">
        <v>8718</v>
      </c>
      <c r="B152" s="266" t="s">
        <v>8724</v>
      </c>
      <c r="C152" s="266" t="s">
        <v>5678</v>
      </c>
      <c r="D152" s="266" t="s">
        <v>5678</v>
      </c>
      <c r="E152" s="266" t="s">
        <v>7210</v>
      </c>
      <c r="F152" s="264"/>
      <c r="G152" s="264"/>
      <c r="H152" s="264"/>
      <c r="I152" s="264"/>
      <c r="J152" s="264"/>
      <c r="K152" s="264"/>
      <c r="L152" s="264"/>
      <c r="M152" s="264"/>
      <c r="N152" s="264"/>
      <c r="O152" s="264"/>
      <c r="P152" s="264"/>
      <c r="Q152" s="264"/>
      <c r="R152" s="264"/>
      <c r="S152" s="264"/>
      <c r="T152" s="264"/>
      <c r="U152" s="264"/>
      <c r="V152" s="264"/>
      <c r="W152" s="264"/>
      <c r="X152" s="264"/>
      <c r="Y152" s="264"/>
      <c r="Z152" s="264"/>
      <c r="AA152" s="264"/>
    </row>
    <row r="153" spans="1:27" ht="15.75" customHeight="1">
      <c r="A153" s="266" t="s">
        <v>8718</v>
      </c>
      <c r="B153" s="266" t="s">
        <v>8724</v>
      </c>
      <c r="C153" s="266" t="s">
        <v>8772</v>
      </c>
      <c r="D153" s="266" t="s">
        <v>8772</v>
      </c>
      <c r="E153" s="266" t="s">
        <v>8687</v>
      </c>
      <c r="F153" s="264"/>
      <c r="G153" s="264"/>
      <c r="H153" s="264"/>
      <c r="I153" s="264"/>
      <c r="J153" s="264"/>
      <c r="K153" s="264"/>
      <c r="L153" s="264"/>
      <c r="M153" s="264"/>
      <c r="N153" s="264"/>
      <c r="O153" s="264"/>
      <c r="P153" s="264"/>
      <c r="Q153" s="264"/>
      <c r="R153" s="264"/>
      <c r="S153" s="264"/>
      <c r="T153" s="264"/>
      <c r="U153" s="264"/>
      <c r="V153" s="264"/>
      <c r="W153" s="264"/>
      <c r="X153" s="264"/>
      <c r="Y153" s="264"/>
      <c r="Z153" s="264"/>
      <c r="AA153" s="264"/>
    </row>
    <row r="154" spans="1:27" ht="15.75" customHeight="1">
      <c r="A154" s="266" t="s">
        <v>8718</v>
      </c>
      <c r="B154" s="266" t="s">
        <v>8724</v>
      </c>
      <c r="C154" s="266" t="s">
        <v>5764</v>
      </c>
      <c r="D154" s="266" t="s">
        <v>5764</v>
      </c>
      <c r="E154" s="266" t="s">
        <v>7210</v>
      </c>
      <c r="F154" s="264"/>
      <c r="G154" s="264"/>
      <c r="H154" s="264"/>
      <c r="I154" s="264"/>
      <c r="J154" s="264"/>
      <c r="K154" s="264"/>
      <c r="L154" s="264"/>
      <c r="M154" s="264"/>
      <c r="N154" s="264"/>
      <c r="O154" s="264"/>
      <c r="P154" s="264"/>
      <c r="Q154" s="264"/>
      <c r="R154" s="264"/>
      <c r="S154" s="264"/>
      <c r="T154" s="264"/>
      <c r="U154" s="264"/>
      <c r="V154" s="264"/>
      <c r="W154" s="264"/>
      <c r="X154" s="264"/>
      <c r="Y154" s="264"/>
      <c r="Z154" s="264"/>
      <c r="AA154" s="264"/>
    </row>
    <row r="155" spans="1:27" ht="15.75" customHeight="1">
      <c r="A155" s="266" t="s">
        <v>8718</v>
      </c>
      <c r="B155" s="266" t="s">
        <v>8724</v>
      </c>
      <c r="C155" s="265" t="s">
        <v>8729</v>
      </c>
      <c r="D155" s="265" t="s">
        <v>8729</v>
      </c>
      <c r="E155" s="263" t="s">
        <v>7210</v>
      </c>
      <c r="F155" s="264"/>
      <c r="G155" s="264"/>
      <c r="H155" s="264"/>
      <c r="I155" s="264"/>
      <c r="J155" s="264"/>
      <c r="K155" s="264"/>
      <c r="L155" s="264"/>
      <c r="M155" s="264"/>
      <c r="N155" s="264"/>
      <c r="O155" s="264"/>
      <c r="P155" s="264"/>
      <c r="Q155" s="264"/>
      <c r="R155" s="264"/>
      <c r="S155" s="264"/>
      <c r="T155" s="264"/>
      <c r="U155" s="264"/>
      <c r="V155" s="264"/>
      <c r="W155" s="264"/>
      <c r="X155" s="264"/>
      <c r="Y155" s="264"/>
      <c r="Z155" s="264"/>
      <c r="AA155" s="264"/>
    </row>
    <row r="156" spans="1:27" ht="15.75" customHeight="1">
      <c r="A156" s="266" t="s">
        <v>8718</v>
      </c>
      <c r="B156" s="266" t="s">
        <v>8724</v>
      </c>
      <c r="C156" s="265" t="s">
        <v>8730</v>
      </c>
      <c r="D156" s="265" t="s">
        <v>8731</v>
      </c>
      <c r="E156" s="263" t="s">
        <v>7210</v>
      </c>
      <c r="F156" s="264"/>
      <c r="G156" s="264"/>
      <c r="H156" s="264"/>
      <c r="I156" s="264"/>
      <c r="J156" s="264"/>
      <c r="K156" s="264"/>
      <c r="L156" s="264"/>
      <c r="M156" s="264"/>
      <c r="N156" s="264"/>
      <c r="O156" s="264"/>
      <c r="P156" s="264"/>
      <c r="Q156" s="264"/>
      <c r="R156" s="264"/>
      <c r="S156" s="264"/>
      <c r="T156" s="264"/>
      <c r="U156" s="264"/>
      <c r="V156" s="264"/>
      <c r="W156" s="264"/>
      <c r="X156" s="264"/>
      <c r="Y156" s="264"/>
      <c r="Z156" s="264"/>
      <c r="AA156" s="264"/>
    </row>
    <row r="157" spans="1:27" ht="15.75" customHeight="1">
      <c r="A157" s="266" t="s">
        <v>8718</v>
      </c>
      <c r="B157" s="266" t="s">
        <v>8724</v>
      </c>
      <c r="C157" s="98" t="s">
        <v>8732</v>
      </c>
      <c r="D157" s="98" t="s">
        <v>8733</v>
      </c>
      <c r="E157" s="263" t="s">
        <v>7210</v>
      </c>
      <c r="F157" s="264"/>
      <c r="G157" s="264"/>
      <c r="H157" s="264"/>
      <c r="I157" s="264"/>
      <c r="J157" s="264"/>
      <c r="K157" s="264"/>
      <c r="L157" s="264"/>
      <c r="M157" s="264"/>
      <c r="N157" s="264"/>
      <c r="O157" s="264"/>
      <c r="P157" s="264"/>
      <c r="Q157" s="264"/>
      <c r="R157" s="264"/>
      <c r="S157" s="264"/>
      <c r="T157" s="264"/>
      <c r="U157" s="264"/>
      <c r="V157" s="264"/>
      <c r="W157" s="264"/>
      <c r="X157" s="264"/>
      <c r="Y157" s="264"/>
      <c r="Z157" s="264"/>
      <c r="AA157" s="264"/>
    </row>
    <row r="158" spans="1:27" ht="15.75" customHeight="1">
      <c r="A158" s="266" t="s">
        <v>8718</v>
      </c>
      <c r="B158" s="266" t="s">
        <v>8724</v>
      </c>
      <c r="C158" s="266" t="s">
        <v>8774</v>
      </c>
      <c r="D158" s="266" t="s">
        <v>8774</v>
      </c>
      <c r="E158" s="266" t="s">
        <v>5672</v>
      </c>
      <c r="F158" s="264"/>
      <c r="G158" s="264"/>
      <c r="H158" s="264"/>
      <c r="I158" s="264"/>
      <c r="J158" s="264"/>
      <c r="K158" s="264"/>
      <c r="L158" s="264"/>
      <c r="M158" s="264"/>
      <c r="N158" s="264"/>
      <c r="O158" s="264"/>
      <c r="P158" s="264"/>
      <c r="Q158" s="264"/>
      <c r="R158" s="264"/>
      <c r="S158" s="264"/>
      <c r="T158" s="264"/>
      <c r="U158" s="264"/>
      <c r="V158" s="264"/>
      <c r="W158" s="264"/>
      <c r="X158" s="264"/>
      <c r="Y158" s="264"/>
      <c r="Z158" s="264"/>
      <c r="AA158" s="264"/>
    </row>
    <row r="159" spans="1:27" ht="15.75" customHeight="1">
      <c r="A159" s="266" t="s">
        <v>8718</v>
      </c>
      <c r="B159" s="266" t="s">
        <v>8724</v>
      </c>
      <c r="C159" s="268" t="s">
        <v>8829</v>
      </c>
      <c r="D159" s="266" t="s">
        <v>8830</v>
      </c>
      <c r="E159" s="266" t="s">
        <v>7210</v>
      </c>
      <c r="F159" s="264"/>
      <c r="G159" s="264"/>
      <c r="H159" s="264"/>
      <c r="I159" s="264"/>
      <c r="J159" s="264"/>
      <c r="K159" s="264"/>
      <c r="L159" s="264"/>
      <c r="M159" s="264"/>
      <c r="N159" s="264"/>
      <c r="O159" s="264"/>
      <c r="P159" s="264"/>
      <c r="Q159" s="264"/>
      <c r="R159" s="264"/>
      <c r="S159" s="264"/>
      <c r="T159" s="264"/>
      <c r="U159" s="264"/>
      <c r="V159" s="264"/>
      <c r="W159" s="264"/>
      <c r="X159" s="264"/>
      <c r="Y159" s="264"/>
      <c r="Z159" s="264"/>
      <c r="AA159" s="264"/>
    </row>
    <row r="160" spans="1:27" ht="15.75" customHeight="1">
      <c r="A160" s="266" t="s">
        <v>8718</v>
      </c>
      <c r="B160" s="266" t="s">
        <v>8724</v>
      </c>
      <c r="C160" s="266" t="s">
        <v>8831</v>
      </c>
      <c r="D160" s="266" t="s">
        <v>8832</v>
      </c>
      <c r="E160" s="266" t="s">
        <v>7210</v>
      </c>
      <c r="F160" s="264"/>
      <c r="G160" s="264"/>
      <c r="H160" s="264"/>
      <c r="I160" s="264"/>
      <c r="J160" s="264"/>
      <c r="K160" s="264"/>
      <c r="L160" s="264"/>
      <c r="M160" s="264"/>
      <c r="N160" s="264"/>
      <c r="O160" s="264"/>
      <c r="P160" s="264"/>
      <c r="Q160" s="264"/>
      <c r="R160" s="264"/>
      <c r="S160" s="264"/>
      <c r="T160" s="264"/>
      <c r="U160" s="264"/>
      <c r="V160" s="264"/>
      <c r="W160" s="264"/>
      <c r="X160" s="264"/>
      <c r="Y160" s="264"/>
      <c r="Z160" s="264"/>
      <c r="AA160" s="264"/>
    </row>
    <row r="161" spans="1:27" ht="15.75" customHeight="1">
      <c r="A161" s="266" t="s">
        <v>8718</v>
      </c>
      <c r="B161" s="266" t="s">
        <v>8724</v>
      </c>
      <c r="C161" s="268" t="s">
        <v>8833</v>
      </c>
      <c r="D161" s="266" t="s">
        <v>8834</v>
      </c>
      <c r="E161" s="266" t="s">
        <v>7210</v>
      </c>
      <c r="F161" s="264"/>
      <c r="G161" s="264"/>
      <c r="H161" s="264"/>
      <c r="I161" s="264"/>
      <c r="J161" s="264"/>
      <c r="K161" s="264"/>
      <c r="L161" s="264"/>
      <c r="M161" s="264"/>
      <c r="N161" s="264"/>
      <c r="O161" s="264"/>
      <c r="P161" s="264"/>
      <c r="Q161" s="264"/>
      <c r="R161" s="264"/>
      <c r="S161" s="264"/>
      <c r="T161" s="264"/>
      <c r="U161" s="264"/>
      <c r="V161" s="264"/>
      <c r="W161" s="264"/>
      <c r="X161" s="264"/>
      <c r="Y161" s="264"/>
      <c r="Z161" s="264"/>
      <c r="AA161" s="264"/>
    </row>
    <row r="162" spans="1:27" ht="15.75" customHeight="1">
      <c r="A162" s="266" t="s">
        <v>8718</v>
      </c>
      <c r="B162" s="266" t="s">
        <v>8724</v>
      </c>
      <c r="C162" s="271" t="s">
        <v>8835</v>
      </c>
      <c r="D162" s="266" t="s">
        <v>8836</v>
      </c>
      <c r="E162" s="266" t="s">
        <v>7210</v>
      </c>
      <c r="F162" s="264"/>
      <c r="G162" s="264"/>
      <c r="H162" s="264"/>
      <c r="I162" s="264"/>
      <c r="J162" s="264"/>
      <c r="K162" s="264"/>
      <c r="L162" s="264"/>
      <c r="M162" s="264"/>
      <c r="N162" s="264"/>
      <c r="O162" s="264"/>
      <c r="P162" s="264"/>
      <c r="Q162" s="264"/>
      <c r="R162" s="264"/>
      <c r="S162" s="264"/>
      <c r="T162" s="264"/>
      <c r="U162" s="264"/>
      <c r="V162" s="264"/>
      <c r="W162" s="264"/>
      <c r="X162" s="264"/>
      <c r="Y162" s="264"/>
      <c r="Z162" s="264"/>
      <c r="AA162" s="264"/>
    </row>
    <row r="163" spans="1:27" ht="15.75" customHeight="1">
      <c r="A163" s="266" t="s">
        <v>8718</v>
      </c>
      <c r="B163" s="266" t="s">
        <v>8724</v>
      </c>
      <c r="C163" s="268" t="s">
        <v>8837</v>
      </c>
      <c r="D163" s="266" t="s">
        <v>8838</v>
      </c>
      <c r="E163" s="266" t="s">
        <v>7210</v>
      </c>
      <c r="F163" s="264"/>
      <c r="G163" s="264"/>
      <c r="H163" s="264"/>
      <c r="I163" s="264"/>
      <c r="J163" s="264"/>
      <c r="K163" s="264"/>
      <c r="L163" s="264"/>
      <c r="M163" s="264"/>
      <c r="N163" s="264"/>
      <c r="O163" s="264"/>
      <c r="P163" s="264"/>
      <c r="Q163" s="264"/>
      <c r="R163" s="264"/>
      <c r="S163" s="264"/>
      <c r="T163" s="264"/>
      <c r="U163" s="264"/>
      <c r="V163" s="264"/>
      <c r="W163" s="264"/>
      <c r="X163" s="264"/>
      <c r="Y163" s="264"/>
      <c r="Z163" s="264"/>
      <c r="AA163" s="264"/>
    </row>
    <row r="164" spans="1:27" ht="15.75" customHeight="1">
      <c r="A164" s="266" t="s">
        <v>8718</v>
      </c>
      <c r="B164" s="266" t="s">
        <v>8724</v>
      </c>
      <c r="C164" s="266" t="s">
        <v>8839</v>
      </c>
      <c r="D164" s="266" t="s">
        <v>8840</v>
      </c>
      <c r="E164" s="266" t="s">
        <v>7210</v>
      </c>
      <c r="F164" s="264"/>
      <c r="G164" s="264"/>
      <c r="H164" s="264"/>
      <c r="I164" s="264"/>
      <c r="J164" s="264"/>
      <c r="K164" s="264"/>
      <c r="L164" s="264"/>
      <c r="M164" s="264"/>
      <c r="N164" s="264"/>
      <c r="O164" s="264"/>
      <c r="P164" s="264"/>
      <c r="Q164" s="264"/>
      <c r="R164" s="264"/>
      <c r="S164" s="264"/>
      <c r="T164" s="264"/>
      <c r="U164" s="264"/>
      <c r="V164" s="264"/>
      <c r="W164" s="264"/>
      <c r="X164" s="264"/>
      <c r="Y164" s="264"/>
      <c r="Z164" s="264"/>
      <c r="AA164" s="264"/>
    </row>
    <row r="165" spans="1:27" ht="15.75" customHeight="1">
      <c r="A165" s="266" t="s">
        <v>8718</v>
      </c>
      <c r="B165" s="266" t="s">
        <v>8724</v>
      </c>
      <c r="C165" s="268" t="s">
        <v>8841</v>
      </c>
      <c r="D165" s="266" t="s">
        <v>8842</v>
      </c>
      <c r="E165" s="266" t="s">
        <v>7210</v>
      </c>
      <c r="F165" s="264"/>
      <c r="G165" s="264"/>
      <c r="H165" s="264"/>
      <c r="I165" s="264"/>
      <c r="J165" s="264"/>
      <c r="K165" s="264"/>
      <c r="L165" s="264"/>
      <c r="M165" s="264"/>
      <c r="N165" s="264"/>
      <c r="O165" s="264"/>
      <c r="P165" s="264"/>
      <c r="Q165" s="264"/>
      <c r="R165" s="264"/>
      <c r="S165" s="264"/>
      <c r="T165" s="264"/>
      <c r="U165" s="264"/>
      <c r="V165" s="264"/>
      <c r="W165" s="264"/>
      <c r="X165" s="264"/>
      <c r="Y165" s="264"/>
      <c r="Z165" s="264"/>
      <c r="AA165" s="264"/>
    </row>
    <row r="166" spans="1:27" ht="15.75" customHeight="1">
      <c r="A166" s="266" t="s">
        <v>8718</v>
      </c>
      <c r="B166" s="266" t="s">
        <v>8724</v>
      </c>
      <c r="C166" s="266" t="s">
        <v>8843</v>
      </c>
      <c r="D166" s="269" t="s">
        <v>8844</v>
      </c>
      <c r="E166" s="266" t="s">
        <v>7210</v>
      </c>
      <c r="F166" s="264"/>
      <c r="G166" s="264"/>
      <c r="H166" s="264"/>
      <c r="I166" s="264"/>
      <c r="J166" s="264"/>
      <c r="K166" s="264"/>
      <c r="L166" s="264"/>
      <c r="M166" s="264"/>
      <c r="N166" s="264"/>
      <c r="O166" s="264"/>
      <c r="P166" s="264"/>
      <c r="Q166" s="264"/>
      <c r="R166" s="264"/>
      <c r="S166" s="264"/>
      <c r="T166" s="264"/>
      <c r="U166" s="264"/>
      <c r="V166" s="264"/>
      <c r="W166" s="264"/>
      <c r="X166" s="264"/>
      <c r="Y166" s="264"/>
      <c r="Z166" s="264"/>
      <c r="AA166" s="264"/>
    </row>
    <row r="167" spans="1:27" ht="15.75" customHeight="1">
      <c r="A167" s="266" t="s">
        <v>8718</v>
      </c>
      <c r="B167" s="266" t="s">
        <v>8724</v>
      </c>
      <c r="C167" s="268" t="s">
        <v>8845</v>
      </c>
      <c r="D167" s="266" t="s">
        <v>8846</v>
      </c>
      <c r="E167" s="266" t="s">
        <v>7210</v>
      </c>
      <c r="F167" s="264"/>
      <c r="G167" s="264"/>
      <c r="H167" s="264"/>
      <c r="I167" s="264"/>
      <c r="J167" s="264"/>
      <c r="K167" s="264"/>
      <c r="L167" s="264"/>
      <c r="M167" s="264"/>
      <c r="N167" s="264"/>
      <c r="O167" s="264"/>
      <c r="P167" s="264"/>
      <c r="Q167" s="264"/>
      <c r="R167" s="264"/>
      <c r="S167" s="264"/>
      <c r="T167" s="264"/>
      <c r="U167" s="264"/>
      <c r="V167" s="264"/>
      <c r="W167" s="264"/>
      <c r="X167" s="264"/>
      <c r="Y167" s="264"/>
      <c r="Z167" s="264"/>
      <c r="AA167" s="264"/>
    </row>
    <row r="168" spans="1:27" ht="15.75" customHeight="1">
      <c r="A168" s="266" t="s">
        <v>8718</v>
      </c>
      <c r="B168" s="266" t="s">
        <v>8724</v>
      </c>
      <c r="C168" s="266" t="s">
        <v>8847</v>
      </c>
      <c r="D168" s="266" t="s">
        <v>8848</v>
      </c>
      <c r="E168" s="266" t="s">
        <v>7210</v>
      </c>
      <c r="F168" s="264"/>
      <c r="G168" s="264"/>
      <c r="H168" s="264"/>
      <c r="I168" s="264"/>
      <c r="J168" s="264"/>
      <c r="K168" s="264"/>
      <c r="L168" s="264"/>
      <c r="M168" s="264"/>
      <c r="N168" s="264"/>
      <c r="O168" s="264"/>
      <c r="P168" s="264"/>
      <c r="Q168" s="264"/>
      <c r="R168" s="264"/>
      <c r="S168" s="264"/>
      <c r="T168" s="264"/>
      <c r="U168" s="264"/>
      <c r="V168" s="264"/>
      <c r="W168" s="264"/>
      <c r="X168" s="264"/>
      <c r="Y168" s="264"/>
      <c r="Z168" s="264"/>
      <c r="AA168" s="264"/>
    </row>
    <row r="169" spans="1:27" ht="15.75" customHeight="1">
      <c r="A169" s="266" t="s">
        <v>8718</v>
      </c>
      <c r="B169" s="266" t="s">
        <v>8724</v>
      </c>
      <c r="C169" s="268" t="s">
        <v>8849</v>
      </c>
      <c r="D169" s="270" t="s">
        <v>8850</v>
      </c>
      <c r="E169" s="266" t="s">
        <v>7210</v>
      </c>
      <c r="F169" s="264"/>
      <c r="G169" s="264"/>
      <c r="H169" s="264"/>
      <c r="I169" s="264"/>
      <c r="J169" s="264"/>
      <c r="K169" s="264"/>
      <c r="L169" s="264"/>
      <c r="M169" s="264"/>
      <c r="N169" s="264"/>
      <c r="O169" s="264"/>
      <c r="P169" s="264"/>
      <c r="Q169" s="264"/>
      <c r="R169" s="264"/>
      <c r="S169" s="264"/>
      <c r="T169" s="264"/>
      <c r="U169" s="264"/>
      <c r="V169" s="264"/>
      <c r="W169" s="264"/>
      <c r="X169" s="264"/>
      <c r="Y169" s="264"/>
      <c r="Z169" s="264"/>
      <c r="AA169" s="264"/>
    </row>
    <row r="170" spans="1:27" ht="15.75" customHeight="1">
      <c r="A170" s="266" t="s">
        <v>8718</v>
      </c>
      <c r="B170" s="266" t="s">
        <v>8724</v>
      </c>
      <c r="C170" s="270" t="s">
        <v>8851</v>
      </c>
      <c r="D170" s="270" t="s">
        <v>8852</v>
      </c>
      <c r="E170" s="266" t="s">
        <v>7210</v>
      </c>
      <c r="F170" s="264"/>
      <c r="G170" s="264"/>
      <c r="H170" s="264"/>
      <c r="I170" s="264"/>
      <c r="J170" s="264"/>
      <c r="K170" s="264"/>
      <c r="L170" s="264"/>
      <c r="M170" s="264"/>
      <c r="N170" s="264"/>
      <c r="O170" s="264"/>
      <c r="P170" s="264"/>
      <c r="Q170" s="264"/>
      <c r="R170" s="264"/>
      <c r="S170" s="264"/>
      <c r="T170" s="264"/>
      <c r="U170" s="264"/>
      <c r="V170" s="264"/>
      <c r="W170" s="264"/>
      <c r="X170" s="264"/>
      <c r="Y170" s="264"/>
      <c r="Z170" s="264"/>
      <c r="AA170" s="264"/>
    </row>
    <row r="171" spans="1:27" ht="15.75" customHeight="1">
      <c r="A171" s="266" t="s">
        <v>8718</v>
      </c>
      <c r="B171" s="266" t="s">
        <v>8724</v>
      </c>
      <c r="C171" s="268" t="s">
        <v>8853</v>
      </c>
      <c r="D171" s="266" t="s">
        <v>8854</v>
      </c>
      <c r="E171" s="266" t="s">
        <v>8773</v>
      </c>
      <c r="F171" s="264"/>
      <c r="G171" s="264"/>
      <c r="H171" s="264"/>
      <c r="I171" s="264"/>
      <c r="J171" s="264"/>
      <c r="K171" s="264"/>
      <c r="L171" s="264"/>
      <c r="M171" s="264"/>
      <c r="N171" s="264"/>
      <c r="O171" s="264"/>
      <c r="P171" s="264"/>
      <c r="Q171" s="264"/>
      <c r="R171" s="264"/>
      <c r="S171" s="264"/>
      <c r="T171" s="264"/>
      <c r="U171" s="264"/>
      <c r="V171" s="264"/>
      <c r="W171" s="264"/>
      <c r="X171" s="264"/>
      <c r="Y171" s="264"/>
      <c r="Z171" s="264"/>
      <c r="AA171" s="264"/>
    </row>
    <row r="172" spans="1:27" ht="15.75" customHeight="1">
      <c r="A172" s="266" t="s">
        <v>8718</v>
      </c>
      <c r="B172" s="266" t="s">
        <v>8724</v>
      </c>
      <c r="C172" s="266" t="s">
        <v>8855</v>
      </c>
      <c r="D172" s="266" t="s">
        <v>8856</v>
      </c>
      <c r="E172" s="266" t="s">
        <v>8773</v>
      </c>
      <c r="F172" s="264"/>
      <c r="G172" s="264"/>
      <c r="H172" s="264"/>
      <c r="I172" s="264"/>
      <c r="J172" s="264"/>
      <c r="K172" s="264"/>
      <c r="L172" s="264"/>
      <c r="M172" s="264"/>
      <c r="N172" s="264"/>
      <c r="O172" s="264"/>
      <c r="P172" s="264"/>
      <c r="Q172" s="264"/>
      <c r="R172" s="264"/>
      <c r="S172" s="264"/>
      <c r="T172" s="264"/>
      <c r="U172" s="264"/>
      <c r="V172" s="264"/>
      <c r="W172" s="264"/>
      <c r="X172" s="264"/>
      <c r="Y172" s="264"/>
      <c r="Z172" s="264"/>
      <c r="AA172" s="264"/>
    </row>
    <row r="173" spans="1:27" ht="15.75" customHeight="1">
      <c r="A173" s="266" t="s">
        <v>8718</v>
      </c>
      <c r="B173" s="266" t="s">
        <v>8724</v>
      </c>
      <c r="C173" s="268" t="s">
        <v>8857</v>
      </c>
      <c r="D173" s="266" t="s">
        <v>8858</v>
      </c>
      <c r="E173" s="266" t="s">
        <v>7210</v>
      </c>
      <c r="F173" s="264"/>
      <c r="G173" s="264"/>
      <c r="H173" s="264"/>
      <c r="I173" s="264"/>
      <c r="J173" s="264"/>
      <c r="K173" s="264"/>
      <c r="L173" s="264"/>
      <c r="M173" s="264"/>
      <c r="N173" s="264"/>
      <c r="O173" s="264"/>
      <c r="P173" s="264"/>
      <c r="Q173" s="264"/>
      <c r="R173" s="264"/>
      <c r="S173" s="264"/>
      <c r="T173" s="264"/>
      <c r="U173" s="264"/>
      <c r="V173" s="264"/>
      <c r="W173" s="264"/>
      <c r="X173" s="264"/>
      <c r="Y173" s="264"/>
      <c r="Z173" s="264"/>
      <c r="AA173" s="264"/>
    </row>
    <row r="174" spans="1:27" ht="15.75" customHeight="1">
      <c r="A174" s="266" t="s">
        <v>8718</v>
      </c>
      <c r="B174" s="266" t="s">
        <v>8724</v>
      </c>
      <c r="C174" s="98" t="s">
        <v>8859</v>
      </c>
      <c r="D174" s="266" t="s">
        <v>8860</v>
      </c>
      <c r="E174" s="266" t="s">
        <v>7210</v>
      </c>
      <c r="F174" s="264"/>
      <c r="G174" s="264"/>
      <c r="H174" s="264"/>
      <c r="I174" s="264"/>
      <c r="J174" s="264"/>
      <c r="K174" s="264"/>
      <c r="L174" s="264"/>
      <c r="M174" s="264"/>
      <c r="N174" s="264"/>
      <c r="O174" s="264"/>
      <c r="P174" s="264"/>
      <c r="Q174" s="264"/>
      <c r="R174" s="264"/>
      <c r="S174" s="264"/>
      <c r="T174" s="264"/>
      <c r="U174" s="264"/>
      <c r="V174" s="264"/>
      <c r="W174" s="264"/>
      <c r="X174" s="264"/>
      <c r="Y174" s="264"/>
      <c r="Z174" s="264"/>
      <c r="AA174" s="264"/>
    </row>
    <row r="175" spans="1:27" ht="15.75" customHeight="1">
      <c r="A175" s="266" t="s">
        <v>8718</v>
      </c>
      <c r="B175" s="266" t="s">
        <v>8724</v>
      </c>
      <c r="C175" s="266" t="s">
        <v>8861</v>
      </c>
      <c r="D175" s="266" t="s">
        <v>8862</v>
      </c>
      <c r="E175" s="266" t="s">
        <v>7210</v>
      </c>
      <c r="F175" s="264"/>
      <c r="G175" s="264"/>
      <c r="H175" s="264"/>
      <c r="I175" s="264"/>
      <c r="J175" s="264"/>
      <c r="K175" s="264"/>
      <c r="L175" s="264"/>
      <c r="M175" s="264"/>
      <c r="N175" s="264"/>
      <c r="O175" s="264"/>
      <c r="P175" s="264"/>
      <c r="Q175" s="264"/>
      <c r="R175" s="264"/>
      <c r="S175" s="264"/>
      <c r="T175" s="264"/>
      <c r="U175" s="264"/>
      <c r="V175" s="264"/>
      <c r="W175" s="264"/>
      <c r="X175" s="264"/>
      <c r="Y175" s="264"/>
      <c r="Z175" s="264"/>
      <c r="AA175" s="264"/>
    </row>
    <row r="176" spans="1:27" ht="15.75" customHeight="1">
      <c r="A176" s="266" t="s">
        <v>8718</v>
      </c>
      <c r="B176" s="266" t="s">
        <v>8724</v>
      </c>
      <c r="C176" s="266" t="s">
        <v>8863</v>
      </c>
      <c r="D176" s="266" t="s">
        <v>8864</v>
      </c>
      <c r="E176" s="266" t="s">
        <v>7210</v>
      </c>
      <c r="F176" s="264"/>
      <c r="G176" s="264"/>
      <c r="H176" s="264"/>
      <c r="I176" s="264"/>
      <c r="J176" s="264"/>
      <c r="K176" s="264"/>
      <c r="L176" s="264"/>
      <c r="M176" s="264"/>
      <c r="N176" s="264"/>
      <c r="O176" s="264"/>
      <c r="P176" s="264"/>
      <c r="Q176" s="264"/>
      <c r="R176" s="264"/>
      <c r="S176" s="264"/>
      <c r="T176" s="264"/>
      <c r="U176" s="264"/>
      <c r="V176" s="264"/>
      <c r="W176" s="264"/>
      <c r="X176" s="264"/>
      <c r="Y176" s="264"/>
      <c r="Z176" s="264"/>
      <c r="AA176" s="264"/>
    </row>
    <row r="177" spans="1:27" ht="15.75" customHeight="1">
      <c r="A177" s="266" t="s">
        <v>8718</v>
      </c>
      <c r="B177" s="266" t="s">
        <v>8724</v>
      </c>
      <c r="C177" s="266" t="s">
        <v>8865</v>
      </c>
      <c r="D177" s="266" t="s">
        <v>8866</v>
      </c>
      <c r="E177" s="266" t="s">
        <v>7210</v>
      </c>
      <c r="F177" s="264"/>
      <c r="G177" s="264"/>
      <c r="H177" s="264"/>
      <c r="I177" s="264"/>
      <c r="J177" s="264"/>
      <c r="K177" s="264"/>
      <c r="L177" s="264"/>
      <c r="M177" s="264"/>
      <c r="N177" s="264"/>
      <c r="O177" s="264"/>
      <c r="P177" s="264"/>
      <c r="Q177" s="264"/>
      <c r="R177" s="264"/>
      <c r="S177" s="264"/>
      <c r="T177" s="264"/>
      <c r="U177" s="264"/>
      <c r="V177" s="264"/>
      <c r="W177" s="264"/>
      <c r="X177" s="264"/>
      <c r="Y177" s="264"/>
      <c r="Z177" s="264"/>
      <c r="AA177" s="264"/>
    </row>
    <row r="178" spans="1:27" ht="15.75" customHeight="1">
      <c r="A178" s="266" t="s">
        <v>8718</v>
      </c>
      <c r="B178" s="266" t="s">
        <v>8724</v>
      </c>
      <c r="C178" s="266" t="s">
        <v>1419</v>
      </c>
      <c r="D178" s="266" t="s">
        <v>1419</v>
      </c>
      <c r="E178" s="266" t="s">
        <v>7210</v>
      </c>
      <c r="F178" s="264"/>
      <c r="G178" s="264"/>
      <c r="H178" s="264"/>
      <c r="I178" s="264"/>
      <c r="J178" s="264"/>
      <c r="K178" s="264"/>
      <c r="L178" s="264"/>
      <c r="M178" s="264"/>
      <c r="N178" s="264"/>
      <c r="O178" s="264"/>
      <c r="P178" s="264"/>
      <c r="Q178" s="264"/>
      <c r="R178" s="264"/>
      <c r="S178" s="264"/>
      <c r="T178" s="264"/>
      <c r="U178" s="264"/>
      <c r="V178" s="264"/>
      <c r="W178" s="264"/>
      <c r="X178" s="264"/>
      <c r="Y178" s="264"/>
      <c r="Z178" s="264"/>
      <c r="AA178" s="264"/>
    </row>
    <row r="179" spans="1:27" ht="15.75" customHeight="1">
      <c r="A179" s="266" t="s">
        <v>8718</v>
      </c>
      <c r="B179" s="266" t="s">
        <v>8724</v>
      </c>
      <c r="C179" s="266" t="s">
        <v>8803</v>
      </c>
      <c r="D179" s="267" t="s">
        <v>8804</v>
      </c>
      <c r="E179" s="266" t="s">
        <v>7210</v>
      </c>
      <c r="F179" s="264"/>
      <c r="G179" s="264"/>
      <c r="H179" s="264"/>
      <c r="I179" s="264"/>
      <c r="J179" s="264"/>
      <c r="K179" s="264"/>
      <c r="L179" s="264"/>
      <c r="M179" s="264"/>
      <c r="N179" s="264"/>
      <c r="O179" s="264"/>
      <c r="P179" s="264"/>
      <c r="Q179" s="264"/>
      <c r="R179" s="264"/>
      <c r="S179" s="264"/>
      <c r="T179" s="264"/>
      <c r="U179" s="264"/>
      <c r="V179" s="264"/>
      <c r="W179" s="264"/>
      <c r="X179" s="264"/>
      <c r="Y179" s="264"/>
      <c r="Z179" s="264"/>
      <c r="AA179" s="264"/>
    </row>
    <row r="180" spans="1:27" ht="15.75" customHeight="1">
      <c r="A180" s="266" t="s">
        <v>8718</v>
      </c>
      <c r="B180" s="266" t="s">
        <v>8724</v>
      </c>
      <c r="C180" s="266" t="s">
        <v>8805</v>
      </c>
      <c r="D180" s="266" t="s">
        <v>8806</v>
      </c>
      <c r="E180" s="266" t="s">
        <v>7210</v>
      </c>
      <c r="F180" s="264"/>
      <c r="G180" s="264"/>
      <c r="H180" s="264"/>
      <c r="I180" s="264"/>
      <c r="J180" s="264"/>
      <c r="K180" s="264"/>
      <c r="L180" s="264"/>
      <c r="M180" s="264"/>
      <c r="N180" s="264"/>
      <c r="O180" s="264"/>
      <c r="P180" s="264"/>
      <c r="Q180" s="264"/>
      <c r="R180" s="264"/>
      <c r="S180" s="264"/>
      <c r="T180" s="264"/>
      <c r="U180" s="264"/>
      <c r="V180" s="264"/>
      <c r="W180" s="264"/>
      <c r="X180" s="264"/>
      <c r="Y180" s="264"/>
      <c r="Z180" s="264"/>
      <c r="AA180" s="264"/>
    </row>
    <row r="181" spans="1:27" ht="15.75" customHeight="1">
      <c r="A181" s="266" t="s">
        <v>8718</v>
      </c>
      <c r="B181" s="266" t="s">
        <v>8724</v>
      </c>
      <c r="C181" s="266" t="s">
        <v>8807</v>
      </c>
      <c r="D181" s="266" t="s">
        <v>8808</v>
      </c>
      <c r="E181" s="266" t="s">
        <v>7210</v>
      </c>
      <c r="F181" s="264"/>
      <c r="G181" s="264"/>
      <c r="H181" s="264"/>
      <c r="I181" s="264"/>
      <c r="J181" s="264"/>
      <c r="K181" s="264"/>
      <c r="L181" s="264"/>
      <c r="M181" s="264"/>
      <c r="N181" s="264"/>
      <c r="O181" s="264"/>
      <c r="P181" s="264"/>
      <c r="Q181" s="264"/>
      <c r="R181" s="264"/>
      <c r="S181" s="264"/>
      <c r="T181" s="264"/>
      <c r="U181" s="264"/>
      <c r="V181" s="264"/>
      <c r="W181" s="264"/>
      <c r="X181" s="264"/>
      <c r="Y181" s="264"/>
      <c r="Z181" s="264"/>
      <c r="AA181" s="264"/>
    </row>
    <row r="182" spans="1:27" ht="15.75" customHeight="1">
      <c r="A182" s="266" t="s">
        <v>8718</v>
      </c>
      <c r="B182" s="266" t="s">
        <v>8724</v>
      </c>
      <c r="C182" s="266" t="s">
        <v>8809</v>
      </c>
      <c r="D182" s="266" t="s">
        <v>8810</v>
      </c>
      <c r="E182" s="266" t="s">
        <v>8687</v>
      </c>
      <c r="F182" s="264"/>
      <c r="G182" s="264"/>
      <c r="H182" s="264"/>
      <c r="I182" s="264"/>
      <c r="J182" s="264"/>
      <c r="K182" s="264"/>
      <c r="L182" s="264"/>
      <c r="M182" s="264"/>
      <c r="N182" s="264"/>
      <c r="O182" s="264"/>
      <c r="P182" s="264"/>
      <c r="Q182" s="264"/>
      <c r="R182" s="264"/>
      <c r="S182" s="264"/>
      <c r="T182" s="264"/>
      <c r="U182" s="264"/>
      <c r="V182" s="264"/>
      <c r="W182" s="264"/>
      <c r="X182" s="264"/>
      <c r="Y182" s="264"/>
      <c r="Z182" s="264"/>
      <c r="AA182" s="264"/>
    </row>
    <row r="183" spans="1:27" ht="15.75" customHeight="1">
      <c r="A183" s="266" t="s">
        <v>8718</v>
      </c>
      <c r="B183" s="266" t="s">
        <v>8724</v>
      </c>
      <c r="C183" s="270" t="s">
        <v>8811</v>
      </c>
      <c r="D183" s="270" t="s">
        <v>8812</v>
      </c>
      <c r="E183" s="266" t="s">
        <v>7210</v>
      </c>
      <c r="F183" s="264"/>
      <c r="G183" s="264"/>
      <c r="H183" s="264"/>
      <c r="I183" s="264"/>
      <c r="J183" s="264"/>
      <c r="K183" s="264"/>
      <c r="L183" s="264"/>
      <c r="M183" s="264"/>
      <c r="N183" s="264"/>
      <c r="O183" s="264"/>
      <c r="P183" s="264"/>
      <c r="Q183" s="264"/>
      <c r="R183" s="264"/>
      <c r="S183" s="264"/>
      <c r="T183" s="264"/>
      <c r="U183" s="264"/>
      <c r="V183" s="264"/>
      <c r="W183" s="264"/>
      <c r="X183" s="264"/>
      <c r="Y183" s="264"/>
      <c r="Z183" s="264"/>
      <c r="AA183" s="264"/>
    </row>
    <row r="184" spans="1:27" ht="15.75" customHeight="1">
      <c r="A184" s="266" t="s">
        <v>8718</v>
      </c>
      <c r="B184" s="266" t="s">
        <v>8724</v>
      </c>
      <c r="C184" s="266" t="s">
        <v>8813</v>
      </c>
      <c r="D184" s="270" t="s">
        <v>8814</v>
      </c>
      <c r="E184" s="266" t="s">
        <v>7210</v>
      </c>
      <c r="F184" s="264"/>
      <c r="G184" s="264"/>
      <c r="H184" s="264"/>
      <c r="I184" s="264"/>
      <c r="J184" s="264"/>
      <c r="K184" s="264"/>
      <c r="L184" s="264"/>
      <c r="M184" s="264"/>
      <c r="N184" s="264"/>
      <c r="O184" s="264"/>
      <c r="P184" s="264"/>
      <c r="Q184" s="264"/>
      <c r="R184" s="264"/>
      <c r="S184" s="264"/>
      <c r="T184" s="264"/>
      <c r="U184" s="264"/>
      <c r="V184" s="264"/>
      <c r="W184" s="264"/>
      <c r="X184" s="264"/>
      <c r="Y184" s="264"/>
      <c r="Z184" s="264"/>
      <c r="AA184" s="264"/>
    </row>
    <row r="185" spans="1:27" ht="15.75" customHeight="1">
      <c r="A185" s="266" t="s">
        <v>8718</v>
      </c>
      <c r="B185" s="266" t="s">
        <v>8724</v>
      </c>
      <c r="C185" s="266" t="s">
        <v>8815</v>
      </c>
      <c r="D185" s="266" t="s">
        <v>8816</v>
      </c>
      <c r="E185" s="266" t="s">
        <v>7210</v>
      </c>
      <c r="F185" s="264"/>
      <c r="G185" s="264"/>
      <c r="H185" s="264"/>
      <c r="I185" s="264"/>
      <c r="J185" s="264"/>
      <c r="K185" s="264"/>
      <c r="L185" s="264"/>
      <c r="M185" s="264"/>
      <c r="N185" s="264"/>
      <c r="O185" s="264"/>
      <c r="P185" s="264"/>
      <c r="Q185" s="264"/>
      <c r="R185" s="264"/>
      <c r="S185" s="264"/>
      <c r="T185" s="264"/>
      <c r="U185" s="264"/>
      <c r="V185" s="264"/>
      <c r="W185" s="264"/>
      <c r="X185" s="264"/>
      <c r="Y185" s="264"/>
      <c r="Z185" s="264"/>
      <c r="AA185" s="264"/>
    </row>
    <row r="186" spans="1:27" ht="15.75" customHeight="1">
      <c r="A186" s="266" t="s">
        <v>8718</v>
      </c>
      <c r="B186" s="266" t="s">
        <v>8724</v>
      </c>
      <c r="C186" s="266" t="s">
        <v>8817</v>
      </c>
      <c r="D186" s="266" t="s">
        <v>8818</v>
      </c>
      <c r="E186" s="266" t="s">
        <v>7210</v>
      </c>
      <c r="F186" s="264"/>
      <c r="G186" s="264"/>
      <c r="H186" s="264"/>
      <c r="I186" s="264"/>
      <c r="J186" s="264"/>
      <c r="K186" s="264"/>
      <c r="L186" s="264"/>
      <c r="M186" s="264"/>
      <c r="N186" s="264"/>
      <c r="O186" s="264"/>
      <c r="P186" s="264"/>
      <c r="Q186" s="264"/>
      <c r="R186" s="264"/>
      <c r="S186" s="264"/>
      <c r="T186" s="264"/>
      <c r="U186" s="264"/>
      <c r="V186" s="264"/>
      <c r="W186" s="264"/>
      <c r="X186" s="264"/>
      <c r="Y186" s="264"/>
      <c r="Z186" s="264"/>
      <c r="AA186" s="264"/>
    </row>
    <row r="187" spans="1:27" ht="15.75" customHeight="1">
      <c r="A187" s="266" t="s">
        <v>8718</v>
      </c>
      <c r="B187" s="266" t="s">
        <v>8724</v>
      </c>
      <c r="C187" s="266" t="s">
        <v>8819</v>
      </c>
      <c r="D187" s="269" t="s">
        <v>8820</v>
      </c>
      <c r="E187" s="266" t="s">
        <v>7210</v>
      </c>
      <c r="F187" s="264"/>
      <c r="G187" s="264"/>
      <c r="H187" s="264"/>
      <c r="I187" s="264"/>
      <c r="J187" s="264"/>
      <c r="K187" s="264"/>
      <c r="L187" s="264"/>
      <c r="M187" s="264"/>
      <c r="N187" s="264"/>
      <c r="O187" s="264"/>
      <c r="P187" s="264"/>
      <c r="Q187" s="264"/>
      <c r="R187" s="264"/>
      <c r="S187" s="264"/>
      <c r="T187" s="264"/>
      <c r="U187" s="264"/>
      <c r="V187" s="264"/>
      <c r="W187" s="264"/>
      <c r="X187" s="264"/>
      <c r="Y187" s="264"/>
      <c r="Z187" s="264"/>
      <c r="AA187" s="264"/>
    </row>
    <row r="188" spans="1:27" ht="15.75" customHeight="1">
      <c r="A188" s="266" t="s">
        <v>8718</v>
      </c>
      <c r="B188" s="266" t="s">
        <v>8724</v>
      </c>
      <c r="C188" s="266" t="s">
        <v>8821</v>
      </c>
      <c r="D188" s="266" t="s">
        <v>8822</v>
      </c>
      <c r="E188" s="266" t="s">
        <v>8687</v>
      </c>
      <c r="F188" s="264"/>
      <c r="G188" s="264"/>
      <c r="H188" s="264"/>
      <c r="I188" s="264"/>
      <c r="J188" s="264"/>
      <c r="K188" s="264"/>
      <c r="L188" s="264"/>
      <c r="M188" s="264"/>
      <c r="N188" s="264"/>
      <c r="O188" s="264"/>
      <c r="P188" s="264"/>
      <c r="Q188" s="264"/>
      <c r="R188" s="264"/>
      <c r="S188" s="264"/>
      <c r="T188" s="264"/>
      <c r="U188" s="264"/>
      <c r="V188" s="264"/>
      <c r="W188" s="264"/>
      <c r="X188" s="264"/>
      <c r="Y188" s="264"/>
      <c r="Z188" s="264"/>
      <c r="AA188" s="264"/>
    </row>
    <row r="189" spans="1:27" ht="15.75" customHeight="1">
      <c r="A189" s="266" t="s">
        <v>8718</v>
      </c>
      <c r="B189" s="266" t="s">
        <v>8724</v>
      </c>
      <c r="C189" s="265" t="s">
        <v>8823</v>
      </c>
      <c r="D189" s="265" t="s">
        <v>8824</v>
      </c>
      <c r="E189" s="263" t="s">
        <v>7210</v>
      </c>
      <c r="F189" s="264"/>
      <c r="G189" s="264"/>
      <c r="H189" s="264"/>
      <c r="I189" s="264"/>
      <c r="J189" s="264"/>
      <c r="K189" s="264"/>
      <c r="L189" s="264"/>
      <c r="M189" s="264"/>
      <c r="N189" s="264"/>
      <c r="O189" s="264"/>
      <c r="P189" s="264"/>
      <c r="Q189" s="264"/>
      <c r="R189" s="264"/>
      <c r="S189" s="264"/>
      <c r="T189" s="264"/>
      <c r="U189" s="264"/>
      <c r="V189" s="264"/>
      <c r="W189" s="264"/>
      <c r="X189" s="264"/>
      <c r="Y189" s="264"/>
      <c r="Z189" s="264"/>
      <c r="AA189" s="264"/>
    </row>
    <row r="190" spans="1:27" ht="15.75" customHeight="1">
      <c r="A190" s="266" t="s">
        <v>8718</v>
      </c>
      <c r="B190" s="266" t="s">
        <v>8724</v>
      </c>
      <c r="C190" s="98" t="s">
        <v>8825</v>
      </c>
      <c r="D190" s="98" t="s">
        <v>8826</v>
      </c>
      <c r="E190" s="263" t="s">
        <v>7210</v>
      </c>
      <c r="F190" s="264"/>
      <c r="G190" s="264"/>
      <c r="H190" s="264"/>
      <c r="I190" s="264"/>
      <c r="J190" s="264"/>
      <c r="K190" s="264"/>
      <c r="L190" s="264"/>
      <c r="M190" s="264"/>
      <c r="N190" s="264"/>
      <c r="O190" s="264"/>
      <c r="P190" s="264"/>
      <c r="Q190" s="264"/>
      <c r="R190" s="264"/>
      <c r="S190" s="264"/>
      <c r="T190" s="264"/>
      <c r="U190" s="264"/>
      <c r="V190" s="264"/>
      <c r="W190" s="264"/>
      <c r="X190" s="264"/>
      <c r="Y190" s="264"/>
      <c r="Z190" s="264"/>
      <c r="AA190" s="264"/>
    </row>
    <row r="191" spans="1:27" ht="15.75" customHeight="1">
      <c r="A191" s="266" t="s">
        <v>8718</v>
      </c>
      <c r="B191" s="266" t="s">
        <v>8724</v>
      </c>
      <c r="C191" s="266" t="s">
        <v>8747</v>
      </c>
      <c r="D191" s="266" t="s">
        <v>8748</v>
      </c>
      <c r="E191" s="266" t="s">
        <v>538</v>
      </c>
      <c r="F191" s="264"/>
      <c r="G191" s="264"/>
      <c r="H191" s="264"/>
      <c r="I191" s="264"/>
      <c r="J191" s="264"/>
      <c r="K191" s="264"/>
      <c r="L191" s="264"/>
      <c r="M191" s="264"/>
      <c r="N191" s="264"/>
      <c r="O191" s="264"/>
      <c r="P191" s="264"/>
      <c r="Q191" s="264"/>
      <c r="R191" s="264"/>
      <c r="S191" s="264"/>
      <c r="T191" s="264"/>
      <c r="U191" s="264"/>
      <c r="V191" s="264"/>
      <c r="W191" s="264"/>
      <c r="X191" s="264"/>
      <c r="Y191" s="264"/>
      <c r="Z191" s="264"/>
      <c r="AA191" s="264"/>
    </row>
    <row r="192" spans="1:27" ht="15.75" customHeight="1">
      <c r="A192" s="266" t="s">
        <v>8718</v>
      </c>
      <c r="B192" s="266" t="s">
        <v>8724</v>
      </c>
      <c r="C192" s="266" t="s">
        <v>8749</v>
      </c>
      <c r="D192" s="266" t="s">
        <v>8750</v>
      </c>
      <c r="E192" s="266" t="s">
        <v>7210</v>
      </c>
      <c r="F192" s="264"/>
      <c r="G192" s="264"/>
      <c r="H192" s="264"/>
      <c r="I192" s="264"/>
      <c r="J192" s="264"/>
      <c r="K192" s="264"/>
      <c r="L192" s="264"/>
      <c r="M192" s="264"/>
      <c r="N192" s="264"/>
      <c r="O192" s="264"/>
      <c r="P192" s="264"/>
      <c r="Q192" s="264"/>
      <c r="R192" s="264"/>
      <c r="S192" s="264"/>
      <c r="T192" s="264"/>
      <c r="U192" s="264"/>
      <c r="V192" s="264"/>
      <c r="W192" s="264"/>
      <c r="X192" s="264"/>
      <c r="Y192" s="264"/>
      <c r="Z192" s="264"/>
      <c r="AA192" s="264"/>
    </row>
    <row r="193" spans="1:27" ht="15.75" customHeight="1">
      <c r="A193" s="266" t="s">
        <v>8718</v>
      </c>
      <c r="B193" s="266" t="s">
        <v>8724</v>
      </c>
      <c r="C193" s="266" t="s">
        <v>8751</v>
      </c>
      <c r="D193" s="266" t="s">
        <v>8752</v>
      </c>
      <c r="E193" s="266" t="s">
        <v>7210</v>
      </c>
      <c r="F193" s="264"/>
      <c r="G193" s="264"/>
      <c r="H193" s="264"/>
      <c r="I193" s="264"/>
      <c r="J193" s="264"/>
      <c r="K193" s="264"/>
      <c r="L193" s="264"/>
      <c r="M193" s="264"/>
      <c r="N193" s="264"/>
      <c r="O193" s="264"/>
      <c r="P193" s="264"/>
      <c r="Q193" s="264"/>
      <c r="R193" s="264"/>
      <c r="S193" s="264"/>
      <c r="T193" s="264"/>
      <c r="U193" s="264"/>
      <c r="V193" s="264"/>
      <c r="W193" s="264"/>
      <c r="X193" s="264"/>
      <c r="Y193" s="264"/>
      <c r="Z193" s="264"/>
      <c r="AA193" s="264"/>
    </row>
    <row r="194" spans="1:27" ht="15.75" customHeight="1">
      <c r="A194" s="266" t="s">
        <v>8718</v>
      </c>
      <c r="B194" s="266" t="s">
        <v>8724</v>
      </c>
      <c r="C194" s="266" t="s">
        <v>8753</v>
      </c>
      <c r="D194" s="266" t="s">
        <v>8754</v>
      </c>
      <c r="E194" s="266" t="s">
        <v>7210</v>
      </c>
      <c r="F194" s="264"/>
      <c r="G194" s="264"/>
      <c r="H194" s="264"/>
      <c r="I194" s="264"/>
      <c r="J194" s="264"/>
      <c r="K194" s="264"/>
      <c r="L194" s="264"/>
      <c r="M194" s="264"/>
      <c r="N194" s="264"/>
      <c r="O194" s="264"/>
      <c r="P194" s="264"/>
      <c r="Q194" s="264"/>
      <c r="R194" s="264"/>
      <c r="S194" s="264"/>
      <c r="T194" s="264"/>
      <c r="U194" s="264"/>
      <c r="V194" s="264"/>
      <c r="W194" s="264"/>
      <c r="X194" s="264"/>
      <c r="Y194" s="264"/>
      <c r="Z194" s="264"/>
      <c r="AA194" s="264"/>
    </row>
    <row r="195" spans="1:27" ht="15.75" customHeight="1">
      <c r="A195" s="266" t="s">
        <v>8718</v>
      </c>
      <c r="B195" s="266" t="s">
        <v>8724</v>
      </c>
      <c r="C195" s="268" t="s">
        <v>8755</v>
      </c>
      <c r="D195" s="268" t="s">
        <v>8756</v>
      </c>
      <c r="E195" s="266" t="s">
        <v>7210</v>
      </c>
      <c r="F195" s="264"/>
      <c r="G195" s="264"/>
      <c r="H195" s="264"/>
      <c r="I195" s="264"/>
      <c r="J195" s="264"/>
      <c r="K195" s="264"/>
      <c r="L195" s="264"/>
      <c r="M195" s="264"/>
      <c r="N195" s="264"/>
      <c r="O195" s="264"/>
      <c r="P195" s="264"/>
      <c r="Q195" s="264"/>
      <c r="R195" s="264"/>
      <c r="S195" s="264"/>
      <c r="T195" s="264"/>
      <c r="U195" s="264"/>
      <c r="V195" s="264"/>
      <c r="W195" s="264"/>
      <c r="X195" s="264"/>
      <c r="Y195" s="264"/>
      <c r="Z195" s="264"/>
      <c r="AA195" s="264"/>
    </row>
    <row r="196" spans="1:27" ht="15.75" customHeight="1">
      <c r="A196" s="266" t="s">
        <v>8718</v>
      </c>
      <c r="B196" s="266" t="s">
        <v>8724</v>
      </c>
      <c r="C196" s="266" t="s">
        <v>8757</v>
      </c>
      <c r="D196" s="266" t="s">
        <v>8758</v>
      </c>
      <c r="E196" s="266" t="s">
        <v>7210</v>
      </c>
      <c r="F196" s="264"/>
      <c r="G196" s="264"/>
      <c r="H196" s="264"/>
      <c r="I196" s="264"/>
      <c r="J196" s="264"/>
      <c r="K196" s="264"/>
      <c r="L196" s="264"/>
      <c r="M196" s="264"/>
      <c r="N196" s="264"/>
      <c r="O196" s="264"/>
      <c r="P196" s="264"/>
      <c r="Q196" s="264"/>
      <c r="R196" s="264"/>
      <c r="S196" s="264"/>
      <c r="T196" s="264"/>
      <c r="U196" s="264"/>
      <c r="V196" s="264"/>
      <c r="W196" s="264"/>
      <c r="X196" s="264"/>
      <c r="Y196" s="264"/>
      <c r="Z196" s="264"/>
      <c r="AA196" s="264"/>
    </row>
    <row r="197" spans="1:27" ht="15.75" customHeight="1">
      <c r="A197" s="266" t="s">
        <v>8718</v>
      </c>
      <c r="B197" s="266" t="s">
        <v>8724</v>
      </c>
      <c r="C197" s="266" t="s">
        <v>8759</v>
      </c>
      <c r="D197" s="266" t="s">
        <v>8760</v>
      </c>
      <c r="E197" s="266" t="s">
        <v>538</v>
      </c>
      <c r="F197" s="264"/>
      <c r="G197" s="264"/>
      <c r="H197" s="264"/>
      <c r="I197" s="264"/>
      <c r="J197" s="264"/>
      <c r="K197" s="264"/>
      <c r="L197" s="264"/>
      <c r="M197" s="264"/>
      <c r="N197" s="264"/>
      <c r="O197" s="264"/>
      <c r="P197" s="264"/>
      <c r="Q197" s="264"/>
      <c r="R197" s="264"/>
      <c r="S197" s="264"/>
      <c r="T197" s="264"/>
      <c r="U197" s="264"/>
      <c r="V197" s="264"/>
      <c r="W197" s="264"/>
      <c r="X197" s="264"/>
      <c r="Y197" s="264"/>
      <c r="Z197" s="264"/>
      <c r="AA197" s="264"/>
    </row>
    <row r="198" spans="1:27" ht="15.75" customHeight="1">
      <c r="A198" s="266" t="s">
        <v>8718</v>
      </c>
      <c r="B198" s="266" t="s">
        <v>8724</v>
      </c>
      <c r="C198" s="266" t="s">
        <v>8761</v>
      </c>
      <c r="D198" s="266" t="s">
        <v>8762</v>
      </c>
      <c r="E198" s="266" t="s">
        <v>7210</v>
      </c>
      <c r="F198" s="264"/>
      <c r="G198" s="264"/>
      <c r="H198" s="264"/>
      <c r="I198" s="264"/>
      <c r="J198" s="264"/>
      <c r="K198" s="264"/>
      <c r="L198" s="264"/>
      <c r="M198" s="264"/>
      <c r="N198" s="264"/>
      <c r="O198" s="264"/>
      <c r="P198" s="264"/>
      <c r="Q198" s="264"/>
      <c r="R198" s="264"/>
      <c r="S198" s="264"/>
      <c r="T198" s="264"/>
      <c r="U198" s="264"/>
      <c r="V198" s="264"/>
      <c r="W198" s="264"/>
      <c r="X198" s="264"/>
      <c r="Y198" s="264"/>
      <c r="Z198" s="264"/>
      <c r="AA198" s="264"/>
    </row>
    <row r="199" spans="1:27" ht="15.75" customHeight="1">
      <c r="A199" s="266" t="s">
        <v>8718</v>
      </c>
      <c r="B199" s="266" t="s">
        <v>8724</v>
      </c>
      <c r="C199" s="266" t="s">
        <v>8763</v>
      </c>
      <c r="D199" s="266" t="s">
        <v>8764</v>
      </c>
      <c r="E199" s="266" t="s">
        <v>7210</v>
      </c>
      <c r="F199" s="264"/>
      <c r="G199" s="264"/>
      <c r="H199" s="264"/>
      <c r="I199" s="264"/>
      <c r="J199" s="264"/>
      <c r="K199" s="264"/>
      <c r="L199" s="264"/>
      <c r="M199" s="264"/>
      <c r="N199" s="264"/>
      <c r="O199" s="264"/>
      <c r="P199" s="264"/>
      <c r="Q199" s="264"/>
      <c r="R199" s="264"/>
      <c r="S199" s="264"/>
      <c r="T199" s="264"/>
      <c r="U199" s="264"/>
      <c r="V199" s="264"/>
      <c r="W199" s="264"/>
      <c r="X199" s="264"/>
      <c r="Y199" s="264"/>
      <c r="Z199" s="264"/>
      <c r="AA199" s="264"/>
    </row>
    <row r="200" spans="1:27" ht="15.75" customHeight="1">
      <c r="A200" s="266" t="s">
        <v>8718</v>
      </c>
      <c r="B200" s="266" t="s">
        <v>8724</v>
      </c>
      <c r="C200" s="266" t="s">
        <v>8765</v>
      </c>
      <c r="D200" s="266" t="s">
        <v>8766</v>
      </c>
      <c r="E200" s="266" t="s">
        <v>7210</v>
      </c>
      <c r="F200" s="264"/>
      <c r="G200" s="264"/>
      <c r="H200" s="264"/>
      <c r="I200" s="264"/>
      <c r="J200" s="264"/>
      <c r="K200" s="264"/>
      <c r="L200" s="264"/>
      <c r="M200" s="264"/>
      <c r="N200" s="264"/>
      <c r="O200" s="264"/>
      <c r="P200" s="264"/>
      <c r="Q200" s="264"/>
      <c r="R200" s="264"/>
      <c r="S200" s="264"/>
      <c r="T200" s="264"/>
      <c r="U200" s="264"/>
      <c r="V200" s="264"/>
      <c r="W200" s="264"/>
      <c r="X200" s="264"/>
      <c r="Y200" s="264"/>
      <c r="Z200" s="264"/>
      <c r="AA200" s="264"/>
    </row>
    <row r="201" spans="1:27" ht="15.75" customHeight="1">
      <c r="A201" s="266" t="s">
        <v>8718</v>
      </c>
      <c r="B201" s="266" t="s">
        <v>8724</v>
      </c>
      <c r="C201" s="268" t="s">
        <v>8767</v>
      </c>
      <c r="D201" s="268" t="s">
        <v>8768</v>
      </c>
      <c r="E201" s="266" t="s">
        <v>7210</v>
      </c>
      <c r="F201" s="264"/>
      <c r="G201" s="264"/>
      <c r="H201" s="264"/>
      <c r="I201" s="264"/>
      <c r="J201" s="264"/>
      <c r="K201" s="264"/>
      <c r="L201" s="264"/>
      <c r="M201" s="264"/>
      <c r="N201" s="264"/>
      <c r="O201" s="264"/>
      <c r="P201" s="264"/>
      <c r="Q201" s="264"/>
      <c r="R201" s="264"/>
      <c r="S201" s="264"/>
      <c r="T201" s="264"/>
      <c r="U201" s="264"/>
      <c r="V201" s="264"/>
      <c r="W201" s="264"/>
      <c r="X201" s="264"/>
      <c r="Y201" s="264"/>
      <c r="Z201" s="264"/>
      <c r="AA201" s="264"/>
    </row>
    <row r="202" spans="1:27" ht="15.75" customHeight="1">
      <c r="A202" s="266" t="s">
        <v>8718</v>
      </c>
      <c r="B202" s="266" t="s">
        <v>8724</v>
      </c>
      <c r="C202" s="266" t="s">
        <v>8769</v>
      </c>
      <c r="D202" s="266" t="s">
        <v>8770</v>
      </c>
      <c r="E202" s="266" t="s">
        <v>7210</v>
      </c>
      <c r="F202" s="264"/>
      <c r="G202" s="264"/>
      <c r="H202" s="264"/>
      <c r="I202" s="264"/>
      <c r="J202" s="264"/>
      <c r="K202" s="264"/>
      <c r="L202" s="264"/>
      <c r="M202" s="264"/>
      <c r="N202" s="264"/>
      <c r="O202" s="264"/>
      <c r="P202" s="264"/>
      <c r="Q202" s="264"/>
      <c r="R202" s="264"/>
      <c r="S202" s="264"/>
      <c r="T202" s="264"/>
      <c r="U202" s="264"/>
      <c r="V202" s="264"/>
      <c r="W202" s="264"/>
      <c r="X202" s="264"/>
      <c r="Y202" s="264"/>
      <c r="Z202" s="264"/>
      <c r="AA202" s="264"/>
    </row>
    <row r="203" spans="1:27" ht="15.75" customHeight="1">
      <c r="A203" s="266" t="s">
        <v>8725</v>
      </c>
      <c r="B203" s="266" t="s">
        <v>8726</v>
      </c>
      <c r="C203" s="266" t="s">
        <v>8670</v>
      </c>
      <c r="D203" s="266" t="s">
        <v>3897</v>
      </c>
      <c r="E203" s="266" t="s">
        <v>7210</v>
      </c>
      <c r="F203" s="264"/>
      <c r="G203" s="264"/>
      <c r="H203" s="264"/>
      <c r="I203" s="264"/>
      <c r="J203" s="264"/>
      <c r="K203" s="264"/>
      <c r="L203" s="264"/>
      <c r="M203" s="264"/>
      <c r="N203" s="264"/>
      <c r="O203" s="264"/>
      <c r="P203" s="264"/>
      <c r="Q203" s="264"/>
      <c r="R203" s="264"/>
      <c r="S203" s="264"/>
      <c r="T203" s="264"/>
      <c r="U203" s="264"/>
      <c r="V203" s="264"/>
      <c r="W203" s="264"/>
      <c r="X203" s="264"/>
      <c r="Y203" s="264"/>
      <c r="Z203" s="264"/>
      <c r="AA203" s="264"/>
    </row>
    <row r="204" spans="1:27" ht="15.75" customHeight="1">
      <c r="A204" s="266" t="s">
        <v>8725</v>
      </c>
      <c r="B204" s="266" t="s">
        <v>8726</v>
      </c>
      <c r="C204" s="266" t="s">
        <v>8867</v>
      </c>
      <c r="D204" s="266" t="s">
        <v>8868</v>
      </c>
      <c r="E204" s="266" t="s">
        <v>7210</v>
      </c>
      <c r="F204" s="264"/>
      <c r="G204" s="264"/>
      <c r="H204" s="264"/>
      <c r="I204" s="264"/>
      <c r="J204" s="264"/>
      <c r="K204" s="264"/>
      <c r="L204" s="264"/>
      <c r="M204" s="264"/>
      <c r="N204" s="264"/>
      <c r="O204" s="264"/>
      <c r="P204" s="264"/>
      <c r="Q204" s="264"/>
      <c r="R204" s="264"/>
      <c r="S204" s="264"/>
      <c r="T204" s="264"/>
      <c r="U204" s="264"/>
      <c r="V204" s="264"/>
      <c r="W204" s="264"/>
      <c r="X204" s="264"/>
      <c r="Y204" s="264"/>
      <c r="Z204" s="264"/>
      <c r="AA204" s="264"/>
    </row>
    <row r="205" spans="1:27" ht="15.75" customHeight="1">
      <c r="A205" s="266" t="s">
        <v>8725</v>
      </c>
      <c r="B205" s="266" t="s">
        <v>8726</v>
      </c>
      <c r="C205" s="266" t="s">
        <v>8869</v>
      </c>
      <c r="D205" s="269" t="s">
        <v>8870</v>
      </c>
      <c r="E205" s="266" t="s">
        <v>7210</v>
      </c>
      <c r="F205" s="264"/>
      <c r="G205" s="264"/>
      <c r="H205" s="264"/>
      <c r="I205" s="264"/>
      <c r="J205" s="264"/>
      <c r="K205" s="264"/>
      <c r="L205" s="264"/>
      <c r="M205" s="264"/>
      <c r="N205" s="264"/>
      <c r="O205" s="264"/>
      <c r="P205" s="264"/>
      <c r="Q205" s="264"/>
      <c r="R205" s="264"/>
      <c r="S205" s="264"/>
      <c r="T205" s="264"/>
      <c r="U205" s="264"/>
      <c r="V205" s="264"/>
      <c r="W205" s="264"/>
      <c r="X205" s="264"/>
      <c r="Y205" s="264"/>
      <c r="Z205" s="264"/>
      <c r="AA205" s="264"/>
    </row>
    <row r="206" spans="1:27" ht="15.75" customHeight="1">
      <c r="A206" s="266" t="s">
        <v>8725</v>
      </c>
      <c r="B206" s="266" t="s">
        <v>8726</v>
      </c>
      <c r="C206" s="266" t="s">
        <v>8871</v>
      </c>
      <c r="D206" s="266" t="s">
        <v>8872</v>
      </c>
      <c r="E206" s="266" t="s">
        <v>7210</v>
      </c>
      <c r="F206" s="264"/>
      <c r="G206" s="264"/>
      <c r="H206" s="264"/>
      <c r="I206" s="264"/>
      <c r="J206" s="264"/>
      <c r="K206" s="264"/>
      <c r="L206" s="264"/>
      <c r="M206" s="264"/>
      <c r="N206" s="264"/>
      <c r="O206" s="264"/>
      <c r="P206" s="264"/>
      <c r="Q206" s="264"/>
      <c r="R206" s="264"/>
      <c r="S206" s="264"/>
      <c r="T206" s="264"/>
      <c r="U206" s="264"/>
      <c r="V206" s="264"/>
      <c r="W206" s="264"/>
      <c r="X206" s="264"/>
      <c r="Y206" s="264"/>
      <c r="Z206" s="264"/>
      <c r="AA206" s="264"/>
    </row>
    <row r="207" spans="1:27" ht="15.75" customHeight="1">
      <c r="A207" s="266" t="s">
        <v>8725</v>
      </c>
      <c r="B207" s="266" t="s">
        <v>8726</v>
      </c>
      <c r="C207" s="266" t="s">
        <v>8873</v>
      </c>
      <c r="D207" s="269" t="s">
        <v>8874</v>
      </c>
      <c r="E207" s="266" t="s">
        <v>8687</v>
      </c>
      <c r="F207" s="264"/>
      <c r="G207" s="264"/>
      <c r="H207" s="264"/>
      <c r="I207" s="264"/>
      <c r="J207" s="264"/>
      <c r="K207" s="264"/>
      <c r="L207" s="264"/>
      <c r="M207" s="264"/>
      <c r="N207" s="264"/>
      <c r="O207" s="264"/>
      <c r="P207" s="264"/>
      <c r="Q207" s="264"/>
      <c r="R207" s="264"/>
      <c r="S207" s="264"/>
      <c r="T207" s="264"/>
      <c r="U207" s="264"/>
      <c r="V207" s="264"/>
      <c r="W207" s="264"/>
      <c r="X207" s="264"/>
      <c r="Y207" s="264"/>
      <c r="Z207" s="264"/>
      <c r="AA207" s="264"/>
    </row>
    <row r="208" spans="1:27" ht="15.75" customHeight="1">
      <c r="A208" s="266" t="s">
        <v>8725</v>
      </c>
      <c r="B208" s="266" t="s">
        <v>8726</v>
      </c>
      <c r="C208" s="266" t="s">
        <v>8875</v>
      </c>
      <c r="D208" s="266" t="s">
        <v>8876</v>
      </c>
      <c r="E208" s="266" t="s">
        <v>7210</v>
      </c>
      <c r="F208" s="264"/>
      <c r="G208" s="264"/>
      <c r="H208" s="264"/>
      <c r="I208" s="264"/>
      <c r="J208" s="264"/>
      <c r="K208" s="264"/>
      <c r="L208" s="264"/>
      <c r="M208" s="264"/>
      <c r="N208" s="264"/>
      <c r="O208" s="264"/>
      <c r="P208" s="264"/>
      <c r="Q208" s="264"/>
      <c r="R208" s="264"/>
      <c r="S208" s="264"/>
      <c r="T208" s="264"/>
      <c r="U208" s="264"/>
      <c r="V208" s="264"/>
      <c r="W208" s="264"/>
      <c r="X208" s="264"/>
      <c r="Y208" s="264"/>
      <c r="Z208" s="264"/>
      <c r="AA208" s="264"/>
    </row>
    <row r="209" spans="1:27" ht="15.75" customHeight="1">
      <c r="A209" s="266" t="s">
        <v>8725</v>
      </c>
      <c r="B209" s="266" t="s">
        <v>8726</v>
      </c>
      <c r="C209" s="268" t="s">
        <v>8877</v>
      </c>
      <c r="D209" s="266" t="s">
        <v>8878</v>
      </c>
      <c r="E209" s="266" t="s">
        <v>7210</v>
      </c>
      <c r="F209" s="264"/>
      <c r="G209" s="264"/>
      <c r="H209" s="264"/>
      <c r="I209" s="264"/>
      <c r="J209" s="264"/>
      <c r="K209" s="264"/>
      <c r="L209" s="264"/>
      <c r="M209" s="264"/>
      <c r="N209" s="264"/>
      <c r="O209" s="264"/>
      <c r="P209" s="264"/>
      <c r="Q209" s="264"/>
      <c r="R209" s="264"/>
      <c r="S209" s="264"/>
      <c r="T209" s="264"/>
      <c r="U209" s="264"/>
      <c r="V209" s="264"/>
      <c r="W209" s="264"/>
      <c r="X209" s="264"/>
      <c r="Y209" s="264"/>
      <c r="Z209" s="264"/>
      <c r="AA209" s="264"/>
    </row>
    <row r="210" spans="1:27" ht="15.75" customHeight="1">
      <c r="A210" s="266" t="s">
        <v>8725</v>
      </c>
      <c r="B210" s="266" t="s">
        <v>8726</v>
      </c>
      <c r="C210" s="266" t="s">
        <v>8879</v>
      </c>
      <c r="D210" s="266" t="s">
        <v>8880</v>
      </c>
      <c r="E210" s="266" t="s">
        <v>7210</v>
      </c>
      <c r="F210" s="264"/>
      <c r="G210" s="264"/>
      <c r="H210" s="264"/>
      <c r="I210" s="264"/>
      <c r="J210" s="264"/>
      <c r="K210" s="264"/>
      <c r="L210" s="264"/>
      <c r="M210" s="264"/>
      <c r="N210" s="264"/>
      <c r="O210" s="264"/>
      <c r="P210" s="264"/>
      <c r="Q210" s="264"/>
      <c r="R210" s="264"/>
      <c r="S210" s="264"/>
      <c r="T210" s="264"/>
      <c r="U210" s="264"/>
      <c r="V210" s="264"/>
      <c r="W210" s="264"/>
      <c r="X210" s="264"/>
      <c r="Y210" s="264"/>
      <c r="Z210" s="264"/>
      <c r="AA210" s="264"/>
    </row>
    <row r="211" spans="1:27" ht="15.75" customHeight="1">
      <c r="A211" s="266" t="s">
        <v>8725</v>
      </c>
      <c r="B211" s="266" t="s">
        <v>8726</v>
      </c>
      <c r="C211" s="266" t="s">
        <v>8881</v>
      </c>
      <c r="D211" s="266" t="s">
        <v>8790</v>
      </c>
      <c r="E211" s="266" t="s">
        <v>7210</v>
      </c>
      <c r="F211" s="264"/>
      <c r="G211" s="264"/>
      <c r="H211" s="264"/>
      <c r="I211" s="264"/>
      <c r="J211" s="264"/>
      <c r="K211" s="264"/>
      <c r="L211" s="264"/>
      <c r="M211" s="264"/>
      <c r="N211" s="264"/>
      <c r="O211" s="264"/>
      <c r="P211" s="264"/>
      <c r="Q211" s="264"/>
      <c r="R211" s="264"/>
      <c r="S211" s="264"/>
      <c r="T211" s="264"/>
      <c r="U211" s="264"/>
      <c r="V211" s="264"/>
      <c r="W211" s="264"/>
      <c r="X211" s="264"/>
      <c r="Y211" s="264"/>
      <c r="Z211" s="264"/>
      <c r="AA211" s="264"/>
    </row>
    <row r="212" spans="1:27" ht="15.75" customHeight="1">
      <c r="A212" s="266" t="s">
        <v>8725</v>
      </c>
      <c r="B212" s="266" t="s">
        <v>8726</v>
      </c>
      <c r="C212" s="266" t="s">
        <v>8882</v>
      </c>
      <c r="D212" s="266" t="s">
        <v>8883</v>
      </c>
      <c r="E212" s="266" t="s">
        <v>7210</v>
      </c>
      <c r="F212" s="264"/>
      <c r="G212" s="264"/>
      <c r="H212" s="264"/>
      <c r="I212" s="264"/>
      <c r="J212" s="264"/>
      <c r="K212" s="264"/>
      <c r="L212" s="264"/>
      <c r="M212" s="264"/>
      <c r="N212" s="264"/>
      <c r="O212" s="264"/>
      <c r="P212" s="264"/>
      <c r="Q212" s="264"/>
      <c r="R212" s="264"/>
      <c r="S212" s="264"/>
      <c r="T212" s="264"/>
      <c r="U212" s="264"/>
      <c r="V212" s="264"/>
      <c r="W212" s="264"/>
      <c r="X212" s="264"/>
      <c r="Y212" s="264"/>
      <c r="Z212" s="264"/>
      <c r="AA212" s="264"/>
    </row>
    <row r="213" spans="1:27" ht="15.75" customHeight="1">
      <c r="A213" s="266" t="s">
        <v>8725</v>
      </c>
      <c r="B213" s="266" t="s">
        <v>8726</v>
      </c>
      <c r="C213" s="266" t="s">
        <v>8884</v>
      </c>
      <c r="D213" s="266" t="s">
        <v>8794</v>
      </c>
      <c r="E213" s="266" t="s">
        <v>8687</v>
      </c>
      <c r="F213" s="264"/>
      <c r="G213" s="264"/>
      <c r="H213" s="264"/>
      <c r="I213" s="264"/>
      <c r="J213" s="264"/>
      <c r="K213" s="264"/>
      <c r="L213" s="264"/>
      <c r="M213" s="264"/>
      <c r="N213" s="264"/>
      <c r="O213" s="264"/>
      <c r="P213" s="264"/>
      <c r="Q213" s="264"/>
      <c r="R213" s="264"/>
      <c r="S213" s="264"/>
      <c r="T213" s="264"/>
      <c r="U213" s="264"/>
      <c r="V213" s="264"/>
      <c r="W213" s="264"/>
      <c r="X213" s="264"/>
      <c r="Y213" s="264"/>
      <c r="Z213" s="264"/>
      <c r="AA213" s="264"/>
    </row>
    <row r="214" spans="1:27" ht="15.75" customHeight="1">
      <c r="A214" s="266" t="s">
        <v>8725</v>
      </c>
      <c r="B214" s="266" t="s">
        <v>8726</v>
      </c>
      <c r="C214" s="266" t="s">
        <v>8885</v>
      </c>
      <c r="D214" s="266" t="s">
        <v>8796</v>
      </c>
      <c r="E214" s="266" t="s">
        <v>7210</v>
      </c>
      <c r="F214" s="264"/>
      <c r="G214" s="264"/>
      <c r="H214" s="264"/>
      <c r="I214" s="264"/>
      <c r="J214" s="264"/>
      <c r="K214" s="264"/>
      <c r="L214" s="264"/>
      <c r="M214" s="264"/>
      <c r="N214" s="264"/>
      <c r="O214" s="264"/>
      <c r="P214" s="264"/>
      <c r="Q214" s="264"/>
      <c r="R214" s="264"/>
      <c r="S214" s="264"/>
      <c r="T214" s="264"/>
      <c r="U214" s="264"/>
      <c r="V214" s="264"/>
      <c r="W214" s="264"/>
      <c r="X214" s="264"/>
      <c r="Y214" s="264"/>
      <c r="Z214" s="264"/>
      <c r="AA214" s="264"/>
    </row>
    <row r="215" spans="1:27" ht="15.75" customHeight="1">
      <c r="A215" s="266" t="s">
        <v>8725</v>
      </c>
      <c r="B215" s="266" t="s">
        <v>8726</v>
      </c>
      <c r="C215" s="268" t="s">
        <v>8886</v>
      </c>
      <c r="D215" s="266" t="s">
        <v>8798</v>
      </c>
      <c r="E215" s="266" t="s">
        <v>7210</v>
      </c>
      <c r="F215" s="264"/>
      <c r="G215" s="264"/>
      <c r="H215" s="264"/>
      <c r="I215" s="264"/>
      <c r="J215" s="264"/>
      <c r="K215" s="264"/>
      <c r="L215" s="264"/>
      <c r="M215" s="264"/>
      <c r="N215" s="264"/>
      <c r="O215" s="264"/>
      <c r="P215" s="264"/>
      <c r="Q215" s="264"/>
      <c r="R215" s="264"/>
      <c r="S215" s="264"/>
      <c r="T215" s="264"/>
      <c r="U215" s="264"/>
      <c r="V215" s="264"/>
      <c r="W215" s="264"/>
      <c r="X215" s="264"/>
      <c r="Y215" s="264"/>
      <c r="Z215" s="264"/>
      <c r="AA215" s="264"/>
    </row>
    <row r="216" spans="1:27" ht="15.75" customHeight="1">
      <c r="A216" s="266" t="s">
        <v>8725</v>
      </c>
      <c r="B216" s="266" t="s">
        <v>8726</v>
      </c>
      <c r="C216" s="266" t="s">
        <v>8887</v>
      </c>
      <c r="D216" s="266" t="s">
        <v>8800</v>
      </c>
      <c r="E216" s="266" t="s">
        <v>7210</v>
      </c>
      <c r="F216" s="264"/>
      <c r="G216" s="264"/>
      <c r="H216" s="264"/>
      <c r="I216" s="264"/>
      <c r="J216" s="264"/>
      <c r="K216" s="264"/>
      <c r="L216" s="264"/>
      <c r="M216" s="264"/>
      <c r="N216" s="264"/>
      <c r="O216" s="264"/>
      <c r="P216" s="264"/>
      <c r="Q216" s="264"/>
      <c r="R216" s="264"/>
      <c r="S216" s="264"/>
      <c r="T216" s="264"/>
      <c r="U216" s="264"/>
      <c r="V216" s="264"/>
      <c r="W216" s="264"/>
      <c r="X216" s="264"/>
      <c r="Y216" s="264"/>
      <c r="Z216" s="264"/>
      <c r="AA216" s="264"/>
    </row>
    <row r="217" spans="1:27" ht="15.75" customHeight="1">
      <c r="A217" s="266" t="s">
        <v>8725</v>
      </c>
      <c r="B217" s="266" t="s">
        <v>8726</v>
      </c>
      <c r="C217" s="266" t="s">
        <v>8888</v>
      </c>
      <c r="D217" s="266" t="s">
        <v>2856</v>
      </c>
      <c r="E217" s="266" t="s">
        <v>7210</v>
      </c>
      <c r="F217" s="264"/>
      <c r="G217" s="264"/>
      <c r="H217" s="264"/>
      <c r="I217" s="264"/>
      <c r="J217" s="264"/>
      <c r="K217" s="264"/>
      <c r="L217" s="264"/>
      <c r="M217" s="264"/>
      <c r="N217" s="264"/>
      <c r="O217" s="264"/>
      <c r="P217" s="264"/>
      <c r="Q217" s="264"/>
      <c r="R217" s="264"/>
      <c r="S217" s="264"/>
      <c r="T217" s="264"/>
      <c r="U217" s="264"/>
      <c r="V217" s="264"/>
      <c r="W217" s="264"/>
      <c r="X217" s="264"/>
      <c r="Y217" s="264"/>
      <c r="Z217" s="264"/>
      <c r="AA217" s="264"/>
    </row>
    <row r="218" spans="1:27" ht="15.75" customHeight="1">
      <c r="A218" s="266" t="s">
        <v>8725</v>
      </c>
      <c r="B218" s="266" t="s">
        <v>8726</v>
      </c>
      <c r="C218" s="268" t="s">
        <v>8889</v>
      </c>
      <c r="D218" s="266" t="s">
        <v>8890</v>
      </c>
      <c r="E218" s="266" t="s">
        <v>7210</v>
      </c>
      <c r="F218" s="264"/>
      <c r="G218" s="264"/>
      <c r="H218" s="264"/>
      <c r="I218" s="264"/>
      <c r="J218" s="264"/>
      <c r="K218" s="264"/>
      <c r="L218" s="264"/>
      <c r="M218" s="264"/>
      <c r="N218" s="264"/>
      <c r="O218" s="264"/>
      <c r="P218" s="264"/>
      <c r="Q218" s="264"/>
      <c r="R218" s="264"/>
      <c r="S218" s="264"/>
      <c r="T218" s="264"/>
      <c r="U218" s="264"/>
      <c r="V218" s="264"/>
      <c r="W218" s="264"/>
      <c r="X218" s="264"/>
      <c r="Y218" s="264"/>
      <c r="Z218" s="264"/>
      <c r="AA218" s="264"/>
    </row>
    <row r="219" spans="1:27" ht="15.75" customHeight="1">
      <c r="A219" s="266" t="s">
        <v>8725</v>
      </c>
      <c r="B219" s="266" t="s">
        <v>8726</v>
      </c>
      <c r="C219" s="266" t="s">
        <v>8891</v>
      </c>
      <c r="D219" s="266" t="s">
        <v>8892</v>
      </c>
      <c r="E219" s="266" t="s">
        <v>7210</v>
      </c>
      <c r="F219" s="264"/>
      <c r="G219" s="264"/>
      <c r="H219" s="264"/>
      <c r="I219" s="264"/>
      <c r="J219" s="264"/>
      <c r="K219" s="264"/>
      <c r="L219" s="264"/>
      <c r="M219" s="264"/>
      <c r="N219" s="264"/>
      <c r="O219" s="264"/>
      <c r="P219" s="264"/>
      <c r="Q219" s="264"/>
      <c r="R219" s="264"/>
      <c r="S219" s="264"/>
      <c r="T219" s="264"/>
      <c r="U219" s="264"/>
      <c r="V219" s="264"/>
      <c r="W219" s="264"/>
      <c r="X219" s="264"/>
      <c r="Y219" s="264"/>
      <c r="Z219" s="264"/>
      <c r="AA219" s="264"/>
    </row>
    <row r="220" spans="1:27" ht="15.75" customHeight="1">
      <c r="A220" s="266" t="s">
        <v>8725</v>
      </c>
      <c r="B220" s="266" t="s">
        <v>8726</v>
      </c>
      <c r="C220" s="266" t="s">
        <v>8893</v>
      </c>
      <c r="D220" s="266" t="s">
        <v>8894</v>
      </c>
      <c r="E220" s="266" t="s">
        <v>7210</v>
      </c>
      <c r="F220" s="264"/>
      <c r="G220" s="264"/>
      <c r="H220" s="264"/>
      <c r="I220" s="264"/>
      <c r="J220" s="264"/>
      <c r="K220" s="264"/>
      <c r="L220" s="264"/>
      <c r="M220" s="264"/>
      <c r="N220" s="264"/>
      <c r="O220" s="264"/>
      <c r="P220" s="264"/>
      <c r="Q220" s="264"/>
      <c r="R220" s="264"/>
      <c r="S220" s="264"/>
      <c r="T220" s="264"/>
      <c r="U220" s="264"/>
      <c r="V220" s="264"/>
      <c r="W220" s="264"/>
      <c r="X220" s="264"/>
      <c r="Y220" s="264"/>
      <c r="Z220" s="264"/>
      <c r="AA220" s="264"/>
    </row>
    <row r="221" spans="1:27" ht="15.75" customHeight="1">
      <c r="A221" s="266" t="s">
        <v>8725</v>
      </c>
      <c r="B221" s="266" t="s">
        <v>8726</v>
      </c>
      <c r="C221" s="268" t="s">
        <v>8895</v>
      </c>
      <c r="D221" s="266" t="s">
        <v>8896</v>
      </c>
      <c r="E221" s="266" t="s">
        <v>7210</v>
      </c>
      <c r="F221" s="264"/>
      <c r="G221" s="264"/>
      <c r="H221" s="264"/>
      <c r="I221" s="264"/>
      <c r="J221" s="264"/>
      <c r="K221" s="264"/>
      <c r="L221" s="264"/>
      <c r="M221" s="264"/>
      <c r="N221" s="264"/>
      <c r="O221" s="264"/>
      <c r="P221" s="264"/>
      <c r="Q221" s="264"/>
      <c r="R221" s="264"/>
      <c r="S221" s="264"/>
      <c r="T221" s="264"/>
      <c r="U221" s="264"/>
      <c r="V221" s="264"/>
      <c r="W221" s="264"/>
      <c r="X221" s="264"/>
      <c r="Y221" s="264"/>
      <c r="Z221" s="264"/>
      <c r="AA221" s="264"/>
    </row>
    <row r="222" spans="1:27" ht="15.75" customHeight="1">
      <c r="A222" s="266" t="s">
        <v>8725</v>
      </c>
      <c r="B222" s="266" t="s">
        <v>8726</v>
      </c>
      <c r="C222" s="266" t="s">
        <v>8897</v>
      </c>
      <c r="D222" s="266" t="s">
        <v>8898</v>
      </c>
      <c r="E222" s="266" t="s">
        <v>7210</v>
      </c>
      <c r="F222" s="264"/>
      <c r="G222" s="264"/>
      <c r="H222" s="264"/>
      <c r="I222" s="264"/>
      <c r="J222" s="264"/>
      <c r="K222" s="264"/>
      <c r="L222" s="264"/>
      <c r="M222" s="264"/>
      <c r="N222" s="264"/>
      <c r="O222" s="264"/>
      <c r="P222" s="264"/>
      <c r="Q222" s="264"/>
      <c r="R222" s="264"/>
      <c r="S222" s="264"/>
      <c r="T222" s="264"/>
      <c r="U222" s="264"/>
      <c r="V222" s="264"/>
      <c r="W222" s="264"/>
      <c r="X222" s="264"/>
      <c r="Y222" s="264"/>
      <c r="Z222" s="264"/>
      <c r="AA222" s="264"/>
    </row>
    <row r="223" spans="1:27" ht="15.75" customHeight="1">
      <c r="A223" s="266" t="s">
        <v>8725</v>
      </c>
      <c r="B223" s="266" t="s">
        <v>8726</v>
      </c>
      <c r="C223" s="266" t="s">
        <v>8899</v>
      </c>
      <c r="D223" s="266" t="s">
        <v>8900</v>
      </c>
      <c r="E223" s="266" t="s">
        <v>7210</v>
      </c>
      <c r="F223" s="264"/>
      <c r="G223" s="264"/>
      <c r="H223" s="264"/>
      <c r="I223" s="264"/>
      <c r="J223" s="264"/>
      <c r="K223" s="264"/>
      <c r="L223" s="264"/>
      <c r="M223" s="264"/>
      <c r="N223" s="264"/>
      <c r="O223" s="264"/>
      <c r="P223" s="264"/>
      <c r="Q223" s="264"/>
      <c r="R223" s="264"/>
      <c r="S223" s="264"/>
      <c r="T223" s="264"/>
      <c r="U223" s="264"/>
      <c r="V223" s="264"/>
      <c r="W223" s="264"/>
      <c r="X223" s="264"/>
      <c r="Y223" s="264"/>
      <c r="Z223" s="264"/>
      <c r="AA223" s="264"/>
    </row>
    <row r="224" spans="1:27" ht="15.75" customHeight="1">
      <c r="A224" s="266" t="s">
        <v>8725</v>
      </c>
      <c r="B224" s="266" t="s">
        <v>8726</v>
      </c>
      <c r="C224" s="266" t="s">
        <v>8901</v>
      </c>
      <c r="D224" s="266" t="s">
        <v>8902</v>
      </c>
      <c r="E224" s="266" t="s">
        <v>7210</v>
      </c>
      <c r="F224" s="264"/>
      <c r="G224" s="264"/>
      <c r="H224" s="264"/>
      <c r="I224" s="264"/>
      <c r="J224" s="264"/>
      <c r="K224" s="264"/>
      <c r="L224" s="264"/>
      <c r="M224" s="264"/>
      <c r="N224" s="264"/>
      <c r="O224" s="264"/>
      <c r="P224" s="264"/>
      <c r="Q224" s="264"/>
      <c r="R224" s="264"/>
      <c r="S224" s="264"/>
      <c r="T224" s="264"/>
      <c r="U224" s="264"/>
      <c r="V224" s="264"/>
      <c r="W224" s="264"/>
      <c r="X224" s="264"/>
      <c r="Y224" s="264"/>
      <c r="Z224" s="264"/>
      <c r="AA224" s="264"/>
    </row>
    <row r="225" spans="1:27" ht="15.75" customHeight="1">
      <c r="A225" s="266" t="s">
        <v>8725</v>
      </c>
      <c r="B225" s="266" t="s">
        <v>8726</v>
      </c>
      <c r="C225" s="269" t="s">
        <v>8903</v>
      </c>
      <c r="D225" s="266" t="s">
        <v>8904</v>
      </c>
      <c r="E225" s="266" t="s">
        <v>7210</v>
      </c>
      <c r="F225" s="264"/>
      <c r="G225" s="264"/>
      <c r="H225" s="264"/>
      <c r="I225" s="264"/>
      <c r="J225" s="264"/>
      <c r="K225" s="264"/>
      <c r="L225" s="264"/>
      <c r="M225" s="264"/>
      <c r="N225" s="264"/>
      <c r="O225" s="264"/>
      <c r="P225" s="264"/>
      <c r="Q225" s="264"/>
      <c r="R225" s="264"/>
      <c r="S225" s="264"/>
      <c r="T225" s="264"/>
      <c r="U225" s="264"/>
      <c r="V225" s="264"/>
      <c r="W225" s="264"/>
      <c r="X225" s="264"/>
      <c r="Y225" s="264"/>
      <c r="Z225" s="264"/>
      <c r="AA225" s="264"/>
    </row>
    <row r="226" spans="1:27" ht="15.75" customHeight="1">
      <c r="A226" s="266" t="s">
        <v>8725</v>
      </c>
      <c r="B226" s="266" t="s">
        <v>8726</v>
      </c>
      <c r="C226" s="266" t="s">
        <v>8905</v>
      </c>
      <c r="D226" s="266" t="s">
        <v>8906</v>
      </c>
      <c r="E226" s="266" t="s">
        <v>7210</v>
      </c>
      <c r="F226" s="264"/>
      <c r="G226" s="264"/>
      <c r="H226" s="264"/>
      <c r="I226" s="264"/>
      <c r="J226" s="264"/>
      <c r="K226" s="264"/>
      <c r="L226" s="264"/>
      <c r="M226" s="264"/>
      <c r="N226" s="264"/>
      <c r="O226" s="264"/>
      <c r="P226" s="264"/>
      <c r="Q226" s="264"/>
      <c r="R226" s="264"/>
      <c r="S226" s="264"/>
      <c r="T226" s="264"/>
      <c r="U226" s="264"/>
      <c r="V226" s="264"/>
      <c r="W226" s="264"/>
      <c r="X226" s="264"/>
      <c r="Y226" s="264"/>
      <c r="Z226" s="264"/>
      <c r="AA226" s="264"/>
    </row>
    <row r="227" spans="1:27" ht="15.75" customHeight="1">
      <c r="A227" s="266" t="s">
        <v>8725</v>
      </c>
      <c r="B227" s="266" t="s">
        <v>8726</v>
      </c>
      <c r="C227" s="266" t="s">
        <v>8907</v>
      </c>
      <c r="D227" s="266" t="s">
        <v>8908</v>
      </c>
      <c r="E227" s="266" t="s">
        <v>7210</v>
      </c>
      <c r="F227" s="264"/>
      <c r="G227" s="264"/>
      <c r="H227" s="264"/>
      <c r="I227" s="264"/>
      <c r="J227" s="264"/>
      <c r="K227" s="264"/>
      <c r="L227" s="264"/>
      <c r="M227" s="264"/>
      <c r="N227" s="264"/>
      <c r="O227" s="264"/>
      <c r="P227" s="264"/>
      <c r="Q227" s="264"/>
      <c r="R227" s="264"/>
      <c r="S227" s="264"/>
      <c r="T227" s="264"/>
      <c r="U227" s="264"/>
      <c r="V227" s="264"/>
      <c r="W227" s="264"/>
      <c r="X227" s="264"/>
      <c r="Y227" s="264"/>
      <c r="Z227" s="264"/>
      <c r="AA227" s="264"/>
    </row>
    <row r="228" spans="1:27" ht="15.75" customHeight="1">
      <c r="A228" s="266" t="s">
        <v>8725</v>
      </c>
      <c r="B228" s="266" t="s">
        <v>8726</v>
      </c>
      <c r="C228" s="268" t="s">
        <v>8909</v>
      </c>
      <c r="D228" s="266" t="s">
        <v>8910</v>
      </c>
      <c r="E228" s="266" t="s">
        <v>7210</v>
      </c>
      <c r="F228" s="264"/>
      <c r="G228" s="264"/>
      <c r="H228" s="264"/>
      <c r="I228" s="264"/>
      <c r="J228" s="264"/>
      <c r="K228" s="264"/>
      <c r="L228" s="264"/>
      <c r="M228" s="264"/>
      <c r="N228" s="264"/>
      <c r="O228" s="264"/>
      <c r="P228" s="264"/>
      <c r="Q228" s="264"/>
      <c r="R228" s="264"/>
      <c r="S228" s="264"/>
      <c r="T228" s="264"/>
      <c r="U228" s="264"/>
      <c r="V228" s="264"/>
      <c r="W228" s="264"/>
      <c r="X228" s="264"/>
      <c r="Y228" s="264"/>
      <c r="Z228" s="264"/>
      <c r="AA228" s="264"/>
    </row>
    <row r="229" spans="1:27" ht="15.75" customHeight="1">
      <c r="A229" s="266" t="s">
        <v>8725</v>
      </c>
      <c r="B229" s="266" t="s">
        <v>8726</v>
      </c>
      <c r="C229" s="266" t="s">
        <v>8911</v>
      </c>
      <c r="D229" s="266" t="s">
        <v>8912</v>
      </c>
      <c r="E229" s="266" t="s">
        <v>7210</v>
      </c>
      <c r="F229" s="264"/>
      <c r="G229" s="264"/>
      <c r="H229" s="264"/>
      <c r="I229" s="264"/>
      <c r="J229" s="264"/>
      <c r="K229" s="264"/>
      <c r="L229" s="264"/>
      <c r="M229" s="264"/>
      <c r="N229" s="264"/>
      <c r="O229" s="264"/>
      <c r="P229" s="264"/>
      <c r="Q229" s="264"/>
      <c r="R229" s="264"/>
      <c r="S229" s="264"/>
      <c r="T229" s="264"/>
      <c r="U229" s="264"/>
      <c r="V229" s="264"/>
      <c r="W229" s="264"/>
      <c r="X229" s="264"/>
      <c r="Y229" s="264"/>
      <c r="Z229" s="264"/>
      <c r="AA229" s="264"/>
    </row>
    <row r="230" spans="1:27" ht="15.75" customHeight="1">
      <c r="A230" s="266" t="s">
        <v>8725</v>
      </c>
      <c r="B230" s="266" t="s">
        <v>8726</v>
      </c>
      <c r="C230" s="266" t="s">
        <v>8913</v>
      </c>
      <c r="D230" s="266" t="s">
        <v>8914</v>
      </c>
      <c r="E230" s="266" t="s">
        <v>7210</v>
      </c>
      <c r="F230" s="264"/>
      <c r="G230" s="264"/>
      <c r="H230" s="264"/>
      <c r="I230" s="264"/>
      <c r="J230" s="264"/>
      <c r="K230" s="264"/>
      <c r="L230" s="264"/>
      <c r="M230" s="264"/>
      <c r="N230" s="264"/>
      <c r="O230" s="264"/>
      <c r="P230" s="264"/>
      <c r="Q230" s="264"/>
      <c r="R230" s="264"/>
      <c r="S230" s="264"/>
      <c r="T230" s="264"/>
      <c r="U230" s="264"/>
      <c r="V230" s="264"/>
      <c r="W230" s="264"/>
      <c r="X230" s="264"/>
      <c r="Y230" s="264"/>
      <c r="Z230" s="264"/>
      <c r="AA230" s="264"/>
    </row>
    <row r="231" spans="1:27" ht="15.75" customHeight="1">
      <c r="A231" s="266" t="s">
        <v>8725</v>
      </c>
      <c r="B231" s="266" t="s">
        <v>8726</v>
      </c>
      <c r="C231" s="266" t="s">
        <v>8915</v>
      </c>
      <c r="D231" s="266" t="s">
        <v>8916</v>
      </c>
      <c r="E231" s="266" t="s">
        <v>7210</v>
      </c>
      <c r="F231" s="264"/>
      <c r="G231" s="264"/>
      <c r="H231" s="264"/>
      <c r="I231" s="264"/>
      <c r="J231" s="264"/>
      <c r="K231" s="264"/>
      <c r="L231" s="264"/>
      <c r="M231" s="264"/>
      <c r="N231" s="264"/>
      <c r="O231" s="264"/>
      <c r="P231" s="264"/>
      <c r="Q231" s="264"/>
      <c r="R231" s="264"/>
      <c r="S231" s="264"/>
      <c r="T231" s="264"/>
      <c r="U231" s="264"/>
      <c r="V231" s="264"/>
      <c r="W231" s="264"/>
      <c r="X231" s="264"/>
      <c r="Y231" s="264"/>
      <c r="Z231" s="264"/>
      <c r="AA231" s="264"/>
    </row>
    <row r="232" spans="1:27" ht="15.75" customHeight="1">
      <c r="A232" s="266" t="s">
        <v>8725</v>
      </c>
      <c r="B232" s="266" t="s">
        <v>8726</v>
      </c>
      <c r="C232" s="266" t="s">
        <v>8917</v>
      </c>
      <c r="D232" s="266" t="s">
        <v>1394</v>
      </c>
      <c r="E232" s="266" t="s">
        <v>7210</v>
      </c>
      <c r="F232" s="264"/>
      <c r="G232" s="264"/>
      <c r="H232" s="264"/>
      <c r="I232" s="264"/>
      <c r="J232" s="264"/>
      <c r="K232" s="264"/>
      <c r="L232" s="264"/>
      <c r="M232" s="264"/>
      <c r="N232" s="264"/>
      <c r="O232" s="264"/>
      <c r="P232" s="264"/>
      <c r="Q232" s="264"/>
      <c r="R232" s="264"/>
      <c r="S232" s="264"/>
      <c r="T232" s="264"/>
      <c r="U232" s="264"/>
      <c r="V232" s="264"/>
      <c r="W232" s="264"/>
      <c r="X232" s="264"/>
      <c r="Y232" s="264"/>
      <c r="Z232" s="264"/>
      <c r="AA232" s="264"/>
    </row>
    <row r="233" spans="1:27" ht="15.75" customHeight="1">
      <c r="A233" s="266" t="s">
        <v>8725</v>
      </c>
      <c r="B233" s="266" t="s">
        <v>8726</v>
      </c>
      <c r="C233" s="266" t="s">
        <v>8918</v>
      </c>
      <c r="D233" s="266" t="s">
        <v>8919</v>
      </c>
      <c r="E233" s="266" t="s">
        <v>7210</v>
      </c>
      <c r="F233" s="264"/>
      <c r="G233" s="264"/>
      <c r="H233" s="264"/>
      <c r="I233" s="264"/>
      <c r="J233" s="264"/>
      <c r="K233" s="264"/>
      <c r="L233" s="264"/>
      <c r="M233" s="264"/>
      <c r="N233" s="264"/>
      <c r="O233" s="264"/>
      <c r="P233" s="264"/>
      <c r="Q233" s="264"/>
      <c r="R233" s="264"/>
      <c r="S233" s="264"/>
      <c r="T233" s="264"/>
      <c r="U233" s="264"/>
      <c r="V233" s="264"/>
      <c r="W233" s="264"/>
      <c r="X233" s="264"/>
      <c r="Y233" s="264"/>
      <c r="Z233" s="264"/>
      <c r="AA233" s="264"/>
    </row>
    <row r="234" spans="1:27" ht="15.75" customHeight="1">
      <c r="A234" s="266" t="s">
        <v>8725</v>
      </c>
      <c r="B234" s="266" t="s">
        <v>8726</v>
      </c>
      <c r="C234" s="266" t="s">
        <v>8920</v>
      </c>
      <c r="D234" s="266" t="s">
        <v>8921</v>
      </c>
      <c r="E234" s="266" t="s">
        <v>7210</v>
      </c>
      <c r="F234" s="264"/>
      <c r="G234" s="264"/>
      <c r="H234" s="264"/>
      <c r="I234" s="264"/>
      <c r="J234" s="264"/>
      <c r="K234" s="264"/>
      <c r="L234" s="264"/>
      <c r="M234" s="264"/>
      <c r="N234" s="264"/>
      <c r="O234" s="264"/>
      <c r="P234" s="264"/>
      <c r="Q234" s="264"/>
      <c r="R234" s="264"/>
      <c r="S234" s="264"/>
      <c r="T234" s="264"/>
      <c r="U234" s="264"/>
      <c r="V234" s="264"/>
      <c r="W234" s="264"/>
      <c r="X234" s="264"/>
      <c r="Y234" s="264"/>
      <c r="Z234" s="264"/>
      <c r="AA234" s="264"/>
    </row>
    <row r="235" spans="1:27" ht="15.75" customHeight="1">
      <c r="A235" s="266" t="s">
        <v>8725</v>
      </c>
      <c r="B235" s="266" t="s">
        <v>8726</v>
      </c>
      <c r="C235" s="266" t="s">
        <v>8922</v>
      </c>
      <c r="D235" s="266" t="s">
        <v>8923</v>
      </c>
      <c r="E235" s="266" t="s">
        <v>7210</v>
      </c>
      <c r="F235" s="264"/>
      <c r="G235" s="264"/>
      <c r="H235" s="264"/>
      <c r="I235" s="264"/>
      <c r="J235" s="264"/>
      <c r="K235" s="264"/>
      <c r="L235" s="264"/>
      <c r="M235" s="264"/>
      <c r="N235" s="264"/>
      <c r="O235" s="264"/>
      <c r="P235" s="264"/>
      <c r="Q235" s="264"/>
      <c r="R235" s="264"/>
      <c r="S235" s="264"/>
      <c r="T235" s="264"/>
      <c r="U235" s="264"/>
      <c r="V235" s="264"/>
      <c r="W235" s="264"/>
      <c r="X235" s="264"/>
      <c r="Y235" s="264"/>
      <c r="Z235" s="264"/>
      <c r="AA235" s="264"/>
    </row>
    <row r="236" spans="1:27" ht="15.75" customHeight="1">
      <c r="A236" s="266" t="s">
        <v>8725</v>
      </c>
      <c r="B236" s="266" t="s">
        <v>8726</v>
      </c>
      <c r="C236" s="266" t="s">
        <v>8924</v>
      </c>
      <c r="D236" s="266" t="s">
        <v>8925</v>
      </c>
      <c r="E236" s="266" t="s">
        <v>7210</v>
      </c>
      <c r="F236" s="264"/>
      <c r="G236" s="264"/>
      <c r="H236" s="264"/>
      <c r="I236" s="264"/>
      <c r="J236" s="264"/>
      <c r="K236" s="264"/>
      <c r="L236" s="264"/>
      <c r="M236" s="264"/>
      <c r="N236" s="264"/>
      <c r="O236" s="264"/>
      <c r="P236" s="264"/>
      <c r="Q236" s="264"/>
      <c r="R236" s="264"/>
      <c r="S236" s="264"/>
      <c r="T236" s="264"/>
      <c r="U236" s="264"/>
      <c r="V236" s="264"/>
      <c r="W236" s="264"/>
      <c r="X236" s="264"/>
      <c r="Y236" s="264"/>
      <c r="Z236" s="264"/>
      <c r="AA236" s="264"/>
    </row>
    <row r="237" spans="1:27" ht="15.75" customHeight="1">
      <c r="A237" s="266" t="s">
        <v>8725</v>
      </c>
      <c r="B237" s="266" t="s">
        <v>8726</v>
      </c>
      <c r="C237" s="266" t="s">
        <v>8926</v>
      </c>
      <c r="D237" s="266" t="s">
        <v>8927</v>
      </c>
      <c r="E237" s="266" t="s">
        <v>7210</v>
      </c>
      <c r="F237" s="264"/>
      <c r="G237" s="264"/>
      <c r="H237" s="264"/>
      <c r="I237" s="264"/>
      <c r="J237" s="264"/>
      <c r="K237" s="264"/>
      <c r="L237" s="264"/>
      <c r="M237" s="264"/>
      <c r="N237" s="264"/>
      <c r="O237" s="264"/>
      <c r="P237" s="264"/>
      <c r="Q237" s="264"/>
      <c r="R237" s="264"/>
      <c r="S237" s="264"/>
      <c r="T237" s="264"/>
      <c r="U237" s="264"/>
      <c r="V237" s="264"/>
      <c r="W237" s="264"/>
      <c r="X237" s="264"/>
      <c r="Y237" s="264"/>
      <c r="Z237" s="264"/>
      <c r="AA237" s="264"/>
    </row>
    <row r="238" spans="1:27" ht="15.75" customHeight="1">
      <c r="A238" s="266" t="s">
        <v>8725</v>
      </c>
      <c r="B238" s="266" t="s">
        <v>8726</v>
      </c>
      <c r="C238" s="266" t="s">
        <v>8928</v>
      </c>
      <c r="D238" s="266" t="s">
        <v>8929</v>
      </c>
      <c r="E238" s="266" t="s">
        <v>7210</v>
      </c>
      <c r="F238" s="264"/>
      <c r="G238" s="264"/>
      <c r="H238" s="264"/>
      <c r="I238" s="264"/>
      <c r="J238" s="264"/>
      <c r="K238" s="264"/>
      <c r="L238" s="264"/>
      <c r="M238" s="264"/>
      <c r="N238" s="264"/>
      <c r="O238" s="264"/>
      <c r="P238" s="264"/>
      <c r="Q238" s="264"/>
      <c r="R238" s="264"/>
      <c r="S238" s="264"/>
      <c r="T238" s="264"/>
      <c r="U238" s="264"/>
      <c r="V238" s="264"/>
      <c r="W238" s="264"/>
      <c r="X238" s="264"/>
      <c r="Y238" s="264"/>
      <c r="Z238" s="264"/>
      <c r="AA238" s="264"/>
    </row>
    <row r="239" spans="1:27" ht="15.75" customHeight="1">
      <c r="A239" s="266" t="s">
        <v>8725</v>
      </c>
      <c r="B239" s="266" t="s">
        <v>8726</v>
      </c>
      <c r="C239" s="266" t="s">
        <v>8930</v>
      </c>
      <c r="D239" s="269" t="s">
        <v>5616</v>
      </c>
      <c r="E239" s="266" t="s">
        <v>7210</v>
      </c>
      <c r="F239" s="264"/>
      <c r="G239" s="264"/>
      <c r="H239" s="264"/>
      <c r="I239" s="264"/>
      <c r="J239" s="264"/>
      <c r="K239" s="264"/>
      <c r="L239" s="264"/>
      <c r="M239" s="264"/>
      <c r="N239" s="264"/>
      <c r="O239" s="264"/>
      <c r="P239" s="264"/>
      <c r="Q239" s="264"/>
      <c r="R239" s="264"/>
      <c r="S239" s="264"/>
      <c r="T239" s="264"/>
      <c r="U239" s="264"/>
      <c r="V239" s="264"/>
      <c r="W239" s="264"/>
      <c r="X239" s="264"/>
      <c r="Y239" s="264"/>
      <c r="Z239" s="264"/>
      <c r="AA239" s="264"/>
    </row>
    <row r="240" spans="1:27" ht="15.75" customHeight="1">
      <c r="A240" s="266" t="s">
        <v>8725</v>
      </c>
      <c r="B240" s="266" t="s">
        <v>8726</v>
      </c>
      <c r="C240" s="266" t="s">
        <v>8931</v>
      </c>
      <c r="D240" s="266" t="s">
        <v>8900</v>
      </c>
      <c r="E240" s="266" t="s">
        <v>7210</v>
      </c>
      <c r="F240" s="264"/>
      <c r="G240" s="264"/>
      <c r="H240" s="264"/>
      <c r="I240" s="264"/>
      <c r="J240" s="264"/>
      <c r="K240" s="264"/>
      <c r="L240" s="264"/>
      <c r="M240" s="264"/>
      <c r="N240" s="264"/>
      <c r="O240" s="264"/>
      <c r="P240" s="264"/>
      <c r="Q240" s="264"/>
      <c r="R240" s="264"/>
      <c r="S240" s="264"/>
      <c r="T240" s="264"/>
      <c r="U240" s="264"/>
      <c r="V240" s="264"/>
      <c r="W240" s="264"/>
      <c r="X240" s="264"/>
      <c r="Y240" s="264"/>
      <c r="Z240" s="264"/>
      <c r="AA240" s="264"/>
    </row>
    <row r="241" spans="1:27" ht="15.75" customHeight="1">
      <c r="A241" s="266" t="s">
        <v>8725</v>
      </c>
      <c r="B241" s="266" t="s">
        <v>8726</v>
      </c>
      <c r="C241" s="266" t="s">
        <v>8932</v>
      </c>
      <c r="D241" s="266" t="s">
        <v>8933</v>
      </c>
      <c r="E241" s="266" t="s">
        <v>7210</v>
      </c>
      <c r="F241" s="264"/>
      <c r="G241" s="264"/>
      <c r="H241" s="264"/>
      <c r="I241" s="264"/>
      <c r="J241" s="264"/>
      <c r="K241" s="264"/>
      <c r="L241" s="264"/>
      <c r="M241" s="264"/>
      <c r="N241" s="264"/>
      <c r="O241" s="264"/>
      <c r="P241" s="264"/>
      <c r="Q241" s="264"/>
      <c r="R241" s="264"/>
      <c r="S241" s="264"/>
      <c r="T241" s="264"/>
      <c r="U241" s="264"/>
      <c r="V241" s="264"/>
      <c r="W241" s="264"/>
      <c r="X241" s="264"/>
      <c r="Y241" s="264"/>
      <c r="Z241" s="264"/>
      <c r="AA241" s="264"/>
    </row>
    <row r="242" spans="1:27" ht="15.75" customHeight="1">
      <c r="A242" s="266" t="s">
        <v>8725</v>
      </c>
      <c r="B242" s="266" t="s">
        <v>8726</v>
      </c>
      <c r="C242" s="266" t="s">
        <v>8934</v>
      </c>
      <c r="D242" s="266" t="s">
        <v>8935</v>
      </c>
      <c r="E242" s="266" t="s">
        <v>7210</v>
      </c>
      <c r="F242" s="264"/>
      <c r="G242" s="264"/>
      <c r="H242" s="264"/>
      <c r="I242" s="264"/>
      <c r="J242" s="264"/>
      <c r="K242" s="264"/>
      <c r="L242" s="264"/>
      <c r="M242" s="264"/>
      <c r="N242" s="264"/>
      <c r="O242" s="264"/>
      <c r="P242" s="264"/>
      <c r="Q242" s="264"/>
      <c r="R242" s="264"/>
      <c r="S242" s="264"/>
      <c r="T242" s="264"/>
      <c r="U242" s="264"/>
      <c r="V242" s="264"/>
      <c r="W242" s="264"/>
      <c r="X242" s="264"/>
      <c r="Y242" s="264"/>
      <c r="Z242" s="264"/>
      <c r="AA242" s="264"/>
    </row>
    <row r="243" spans="1:27" ht="15.75" customHeight="1">
      <c r="A243" s="266" t="s">
        <v>8725</v>
      </c>
      <c r="B243" s="266" t="s">
        <v>8726</v>
      </c>
      <c r="C243" s="266" t="s">
        <v>8936</v>
      </c>
      <c r="D243" s="266" t="s">
        <v>8937</v>
      </c>
      <c r="E243" s="266" t="s">
        <v>7210</v>
      </c>
      <c r="F243" s="264"/>
      <c r="G243" s="264"/>
      <c r="H243" s="264"/>
      <c r="I243" s="264"/>
      <c r="J243" s="264"/>
      <c r="K243" s="264"/>
      <c r="L243" s="264"/>
      <c r="M243" s="264"/>
      <c r="N243" s="264"/>
      <c r="O243" s="264"/>
      <c r="P243" s="264"/>
      <c r="Q243" s="264"/>
      <c r="R243" s="264"/>
      <c r="S243" s="264"/>
      <c r="T243" s="264"/>
      <c r="U243" s="264"/>
      <c r="V243" s="264"/>
      <c r="W243" s="264"/>
      <c r="X243" s="264"/>
      <c r="Y243" s="264"/>
      <c r="Z243" s="264"/>
      <c r="AA243" s="264"/>
    </row>
    <row r="244" spans="1:27" ht="15.75" customHeight="1">
      <c r="A244" s="266" t="s">
        <v>8725</v>
      </c>
      <c r="B244" s="266" t="s">
        <v>8726</v>
      </c>
      <c r="C244" s="266" t="s">
        <v>8938</v>
      </c>
      <c r="D244" s="269" t="s">
        <v>8939</v>
      </c>
      <c r="E244" s="266" t="s">
        <v>7210</v>
      </c>
      <c r="F244" s="264"/>
      <c r="G244" s="264"/>
      <c r="H244" s="264"/>
      <c r="I244" s="264"/>
      <c r="J244" s="264"/>
      <c r="K244" s="264"/>
      <c r="L244" s="264"/>
      <c r="M244" s="264"/>
      <c r="N244" s="264"/>
      <c r="O244" s="264"/>
      <c r="P244" s="264"/>
      <c r="Q244" s="264"/>
      <c r="R244" s="264"/>
      <c r="S244" s="264"/>
      <c r="T244" s="264"/>
      <c r="U244" s="264"/>
      <c r="V244" s="264"/>
      <c r="W244" s="264"/>
      <c r="X244" s="264"/>
      <c r="Y244" s="264"/>
      <c r="Z244" s="264"/>
      <c r="AA244" s="264"/>
    </row>
    <row r="245" spans="1:27" ht="15.75" customHeight="1">
      <c r="A245" s="266" t="s">
        <v>8725</v>
      </c>
      <c r="B245" s="266" t="s">
        <v>8726</v>
      </c>
      <c r="C245" s="266" t="s">
        <v>8940</v>
      </c>
      <c r="D245" s="269" t="s">
        <v>8941</v>
      </c>
      <c r="E245" s="266" t="s">
        <v>7210</v>
      </c>
      <c r="F245" s="264"/>
      <c r="G245" s="264"/>
      <c r="H245" s="264"/>
      <c r="I245" s="264"/>
      <c r="J245" s="264"/>
      <c r="K245" s="264"/>
      <c r="L245" s="264"/>
      <c r="M245" s="264"/>
      <c r="N245" s="264"/>
      <c r="O245" s="264"/>
      <c r="P245" s="264"/>
      <c r="Q245" s="264"/>
      <c r="R245" s="264"/>
      <c r="S245" s="264"/>
      <c r="T245" s="264"/>
      <c r="U245" s="264"/>
      <c r="V245" s="264"/>
      <c r="W245" s="264"/>
      <c r="X245" s="264"/>
      <c r="Y245" s="264"/>
      <c r="Z245" s="264"/>
      <c r="AA245" s="264"/>
    </row>
    <row r="246" spans="1:27" ht="15.75" customHeight="1">
      <c r="A246" s="266" t="s">
        <v>8725</v>
      </c>
      <c r="B246" s="266" t="s">
        <v>8726</v>
      </c>
      <c r="C246" s="266" t="s">
        <v>8942</v>
      </c>
      <c r="D246" s="266" t="s">
        <v>8943</v>
      </c>
      <c r="E246" s="266" t="s">
        <v>7210</v>
      </c>
      <c r="F246" s="264"/>
      <c r="G246" s="264"/>
      <c r="H246" s="264"/>
      <c r="I246" s="264"/>
      <c r="J246" s="264"/>
      <c r="K246" s="264"/>
      <c r="L246" s="264"/>
      <c r="M246" s="264"/>
      <c r="N246" s="264"/>
      <c r="O246" s="264"/>
      <c r="P246" s="264"/>
      <c r="Q246" s="264"/>
      <c r="R246" s="264"/>
      <c r="S246" s="264"/>
      <c r="T246" s="264"/>
      <c r="U246" s="264"/>
      <c r="V246" s="264"/>
      <c r="W246" s="264"/>
      <c r="X246" s="264"/>
      <c r="Y246" s="264"/>
      <c r="Z246" s="264"/>
      <c r="AA246" s="264"/>
    </row>
    <row r="247" spans="1:27" ht="15.75" customHeight="1">
      <c r="A247" s="266" t="s">
        <v>8725</v>
      </c>
      <c r="B247" s="266" t="s">
        <v>8726</v>
      </c>
      <c r="C247" s="266" t="s">
        <v>8944</v>
      </c>
      <c r="D247" s="266" t="s">
        <v>8945</v>
      </c>
      <c r="E247" s="266" t="s">
        <v>7210</v>
      </c>
      <c r="F247" s="264"/>
      <c r="G247" s="264"/>
      <c r="H247" s="264"/>
      <c r="I247" s="264"/>
      <c r="J247" s="264"/>
      <c r="K247" s="264"/>
      <c r="L247" s="264"/>
      <c r="M247" s="264"/>
      <c r="N247" s="264"/>
      <c r="O247" s="264"/>
      <c r="P247" s="264"/>
      <c r="Q247" s="264"/>
      <c r="R247" s="264"/>
      <c r="S247" s="264"/>
      <c r="T247" s="264"/>
      <c r="U247" s="264"/>
      <c r="V247" s="264"/>
      <c r="W247" s="264"/>
      <c r="X247" s="264"/>
      <c r="Y247" s="264"/>
      <c r="Z247" s="264"/>
      <c r="AA247" s="264"/>
    </row>
    <row r="248" spans="1:27" ht="15.75" customHeight="1">
      <c r="A248" s="266" t="s">
        <v>8725</v>
      </c>
      <c r="B248" s="266" t="s">
        <v>8726</v>
      </c>
      <c r="C248" s="266" t="s">
        <v>8946</v>
      </c>
      <c r="D248" s="266" t="s">
        <v>8947</v>
      </c>
      <c r="E248" s="266" t="s">
        <v>7210</v>
      </c>
      <c r="F248" s="264"/>
      <c r="G248" s="264"/>
      <c r="H248" s="264"/>
      <c r="I248" s="264"/>
      <c r="J248" s="264"/>
      <c r="K248" s="264"/>
      <c r="L248" s="264"/>
      <c r="M248" s="264"/>
      <c r="N248" s="264"/>
      <c r="O248" s="264"/>
      <c r="P248" s="264"/>
      <c r="Q248" s="264"/>
      <c r="R248" s="264"/>
      <c r="S248" s="264"/>
      <c r="T248" s="264"/>
      <c r="U248" s="264"/>
      <c r="V248" s="264"/>
      <c r="W248" s="264"/>
      <c r="X248" s="264"/>
      <c r="Y248" s="264"/>
      <c r="Z248" s="264"/>
      <c r="AA248" s="264"/>
    </row>
    <row r="249" spans="1:27" ht="15.75" customHeight="1">
      <c r="A249" s="266" t="s">
        <v>8725</v>
      </c>
      <c r="B249" s="266" t="s">
        <v>8726</v>
      </c>
      <c r="C249" s="266" t="s">
        <v>8948</v>
      </c>
      <c r="D249" s="266" t="s">
        <v>8949</v>
      </c>
      <c r="E249" s="266" t="s">
        <v>7210</v>
      </c>
      <c r="F249" s="264"/>
      <c r="G249" s="264"/>
      <c r="H249" s="264"/>
      <c r="I249" s="264"/>
      <c r="J249" s="264"/>
      <c r="K249" s="264"/>
      <c r="L249" s="264"/>
      <c r="M249" s="264"/>
      <c r="N249" s="264"/>
      <c r="O249" s="264"/>
      <c r="P249" s="264"/>
      <c r="Q249" s="264"/>
      <c r="R249" s="264"/>
      <c r="S249" s="264"/>
      <c r="T249" s="264"/>
      <c r="U249" s="264"/>
      <c r="V249" s="264"/>
      <c r="W249" s="264"/>
      <c r="X249" s="264"/>
      <c r="Y249" s="264"/>
      <c r="Z249" s="264"/>
      <c r="AA249" s="264"/>
    </row>
    <row r="250" spans="1:27" ht="15.75" customHeight="1">
      <c r="A250" s="266" t="s">
        <v>8725</v>
      </c>
      <c r="B250" s="266" t="s">
        <v>8726</v>
      </c>
      <c r="C250" s="266" t="s">
        <v>8950</v>
      </c>
      <c r="D250" s="266" t="s">
        <v>8951</v>
      </c>
      <c r="E250" s="266" t="s">
        <v>7210</v>
      </c>
      <c r="F250" s="264"/>
      <c r="G250" s="264"/>
      <c r="H250" s="264"/>
      <c r="I250" s="264"/>
      <c r="J250" s="264"/>
      <c r="K250" s="264"/>
      <c r="L250" s="264"/>
      <c r="M250" s="264"/>
      <c r="N250" s="264"/>
      <c r="O250" s="264"/>
      <c r="P250" s="264"/>
      <c r="Q250" s="264"/>
      <c r="R250" s="264"/>
      <c r="S250" s="264"/>
      <c r="T250" s="264"/>
      <c r="U250" s="264"/>
      <c r="V250" s="264"/>
      <c r="W250" s="264"/>
      <c r="X250" s="264"/>
      <c r="Y250" s="264"/>
      <c r="Z250" s="264"/>
      <c r="AA250" s="264"/>
    </row>
    <row r="251" spans="1:27" ht="15.75" customHeight="1">
      <c r="A251" s="266" t="s">
        <v>8725</v>
      </c>
      <c r="B251" s="266" t="s">
        <v>8726</v>
      </c>
      <c r="C251" s="269" t="s">
        <v>8952</v>
      </c>
      <c r="D251" s="266" t="s">
        <v>8953</v>
      </c>
      <c r="E251" s="266" t="s">
        <v>7210</v>
      </c>
      <c r="F251" s="264"/>
      <c r="G251" s="264"/>
      <c r="H251" s="264"/>
      <c r="I251" s="264"/>
      <c r="J251" s="264"/>
      <c r="K251" s="264"/>
      <c r="L251" s="264"/>
      <c r="M251" s="264"/>
      <c r="N251" s="264"/>
      <c r="O251" s="264"/>
      <c r="P251" s="264"/>
      <c r="Q251" s="264"/>
      <c r="R251" s="264"/>
      <c r="S251" s="264"/>
      <c r="T251" s="264"/>
      <c r="U251" s="264"/>
      <c r="V251" s="264"/>
      <c r="W251" s="264"/>
      <c r="X251" s="264"/>
      <c r="Y251" s="264"/>
      <c r="Z251" s="264"/>
      <c r="AA251" s="264"/>
    </row>
    <row r="252" spans="1:27" ht="15.75" customHeight="1">
      <c r="A252" s="266" t="s">
        <v>8725</v>
      </c>
      <c r="B252" s="266" t="s">
        <v>8726</v>
      </c>
      <c r="C252" s="269" t="s">
        <v>8954</v>
      </c>
      <c r="D252" s="269" t="s">
        <v>8955</v>
      </c>
      <c r="E252" s="266" t="s">
        <v>7210</v>
      </c>
      <c r="F252" s="264"/>
      <c r="G252" s="264"/>
      <c r="H252" s="264"/>
      <c r="I252" s="264"/>
      <c r="J252" s="264"/>
      <c r="K252" s="264"/>
      <c r="L252" s="264"/>
      <c r="M252" s="264"/>
      <c r="N252" s="264"/>
      <c r="O252" s="264"/>
      <c r="P252" s="264"/>
      <c r="Q252" s="264"/>
      <c r="R252" s="264"/>
      <c r="S252" s="264"/>
      <c r="T252" s="264"/>
      <c r="U252" s="264"/>
      <c r="V252" s="264"/>
      <c r="W252" s="264"/>
      <c r="X252" s="264"/>
      <c r="Y252" s="264"/>
      <c r="Z252" s="264"/>
      <c r="AA252" s="264"/>
    </row>
    <row r="253" spans="1:27" ht="15.75" customHeight="1">
      <c r="A253" s="266" t="s">
        <v>8725</v>
      </c>
      <c r="B253" s="266" t="s">
        <v>8726</v>
      </c>
      <c r="C253" s="269" t="s">
        <v>8956</v>
      </c>
      <c r="D253" s="269" t="s">
        <v>8957</v>
      </c>
      <c r="E253" s="266" t="s">
        <v>7210</v>
      </c>
      <c r="F253" s="264"/>
      <c r="G253" s="264"/>
      <c r="H253" s="264"/>
      <c r="I253" s="264"/>
      <c r="J253" s="264"/>
      <c r="K253" s="264"/>
      <c r="L253" s="264"/>
      <c r="M253" s="264"/>
      <c r="N253" s="264"/>
      <c r="O253" s="264"/>
      <c r="P253" s="264"/>
      <c r="Q253" s="264"/>
      <c r="R253" s="264"/>
      <c r="S253" s="264"/>
      <c r="T253" s="264"/>
      <c r="U253" s="264"/>
      <c r="V253" s="264"/>
      <c r="W253" s="264"/>
      <c r="X253" s="264"/>
      <c r="Y253" s="264"/>
      <c r="Z253" s="264"/>
      <c r="AA253" s="264"/>
    </row>
    <row r="254" spans="1:27" ht="15.75" customHeight="1">
      <c r="A254" s="266" t="s">
        <v>8725</v>
      </c>
      <c r="B254" s="266" t="s">
        <v>8726</v>
      </c>
      <c r="C254" s="269" t="s">
        <v>8958</v>
      </c>
      <c r="D254" s="266" t="s">
        <v>8959</v>
      </c>
      <c r="E254" s="266" t="s">
        <v>7210</v>
      </c>
      <c r="F254" s="264"/>
      <c r="G254" s="264"/>
      <c r="H254" s="264"/>
      <c r="I254" s="264"/>
      <c r="J254" s="264"/>
      <c r="K254" s="264"/>
      <c r="L254" s="264"/>
      <c r="M254" s="264"/>
      <c r="N254" s="264"/>
      <c r="O254" s="264"/>
      <c r="P254" s="264"/>
      <c r="Q254" s="264"/>
      <c r="R254" s="264"/>
      <c r="S254" s="264"/>
      <c r="T254" s="264"/>
      <c r="U254" s="264"/>
      <c r="V254" s="264"/>
      <c r="W254" s="264"/>
      <c r="X254" s="264"/>
      <c r="Y254" s="264"/>
      <c r="Z254" s="264"/>
      <c r="AA254" s="264"/>
    </row>
    <row r="255" spans="1:27" ht="15.75" customHeight="1">
      <c r="A255" s="266" t="s">
        <v>8725</v>
      </c>
      <c r="B255" s="266" t="s">
        <v>8726</v>
      </c>
      <c r="C255" s="269" t="s">
        <v>8960</v>
      </c>
      <c r="D255" s="266" t="s">
        <v>8961</v>
      </c>
      <c r="E255" s="266" t="s">
        <v>7210</v>
      </c>
      <c r="F255" s="264"/>
      <c r="G255" s="264"/>
      <c r="H255" s="264"/>
      <c r="I255" s="264"/>
      <c r="J255" s="264"/>
      <c r="K255" s="264"/>
      <c r="L255" s="264"/>
      <c r="M255" s="264"/>
      <c r="N255" s="264"/>
      <c r="O255" s="264"/>
      <c r="P255" s="264"/>
      <c r="Q255" s="264"/>
      <c r="R255" s="264"/>
      <c r="S255" s="264"/>
      <c r="T255" s="264"/>
      <c r="U255" s="264"/>
      <c r="V255" s="264"/>
      <c r="W255" s="264"/>
      <c r="X255" s="264"/>
      <c r="Y255" s="264"/>
      <c r="Z255" s="264"/>
      <c r="AA255" s="264"/>
    </row>
    <row r="256" spans="1:27" ht="15.75" customHeight="1">
      <c r="A256" s="266" t="s">
        <v>8725</v>
      </c>
      <c r="B256" s="266" t="s">
        <v>8726</v>
      </c>
      <c r="C256" s="269" t="s">
        <v>8962</v>
      </c>
      <c r="D256" s="269" t="s">
        <v>8963</v>
      </c>
      <c r="E256" s="266" t="s">
        <v>8687</v>
      </c>
      <c r="F256" s="264"/>
      <c r="G256" s="264"/>
      <c r="H256" s="264"/>
      <c r="I256" s="264"/>
      <c r="J256" s="264"/>
      <c r="K256" s="264"/>
      <c r="L256" s="264"/>
      <c r="M256" s="264"/>
      <c r="N256" s="264"/>
      <c r="O256" s="264"/>
      <c r="P256" s="264"/>
      <c r="Q256" s="264"/>
      <c r="R256" s="264"/>
      <c r="S256" s="264"/>
      <c r="T256" s="264"/>
      <c r="U256" s="264"/>
      <c r="V256" s="264"/>
      <c r="W256" s="264"/>
      <c r="X256" s="264"/>
      <c r="Y256" s="264"/>
      <c r="Z256" s="264"/>
      <c r="AA256" s="264"/>
    </row>
    <row r="257" spans="1:27" ht="15.75" customHeight="1">
      <c r="A257" s="266" t="s">
        <v>8725</v>
      </c>
      <c r="B257" s="266" t="s">
        <v>8726</v>
      </c>
      <c r="C257" s="266" t="s">
        <v>8964</v>
      </c>
      <c r="D257" s="269" t="s">
        <v>8965</v>
      </c>
      <c r="E257" s="266" t="s">
        <v>8687</v>
      </c>
      <c r="F257" s="264"/>
      <c r="G257" s="264"/>
      <c r="H257" s="264"/>
      <c r="I257" s="264"/>
      <c r="J257" s="264"/>
      <c r="K257" s="264"/>
      <c r="L257" s="264"/>
      <c r="M257" s="264"/>
      <c r="N257" s="264"/>
      <c r="O257" s="264"/>
      <c r="P257" s="264"/>
      <c r="Q257" s="264"/>
      <c r="R257" s="264"/>
      <c r="S257" s="264"/>
      <c r="T257" s="264"/>
      <c r="U257" s="264"/>
      <c r="V257" s="264"/>
      <c r="W257" s="264"/>
      <c r="X257" s="264"/>
      <c r="Y257" s="264"/>
      <c r="Z257" s="264"/>
      <c r="AA257" s="264"/>
    </row>
    <row r="258" spans="1:27" ht="15.75" customHeight="1">
      <c r="A258" s="266" t="s">
        <v>8725</v>
      </c>
      <c r="B258" s="266" t="s">
        <v>8726</v>
      </c>
      <c r="C258" s="266" t="s">
        <v>8966</v>
      </c>
      <c r="D258" s="269" t="s">
        <v>8967</v>
      </c>
      <c r="E258" s="266" t="s">
        <v>8687</v>
      </c>
      <c r="F258" s="264"/>
      <c r="G258" s="264"/>
      <c r="H258" s="264"/>
      <c r="I258" s="264"/>
      <c r="J258" s="264"/>
      <c r="K258" s="264"/>
      <c r="L258" s="264"/>
      <c r="M258" s="264"/>
      <c r="N258" s="264"/>
      <c r="O258" s="264"/>
      <c r="P258" s="264"/>
      <c r="Q258" s="264"/>
      <c r="R258" s="264"/>
      <c r="S258" s="264"/>
      <c r="T258" s="264"/>
      <c r="U258" s="264"/>
      <c r="V258" s="264"/>
      <c r="W258" s="264"/>
      <c r="X258" s="264"/>
      <c r="Y258" s="264"/>
      <c r="Z258" s="264"/>
      <c r="AA258" s="264"/>
    </row>
    <row r="259" spans="1:27" ht="15.75" customHeight="1">
      <c r="A259" s="266" t="s">
        <v>8725</v>
      </c>
      <c r="B259" s="266" t="s">
        <v>8726</v>
      </c>
      <c r="C259" s="266" t="s">
        <v>8968</v>
      </c>
      <c r="D259" s="269" t="s">
        <v>8969</v>
      </c>
      <c r="E259" s="266" t="s">
        <v>8687</v>
      </c>
      <c r="F259" s="264"/>
      <c r="G259" s="264"/>
      <c r="H259" s="264"/>
      <c r="I259" s="264"/>
      <c r="J259" s="264"/>
      <c r="K259" s="264"/>
      <c r="L259" s="264"/>
      <c r="M259" s="264"/>
      <c r="N259" s="264"/>
      <c r="O259" s="264"/>
      <c r="P259" s="264"/>
      <c r="Q259" s="264"/>
      <c r="R259" s="264"/>
      <c r="S259" s="264"/>
      <c r="T259" s="264"/>
      <c r="U259" s="264"/>
      <c r="V259" s="264"/>
      <c r="W259" s="264"/>
      <c r="X259" s="264"/>
      <c r="Y259" s="264"/>
      <c r="Z259" s="264"/>
      <c r="AA259" s="264"/>
    </row>
    <row r="260" spans="1:27" ht="15.75" customHeight="1">
      <c r="A260" s="266" t="s">
        <v>8725</v>
      </c>
      <c r="B260" s="266" t="s">
        <v>8726</v>
      </c>
      <c r="C260" s="266" t="s">
        <v>8970</v>
      </c>
      <c r="D260" s="269" t="s">
        <v>8971</v>
      </c>
      <c r="E260" s="266" t="s">
        <v>8687</v>
      </c>
      <c r="F260" s="264"/>
      <c r="G260" s="264"/>
      <c r="H260" s="264"/>
      <c r="I260" s="264"/>
      <c r="J260" s="264"/>
      <c r="K260" s="264"/>
      <c r="L260" s="264"/>
      <c r="M260" s="264"/>
      <c r="N260" s="264"/>
      <c r="O260" s="264"/>
      <c r="P260" s="264"/>
      <c r="Q260" s="264"/>
      <c r="R260" s="264"/>
      <c r="S260" s="264"/>
      <c r="T260" s="264"/>
      <c r="U260" s="264"/>
      <c r="V260" s="264"/>
      <c r="W260" s="264"/>
      <c r="X260" s="264"/>
      <c r="Y260" s="264"/>
      <c r="Z260" s="264"/>
      <c r="AA260" s="264"/>
    </row>
    <row r="261" spans="1:27" ht="15.75" customHeight="1">
      <c r="A261" s="266" t="s">
        <v>8725</v>
      </c>
      <c r="B261" s="266" t="s">
        <v>8726</v>
      </c>
      <c r="C261" s="266" t="s">
        <v>8972</v>
      </c>
      <c r="D261" s="266" t="s">
        <v>8973</v>
      </c>
      <c r="E261" s="266" t="s">
        <v>8687</v>
      </c>
      <c r="F261" s="264"/>
      <c r="G261" s="264"/>
      <c r="H261" s="264"/>
      <c r="I261" s="264"/>
      <c r="J261" s="264"/>
      <c r="K261" s="264"/>
      <c r="L261" s="264"/>
      <c r="M261" s="264"/>
      <c r="N261" s="264"/>
      <c r="O261" s="264"/>
      <c r="P261" s="264"/>
      <c r="Q261" s="264"/>
      <c r="R261" s="264"/>
      <c r="S261" s="264"/>
      <c r="T261" s="264"/>
      <c r="U261" s="264"/>
      <c r="V261" s="264"/>
      <c r="W261" s="264"/>
      <c r="X261" s="264"/>
      <c r="Y261" s="264"/>
      <c r="Z261" s="264"/>
      <c r="AA261" s="264"/>
    </row>
    <row r="262" spans="1:27" ht="15.75" customHeight="1">
      <c r="A262" s="266" t="s">
        <v>8725</v>
      </c>
      <c r="B262" s="266" t="s">
        <v>8726</v>
      </c>
      <c r="C262" s="266" t="s">
        <v>8974</v>
      </c>
      <c r="D262" s="269" t="s">
        <v>8975</v>
      </c>
      <c r="E262" s="266" t="s">
        <v>5672</v>
      </c>
      <c r="F262" s="264"/>
      <c r="G262" s="264"/>
      <c r="H262" s="264"/>
      <c r="I262" s="264"/>
      <c r="J262" s="264"/>
      <c r="K262" s="264"/>
      <c r="L262" s="264"/>
      <c r="M262" s="264"/>
      <c r="N262" s="264"/>
      <c r="O262" s="264"/>
      <c r="P262" s="264"/>
      <c r="Q262" s="264"/>
      <c r="R262" s="264"/>
      <c r="S262" s="264"/>
      <c r="T262" s="264"/>
      <c r="U262" s="264"/>
      <c r="V262" s="264"/>
      <c r="W262" s="264"/>
      <c r="X262" s="264"/>
      <c r="Y262" s="264"/>
      <c r="Z262" s="264"/>
      <c r="AA262" s="264"/>
    </row>
    <row r="263" spans="1:27" ht="15.75" customHeight="1">
      <c r="A263" s="266" t="s">
        <v>8725</v>
      </c>
      <c r="B263" s="266" t="s">
        <v>8726</v>
      </c>
      <c r="C263" s="266" t="s">
        <v>8976</v>
      </c>
      <c r="D263" s="266" t="s">
        <v>8977</v>
      </c>
      <c r="E263" s="266" t="s">
        <v>5672</v>
      </c>
      <c r="F263" s="264"/>
      <c r="G263" s="264"/>
      <c r="H263" s="264"/>
      <c r="I263" s="264"/>
      <c r="J263" s="264"/>
      <c r="K263" s="264"/>
      <c r="L263" s="264"/>
      <c r="M263" s="264"/>
      <c r="N263" s="264"/>
      <c r="O263" s="264"/>
      <c r="P263" s="264"/>
      <c r="Q263" s="264"/>
      <c r="R263" s="264"/>
      <c r="S263" s="264"/>
      <c r="T263" s="264"/>
      <c r="U263" s="264"/>
      <c r="V263" s="264"/>
      <c r="W263" s="264"/>
      <c r="X263" s="264"/>
      <c r="Y263" s="264"/>
      <c r="Z263" s="264"/>
      <c r="AA263" s="264"/>
    </row>
    <row r="264" spans="1:27" ht="15.75" customHeight="1">
      <c r="A264" s="266" t="s">
        <v>8725</v>
      </c>
      <c r="B264" s="266" t="s">
        <v>8726</v>
      </c>
      <c r="C264" s="266" t="s">
        <v>8978</v>
      </c>
      <c r="D264" s="266" t="s">
        <v>8979</v>
      </c>
      <c r="E264" s="266" t="s">
        <v>5672</v>
      </c>
      <c r="F264" s="264"/>
      <c r="G264" s="264"/>
      <c r="H264" s="264"/>
      <c r="I264" s="264"/>
      <c r="J264" s="264"/>
      <c r="K264" s="264"/>
      <c r="L264" s="264"/>
      <c r="M264" s="264"/>
      <c r="N264" s="264"/>
      <c r="O264" s="264"/>
      <c r="P264" s="264"/>
      <c r="Q264" s="264"/>
      <c r="R264" s="264"/>
      <c r="S264" s="264"/>
      <c r="T264" s="264"/>
      <c r="U264" s="264"/>
      <c r="V264" s="264"/>
      <c r="W264" s="264"/>
      <c r="X264" s="264"/>
      <c r="Y264" s="264"/>
      <c r="Z264" s="264"/>
      <c r="AA264" s="264"/>
    </row>
    <row r="265" spans="1:27" ht="15.75" customHeight="1">
      <c r="A265" s="266" t="s">
        <v>8725</v>
      </c>
      <c r="B265" s="266" t="s">
        <v>8726</v>
      </c>
      <c r="C265" s="266" t="s">
        <v>8980</v>
      </c>
      <c r="D265" s="266" t="s">
        <v>8981</v>
      </c>
      <c r="E265" s="266" t="s">
        <v>7210</v>
      </c>
      <c r="F265" s="264"/>
      <c r="G265" s="264"/>
      <c r="H265" s="264"/>
      <c r="I265" s="264"/>
      <c r="J265" s="264"/>
      <c r="K265" s="264"/>
      <c r="L265" s="264"/>
      <c r="M265" s="264"/>
      <c r="N265" s="264"/>
      <c r="O265" s="264"/>
      <c r="P265" s="264"/>
      <c r="Q265" s="264"/>
      <c r="R265" s="264"/>
      <c r="S265" s="264"/>
      <c r="T265" s="264"/>
      <c r="U265" s="264"/>
      <c r="V265" s="264"/>
      <c r="W265" s="264"/>
      <c r="X265" s="264"/>
      <c r="Y265" s="264"/>
      <c r="Z265" s="264"/>
      <c r="AA265" s="264"/>
    </row>
    <row r="266" spans="1:27" ht="15.75" customHeight="1">
      <c r="A266" s="266" t="s">
        <v>8725</v>
      </c>
      <c r="B266" s="266" t="s">
        <v>8726</v>
      </c>
      <c r="C266" s="266" t="s">
        <v>8982</v>
      </c>
      <c r="D266" s="266" t="s">
        <v>8983</v>
      </c>
      <c r="E266" s="266" t="s">
        <v>8687</v>
      </c>
      <c r="F266" s="264"/>
      <c r="G266" s="264"/>
      <c r="H266" s="264"/>
      <c r="I266" s="264"/>
      <c r="J266" s="264"/>
      <c r="K266" s="264"/>
      <c r="L266" s="264"/>
      <c r="M266" s="264"/>
      <c r="N266" s="264"/>
      <c r="O266" s="264"/>
      <c r="P266" s="264"/>
      <c r="Q266" s="264"/>
      <c r="R266" s="264"/>
      <c r="S266" s="264"/>
      <c r="T266" s="264"/>
      <c r="U266" s="264"/>
      <c r="V266" s="264"/>
      <c r="W266" s="264"/>
      <c r="X266" s="264"/>
      <c r="Y266" s="264"/>
      <c r="Z266" s="264"/>
      <c r="AA266" s="264"/>
    </row>
    <row r="267" spans="1:27" ht="15.75" customHeight="1">
      <c r="A267" s="266" t="s">
        <v>8725</v>
      </c>
      <c r="B267" s="266" t="s">
        <v>8726</v>
      </c>
      <c r="C267" s="266" t="s">
        <v>8984</v>
      </c>
      <c r="D267" s="266" t="s">
        <v>8985</v>
      </c>
      <c r="E267" s="266" t="s">
        <v>5672</v>
      </c>
      <c r="F267" s="264"/>
      <c r="G267" s="264"/>
      <c r="H267" s="264"/>
      <c r="I267" s="264"/>
      <c r="J267" s="264"/>
      <c r="K267" s="264"/>
      <c r="L267" s="264"/>
      <c r="M267" s="264"/>
      <c r="N267" s="264"/>
      <c r="O267" s="264"/>
      <c r="P267" s="264"/>
      <c r="Q267" s="264"/>
      <c r="R267" s="264"/>
      <c r="S267" s="264"/>
      <c r="T267" s="264"/>
      <c r="U267" s="264"/>
      <c r="V267" s="264"/>
      <c r="W267" s="264"/>
      <c r="X267" s="264"/>
      <c r="Y267" s="264"/>
      <c r="Z267" s="264"/>
      <c r="AA267" s="264"/>
    </row>
    <row r="268" spans="1:27" ht="15.75" customHeight="1">
      <c r="A268" s="266" t="s">
        <v>8725</v>
      </c>
      <c r="B268" s="266" t="s">
        <v>8726</v>
      </c>
      <c r="C268" s="266" t="s">
        <v>8986</v>
      </c>
      <c r="D268" s="266" t="s">
        <v>8987</v>
      </c>
      <c r="E268" s="266" t="s">
        <v>5672</v>
      </c>
      <c r="F268" s="264"/>
      <c r="G268" s="264"/>
      <c r="H268" s="264"/>
      <c r="I268" s="264"/>
      <c r="J268" s="264"/>
      <c r="K268" s="264"/>
      <c r="L268" s="264"/>
      <c r="M268" s="264"/>
      <c r="N268" s="264"/>
      <c r="O268" s="264"/>
      <c r="P268" s="264"/>
      <c r="Q268" s="264"/>
      <c r="R268" s="264"/>
      <c r="S268" s="264"/>
      <c r="T268" s="264"/>
      <c r="U268" s="264"/>
      <c r="V268" s="264"/>
      <c r="W268" s="264"/>
      <c r="X268" s="264"/>
      <c r="Y268" s="264"/>
      <c r="Z268" s="264"/>
      <c r="AA268" s="264"/>
    </row>
    <row r="269" spans="1:27" ht="15.75" customHeight="1">
      <c r="A269" s="266" t="s">
        <v>8725</v>
      </c>
      <c r="B269" s="266" t="s">
        <v>8726</v>
      </c>
      <c r="C269" s="266" t="s">
        <v>8988</v>
      </c>
      <c r="D269" s="266" t="s">
        <v>8989</v>
      </c>
      <c r="E269" s="266" t="s">
        <v>5672</v>
      </c>
      <c r="F269" s="264"/>
      <c r="G269" s="264"/>
      <c r="H269" s="264"/>
      <c r="I269" s="264"/>
      <c r="J269" s="264"/>
      <c r="K269" s="264"/>
      <c r="L269" s="264"/>
      <c r="M269" s="264"/>
      <c r="N269" s="264"/>
      <c r="O269" s="264"/>
      <c r="P269" s="264"/>
      <c r="Q269" s="264"/>
      <c r="R269" s="264"/>
      <c r="S269" s="264"/>
      <c r="T269" s="264"/>
      <c r="U269" s="264"/>
      <c r="V269" s="264"/>
      <c r="W269" s="264"/>
      <c r="X269" s="264"/>
      <c r="Y269" s="264"/>
      <c r="Z269" s="264"/>
      <c r="AA269" s="264"/>
    </row>
    <row r="270" spans="1:27" ht="15.75" customHeight="1">
      <c r="A270" s="266" t="s">
        <v>8725</v>
      </c>
      <c r="B270" s="266" t="s">
        <v>8726</v>
      </c>
      <c r="C270" s="266" t="s">
        <v>8990</v>
      </c>
      <c r="D270" s="266" t="s">
        <v>8991</v>
      </c>
      <c r="E270" s="266" t="s">
        <v>5672</v>
      </c>
      <c r="F270" s="264"/>
      <c r="G270" s="264"/>
      <c r="H270" s="264"/>
      <c r="I270" s="264"/>
      <c r="J270" s="264"/>
      <c r="K270" s="264"/>
      <c r="L270" s="264"/>
      <c r="M270" s="264"/>
      <c r="N270" s="264"/>
      <c r="O270" s="264"/>
      <c r="P270" s="264"/>
      <c r="Q270" s="264"/>
      <c r="R270" s="264"/>
      <c r="S270" s="264"/>
      <c r="T270" s="264"/>
      <c r="U270" s="264"/>
      <c r="V270" s="264"/>
      <c r="W270" s="264"/>
      <c r="X270" s="264"/>
      <c r="Y270" s="264"/>
      <c r="Z270" s="264"/>
      <c r="AA270" s="264"/>
    </row>
    <row r="271" spans="1:27" ht="15.75" customHeight="1">
      <c r="A271" s="266" t="s">
        <v>8725</v>
      </c>
      <c r="B271" s="266" t="s">
        <v>8726</v>
      </c>
      <c r="C271" s="266" t="s">
        <v>8992</v>
      </c>
      <c r="D271" s="266" t="s">
        <v>8993</v>
      </c>
      <c r="E271" s="266" t="s">
        <v>5672</v>
      </c>
      <c r="F271" s="264"/>
      <c r="G271" s="264"/>
      <c r="H271" s="264"/>
      <c r="I271" s="264"/>
      <c r="J271" s="264"/>
      <c r="K271" s="264"/>
      <c r="L271" s="264"/>
      <c r="M271" s="264"/>
      <c r="N271" s="264"/>
      <c r="O271" s="264"/>
      <c r="P271" s="264"/>
      <c r="Q271" s="264"/>
      <c r="R271" s="264"/>
      <c r="S271" s="264"/>
      <c r="T271" s="264"/>
      <c r="U271" s="264"/>
      <c r="V271" s="264"/>
      <c r="W271" s="264"/>
      <c r="X271" s="264"/>
      <c r="Y271" s="264"/>
      <c r="Z271" s="264"/>
      <c r="AA271" s="264"/>
    </row>
    <row r="272" spans="1:27" ht="15.75" customHeight="1">
      <c r="A272" s="266" t="s">
        <v>8725</v>
      </c>
      <c r="B272" s="266" t="s">
        <v>8726</v>
      </c>
      <c r="C272" s="266" t="s">
        <v>8994</v>
      </c>
      <c r="D272" s="266" t="s">
        <v>8995</v>
      </c>
      <c r="E272" s="266" t="s">
        <v>5672</v>
      </c>
      <c r="F272" s="264"/>
      <c r="G272" s="264"/>
      <c r="H272" s="264"/>
      <c r="I272" s="264"/>
      <c r="J272" s="264"/>
      <c r="K272" s="264"/>
      <c r="L272" s="264"/>
      <c r="M272" s="264"/>
      <c r="N272" s="264"/>
      <c r="O272" s="264"/>
      <c r="P272" s="264"/>
      <c r="Q272" s="264"/>
      <c r="R272" s="264"/>
      <c r="S272" s="264"/>
      <c r="T272" s="264"/>
      <c r="U272" s="264"/>
      <c r="V272" s="264"/>
      <c r="W272" s="264"/>
      <c r="X272" s="264"/>
      <c r="Y272" s="264"/>
      <c r="Z272" s="264"/>
      <c r="AA272" s="264"/>
    </row>
    <row r="273" spans="1:27" ht="15.75" customHeight="1">
      <c r="A273" s="266" t="s">
        <v>8725</v>
      </c>
      <c r="B273" s="266" t="s">
        <v>8726</v>
      </c>
      <c r="C273" s="266" t="s">
        <v>8996</v>
      </c>
      <c r="D273" s="266" t="s">
        <v>8997</v>
      </c>
      <c r="E273" s="266" t="s">
        <v>5672</v>
      </c>
      <c r="F273" s="264"/>
      <c r="G273" s="264"/>
      <c r="H273" s="264"/>
      <c r="I273" s="264"/>
      <c r="J273" s="264"/>
      <c r="K273" s="264"/>
      <c r="L273" s="264"/>
      <c r="M273" s="264"/>
      <c r="N273" s="264"/>
      <c r="O273" s="264"/>
      <c r="P273" s="264"/>
      <c r="Q273" s="264"/>
      <c r="R273" s="264"/>
      <c r="S273" s="264"/>
      <c r="T273" s="264"/>
      <c r="U273" s="264"/>
      <c r="V273" s="264"/>
      <c r="W273" s="264"/>
      <c r="X273" s="264"/>
      <c r="Y273" s="264"/>
      <c r="Z273" s="264"/>
      <c r="AA273" s="264"/>
    </row>
    <row r="274" spans="1:27" ht="15.75" customHeight="1">
      <c r="A274" s="266" t="s">
        <v>8725</v>
      </c>
      <c r="B274" s="266" t="s">
        <v>8726</v>
      </c>
      <c r="C274" s="266" t="s">
        <v>8998</v>
      </c>
      <c r="D274" s="266" t="s">
        <v>8999</v>
      </c>
      <c r="E274" s="266" t="s">
        <v>8687</v>
      </c>
      <c r="F274" s="264"/>
      <c r="G274" s="264"/>
      <c r="H274" s="264"/>
      <c r="I274" s="264"/>
      <c r="J274" s="264"/>
      <c r="K274" s="264"/>
      <c r="L274" s="264"/>
      <c r="M274" s="264"/>
      <c r="N274" s="264"/>
      <c r="O274" s="264"/>
      <c r="P274" s="264"/>
      <c r="Q274" s="264"/>
      <c r="R274" s="264"/>
      <c r="S274" s="264"/>
      <c r="T274" s="264"/>
      <c r="U274" s="264"/>
      <c r="V274" s="264"/>
      <c r="W274" s="264"/>
      <c r="X274" s="264"/>
      <c r="Y274" s="264"/>
      <c r="Z274" s="264"/>
      <c r="AA274" s="264"/>
    </row>
    <row r="275" spans="1:27" ht="15.75" customHeight="1">
      <c r="A275" s="266" t="s">
        <v>8725</v>
      </c>
      <c r="B275" s="266" t="s">
        <v>8726</v>
      </c>
      <c r="C275" s="266" t="s">
        <v>9000</v>
      </c>
      <c r="D275" s="266" t="s">
        <v>9001</v>
      </c>
      <c r="E275" s="266" t="s">
        <v>5672</v>
      </c>
      <c r="F275" s="264"/>
      <c r="G275" s="264"/>
      <c r="H275" s="264"/>
      <c r="I275" s="264"/>
      <c r="J275" s="264"/>
      <c r="K275" s="264"/>
      <c r="L275" s="264"/>
      <c r="M275" s="264"/>
      <c r="N275" s="264"/>
      <c r="O275" s="264"/>
      <c r="P275" s="264"/>
      <c r="Q275" s="264"/>
      <c r="R275" s="264"/>
      <c r="S275" s="264"/>
      <c r="T275" s="264"/>
      <c r="U275" s="264"/>
      <c r="V275" s="264"/>
      <c r="W275" s="264"/>
      <c r="X275" s="264"/>
      <c r="Y275" s="264"/>
      <c r="Z275" s="264"/>
      <c r="AA275" s="264"/>
    </row>
    <row r="276" spans="1:27" ht="15.75" customHeight="1">
      <c r="A276" s="266" t="s">
        <v>8725</v>
      </c>
      <c r="B276" s="266" t="s">
        <v>8726</v>
      </c>
      <c r="C276" s="266" t="s">
        <v>9002</v>
      </c>
      <c r="D276" s="266" t="s">
        <v>9003</v>
      </c>
      <c r="E276" s="266" t="s">
        <v>5672</v>
      </c>
      <c r="F276" s="264"/>
      <c r="G276" s="264"/>
      <c r="H276" s="264"/>
      <c r="I276" s="264"/>
      <c r="J276" s="264"/>
      <c r="K276" s="264"/>
      <c r="L276" s="264"/>
      <c r="M276" s="264"/>
      <c r="N276" s="264"/>
      <c r="O276" s="264"/>
      <c r="P276" s="264"/>
      <c r="Q276" s="264"/>
      <c r="R276" s="264"/>
      <c r="S276" s="264"/>
      <c r="T276" s="264"/>
      <c r="U276" s="264"/>
      <c r="V276" s="264"/>
      <c r="W276" s="264"/>
      <c r="X276" s="264"/>
      <c r="Y276" s="264"/>
      <c r="Z276" s="264"/>
      <c r="AA276" s="264"/>
    </row>
    <row r="277" spans="1:27" ht="15.75" customHeight="1">
      <c r="A277" s="266" t="s">
        <v>8725</v>
      </c>
      <c r="B277" s="266" t="s">
        <v>8726</v>
      </c>
      <c r="C277" s="266" t="s">
        <v>9004</v>
      </c>
      <c r="D277" s="266" t="s">
        <v>9005</v>
      </c>
      <c r="E277" s="266" t="s">
        <v>5672</v>
      </c>
      <c r="F277" s="264"/>
      <c r="G277" s="264"/>
      <c r="H277" s="264"/>
      <c r="I277" s="264"/>
      <c r="J277" s="264"/>
      <c r="K277" s="264"/>
      <c r="L277" s="264"/>
      <c r="M277" s="264"/>
      <c r="N277" s="264"/>
      <c r="O277" s="264"/>
      <c r="P277" s="264"/>
      <c r="Q277" s="264"/>
      <c r="R277" s="264"/>
      <c r="S277" s="264"/>
      <c r="T277" s="264"/>
      <c r="U277" s="264"/>
      <c r="V277" s="264"/>
      <c r="W277" s="264"/>
      <c r="X277" s="264"/>
      <c r="Y277" s="264"/>
      <c r="Z277" s="264"/>
      <c r="AA277" s="264"/>
    </row>
    <row r="278" spans="1:27" ht="15.75" customHeight="1">
      <c r="A278" s="266" t="s">
        <v>8725</v>
      </c>
      <c r="B278" s="266" t="s">
        <v>8726</v>
      </c>
      <c r="C278" s="266" t="s">
        <v>9006</v>
      </c>
      <c r="D278" s="266" t="s">
        <v>9007</v>
      </c>
      <c r="E278" s="266" t="s">
        <v>5672</v>
      </c>
      <c r="F278" s="264"/>
      <c r="G278" s="264"/>
      <c r="H278" s="264"/>
      <c r="I278" s="264"/>
      <c r="J278" s="264"/>
      <c r="K278" s="264"/>
      <c r="L278" s="264"/>
      <c r="M278" s="264"/>
      <c r="N278" s="264"/>
      <c r="O278" s="264"/>
      <c r="P278" s="264"/>
      <c r="Q278" s="264"/>
      <c r="R278" s="264"/>
      <c r="S278" s="264"/>
      <c r="T278" s="264"/>
      <c r="U278" s="264"/>
      <c r="V278" s="264"/>
      <c r="W278" s="264"/>
      <c r="X278" s="264"/>
      <c r="Y278" s="264"/>
      <c r="Z278" s="264"/>
      <c r="AA278" s="264"/>
    </row>
    <row r="279" spans="1:27" ht="15.75" customHeight="1">
      <c r="A279" s="266" t="s">
        <v>8725</v>
      </c>
      <c r="B279" s="266" t="s">
        <v>8726</v>
      </c>
      <c r="C279" s="266" t="s">
        <v>9008</v>
      </c>
      <c r="D279" s="266" t="s">
        <v>9009</v>
      </c>
      <c r="E279" s="266" t="s">
        <v>5672</v>
      </c>
      <c r="F279" s="264"/>
      <c r="G279" s="264"/>
      <c r="H279" s="264"/>
      <c r="I279" s="264"/>
      <c r="J279" s="264"/>
      <c r="K279" s="264"/>
      <c r="L279" s="264"/>
      <c r="M279" s="264"/>
      <c r="N279" s="264"/>
      <c r="O279" s="264"/>
      <c r="P279" s="264"/>
      <c r="Q279" s="264"/>
      <c r="R279" s="264"/>
      <c r="S279" s="264"/>
      <c r="T279" s="264"/>
      <c r="U279" s="264"/>
      <c r="V279" s="264"/>
      <c r="W279" s="264"/>
      <c r="X279" s="264"/>
      <c r="Y279" s="264"/>
      <c r="Z279" s="264"/>
      <c r="AA279" s="264"/>
    </row>
    <row r="280" spans="1:27" ht="15.75" customHeight="1">
      <c r="A280" s="266" t="s">
        <v>8725</v>
      </c>
      <c r="B280" s="266" t="s">
        <v>8726</v>
      </c>
      <c r="C280" s="266" t="s">
        <v>9010</v>
      </c>
      <c r="D280" s="266" t="s">
        <v>9011</v>
      </c>
      <c r="E280" s="266" t="s">
        <v>5672</v>
      </c>
      <c r="F280" s="264"/>
      <c r="G280" s="264"/>
      <c r="H280" s="264"/>
      <c r="I280" s="264"/>
      <c r="J280" s="264"/>
      <c r="K280" s="264"/>
      <c r="L280" s="264"/>
      <c r="M280" s="264"/>
      <c r="N280" s="264"/>
      <c r="O280" s="264"/>
      <c r="P280" s="264"/>
      <c r="Q280" s="264"/>
      <c r="R280" s="264"/>
      <c r="S280" s="264"/>
      <c r="T280" s="264"/>
      <c r="U280" s="264"/>
      <c r="V280" s="264"/>
      <c r="W280" s="264"/>
      <c r="X280" s="264"/>
      <c r="Y280" s="264"/>
      <c r="Z280" s="264"/>
      <c r="AA280" s="264"/>
    </row>
    <row r="281" spans="1:27" ht="15.75" customHeight="1">
      <c r="A281" s="266" t="s">
        <v>8725</v>
      </c>
      <c r="B281" s="266" t="s">
        <v>8726</v>
      </c>
      <c r="C281" s="266" t="s">
        <v>9012</v>
      </c>
      <c r="D281" s="266" t="s">
        <v>9013</v>
      </c>
      <c r="E281" s="266" t="s">
        <v>5672</v>
      </c>
      <c r="F281" s="264"/>
      <c r="G281" s="264"/>
      <c r="H281" s="264"/>
      <c r="I281" s="264"/>
      <c r="J281" s="264"/>
      <c r="K281" s="264"/>
      <c r="L281" s="264"/>
      <c r="M281" s="264"/>
      <c r="N281" s="264"/>
      <c r="O281" s="264"/>
      <c r="P281" s="264"/>
      <c r="Q281" s="264"/>
      <c r="R281" s="264"/>
      <c r="S281" s="264"/>
      <c r="T281" s="264"/>
      <c r="U281" s="264"/>
      <c r="V281" s="264"/>
      <c r="W281" s="264"/>
      <c r="X281" s="264"/>
      <c r="Y281" s="264"/>
      <c r="Z281" s="264"/>
      <c r="AA281" s="264"/>
    </row>
    <row r="282" spans="1:27" ht="15.75" customHeight="1">
      <c r="A282" s="266" t="s">
        <v>8725</v>
      </c>
      <c r="B282" s="266" t="s">
        <v>8726</v>
      </c>
      <c r="C282" s="266" t="s">
        <v>9014</v>
      </c>
      <c r="D282" s="266" t="s">
        <v>9015</v>
      </c>
      <c r="E282" s="266" t="s">
        <v>5672</v>
      </c>
      <c r="F282" s="264"/>
      <c r="G282" s="264"/>
      <c r="H282" s="264"/>
      <c r="I282" s="264"/>
      <c r="J282" s="264"/>
      <c r="K282" s="264"/>
      <c r="L282" s="264"/>
      <c r="M282" s="264"/>
      <c r="N282" s="264"/>
      <c r="O282" s="264"/>
      <c r="P282" s="264"/>
      <c r="Q282" s="264"/>
      <c r="R282" s="264"/>
      <c r="S282" s="264"/>
      <c r="T282" s="264"/>
      <c r="U282" s="264"/>
      <c r="V282" s="264"/>
      <c r="W282" s="264"/>
      <c r="X282" s="264"/>
      <c r="Y282" s="264"/>
      <c r="Z282" s="264"/>
      <c r="AA282" s="264"/>
    </row>
    <row r="283" spans="1:27" ht="15.75" customHeight="1">
      <c r="A283" s="266" t="s">
        <v>8725</v>
      </c>
      <c r="B283" s="266" t="s">
        <v>8726</v>
      </c>
      <c r="C283" s="266" t="s">
        <v>9016</v>
      </c>
      <c r="D283" s="266" t="s">
        <v>9017</v>
      </c>
      <c r="E283" s="266" t="s">
        <v>7210</v>
      </c>
      <c r="F283" s="264"/>
      <c r="G283" s="264"/>
      <c r="H283" s="264"/>
      <c r="I283" s="264"/>
      <c r="J283" s="264"/>
      <c r="K283" s="264"/>
      <c r="L283" s="264"/>
      <c r="M283" s="264"/>
      <c r="N283" s="264"/>
      <c r="O283" s="264"/>
      <c r="P283" s="264"/>
      <c r="Q283" s="264"/>
      <c r="R283" s="264"/>
      <c r="S283" s="264"/>
      <c r="T283" s="264"/>
      <c r="U283" s="264"/>
      <c r="V283" s="264"/>
      <c r="W283" s="264"/>
      <c r="X283" s="264"/>
      <c r="Y283" s="264"/>
      <c r="Z283" s="264"/>
      <c r="AA283" s="264"/>
    </row>
    <row r="284" spans="1:27" ht="15.75" customHeight="1">
      <c r="A284" s="266" t="s">
        <v>8725</v>
      </c>
      <c r="B284" s="266" t="s">
        <v>8726</v>
      </c>
      <c r="C284" s="266" t="s">
        <v>9018</v>
      </c>
      <c r="D284" s="266" t="s">
        <v>9019</v>
      </c>
      <c r="E284" s="266" t="s">
        <v>7210</v>
      </c>
      <c r="F284" s="264"/>
      <c r="G284" s="264"/>
      <c r="H284" s="264"/>
      <c r="I284" s="264"/>
      <c r="J284" s="264"/>
      <c r="K284" s="264"/>
      <c r="L284" s="264"/>
      <c r="M284" s="264"/>
      <c r="N284" s="264"/>
      <c r="O284" s="264"/>
      <c r="P284" s="264"/>
      <c r="Q284" s="264"/>
      <c r="R284" s="264"/>
      <c r="S284" s="264"/>
      <c r="T284" s="264"/>
      <c r="U284" s="264"/>
      <c r="V284" s="264"/>
      <c r="W284" s="264"/>
      <c r="X284" s="264"/>
      <c r="Y284" s="264"/>
      <c r="Z284" s="264"/>
      <c r="AA284" s="264"/>
    </row>
    <row r="285" spans="1:27" ht="15.75" customHeight="1">
      <c r="A285" s="266" t="s">
        <v>8725</v>
      </c>
      <c r="B285" s="266" t="s">
        <v>8726</v>
      </c>
      <c r="C285" s="266" t="s">
        <v>9020</v>
      </c>
      <c r="D285" s="266" t="s">
        <v>9021</v>
      </c>
      <c r="E285" s="266" t="s">
        <v>8773</v>
      </c>
      <c r="F285" s="264"/>
      <c r="G285" s="264"/>
      <c r="H285" s="264"/>
      <c r="I285" s="264"/>
      <c r="J285" s="264"/>
      <c r="K285" s="264"/>
      <c r="L285" s="264"/>
      <c r="M285" s="264"/>
      <c r="N285" s="264"/>
      <c r="O285" s="264"/>
      <c r="P285" s="264"/>
      <c r="Q285" s="264"/>
      <c r="R285" s="264"/>
      <c r="S285" s="264"/>
      <c r="T285" s="264"/>
      <c r="U285" s="264"/>
      <c r="V285" s="264"/>
      <c r="W285" s="264"/>
      <c r="X285" s="264"/>
      <c r="Y285" s="264"/>
      <c r="Z285" s="264"/>
      <c r="AA285" s="264"/>
    </row>
    <row r="286" spans="1:27" ht="15.75" customHeight="1">
      <c r="A286" s="266" t="s">
        <v>8725</v>
      </c>
      <c r="B286" s="266" t="s">
        <v>8726</v>
      </c>
      <c r="C286" s="266" t="s">
        <v>9022</v>
      </c>
      <c r="D286" s="266" t="s">
        <v>3791</v>
      </c>
      <c r="E286" s="266" t="s">
        <v>8773</v>
      </c>
      <c r="F286" s="264"/>
      <c r="G286" s="264"/>
      <c r="H286" s="264"/>
      <c r="I286" s="264"/>
      <c r="J286" s="264"/>
      <c r="K286" s="264"/>
      <c r="L286" s="264"/>
      <c r="M286" s="264"/>
      <c r="N286" s="264"/>
      <c r="O286" s="264"/>
      <c r="P286" s="264"/>
      <c r="Q286" s="264"/>
      <c r="R286" s="264"/>
      <c r="S286" s="264"/>
      <c r="T286" s="264"/>
      <c r="U286" s="264"/>
      <c r="V286" s="264"/>
      <c r="W286" s="264"/>
      <c r="X286" s="264"/>
      <c r="Y286" s="264"/>
      <c r="Z286" s="264"/>
      <c r="AA286" s="264"/>
    </row>
    <row r="287" spans="1:27" ht="15.75" customHeight="1">
      <c r="A287" s="266" t="s">
        <v>8725</v>
      </c>
      <c r="B287" s="266" t="s">
        <v>8726</v>
      </c>
      <c r="C287" s="266" t="s">
        <v>9023</v>
      </c>
      <c r="D287" s="266" t="s">
        <v>9024</v>
      </c>
      <c r="E287" s="266" t="s">
        <v>8687</v>
      </c>
      <c r="F287" s="264"/>
      <c r="G287" s="264"/>
      <c r="H287" s="264"/>
      <c r="I287" s="264"/>
      <c r="J287" s="264"/>
      <c r="K287" s="264"/>
      <c r="L287" s="264"/>
      <c r="M287" s="264"/>
      <c r="N287" s="264"/>
      <c r="O287" s="264"/>
      <c r="P287" s="264"/>
      <c r="Q287" s="264"/>
      <c r="R287" s="264"/>
      <c r="S287" s="264"/>
      <c r="T287" s="264"/>
      <c r="U287" s="264"/>
      <c r="V287" s="264"/>
      <c r="W287" s="264"/>
      <c r="X287" s="264"/>
      <c r="Y287" s="264"/>
      <c r="Z287" s="264"/>
      <c r="AA287" s="264"/>
    </row>
    <row r="288" spans="1:27" ht="15.75" customHeight="1">
      <c r="A288" s="266" t="s">
        <v>8725</v>
      </c>
      <c r="B288" s="266" t="s">
        <v>8726</v>
      </c>
      <c r="C288" s="266" t="s">
        <v>9025</v>
      </c>
      <c r="D288" s="266" t="s">
        <v>9026</v>
      </c>
      <c r="E288" s="266" t="s">
        <v>8687</v>
      </c>
      <c r="F288" s="264"/>
      <c r="G288" s="264"/>
      <c r="H288" s="264"/>
      <c r="I288" s="264"/>
      <c r="J288" s="264"/>
      <c r="K288" s="264"/>
      <c r="L288" s="264"/>
      <c r="M288" s="264"/>
      <c r="N288" s="264"/>
      <c r="O288" s="264"/>
      <c r="P288" s="264"/>
      <c r="Q288" s="264"/>
      <c r="R288" s="264"/>
      <c r="S288" s="264"/>
      <c r="T288" s="264"/>
      <c r="U288" s="264"/>
      <c r="V288" s="264"/>
      <c r="W288" s="264"/>
      <c r="X288" s="264"/>
      <c r="Y288" s="264"/>
      <c r="Z288" s="264"/>
      <c r="AA288" s="264"/>
    </row>
    <row r="289" spans="1:27" ht="15.75" customHeight="1">
      <c r="A289" s="266" t="s">
        <v>8725</v>
      </c>
      <c r="B289" s="266" t="s">
        <v>8726</v>
      </c>
      <c r="C289" s="266" t="s">
        <v>9027</v>
      </c>
      <c r="D289" s="266" t="s">
        <v>9028</v>
      </c>
      <c r="E289" s="266" t="s">
        <v>5672</v>
      </c>
      <c r="F289" s="264"/>
      <c r="G289" s="264"/>
      <c r="H289" s="264"/>
      <c r="I289" s="264"/>
      <c r="J289" s="264"/>
      <c r="K289" s="264"/>
      <c r="L289" s="264"/>
      <c r="M289" s="264"/>
      <c r="N289" s="264"/>
      <c r="O289" s="264"/>
      <c r="P289" s="264"/>
      <c r="Q289" s="264"/>
      <c r="R289" s="264"/>
      <c r="S289" s="264"/>
      <c r="T289" s="264"/>
      <c r="U289" s="264"/>
      <c r="V289" s="264"/>
      <c r="W289" s="264"/>
      <c r="X289" s="264"/>
      <c r="Y289" s="264"/>
      <c r="Z289" s="264"/>
      <c r="AA289" s="264"/>
    </row>
    <row r="290" spans="1:27" ht="15.75" customHeight="1">
      <c r="A290" s="266" t="s">
        <v>8725</v>
      </c>
      <c r="B290" s="266" t="s">
        <v>8726</v>
      </c>
      <c r="C290" s="266" t="s">
        <v>9029</v>
      </c>
      <c r="D290" s="266" t="s">
        <v>9030</v>
      </c>
      <c r="E290" s="266" t="s">
        <v>5672</v>
      </c>
      <c r="F290" s="264"/>
      <c r="G290" s="264"/>
      <c r="H290" s="264"/>
      <c r="I290" s="264"/>
      <c r="J290" s="264"/>
      <c r="K290" s="264"/>
      <c r="L290" s="264"/>
      <c r="M290" s="264"/>
      <c r="N290" s="264"/>
      <c r="O290" s="264"/>
      <c r="P290" s="264"/>
      <c r="Q290" s="264"/>
      <c r="R290" s="264"/>
      <c r="S290" s="264"/>
      <c r="T290" s="264"/>
      <c r="U290" s="264"/>
      <c r="V290" s="264"/>
      <c r="W290" s="264"/>
      <c r="X290" s="264"/>
      <c r="Y290" s="264"/>
      <c r="Z290" s="264"/>
      <c r="AA290" s="264"/>
    </row>
    <row r="291" spans="1:27" ht="15.75" customHeight="1">
      <c r="A291" s="266" t="s">
        <v>8725</v>
      </c>
      <c r="B291" s="266" t="s">
        <v>8726</v>
      </c>
      <c r="C291" s="266" t="s">
        <v>9031</v>
      </c>
      <c r="D291" s="266" t="s">
        <v>9032</v>
      </c>
      <c r="E291" s="266" t="s">
        <v>5672</v>
      </c>
      <c r="F291" s="264"/>
      <c r="G291" s="264"/>
      <c r="H291" s="264"/>
      <c r="I291" s="264"/>
      <c r="J291" s="264"/>
      <c r="K291" s="264"/>
      <c r="L291" s="264"/>
      <c r="M291" s="264"/>
      <c r="N291" s="264"/>
      <c r="O291" s="264"/>
      <c r="P291" s="264"/>
      <c r="Q291" s="264"/>
      <c r="R291" s="264"/>
      <c r="S291" s="264"/>
      <c r="T291" s="264"/>
      <c r="U291" s="264"/>
      <c r="V291" s="264"/>
      <c r="W291" s="264"/>
      <c r="X291" s="264"/>
      <c r="Y291" s="264"/>
      <c r="Z291" s="264"/>
      <c r="AA291" s="264"/>
    </row>
    <row r="292" spans="1:27" ht="15.75" customHeight="1">
      <c r="A292" s="266" t="s">
        <v>8725</v>
      </c>
      <c r="B292" s="266" t="s">
        <v>8726</v>
      </c>
      <c r="C292" s="266" t="s">
        <v>9033</v>
      </c>
      <c r="D292" s="266" t="s">
        <v>9034</v>
      </c>
      <c r="E292" s="266" t="s">
        <v>5672</v>
      </c>
      <c r="F292" s="264"/>
      <c r="G292" s="264"/>
      <c r="H292" s="264"/>
      <c r="I292" s="264"/>
      <c r="J292" s="264"/>
      <c r="K292" s="264"/>
      <c r="L292" s="264"/>
      <c r="M292" s="264"/>
      <c r="N292" s="264"/>
      <c r="O292" s="264"/>
      <c r="P292" s="264"/>
      <c r="Q292" s="264"/>
      <c r="R292" s="264"/>
      <c r="S292" s="264"/>
      <c r="T292" s="264"/>
      <c r="U292" s="264"/>
      <c r="V292" s="264"/>
      <c r="W292" s="264"/>
      <c r="X292" s="264"/>
      <c r="Y292" s="264"/>
      <c r="Z292" s="264"/>
      <c r="AA292" s="264"/>
    </row>
    <row r="293" spans="1:27" ht="15.75" customHeight="1">
      <c r="A293" s="266" t="s">
        <v>8725</v>
      </c>
      <c r="B293" s="266" t="s">
        <v>8726</v>
      </c>
      <c r="C293" s="266" t="s">
        <v>9035</v>
      </c>
      <c r="D293" s="266" t="s">
        <v>9036</v>
      </c>
      <c r="E293" s="266" t="s">
        <v>7210</v>
      </c>
      <c r="F293" s="264"/>
      <c r="G293" s="264"/>
      <c r="H293" s="264"/>
      <c r="I293" s="264"/>
      <c r="J293" s="264"/>
      <c r="K293" s="264"/>
      <c r="L293" s="264"/>
      <c r="M293" s="264"/>
      <c r="N293" s="264"/>
      <c r="O293" s="264"/>
      <c r="P293" s="264"/>
      <c r="Q293" s="264"/>
      <c r="R293" s="264"/>
      <c r="S293" s="264"/>
      <c r="T293" s="264"/>
      <c r="U293" s="264"/>
      <c r="V293" s="264"/>
      <c r="W293" s="264"/>
      <c r="X293" s="264"/>
      <c r="Y293" s="264"/>
      <c r="Z293" s="264"/>
      <c r="AA293" s="264"/>
    </row>
    <row r="294" spans="1:27" ht="15.75" customHeight="1">
      <c r="A294" s="266" t="s">
        <v>8725</v>
      </c>
      <c r="B294" s="266" t="s">
        <v>8726</v>
      </c>
      <c r="C294" s="266" t="s">
        <v>9037</v>
      </c>
      <c r="D294" s="266" t="s">
        <v>9038</v>
      </c>
      <c r="E294" s="266" t="s">
        <v>7210</v>
      </c>
      <c r="F294" s="264"/>
      <c r="G294" s="264"/>
      <c r="H294" s="264"/>
      <c r="I294" s="264"/>
      <c r="J294" s="264"/>
      <c r="K294" s="264"/>
      <c r="L294" s="264"/>
      <c r="M294" s="264"/>
      <c r="N294" s="264"/>
      <c r="O294" s="264"/>
      <c r="P294" s="264"/>
      <c r="Q294" s="264"/>
      <c r="R294" s="264"/>
      <c r="S294" s="264"/>
      <c r="T294" s="264"/>
      <c r="U294" s="264"/>
      <c r="V294" s="264"/>
      <c r="W294" s="264"/>
      <c r="X294" s="264"/>
      <c r="Y294" s="264"/>
      <c r="Z294" s="264"/>
      <c r="AA294" s="264"/>
    </row>
    <row r="295" spans="1:27" ht="15.75" customHeight="1">
      <c r="A295" s="266" t="s">
        <v>8725</v>
      </c>
      <c r="B295" s="266" t="s">
        <v>8726</v>
      </c>
      <c r="C295" s="268" t="s">
        <v>9039</v>
      </c>
      <c r="D295" s="268" t="s">
        <v>9040</v>
      </c>
      <c r="E295" s="266" t="s">
        <v>7210</v>
      </c>
      <c r="F295" s="264"/>
      <c r="G295" s="264"/>
      <c r="H295" s="264"/>
      <c r="I295" s="264"/>
      <c r="J295" s="264"/>
      <c r="K295" s="264"/>
      <c r="L295" s="264"/>
      <c r="M295" s="264"/>
      <c r="N295" s="264"/>
      <c r="O295" s="264"/>
      <c r="P295" s="264"/>
      <c r="Q295" s="264"/>
      <c r="R295" s="264"/>
      <c r="S295" s="264"/>
      <c r="T295" s="264"/>
      <c r="U295" s="264"/>
      <c r="V295" s="264"/>
      <c r="W295" s="264"/>
      <c r="X295" s="264"/>
      <c r="Y295" s="264"/>
      <c r="Z295" s="264"/>
      <c r="AA295" s="264"/>
    </row>
    <row r="296" spans="1:27" ht="15.75" customHeight="1">
      <c r="A296" s="266" t="s">
        <v>8725</v>
      </c>
      <c r="B296" s="266" t="s">
        <v>8726</v>
      </c>
      <c r="C296" s="266" t="s">
        <v>9041</v>
      </c>
      <c r="D296" s="266" t="s">
        <v>9042</v>
      </c>
      <c r="E296" s="266" t="s">
        <v>7210</v>
      </c>
      <c r="F296" s="264"/>
      <c r="G296" s="264"/>
      <c r="H296" s="264"/>
      <c r="I296" s="264"/>
      <c r="J296" s="264"/>
      <c r="K296" s="264"/>
      <c r="L296" s="264"/>
      <c r="M296" s="264"/>
      <c r="N296" s="264"/>
      <c r="O296" s="264"/>
      <c r="P296" s="264"/>
      <c r="Q296" s="264"/>
      <c r="R296" s="264"/>
      <c r="S296" s="264"/>
      <c r="T296" s="264"/>
      <c r="U296" s="264"/>
      <c r="V296" s="264"/>
      <c r="W296" s="264"/>
      <c r="X296" s="264"/>
      <c r="Y296" s="264"/>
      <c r="Z296" s="264"/>
      <c r="AA296" s="264"/>
    </row>
    <row r="297" spans="1:27" ht="15.75" customHeight="1">
      <c r="A297" s="266" t="s">
        <v>8725</v>
      </c>
      <c r="B297" s="266" t="s">
        <v>8726</v>
      </c>
      <c r="C297" s="268" t="s">
        <v>9043</v>
      </c>
      <c r="D297" s="268" t="s">
        <v>9044</v>
      </c>
      <c r="E297" s="266" t="s">
        <v>7210</v>
      </c>
      <c r="F297" s="264"/>
      <c r="G297" s="264"/>
      <c r="H297" s="264"/>
      <c r="I297" s="264"/>
      <c r="J297" s="264"/>
      <c r="K297" s="264"/>
      <c r="L297" s="264"/>
      <c r="M297" s="264"/>
      <c r="N297" s="264"/>
      <c r="O297" s="264"/>
      <c r="P297" s="264"/>
      <c r="Q297" s="264"/>
      <c r="R297" s="264"/>
      <c r="S297" s="264"/>
      <c r="T297" s="264"/>
      <c r="U297" s="264"/>
      <c r="V297" s="264"/>
      <c r="W297" s="264"/>
      <c r="X297" s="264"/>
      <c r="Y297" s="264"/>
      <c r="Z297" s="264"/>
      <c r="AA297" s="264"/>
    </row>
    <row r="298" spans="1:27" ht="15.75" customHeight="1">
      <c r="A298" s="266" t="s">
        <v>8725</v>
      </c>
      <c r="B298" s="266" t="s">
        <v>8726</v>
      </c>
      <c r="C298" s="266" t="s">
        <v>9045</v>
      </c>
      <c r="D298" s="266" t="s">
        <v>9046</v>
      </c>
      <c r="E298" s="266" t="s">
        <v>7210</v>
      </c>
      <c r="F298" s="264"/>
      <c r="G298" s="264"/>
      <c r="H298" s="264"/>
      <c r="I298" s="264"/>
      <c r="J298" s="264"/>
      <c r="K298" s="264"/>
      <c r="L298" s="264"/>
      <c r="M298" s="264"/>
      <c r="N298" s="264"/>
      <c r="O298" s="264"/>
      <c r="P298" s="264"/>
      <c r="Q298" s="264"/>
      <c r="R298" s="264"/>
      <c r="S298" s="264"/>
      <c r="T298" s="264"/>
      <c r="U298" s="264"/>
      <c r="V298" s="264"/>
      <c r="W298" s="264"/>
      <c r="X298" s="264"/>
      <c r="Y298" s="264"/>
      <c r="Z298" s="264"/>
      <c r="AA298" s="264"/>
    </row>
    <row r="299" spans="1:27" ht="15.75" customHeight="1">
      <c r="A299" s="266" t="s">
        <v>8725</v>
      </c>
      <c r="B299" s="266" t="s">
        <v>8726</v>
      </c>
      <c r="C299" s="266" t="s">
        <v>9047</v>
      </c>
      <c r="D299" s="266" t="s">
        <v>9048</v>
      </c>
      <c r="E299" s="266" t="s">
        <v>8687</v>
      </c>
      <c r="F299" s="264"/>
      <c r="G299" s="264"/>
      <c r="H299" s="264"/>
      <c r="I299" s="264"/>
      <c r="J299" s="264"/>
      <c r="K299" s="264"/>
      <c r="L299" s="264"/>
      <c r="M299" s="264"/>
      <c r="N299" s="264"/>
      <c r="O299" s="264"/>
      <c r="P299" s="264"/>
      <c r="Q299" s="264"/>
      <c r="R299" s="264"/>
      <c r="S299" s="264"/>
      <c r="T299" s="264"/>
      <c r="U299" s="264"/>
      <c r="V299" s="264"/>
      <c r="W299" s="264"/>
      <c r="X299" s="264"/>
      <c r="Y299" s="264"/>
      <c r="Z299" s="264"/>
      <c r="AA299" s="264"/>
    </row>
    <row r="300" spans="1:27" ht="15.75" customHeight="1">
      <c r="A300" s="266" t="s">
        <v>8725</v>
      </c>
      <c r="B300" s="266" t="s">
        <v>8726</v>
      </c>
      <c r="C300" s="266" t="s">
        <v>9049</v>
      </c>
      <c r="D300" s="266" t="s">
        <v>9050</v>
      </c>
      <c r="E300" s="266" t="s">
        <v>8687</v>
      </c>
      <c r="F300" s="264"/>
      <c r="G300" s="264"/>
      <c r="H300" s="264"/>
      <c r="I300" s="264"/>
      <c r="J300" s="264"/>
      <c r="K300" s="264"/>
      <c r="L300" s="264"/>
      <c r="M300" s="264"/>
      <c r="N300" s="264"/>
      <c r="O300" s="264"/>
      <c r="P300" s="264"/>
      <c r="Q300" s="264"/>
      <c r="R300" s="264"/>
      <c r="S300" s="264"/>
      <c r="T300" s="264"/>
      <c r="U300" s="264"/>
      <c r="V300" s="264"/>
      <c r="W300" s="264"/>
      <c r="X300" s="264"/>
      <c r="Y300" s="264"/>
      <c r="Z300" s="264"/>
      <c r="AA300" s="264"/>
    </row>
    <row r="301" spans="1:27" ht="15.75" customHeight="1">
      <c r="A301" s="266" t="s">
        <v>8725</v>
      </c>
      <c r="B301" s="266" t="s">
        <v>8726</v>
      </c>
      <c r="C301" s="266" t="s">
        <v>9051</v>
      </c>
      <c r="D301" s="266" t="s">
        <v>9052</v>
      </c>
      <c r="E301" s="266" t="s">
        <v>8687</v>
      </c>
      <c r="F301" s="264"/>
      <c r="G301" s="264"/>
      <c r="H301" s="264"/>
      <c r="I301" s="264"/>
      <c r="J301" s="264"/>
      <c r="K301" s="264"/>
      <c r="L301" s="264"/>
      <c r="M301" s="264"/>
      <c r="N301" s="264"/>
      <c r="O301" s="264"/>
      <c r="P301" s="264"/>
      <c r="Q301" s="264"/>
      <c r="R301" s="264"/>
      <c r="S301" s="264"/>
      <c r="T301" s="264"/>
      <c r="U301" s="264"/>
      <c r="V301" s="264"/>
      <c r="W301" s="264"/>
      <c r="X301" s="264"/>
      <c r="Y301" s="264"/>
      <c r="Z301" s="264"/>
      <c r="AA301" s="264"/>
    </row>
    <row r="302" spans="1:27" ht="15.75" customHeight="1">
      <c r="A302" s="266" t="s">
        <v>8725</v>
      </c>
      <c r="B302" s="266" t="s">
        <v>8726</v>
      </c>
      <c r="C302" s="266" t="s">
        <v>9053</v>
      </c>
      <c r="D302" s="266" t="s">
        <v>9054</v>
      </c>
      <c r="E302" s="266" t="s">
        <v>8687</v>
      </c>
      <c r="F302" s="264"/>
      <c r="G302" s="264"/>
      <c r="H302" s="264"/>
      <c r="I302" s="264"/>
      <c r="J302" s="264"/>
      <c r="K302" s="264"/>
      <c r="L302" s="264"/>
      <c r="M302" s="264"/>
      <c r="N302" s="264"/>
      <c r="O302" s="264"/>
      <c r="P302" s="264"/>
      <c r="Q302" s="264"/>
      <c r="R302" s="264"/>
      <c r="S302" s="264"/>
      <c r="T302" s="264"/>
      <c r="U302" s="264"/>
      <c r="V302" s="264"/>
      <c r="W302" s="264"/>
      <c r="X302" s="264"/>
      <c r="Y302" s="264"/>
      <c r="Z302" s="264"/>
      <c r="AA302" s="264"/>
    </row>
    <row r="303" spans="1:27" ht="15.75" customHeight="1">
      <c r="A303" s="266" t="s">
        <v>8725</v>
      </c>
      <c r="B303" s="266" t="s">
        <v>8726</v>
      </c>
      <c r="C303" s="266" t="s">
        <v>9055</v>
      </c>
      <c r="D303" s="266" t="s">
        <v>9056</v>
      </c>
      <c r="E303" s="266" t="s">
        <v>8687</v>
      </c>
      <c r="F303" s="264"/>
      <c r="G303" s="264"/>
      <c r="H303" s="264"/>
      <c r="I303" s="264"/>
      <c r="J303" s="264"/>
      <c r="K303" s="264"/>
      <c r="L303" s="264"/>
      <c r="M303" s="264"/>
      <c r="N303" s="264"/>
      <c r="O303" s="264"/>
      <c r="P303" s="264"/>
      <c r="Q303" s="264"/>
      <c r="R303" s="264"/>
      <c r="S303" s="264"/>
      <c r="T303" s="264"/>
      <c r="U303" s="264"/>
      <c r="V303" s="264"/>
      <c r="W303" s="264"/>
      <c r="X303" s="264"/>
      <c r="Y303" s="264"/>
      <c r="Z303" s="264"/>
      <c r="AA303" s="264"/>
    </row>
    <row r="304" spans="1:27" ht="15.75" customHeight="1">
      <c r="A304" s="266" t="s">
        <v>8725</v>
      </c>
      <c r="B304" s="266" t="s">
        <v>8726</v>
      </c>
      <c r="C304" s="266" t="s">
        <v>9057</v>
      </c>
      <c r="D304" s="266" t="s">
        <v>9058</v>
      </c>
      <c r="E304" s="266" t="s">
        <v>7210</v>
      </c>
      <c r="F304" s="264"/>
      <c r="G304" s="264"/>
      <c r="H304" s="264"/>
      <c r="I304" s="264"/>
      <c r="J304" s="264"/>
      <c r="K304" s="264"/>
      <c r="L304" s="264"/>
      <c r="M304" s="264"/>
      <c r="N304" s="264"/>
      <c r="O304" s="264"/>
      <c r="P304" s="264"/>
      <c r="Q304" s="264"/>
      <c r="R304" s="264"/>
      <c r="S304" s="264"/>
      <c r="T304" s="264"/>
      <c r="U304" s="264"/>
      <c r="V304" s="264"/>
      <c r="W304" s="264"/>
      <c r="X304" s="264"/>
      <c r="Y304" s="264"/>
      <c r="Z304" s="264"/>
      <c r="AA304" s="264"/>
    </row>
    <row r="305" spans="1:27" ht="15.75" customHeight="1">
      <c r="A305" s="266" t="s">
        <v>8725</v>
      </c>
      <c r="B305" s="266" t="s">
        <v>8726</v>
      </c>
      <c r="C305" s="266" t="s">
        <v>9059</v>
      </c>
      <c r="D305" s="266" t="s">
        <v>9060</v>
      </c>
      <c r="E305" s="266" t="s">
        <v>7210</v>
      </c>
      <c r="F305" s="264"/>
      <c r="G305" s="264"/>
      <c r="H305" s="264"/>
      <c r="I305" s="264"/>
      <c r="J305" s="264"/>
      <c r="K305" s="264"/>
      <c r="L305" s="264"/>
      <c r="M305" s="264"/>
      <c r="N305" s="264"/>
      <c r="O305" s="264"/>
      <c r="P305" s="264"/>
      <c r="Q305" s="264"/>
      <c r="R305" s="264"/>
      <c r="S305" s="264"/>
      <c r="T305" s="264"/>
      <c r="U305" s="264"/>
      <c r="V305" s="264"/>
      <c r="W305" s="264"/>
      <c r="X305" s="264"/>
      <c r="Y305" s="264"/>
      <c r="Z305" s="264"/>
      <c r="AA305" s="264"/>
    </row>
    <row r="306" spans="1:27" ht="15.75" customHeight="1">
      <c r="A306" s="266" t="s">
        <v>8725</v>
      </c>
      <c r="B306" s="266" t="s">
        <v>8726</v>
      </c>
      <c r="C306" s="266" t="s">
        <v>9061</v>
      </c>
      <c r="D306" s="266" t="s">
        <v>9062</v>
      </c>
      <c r="E306" s="266" t="s">
        <v>7210</v>
      </c>
      <c r="F306" s="264"/>
      <c r="G306" s="264"/>
      <c r="H306" s="264"/>
      <c r="I306" s="264"/>
      <c r="J306" s="264"/>
      <c r="K306" s="264"/>
      <c r="L306" s="264"/>
      <c r="M306" s="264"/>
      <c r="N306" s="264"/>
      <c r="O306" s="264"/>
      <c r="P306" s="264"/>
      <c r="Q306" s="264"/>
      <c r="R306" s="264"/>
      <c r="S306" s="264"/>
      <c r="T306" s="264"/>
      <c r="U306" s="264"/>
      <c r="V306" s="264"/>
      <c r="W306" s="264"/>
      <c r="X306" s="264"/>
      <c r="Y306" s="264"/>
      <c r="Z306" s="264"/>
      <c r="AA306" s="264"/>
    </row>
    <row r="307" spans="1:27" ht="15.75" customHeight="1">
      <c r="A307" s="266" t="s">
        <v>8725</v>
      </c>
      <c r="B307" s="266" t="s">
        <v>8726</v>
      </c>
      <c r="C307" s="266" t="s">
        <v>9063</v>
      </c>
      <c r="D307" s="266" t="s">
        <v>9064</v>
      </c>
      <c r="E307" s="266" t="s">
        <v>7210</v>
      </c>
      <c r="F307" s="264"/>
      <c r="G307" s="264"/>
      <c r="H307" s="264"/>
      <c r="I307" s="264"/>
      <c r="J307" s="264"/>
      <c r="K307" s="264"/>
      <c r="L307" s="264"/>
      <c r="M307" s="264"/>
      <c r="N307" s="264"/>
      <c r="O307" s="264"/>
      <c r="P307" s="264"/>
      <c r="Q307" s="264"/>
      <c r="R307" s="264"/>
      <c r="S307" s="264"/>
      <c r="T307" s="264"/>
      <c r="U307" s="264"/>
      <c r="V307" s="264"/>
      <c r="W307" s="264"/>
      <c r="X307" s="264"/>
      <c r="Y307" s="264"/>
      <c r="Z307" s="264"/>
      <c r="AA307" s="264"/>
    </row>
    <row r="308" spans="1:27" ht="15.75" customHeight="1">
      <c r="A308" s="266" t="s">
        <v>8725</v>
      </c>
      <c r="B308" s="266" t="s">
        <v>8726</v>
      </c>
      <c r="C308" s="268" t="s">
        <v>9065</v>
      </c>
      <c r="D308" s="266" t="s">
        <v>9066</v>
      </c>
      <c r="E308" s="266" t="s">
        <v>7210</v>
      </c>
      <c r="F308" s="264"/>
      <c r="G308" s="264"/>
      <c r="H308" s="264"/>
      <c r="I308" s="264"/>
      <c r="J308" s="264"/>
      <c r="K308" s="264"/>
      <c r="L308" s="264"/>
      <c r="M308" s="264"/>
      <c r="N308" s="264"/>
      <c r="O308" s="264"/>
      <c r="P308" s="264"/>
      <c r="Q308" s="264"/>
      <c r="R308" s="264"/>
      <c r="S308" s="264"/>
      <c r="T308" s="264"/>
      <c r="U308" s="264"/>
      <c r="V308" s="264"/>
      <c r="W308" s="264"/>
      <c r="X308" s="264"/>
      <c r="Y308" s="264"/>
      <c r="Z308" s="264"/>
      <c r="AA308" s="264"/>
    </row>
    <row r="309" spans="1:27" ht="15.75" customHeight="1">
      <c r="A309" s="266" t="s">
        <v>8725</v>
      </c>
      <c r="B309" s="266" t="s">
        <v>8726</v>
      </c>
      <c r="C309" s="266" t="s">
        <v>9067</v>
      </c>
      <c r="D309" s="266" t="s">
        <v>9068</v>
      </c>
      <c r="E309" s="266" t="s">
        <v>7210</v>
      </c>
      <c r="F309" s="264"/>
      <c r="G309" s="264"/>
      <c r="H309" s="264"/>
      <c r="I309" s="264"/>
      <c r="J309" s="264"/>
      <c r="K309" s="264"/>
      <c r="L309" s="264"/>
      <c r="M309" s="264"/>
      <c r="N309" s="264"/>
      <c r="O309" s="264"/>
      <c r="P309" s="264"/>
      <c r="Q309" s="264"/>
      <c r="R309" s="264"/>
      <c r="S309" s="264"/>
      <c r="T309" s="264"/>
      <c r="U309" s="264"/>
      <c r="V309" s="264"/>
      <c r="W309" s="264"/>
      <c r="X309" s="264"/>
      <c r="Y309" s="264"/>
      <c r="Z309" s="264"/>
      <c r="AA309" s="264"/>
    </row>
    <row r="310" spans="1:27" ht="15.75" customHeight="1">
      <c r="A310" s="266" t="s">
        <v>8725</v>
      </c>
      <c r="B310" s="266" t="s">
        <v>8726</v>
      </c>
      <c r="C310" s="266" t="s">
        <v>9069</v>
      </c>
      <c r="D310" s="266" t="s">
        <v>9070</v>
      </c>
      <c r="E310" s="266" t="s">
        <v>7210</v>
      </c>
      <c r="F310" s="264"/>
      <c r="G310" s="264"/>
      <c r="H310" s="264"/>
      <c r="I310" s="264"/>
      <c r="J310" s="264"/>
      <c r="K310" s="264"/>
      <c r="L310" s="264"/>
      <c r="M310" s="264"/>
      <c r="N310" s="264"/>
      <c r="O310" s="264"/>
      <c r="P310" s="264"/>
      <c r="Q310" s="264"/>
      <c r="R310" s="264"/>
      <c r="S310" s="264"/>
      <c r="T310" s="264"/>
      <c r="U310" s="264"/>
      <c r="V310" s="264"/>
      <c r="W310" s="264"/>
      <c r="X310" s="264"/>
      <c r="Y310" s="264"/>
      <c r="Z310" s="264"/>
      <c r="AA310" s="264"/>
    </row>
    <row r="311" spans="1:27" ht="15.75" customHeight="1">
      <c r="A311" s="266" t="s">
        <v>8725</v>
      </c>
      <c r="B311" s="266" t="s">
        <v>8726</v>
      </c>
      <c r="C311" s="266" t="s">
        <v>9071</v>
      </c>
      <c r="D311" s="266" t="s">
        <v>9072</v>
      </c>
      <c r="E311" s="266" t="s">
        <v>7210</v>
      </c>
      <c r="F311" s="264"/>
      <c r="G311" s="264"/>
      <c r="H311" s="264"/>
      <c r="I311" s="264"/>
      <c r="J311" s="264"/>
      <c r="K311" s="264"/>
      <c r="L311" s="264"/>
      <c r="M311" s="264"/>
      <c r="N311" s="264"/>
      <c r="O311" s="264"/>
      <c r="P311" s="264"/>
      <c r="Q311" s="264"/>
      <c r="R311" s="264"/>
      <c r="S311" s="264"/>
      <c r="T311" s="264"/>
      <c r="U311" s="264"/>
      <c r="V311" s="264"/>
      <c r="W311" s="264"/>
      <c r="X311" s="264"/>
      <c r="Y311" s="264"/>
      <c r="Z311" s="264"/>
      <c r="AA311" s="264"/>
    </row>
    <row r="312" spans="1:27" ht="15.75" customHeight="1">
      <c r="A312" s="266" t="s">
        <v>8725</v>
      </c>
      <c r="B312" s="266" t="s">
        <v>8726</v>
      </c>
      <c r="C312" s="266" t="s">
        <v>9073</v>
      </c>
      <c r="D312" s="266" t="s">
        <v>9074</v>
      </c>
      <c r="E312" s="266" t="s">
        <v>7210</v>
      </c>
      <c r="F312" s="264"/>
      <c r="G312" s="264"/>
      <c r="H312" s="264"/>
      <c r="I312" s="264"/>
      <c r="J312" s="264"/>
      <c r="K312" s="264"/>
      <c r="L312" s="264"/>
      <c r="M312" s="264"/>
      <c r="N312" s="264"/>
      <c r="O312" s="264"/>
      <c r="P312" s="264"/>
      <c r="Q312" s="264"/>
      <c r="R312" s="264"/>
      <c r="S312" s="264"/>
      <c r="T312" s="264"/>
      <c r="U312" s="264"/>
      <c r="V312" s="264"/>
      <c r="W312" s="264"/>
      <c r="X312" s="264"/>
      <c r="Y312" s="264"/>
      <c r="Z312" s="264"/>
      <c r="AA312" s="264"/>
    </row>
    <row r="313" spans="1:27" ht="15.75" customHeight="1">
      <c r="A313" s="266" t="s">
        <v>8725</v>
      </c>
      <c r="B313" s="266" t="s">
        <v>8726</v>
      </c>
      <c r="C313" s="266" t="s">
        <v>9075</v>
      </c>
      <c r="D313" s="266" t="s">
        <v>9076</v>
      </c>
      <c r="E313" s="266" t="s">
        <v>7210</v>
      </c>
      <c r="F313" s="264"/>
      <c r="G313" s="264"/>
      <c r="H313" s="264"/>
      <c r="I313" s="264"/>
      <c r="J313" s="264"/>
      <c r="K313" s="264"/>
      <c r="L313" s="264"/>
      <c r="M313" s="264"/>
      <c r="N313" s="264"/>
      <c r="O313" s="264"/>
      <c r="P313" s="264"/>
      <c r="Q313" s="264"/>
      <c r="R313" s="264"/>
      <c r="S313" s="264"/>
      <c r="T313" s="264"/>
      <c r="U313" s="264"/>
      <c r="V313" s="264"/>
      <c r="W313" s="264"/>
      <c r="X313" s="264"/>
      <c r="Y313" s="264"/>
      <c r="Z313" s="264"/>
      <c r="AA313" s="264"/>
    </row>
    <row r="314" spans="1:27" ht="15.75" customHeight="1">
      <c r="A314" s="266" t="s">
        <v>8725</v>
      </c>
      <c r="B314" s="266" t="s">
        <v>8726</v>
      </c>
      <c r="C314" s="268" t="s">
        <v>9077</v>
      </c>
      <c r="D314" s="266" t="s">
        <v>8834</v>
      </c>
      <c r="E314" s="266" t="s">
        <v>7210</v>
      </c>
      <c r="F314" s="264"/>
      <c r="G314" s="264"/>
      <c r="H314" s="264"/>
      <c r="I314" s="264"/>
      <c r="J314" s="264"/>
      <c r="K314" s="264"/>
      <c r="L314" s="264"/>
      <c r="M314" s="264"/>
      <c r="N314" s="264"/>
      <c r="O314" s="264"/>
      <c r="P314" s="264"/>
      <c r="Q314" s="264"/>
      <c r="R314" s="264"/>
      <c r="S314" s="264"/>
      <c r="T314" s="264"/>
      <c r="U314" s="264"/>
      <c r="V314" s="264"/>
      <c r="W314" s="264"/>
      <c r="X314" s="264"/>
      <c r="Y314" s="264"/>
      <c r="Z314" s="264"/>
      <c r="AA314" s="264"/>
    </row>
    <row r="315" spans="1:27" ht="15.75" customHeight="1">
      <c r="A315" s="266" t="s">
        <v>8725</v>
      </c>
      <c r="B315" s="266" t="s">
        <v>8726</v>
      </c>
      <c r="C315" s="271" t="s">
        <v>9078</v>
      </c>
      <c r="D315" s="266" t="s">
        <v>8836</v>
      </c>
      <c r="E315" s="266" t="s">
        <v>7210</v>
      </c>
      <c r="F315" s="264"/>
      <c r="G315" s="264"/>
      <c r="H315" s="264"/>
      <c r="I315" s="264"/>
      <c r="J315" s="264"/>
      <c r="K315" s="264"/>
      <c r="L315" s="264"/>
      <c r="M315" s="264"/>
      <c r="N315" s="264"/>
      <c r="O315" s="264"/>
      <c r="P315" s="264"/>
      <c r="Q315" s="264"/>
      <c r="R315" s="264"/>
      <c r="S315" s="264"/>
      <c r="T315" s="264"/>
      <c r="U315" s="264"/>
      <c r="V315" s="264"/>
      <c r="W315" s="264"/>
      <c r="X315" s="264"/>
      <c r="Y315" s="264"/>
      <c r="Z315" s="264"/>
      <c r="AA315" s="264"/>
    </row>
    <row r="316" spans="1:27" ht="15.75" customHeight="1">
      <c r="A316" s="266" t="s">
        <v>8725</v>
      </c>
      <c r="B316" s="266" t="s">
        <v>8726</v>
      </c>
      <c r="C316" s="268" t="s">
        <v>9079</v>
      </c>
      <c r="D316" s="266" t="s">
        <v>8838</v>
      </c>
      <c r="E316" s="266" t="s">
        <v>7210</v>
      </c>
      <c r="F316" s="264"/>
      <c r="G316" s="264"/>
      <c r="H316" s="264"/>
      <c r="I316" s="264"/>
      <c r="J316" s="264"/>
      <c r="K316" s="264"/>
      <c r="L316" s="264"/>
      <c r="M316" s="264"/>
      <c r="N316" s="264"/>
      <c r="O316" s="264"/>
      <c r="P316" s="264"/>
      <c r="Q316" s="264"/>
      <c r="R316" s="264"/>
      <c r="S316" s="264"/>
      <c r="T316" s="264"/>
      <c r="U316" s="264"/>
      <c r="V316" s="264"/>
      <c r="W316" s="264"/>
      <c r="X316" s="264"/>
      <c r="Y316" s="264"/>
      <c r="Z316" s="264"/>
      <c r="AA316" s="264"/>
    </row>
    <row r="317" spans="1:27" ht="15.75" customHeight="1">
      <c r="A317" s="266" t="s">
        <v>8725</v>
      </c>
      <c r="B317" s="266" t="s">
        <v>8726</v>
      </c>
      <c r="C317" s="266" t="s">
        <v>9080</v>
      </c>
      <c r="D317" s="266" t="s">
        <v>8840</v>
      </c>
      <c r="E317" s="266" t="s">
        <v>7210</v>
      </c>
      <c r="F317" s="264"/>
      <c r="G317" s="264"/>
      <c r="H317" s="264"/>
      <c r="I317" s="264"/>
      <c r="J317" s="264"/>
      <c r="K317" s="264"/>
      <c r="L317" s="264"/>
      <c r="M317" s="264"/>
      <c r="N317" s="264"/>
      <c r="O317" s="264"/>
      <c r="P317" s="264"/>
      <c r="Q317" s="264"/>
      <c r="R317" s="264"/>
      <c r="S317" s="264"/>
      <c r="T317" s="264"/>
      <c r="U317" s="264"/>
      <c r="V317" s="264"/>
      <c r="W317" s="264"/>
      <c r="X317" s="264"/>
      <c r="Y317" s="264"/>
      <c r="Z317" s="264"/>
      <c r="AA317" s="264"/>
    </row>
    <row r="318" spans="1:27" ht="15.75" customHeight="1">
      <c r="A318" s="266" t="s">
        <v>8725</v>
      </c>
      <c r="B318" s="266" t="s">
        <v>8726</v>
      </c>
      <c r="C318" s="268" t="s">
        <v>9081</v>
      </c>
      <c r="D318" s="266" t="s">
        <v>8842</v>
      </c>
      <c r="E318" s="266" t="s">
        <v>7210</v>
      </c>
      <c r="F318" s="264"/>
      <c r="G318" s="264"/>
      <c r="H318" s="264"/>
      <c r="I318" s="264"/>
      <c r="J318" s="264"/>
      <c r="K318" s="264"/>
      <c r="L318" s="264"/>
      <c r="M318" s="264"/>
      <c r="N318" s="264"/>
      <c r="O318" s="264"/>
      <c r="P318" s="264"/>
      <c r="Q318" s="264"/>
      <c r="R318" s="264"/>
      <c r="S318" s="264"/>
      <c r="T318" s="264"/>
      <c r="U318" s="264"/>
      <c r="V318" s="264"/>
      <c r="W318" s="264"/>
      <c r="X318" s="264"/>
      <c r="Y318" s="264"/>
      <c r="Z318" s="264"/>
      <c r="AA318" s="264"/>
    </row>
    <row r="319" spans="1:27" ht="15.75" customHeight="1">
      <c r="A319" s="266" t="s">
        <v>8725</v>
      </c>
      <c r="B319" s="266" t="s">
        <v>8726</v>
      </c>
      <c r="C319" s="266" t="s">
        <v>9082</v>
      </c>
      <c r="D319" s="269" t="s">
        <v>8844</v>
      </c>
      <c r="E319" s="266" t="s">
        <v>7210</v>
      </c>
      <c r="F319" s="264"/>
      <c r="G319" s="264"/>
      <c r="H319" s="264"/>
      <c r="I319" s="264"/>
      <c r="J319" s="264"/>
      <c r="K319" s="264"/>
      <c r="L319" s="264"/>
      <c r="M319" s="264"/>
      <c r="N319" s="264"/>
      <c r="O319" s="264"/>
      <c r="P319" s="264"/>
      <c r="Q319" s="264"/>
      <c r="R319" s="264"/>
      <c r="S319" s="264"/>
      <c r="T319" s="264"/>
      <c r="U319" s="264"/>
      <c r="V319" s="264"/>
      <c r="W319" s="264"/>
      <c r="X319" s="264"/>
      <c r="Y319" s="264"/>
      <c r="Z319" s="264"/>
      <c r="AA319" s="264"/>
    </row>
    <row r="320" spans="1:27" ht="15.75" customHeight="1">
      <c r="A320" s="266" t="s">
        <v>8725</v>
      </c>
      <c r="B320" s="266" t="s">
        <v>8726</v>
      </c>
      <c r="C320" s="268" t="s">
        <v>9083</v>
      </c>
      <c r="D320" s="266" t="s">
        <v>8846</v>
      </c>
      <c r="E320" s="266" t="s">
        <v>7210</v>
      </c>
      <c r="F320" s="264"/>
      <c r="G320" s="264"/>
      <c r="H320" s="264"/>
      <c r="I320" s="264"/>
      <c r="J320" s="264"/>
      <c r="K320" s="264"/>
      <c r="L320" s="264"/>
      <c r="M320" s="264"/>
      <c r="N320" s="264"/>
      <c r="O320" s="264"/>
      <c r="P320" s="264"/>
      <c r="Q320" s="264"/>
      <c r="R320" s="264"/>
      <c r="S320" s="264"/>
      <c r="T320" s="264"/>
      <c r="U320" s="264"/>
      <c r="V320" s="264"/>
      <c r="W320" s="264"/>
      <c r="X320" s="264"/>
      <c r="Y320" s="264"/>
      <c r="Z320" s="264"/>
      <c r="AA320" s="264"/>
    </row>
    <row r="321" spans="1:27" ht="15.75" customHeight="1">
      <c r="A321" s="266" t="s">
        <v>8725</v>
      </c>
      <c r="B321" s="266" t="s">
        <v>8726</v>
      </c>
      <c r="C321" s="266" t="s">
        <v>9084</v>
      </c>
      <c r="D321" s="266" t="s">
        <v>8848</v>
      </c>
      <c r="E321" s="266" t="s">
        <v>7210</v>
      </c>
      <c r="F321" s="264"/>
      <c r="G321" s="264"/>
      <c r="H321" s="264"/>
      <c r="I321" s="264"/>
      <c r="J321" s="264"/>
      <c r="K321" s="264"/>
      <c r="L321" s="264"/>
      <c r="M321" s="264"/>
      <c r="N321" s="264"/>
      <c r="O321" s="264"/>
      <c r="P321" s="264"/>
      <c r="Q321" s="264"/>
      <c r="R321" s="264"/>
      <c r="S321" s="264"/>
      <c r="T321" s="264"/>
      <c r="U321" s="264"/>
      <c r="V321" s="264"/>
      <c r="W321" s="264"/>
      <c r="X321" s="264"/>
      <c r="Y321" s="264"/>
      <c r="Z321" s="264"/>
      <c r="AA321" s="264"/>
    </row>
    <row r="322" spans="1:27" ht="15.75" customHeight="1">
      <c r="A322" s="266" t="s">
        <v>8725</v>
      </c>
      <c r="B322" s="266" t="s">
        <v>8726</v>
      </c>
      <c r="C322" s="268" t="s">
        <v>9085</v>
      </c>
      <c r="D322" s="270" t="s">
        <v>8850</v>
      </c>
      <c r="E322" s="266" t="s">
        <v>7210</v>
      </c>
      <c r="F322" s="264"/>
      <c r="G322" s="264"/>
      <c r="H322" s="264"/>
      <c r="I322" s="264"/>
      <c r="J322" s="264"/>
      <c r="K322" s="264"/>
      <c r="L322" s="264"/>
      <c r="M322" s="264"/>
      <c r="N322" s="264"/>
      <c r="O322" s="264"/>
      <c r="P322" s="264"/>
      <c r="Q322" s="264"/>
      <c r="R322" s="264"/>
      <c r="S322" s="264"/>
      <c r="T322" s="264"/>
      <c r="U322" s="264"/>
      <c r="V322" s="264"/>
      <c r="W322" s="264"/>
      <c r="X322" s="264"/>
      <c r="Y322" s="264"/>
      <c r="Z322" s="264"/>
      <c r="AA322" s="264"/>
    </row>
    <row r="323" spans="1:27" ht="15.75" customHeight="1">
      <c r="A323" s="266" t="s">
        <v>8725</v>
      </c>
      <c r="B323" s="266" t="s">
        <v>8726</v>
      </c>
      <c r="C323" s="270" t="s">
        <v>9086</v>
      </c>
      <c r="D323" s="270" t="s">
        <v>8852</v>
      </c>
      <c r="E323" s="266" t="s">
        <v>7210</v>
      </c>
      <c r="F323" s="264"/>
      <c r="G323" s="264"/>
      <c r="H323" s="264"/>
      <c r="I323" s="264"/>
      <c r="J323" s="264"/>
      <c r="K323" s="264"/>
      <c r="L323" s="264"/>
      <c r="M323" s="264"/>
      <c r="N323" s="264"/>
      <c r="O323" s="264"/>
      <c r="P323" s="264"/>
      <c r="Q323" s="264"/>
      <c r="R323" s="264"/>
      <c r="S323" s="264"/>
      <c r="T323" s="264"/>
      <c r="U323" s="264"/>
      <c r="V323" s="264"/>
      <c r="W323" s="264"/>
      <c r="X323" s="264"/>
      <c r="Y323" s="264"/>
      <c r="Z323" s="264"/>
      <c r="AA323" s="264"/>
    </row>
    <row r="324" spans="1:27" ht="15.75" customHeight="1">
      <c r="A324" s="266" t="s">
        <v>8725</v>
      </c>
      <c r="B324" s="266" t="s">
        <v>8726</v>
      </c>
      <c r="C324" s="268" t="s">
        <v>9087</v>
      </c>
      <c r="D324" s="266" t="s">
        <v>8858</v>
      </c>
      <c r="E324" s="266" t="s">
        <v>7210</v>
      </c>
      <c r="F324" s="264"/>
      <c r="G324" s="264"/>
      <c r="H324" s="264"/>
      <c r="I324" s="264"/>
      <c r="J324" s="264"/>
      <c r="K324" s="264"/>
      <c r="L324" s="264"/>
      <c r="M324" s="264"/>
      <c r="N324" s="264"/>
      <c r="O324" s="264"/>
      <c r="P324" s="264"/>
      <c r="Q324" s="264"/>
      <c r="R324" s="264"/>
      <c r="S324" s="264"/>
      <c r="T324" s="264"/>
      <c r="U324" s="264"/>
      <c r="V324" s="264"/>
      <c r="W324" s="264"/>
      <c r="X324" s="264"/>
      <c r="Y324" s="264"/>
      <c r="Z324" s="264"/>
      <c r="AA324" s="264"/>
    </row>
    <row r="325" spans="1:27" ht="15.75" customHeight="1">
      <c r="A325" s="266" t="s">
        <v>8725</v>
      </c>
      <c r="B325" s="266" t="s">
        <v>8726</v>
      </c>
      <c r="C325" s="98" t="s">
        <v>9088</v>
      </c>
      <c r="D325" s="266" t="s">
        <v>8860</v>
      </c>
      <c r="E325" s="266" t="s">
        <v>7210</v>
      </c>
      <c r="F325" s="264"/>
      <c r="G325" s="264"/>
      <c r="H325" s="264"/>
      <c r="I325" s="264"/>
      <c r="J325" s="264"/>
      <c r="K325" s="264"/>
      <c r="L325" s="264"/>
      <c r="M325" s="264"/>
      <c r="N325" s="264"/>
      <c r="O325" s="264"/>
      <c r="P325" s="264"/>
      <c r="Q325" s="264"/>
      <c r="R325" s="264"/>
      <c r="S325" s="264"/>
      <c r="T325" s="264"/>
      <c r="U325" s="264"/>
      <c r="V325" s="264"/>
      <c r="W325" s="264"/>
      <c r="X325" s="264"/>
      <c r="Y325" s="264"/>
      <c r="Z325" s="264"/>
      <c r="AA325" s="264"/>
    </row>
    <row r="326" spans="1:27" ht="15.75" customHeight="1">
      <c r="A326" s="266" t="s">
        <v>8725</v>
      </c>
      <c r="B326" s="266" t="s">
        <v>8726</v>
      </c>
      <c r="C326" s="256" t="s">
        <v>9089</v>
      </c>
      <c r="D326" s="259" t="s">
        <v>8854</v>
      </c>
      <c r="E326" s="259" t="s">
        <v>8773</v>
      </c>
      <c r="F326" s="259"/>
      <c r="G326" s="259"/>
      <c r="H326" s="259"/>
      <c r="I326" s="259"/>
      <c r="J326" s="259"/>
      <c r="K326" s="259"/>
      <c r="L326" s="259"/>
      <c r="M326" s="259"/>
      <c r="N326" s="259"/>
      <c r="O326" s="259"/>
      <c r="P326" s="259"/>
      <c r="Q326" s="259"/>
      <c r="R326" s="259"/>
      <c r="S326" s="259"/>
      <c r="T326" s="259"/>
      <c r="U326" s="259"/>
      <c r="V326" s="259"/>
      <c r="W326" s="259"/>
      <c r="X326" s="259"/>
      <c r="Y326" s="259"/>
      <c r="Z326" s="259"/>
      <c r="AA326" s="259"/>
    </row>
    <row r="327" spans="1:27" ht="15.75" customHeight="1">
      <c r="A327" s="266" t="s">
        <v>8725</v>
      </c>
      <c r="B327" s="266" t="s">
        <v>8726</v>
      </c>
      <c r="C327" s="256" t="s">
        <v>9090</v>
      </c>
      <c r="D327" s="259" t="s">
        <v>8856</v>
      </c>
      <c r="E327" s="259" t="s">
        <v>8773</v>
      </c>
      <c r="F327" s="259"/>
      <c r="G327" s="259"/>
      <c r="H327" s="259"/>
      <c r="I327" s="259"/>
      <c r="J327" s="259"/>
      <c r="K327" s="259"/>
      <c r="L327" s="259"/>
      <c r="M327" s="259"/>
      <c r="N327" s="259"/>
      <c r="O327" s="259"/>
      <c r="P327" s="259"/>
      <c r="Q327" s="259"/>
      <c r="R327" s="259"/>
      <c r="S327" s="259"/>
      <c r="T327" s="259"/>
      <c r="U327" s="259"/>
      <c r="V327" s="259"/>
      <c r="W327" s="259"/>
      <c r="X327" s="259"/>
      <c r="Y327" s="259"/>
      <c r="Z327" s="259"/>
      <c r="AA327" s="259"/>
    </row>
    <row r="328" spans="1:27" ht="15.75" customHeight="1">
      <c r="A328" s="266" t="s">
        <v>8725</v>
      </c>
      <c r="B328" s="266" t="s">
        <v>8726</v>
      </c>
      <c r="C328" s="266" t="s">
        <v>9091</v>
      </c>
      <c r="D328" s="269" t="s">
        <v>9092</v>
      </c>
      <c r="E328" s="266" t="s">
        <v>8687</v>
      </c>
      <c r="F328" s="264"/>
      <c r="G328" s="264"/>
      <c r="H328" s="264"/>
      <c r="I328" s="264"/>
      <c r="J328" s="264"/>
      <c r="K328" s="264"/>
      <c r="L328" s="264"/>
      <c r="M328" s="264"/>
      <c r="N328" s="264"/>
      <c r="O328" s="264"/>
      <c r="P328" s="264"/>
      <c r="Q328" s="264"/>
      <c r="R328" s="264"/>
      <c r="S328" s="264"/>
      <c r="T328" s="264"/>
      <c r="U328" s="264"/>
      <c r="V328" s="264"/>
      <c r="W328" s="264"/>
      <c r="X328" s="264"/>
      <c r="Y328" s="264"/>
      <c r="Z328" s="264"/>
      <c r="AA328" s="264"/>
    </row>
    <row r="329" spans="1:27" ht="15.75" customHeight="1">
      <c r="A329" s="266" t="s">
        <v>8725</v>
      </c>
      <c r="B329" s="266" t="s">
        <v>8726</v>
      </c>
      <c r="C329" s="266" t="s">
        <v>9093</v>
      </c>
      <c r="D329" s="266" t="s">
        <v>9094</v>
      </c>
      <c r="E329" s="266" t="s">
        <v>7210</v>
      </c>
      <c r="F329" s="264"/>
      <c r="G329" s="264"/>
      <c r="H329" s="264"/>
      <c r="I329" s="264"/>
      <c r="J329" s="264"/>
      <c r="K329" s="264"/>
      <c r="L329" s="264"/>
      <c r="M329" s="264"/>
      <c r="N329" s="264"/>
      <c r="O329" s="264"/>
      <c r="P329" s="264"/>
      <c r="Q329" s="264"/>
      <c r="R329" s="264"/>
      <c r="S329" s="264"/>
      <c r="T329" s="264"/>
      <c r="U329" s="264"/>
      <c r="V329" s="264"/>
      <c r="W329" s="264"/>
      <c r="X329" s="264"/>
      <c r="Y329" s="264"/>
      <c r="Z329" s="264"/>
      <c r="AA329" s="264"/>
    </row>
    <row r="330" spans="1:27" ht="15.75" customHeight="1">
      <c r="A330" s="266" t="s">
        <v>8725</v>
      </c>
      <c r="B330" s="266" t="s">
        <v>8726</v>
      </c>
      <c r="C330" s="266" t="s">
        <v>9095</v>
      </c>
      <c r="D330" s="266" t="s">
        <v>9096</v>
      </c>
      <c r="E330" s="266" t="s">
        <v>7210</v>
      </c>
      <c r="F330" s="264"/>
      <c r="G330" s="264"/>
      <c r="H330" s="264"/>
      <c r="I330" s="264"/>
      <c r="J330" s="264"/>
      <c r="K330" s="264"/>
      <c r="L330" s="264"/>
      <c r="M330" s="264"/>
      <c r="N330" s="264"/>
      <c r="O330" s="264"/>
      <c r="P330" s="264"/>
      <c r="Q330" s="264"/>
      <c r="R330" s="264"/>
      <c r="S330" s="264"/>
      <c r="T330" s="264"/>
      <c r="U330" s="264"/>
      <c r="V330" s="264"/>
      <c r="W330" s="264"/>
      <c r="X330" s="264"/>
      <c r="Y330" s="264"/>
      <c r="Z330" s="264"/>
      <c r="AA330" s="264"/>
    </row>
    <row r="331" spans="1:27" ht="15.75" customHeight="1">
      <c r="A331" s="266" t="s">
        <v>8725</v>
      </c>
      <c r="B331" s="266" t="s">
        <v>8726</v>
      </c>
      <c r="C331" s="266" t="s">
        <v>9097</v>
      </c>
      <c r="D331" s="266" t="s">
        <v>9098</v>
      </c>
      <c r="E331" s="266" t="s">
        <v>7210</v>
      </c>
      <c r="F331" s="264"/>
      <c r="G331" s="264"/>
      <c r="H331" s="264"/>
      <c r="I331" s="264"/>
      <c r="J331" s="264"/>
      <c r="K331" s="264"/>
      <c r="L331" s="264"/>
      <c r="M331" s="264"/>
      <c r="N331" s="264"/>
      <c r="O331" s="264"/>
      <c r="P331" s="264"/>
      <c r="Q331" s="264"/>
      <c r="R331" s="264"/>
      <c r="S331" s="264"/>
      <c r="T331" s="264"/>
      <c r="U331" s="264"/>
      <c r="V331" s="264"/>
      <c r="W331" s="264"/>
      <c r="X331" s="264"/>
      <c r="Y331" s="264"/>
      <c r="Z331" s="264"/>
      <c r="AA331" s="264"/>
    </row>
    <row r="332" spans="1:27" ht="15.75" customHeight="1">
      <c r="A332" s="266" t="s">
        <v>8725</v>
      </c>
      <c r="B332" s="266" t="s">
        <v>8726</v>
      </c>
      <c r="C332" s="266" t="s">
        <v>9099</v>
      </c>
      <c r="D332" s="266" t="s">
        <v>9100</v>
      </c>
      <c r="E332" s="266" t="s">
        <v>7210</v>
      </c>
      <c r="F332" s="264"/>
      <c r="G332" s="264"/>
      <c r="H332" s="264"/>
      <c r="I332" s="264"/>
      <c r="J332" s="264"/>
      <c r="K332" s="264"/>
      <c r="L332" s="264"/>
      <c r="M332" s="264"/>
      <c r="N332" s="264"/>
      <c r="O332" s="264"/>
      <c r="P332" s="264"/>
      <c r="Q332" s="264"/>
      <c r="R332" s="264"/>
      <c r="S332" s="264"/>
      <c r="T332" s="264"/>
      <c r="U332" s="264"/>
      <c r="V332" s="264"/>
      <c r="W332" s="264"/>
      <c r="X332" s="264"/>
      <c r="Y332" s="264"/>
      <c r="Z332" s="264"/>
      <c r="AA332" s="264"/>
    </row>
    <row r="333" spans="1:27" ht="15.75" customHeight="1">
      <c r="A333" s="266" t="s">
        <v>8725</v>
      </c>
      <c r="B333" s="266" t="s">
        <v>8726</v>
      </c>
      <c r="C333" s="266" t="s">
        <v>9101</v>
      </c>
      <c r="D333" s="266" t="s">
        <v>9102</v>
      </c>
      <c r="E333" s="266" t="s">
        <v>7210</v>
      </c>
      <c r="F333" s="264"/>
      <c r="G333" s="264"/>
      <c r="H333" s="264"/>
      <c r="I333" s="264"/>
      <c r="J333" s="264"/>
      <c r="K333" s="264"/>
      <c r="L333" s="264"/>
      <c r="M333" s="264"/>
      <c r="N333" s="264"/>
      <c r="O333" s="264"/>
      <c r="P333" s="264"/>
      <c r="Q333" s="264"/>
      <c r="R333" s="264"/>
      <c r="S333" s="264"/>
      <c r="T333" s="264"/>
      <c r="U333" s="264"/>
      <c r="V333" s="264"/>
      <c r="W333" s="264"/>
      <c r="X333" s="264"/>
      <c r="Y333" s="264"/>
      <c r="Z333" s="264"/>
      <c r="AA333" s="264"/>
    </row>
    <row r="334" spans="1:27" ht="15.75" customHeight="1">
      <c r="A334" s="266" t="s">
        <v>8725</v>
      </c>
      <c r="B334" s="266" t="s">
        <v>8726</v>
      </c>
      <c r="C334" s="266" t="s">
        <v>9103</v>
      </c>
      <c r="D334" s="266" t="s">
        <v>9104</v>
      </c>
      <c r="E334" s="266" t="s">
        <v>7210</v>
      </c>
      <c r="F334" s="264"/>
      <c r="G334" s="264"/>
      <c r="H334" s="264"/>
      <c r="I334" s="264"/>
      <c r="J334" s="264"/>
      <c r="K334" s="264"/>
      <c r="L334" s="264"/>
      <c r="M334" s="264"/>
      <c r="N334" s="264"/>
      <c r="O334" s="264"/>
      <c r="P334" s="264"/>
      <c r="Q334" s="264"/>
      <c r="R334" s="264"/>
      <c r="S334" s="264"/>
      <c r="T334" s="264"/>
      <c r="U334" s="264"/>
      <c r="V334" s="264"/>
      <c r="W334" s="264"/>
      <c r="X334" s="264"/>
      <c r="Y334" s="264"/>
      <c r="Z334" s="264"/>
      <c r="AA334" s="264"/>
    </row>
    <row r="335" spans="1:27" ht="15.75" customHeight="1">
      <c r="A335" s="266" t="s">
        <v>8725</v>
      </c>
      <c r="B335" s="266" t="s">
        <v>8726</v>
      </c>
      <c r="C335" s="266" t="s">
        <v>9105</v>
      </c>
      <c r="D335" s="266" t="s">
        <v>9106</v>
      </c>
      <c r="E335" s="266" t="s">
        <v>7210</v>
      </c>
      <c r="F335" s="264"/>
      <c r="G335" s="264"/>
      <c r="H335" s="264"/>
      <c r="I335" s="264"/>
      <c r="J335" s="264"/>
      <c r="K335" s="264"/>
      <c r="L335" s="264"/>
      <c r="M335" s="264"/>
      <c r="N335" s="264"/>
      <c r="O335" s="264"/>
      <c r="P335" s="264"/>
      <c r="Q335" s="264"/>
      <c r="R335" s="264"/>
      <c r="S335" s="264"/>
      <c r="T335" s="264"/>
      <c r="U335" s="264"/>
      <c r="V335" s="264"/>
      <c r="W335" s="264"/>
      <c r="X335" s="264"/>
      <c r="Y335" s="264"/>
      <c r="Z335" s="264"/>
      <c r="AA335" s="264"/>
    </row>
    <row r="336" spans="1:27" ht="15.75" customHeight="1">
      <c r="A336" s="266" t="s">
        <v>8725</v>
      </c>
      <c r="B336" s="266" t="s">
        <v>8726</v>
      </c>
      <c r="C336" s="266" t="s">
        <v>9107</v>
      </c>
      <c r="D336" s="266" t="s">
        <v>5645</v>
      </c>
      <c r="E336" s="266" t="s">
        <v>7210</v>
      </c>
      <c r="F336" s="264"/>
      <c r="G336" s="264"/>
      <c r="H336" s="264"/>
      <c r="I336" s="264"/>
      <c r="J336" s="264"/>
      <c r="K336" s="264"/>
      <c r="L336" s="264"/>
      <c r="M336" s="264"/>
      <c r="N336" s="264"/>
      <c r="O336" s="264"/>
      <c r="P336" s="264"/>
      <c r="Q336" s="264"/>
      <c r="R336" s="264"/>
      <c r="S336" s="264"/>
      <c r="T336" s="264"/>
      <c r="U336" s="264"/>
      <c r="V336" s="264"/>
      <c r="W336" s="264"/>
      <c r="X336" s="264"/>
      <c r="Y336" s="264"/>
      <c r="Z336" s="264"/>
      <c r="AA336" s="264"/>
    </row>
    <row r="337" spans="1:27" ht="15.75" customHeight="1">
      <c r="A337" s="266" t="s">
        <v>8725</v>
      </c>
      <c r="B337" s="266" t="s">
        <v>8726</v>
      </c>
      <c r="C337" s="266" t="s">
        <v>9108</v>
      </c>
      <c r="D337" s="266" t="s">
        <v>9109</v>
      </c>
      <c r="E337" s="266" t="s">
        <v>8687</v>
      </c>
      <c r="F337" s="264"/>
      <c r="G337" s="264"/>
      <c r="H337" s="264"/>
      <c r="I337" s="264"/>
      <c r="J337" s="264"/>
      <c r="K337" s="264"/>
      <c r="L337" s="264"/>
      <c r="M337" s="264"/>
      <c r="N337" s="264"/>
      <c r="O337" s="264"/>
      <c r="P337" s="264"/>
      <c r="Q337" s="264"/>
      <c r="R337" s="264"/>
      <c r="S337" s="264"/>
      <c r="T337" s="264"/>
      <c r="U337" s="264"/>
      <c r="V337" s="264"/>
      <c r="W337" s="264"/>
      <c r="X337" s="264"/>
      <c r="Y337" s="264"/>
      <c r="Z337" s="264"/>
      <c r="AA337" s="264"/>
    </row>
    <row r="338" spans="1:27" ht="15.75" customHeight="1">
      <c r="A338" s="266" t="s">
        <v>8725</v>
      </c>
      <c r="B338" s="266" t="s">
        <v>8726</v>
      </c>
      <c r="C338" s="269" t="s">
        <v>9110</v>
      </c>
      <c r="D338" s="266" t="s">
        <v>9111</v>
      </c>
      <c r="E338" s="266" t="s">
        <v>7210</v>
      </c>
      <c r="F338" s="264"/>
      <c r="G338" s="264"/>
      <c r="H338" s="264"/>
      <c r="I338" s="264"/>
      <c r="J338" s="264"/>
      <c r="K338" s="264"/>
      <c r="L338" s="264"/>
      <c r="M338" s="264"/>
      <c r="N338" s="264"/>
      <c r="O338" s="264"/>
      <c r="P338" s="264"/>
      <c r="Q338" s="264"/>
      <c r="R338" s="264"/>
      <c r="S338" s="264"/>
      <c r="T338" s="264"/>
      <c r="U338" s="264"/>
      <c r="V338" s="264"/>
      <c r="W338" s="264"/>
      <c r="X338" s="264"/>
      <c r="Y338" s="264"/>
      <c r="Z338" s="264"/>
      <c r="AA338" s="264"/>
    </row>
    <row r="339" spans="1:27" ht="15.75" customHeight="1">
      <c r="A339" s="266" t="s">
        <v>8725</v>
      </c>
      <c r="B339" s="266" t="s">
        <v>8726</v>
      </c>
      <c r="C339" s="269" t="s">
        <v>9112</v>
      </c>
      <c r="D339" s="266" t="s">
        <v>9113</v>
      </c>
      <c r="E339" s="266" t="s">
        <v>7210</v>
      </c>
      <c r="F339" s="264"/>
      <c r="G339" s="264"/>
      <c r="H339" s="264"/>
      <c r="I339" s="264"/>
      <c r="J339" s="264"/>
      <c r="K339" s="264"/>
      <c r="L339" s="264"/>
      <c r="M339" s="264"/>
      <c r="N339" s="264"/>
      <c r="O339" s="264"/>
      <c r="P339" s="264"/>
      <c r="Q339" s="264"/>
      <c r="R339" s="264"/>
      <c r="S339" s="264"/>
      <c r="T339" s="264"/>
      <c r="U339" s="264"/>
      <c r="V339" s="264"/>
      <c r="W339" s="264"/>
      <c r="X339" s="264"/>
      <c r="Y339" s="264"/>
      <c r="Z339" s="264"/>
      <c r="AA339" s="264"/>
    </row>
    <row r="340" spans="1:27" ht="15.75" customHeight="1">
      <c r="A340" s="266" t="s">
        <v>8725</v>
      </c>
      <c r="B340" s="266" t="s">
        <v>8726</v>
      </c>
      <c r="C340" s="266" t="s">
        <v>9114</v>
      </c>
      <c r="D340" s="266" t="s">
        <v>9115</v>
      </c>
      <c r="E340" s="266" t="s">
        <v>8687</v>
      </c>
      <c r="F340" s="264"/>
      <c r="G340" s="264"/>
      <c r="H340" s="264"/>
      <c r="I340" s="264"/>
      <c r="J340" s="264"/>
      <c r="K340" s="264"/>
      <c r="L340" s="264"/>
      <c r="M340" s="264"/>
      <c r="N340" s="264"/>
      <c r="O340" s="264"/>
      <c r="P340" s="264"/>
      <c r="Q340" s="264"/>
      <c r="R340" s="264"/>
      <c r="S340" s="264"/>
      <c r="T340" s="264"/>
      <c r="U340" s="264"/>
      <c r="V340" s="264"/>
      <c r="W340" s="264"/>
      <c r="X340" s="264"/>
      <c r="Y340" s="264"/>
      <c r="Z340" s="264"/>
      <c r="AA340" s="264"/>
    </row>
    <row r="341" spans="1:27" ht="15.75" customHeight="1">
      <c r="A341" s="266" t="s">
        <v>8725</v>
      </c>
      <c r="B341" s="266" t="s">
        <v>8726</v>
      </c>
      <c r="C341" s="269" t="s">
        <v>9116</v>
      </c>
      <c r="D341" s="266" t="s">
        <v>9117</v>
      </c>
      <c r="E341" s="266" t="s">
        <v>7210</v>
      </c>
      <c r="F341" s="264"/>
      <c r="G341" s="264"/>
      <c r="H341" s="264"/>
      <c r="I341" s="264"/>
      <c r="J341" s="264"/>
      <c r="K341" s="264"/>
      <c r="L341" s="264"/>
      <c r="M341" s="264"/>
      <c r="N341" s="264"/>
      <c r="O341" s="264"/>
      <c r="P341" s="264"/>
      <c r="Q341" s="264"/>
      <c r="R341" s="264"/>
      <c r="S341" s="264"/>
      <c r="T341" s="264"/>
      <c r="U341" s="264"/>
      <c r="V341" s="264"/>
      <c r="W341" s="264"/>
      <c r="X341" s="264"/>
      <c r="Y341" s="264"/>
      <c r="Z341" s="264"/>
      <c r="AA341" s="264"/>
    </row>
    <row r="342" spans="1:27" ht="15.75" customHeight="1">
      <c r="A342" s="266" t="s">
        <v>8725</v>
      </c>
      <c r="B342" s="266" t="s">
        <v>8726</v>
      </c>
      <c r="C342" s="269" t="s">
        <v>9118</v>
      </c>
      <c r="D342" s="266" t="s">
        <v>9119</v>
      </c>
      <c r="E342" s="266" t="s">
        <v>7210</v>
      </c>
      <c r="F342" s="264"/>
      <c r="G342" s="264"/>
      <c r="H342" s="264"/>
      <c r="I342" s="264"/>
      <c r="J342" s="264"/>
      <c r="K342" s="264"/>
      <c r="L342" s="264"/>
      <c r="M342" s="264"/>
      <c r="N342" s="264"/>
      <c r="O342" s="264"/>
      <c r="P342" s="264"/>
      <c r="Q342" s="264"/>
      <c r="R342" s="264"/>
      <c r="S342" s="264"/>
      <c r="T342" s="264"/>
      <c r="U342" s="264"/>
      <c r="V342" s="264"/>
      <c r="W342" s="264"/>
      <c r="X342" s="264"/>
      <c r="Y342" s="264"/>
      <c r="Z342" s="264"/>
      <c r="AA342" s="264"/>
    </row>
    <row r="343" spans="1:27" ht="15.75" customHeight="1">
      <c r="A343" s="266" t="s">
        <v>8725</v>
      </c>
      <c r="B343" s="266" t="s">
        <v>8726</v>
      </c>
      <c r="C343" s="266" t="s">
        <v>9120</v>
      </c>
      <c r="D343" s="266" t="s">
        <v>9121</v>
      </c>
      <c r="E343" s="266" t="s">
        <v>7210</v>
      </c>
      <c r="F343" s="264"/>
      <c r="G343" s="264"/>
      <c r="H343" s="264"/>
      <c r="I343" s="264"/>
      <c r="J343" s="264"/>
      <c r="K343" s="264"/>
      <c r="L343" s="264"/>
      <c r="M343" s="264"/>
      <c r="N343" s="264"/>
      <c r="O343" s="264"/>
      <c r="P343" s="264"/>
      <c r="Q343" s="264"/>
      <c r="R343" s="264"/>
      <c r="S343" s="264"/>
      <c r="T343" s="264"/>
      <c r="U343" s="264"/>
      <c r="V343" s="264"/>
      <c r="W343" s="264"/>
      <c r="X343" s="264"/>
      <c r="Y343" s="264"/>
      <c r="Z343" s="264"/>
      <c r="AA343" s="264"/>
    </row>
    <row r="344" spans="1:27" ht="15.75" customHeight="1">
      <c r="A344" s="266" t="s">
        <v>8725</v>
      </c>
      <c r="B344" s="266" t="s">
        <v>8726</v>
      </c>
      <c r="C344" s="266" t="s">
        <v>9122</v>
      </c>
      <c r="D344" s="269" t="s">
        <v>9123</v>
      </c>
      <c r="E344" s="266" t="s">
        <v>7210</v>
      </c>
      <c r="F344" s="264"/>
      <c r="G344" s="264"/>
      <c r="H344" s="264"/>
      <c r="I344" s="264"/>
      <c r="J344" s="264"/>
      <c r="K344" s="264"/>
      <c r="L344" s="264"/>
      <c r="M344" s="264"/>
      <c r="N344" s="264"/>
      <c r="O344" s="264"/>
      <c r="P344" s="264"/>
      <c r="Q344" s="264"/>
      <c r="R344" s="264"/>
      <c r="S344" s="264"/>
      <c r="T344" s="264"/>
      <c r="U344" s="264"/>
      <c r="V344" s="264"/>
      <c r="W344" s="264"/>
      <c r="X344" s="264"/>
      <c r="Y344" s="264"/>
      <c r="Z344" s="264"/>
      <c r="AA344" s="264"/>
    </row>
    <row r="345" spans="1:27" ht="15.75" customHeight="1">
      <c r="A345" s="266" t="s">
        <v>8725</v>
      </c>
      <c r="B345" s="266" t="s">
        <v>8726</v>
      </c>
      <c r="C345" s="266" t="s">
        <v>9124</v>
      </c>
      <c r="D345" s="266" t="s">
        <v>9125</v>
      </c>
      <c r="E345" s="266" t="s">
        <v>7210</v>
      </c>
      <c r="F345" s="264"/>
      <c r="G345" s="264"/>
      <c r="H345" s="264"/>
      <c r="I345" s="264"/>
      <c r="J345" s="264"/>
      <c r="K345" s="264"/>
      <c r="L345" s="264"/>
      <c r="M345" s="264"/>
      <c r="N345" s="264"/>
      <c r="O345" s="264"/>
      <c r="P345" s="264"/>
      <c r="Q345" s="264"/>
      <c r="R345" s="264"/>
      <c r="S345" s="264"/>
      <c r="T345" s="264"/>
      <c r="U345" s="264"/>
      <c r="V345" s="264"/>
      <c r="W345" s="264"/>
      <c r="X345" s="264"/>
      <c r="Y345" s="264"/>
      <c r="Z345" s="264"/>
      <c r="AA345" s="264"/>
    </row>
    <row r="346" spans="1:27" ht="15.75" customHeight="1">
      <c r="A346" s="266" t="s">
        <v>8725</v>
      </c>
      <c r="B346" s="266" t="s">
        <v>8726</v>
      </c>
      <c r="C346" s="266" t="s">
        <v>9126</v>
      </c>
      <c r="D346" s="266" t="s">
        <v>9127</v>
      </c>
      <c r="E346" s="266" t="s">
        <v>7210</v>
      </c>
      <c r="F346" s="264"/>
      <c r="G346" s="264"/>
      <c r="H346" s="264"/>
      <c r="I346" s="264"/>
      <c r="J346" s="264"/>
      <c r="K346" s="264"/>
      <c r="L346" s="264"/>
      <c r="M346" s="264"/>
      <c r="N346" s="264"/>
      <c r="O346" s="264"/>
      <c r="P346" s="264"/>
      <c r="Q346" s="264"/>
      <c r="R346" s="264"/>
      <c r="S346" s="264"/>
      <c r="T346" s="264"/>
      <c r="U346" s="264"/>
      <c r="V346" s="264"/>
      <c r="W346" s="264"/>
      <c r="X346" s="264"/>
      <c r="Y346" s="264"/>
      <c r="Z346" s="264"/>
      <c r="AA346" s="264"/>
    </row>
    <row r="347" spans="1:27" ht="15.75" customHeight="1">
      <c r="A347" s="266" t="s">
        <v>8725</v>
      </c>
      <c r="B347" s="266" t="s">
        <v>8726</v>
      </c>
      <c r="C347" s="266" t="s">
        <v>9128</v>
      </c>
      <c r="D347" s="266" t="s">
        <v>5770</v>
      </c>
      <c r="E347" s="266" t="s">
        <v>7210</v>
      </c>
      <c r="F347" s="264"/>
      <c r="G347" s="264"/>
      <c r="H347" s="264"/>
      <c r="I347" s="264"/>
      <c r="J347" s="264"/>
      <c r="K347" s="264"/>
      <c r="L347" s="264"/>
      <c r="M347" s="264"/>
      <c r="N347" s="264"/>
      <c r="O347" s="264"/>
      <c r="P347" s="264"/>
      <c r="Q347" s="264"/>
      <c r="R347" s="264"/>
      <c r="S347" s="264"/>
      <c r="T347" s="264"/>
      <c r="U347" s="264"/>
      <c r="V347" s="264"/>
      <c r="W347" s="264"/>
      <c r="X347" s="264"/>
      <c r="Y347" s="264"/>
      <c r="Z347" s="264"/>
      <c r="AA347" s="264"/>
    </row>
    <row r="348" spans="1:27" ht="15.75" customHeight="1">
      <c r="A348" s="266" t="s">
        <v>8725</v>
      </c>
      <c r="B348" s="266" t="s">
        <v>8726</v>
      </c>
      <c r="C348" s="266" t="s">
        <v>9129</v>
      </c>
      <c r="D348" s="266" t="s">
        <v>9130</v>
      </c>
      <c r="E348" s="266" t="s">
        <v>7210</v>
      </c>
      <c r="F348" s="264"/>
      <c r="G348" s="264"/>
      <c r="H348" s="264"/>
      <c r="I348" s="264"/>
      <c r="J348" s="264"/>
      <c r="K348" s="264"/>
      <c r="L348" s="264"/>
      <c r="M348" s="264"/>
      <c r="N348" s="264"/>
      <c r="O348" s="264"/>
      <c r="P348" s="264"/>
      <c r="Q348" s="264"/>
      <c r="R348" s="264"/>
      <c r="S348" s="264"/>
      <c r="T348" s="264"/>
      <c r="U348" s="264"/>
      <c r="V348" s="264"/>
      <c r="W348" s="264"/>
      <c r="X348" s="264"/>
      <c r="Y348" s="264"/>
      <c r="Z348" s="264"/>
      <c r="AA348" s="264"/>
    </row>
    <row r="349" spans="1:27" ht="15.75" customHeight="1">
      <c r="A349" s="266" t="s">
        <v>8725</v>
      </c>
      <c r="B349" s="266" t="s">
        <v>8726</v>
      </c>
      <c r="C349" s="266" t="s">
        <v>9131</v>
      </c>
      <c r="D349" s="266" t="s">
        <v>9132</v>
      </c>
      <c r="E349" s="266" t="s">
        <v>7210</v>
      </c>
      <c r="F349" s="264"/>
      <c r="G349" s="264"/>
      <c r="H349" s="264"/>
      <c r="I349" s="264"/>
      <c r="J349" s="264"/>
      <c r="K349" s="264"/>
      <c r="L349" s="264"/>
      <c r="M349" s="264"/>
      <c r="N349" s="264"/>
      <c r="O349" s="264"/>
      <c r="P349" s="264"/>
      <c r="Q349" s="264"/>
      <c r="R349" s="264"/>
      <c r="S349" s="264"/>
      <c r="T349" s="264"/>
      <c r="U349" s="264"/>
      <c r="V349" s="264"/>
      <c r="W349" s="264"/>
      <c r="X349" s="264"/>
      <c r="Y349" s="264"/>
      <c r="Z349" s="264"/>
      <c r="AA349" s="264"/>
    </row>
    <row r="350" spans="1:27" ht="15.75" customHeight="1">
      <c r="A350" s="266" t="s">
        <v>8725</v>
      </c>
      <c r="B350" s="266" t="s">
        <v>8726</v>
      </c>
      <c r="C350" s="266" t="s">
        <v>9133</v>
      </c>
      <c r="D350" s="267" t="s">
        <v>9134</v>
      </c>
      <c r="E350" s="266" t="s">
        <v>7210</v>
      </c>
      <c r="F350" s="264"/>
      <c r="G350" s="264"/>
      <c r="H350" s="264"/>
      <c r="I350" s="264"/>
      <c r="J350" s="264"/>
      <c r="K350" s="264"/>
      <c r="L350" s="264"/>
      <c r="M350" s="264"/>
      <c r="N350" s="264"/>
      <c r="O350" s="264"/>
      <c r="P350" s="264"/>
      <c r="Q350" s="264"/>
      <c r="R350" s="264"/>
      <c r="S350" s="264"/>
      <c r="T350" s="264"/>
      <c r="U350" s="264"/>
      <c r="V350" s="264"/>
      <c r="W350" s="264"/>
      <c r="X350" s="264"/>
      <c r="Y350" s="264"/>
      <c r="Z350" s="264"/>
      <c r="AA350" s="264"/>
    </row>
    <row r="351" spans="1:27" ht="15.75" customHeight="1">
      <c r="A351" s="266" t="s">
        <v>8725</v>
      </c>
      <c r="B351" s="266" t="s">
        <v>8726</v>
      </c>
      <c r="C351" s="266" t="s">
        <v>9135</v>
      </c>
      <c r="D351" s="266" t="s">
        <v>9136</v>
      </c>
      <c r="E351" s="266" t="s">
        <v>7210</v>
      </c>
      <c r="F351" s="264"/>
      <c r="G351" s="264"/>
      <c r="H351" s="264"/>
      <c r="I351" s="264"/>
      <c r="J351" s="264"/>
      <c r="K351" s="264"/>
      <c r="L351" s="264"/>
      <c r="M351" s="264"/>
      <c r="N351" s="264"/>
      <c r="O351" s="264"/>
      <c r="P351" s="264"/>
      <c r="Q351" s="264"/>
      <c r="R351" s="264"/>
      <c r="S351" s="264"/>
      <c r="T351" s="264"/>
      <c r="U351" s="264"/>
      <c r="V351" s="264"/>
      <c r="W351" s="264"/>
      <c r="X351" s="264"/>
      <c r="Y351" s="264"/>
      <c r="Z351" s="264"/>
      <c r="AA351" s="264"/>
    </row>
    <row r="352" spans="1:27" ht="15.75" customHeight="1">
      <c r="A352" s="266" t="s">
        <v>8725</v>
      </c>
      <c r="B352" s="266" t="s">
        <v>8726</v>
      </c>
      <c r="C352" s="266" t="s">
        <v>9137</v>
      </c>
      <c r="D352" s="266" t="s">
        <v>9138</v>
      </c>
      <c r="E352" s="266" t="s">
        <v>538</v>
      </c>
      <c r="F352" s="264"/>
      <c r="G352" s="264"/>
      <c r="H352" s="264"/>
      <c r="I352" s="264"/>
      <c r="J352" s="264"/>
      <c r="K352" s="264"/>
      <c r="L352" s="264"/>
      <c r="M352" s="264"/>
      <c r="N352" s="264"/>
      <c r="O352" s="264"/>
      <c r="P352" s="264"/>
      <c r="Q352" s="264"/>
      <c r="R352" s="264"/>
      <c r="S352" s="264"/>
      <c r="T352" s="264"/>
      <c r="U352" s="264"/>
      <c r="V352" s="264"/>
      <c r="W352" s="264"/>
      <c r="X352" s="264"/>
      <c r="Y352" s="264"/>
      <c r="Z352" s="264"/>
      <c r="AA352" s="264"/>
    </row>
    <row r="353" spans="1:27" ht="15.75" customHeight="1">
      <c r="A353" s="266" t="s">
        <v>8725</v>
      </c>
      <c r="B353" s="266" t="s">
        <v>8726</v>
      </c>
      <c r="C353" s="266" t="s">
        <v>9139</v>
      </c>
      <c r="D353" s="266" t="s">
        <v>9140</v>
      </c>
      <c r="E353" s="266" t="s">
        <v>7210</v>
      </c>
      <c r="F353" s="264"/>
      <c r="G353" s="264"/>
      <c r="H353" s="264"/>
      <c r="I353" s="264"/>
      <c r="J353" s="264"/>
      <c r="K353" s="264"/>
      <c r="L353" s="264"/>
      <c r="M353" s="264"/>
      <c r="N353" s="264"/>
      <c r="O353" s="264"/>
      <c r="P353" s="264"/>
      <c r="Q353" s="264"/>
      <c r="R353" s="264"/>
      <c r="S353" s="264"/>
      <c r="T353" s="264"/>
      <c r="U353" s="264"/>
      <c r="V353" s="264"/>
      <c r="W353" s="264"/>
      <c r="X353" s="264"/>
      <c r="Y353" s="264"/>
      <c r="Z353" s="264"/>
      <c r="AA353" s="264"/>
    </row>
    <row r="354" spans="1:27" ht="15.75" customHeight="1">
      <c r="A354" s="266" t="s">
        <v>8725</v>
      </c>
      <c r="B354" s="266" t="s">
        <v>8726</v>
      </c>
      <c r="C354" s="266" t="s">
        <v>9141</v>
      </c>
      <c r="D354" s="266" t="s">
        <v>9142</v>
      </c>
      <c r="E354" s="266" t="s">
        <v>7210</v>
      </c>
      <c r="F354" s="264"/>
      <c r="G354" s="264"/>
      <c r="H354" s="264"/>
      <c r="I354" s="264"/>
      <c r="J354" s="264"/>
      <c r="K354" s="264"/>
      <c r="L354" s="264"/>
      <c r="M354" s="264"/>
      <c r="N354" s="264"/>
      <c r="O354" s="264"/>
      <c r="P354" s="264"/>
      <c r="Q354" s="264"/>
      <c r="R354" s="264"/>
      <c r="S354" s="264"/>
      <c r="T354" s="264"/>
      <c r="U354" s="264"/>
      <c r="V354" s="264"/>
      <c r="W354" s="264"/>
      <c r="X354" s="264"/>
      <c r="Y354" s="264"/>
      <c r="Z354" s="264"/>
      <c r="AA354" s="264"/>
    </row>
    <row r="355" spans="1:27" ht="15.75" customHeight="1">
      <c r="A355" s="266" t="s">
        <v>8725</v>
      </c>
      <c r="B355" s="266" t="s">
        <v>8726</v>
      </c>
      <c r="C355" s="266" t="s">
        <v>9143</v>
      </c>
      <c r="D355" s="266" t="s">
        <v>9144</v>
      </c>
      <c r="E355" s="266" t="s">
        <v>7210</v>
      </c>
      <c r="F355" s="264"/>
      <c r="G355" s="264"/>
      <c r="H355" s="264"/>
      <c r="I355" s="264"/>
      <c r="J355" s="264"/>
      <c r="K355" s="264"/>
      <c r="L355" s="264"/>
      <c r="M355" s="264"/>
      <c r="N355" s="264"/>
      <c r="O355" s="264"/>
      <c r="P355" s="264"/>
      <c r="Q355" s="264"/>
      <c r="R355" s="264"/>
      <c r="S355" s="264"/>
      <c r="T355" s="264"/>
      <c r="U355" s="264"/>
      <c r="V355" s="264"/>
      <c r="W355" s="264"/>
      <c r="X355" s="264"/>
      <c r="Y355" s="264"/>
      <c r="Z355" s="264"/>
      <c r="AA355" s="264"/>
    </row>
    <row r="356" spans="1:27" ht="15.75" customHeight="1">
      <c r="A356" s="266" t="s">
        <v>8725</v>
      </c>
      <c r="B356" s="266" t="s">
        <v>8726</v>
      </c>
      <c r="C356" s="268" t="s">
        <v>9145</v>
      </c>
      <c r="D356" s="268" t="s">
        <v>9146</v>
      </c>
      <c r="E356" s="266" t="s">
        <v>7210</v>
      </c>
      <c r="F356" s="264"/>
      <c r="G356" s="264"/>
      <c r="H356" s="264"/>
      <c r="I356" s="264"/>
      <c r="J356" s="264"/>
      <c r="K356" s="264"/>
      <c r="L356" s="264"/>
      <c r="M356" s="264"/>
      <c r="N356" s="264"/>
      <c r="O356" s="264"/>
      <c r="P356" s="264"/>
      <c r="Q356" s="264"/>
      <c r="R356" s="264"/>
      <c r="S356" s="264"/>
      <c r="T356" s="264"/>
      <c r="U356" s="264"/>
      <c r="V356" s="264"/>
      <c r="W356" s="264"/>
      <c r="X356" s="264"/>
      <c r="Y356" s="264"/>
      <c r="Z356" s="264"/>
      <c r="AA356" s="264"/>
    </row>
    <row r="357" spans="1:27" ht="15.75" customHeight="1">
      <c r="A357" s="266" t="s">
        <v>8725</v>
      </c>
      <c r="B357" s="266" t="s">
        <v>8726</v>
      </c>
      <c r="C357" s="266" t="s">
        <v>9147</v>
      </c>
      <c r="D357" s="266" t="s">
        <v>9148</v>
      </c>
      <c r="E357" s="266" t="s">
        <v>7210</v>
      </c>
      <c r="F357" s="264"/>
      <c r="G357" s="264"/>
      <c r="H357" s="264"/>
      <c r="I357" s="264"/>
      <c r="J357" s="264"/>
      <c r="K357" s="264"/>
      <c r="L357" s="264"/>
      <c r="M357" s="264"/>
      <c r="N357" s="264"/>
      <c r="O357" s="264"/>
      <c r="P357" s="264"/>
      <c r="Q357" s="264"/>
      <c r="R357" s="264"/>
      <c r="S357" s="264"/>
      <c r="T357" s="264"/>
      <c r="U357" s="264"/>
      <c r="V357" s="264"/>
      <c r="W357" s="264"/>
      <c r="X357" s="264"/>
      <c r="Y357" s="264"/>
      <c r="Z357" s="264"/>
      <c r="AA357" s="264"/>
    </row>
    <row r="358" spans="1:27" ht="15.75" customHeight="1">
      <c r="A358" s="266" t="s">
        <v>8725</v>
      </c>
      <c r="B358" s="266" t="s">
        <v>8726</v>
      </c>
      <c r="C358" s="266" t="s">
        <v>9149</v>
      </c>
      <c r="D358" s="266" t="s">
        <v>9150</v>
      </c>
      <c r="E358" s="266" t="s">
        <v>538</v>
      </c>
      <c r="F358" s="264"/>
      <c r="G358" s="264"/>
      <c r="H358" s="264"/>
      <c r="I358" s="264"/>
      <c r="J358" s="264"/>
      <c r="K358" s="264"/>
      <c r="L358" s="264"/>
      <c r="M358" s="264"/>
      <c r="N358" s="264"/>
      <c r="O358" s="264"/>
      <c r="P358" s="264"/>
      <c r="Q358" s="264"/>
      <c r="R358" s="264"/>
      <c r="S358" s="264"/>
      <c r="T358" s="264"/>
      <c r="U358" s="264"/>
      <c r="V358" s="264"/>
      <c r="W358" s="264"/>
      <c r="X358" s="264"/>
      <c r="Y358" s="264"/>
      <c r="Z358" s="264"/>
      <c r="AA358" s="264"/>
    </row>
    <row r="359" spans="1:27" ht="15.75" customHeight="1">
      <c r="A359" s="266" t="s">
        <v>8725</v>
      </c>
      <c r="B359" s="266" t="s">
        <v>8726</v>
      </c>
      <c r="C359" s="266" t="s">
        <v>9151</v>
      </c>
      <c r="D359" s="266" t="s">
        <v>9152</v>
      </c>
      <c r="E359" s="266" t="s">
        <v>7210</v>
      </c>
      <c r="F359" s="264"/>
      <c r="G359" s="264"/>
      <c r="H359" s="264"/>
      <c r="I359" s="264"/>
      <c r="J359" s="264"/>
      <c r="K359" s="264"/>
      <c r="L359" s="264"/>
      <c r="M359" s="264"/>
      <c r="N359" s="264"/>
      <c r="O359" s="264"/>
      <c r="P359" s="264"/>
      <c r="Q359" s="264"/>
      <c r="R359" s="264"/>
      <c r="S359" s="264"/>
      <c r="T359" s="264"/>
      <c r="U359" s="264"/>
      <c r="V359" s="264"/>
      <c r="W359" s="264"/>
      <c r="X359" s="264"/>
      <c r="Y359" s="264"/>
      <c r="Z359" s="264"/>
      <c r="AA359" s="264"/>
    </row>
    <row r="360" spans="1:27" ht="15.75" customHeight="1">
      <c r="A360" s="266" t="s">
        <v>8725</v>
      </c>
      <c r="B360" s="266" t="s">
        <v>8726</v>
      </c>
      <c r="C360" s="266" t="s">
        <v>9153</v>
      </c>
      <c r="D360" s="266" t="s">
        <v>9154</v>
      </c>
      <c r="E360" s="266" t="s">
        <v>7210</v>
      </c>
      <c r="F360" s="264"/>
      <c r="G360" s="264"/>
      <c r="H360" s="264"/>
      <c r="I360" s="264"/>
      <c r="J360" s="264"/>
      <c r="K360" s="264"/>
      <c r="L360" s="264"/>
      <c r="M360" s="264"/>
      <c r="N360" s="264"/>
      <c r="O360" s="264"/>
      <c r="P360" s="264"/>
      <c r="Q360" s="264"/>
      <c r="R360" s="264"/>
      <c r="S360" s="264"/>
      <c r="T360" s="264"/>
      <c r="U360" s="264"/>
      <c r="V360" s="264"/>
      <c r="W360" s="264"/>
      <c r="X360" s="264"/>
      <c r="Y360" s="264"/>
      <c r="Z360" s="264"/>
      <c r="AA360" s="264"/>
    </row>
    <row r="361" spans="1:27" ht="15.75" customHeight="1">
      <c r="A361" s="266" t="s">
        <v>8725</v>
      </c>
      <c r="B361" s="266" t="s">
        <v>8726</v>
      </c>
      <c r="C361" s="266" t="s">
        <v>9155</v>
      </c>
      <c r="D361" s="266" t="s">
        <v>9156</v>
      </c>
      <c r="E361" s="266" t="s">
        <v>7210</v>
      </c>
      <c r="F361" s="264"/>
      <c r="G361" s="264"/>
      <c r="H361" s="264"/>
      <c r="I361" s="264"/>
      <c r="J361" s="264"/>
      <c r="K361" s="264"/>
      <c r="L361" s="264"/>
      <c r="M361" s="264"/>
      <c r="N361" s="264"/>
      <c r="O361" s="264"/>
      <c r="P361" s="264"/>
      <c r="Q361" s="264"/>
      <c r="R361" s="264"/>
      <c r="S361" s="264"/>
      <c r="T361" s="264"/>
      <c r="U361" s="264"/>
      <c r="V361" s="264"/>
      <c r="W361" s="264"/>
      <c r="X361" s="264"/>
      <c r="Y361" s="264"/>
      <c r="Z361" s="264"/>
      <c r="AA361" s="264"/>
    </row>
    <row r="362" spans="1:27" ht="15.75" customHeight="1">
      <c r="A362" s="266" t="s">
        <v>8725</v>
      </c>
      <c r="B362" s="266" t="s">
        <v>8726</v>
      </c>
      <c r="C362" s="268" t="s">
        <v>9157</v>
      </c>
      <c r="D362" s="268" t="s">
        <v>9158</v>
      </c>
      <c r="E362" s="266" t="s">
        <v>7210</v>
      </c>
      <c r="F362" s="264"/>
      <c r="G362" s="264"/>
      <c r="H362" s="264"/>
      <c r="I362" s="264"/>
      <c r="J362" s="264"/>
      <c r="K362" s="264"/>
      <c r="L362" s="264"/>
      <c r="M362" s="264"/>
      <c r="N362" s="264"/>
      <c r="O362" s="264"/>
      <c r="P362" s="264"/>
      <c r="Q362" s="264"/>
      <c r="R362" s="264"/>
      <c r="S362" s="264"/>
      <c r="T362" s="264"/>
      <c r="U362" s="264"/>
      <c r="V362" s="264"/>
      <c r="W362" s="264"/>
      <c r="X362" s="264"/>
      <c r="Y362" s="264"/>
      <c r="Z362" s="264"/>
      <c r="AA362" s="264"/>
    </row>
    <row r="363" spans="1:27" ht="15.75" customHeight="1">
      <c r="A363" s="266" t="s">
        <v>8725</v>
      </c>
      <c r="B363" s="266" t="s">
        <v>8726</v>
      </c>
      <c r="C363" s="266" t="s">
        <v>9159</v>
      </c>
      <c r="D363" s="266" t="s">
        <v>9160</v>
      </c>
      <c r="E363" s="266" t="s">
        <v>7210</v>
      </c>
      <c r="F363" s="264"/>
      <c r="G363" s="264"/>
      <c r="H363" s="264"/>
      <c r="I363" s="264"/>
      <c r="J363" s="264"/>
      <c r="K363" s="264"/>
      <c r="L363" s="264"/>
      <c r="M363" s="264"/>
      <c r="N363" s="264"/>
      <c r="O363" s="264"/>
      <c r="P363" s="264"/>
      <c r="Q363" s="264"/>
      <c r="R363" s="264"/>
      <c r="S363" s="264"/>
      <c r="T363" s="264"/>
      <c r="U363" s="264"/>
      <c r="V363" s="264"/>
      <c r="W363" s="264"/>
      <c r="X363" s="264"/>
      <c r="Y363" s="264"/>
      <c r="Z363" s="264"/>
      <c r="AA363" s="264"/>
    </row>
    <row r="364" spans="1:27" ht="15.75" customHeight="1">
      <c r="A364" s="266" t="s">
        <v>8725</v>
      </c>
      <c r="B364" s="266" t="s">
        <v>8726</v>
      </c>
      <c r="C364" s="266" t="s">
        <v>9161</v>
      </c>
      <c r="D364" s="266" t="s">
        <v>2794</v>
      </c>
      <c r="E364" s="266" t="s">
        <v>7210</v>
      </c>
      <c r="F364" s="264"/>
      <c r="G364" s="264"/>
      <c r="H364" s="264"/>
      <c r="I364" s="264"/>
      <c r="J364" s="264"/>
      <c r="K364" s="264"/>
      <c r="L364" s="264"/>
      <c r="M364" s="264"/>
      <c r="N364" s="264"/>
      <c r="O364" s="264"/>
      <c r="P364" s="264"/>
      <c r="Q364" s="264"/>
      <c r="R364" s="264"/>
      <c r="S364" s="264"/>
      <c r="T364" s="264"/>
      <c r="U364" s="264"/>
      <c r="V364" s="264"/>
      <c r="W364" s="264"/>
      <c r="X364" s="264"/>
      <c r="Y364" s="264"/>
      <c r="Z364" s="264"/>
      <c r="AA364" s="264"/>
    </row>
    <row r="365" spans="1:27" ht="15.75" customHeight="1">
      <c r="A365" s="266" t="s">
        <v>8725</v>
      </c>
      <c r="B365" s="266" t="s">
        <v>8726</v>
      </c>
      <c r="C365" s="266" t="s">
        <v>9162</v>
      </c>
      <c r="D365" s="266" t="s">
        <v>9163</v>
      </c>
      <c r="E365" s="266" t="s">
        <v>8773</v>
      </c>
      <c r="F365" s="264"/>
      <c r="G365" s="264"/>
      <c r="H365" s="264"/>
      <c r="I365" s="264"/>
      <c r="J365" s="264"/>
      <c r="K365" s="264"/>
      <c r="L365" s="264"/>
      <c r="M365" s="264"/>
      <c r="N365" s="264"/>
      <c r="O365" s="264"/>
      <c r="P365" s="264"/>
      <c r="Q365" s="264"/>
      <c r="R365" s="264"/>
      <c r="S365" s="264"/>
      <c r="T365" s="264"/>
      <c r="U365" s="264"/>
      <c r="V365" s="264"/>
      <c r="W365" s="264"/>
      <c r="X365" s="264"/>
      <c r="Y365" s="264"/>
      <c r="Z365" s="264"/>
      <c r="AA365" s="264"/>
    </row>
    <row r="366" spans="1:27" ht="15.75" customHeight="1">
      <c r="A366" s="266" t="s">
        <v>8725</v>
      </c>
      <c r="B366" s="266" t="s">
        <v>8726</v>
      </c>
      <c r="C366" s="266" t="s">
        <v>9164</v>
      </c>
      <c r="D366" s="266" t="s">
        <v>9165</v>
      </c>
      <c r="E366" s="266" t="s">
        <v>8773</v>
      </c>
      <c r="F366" s="264"/>
      <c r="G366" s="264"/>
      <c r="H366" s="264"/>
      <c r="I366" s="264"/>
      <c r="J366" s="264"/>
      <c r="K366" s="264"/>
      <c r="L366" s="264"/>
      <c r="M366" s="264"/>
      <c r="N366" s="264"/>
      <c r="O366" s="264"/>
      <c r="P366" s="264"/>
      <c r="Q366" s="264"/>
      <c r="R366" s="264"/>
      <c r="S366" s="264"/>
      <c r="T366" s="264"/>
      <c r="U366" s="264"/>
      <c r="V366" s="264"/>
      <c r="W366" s="264"/>
      <c r="X366" s="264"/>
      <c r="Y366" s="264"/>
      <c r="Z366" s="264"/>
      <c r="AA366" s="264"/>
    </row>
    <row r="367" spans="1:27" ht="15.75" customHeight="1">
      <c r="A367" s="266" t="s">
        <v>8725</v>
      </c>
      <c r="B367" s="266" t="s">
        <v>8726</v>
      </c>
      <c r="C367" s="266" t="s">
        <v>9166</v>
      </c>
      <c r="D367" s="266" t="s">
        <v>9167</v>
      </c>
      <c r="E367" s="266" t="s">
        <v>538</v>
      </c>
      <c r="F367" s="264"/>
      <c r="G367" s="264"/>
      <c r="H367" s="264"/>
      <c r="I367" s="264"/>
      <c r="J367" s="264"/>
      <c r="K367" s="264"/>
      <c r="L367" s="264"/>
      <c r="M367" s="264"/>
      <c r="N367" s="264"/>
      <c r="O367" s="264"/>
      <c r="P367" s="264"/>
      <c r="Q367" s="264"/>
      <c r="R367" s="264"/>
      <c r="S367" s="264"/>
      <c r="T367" s="264"/>
      <c r="U367" s="264"/>
      <c r="V367" s="264"/>
      <c r="W367" s="264"/>
      <c r="X367" s="264"/>
      <c r="Y367" s="264"/>
      <c r="Z367" s="264"/>
      <c r="AA367" s="264"/>
    </row>
    <row r="368" spans="1:27" ht="15.75" customHeight="1">
      <c r="A368" s="266" t="s">
        <v>8725</v>
      </c>
      <c r="B368" s="266" t="s">
        <v>8726</v>
      </c>
      <c r="C368" s="266" t="s">
        <v>9168</v>
      </c>
      <c r="D368" s="266" t="s">
        <v>9169</v>
      </c>
      <c r="E368" s="266" t="s">
        <v>7210</v>
      </c>
      <c r="F368" s="264"/>
      <c r="G368" s="264"/>
      <c r="H368" s="264"/>
      <c r="I368" s="264"/>
      <c r="J368" s="264"/>
      <c r="K368" s="264"/>
      <c r="L368" s="264"/>
      <c r="M368" s="264"/>
      <c r="N368" s="264"/>
      <c r="O368" s="264"/>
      <c r="P368" s="264"/>
      <c r="Q368" s="264"/>
      <c r="R368" s="264"/>
      <c r="S368" s="264"/>
      <c r="T368" s="264"/>
      <c r="U368" s="264"/>
      <c r="V368" s="264"/>
      <c r="W368" s="264"/>
      <c r="X368" s="264"/>
      <c r="Y368" s="264"/>
      <c r="Z368" s="264"/>
      <c r="AA368" s="264"/>
    </row>
    <row r="369" spans="1:27" ht="15.75" customHeight="1">
      <c r="A369" s="266" t="s">
        <v>8725</v>
      </c>
      <c r="B369" s="266" t="s">
        <v>8726</v>
      </c>
      <c r="C369" s="266" t="s">
        <v>9170</v>
      </c>
      <c r="D369" s="266" t="s">
        <v>9171</v>
      </c>
      <c r="E369" s="266" t="s">
        <v>7210</v>
      </c>
      <c r="F369" s="264"/>
      <c r="G369" s="264"/>
      <c r="H369" s="264"/>
      <c r="I369" s="264"/>
      <c r="J369" s="264"/>
      <c r="K369" s="264"/>
      <c r="L369" s="264"/>
      <c r="M369" s="264"/>
      <c r="N369" s="264"/>
      <c r="O369" s="264"/>
      <c r="P369" s="264"/>
      <c r="Q369" s="264"/>
      <c r="R369" s="264"/>
      <c r="S369" s="264"/>
      <c r="T369" s="264"/>
      <c r="U369" s="264"/>
      <c r="V369" s="264"/>
      <c r="W369" s="264"/>
      <c r="X369" s="264"/>
      <c r="Y369" s="264"/>
      <c r="Z369" s="264"/>
      <c r="AA369" s="264"/>
    </row>
    <row r="370" spans="1:27" ht="15.75" customHeight="1">
      <c r="A370" s="266" t="s">
        <v>8725</v>
      </c>
      <c r="B370" s="266" t="s">
        <v>8726</v>
      </c>
      <c r="C370" s="266" t="s">
        <v>9172</v>
      </c>
      <c r="D370" s="266" t="s">
        <v>9173</v>
      </c>
      <c r="E370" s="266" t="s">
        <v>7210</v>
      </c>
      <c r="F370" s="264"/>
      <c r="G370" s="264"/>
      <c r="H370" s="264"/>
      <c r="I370" s="264"/>
      <c r="J370" s="264"/>
      <c r="K370" s="264"/>
      <c r="L370" s="264"/>
      <c r="M370" s="264"/>
      <c r="N370" s="264"/>
      <c r="O370" s="264"/>
      <c r="P370" s="264"/>
      <c r="Q370" s="264"/>
      <c r="R370" s="264"/>
      <c r="S370" s="264"/>
      <c r="T370" s="264"/>
      <c r="U370" s="264"/>
      <c r="V370" s="264"/>
      <c r="W370" s="264"/>
      <c r="X370" s="264"/>
      <c r="Y370" s="264"/>
      <c r="Z370" s="264"/>
      <c r="AA370" s="264"/>
    </row>
    <row r="371" spans="1:27" ht="15.75" customHeight="1">
      <c r="A371" s="266" t="s">
        <v>8725</v>
      </c>
      <c r="B371" s="266" t="s">
        <v>8726</v>
      </c>
      <c r="C371" s="268" t="s">
        <v>9174</v>
      </c>
      <c r="D371" s="268" t="s">
        <v>9175</v>
      </c>
      <c r="E371" s="266" t="s">
        <v>7210</v>
      </c>
      <c r="F371" s="264"/>
      <c r="G371" s="264"/>
      <c r="H371" s="264"/>
      <c r="I371" s="264"/>
      <c r="J371" s="264"/>
      <c r="K371" s="264"/>
      <c r="L371" s="264"/>
      <c r="M371" s="264"/>
      <c r="N371" s="264"/>
      <c r="O371" s="264"/>
      <c r="P371" s="264"/>
      <c r="Q371" s="264"/>
      <c r="R371" s="264"/>
      <c r="S371" s="264"/>
      <c r="T371" s="264"/>
      <c r="U371" s="264"/>
      <c r="V371" s="264"/>
      <c r="W371" s="264"/>
      <c r="X371" s="264"/>
      <c r="Y371" s="264"/>
      <c r="Z371" s="264"/>
      <c r="AA371" s="264"/>
    </row>
    <row r="372" spans="1:27" ht="15.75" customHeight="1">
      <c r="A372" s="266" t="s">
        <v>8725</v>
      </c>
      <c r="B372" s="266" t="s">
        <v>8726</v>
      </c>
      <c r="C372" s="266" t="s">
        <v>9176</v>
      </c>
      <c r="D372" s="266" t="s">
        <v>9177</v>
      </c>
      <c r="E372" s="266" t="s">
        <v>7210</v>
      </c>
      <c r="F372" s="264"/>
      <c r="G372" s="264"/>
      <c r="H372" s="264"/>
      <c r="I372" s="264"/>
      <c r="J372" s="264"/>
      <c r="K372" s="264"/>
      <c r="L372" s="264"/>
      <c r="M372" s="264"/>
      <c r="N372" s="264"/>
      <c r="O372" s="264"/>
      <c r="P372" s="264"/>
      <c r="Q372" s="264"/>
      <c r="R372" s="264"/>
      <c r="S372" s="264"/>
      <c r="T372" s="264"/>
      <c r="U372" s="264"/>
      <c r="V372" s="264"/>
      <c r="W372" s="264"/>
      <c r="X372" s="264"/>
      <c r="Y372" s="264"/>
      <c r="Z372" s="264"/>
      <c r="AA372" s="264"/>
    </row>
    <row r="373" spans="1:27" ht="15.75" customHeight="1">
      <c r="A373" s="266" t="s">
        <v>8725</v>
      </c>
      <c r="B373" s="266" t="s">
        <v>8726</v>
      </c>
      <c r="C373" s="266" t="s">
        <v>9178</v>
      </c>
      <c r="D373" s="266" t="s">
        <v>9179</v>
      </c>
      <c r="E373" s="266" t="s">
        <v>538</v>
      </c>
      <c r="F373" s="264"/>
      <c r="G373" s="264"/>
      <c r="H373" s="264"/>
      <c r="I373" s="264"/>
      <c r="J373" s="264"/>
      <c r="K373" s="264"/>
      <c r="L373" s="264"/>
      <c r="M373" s="264"/>
      <c r="N373" s="264"/>
      <c r="O373" s="264"/>
      <c r="P373" s="264"/>
      <c r="Q373" s="264"/>
      <c r="R373" s="264"/>
      <c r="S373" s="264"/>
      <c r="T373" s="264"/>
      <c r="U373" s="264"/>
      <c r="V373" s="264"/>
      <c r="W373" s="264"/>
      <c r="X373" s="264"/>
      <c r="Y373" s="264"/>
      <c r="Z373" s="264"/>
      <c r="AA373" s="264"/>
    </row>
    <row r="374" spans="1:27" ht="15.75" customHeight="1">
      <c r="A374" s="266" t="s">
        <v>8725</v>
      </c>
      <c r="B374" s="266" t="s">
        <v>8726</v>
      </c>
      <c r="C374" s="266" t="s">
        <v>9180</v>
      </c>
      <c r="D374" s="266" t="s">
        <v>9181</v>
      </c>
      <c r="E374" s="266" t="s">
        <v>7210</v>
      </c>
      <c r="F374" s="264"/>
      <c r="G374" s="264"/>
      <c r="H374" s="264"/>
      <c r="I374" s="264"/>
      <c r="J374" s="264"/>
      <c r="K374" s="264"/>
      <c r="L374" s="264"/>
      <c r="M374" s="264"/>
      <c r="N374" s="264"/>
      <c r="O374" s="264"/>
      <c r="P374" s="264"/>
      <c r="Q374" s="264"/>
      <c r="R374" s="264"/>
      <c r="S374" s="264"/>
      <c r="T374" s="264"/>
      <c r="U374" s="264"/>
      <c r="V374" s="264"/>
      <c r="W374" s="264"/>
      <c r="X374" s="264"/>
      <c r="Y374" s="264"/>
      <c r="Z374" s="264"/>
      <c r="AA374" s="264"/>
    </row>
    <row r="375" spans="1:27" ht="15.75" customHeight="1">
      <c r="A375" s="266" t="s">
        <v>8725</v>
      </c>
      <c r="B375" s="266" t="s">
        <v>8726</v>
      </c>
      <c r="C375" s="266" t="s">
        <v>9182</v>
      </c>
      <c r="D375" s="266" t="s">
        <v>9183</v>
      </c>
      <c r="E375" s="266" t="s">
        <v>7210</v>
      </c>
      <c r="F375" s="264"/>
      <c r="G375" s="264"/>
      <c r="H375" s="264"/>
      <c r="I375" s="264"/>
      <c r="J375" s="264"/>
      <c r="K375" s="264"/>
      <c r="L375" s="264"/>
      <c r="M375" s="264"/>
      <c r="N375" s="264"/>
      <c r="O375" s="264"/>
      <c r="P375" s="264"/>
      <c r="Q375" s="264"/>
      <c r="R375" s="264"/>
      <c r="S375" s="264"/>
      <c r="T375" s="264"/>
      <c r="U375" s="264"/>
      <c r="V375" s="264"/>
      <c r="W375" s="264"/>
      <c r="X375" s="264"/>
      <c r="Y375" s="264"/>
      <c r="Z375" s="264"/>
      <c r="AA375" s="264"/>
    </row>
    <row r="376" spans="1:27" ht="15.75" customHeight="1">
      <c r="A376" s="266" t="s">
        <v>8725</v>
      </c>
      <c r="B376" s="266" t="s">
        <v>8726</v>
      </c>
      <c r="C376" s="266" t="s">
        <v>9184</v>
      </c>
      <c r="D376" s="266" t="s">
        <v>9185</v>
      </c>
      <c r="E376" s="266" t="s">
        <v>7210</v>
      </c>
      <c r="F376" s="264"/>
      <c r="G376" s="264"/>
      <c r="H376" s="264"/>
      <c r="I376" s="264"/>
      <c r="J376" s="264"/>
      <c r="K376" s="264"/>
      <c r="L376" s="264"/>
      <c r="M376" s="264"/>
      <c r="N376" s="264"/>
      <c r="O376" s="264"/>
      <c r="P376" s="264"/>
      <c r="Q376" s="264"/>
      <c r="R376" s="264"/>
      <c r="S376" s="264"/>
      <c r="T376" s="264"/>
      <c r="U376" s="264"/>
      <c r="V376" s="264"/>
      <c r="W376" s="264"/>
      <c r="X376" s="264"/>
      <c r="Y376" s="264"/>
      <c r="Z376" s="264"/>
      <c r="AA376" s="264"/>
    </row>
    <row r="377" spans="1:27" ht="15.75" customHeight="1">
      <c r="A377" s="266" t="s">
        <v>8725</v>
      </c>
      <c r="B377" s="266" t="s">
        <v>8726</v>
      </c>
      <c r="C377" s="268" t="s">
        <v>9186</v>
      </c>
      <c r="D377" s="268" t="s">
        <v>9187</v>
      </c>
      <c r="E377" s="266" t="s">
        <v>7210</v>
      </c>
      <c r="F377" s="264"/>
      <c r="G377" s="264"/>
      <c r="H377" s="264"/>
      <c r="I377" s="264"/>
      <c r="J377" s="264"/>
      <c r="K377" s="264"/>
      <c r="L377" s="264"/>
      <c r="M377" s="264"/>
      <c r="N377" s="264"/>
      <c r="O377" s="264"/>
      <c r="P377" s="264"/>
      <c r="Q377" s="264"/>
      <c r="R377" s="264"/>
      <c r="S377" s="264"/>
      <c r="T377" s="264"/>
      <c r="U377" s="264"/>
      <c r="V377" s="264"/>
      <c r="W377" s="264"/>
      <c r="X377" s="264"/>
      <c r="Y377" s="264"/>
      <c r="Z377" s="264"/>
      <c r="AA377" s="264"/>
    </row>
    <row r="378" spans="1:27" ht="15.75" customHeight="1">
      <c r="A378" s="266" t="s">
        <v>8725</v>
      </c>
      <c r="B378" s="266" t="s">
        <v>8726</v>
      </c>
      <c r="C378" s="266" t="s">
        <v>9188</v>
      </c>
      <c r="D378" s="266" t="s">
        <v>9189</v>
      </c>
      <c r="E378" s="266" t="s">
        <v>7210</v>
      </c>
      <c r="F378" s="264"/>
      <c r="G378" s="264"/>
      <c r="H378" s="264"/>
      <c r="I378" s="264"/>
      <c r="J378" s="264"/>
      <c r="K378" s="264"/>
      <c r="L378" s="264"/>
      <c r="M378" s="264"/>
      <c r="N378" s="264"/>
      <c r="O378" s="264"/>
      <c r="P378" s="264"/>
      <c r="Q378" s="264"/>
      <c r="R378" s="264"/>
      <c r="S378" s="264"/>
      <c r="T378" s="264"/>
      <c r="U378" s="264"/>
      <c r="V378" s="264"/>
      <c r="W378" s="264"/>
      <c r="X378" s="264"/>
      <c r="Y378" s="264"/>
      <c r="Z378" s="264"/>
      <c r="AA378" s="264"/>
    </row>
    <row r="379" spans="1:27" ht="15.75" customHeight="1">
      <c r="A379" s="266" t="s">
        <v>8725</v>
      </c>
      <c r="B379" s="266" t="s">
        <v>8726</v>
      </c>
      <c r="C379" s="266" t="s">
        <v>9190</v>
      </c>
      <c r="D379" s="266" t="s">
        <v>9191</v>
      </c>
      <c r="E379" s="266" t="s">
        <v>7210</v>
      </c>
      <c r="F379" s="264"/>
      <c r="G379" s="264"/>
      <c r="H379" s="264"/>
      <c r="I379" s="264"/>
      <c r="J379" s="264"/>
      <c r="K379" s="264"/>
      <c r="L379" s="264"/>
      <c r="M379" s="264"/>
      <c r="N379" s="264"/>
      <c r="O379" s="264"/>
      <c r="P379" s="264"/>
      <c r="Q379" s="264"/>
      <c r="R379" s="264"/>
      <c r="S379" s="264"/>
      <c r="T379" s="264"/>
      <c r="U379" s="264"/>
      <c r="V379" s="264"/>
      <c r="W379" s="264"/>
      <c r="X379" s="264"/>
      <c r="Y379" s="264"/>
      <c r="Z379" s="264"/>
      <c r="AA379" s="264"/>
    </row>
    <row r="380" spans="1:27" ht="15.75" customHeight="1">
      <c r="A380" s="266" t="s">
        <v>8725</v>
      </c>
      <c r="B380" s="266" t="s">
        <v>8726</v>
      </c>
      <c r="C380" s="269" t="s">
        <v>9192</v>
      </c>
      <c r="D380" s="266" t="s">
        <v>9193</v>
      </c>
      <c r="E380" s="266" t="s">
        <v>7210</v>
      </c>
      <c r="F380" s="264"/>
      <c r="G380" s="264"/>
      <c r="H380" s="264"/>
      <c r="I380" s="264"/>
      <c r="J380" s="264"/>
      <c r="K380" s="264"/>
      <c r="L380" s="264"/>
      <c r="M380" s="264"/>
      <c r="N380" s="264"/>
      <c r="O380" s="264"/>
      <c r="P380" s="264"/>
      <c r="Q380" s="264"/>
      <c r="R380" s="264"/>
      <c r="S380" s="264"/>
      <c r="T380" s="264"/>
      <c r="U380" s="264"/>
      <c r="V380" s="264"/>
      <c r="W380" s="264"/>
      <c r="X380" s="264"/>
      <c r="Y380" s="264"/>
      <c r="Z380" s="264"/>
      <c r="AA380" s="264"/>
    </row>
    <row r="381" spans="1:27" ht="15.75" customHeight="1">
      <c r="A381" s="266" t="s">
        <v>8725</v>
      </c>
      <c r="B381" s="266" t="s">
        <v>8726</v>
      </c>
      <c r="C381" s="269" t="s">
        <v>9194</v>
      </c>
      <c r="D381" s="266" t="s">
        <v>9195</v>
      </c>
      <c r="E381" s="266" t="s">
        <v>7210</v>
      </c>
      <c r="F381" s="264"/>
      <c r="G381" s="264"/>
      <c r="H381" s="264"/>
      <c r="I381" s="264"/>
      <c r="J381" s="264"/>
      <c r="K381" s="264"/>
      <c r="L381" s="264"/>
      <c r="M381" s="264"/>
      <c r="N381" s="264"/>
      <c r="O381" s="264"/>
      <c r="P381" s="264"/>
      <c r="Q381" s="264"/>
      <c r="R381" s="264"/>
      <c r="S381" s="264"/>
      <c r="T381" s="264"/>
      <c r="U381" s="264"/>
      <c r="V381" s="264"/>
      <c r="W381" s="264"/>
      <c r="X381" s="264"/>
      <c r="Y381" s="264"/>
      <c r="Z381" s="264"/>
      <c r="AA381" s="264"/>
    </row>
    <row r="382" spans="1:27" ht="15.75" customHeight="1">
      <c r="A382" s="266" t="s">
        <v>8725</v>
      </c>
      <c r="B382" s="266" t="s">
        <v>8726</v>
      </c>
      <c r="C382" s="266" t="s">
        <v>9196</v>
      </c>
      <c r="D382" s="266" t="s">
        <v>9197</v>
      </c>
      <c r="E382" s="266" t="s">
        <v>7210</v>
      </c>
      <c r="F382" s="264"/>
      <c r="G382" s="264"/>
      <c r="H382" s="264"/>
      <c r="I382" s="264"/>
      <c r="J382" s="264"/>
      <c r="K382" s="264"/>
      <c r="L382" s="264"/>
      <c r="M382" s="264"/>
      <c r="N382" s="264"/>
      <c r="O382" s="264"/>
      <c r="P382" s="264"/>
      <c r="Q382" s="264"/>
      <c r="R382" s="264"/>
      <c r="S382" s="264"/>
      <c r="T382" s="264"/>
      <c r="U382" s="264"/>
      <c r="V382" s="264"/>
      <c r="W382" s="264"/>
      <c r="X382" s="264"/>
      <c r="Y382" s="264"/>
      <c r="Z382" s="264"/>
      <c r="AA382" s="264"/>
    </row>
    <row r="383" spans="1:27" ht="15.75" customHeight="1">
      <c r="A383" s="266" t="s">
        <v>8725</v>
      </c>
      <c r="B383" s="266" t="s">
        <v>8726</v>
      </c>
      <c r="C383" s="266" t="s">
        <v>9198</v>
      </c>
      <c r="D383" s="266" t="s">
        <v>9199</v>
      </c>
      <c r="E383" s="266" t="s">
        <v>7210</v>
      </c>
      <c r="F383" s="264"/>
      <c r="G383" s="264"/>
      <c r="H383" s="264"/>
      <c r="I383" s="264"/>
      <c r="J383" s="264"/>
      <c r="K383" s="264"/>
      <c r="L383" s="264"/>
      <c r="M383" s="264"/>
      <c r="N383" s="264"/>
      <c r="O383" s="264"/>
      <c r="P383" s="264"/>
      <c r="Q383" s="264"/>
      <c r="R383" s="264"/>
      <c r="S383" s="264"/>
      <c r="T383" s="264"/>
      <c r="U383" s="264"/>
      <c r="V383" s="264"/>
      <c r="W383" s="264"/>
      <c r="X383" s="264"/>
      <c r="Y383" s="264"/>
      <c r="Z383" s="264"/>
      <c r="AA383" s="264"/>
    </row>
    <row r="384" spans="1:27" ht="15.75" customHeight="1">
      <c r="A384" s="266" t="s">
        <v>8725</v>
      </c>
      <c r="B384" s="266" t="s">
        <v>8726</v>
      </c>
      <c r="C384" s="266" t="s">
        <v>9200</v>
      </c>
      <c r="D384" s="266" t="s">
        <v>9201</v>
      </c>
      <c r="E384" s="266" t="s">
        <v>7210</v>
      </c>
      <c r="F384" s="264"/>
      <c r="G384" s="264"/>
      <c r="H384" s="264"/>
      <c r="I384" s="264"/>
      <c r="J384" s="264"/>
      <c r="K384" s="264"/>
      <c r="L384" s="264"/>
      <c r="M384" s="264"/>
      <c r="N384" s="264"/>
      <c r="O384" s="264"/>
      <c r="P384" s="264"/>
      <c r="Q384" s="264"/>
      <c r="R384" s="264"/>
      <c r="S384" s="264"/>
      <c r="T384" s="264"/>
      <c r="U384" s="264"/>
      <c r="V384" s="264"/>
      <c r="W384" s="264"/>
      <c r="X384" s="264"/>
      <c r="Y384" s="264"/>
      <c r="Z384" s="264"/>
      <c r="AA384" s="264"/>
    </row>
    <row r="385" spans="1:27" ht="15.75" customHeight="1">
      <c r="A385" s="266" t="s">
        <v>8725</v>
      </c>
      <c r="B385" s="266" t="s">
        <v>8726</v>
      </c>
      <c r="C385" s="266" t="s">
        <v>9202</v>
      </c>
      <c r="D385" s="266" t="s">
        <v>9203</v>
      </c>
      <c r="E385" s="266" t="s">
        <v>7210</v>
      </c>
      <c r="F385" s="264"/>
      <c r="G385" s="264"/>
      <c r="H385" s="264"/>
      <c r="I385" s="264"/>
      <c r="J385" s="264"/>
      <c r="K385" s="264"/>
      <c r="L385" s="264"/>
      <c r="M385" s="264"/>
      <c r="N385" s="264"/>
      <c r="O385" s="264"/>
      <c r="P385" s="264"/>
      <c r="Q385" s="264"/>
      <c r="R385" s="264"/>
      <c r="S385" s="264"/>
      <c r="T385" s="264"/>
      <c r="U385" s="264"/>
      <c r="V385" s="264"/>
      <c r="W385" s="264"/>
      <c r="X385" s="264"/>
      <c r="Y385" s="264"/>
      <c r="Z385" s="264"/>
      <c r="AA385" s="264"/>
    </row>
    <row r="386" spans="1:27" ht="15.75" customHeight="1">
      <c r="A386" s="266" t="s">
        <v>8725</v>
      </c>
      <c r="B386" s="266" t="s">
        <v>8726</v>
      </c>
      <c r="C386" s="266" t="s">
        <v>9204</v>
      </c>
      <c r="D386" s="266" t="s">
        <v>9205</v>
      </c>
      <c r="E386" s="266" t="s">
        <v>7210</v>
      </c>
      <c r="F386" s="264"/>
      <c r="G386" s="264"/>
      <c r="H386" s="264"/>
      <c r="I386" s="264"/>
      <c r="J386" s="264"/>
      <c r="K386" s="264"/>
      <c r="L386" s="264"/>
      <c r="M386" s="264"/>
      <c r="N386" s="264"/>
      <c r="O386" s="264"/>
      <c r="P386" s="264"/>
      <c r="Q386" s="264"/>
      <c r="R386" s="264"/>
      <c r="S386" s="264"/>
      <c r="T386" s="264"/>
      <c r="U386" s="264"/>
      <c r="V386" s="264"/>
      <c r="W386" s="264"/>
      <c r="X386" s="264"/>
      <c r="Y386" s="264"/>
      <c r="Z386" s="264"/>
      <c r="AA386" s="264"/>
    </row>
    <row r="387" spans="1:27" ht="15.75" customHeight="1">
      <c r="A387" s="266" t="s">
        <v>8725</v>
      </c>
      <c r="B387" s="266" t="s">
        <v>8726</v>
      </c>
      <c r="C387" s="270" t="s">
        <v>9206</v>
      </c>
      <c r="D387" s="266" t="s">
        <v>9207</v>
      </c>
      <c r="E387" s="266" t="s">
        <v>7210</v>
      </c>
      <c r="F387" s="264"/>
      <c r="G387" s="264"/>
      <c r="H387" s="264"/>
      <c r="I387" s="264"/>
      <c r="J387" s="264"/>
      <c r="K387" s="264"/>
      <c r="L387" s="264"/>
      <c r="M387" s="264"/>
      <c r="N387" s="264"/>
      <c r="O387" s="264"/>
      <c r="P387" s="264"/>
      <c r="Q387" s="264"/>
      <c r="R387" s="264"/>
      <c r="S387" s="264"/>
      <c r="T387" s="264"/>
      <c r="U387" s="264"/>
      <c r="V387" s="264"/>
      <c r="W387" s="264"/>
      <c r="X387" s="264"/>
      <c r="Y387" s="264"/>
      <c r="Z387" s="264"/>
      <c r="AA387" s="264"/>
    </row>
    <row r="388" spans="1:27" ht="15.75" customHeight="1">
      <c r="A388" s="266" t="s">
        <v>8725</v>
      </c>
      <c r="B388" s="266" t="s">
        <v>8726</v>
      </c>
      <c r="C388" s="266" t="s">
        <v>9208</v>
      </c>
      <c r="D388" s="266" t="s">
        <v>9209</v>
      </c>
      <c r="E388" s="266" t="s">
        <v>7210</v>
      </c>
      <c r="F388" s="264"/>
      <c r="G388" s="264"/>
      <c r="H388" s="264"/>
      <c r="I388" s="264"/>
      <c r="J388" s="264"/>
      <c r="K388" s="264"/>
      <c r="L388" s="264"/>
      <c r="M388" s="264"/>
      <c r="N388" s="264"/>
      <c r="O388" s="264"/>
      <c r="P388" s="264"/>
      <c r="Q388" s="264"/>
      <c r="R388" s="264"/>
      <c r="S388" s="264"/>
      <c r="T388" s="264"/>
      <c r="U388" s="264"/>
      <c r="V388" s="264"/>
      <c r="W388" s="264"/>
      <c r="X388" s="264"/>
      <c r="Y388" s="264"/>
      <c r="Z388" s="264"/>
      <c r="AA388" s="264"/>
    </row>
    <row r="389" spans="1:27" ht="15.75" customHeight="1">
      <c r="A389" s="266" t="s">
        <v>8725</v>
      </c>
      <c r="B389" s="266" t="s">
        <v>8726</v>
      </c>
      <c r="C389" s="268" t="s">
        <v>9210</v>
      </c>
      <c r="D389" s="268" t="s">
        <v>9211</v>
      </c>
      <c r="E389" s="266" t="s">
        <v>7210</v>
      </c>
      <c r="F389" s="264"/>
      <c r="G389" s="264"/>
      <c r="H389" s="264"/>
      <c r="I389" s="264"/>
      <c r="J389" s="264"/>
      <c r="K389" s="264"/>
      <c r="L389" s="264"/>
      <c r="M389" s="264"/>
      <c r="N389" s="264"/>
      <c r="O389" s="264"/>
      <c r="P389" s="264"/>
      <c r="Q389" s="264"/>
      <c r="R389" s="264"/>
      <c r="S389" s="264"/>
      <c r="T389" s="264"/>
      <c r="U389" s="264"/>
      <c r="V389" s="264"/>
      <c r="W389" s="264"/>
      <c r="X389" s="264"/>
      <c r="Y389" s="264"/>
      <c r="Z389" s="264"/>
      <c r="AA389" s="264"/>
    </row>
    <row r="390" spans="1:27" ht="15.75" customHeight="1">
      <c r="A390" s="266" t="s">
        <v>8725</v>
      </c>
      <c r="B390" s="266" t="s">
        <v>8726</v>
      </c>
      <c r="C390" s="266" t="s">
        <v>9212</v>
      </c>
      <c r="D390" s="268" t="s">
        <v>9213</v>
      </c>
      <c r="E390" s="266" t="s">
        <v>7210</v>
      </c>
      <c r="F390" s="264"/>
      <c r="G390" s="264"/>
      <c r="H390" s="264"/>
      <c r="I390" s="264"/>
      <c r="J390" s="264"/>
      <c r="K390" s="264"/>
      <c r="L390" s="264"/>
      <c r="M390" s="264"/>
      <c r="N390" s="264"/>
      <c r="O390" s="264"/>
      <c r="P390" s="264"/>
      <c r="Q390" s="264"/>
      <c r="R390" s="264"/>
      <c r="S390" s="264"/>
      <c r="T390" s="264"/>
      <c r="U390" s="264"/>
      <c r="V390" s="264"/>
      <c r="W390" s="264"/>
      <c r="X390" s="264"/>
      <c r="Y390" s="264"/>
      <c r="Z390" s="264"/>
      <c r="AA390" s="264"/>
    </row>
    <row r="391" spans="1:27" ht="15.75" customHeight="1">
      <c r="A391" s="266" t="s">
        <v>8725</v>
      </c>
      <c r="B391" s="266" t="s">
        <v>8726</v>
      </c>
      <c r="C391" s="266" t="s">
        <v>9214</v>
      </c>
      <c r="D391" s="266" t="s">
        <v>9215</v>
      </c>
      <c r="E391" s="266" t="s">
        <v>7210</v>
      </c>
      <c r="F391" s="264"/>
      <c r="G391" s="264"/>
      <c r="H391" s="264"/>
      <c r="I391" s="264"/>
      <c r="J391" s="264"/>
      <c r="K391" s="264"/>
      <c r="L391" s="264"/>
      <c r="M391" s="264"/>
      <c r="N391" s="264"/>
      <c r="O391" s="264"/>
      <c r="P391" s="264"/>
      <c r="Q391" s="264"/>
      <c r="R391" s="264"/>
      <c r="S391" s="264"/>
      <c r="T391" s="264"/>
      <c r="U391" s="264"/>
      <c r="V391" s="264"/>
      <c r="W391" s="264"/>
      <c r="X391" s="264"/>
      <c r="Y391" s="264"/>
      <c r="Z391" s="264"/>
      <c r="AA391" s="264"/>
    </row>
    <row r="392" spans="1:27" ht="15.75" customHeight="1">
      <c r="A392" s="266" t="s">
        <v>8725</v>
      </c>
      <c r="B392" s="266" t="s">
        <v>8726</v>
      </c>
      <c r="C392" s="266" t="s">
        <v>9216</v>
      </c>
      <c r="D392" s="266" t="s">
        <v>9217</v>
      </c>
      <c r="E392" s="266" t="s">
        <v>7210</v>
      </c>
      <c r="F392" s="264"/>
      <c r="G392" s="264"/>
      <c r="H392" s="264"/>
      <c r="I392" s="264"/>
      <c r="J392" s="264"/>
      <c r="K392" s="264"/>
      <c r="L392" s="264"/>
      <c r="M392" s="264"/>
      <c r="N392" s="264"/>
      <c r="O392" s="264"/>
      <c r="P392" s="264"/>
      <c r="Q392" s="264"/>
      <c r="R392" s="264"/>
      <c r="S392" s="264"/>
      <c r="T392" s="264"/>
      <c r="U392" s="264"/>
      <c r="V392" s="264"/>
      <c r="W392" s="264"/>
      <c r="X392" s="264"/>
      <c r="Y392" s="264"/>
      <c r="Z392" s="264"/>
      <c r="AA392" s="264"/>
    </row>
    <row r="393" spans="1:27" ht="15.75" customHeight="1">
      <c r="A393" s="266" t="s">
        <v>8725</v>
      </c>
      <c r="B393" s="266" t="s">
        <v>8726</v>
      </c>
      <c r="C393" s="268" t="s">
        <v>9218</v>
      </c>
      <c r="D393" s="266" t="s">
        <v>9219</v>
      </c>
      <c r="E393" s="266" t="s">
        <v>7210</v>
      </c>
      <c r="F393" s="264"/>
      <c r="G393" s="264"/>
      <c r="H393" s="264"/>
      <c r="I393" s="264"/>
      <c r="J393" s="264"/>
      <c r="K393" s="264"/>
      <c r="L393" s="264"/>
      <c r="M393" s="264"/>
      <c r="N393" s="264"/>
      <c r="O393" s="264"/>
      <c r="P393" s="264"/>
      <c r="Q393" s="264"/>
      <c r="R393" s="264"/>
      <c r="S393" s="264"/>
      <c r="T393" s="264"/>
      <c r="U393" s="264"/>
      <c r="V393" s="264"/>
      <c r="W393" s="264"/>
      <c r="X393" s="264"/>
      <c r="Y393" s="264"/>
      <c r="Z393" s="264"/>
      <c r="AA393" s="264"/>
    </row>
    <row r="394" spans="1:27" ht="15.75" customHeight="1">
      <c r="A394" s="266" t="s">
        <v>8725</v>
      </c>
      <c r="B394" s="266" t="s">
        <v>8726</v>
      </c>
      <c r="C394" s="266" t="s">
        <v>9220</v>
      </c>
      <c r="D394" s="266" t="s">
        <v>9221</v>
      </c>
      <c r="E394" s="266" t="s">
        <v>7210</v>
      </c>
      <c r="F394" s="264"/>
      <c r="G394" s="264"/>
      <c r="H394" s="264"/>
      <c r="I394" s="264"/>
      <c r="J394" s="264"/>
      <c r="K394" s="264"/>
      <c r="L394" s="264"/>
      <c r="M394" s="264"/>
      <c r="N394" s="264"/>
      <c r="O394" s="264"/>
      <c r="P394" s="264"/>
      <c r="Q394" s="264"/>
      <c r="R394" s="264"/>
      <c r="S394" s="264"/>
      <c r="T394" s="264"/>
      <c r="U394" s="264"/>
      <c r="V394" s="264"/>
      <c r="W394" s="264"/>
      <c r="X394" s="264"/>
      <c r="Y394" s="264"/>
      <c r="Z394" s="264"/>
      <c r="AA394" s="264"/>
    </row>
    <row r="395" spans="1:27" ht="15.75" customHeight="1">
      <c r="A395" s="266" t="s">
        <v>8725</v>
      </c>
      <c r="B395" s="266" t="s">
        <v>8726</v>
      </c>
      <c r="C395" s="266" t="s">
        <v>9222</v>
      </c>
      <c r="D395" s="266" t="s">
        <v>9223</v>
      </c>
      <c r="E395" s="266" t="s">
        <v>8687</v>
      </c>
      <c r="F395" s="264"/>
      <c r="G395" s="264"/>
      <c r="H395" s="264"/>
      <c r="I395" s="264"/>
      <c r="J395" s="264"/>
      <c r="K395" s="264"/>
      <c r="L395" s="264"/>
      <c r="M395" s="264"/>
      <c r="N395" s="264"/>
      <c r="O395" s="264"/>
      <c r="P395" s="264"/>
      <c r="Q395" s="264"/>
      <c r="R395" s="264"/>
      <c r="S395" s="264"/>
      <c r="T395" s="264"/>
      <c r="U395" s="264"/>
      <c r="V395" s="264"/>
      <c r="W395" s="264"/>
      <c r="X395" s="264"/>
      <c r="Y395" s="264"/>
      <c r="Z395" s="264"/>
      <c r="AA395" s="264"/>
    </row>
    <row r="396" spans="1:27" ht="15.75" customHeight="1">
      <c r="A396" s="266" t="s">
        <v>8725</v>
      </c>
      <c r="B396" s="266" t="s">
        <v>8726</v>
      </c>
      <c r="C396" s="266" t="s">
        <v>9224</v>
      </c>
      <c r="D396" s="266" t="s">
        <v>9225</v>
      </c>
      <c r="E396" s="266" t="s">
        <v>7210</v>
      </c>
      <c r="F396" s="264"/>
      <c r="G396" s="264"/>
      <c r="H396" s="264"/>
      <c r="I396" s="264"/>
      <c r="J396" s="264"/>
      <c r="K396" s="264"/>
      <c r="L396" s="264"/>
      <c r="M396" s="264"/>
      <c r="N396" s="264"/>
      <c r="O396" s="264"/>
      <c r="P396" s="264"/>
      <c r="Q396" s="264"/>
      <c r="R396" s="264"/>
      <c r="S396" s="264"/>
      <c r="T396" s="264"/>
      <c r="U396" s="264"/>
      <c r="V396" s="264"/>
      <c r="W396" s="264"/>
      <c r="X396" s="264"/>
      <c r="Y396" s="264"/>
      <c r="Z396" s="264"/>
      <c r="AA396" s="264"/>
    </row>
    <row r="397" spans="1:27" ht="15.75" customHeight="1">
      <c r="A397" s="266" t="s">
        <v>8725</v>
      </c>
      <c r="B397" s="266" t="s">
        <v>8726</v>
      </c>
      <c r="C397" s="266" t="s">
        <v>9226</v>
      </c>
      <c r="D397" s="266" t="s">
        <v>9227</v>
      </c>
      <c r="E397" s="266" t="s">
        <v>7210</v>
      </c>
      <c r="F397" s="264"/>
      <c r="G397" s="264"/>
      <c r="H397" s="264"/>
      <c r="I397" s="264"/>
      <c r="J397" s="264"/>
      <c r="K397" s="264"/>
      <c r="L397" s="264"/>
      <c r="M397" s="264"/>
      <c r="N397" s="264"/>
      <c r="O397" s="264"/>
      <c r="P397" s="264"/>
      <c r="Q397" s="264"/>
      <c r="R397" s="264"/>
      <c r="S397" s="264"/>
      <c r="T397" s="264"/>
      <c r="U397" s="264"/>
      <c r="V397" s="264"/>
      <c r="W397" s="264"/>
      <c r="X397" s="264"/>
      <c r="Y397" s="264"/>
      <c r="Z397" s="264"/>
      <c r="AA397" s="264"/>
    </row>
    <row r="398" spans="1:27" ht="15.75" customHeight="1">
      <c r="A398" s="266" t="s">
        <v>8725</v>
      </c>
      <c r="B398" s="266" t="s">
        <v>8726</v>
      </c>
      <c r="C398" s="266" t="s">
        <v>9228</v>
      </c>
      <c r="D398" s="266" t="s">
        <v>9229</v>
      </c>
      <c r="E398" s="266" t="s">
        <v>7210</v>
      </c>
      <c r="F398" s="264"/>
      <c r="G398" s="264"/>
      <c r="H398" s="264"/>
      <c r="I398" s="264"/>
      <c r="J398" s="264"/>
      <c r="K398" s="264"/>
      <c r="L398" s="264"/>
      <c r="M398" s="264"/>
      <c r="N398" s="264"/>
      <c r="O398" s="264"/>
      <c r="P398" s="264"/>
      <c r="Q398" s="264"/>
      <c r="R398" s="264"/>
      <c r="S398" s="264"/>
      <c r="T398" s="264"/>
      <c r="U398" s="264"/>
      <c r="V398" s="264"/>
      <c r="W398" s="264"/>
      <c r="X398" s="264"/>
      <c r="Y398" s="264"/>
      <c r="Z398" s="264"/>
      <c r="AA398" s="264"/>
    </row>
    <row r="399" spans="1:27" ht="15.75" customHeight="1">
      <c r="A399" s="266" t="s">
        <v>8725</v>
      </c>
      <c r="B399" s="266" t="s">
        <v>8726</v>
      </c>
      <c r="C399" s="269" t="s">
        <v>9230</v>
      </c>
      <c r="D399" s="266" t="s">
        <v>9231</v>
      </c>
      <c r="E399" s="266" t="s">
        <v>7210</v>
      </c>
      <c r="F399" s="264"/>
      <c r="G399" s="264"/>
      <c r="H399" s="264"/>
      <c r="I399" s="264"/>
      <c r="J399" s="264"/>
      <c r="K399" s="264"/>
      <c r="L399" s="264"/>
      <c r="M399" s="264"/>
      <c r="N399" s="264"/>
      <c r="O399" s="264"/>
      <c r="P399" s="264"/>
      <c r="Q399" s="264"/>
      <c r="R399" s="264"/>
      <c r="S399" s="264"/>
      <c r="T399" s="264"/>
      <c r="U399" s="264"/>
      <c r="V399" s="264"/>
      <c r="W399" s="264"/>
      <c r="X399" s="264"/>
      <c r="Y399" s="264"/>
      <c r="Z399" s="264"/>
      <c r="AA399" s="264"/>
    </row>
    <row r="400" spans="1:27" ht="15.75" customHeight="1">
      <c r="A400" s="266" t="s">
        <v>8725</v>
      </c>
      <c r="B400" s="266" t="s">
        <v>8726</v>
      </c>
      <c r="C400" s="269" t="s">
        <v>9232</v>
      </c>
      <c r="D400" s="266" t="s">
        <v>9233</v>
      </c>
      <c r="E400" s="266" t="s">
        <v>7210</v>
      </c>
      <c r="F400" s="264"/>
      <c r="G400" s="264"/>
      <c r="H400" s="264"/>
      <c r="I400" s="264"/>
      <c r="J400" s="264"/>
      <c r="K400" s="264"/>
      <c r="L400" s="264"/>
      <c r="M400" s="264"/>
      <c r="N400" s="264"/>
      <c r="O400" s="264"/>
      <c r="P400" s="264"/>
      <c r="Q400" s="264"/>
      <c r="R400" s="264"/>
      <c r="S400" s="264"/>
      <c r="T400" s="264"/>
      <c r="U400" s="264"/>
      <c r="V400" s="264"/>
      <c r="W400" s="264"/>
      <c r="X400" s="264"/>
      <c r="Y400" s="264"/>
      <c r="Z400" s="264"/>
      <c r="AA400" s="264"/>
    </row>
    <row r="401" spans="1:27" ht="15.75" customHeight="1">
      <c r="A401" s="266" t="s">
        <v>8725</v>
      </c>
      <c r="B401" s="266" t="s">
        <v>8726</v>
      </c>
      <c r="C401" s="269" t="s">
        <v>9234</v>
      </c>
      <c r="D401" s="266" t="s">
        <v>9235</v>
      </c>
      <c r="E401" s="266" t="s">
        <v>7210</v>
      </c>
      <c r="F401" s="264"/>
      <c r="G401" s="264"/>
      <c r="H401" s="264"/>
      <c r="I401" s="264"/>
      <c r="J401" s="264"/>
      <c r="K401" s="264"/>
      <c r="L401" s="264"/>
      <c r="M401" s="264"/>
      <c r="N401" s="264"/>
      <c r="O401" s="264"/>
      <c r="P401" s="264"/>
      <c r="Q401" s="264"/>
      <c r="R401" s="264"/>
      <c r="S401" s="264"/>
      <c r="T401" s="264"/>
      <c r="U401" s="264"/>
      <c r="V401" s="264"/>
      <c r="W401" s="264"/>
      <c r="X401" s="264"/>
      <c r="Y401" s="264"/>
      <c r="Z401" s="264"/>
      <c r="AA401" s="264"/>
    </row>
    <row r="402" spans="1:27" ht="15.75" customHeight="1">
      <c r="A402" s="266" t="s">
        <v>8725</v>
      </c>
      <c r="B402" s="266" t="s">
        <v>8726</v>
      </c>
      <c r="C402" s="269" t="s">
        <v>9236</v>
      </c>
      <c r="D402" s="266" t="s">
        <v>9237</v>
      </c>
      <c r="E402" s="266" t="s">
        <v>5672</v>
      </c>
      <c r="F402" s="264"/>
      <c r="G402" s="264"/>
      <c r="H402" s="264"/>
      <c r="I402" s="264"/>
      <c r="J402" s="264"/>
      <c r="K402" s="264"/>
      <c r="L402" s="264"/>
      <c r="M402" s="264"/>
      <c r="N402" s="264"/>
      <c r="O402" s="264"/>
      <c r="P402" s="264"/>
      <c r="Q402" s="264"/>
      <c r="R402" s="264"/>
      <c r="S402" s="264"/>
      <c r="T402" s="264"/>
      <c r="U402" s="264"/>
      <c r="V402" s="264"/>
      <c r="W402" s="264"/>
      <c r="X402" s="264"/>
      <c r="Y402" s="264"/>
      <c r="Z402" s="264"/>
      <c r="AA402" s="264"/>
    </row>
    <row r="403" spans="1:27" ht="15.75" customHeight="1">
      <c r="A403" s="266" t="s">
        <v>8725</v>
      </c>
      <c r="B403" s="266" t="s">
        <v>8726</v>
      </c>
      <c r="C403" s="269" t="s">
        <v>9238</v>
      </c>
      <c r="D403" s="266" t="s">
        <v>9239</v>
      </c>
      <c r="E403" s="266" t="s">
        <v>5672</v>
      </c>
      <c r="F403" s="264"/>
      <c r="G403" s="264"/>
      <c r="H403" s="264"/>
      <c r="I403" s="264"/>
      <c r="J403" s="264"/>
      <c r="K403" s="264"/>
      <c r="L403" s="264"/>
      <c r="M403" s="264"/>
      <c r="N403" s="264"/>
      <c r="O403" s="264"/>
      <c r="P403" s="264"/>
      <c r="Q403" s="264"/>
      <c r="R403" s="264"/>
      <c r="S403" s="264"/>
      <c r="T403" s="264"/>
      <c r="U403" s="264"/>
      <c r="V403" s="264"/>
      <c r="W403" s="264"/>
      <c r="X403" s="264"/>
      <c r="Y403" s="264"/>
      <c r="Z403" s="264"/>
      <c r="AA403" s="264"/>
    </row>
    <row r="404" spans="1:27" ht="15.75" customHeight="1">
      <c r="A404" s="266" t="s">
        <v>8725</v>
      </c>
      <c r="B404" s="266" t="s">
        <v>8726</v>
      </c>
      <c r="C404" s="269" t="s">
        <v>9240</v>
      </c>
      <c r="D404" s="266" t="s">
        <v>9241</v>
      </c>
      <c r="E404" s="266" t="s">
        <v>5672</v>
      </c>
      <c r="F404" s="264"/>
      <c r="G404" s="264"/>
      <c r="H404" s="264"/>
      <c r="I404" s="264"/>
      <c r="J404" s="264"/>
      <c r="K404" s="264"/>
      <c r="L404" s="264"/>
      <c r="M404" s="264"/>
      <c r="N404" s="264"/>
      <c r="O404" s="264"/>
      <c r="P404" s="264"/>
      <c r="Q404" s="264"/>
      <c r="R404" s="264"/>
      <c r="S404" s="264"/>
      <c r="T404" s="264"/>
      <c r="U404" s="264"/>
      <c r="V404" s="264"/>
      <c r="W404" s="264"/>
      <c r="X404" s="264"/>
      <c r="Y404" s="264"/>
      <c r="Z404" s="264"/>
      <c r="AA404" s="264"/>
    </row>
    <row r="405" spans="1:27" ht="15.75" customHeight="1">
      <c r="A405" s="266" t="s">
        <v>8725</v>
      </c>
      <c r="B405" s="266" t="s">
        <v>8726</v>
      </c>
      <c r="C405" s="266" t="s">
        <v>9242</v>
      </c>
      <c r="D405" s="266" t="s">
        <v>9243</v>
      </c>
      <c r="E405" s="266" t="s">
        <v>7210</v>
      </c>
      <c r="F405" s="264"/>
      <c r="G405" s="264"/>
      <c r="H405" s="264"/>
      <c r="I405" s="264"/>
      <c r="J405" s="264"/>
      <c r="K405" s="264"/>
      <c r="L405" s="264"/>
      <c r="M405" s="264"/>
      <c r="N405" s="264"/>
      <c r="O405" s="264"/>
      <c r="P405" s="264"/>
      <c r="Q405" s="264"/>
      <c r="R405" s="264"/>
      <c r="S405" s="264"/>
      <c r="T405" s="264"/>
      <c r="U405" s="264"/>
      <c r="V405" s="264"/>
      <c r="W405" s="264"/>
      <c r="X405" s="264"/>
      <c r="Y405" s="264"/>
      <c r="Z405" s="264"/>
      <c r="AA405" s="264"/>
    </row>
    <row r="406" spans="1:27" ht="15.75" customHeight="1">
      <c r="A406" s="266" t="s">
        <v>8725</v>
      </c>
      <c r="B406" s="266" t="s">
        <v>8726</v>
      </c>
      <c r="C406" s="266" t="s">
        <v>9244</v>
      </c>
      <c r="D406" s="269" t="s">
        <v>9245</v>
      </c>
      <c r="E406" s="266" t="s">
        <v>8687</v>
      </c>
      <c r="F406" s="264"/>
      <c r="G406" s="264"/>
      <c r="H406" s="264"/>
      <c r="I406" s="264"/>
      <c r="J406" s="264"/>
      <c r="K406" s="264"/>
      <c r="L406" s="264"/>
      <c r="M406" s="264"/>
      <c r="N406" s="264"/>
      <c r="O406" s="264"/>
      <c r="P406" s="264"/>
      <c r="Q406" s="264"/>
      <c r="R406" s="264"/>
      <c r="S406" s="264"/>
      <c r="T406" s="264"/>
      <c r="U406" s="264"/>
      <c r="V406" s="264"/>
      <c r="W406" s="264"/>
      <c r="X406" s="264"/>
      <c r="Y406" s="264"/>
      <c r="Z406" s="264"/>
      <c r="AA406" s="264"/>
    </row>
    <row r="407" spans="1:27" ht="15.75" customHeight="1">
      <c r="A407" s="266" t="s">
        <v>8725</v>
      </c>
      <c r="B407" s="266" t="s">
        <v>8726</v>
      </c>
      <c r="C407" s="266" t="s">
        <v>9246</v>
      </c>
      <c r="D407" s="266" t="s">
        <v>9247</v>
      </c>
      <c r="E407" s="266" t="s">
        <v>8687</v>
      </c>
      <c r="F407" s="264"/>
      <c r="G407" s="264"/>
      <c r="H407" s="264"/>
      <c r="I407" s="264"/>
      <c r="J407" s="264"/>
      <c r="K407" s="264"/>
      <c r="L407" s="264"/>
      <c r="M407" s="264"/>
      <c r="N407" s="264"/>
      <c r="O407" s="264"/>
      <c r="P407" s="264"/>
      <c r="Q407" s="264"/>
      <c r="R407" s="264"/>
      <c r="S407" s="264"/>
      <c r="T407" s="264"/>
      <c r="U407" s="264"/>
      <c r="V407" s="264"/>
      <c r="W407" s="264"/>
      <c r="X407" s="264"/>
      <c r="Y407" s="264"/>
      <c r="Z407" s="264"/>
      <c r="AA407" s="264"/>
    </row>
    <row r="408" spans="1:27" ht="15.75" customHeight="1">
      <c r="A408" s="266" t="s">
        <v>8725</v>
      </c>
      <c r="B408" s="266" t="s">
        <v>8726</v>
      </c>
      <c r="C408" s="266" t="s">
        <v>9248</v>
      </c>
      <c r="D408" s="266" t="s">
        <v>9249</v>
      </c>
      <c r="E408" s="266" t="s">
        <v>7210</v>
      </c>
      <c r="F408" s="264"/>
      <c r="G408" s="264"/>
      <c r="H408" s="264"/>
      <c r="I408" s="264"/>
      <c r="J408" s="264"/>
      <c r="K408" s="264"/>
      <c r="L408" s="264"/>
      <c r="M408" s="264"/>
      <c r="N408" s="264"/>
      <c r="O408" s="264"/>
      <c r="P408" s="264"/>
      <c r="Q408" s="264"/>
      <c r="R408" s="264"/>
      <c r="S408" s="264"/>
      <c r="T408" s="264"/>
      <c r="U408" s="264"/>
      <c r="V408" s="264"/>
      <c r="W408" s="264"/>
      <c r="X408" s="264"/>
      <c r="Y408" s="264"/>
      <c r="Z408" s="264"/>
      <c r="AA408" s="264"/>
    </row>
    <row r="409" spans="1:27" ht="15.75" customHeight="1">
      <c r="A409" s="266" t="s">
        <v>8725</v>
      </c>
      <c r="B409" s="266" t="s">
        <v>8726</v>
      </c>
      <c r="C409" s="266" t="s">
        <v>9250</v>
      </c>
      <c r="D409" s="266" t="s">
        <v>9251</v>
      </c>
      <c r="E409" s="266" t="s">
        <v>7210</v>
      </c>
      <c r="F409" s="264"/>
      <c r="G409" s="264"/>
      <c r="H409" s="264"/>
      <c r="I409" s="264"/>
      <c r="J409" s="264"/>
      <c r="K409" s="264"/>
      <c r="L409" s="264"/>
      <c r="M409" s="264"/>
      <c r="N409" s="264"/>
      <c r="O409" s="264"/>
      <c r="P409" s="264"/>
      <c r="Q409" s="264"/>
      <c r="R409" s="264"/>
      <c r="S409" s="264"/>
      <c r="T409" s="264"/>
      <c r="U409" s="264"/>
      <c r="V409" s="264"/>
      <c r="W409" s="264"/>
      <c r="X409" s="264"/>
      <c r="Y409" s="264"/>
      <c r="Z409" s="264"/>
      <c r="AA409" s="264"/>
    </row>
    <row r="410" spans="1:27" ht="15.75" customHeight="1">
      <c r="A410" s="266" t="s">
        <v>8725</v>
      </c>
      <c r="B410" s="266" t="s">
        <v>8726</v>
      </c>
      <c r="C410" s="266" t="s">
        <v>9252</v>
      </c>
      <c r="D410" s="266" t="s">
        <v>9253</v>
      </c>
      <c r="E410" s="266" t="s">
        <v>7210</v>
      </c>
      <c r="F410" s="264"/>
      <c r="G410" s="264"/>
      <c r="H410" s="264"/>
      <c r="I410" s="264"/>
      <c r="J410" s="264"/>
      <c r="K410" s="264"/>
      <c r="L410" s="264"/>
      <c r="M410" s="264"/>
      <c r="N410" s="264"/>
      <c r="O410" s="264"/>
      <c r="P410" s="264"/>
      <c r="Q410" s="264"/>
      <c r="R410" s="264"/>
      <c r="S410" s="264"/>
      <c r="T410" s="264"/>
      <c r="U410" s="264"/>
      <c r="V410" s="264"/>
      <c r="W410" s="264"/>
      <c r="X410" s="264"/>
      <c r="Y410" s="264"/>
      <c r="Z410" s="264"/>
      <c r="AA410" s="264"/>
    </row>
    <row r="411" spans="1:27" ht="15.75" customHeight="1">
      <c r="A411" s="266" t="s">
        <v>8725</v>
      </c>
      <c r="B411" s="266" t="s">
        <v>8726</v>
      </c>
      <c r="C411" s="266" t="s">
        <v>9254</v>
      </c>
      <c r="D411" s="266" t="s">
        <v>9255</v>
      </c>
      <c r="E411" s="266" t="s">
        <v>7210</v>
      </c>
      <c r="F411" s="264"/>
      <c r="G411" s="264"/>
      <c r="H411" s="264"/>
      <c r="I411" s="264"/>
      <c r="J411" s="264"/>
      <c r="K411" s="264"/>
      <c r="L411" s="264"/>
      <c r="M411" s="264"/>
      <c r="N411" s="264"/>
      <c r="O411" s="264"/>
      <c r="P411" s="264"/>
      <c r="Q411" s="264"/>
      <c r="R411" s="264"/>
      <c r="S411" s="264"/>
      <c r="T411" s="264"/>
      <c r="U411" s="264"/>
      <c r="V411" s="264"/>
      <c r="W411" s="264"/>
      <c r="X411" s="264"/>
      <c r="Y411" s="264"/>
      <c r="Z411" s="264"/>
      <c r="AA411" s="264"/>
    </row>
    <row r="412" spans="1:27" ht="15.75" customHeight="1">
      <c r="A412" s="266" t="s">
        <v>8725</v>
      </c>
      <c r="B412" s="266" t="s">
        <v>8726</v>
      </c>
      <c r="C412" s="266" t="s">
        <v>9256</v>
      </c>
      <c r="D412" s="269" t="s">
        <v>9257</v>
      </c>
      <c r="E412" s="266" t="s">
        <v>7210</v>
      </c>
      <c r="F412" s="264"/>
      <c r="G412" s="264"/>
      <c r="H412" s="264"/>
      <c r="I412" s="264"/>
      <c r="J412" s="264"/>
      <c r="K412" s="264"/>
      <c r="L412" s="264"/>
      <c r="M412" s="264"/>
      <c r="N412" s="264"/>
      <c r="O412" s="264"/>
      <c r="P412" s="264"/>
      <c r="Q412" s="264"/>
      <c r="R412" s="264"/>
      <c r="S412" s="264"/>
      <c r="T412" s="264"/>
      <c r="U412" s="264"/>
      <c r="V412" s="264"/>
      <c r="W412" s="264"/>
      <c r="X412" s="264"/>
      <c r="Y412" s="264"/>
      <c r="Z412" s="264"/>
      <c r="AA412" s="264"/>
    </row>
    <row r="413" spans="1:27" ht="15.75" customHeight="1">
      <c r="A413" s="266" t="s">
        <v>8725</v>
      </c>
      <c r="B413" s="266" t="s">
        <v>8726</v>
      </c>
      <c r="C413" s="266" t="s">
        <v>9258</v>
      </c>
      <c r="D413" s="266" t="s">
        <v>9259</v>
      </c>
      <c r="E413" s="266" t="s">
        <v>538</v>
      </c>
      <c r="F413" s="264"/>
      <c r="G413" s="264"/>
      <c r="H413" s="264"/>
      <c r="I413" s="264"/>
      <c r="J413" s="264"/>
      <c r="K413" s="264"/>
      <c r="L413" s="264"/>
      <c r="M413" s="264"/>
      <c r="N413" s="264"/>
      <c r="O413" s="264"/>
      <c r="P413" s="264"/>
      <c r="Q413" s="264"/>
      <c r="R413" s="264"/>
      <c r="S413" s="264"/>
      <c r="T413" s="264"/>
      <c r="U413" s="264"/>
      <c r="V413" s="264"/>
      <c r="W413" s="264"/>
      <c r="X413" s="264"/>
      <c r="Y413" s="264"/>
      <c r="Z413" s="264"/>
      <c r="AA413" s="264"/>
    </row>
    <row r="414" spans="1:27" ht="15.75" customHeight="1">
      <c r="A414" s="266" t="s">
        <v>8725</v>
      </c>
      <c r="B414" s="266" t="s">
        <v>8726</v>
      </c>
      <c r="C414" s="266" t="s">
        <v>8747</v>
      </c>
      <c r="D414" s="266" t="s">
        <v>8748</v>
      </c>
      <c r="E414" s="266" t="s">
        <v>538</v>
      </c>
      <c r="F414" s="264"/>
      <c r="G414" s="264"/>
      <c r="H414" s="264"/>
      <c r="I414" s="264"/>
      <c r="J414" s="264"/>
      <c r="K414" s="264"/>
      <c r="L414" s="264"/>
      <c r="M414" s="264"/>
      <c r="N414" s="264"/>
      <c r="O414" s="264"/>
      <c r="P414" s="264"/>
      <c r="Q414" s="264"/>
      <c r="R414" s="264"/>
      <c r="S414" s="264"/>
      <c r="T414" s="264"/>
      <c r="U414" s="264"/>
      <c r="V414" s="264"/>
      <c r="W414" s="264"/>
      <c r="X414" s="264"/>
      <c r="Y414" s="264"/>
      <c r="Z414" s="264"/>
      <c r="AA414" s="264"/>
    </row>
    <row r="415" spans="1:27" ht="15.75" customHeight="1">
      <c r="A415" s="266" t="s">
        <v>8725</v>
      </c>
      <c r="B415" s="266" t="s">
        <v>8726</v>
      </c>
      <c r="C415" s="266" t="s">
        <v>8749</v>
      </c>
      <c r="D415" s="266" t="s">
        <v>8750</v>
      </c>
      <c r="E415" s="266" t="s">
        <v>7210</v>
      </c>
      <c r="F415" s="264"/>
      <c r="G415" s="264"/>
      <c r="H415" s="264"/>
      <c r="I415" s="264"/>
      <c r="J415" s="264"/>
      <c r="K415" s="264"/>
      <c r="L415" s="264"/>
      <c r="M415" s="264"/>
      <c r="N415" s="264"/>
      <c r="O415" s="264"/>
      <c r="P415" s="264"/>
      <c r="Q415" s="264"/>
      <c r="R415" s="264"/>
      <c r="S415" s="264"/>
      <c r="T415" s="264"/>
      <c r="U415" s="264"/>
      <c r="V415" s="264"/>
      <c r="W415" s="264"/>
      <c r="X415" s="264"/>
      <c r="Y415" s="264"/>
      <c r="Z415" s="264"/>
      <c r="AA415" s="264"/>
    </row>
    <row r="416" spans="1:27" ht="15.75" customHeight="1">
      <c r="A416" s="266" t="s">
        <v>8725</v>
      </c>
      <c r="B416" s="266" t="s">
        <v>8726</v>
      </c>
      <c r="C416" s="266" t="s">
        <v>8751</v>
      </c>
      <c r="D416" s="266" t="s">
        <v>8752</v>
      </c>
      <c r="E416" s="266" t="s">
        <v>7210</v>
      </c>
      <c r="F416" s="264"/>
      <c r="G416" s="264"/>
      <c r="H416" s="264"/>
      <c r="I416" s="264"/>
      <c r="J416" s="264"/>
      <c r="K416" s="264"/>
      <c r="L416" s="264"/>
      <c r="M416" s="264"/>
      <c r="N416" s="264"/>
      <c r="O416" s="264"/>
      <c r="P416" s="264"/>
      <c r="Q416" s="264"/>
      <c r="R416" s="264"/>
      <c r="S416" s="264"/>
      <c r="T416" s="264"/>
      <c r="U416" s="264"/>
      <c r="V416" s="264"/>
      <c r="W416" s="264"/>
      <c r="X416" s="264"/>
      <c r="Y416" s="264"/>
      <c r="Z416" s="264"/>
      <c r="AA416" s="264"/>
    </row>
    <row r="417" spans="1:27" ht="15.75" customHeight="1">
      <c r="A417" s="266" t="s">
        <v>8725</v>
      </c>
      <c r="B417" s="266" t="s">
        <v>8726</v>
      </c>
      <c r="C417" s="266" t="s">
        <v>8753</v>
      </c>
      <c r="D417" s="266" t="s">
        <v>8754</v>
      </c>
      <c r="E417" s="266" t="s">
        <v>7210</v>
      </c>
      <c r="F417" s="264"/>
      <c r="G417" s="264"/>
      <c r="H417" s="264"/>
      <c r="I417" s="264"/>
      <c r="J417" s="264"/>
      <c r="K417" s="264"/>
      <c r="L417" s="264"/>
      <c r="M417" s="264"/>
      <c r="N417" s="264"/>
      <c r="O417" s="264"/>
      <c r="P417" s="264"/>
      <c r="Q417" s="264"/>
      <c r="R417" s="264"/>
      <c r="S417" s="264"/>
      <c r="T417" s="264"/>
      <c r="U417" s="264"/>
      <c r="V417" s="264"/>
      <c r="W417" s="264"/>
      <c r="X417" s="264"/>
      <c r="Y417" s="264"/>
      <c r="Z417" s="264"/>
      <c r="AA417" s="264"/>
    </row>
    <row r="418" spans="1:27" ht="15.75" customHeight="1">
      <c r="A418" s="266" t="s">
        <v>8725</v>
      </c>
      <c r="B418" s="266" t="s">
        <v>8726</v>
      </c>
      <c r="C418" s="268" t="s">
        <v>8755</v>
      </c>
      <c r="D418" s="268" t="s">
        <v>8756</v>
      </c>
      <c r="E418" s="266" t="s">
        <v>7210</v>
      </c>
      <c r="F418" s="264"/>
      <c r="G418" s="264"/>
      <c r="H418" s="264"/>
      <c r="I418" s="264"/>
      <c r="J418" s="264"/>
      <c r="K418" s="264"/>
      <c r="L418" s="264"/>
      <c r="M418" s="264"/>
      <c r="N418" s="264"/>
      <c r="O418" s="264"/>
      <c r="P418" s="264"/>
      <c r="Q418" s="264"/>
      <c r="R418" s="264"/>
      <c r="S418" s="264"/>
      <c r="T418" s="264"/>
      <c r="U418" s="264"/>
      <c r="V418" s="264"/>
      <c r="W418" s="264"/>
      <c r="X418" s="264"/>
      <c r="Y418" s="264"/>
      <c r="Z418" s="264"/>
      <c r="AA418" s="264"/>
    </row>
    <row r="419" spans="1:27" ht="15.75" customHeight="1">
      <c r="A419" s="266" t="s">
        <v>8725</v>
      </c>
      <c r="B419" s="266" t="s">
        <v>8726</v>
      </c>
      <c r="C419" s="266" t="s">
        <v>8757</v>
      </c>
      <c r="D419" s="266" t="s">
        <v>8758</v>
      </c>
      <c r="E419" s="266" t="s">
        <v>7210</v>
      </c>
      <c r="F419" s="264"/>
      <c r="G419" s="264"/>
      <c r="H419" s="264"/>
      <c r="I419" s="264"/>
      <c r="J419" s="264"/>
      <c r="K419" s="264"/>
      <c r="L419" s="264"/>
      <c r="M419" s="264"/>
      <c r="N419" s="264"/>
      <c r="O419" s="264"/>
      <c r="P419" s="264"/>
      <c r="Q419" s="264"/>
      <c r="R419" s="264"/>
      <c r="S419" s="264"/>
      <c r="T419" s="264"/>
      <c r="U419" s="264"/>
      <c r="V419" s="264"/>
      <c r="W419" s="264"/>
      <c r="X419" s="264"/>
      <c r="Y419" s="264"/>
      <c r="Z419" s="264"/>
      <c r="AA419" s="264"/>
    </row>
    <row r="420" spans="1:27" ht="15.75" customHeight="1">
      <c r="A420" s="266" t="s">
        <v>8725</v>
      </c>
      <c r="B420" s="266" t="s">
        <v>8726</v>
      </c>
      <c r="C420" s="266" t="s">
        <v>8759</v>
      </c>
      <c r="D420" s="266" t="s">
        <v>8760</v>
      </c>
      <c r="E420" s="266" t="s">
        <v>538</v>
      </c>
      <c r="F420" s="264"/>
      <c r="G420" s="264"/>
      <c r="H420" s="264"/>
      <c r="I420" s="264"/>
      <c r="J420" s="264"/>
      <c r="K420" s="264"/>
      <c r="L420" s="264"/>
      <c r="M420" s="264"/>
      <c r="N420" s="264"/>
      <c r="O420" s="264"/>
      <c r="P420" s="264"/>
      <c r="Q420" s="264"/>
      <c r="R420" s="264"/>
      <c r="S420" s="264"/>
      <c r="T420" s="264"/>
      <c r="U420" s="264"/>
      <c r="V420" s="264"/>
      <c r="W420" s="264"/>
      <c r="X420" s="264"/>
      <c r="Y420" s="264"/>
      <c r="Z420" s="264"/>
      <c r="AA420" s="264"/>
    </row>
    <row r="421" spans="1:27" ht="15.75" customHeight="1">
      <c r="A421" s="266" t="s">
        <v>8725</v>
      </c>
      <c r="B421" s="266" t="s">
        <v>8726</v>
      </c>
      <c r="C421" s="266" t="s">
        <v>8761</v>
      </c>
      <c r="D421" s="266" t="s">
        <v>8762</v>
      </c>
      <c r="E421" s="266" t="s">
        <v>7210</v>
      </c>
      <c r="F421" s="264"/>
      <c r="G421" s="264"/>
      <c r="H421" s="264"/>
      <c r="I421" s="264"/>
      <c r="J421" s="264"/>
      <c r="K421" s="264"/>
      <c r="L421" s="264"/>
      <c r="M421" s="264"/>
      <c r="N421" s="264"/>
      <c r="O421" s="264"/>
      <c r="P421" s="264"/>
      <c r="Q421" s="264"/>
      <c r="R421" s="264"/>
      <c r="S421" s="264"/>
      <c r="T421" s="264"/>
      <c r="U421" s="264"/>
      <c r="V421" s="264"/>
      <c r="W421" s="264"/>
      <c r="X421" s="264"/>
      <c r="Y421" s="264"/>
      <c r="Z421" s="264"/>
      <c r="AA421" s="264"/>
    </row>
    <row r="422" spans="1:27" ht="15.75" customHeight="1">
      <c r="A422" s="266" t="s">
        <v>8725</v>
      </c>
      <c r="B422" s="266" t="s">
        <v>8726</v>
      </c>
      <c r="C422" s="266" t="s">
        <v>8763</v>
      </c>
      <c r="D422" s="266" t="s">
        <v>8764</v>
      </c>
      <c r="E422" s="266" t="s">
        <v>7210</v>
      </c>
      <c r="F422" s="264"/>
      <c r="G422" s="264"/>
      <c r="H422" s="264"/>
      <c r="I422" s="264"/>
      <c r="J422" s="264"/>
      <c r="K422" s="264"/>
      <c r="L422" s="264"/>
      <c r="M422" s="264"/>
      <c r="N422" s="264"/>
      <c r="O422" s="264"/>
      <c r="P422" s="264"/>
      <c r="Q422" s="264"/>
      <c r="R422" s="264"/>
      <c r="S422" s="264"/>
      <c r="T422" s="264"/>
      <c r="U422" s="264"/>
      <c r="V422" s="264"/>
      <c r="W422" s="264"/>
      <c r="X422" s="264"/>
      <c r="Y422" s="264"/>
      <c r="Z422" s="264"/>
      <c r="AA422" s="264"/>
    </row>
    <row r="423" spans="1:27" ht="15.75" customHeight="1">
      <c r="A423" s="266" t="s">
        <v>8725</v>
      </c>
      <c r="B423" s="266" t="s">
        <v>8726</v>
      </c>
      <c r="C423" s="266" t="s">
        <v>8765</v>
      </c>
      <c r="D423" s="266" t="s">
        <v>8766</v>
      </c>
      <c r="E423" s="266" t="s">
        <v>7210</v>
      </c>
      <c r="F423" s="264"/>
      <c r="G423" s="264"/>
      <c r="H423" s="264"/>
      <c r="I423" s="264"/>
      <c r="J423" s="264"/>
      <c r="K423" s="264"/>
      <c r="L423" s="264"/>
      <c r="M423" s="264"/>
      <c r="N423" s="264"/>
      <c r="O423" s="264"/>
      <c r="P423" s="264"/>
      <c r="Q423" s="264"/>
      <c r="R423" s="264"/>
      <c r="S423" s="264"/>
      <c r="T423" s="264"/>
      <c r="U423" s="264"/>
      <c r="V423" s="264"/>
      <c r="W423" s="264"/>
      <c r="X423" s="264"/>
      <c r="Y423" s="264"/>
      <c r="Z423" s="264"/>
      <c r="AA423" s="264"/>
    </row>
    <row r="424" spans="1:27" ht="15.75" customHeight="1">
      <c r="A424" s="266" t="s">
        <v>8725</v>
      </c>
      <c r="B424" s="266" t="s">
        <v>8726</v>
      </c>
      <c r="C424" s="268" t="s">
        <v>8767</v>
      </c>
      <c r="D424" s="268" t="s">
        <v>8768</v>
      </c>
      <c r="E424" s="266" t="s">
        <v>7210</v>
      </c>
      <c r="F424" s="264"/>
      <c r="G424" s="264"/>
      <c r="H424" s="264"/>
      <c r="I424" s="264"/>
      <c r="J424" s="264"/>
      <c r="K424" s="264"/>
      <c r="L424" s="264"/>
      <c r="M424" s="264"/>
      <c r="N424" s="264"/>
      <c r="O424" s="264"/>
      <c r="P424" s="264"/>
      <c r="Q424" s="264"/>
      <c r="R424" s="264"/>
      <c r="S424" s="264"/>
      <c r="T424" s="264"/>
      <c r="U424" s="264"/>
      <c r="V424" s="264"/>
      <c r="W424" s="264"/>
      <c r="X424" s="264"/>
      <c r="Y424" s="264"/>
      <c r="Z424" s="264"/>
      <c r="AA424" s="264"/>
    </row>
    <row r="425" spans="1:27" ht="15.75" customHeight="1">
      <c r="A425" s="266" t="s">
        <v>8725</v>
      </c>
      <c r="B425" s="266" t="s">
        <v>8726</v>
      </c>
      <c r="C425" s="266" t="s">
        <v>8769</v>
      </c>
      <c r="D425" s="266" t="s">
        <v>8770</v>
      </c>
      <c r="E425" s="266" t="s">
        <v>7210</v>
      </c>
      <c r="F425" s="264"/>
      <c r="G425" s="264"/>
      <c r="H425" s="264"/>
      <c r="I425" s="264"/>
      <c r="J425" s="264"/>
      <c r="K425" s="264"/>
      <c r="L425" s="264"/>
      <c r="M425" s="264"/>
      <c r="N425" s="264"/>
      <c r="O425" s="264"/>
      <c r="P425" s="264"/>
      <c r="Q425" s="264"/>
      <c r="R425" s="264"/>
      <c r="S425" s="264"/>
      <c r="T425" s="264"/>
      <c r="U425" s="264"/>
      <c r="V425" s="264"/>
      <c r="W425" s="264"/>
      <c r="X425" s="264"/>
      <c r="Y425" s="264"/>
      <c r="Z425" s="264"/>
      <c r="AA425" s="264"/>
    </row>
    <row r="426" spans="1:27" ht="15.75" customHeight="1">
      <c r="A426" s="266" t="s">
        <v>8725</v>
      </c>
      <c r="B426" s="266" t="s">
        <v>8726</v>
      </c>
      <c r="C426" s="266" t="s">
        <v>9260</v>
      </c>
      <c r="D426" s="266" t="s">
        <v>9261</v>
      </c>
      <c r="E426" s="266" t="s">
        <v>7210</v>
      </c>
      <c r="F426" s="264"/>
      <c r="G426" s="264"/>
      <c r="H426" s="264"/>
      <c r="I426" s="264"/>
      <c r="J426" s="264"/>
      <c r="K426" s="264"/>
      <c r="L426" s="264"/>
      <c r="M426" s="264"/>
      <c r="N426" s="264"/>
      <c r="O426" s="264"/>
      <c r="P426" s="264"/>
      <c r="Q426" s="264"/>
      <c r="R426" s="264"/>
      <c r="S426" s="264"/>
      <c r="T426" s="264"/>
      <c r="U426" s="264"/>
      <c r="V426" s="264"/>
      <c r="W426" s="264"/>
      <c r="X426" s="264"/>
      <c r="Y426" s="264"/>
      <c r="Z426" s="264"/>
      <c r="AA426" s="264"/>
    </row>
    <row r="427" spans="1:27" ht="15.75" customHeight="1">
      <c r="A427" s="264"/>
      <c r="B427" s="264"/>
      <c r="C427" s="264"/>
      <c r="D427" s="264"/>
      <c r="E427" s="264"/>
      <c r="F427" s="264"/>
      <c r="G427" s="264"/>
      <c r="H427" s="264"/>
      <c r="I427" s="264"/>
      <c r="J427" s="264"/>
      <c r="K427" s="264"/>
      <c r="L427" s="264"/>
      <c r="M427" s="264"/>
      <c r="N427" s="264"/>
      <c r="O427" s="264"/>
      <c r="P427" s="264"/>
      <c r="Q427" s="264"/>
      <c r="R427" s="264"/>
      <c r="S427" s="264"/>
      <c r="T427" s="264"/>
      <c r="U427" s="264"/>
      <c r="V427" s="264"/>
      <c r="W427" s="264"/>
      <c r="X427" s="264"/>
      <c r="Y427" s="264"/>
      <c r="Z427" s="264"/>
      <c r="AA427" s="264"/>
    </row>
    <row r="428" spans="1:27" ht="15.75" customHeight="1">
      <c r="A428" s="264"/>
      <c r="B428" s="264"/>
      <c r="C428" s="264"/>
      <c r="D428" s="264"/>
      <c r="E428" s="264"/>
      <c r="F428" s="264"/>
      <c r="G428" s="264"/>
      <c r="H428" s="264"/>
      <c r="I428" s="264"/>
      <c r="J428" s="264"/>
      <c r="K428" s="264"/>
      <c r="L428" s="264"/>
      <c r="M428" s="264"/>
      <c r="N428" s="264"/>
      <c r="O428" s="264"/>
      <c r="P428" s="264"/>
      <c r="Q428" s="264"/>
      <c r="R428" s="264"/>
      <c r="S428" s="264"/>
      <c r="T428" s="264"/>
      <c r="U428" s="264"/>
      <c r="V428" s="264"/>
      <c r="W428" s="264"/>
      <c r="X428" s="264"/>
      <c r="Y428" s="264"/>
      <c r="Z428" s="264"/>
      <c r="AA428" s="264"/>
    </row>
    <row r="429" spans="1:27" ht="15.75" customHeight="1">
      <c r="A429" s="264"/>
      <c r="B429" s="264"/>
      <c r="C429" s="264"/>
      <c r="D429" s="264"/>
      <c r="E429" s="264"/>
      <c r="F429" s="264"/>
      <c r="G429" s="264"/>
      <c r="H429" s="264"/>
      <c r="I429" s="264"/>
      <c r="J429" s="264"/>
      <c r="K429" s="264"/>
      <c r="L429" s="264"/>
      <c r="M429" s="264"/>
      <c r="N429" s="264"/>
      <c r="O429" s="264"/>
      <c r="P429" s="264"/>
      <c r="Q429" s="264"/>
      <c r="R429" s="264"/>
      <c r="S429" s="264"/>
      <c r="T429" s="264"/>
      <c r="U429" s="264"/>
      <c r="V429" s="264"/>
      <c r="W429" s="264"/>
      <c r="X429" s="264"/>
      <c r="Y429" s="264"/>
      <c r="Z429" s="264"/>
      <c r="AA429" s="264"/>
    </row>
    <row r="430" spans="1:27" ht="15.75" customHeight="1">
      <c r="A430" s="264"/>
      <c r="B430" s="264"/>
      <c r="C430" s="264"/>
      <c r="D430" s="264"/>
      <c r="E430" s="264"/>
      <c r="F430" s="264"/>
      <c r="G430" s="264"/>
      <c r="H430" s="264"/>
      <c r="I430" s="264"/>
      <c r="J430" s="264"/>
      <c r="K430" s="264"/>
      <c r="L430" s="264"/>
      <c r="M430" s="264"/>
      <c r="N430" s="264"/>
      <c r="O430" s="264"/>
      <c r="P430" s="264"/>
      <c r="Q430" s="264"/>
      <c r="R430" s="264"/>
      <c r="S430" s="264"/>
      <c r="T430" s="264"/>
      <c r="U430" s="264"/>
      <c r="V430" s="264"/>
      <c r="W430" s="264"/>
      <c r="X430" s="264"/>
      <c r="Y430" s="264"/>
      <c r="Z430" s="264"/>
      <c r="AA430" s="264"/>
    </row>
    <row r="431" spans="1:27" ht="15.75" customHeight="1">
      <c r="A431" s="264"/>
      <c r="B431" s="264"/>
      <c r="C431" s="264"/>
      <c r="D431" s="264"/>
      <c r="E431" s="264"/>
      <c r="F431" s="264"/>
      <c r="G431" s="264"/>
      <c r="H431" s="264"/>
      <c r="I431" s="264"/>
      <c r="J431" s="264"/>
      <c r="K431" s="264"/>
      <c r="L431" s="264"/>
      <c r="M431" s="264"/>
      <c r="N431" s="264"/>
      <c r="O431" s="264"/>
      <c r="P431" s="264"/>
      <c r="Q431" s="264"/>
      <c r="R431" s="264"/>
      <c r="S431" s="264"/>
      <c r="T431" s="264"/>
      <c r="U431" s="264"/>
      <c r="V431" s="264"/>
      <c r="W431" s="264"/>
      <c r="X431" s="264"/>
      <c r="Y431" s="264"/>
      <c r="Z431" s="264"/>
      <c r="AA431" s="264"/>
    </row>
    <row r="432" spans="1:27" ht="15.75" customHeight="1">
      <c r="A432" s="264"/>
      <c r="B432" s="264"/>
      <c r="C432" s="264"/>
      <c r="D432" s="264"/>
      <c r="E432" s="264"/>
      <c r="F432" s="264"/>
      <c r="G432" s="264"/>
      <c r="H432" s="264"/>
      <c r="I432" s="264"/>
      <c r="J432" s="264"/>
      <c r="K432" s="264"/>
      <c r="L432" s="264"/>
      <c r="M432" s="264"/>
      <c r="N432" s="264"/>
      <c r="O432" s="264"/>
      <c r="P432" s="264"/>
      <c r="Q432" s="264"/>
      <c r="R432" s="264"/>
      <c r="S432" s="264"/>
      <c r="T432" s="264"/>
      <c r="U432" s="264"/>
      <c r="V432" s="264"/>
      <c r="W432" s="264"/>
      <c r="X432" s="264"/>
      <c r="Y432" s="264"/>
      <c r="Z432" s="264"/>
      <c r="AA432" s="264"/>
    </row>
    <row r="433" spans="1:27" ht="15.75" customHeight="1">
      <c r="A433" s="264"/>
      <c r="B433" s="264"/>
      <c r="C433" s="264"/>
      <c r="D433" s="264"/>
      <c r="E433" s="264"/>
      <c r="F433" s="264"/>
      <c r="G433" s="264"/>
      <c r="H433" s="264"/>
      <c r="I433" s="264"/>
      <c r="J433" s="264"/>
      <c r="K433" s="264"/>
      <c r="L433" s="264"/>
      <c r="M433" s="264"/>
      <c r="N433" s="264"/>
      <c r="O433" s="264"/>
      <c r="P433" s="264"/>
      <c r="Q433" s="264"/>
      <c r="R433" s="264"/>
      <c r="S433" s="264"/>
      <c r="T433" s="264"/>
      <c r="U433" s="264"/>
      <c r="V433" s="264"/>
      <c r="W433" s="264"/>
      <c r="X433" s="264"/>
      <c r="Y433" s="264"/>
      <c r="Z433" s="264"/>
      <c r="AA433" s="264"/>
    </row>
    <row r="434" spans="1:27" ht="15.75" customHeight="1">
      <c r="A434" s="264"/>
      <c r="B434" s="264"/>
      <c r="C434" s="264"/>
      <c r="D434" s="264"/>
      <c r="E434" s="264"/>
      <c r="F434" s="264"/>
      <c r="G434" s="264"/>
      <c r="H434" s="264"/>
      <c r="I434" s="264"/>
      <c r="J434" s="264"/>
      <c r="K434" s="264"/>
      <c r="L434" s="264"/>
      <c r="M434" s="264"/>
      <c r="N434" s="264"/>
      <c r="O434" s="264"/>
      <c r="P434" s="264"/>
      <c r="Q434" s="264"/>
      <c r="R434" s="264"/>
      <c r="S434" s="264"/>
      <c r="T434" s="264"/>
      <c r="U434" s="264"/>
      <c r="V434" s="264"/>
      <c r="W434" s="264"/>
      <c r="X434" s="264"/>
      <c r="Y434" s="264"/>
      <c r="Z434" s="264"/>
      <c r="AA434" s="264"/>
    </row>
    <row r="435" spans="1:27" ht="15.75" customHeight="1">
      <c r="A435" s="264"/>
      <c r="B435" s="264"/>
      <c r="C435" s="264"/>
      <c r="D435" s="264"/>
      <c r="E435" s="264"/>
      <c r="F435" s="264"/>
      <c r="G435" s="264"/>
      <c r="H435" s="264"/>
      <c r="I435" s="264"/>
      <c r="J435" s="264"/>
      <c r="K435" s="264"/>
      <c r="L435" s="264"/>
      <c r="M435" s="264"/>
      <c r="N435" s="264"/>
      <c r="O435" s="264"/>
      <c r="P435" s="264"/>
      <c r="Q435" s="264"/>
      <c r="R435" s="264"/>
      <c r="S435" s="264"/>
      <c r="T435" s="264"/>
      <c r="U435" s="264"/>
      <c r="V435" s="264"/>
      <c r="W435" s="264"/>
      <c r="X435" s="264"/>
      <c r="Y435" s="264"/>
      <c r="Z435" s="264"/>
      <c r="AA435" s="264"/>
    </row>
    <row r="436" spans="1:27" ht="15.75" customHeight="1">
      <c r="A436" s="264"/>
      <c r="B436" s="264"/>
      <c r="C436" s="264"/>
      <c r="D436" s="264"/>
      <c r="E436" s="264"/>
      <c r="F436" s="264"/>
      <c r="G436" s="264"/>
      <c r="H436" s="264"/>
      <c r="I436" s="264"/>
      <c r="J436" s="264"/>
      <c r="K436" s="264"/>
      <c r="L436" s="264"/>
      <c r="M436" s="264"/>
      <c r="N436" s="264"/>
      <c r="O436" s="264"/>
      <c r="P436" s="264"/>
      <c r="Q436" s="264"/>
      <c r="R436" s="264"/>
      <c r="S436" s="264"/>
      <c r="T436" s="264"/>
      <c r="U436" s="264"/>
      <c r="V436" s="264"/>
      <c r="W436" s="264"/>
      <c r="X436" s="264"/>
      <c r="Y436" s="264"/>
      <c r="Z436" s="264"/>
      <c r="AA436" s="264"/>
    </row>
    <row r="437" spans="1:27" ht="15.75" customHeight="1">
      <c r="A437" s="264"/>
      <c r="B437" s="264"/>
      <c r="C437" s="264"/>
      <c r="D437" s="264"/>
      <c r="E437" s="264"/>
      <c r="F437" s="264"/>
      <c r="G437" s="264"/>
      <c r="H437" s="264"/>
      <c r="I437" s="264"/>
      <c r="J437" s="264"/>
      <c r="K437" s="264"/>
      <c r="L437" s="264"/>
      <c r="M437" s="264"/>
      <c r="N437" s="264"/>
      <c r="O437" s="264"/>
      <c r="P437" s="264"/>
      <c r="Q437" s="264"/>
      <c r="R437" s="264"/>
      <c r="S437" s="264"/>
      <c r="T437" s="264"/>
      <c r="U437" s="264"/>
      <c r="V437" s="264"/>
      <c r="W437" s="264"/>
      <c r="X437" s="264"/>
      <c r="Y437" s="264"/>
      <c r="Z437" s="264"/>
      <c r="AA437" s="264"/>
    </row>
    <row r="438" spans="1:27" ht="15.75" customHeight="1">
      <c r="A438" s="264"/>
      <c r="B438" s="264"/>
      <c r="C438" s="264"/>
      <c r="D438" s="264"/>
      <c r="E438" s="264"/>
      <c r="F438" s="264"/>
      <c r="G438" s="264"/>
      <c r="H438" s="264"/>
      <c r="I438" s="264"/>
      <c r="J438" s="264"/>
      <c r="K438" s="264"/>
      <c r="L438" s="264"/>
      <c r="M438" s="264"/>
      <c r="N438" s="264"/>
      <c r="O438" s="264"/>
      <c r="P438" s="264"/>
      <c r="Q438" s="264"/>
      <c r="R438" s="264"/>
      <c r="S438" s="264"/>
      <c r="T438" s="264"/>
      <c r="U438" s="264"/>
      <c r="V438" s="264"/>
      <c r="W438" s="264"/>
      <c r="X438" s="264"/>
      <c r="Y438" s="264"/>
      <c r="Z438" s="264"/>
      <c r="AA438" s="264"/>
    </row>
    <row r="439" spans="1:27" ht="15.75" customHeight="1">
      <c r="A439" s="264"/>
      <c r="B439" s="264"/>
      <c r="C439" s="264"/>
      <c r="D439" s="264"/>
      <c r="E439" s="264"/>
      <c r="F439" s="264"/>
      <c r="G439" s="264"/>
      <c r="H439" s="264"/>
      <c r="I439" s="264"/>
      <c r="J439" s="264"/>
      <c r="K439" s="264"/>
      <c r="L439" s="264"/>
      <c r="M439" s="264"/>
      <c r="N439" s="264"/>
      <c r="O439" s="264"/>
      <c r="P439" s="264"/>
      <c r="Q439" s="264"/>
      <c r="R439" s="264"/>
      <c r="S439" s="264"/>
      <c r="T439" s="264"/>
      <c r="U439" s="264"/>
      <c r="V439" s="264"/>
      <c r="W439" s="264"/>
      <c r="X439" s="264"/>
      <c r="Y439" s="264"/>
      <c r="Z439" s="264"/>
      <c r="AA439" s="264"/>
    </row>
    <row r="440" spans="1:27" ht="15.75" customHeight="1">
      <c r="A440" s="264"/>
      <c r="B440" s="264"/>
      <c r="C440" s="264"/>
      <c r="D440" s="264"/>
      <c r="E440" s="264"/>
      <c r="F440" s="264"/>
      <c r="G440" s="264"/>
      <c r="H440" s="264"/>
      <c r="I440" s="264"/>
      <c r="J440" s="264"/>
      <c r="K440" s="264"/>
      <c r="L440" s="264"/>
      <c r="M440" s="264"/>
      <c r="N440" s="264"/>
      <c r="O440" s="264"/>
      <c r="P440" s="264"/>
      <c r="Q440" s="264"/>
      <c r="R440" s="264"/>
      <c r="S440" s="264"/>
      <c r="T440" s="264"/>
      <c r="U440" s="264"/>
      <c r="V440" s="264"/>
      <c r="W440" s="264"/>
      <c r="X440" s="264"/>
      <c r="Y440" s="264"/>
      <c r="Z440" s="264"/>
      <c r="AA440" s="264"/>
    </row>
    <row r="441" spans="1:27" ht="15.75" customHeight="1">
      <c r="A441" s="264"/>
      <c r="B441" s="264"/>
      <c r="C441" s="264"/>
      <c r="D441" s="264"/>
      <c r="E441" s="264"/>
      <c r="F441" s="264"/>
      <c r="G441" s="264"/>
      <c r="H441" s="264"/>
      <c r="I441" s="264"/>
      <c r="J441" s="264"/>
      <c r="K441" s="264"/>
      <c r="L441" s="264"/>
      <c r="M441" s="264"/>
      <c r="N441" s="264"/>
      <c r="O441" s="264"/>
      <c r="P441" s="264"/>
      <c r="Q441" s="264"/>
      <c r="R441" s="264"/>
      <c r="S441" s="264"/>
      <c r="T441" s="264"/>
      <c r="U441" s="264"/>
      <c r="V441" s="264"/>
      <c r="W441" s="264"/>
      <c r="X441" s="264"/>
      <c r="Y441" s="264"/>
      <c r="Z441" s="264"/>
      <c r="AA441" s="264"/>
    </row>
    <row r="442" spans="1:27" ht="15.75" customHeight="1">
      <c r="A442" s="264"/>
      <c r="B442" s="264"/>
      <c r="C442" s="264"/>
      <c r="D442" s="264"/>
      <c r="E442" s="264"/>
      <c r="F442" s="264"/>
      <c r="G442" s="264"/>
      <c r="H442" s="264"/>
      <c r="I442" s="264"/>
      <c r="J442" s="264"/>
      <c r="K442" s="264"/>
      <c r="L442" s="264"/>
      <c r="M442" s="264"/>
      <c r="N442" s="264"/>
      <c r="O442" s="264"/>
      <c r="P442" s="264"/>
      <c r="Q442" s="264"/>
      <c r="R442" s="264"/>
      <c r="S442" s="264"/>
      <c r="T442" s="264"/>
      <c r="U442" s="264"/>
      <c r="V442" s="264"/>
      <c r="W442" s="264"/>
      <c r="X442" s="264"/>
      <c r="Y442" s="264"/>
      <c r="Z442" s="264"/>
      <c r="AA442" s="264"/>
    </row>
    <row r="443" spans="1:27" ht="15.75" customHeight="1">
      <c r="A443" s="264"/>
      <c r="B443" s="264"/>
      <c r="C443" s="264"/>
      <c r="D443" s="264"/>
      <c r="E443" s="264"/>
      <c r="F443" s="264"/>
      <c r="G443" s="264"/>
      <c r="H443" s="264"/>
      <c r="I443" s="264"/>
      <c r="J443" s="264"/>
      <c r="K443" s="264"/>
      <c r="L443" s="264"/>
      <c r="M443" s="264"/>
      <c r="N443" s="264"/>
      <c r="O443" s="264"/>
      <c r="P443" s="264"/>
      <c r="Q443" s="264"/>
      <c r="R443" s="264"/>
      <c r="S443" s="264"/>
      <c r="T443" s="264"/>
      <c r="U443" s="264"/>
      <c r="V443" s="264"/>
      <c r="W443" s="264"/>
      <c r="X443" s="264"/>
      <c r="Y443" s="264"/>
      <c r="Z443" s="264"/>
      <c r="AA443" s="264"/>
    </row>
    <row r="444" spans="1:27" ht="15.75" customHeight="1">
      <c r="A444" s="264"/>
      <c r="B444" s="264"/>
      <c r="C444" s="264"/>
      <c r="D444" s="264"/>
      <c r="E444" s="264"/>
      <c r="F444" s="264"/>
      <c r="G444" s="264"/>
      <c r="H444" s="264"/>
      <c r="I444" s="264"/>
      <c r="J444" s="264"/>
      <c r="K444" s="264"/>
      <c r="L444" s="264"/>
      <c r="M444" s="264"/>
      <c r="N444" s="264"/>
      <c r="O444" s="264"/>
      <c r="P444" s="264"/>
      <c r="Q444" s="264"/>
      <c r="R444" s="264"/>
      <c r="S444" s="264"/>
      <c r="T444" s="264"/>
      <c r="U444" s="264"/>
      <c r="V444" s="264"/>
      <c r="W444" s="264"/>
      <c r="X444" s="264"/>
      <c r="Y444" s="264"/>
      <c r="Z444" s="264"/>
      <c r="AA444" s="264"/>
    </row>
    <row r="445" spans="1:27" ht="15.75" customHeight="1">
      <c r="A445" s="264"/>
      <c r="B445" s="264"/>
      <c r="C445" s="264"/>
      <c r="D445" s="264"/>
      <c r="E445" s="264"/>
      <c r="F445" s="264"/>
      <c r="G445" s="264"/>
      <c r="H445" s="264"/>
      <c r="I445" s="264"/>
      <c r="J445" s="264"/>
      <c r="K445" s="264"/>
      <c r="L445" s="264"/>
      <c r="M445" s="264"/>
      <c r="N445" s="264"/>
      <c r="O445" s="264"/>
      <c r="P445" s="264"/>
      <c r="Q445" s="264"/>
      <c r="R445" s="264"/>
      <c r="S445" s="264"/>
      <c r="T445" s="264"/>
      <c r="U445" s="264"/>
      <c r="V445" s="264"/>
      <c r="W445" s="264"/>
      <c r="X445" s="264"/>
      <c r="Y445" s="264"/>
      <c r="Z445" s="264"/>
      <c r="AA445" s="264"/>
    </row>
    <row r="446" spans="1:27" ht="15.75" customHeight="1">
      <c r="A446" s="264"/>
      <c r="B446" s="264"/>
      <c r="C446" s="264"/>
      <c r="D446" s="264"/>
      <c r="E446" s="264"/>
      <c r="F446" s="264"/>
      <c r="G446" s="264"/>
      <c r="H446" s="264"/>
      <c r="I446" s="264"/>
      <c r="J446" s="264"/>
      <c r="K446" s="264"/>
      <c r="L446" s="264"/>
      <c r="M446" s="264"/>
      <c r="N446" s="264"/>
      <c r="O446" s="264"/>
      <c r="P446" s="264"/>
      <c r="Q446" s="264"/>
      <c r="R446" s="264"/>
      <c r="S446" s="264"/>
      <c r="T446" s="264"/>
      <c r="U446" s="264"/>
      <c r="V446" s="264"/>
      <c r="W446" s="264"/>
      <c r="X446" s="264"/>
      <c r="Y446" s="264"/>
      <c r="Z446" s="264"/>
      <c r="AA446" s="264"/>
    </row>
    <row r="447" spans="1:27" ht="15.75" customHeight="1">
      <c r="A447" s="264"/>
      <c r="B447" s="264"/>
      <c r="C447" s="264"/>
      <c r="D447" s="264"/>
      <c r="E447" s="264"/>
      <c r="F447" s="264"/>
      <c r="G447" s="264"/>
      <c r="H447" s="264"/>
      <c r="I447" s="264"/>
      <c r="J447" s="264"/>
      <c r="K447" s="264"/>
      <c r="L447" s="264"/>
      <c r="M447" s="264"/>
      <c r="N447" s="264"/>
      <c r="O447" s="264"/>
      <c r="P447" s="264"/>
      <c r="Q447" s="264"/>
      <c r="R447" s="264"/>
      <c r="S447" s="264"/>
      <c r="T447" s="264"/>
      <c r="U447" s="264"/>
      <c r="V447" s="264"/>
      <c r="W447" s="264"/>
      <c r="X447" s="264"/>
      <c r="Y447" s="264"/>
      <c r="Z447" s="264"/>
      <c r="AA447" s="264"/>
    </row>
    <row r="448" spans="1:27" ht="15.75" customHeight="1">
      <c r="A448" s="264"/>
      <c r="B448" s="264"/>
      <c r="C448" s="264"/>
      <c r="D448" s="264"/>
      <c r="E448" s="264"/>
      <c r="F448" s="264"/>
      <c r="G448" s="264"/>
      <c r="H448" s="264"/>
      <c r="I448" s="264"/>
      <c r="J448" s="264"/>
      <c r="K448" s="264"/>
      <c r="L448" s="264"/>
      <c r="M448" s="264"/>
      <c r="N448" s="264"/>
      <c r="O448" s="264"/>
      <c r="P448" s="264"/>
      <c r="Q448" s="264"/>
      <c r="R448" s="264"/>
      <c r="S448" s="264"/>
      <c r="T448" s="264"/>
      <c r="U448" s="264"/>
      <c r="V448" s="264"/>
      <c r="W448" s="264"/>
      <c r="X448" s="264"/>
      <c r="Y448" s="264"/>
      <c r="Z448" s="264"/>
      <c r="AA448" s="264"/>
    </row>
    <row r="449" spans="1:27" ht="15.75" customHeight="1">
      <c r="A449" s="264"/>
      <c r="B449" s="264"/>
      <c r="C449" s="264"/>
      <c r="D449" s="264"/>
      <c r="E449" s="264"/>
      <c r="F449" s="264"/>
      <c r="G449" s="264"/>
      <c r="H449" s="264"/>
      <c r="I449" s="264"/>
      <c r="J449" s="264"/>
      <c r="K449" s="264"/>
      <c r="L449" s="264"/>
      <c r="M449" s="264"/>
      <c r="N449" s="264"/>
      <c r="O449" s="264"/>
      <c r="P449" s="264"/>
      <c r="Q449" s="264"/>
      <c r="R449" s="264"/>
      <c r="S449" s="264"/>
      <c r="T449" s="264"/>
      <c r="U449" s="264"/>
      <c r="V449" s="264"/>
      <c r="W449" s="264"/>
      <c r="X449" s="264"/>
      <c r="Y449" s="264"/>
      <c r="Z449" s="264"/>
      <c r="AA449" s="264"/>
    </row>
    <row r="450" spans="1:27" ht="15.75" customHeight="1">
      <c r="A450" s="264"/>
      <c r="B450" s="264"/>
      <c r="C450" s="264"/>
      <c r="D450" s="264"/>
      <c r="E450" s="264"/>
      <c r="F450" s="264"/>
      <c r="G450" s="264"/>
      <c r="H450" s="264"/>
      <c r="I450" s="264"/>
      <c r="J450" s="264"/>
      <c r="K450" s="264"/>
      <c r="L450" s="264"/>
      <c r="M450" s="264"/>
      <c r="N450" s="264"/>
      <c r="O450" s="264"/>
      <c r="P450" s="264"/>
      <c r="Q450" s="264"/>
      <c r="R450" s="264"/>
      <c r="S450" s="264"/>
      <c r="T450" s="264"/>
      <c r="U450" s="264"/>
      <c r="V450" s="264"/>
      <c r="W450" s="264"/>
      <c r="X450" s="264"/>
      <c r="Y450" s="264"/>
      <c r="Z450" s="264"/>
      <c r="AA450" s="264"/>
    </row>
    <row r="451" spans="1:27" ht="15.75" customHeight="1">
      <c r="A451" s="264"/>
      <c r="B451" s="264"/>
      <c r="C451" s="264"/>
      <c r="D451" s="264"/>
      <c r="E451" s="264"/>
      <c r="F451" s="264"/>
      <c r="G451" s="264"/>
      <c r="H451" s="264"/>
      <c r="I451" s="264"/>
      <c r="J451" s="264"/>
      <c r="K451" s="264"/>
      <c r="L451" s="264"/>
      <c r="M451" s="264"/>
      <c r="N451" s="264"/>
      <c r="O451" s="264"/>
      <c r="P451" s="264"/>
      <c r="Q451" s="264"/>
      <c r="R451" s="264"/>
      <c r="S451" s="264"/>
      <c r="T451" s="264"/>
      <c r="U451" s="264"/>
      <c r="V451" s="264"/>
      <c r="W451" s="264"/>
      <c r="X451" s="264"/>
      <c r="Y451" s="264"/>
      <c r="Z451" s="264"/>
      <c r="AA451" s="264"/>
    </row>
    <row r="452" spans="1:27" ht="15.75" customHeight="1">
      <c r="A452" s="264"/>
      <c r="B452" s="264"/>
      <c r="C452" s="264"/>
      <c r="D452" s="264"/>
      <c r="E452" s="264"/>
      <c r="F452" s="264"/>
      <c r="G452" s="264"/>
      <c r="H452" s="264"/>
      <c r="I452" s="264"/>
      <c r="J452" s="264"/>
      <c r="K452" s="264"/>
      <c r="L452" s="264"/>
      <c r="M452" s="264"/>
      <c r="N452" s="264"/>
      <c r="O452" s="264"/>
      <c r="P452" s="264"/>
      <c r="Q452" s="264"/>
      <c r="R452" s="264"/>
      <c r="S452" s="264"/>
      <c r="T452" s="264"/>
      <c r="U452" s="264"/>
      <c r="V452" s="264"/>
      <c r="W452" s="264"/>
      <c r="X452" s="264"/>
      <c r="Y452" s="264"/>
      <c r="Z452" s="264"/>
      <c r="AA452" s="264"/>
    </row>
    <row r="453" spans="1:27" ht="15.75" customHeight="1">
      <c r="A453" s="264"/>
      <c r="B453" s="264"/>
      <c r="C453" s="264"/>
      <c r="D453" s="264"/>
      <c r="E453" s="264"/>
      <c r="F453" s="264"/>
      <c r="G453" s="264"/>
      <c r="H453" s="264"/>
      <c r="I453" s="264"/>
      <c r="J453" s="264"/>
      <c r="K453" s="264"/>
      <c r="L453" s="264"/>
      <c r="M453" s="264"/>
      <c r="N453" s="264"/>
      <c r="O453" s="264"/>
      <c r="P453" s="264"/>
      <c r="Q453" s="264"/>
      <c r="R453" s="264"/>
      <c r="S453" s="264"/>
      <c r="T453" s="264"/>
      <c r="U453" s="264"/>
      <c r="V453" s="264"/>
      <c r="W453" s="264"/>
      <c r="X453" s="264"/>
      <c r="Y453" s="264"/>
      <c r="Z453" s="264"/>
      <c r="AA453" s="264"/>
    </row>
    <row r="454" spans="1:27" ht="15.75" customHeight="1">
      <c r="A454" s="264"/>
      <c r="B454" s="264"/>
      <c r="C454" s="264"/>
      <c r="D454" s="264"/>
      <c r="E454" s="264"/>
      <c r="F454" s="264"/>
      <c r="G454" s="264"/>
      <c r="H454" s="264"/>
      <c r="I454" s="264"/>
      <c r="J454" s="264"/>
      <c r="K454" s="264"/>
      <c r="L454" s="264"/>
      <c r="M454" s="264"/>
      <c r="N454" s="264"/>
      <c r="O454" s="264"/>
      <c r="P454" s="264"/>
      <c r="Q454" s="264"/>
      <c r="R454" s="264"/>
      <c r="S454" s="264"/>
      <c r="T454" s="264"/>
      <c r="U454" s="264"/>
      <c r="V454" s="264"/>
      <c r="W454" s="264"/>
      <c r="X454" s="264"/>
      <c r="Y454" s="264"/>
      <c r="Z454" s="264"/>
      <c r="AA454" s="264"/>
    </row>
    <row r="455" spans="1:27" ht="15.75" customHeight="1">
      <c r="A455" s="264"/>
      <c r="B455" s="264"/>
      <c r="C455" s="264"/>
      <c r="D455" s="264"/>
      <c r="E455" s="264"/>
      <c r="F455" s="264"/>
      <c r="G455" s="264"/>
      <c r="H455" s="264"/>
      <c r="I455" s="264"/>
      <c r="J455" s="264"/>
      <c r="K455" s="264"/>
      <c r="L455" s="264"/>
      <c r="M455" s="264"/>
      <c r="N455" s="264"/>
      <c r="O455" s="264"/>
      <c r="P455" s="264"/>
      <c r="Q455" s="264"/>
      <c r="R455" s="264"/>
      <c r="S455" s="264"/>
      <c r="T455" s="264"/>
      <c r="U455" s="264"/>
      <c r="V455" s="264"/>
      <c r="W455" s="264"/>
      <c r="X455" s="264"/>
      <c r="Y455" s="264"/>
      <c r="Z455" s="264"/>
      <c r="AA455" s="264"/>
    </row>
    <row r="456" spans="1:27" ht="15.75" customHeight="1">
      <c r="A456" s="264"/>
      <c r="B456" s="264"/>
      <c r="C456" s="264"/>
      <c r="D456" s="264"/>
      <c r="E456" s="264"/>
      <c r="F456" s="264"/>
      <c r="G456" s="264"/>
      <c r="H456" s="264"/>
      <c r="I456" s="264"/>
      <c r="J456" s="264"/>
      <c r="K456" s="264"/>
      <c r="L456" s="264"/>
      <c r="M456" s="264"/>
      <c r="N456" s="264"/>
      <c r="O456" s="264"/>
      <c r="P456" s="264"/>
      <c r="Q456" s="264"/>
      <c r="R456" s="264"/>
      <c r="S456" s="264"/>
      <c r="T456" s="264"/>
      <c r="U456" s="264"/>
      <c r="V456" s="264"/>
      <c r="W456" s="264"/>
      <c r="X456" s="264"/>
      <c r="Y456" s="264"/>
      <c r="Z456" s="264"/>
      <c r="AA456" s="264"/>
    </row>
    <row r="457" spans="1:27" ht="15.75" customHeight="1">
      <c r="A457" s="264"/>
      <c r="B457" s="264"/>
      <c r="C457" s="264"/>
      <c r="D457" s="264"/>
      <c r="E457" s="264"/>
      <c r="F457" s="264"/>
      <c r="G457" s="264"/>
      <c r="H457" s="264"/>
      <c r="I457" s="264"/>
      <c r="J457" s="264"/>
      <c r="K457" s="264"/>
      <c r="L457" s="264"/>
      <c r="M457" s="264"/>
      <c r="N457" s="264"/>
      <c r="O457" s="264"/>
      <c r="P457" s="264"/>
      <c r="Q457" s="264"/>
      <c r="R457" s="264"/>
      <c r="S457" s="264"/>
      <c r="T457" s="264"/>
      <c r="U457" s="264"/>
      <c r="V457" s="264"/>
      <c r="W457" s="264"/>
      <c r="X457" s="264"/>
      <c r="Y457" s="264"/>
      <c r="Z457" s="264"/>
      <c r="AA457" s="264"/>
    </row>
    <row r="458" spans="1:27" ht="15.75" customHeight="1">
      <c r="A458" s="264"/>
      <c r="B458" s="264"/>
      <c r="C458" s="264"/>
      <c r="D458" s="264"/>
      <c r="E458" s="264"/>
      <c r="F458" s="264"/>
      <c r="G458" s="264"/>
      <c r="H458" s="264"/>
      <c r="I458" s="264"/>
      <c r="J458" s="264"/>
      <c r="K458" s="264"/>
      <c r="L458" s="264"/>
      <c r="M458" s="264"/>
      <c r="N458" s="264"/>
      <c r="O458" s="264"/>
      <c r="P458" s="264"/>
      <c r="Q458" s="264"/>
      <c r="R458" s="264"/>
      <c r="S458" s="264"/>
      <c r="T458" s="264"/>
      <c r="U458" s="264"/>
      <c r="V458" s="264"/>
      <c r="W458" s="264"/>
      <c r="X458" s="264"/>
      <c r="Y458" s="264"/>
      <c r="Z458" s="264"/>
      <c r="AA458" s="264"/>
    </row>
    <row r="459" spans="1:27" ht="15.75" customHeight="1">
      <c r="A459" s="264"/>
      <c r="B459" s="264"/>
      <c r="C459" s="264"/>
      <c r="D459" s="264"/>
      <c r="E459" s="264"/>
      <c r="F459" s="264"/>
      <c r="G459" s="264"/>
      <c r="H459" s="264"/>
      <c r="I459" s="264"/>
      <c r="J459" s="264"/>
      <c r="K459" s="264"/>
      <c r="L459" s="264"/>
      <c r="M459" s="264"/>
      <c r="N459" s="264"/>
      <c r="O459" s="264"/>
      <c r="P459" s="264"/>
      <c r="Q459" s="264"/>
      <c r="R459" s="264"/>
      <c r="S459" s="264"/>
      <c r="T459" s="264"/>
      <c r="U459" s="264"/>
      <c r="V459" s="264"/>
      <c r="W459" s="264"/>
      <c r="X459" s="264"/>
      <c r="Y459" s="264"/>
      <c r="Z459" s="264"/>
      <c r="AA459" s="264"/>
    </row>
    <row r="460" spans="1:27" ht="15.75" customHeight="1">
      <c r="A460" s="264"/>
      <c r="B460" s="264"/>
      <c r="C460" s="264"/>
      <c r="D460" s="264"/>
      <c r="E460" s="264"/>
      <c r="F460" s="264"/>
      <c r="G460" s="264"/>
      <c r="H460" s="264"/>
      <c r="I460" s="264"/>
      <c r="J460" s="264"/>
      <c r="K460" s="264"/>
      <c r="L460" s="264"/>
      <c r="M460" s="264"/>
      <c r="N460" s="264"/>
      <c r="O460" s="264"/>
      <c r="P460" s="264"/>
      <c r="Q460" s="264"/>
      <c r="R460" s="264"/>
      <c r="S460" s="264"/>
      <c r="T460" s="264"/>
      <c r="U460" s="264"/>
      <c r="V460" s="264"/>
      <c r="W460" s="264"/>
      <c r="X460" s="264"/>
      <c r="Y460" s="264"/>
      <c r="Z460" s="264"/>
      <c r="AA460" s="264"/>
    </row>
    <row r="461" spans="1:27" ht="15.75" customHeight="1">
      <c r="A461" s="264"/>
      <c r="B461" s="264"/>
      <c r="C461" s="264"/>
      <c r="D461" s="264"/>
      <c r="E461" s="264"/>
      <c r="F461" s="264"/>
      <c r="G461" s="264"/>
      <c r="H461" s="264"/>
      <c r="I461" s="264"/>
      <c r="J461" s="264"/>
      <c r="K461" s="264"/>
      <c r="L461" s="264"/>
      <c r="M461" s="264"/>
      <c r="N461" s="264"/>
      <c r="O461" s="264"/>
      <c r="P461" s="264"/>
      <c r="Q461" s="264"/>
      <c r="R461" s="264"/>
      <c r="S461" s="264"/>
      <c r="T461" s="264"/>
      <c r="U461" s="264"/>
      <c r="V461" s="264"/>
      <c r="W461" s="264"/>
      <c r="X461" s="264"/>
      <c r="Y461" s="264"/>
      <c r="Z461" s="264"/>
      <c r="AA461" s="264"/>
    </row>
    <row r="462" spans="1:27" ht="15.75" customHeight="1">
      <c r="A462" s="264"/>
      <c r="B462" s="264"/>
      <c r="C462" s="264"/>
      <c r="D462" s="264"/>
      <c r="E462" s="264"/>
      <c r="F462" s="264"/>
      <c r="G462" s="264"/>
      <c r="H462" s="264"/>
      <c r="I462" s="264"/>
      <c r="J462" s="264"/>
      <c r="K462" s="264"/>
      <c r="L462" s="264"/>
      <c r="M462" s="264"/>
      <c r="N462" s="264"/>
      <c r="O462" s="264"/>
      <c r="P462" s="264"/>
      <c r="Q462" s="264"/>
      <c r="R462" s="264"/>
      <c r="S462" s="264"/>
      <c r="T462" s="264"/>
      <c r="U462" s="264"/>
      <c r="V462" s="264"/>
      <c r="W462" s="264"/>
      <c r="X462" s="264"/>
      <c r="Y462" s="264"/>
      <c r="Z462" s="264"/>
      <c r="AA462" s="264"/>
    </row>
    <row r="463" spans="1:27" ht="15.75" customHeight="1">
      <c r="A463" s="264"/>
      <c r="B463" s="264"/>
      <c r="C463" s="264"/>
      <c r="D463" s="264"/>
      <c r="E463" s="264"/>
      <c r="F463" s="264"/>
      <c r="G463" s="264"/>
      <c r="H463" s="264"/>
      <c r="I463" s="264"/>
      <c r="J463" s="264"/>
      <c r="K463" s="264"/>
      <c r="L463" s="264"/>
      <c r="M463" s="264"/>
      <c r="N463" s="264"/>
      <c r="O463" s="264"/>
      <c r="P463" s="264"/>
      <c r="Q463" s="264"/>
      <c r="R463" s="264"/>
      <c r="S463" s="264"/>
      <c r="T463" s="264"/>
      <c r="U463" s="264"/>
      <c r="V463" s="264"/>
      <c r="W463" s="264"/>
      <c r="X463" s="264"/>
      <c r="Y463" s="264"/>
      <c r="Z463" s="264"/>
      <c r="AA463" s="264"/>
    </row>
    <row r="464" spans="1:27" ht="15.75" customHeight="1">
      <c r="A464" s="264"/>
      <c r="B464" s="264"/>
      <c r="C464" s="264"/>
      <c r="D464" s="264"/>
      <c r="E464" s="264"/>
      <c r="F464" s="264"/>
      <c r="G464" s="264"/>
      <c r="H464" s="264"/>
      <c r="I464" s="264"/>
      <c r="J464" s="264"/>
      <c r="K464" s="264"/>
      <c r="L464" s="264"/>
      <c r="M464" s="264"/>
      <c r="N464" s="264"/>
      <c r="O464" s="264"/>
      <c r="P464" s="264"/>
      <c r="Q464" s="264"/>
      <c r="R464" s="264"/>
      <c r="S464" s="264"/>
      <c r="T464" s="264"/>
      <c r="U464" s="264"/>
      <c r="V464" s="264"/>
      <c r="W464" s="264"/>
      <c r="X464" s="264"/>
      <c r="Y464" s="264"/>
      <c r="Z464" s="264"/>
      <c r="AA464" s="264"/>
    </row>
    <row r="465" spans="1:27" ht="15.75" customHeight="1">
      <c r="A465" s="264"/>
      <c r="B465" s="264"/>
      <c r="C465" s="264"/>
      <c r="D465" s="264"/>
      <c r="E465" s="264"/>
      <c r="F465" s="264"/>
      <c r="G465" s="264"/>
      <c r="H465" s="264"/>
      <c r="I465" s="264"/>
      <c r="J465" s="264"/>
      <c r="K465" s="264"/>
      <c r="L465" s="264"/>
      <c r="M465" s="264"/>
      <c r="N465" s="264"/>
      <c r="O465" s="264"/>
      <c r="P465" s="264"/>
      <c r="Q465" s="264"/>
      <c r="R465" s="264"/>
      <c r="S465" s="264"/>
      <c r="T465" s="264"/>
      <c r="U465" s="264"/>
      <c r="V465" s="264"/>
      <c r="W465" s="264"/>
      <c r="X465" s="264"/>
      <c r="Y465" s="264"/>
      <c r="Z465" s="264"/>
      <c r="AA465" s="264"/>
    </row>
    <row r="466" spans="1:27" ht="15.75" customHeight="1">
      <c r="A466" s="264"/>
      <c r="B466" s="264"/>
      <c r="C466" s="264"/>
      <c r="D466" s="264"/>
      <c r="E466" s="264"/>
      <c r="F466" s="264"/>
      <c r="G466" s="264"/>
      <c r="H466" s="264"/>
      <c r="I466" s="264"/>
      <c r="J466" s="264"/>
      <c r="K466" s="264"/>
      <c r="L466" s="264"/>
      <c r="M466" s="264"/>
      <c r="N466" s="264"/>
      <c r="O466" s="264"/>
      <c r="P466" s="264"/>
      <c r="Q466" s="264"/>
      <c r="R466" s="264"/>
      <c r="S466" s="264"/>
      <c r="T466" s="264"/>
      <c r="U466" s="264"/>
      <c r="V466" s="264"/>
      <c r="W466" s="264"/>
      <c r="X466" s="264"/>
      <c r="Y466" s="264"/>
      <c r="Z466" s="264"/>
      <c r="AA466" s="264"/>
    </row>
    <row r="467" spans="1:27" ht="15.75" customHeight="1">
      <c r="A467" s="264"/>
      <c r="B467" s="264"/>
      <c r="C467" s="264"/>
      <c r="D467" s="264"/>
      <c r="E467" s="264"/>
      <c r="F467" s="264"/>
      <c r="G467" s="264"/>
      <c r="H467" s="264"/>
      <c r="I467" s="264"/>
      <c r="J467" s="264"/>
      <c r="K467" s="264"/>
      <c r="L467" s="264"/>
      <c r="M467" s="264"/>
      <c r="N467" s="264"/>
      <c r="O467" s="264"/>
      <c r="P467" s="264"/>
      <c r="Q467" s="264"/>
      <c r="R467" s="264"/>
      <c r="S467" s="264"/>
      <c r="T467" s="264"/>
      <c r="U467" s="264"/>
      <c r="V467" s="264"/>
      <c r="W467" s="264"/>
      <c r="X467" s="264"/>
      <c r="Y467" s="264"/>
      <c r="Z467" s="264"/>
      <c r="AA467" s="264"/>
    </row>
    <row r="468" spans="1:27" ht="15.75" customHeight="1">
      <c r="A468" s="264"/>
      <c r="B468" s="264"/>
      <c r="C468" s="264"/>
      <c r="D468" s="264"/>
      <c r="E468" s="264"/>
      <c r="F468" s="264"/>
      <c r="G468" s="264"/>
      <c r="H468" s="264"/>
      <c r="I468" s="264"/>
      <c r="J468" s="264"/>
      <c r="K468" s="264"/>
      <c r="L468" s="264"/>
      <c r="M468" s="264"/>
      <c r="N468" s="264"/>
      <c r="O468" s="264"/>
      <c r="P468" s="264"/>
      <c r="Q468" s="264"/>
      <c r="R468" s="264"/>
      <c r="S468" s="264"/>
      <c r="T468" s="264"/>
      <c r="U468" s="264"/>
      <c r="V468" s="264"/>
      <c r="W468" s="264"/>
      <c r="X468" s="264"/>
      <c r="Y468" s="264"/>
      <c r="Z468" s="264"/>
      <c r="AA468" s="264"/>
    </row>
    <row r="469" spans="1:27" ht="15.75" customHeight="1">
      <c r="A469" s="264"/>
      <c r="B469" s="264"/>
      <c r="C469" s="264"/>
      <c r="D469" s="264"/>
      <c r="E469" s="264"/>
      <c r="F469" s="264"/>
      <c r="G469" s="264"/>
      <c r="H469" s="264"/>
      <c r="I469" s="264"/>
      <c r="J469" s="264"/>
      <c r="K469" s="264"/>
      <c r="L469" s="264"/>
      <c r="M469" s="264"/>
      <c r="N469" s="264"/>
      <c r="O469" s="264"/>
      <c r="P469" s="264"/>
      <c r="Q469" s="264"/>
      <c r="R469" s="264"/>
      <c r="S469" s="264"/>
      <c r="T469" s="264"/>
      <c r="U469" s="264"/>
      <c r="V469" s="264"/>
      <c r="W469" s="264"/>
      <c r="X469" s="264"/>
      <c r="Y469" s="264"/>
      <c r="Z469" s="264"/>
      <c r="AA469" s="264"/>
    </row>
    <row r="470" spans="1:27" ht="15.75" customHeight="1">
      <c r="A470" s="264"/>
      <c r="B470" s="264"/>
      <c r="C470" s="264"/>
      <c r="D470" s="264"/>
      <c r="E470" s="264"/>
      <c r="F470" s="264"/>
      <c r="G470" s="264"/>
      <c r="H470" s="264"/>
      <c r="I470" s="264"/>
      <c r="J470" s="264"/>
      <c r="K470" s="264"/>
      <c r="L470" s="264"/>
      <c r="M470" s="264"/>
      <c r="N470" s="264"/>
      <c r="O470" s="264"/>
      <c r="P470" s="264"/>
      <c r="Q470" s="264"/>
      <c r="R470" s="264"/>
      <c r="S470" s="264"/>
      <c r="T470" s="264"/>
      <c r="U470" s="264"/>
      <c r="V470" s="264"/>
      <c r="W470" s="264"/>
      <c r="X470" s="264"/>
      <c r="Y470" s="264"/>
      <c r="Z470" s="264"/>
      <c r="AA470" s="264"/>
    </row>
    <row r="471" spans="1:27" ht="15.75" customHeight="1">
      <c r="A471" s="264"/>
      <c r="B471" s="264"/>
      <c r="C471" s="264"/>
      <c r="D471" s="264"/>
      <c r="E471" s="264"/>
      <c r="F471" s="264"/>
      <c r="G471" s="264"/>
      <c r="H471" s="264"/>
      <c r="I471" s="264"/>
      <c r="J471" s="264"/>
      <c r="K471" s="264"/>
      <c r="L471" s="264"/>
      <c r="M471" s="264"/>
      <c r="N471" s="264"/>
      <c r="O471" s="264"/>
      <c r="P471" s="264"/>
      <c r="Q471" s="264"/>
      <c r="R471" s="264"/>
      <c r="S471" s="264"/>
      <c r="T471" s="264"/>
      <c r="U471" s="264"/>
      <c r="V471" s="264"/>
      <c r="W471" s="264"/>
      <c r="X471" s="264"/>
      <c r="Y471" s="264"/>
      <c r="Z471" s="264"/>
      <c r="AA471" s="264"/>
    </row>
    <row r="472" spans="1:27" ht="15.75" customHeight="1">
      <c r="A472" s="264"/>
      <c r="B472" s="264"/>
      <c r="C472" s="264"/>
      <c r="D472" s="264"/>
      <c r="E472" s="264"/>
      <c r="F472" s="264"/>
      <c r="G472" s="264"/>
      <c r="H472" s="264"/>
      <c r="I472" s="264"/>
      <c r="J472" s="264"/>
      <c r="K472" s="264"/>
      <c r="L472" s="264"/>
      <c r="M472" s="264"/>
      <c r="N472" s="264"/>
      <c r="O472" s="264"/>
      <c r="P472" s="264"/>
      <c r="Q472" s="264"/>
      <c r="R472" s="264"/>
      <c r="S472" s="264"/>
      <c r="T472" s="264"/>
      <c r="U472" s="264"/>
      <c r="V472" s="264"/>
      <c r="W472" s="264"/>
      <c r="X472" s="264"/>
      <c r="Y472" s="264"/>
      <c r="Z472" s="264"/>
      <c r="AA472" s="264"/>
    </row>
    <row r="473" spans="1:27" ht="15.75" customHeight="1">
      <c r="A473" s="264"/>
      <c r="B473" s="264"/>
      <c r="C473" s="264"/>
      <c r="D473" s="264"/>
      <c r="E473" s="264"/>
      <c r="F473" s="264"/>
      <c r="G473" s="264"/>
      <c r="H473" s="264"/>
      <c r="I473" s="264"/>
      <c r="J473" s="264"/>
      <c r="K473" s="264"/>
      <c r="L473" s="264"/>
      <c r="M473" s="264"/>
      <c r="N473" s="264"/>
      <c r="O473" s="264"/>
      <c r="P473" s="264"/>
      <c r="Q473" s="264"/>
      <c r="R473" s="264"/>
      <c r="S473" s="264"/>
      <c r="T473" s="264"/>
      <c r="U473" s="264"/>
      <c r="V473" s="264"/>
      <c r="W473" s="264"/>
      <c r="X473" s="264"/>
      <c r="Y473" s="264"/>
      <c r="Z473" s="264"/>
      <c r="AA473" s="264"/>
    </row>
    <row r="474" spans="1:27" ht="15.75" customHeight="1">
      <c r="A474" s="264"/>
      <c r="B474" s="264"/>
      <c r="C474" s="264"/>
      <c r="D474" s="264"/>
      <c r="E474" s="264"/>
      <c r="F474" s="264"/>
      <c r="G474" s="264"/>
      <c r="H474" s="264"/>
      <c r="I474" s="264"/>
      <c r="J474" s="264"/>
      <c r="K474" s="264"/>
      <c r="L474" s="264"/>
      <c r="M474" s="264"/>
      <c r="N474" s="264"/>
      <c r="O474" s="264"/>
      <c r="P474" s="264"/>
      <c r="Q474" s="264"/>
      <c r="R474" s="264"/>
      <c r="S474" s="264"/>
      <c r="T474" s="264"/>
      <c r="U474" s="264"/>
      <c r="V474" s="264"/>
      <c r="W474" s="264"/>
      <c r="X474" s="264"/>
      <c r="Y474" s="264"/>
      <c r="Z474" s="264"/>
      <c r="AA474" s="264"/>
    </row>
    <row r="475" spans="1:27" ht="15.75" customHeight="1">
      <c r="A475" s="264"/>
      <c r="B475" s="264"/>
      <c r="C475" s="264"/>
      <c r="D475" s="264"/>
      <c r="E475" s="264"/>
      <c r="F475" s="264"/>
      <c r="G475" s="264"/>
      <c r="H475" s="264"/>
      <c r="I475" s="264"/>
      <c r="J475" s="264"/>
      <c r="K475" s="264"/>
      <c r="L475" s="264"/>
      <c r="M475" s="264"/>
      <c r="N475" s="264"/>
      <c r="O475" s="264"/>
      <c r="P475" s="264"/>
      <c r="Q475" s="264"/>
      <c r="R475" s="264"/>
      <c r="S475" s="264"/>
      <c r="T475" s="264"/>
      <c r="U475" s="264"/>
      <c r="V475" s="264"/>
      <c r="W475" s="264"/>
      <c r="X475" s="264"/>
      <c r="Y475" s="264"/>
      <c r="Z475" s="264"/>
      <c r="AA475" s="264"/>
    </row>
    <row r="476" spans="1:27" ht="15.75" customHeight="1">
      <c r="A476" s="264"/>
      <c r="B476" s="264"/>
      <c r="C476" s="264"/>
      <c r="D476" s="264"/>
      <c r="E476" s="264"/>
      <c r="F476" s="264"/>
      <c r="G476" s="264"/>
      <c r="H476" s="264"/>
      <c r="I476" s="264"/>
      <c r="J476" s="264"/>
      <c r="K476" s="264"/>
      <c r="L476" s="264"/>
      <c r="M476" s="264"/>
      <c r="N476" s="264"/>
      <c r="O476" s="264"/>
      <c r="P476" s="264"/>
      <c r="Q476" s="264"/>
      <c r="R476" s="264"/>
      <c r="S476" s="264"/>
      <c r="T476" s="264"/>
      <c r="U476" s="264"/>
      <c r="V476" s="264"/>
      <c r="W476" s="264"/>
      <c r="X476" s="264"/>
      <c r="Y476" s="264"/>
      <c r="Z476" s="264"/>
      <c r="AA476" s="264"/>
    </row>
    <row r="477" spans="1:27" ht="15.75" customHeight="1">
      <c r="A477" s="264"/>
      <c r="B477" s="264"/>
      <c r="C477" s="264"/>
      <c r="D477" s="264"/>
      <c r="E477" s="264"/>
      <c r="F477" s="264"/>
      <c r="G477" s="264"/>
      <c r="H477" s="264"/>
      <c r="I477" s="264"/>
      <c r="J477" s="264"/>
      <c r="K477" s="264"/>
      <c r="L477" s="264"/>
      <c r="M477" s="264"/>
      <c r="N477" s="264"/>
      <c r="O477" s="264"/>
      <c r="P477" s="264"/>
      <c r="Q477" s="264"/>
      <c r="R477" s="264"/>
      <c r="S477" s="264"/>
      <c r="T477" s="264"/>
      <c r="U477" s="264"/>
      <c r="V477" s="264"/>
      <c r="W477" s="264"/>
      <c r="X477" s="264"/>
      <c r="Y477" s="264"/>
      <c r="Z477" s="264"/>
      <c r="AA477" s="264"/>
    </row>
    <row r="478" spans="1:27" ht="15.75" customHeight="1">
      <c r="A478" s="264"/>
      <c r="B478" s="264"/>
      <c r="C478" s="264"/>
      <c r="D478" s="264"/>
      <c r="E478" s="264"/>
      <c r="F478" s="264"/>
      <c r="G478" s="264"/>
      <c r="H478" s="264"/>
      <c r="I478" s="264"/>
      <c r="J478" s="264"/>
      <c r="K478" s="264"/>
      <c r="L478" s="264"/>
      <c r="M478" s="264"/>
      <c r="N478" s="264"/>
      <c r="O478" s="264"/>
      <c r="P478" s="264"/>
      <c r="Q478" s="264"/>
      <c r="R478" s="264"/>
      <c r="S478" s="264"/>
      <c r="T478" s="264"/>
      <c r="U478" s="264"/>
      <c r="V478" s="264"/>
      <c r="W478" s="264"/>
      <c r="X478" s="264"/>
      <c r="Y478" s="264"/>
      <c r="Z478" s="264"/>
      <c r="AA478" s="264"/>
    </row>
    <row r="479" spans="1:27" ht="15.75" customHeight="1">
      <c r="A479" s="264"/>
      <c r="B479" s="264"/>
      <c r="C479" s="264"/>
      <c r="D479" s="264"/>
      <c r="E479" s="264"/>
      <c r="F479" s="264"/>
      <c r="G479" s="264"/>
      <c r="H479" s="264"/>
      <c r="I479" s="264"/>
      <c r="J479" s="264"/>
      <c r="K479" s="264"/>
      <c r="L479" s="264"/>
      <c r="M479" s="264"/>
      <c r="N479" s="264"/>
      <c r="O479" s="264"/>
      <c r="P479" s="264"/>
      <c r="Q479" s="264"/>
      <c r="R479" s="264"/>
      <c r="S479" s="264"/>
      <c r="T479" s="264"/>
      <c r="U479" s="264"/>
      <c r="V479" s="264"/>
      <c r="W479" s="264"/>
      <c r="X479" s="264"/>
      <c r="Y479" s="264"/>
      <c r="Z479" s="264"/>
      <c r="AA479" s="264"/>
    </row>
    <row r="480" spans="1:27" ht="15.75" customHeight="1">
      <c r="A480" s="264"/>
      <c r="B480" s="264"/>
      <c r="C480" s="264"/>
      <c r="D480" s="264"/>
      <c r="E480" s="264"/>
      <c r="F480" s="264"/>
      <c r="G480" s="264"/>
      <c r="H480" s="264"/>
      <c r="I480" s="264"/>
      <c r="J480" s="264"/>
      <c r="K480" s="264"/>
      <c r="L480" s="264"/>
      <c r="M480" s="264"/>
      <c r="N480" s="264"/>
      <c r="O480" s="264"/>
      <c r="P480" s="264"/>
      <c r="Q480" s="264"/>
      <c r="R480" s="264"/>
      <c r="S480" s="264"/>
      <c r="T480" s="264"/>
      <c r="U480" s="264"/>
      <c r="V480" s="264"/>
      <c r="W480" s="264"/>
      <c r="X480" s="264"/>
      <c r="Y480" s="264"/>
      <c r="Z480" s="264"/>
      <c r="AA480" s="264"/>
    </row>
    <row r="481" spans="1:27" ht="15.75" customHeight="1">
      <c r="A481" s="264"/>
      <c r="B481" s="264"/>
      <c r="C481" s="264"/>
      <c r="D481" s="264"/>
      <c r="E481" s="264"/>
      <c r="F481" s="264"/>
      <c r="G481" s="264"/>
      <c r="H481" s="264"/>
      <c r="I481" s="264"/>
      <c r="J481" s="264"/>
      <c r="K481" s="264"/>
      <c r="L481" s="264"/>
      <c r="M481" s="264"/>
      <c r="N481" s="264"/>
      <c r="O481" s="264"/>
      <c r="P481" s="264"/>
      <c r="Q481" s="264"/>
      <c r="R481" s="264"/>
      <c r="S481" s="264"/>
      <c r="T481" s="264"/>
      <c r="U481" s="264"/>
      <c r="V481" s="264"/>
      <c r="W481" s="264"/>
      <c r="X481" s="264"/>
      <c r="Y481" s="264"/>
      <c r="Z481" s="264"/>
      <c r="AA481" s="264"/>
    </row>
    <row r="482" spans="1:27" ht="15.75" customHeight="1">
      <c r="A482" s="264"/>
      <c r="B482" s="264"/>
      <c r="C482" s="264"/>
      <c r="D482" s="264"/>
      <c r="E482" s="264"/>
      <c r="F482" s="264"/>
      <c r="G482" s="264"/>
      <c r="H482" s="264"/>
      <c r="I482" s="264"/>
      <c r="J482" s="264"/>
      <c r="K482" s="264"/>
      <c r="L482" s="264"/>
      <c r="M482" s="264"/>
      <c r="N482" s="264"/>
      <c r="O482" s="264"/>
      <c r="P482" s="264"/>
      <c r="Q482" s="264"/>
      <c r="R482" s="264"/>
      <c r="S482" s="264"/>
      <c r="T482" s="264"/>
      <c r="U482" s="264"/>
      <c r="V482" s="264"/>
      <c r="W482" s="264"/>
      <c r="X482" s="264"/>
      <c r="Y482" s="264"/>
      <c r="Z482" s="264"/>
      <c r="AA482" s="264"/>
    </row>
    <row r="483" spans="1:27" ht="15.75" customHeight="1">
      <c r="A483" s="264"/>
      <c r="B483" s="264"/>
      <c r="C483" s="264"/>
      <c r="D483" s="264"/>
      <c r="E483" s="264"/>
      <c r="F483" s="264"/>
      <c r="G483" s="264"/>
      <c r="H483" s="264"/>
      <c r="I483" s="264"/>
      <c r="J483" s="264"/>
      <c r="K483" s="264"/>
      <c r="L483" s="264"/>
      <c r="M483" s="264"/>
      <c r="N483" s="264"/>
      <c r="O483" s="264"/>
      <c r="P483" s="264"/>
      <c r="Q483" s="264"/>
      <c r="R483" s="264"/>
      <c r="S483" s="264"/>
      <c r="T483" s="264"/>
      <c r="U483" s="264"/>
      <c r="V483" s="264"/>
      <c r="W483" s="264"/>
      <c r="X483" s="264"/>
      <c r="Y483" s="264"/>
      <c r="Z483" s="264"/>
      <c r="AA483" s="264"/>
    </row>
    <row r="484" spans="1:27" ht="15.75" customHeight="1">
      <c r="A484" s="264"/>
      <c r="B484" s="264"/>
      <c r="C484" s="264"/>
      <c r="D484" s="264"/>
      <c r="E484" s="264"/>
      <c r="F484" s="264"/>
      <c r="G484" s="264"/>
      <c r="H484" s="264"/>
      <c r="I484" s="264"/>
      <c r="J484" s="264"/>
      <c r="K484" s="264"/>
      <c r="L484" s="264"/>
      <c r="M484" s="264"/>
      <c r="N484" s="264"/>
      <c r="O484" s="264"/>
      <c r="P484" s="264"/>
      <c r="Q484" s="264"/>
      <c r="R484" s="264"/>
      <c r="S484" s="264"/>
      <c r="T484" s="264"/>
      <c r="U484" s="264"/>
      <c r="V484" s="264"/>
      <c r="W484" s="264"/>
      <c r="X484" s="264"/>
      <c r="Y484" s="264"/>
      <c r="Z484" s="264"/>
      <c r="AA484" s="264"/>
    </row>
    <row r="485" spans="1:27" ht="15.75" customHeight="1">
      <c r="A485" s="264"/>
      <c r="B485" s="264"/>
      <c r="C485" s="264"/>
      <c r="D485" s="264"/>
      <c r="E485" s="264"/>
      <c r="F485" s="264"/>
      <c r="G485" s="264"/>
      <c r="H485" s="264"/>
      <c r="I485" s="264"/>
      <c r="J485" s="264"/>
      <c r="K485" s="264"/>
      <c r="L485" s="264"/>
      <c r="M485" s="264"/>
      <c r="N485" s="264"/>
      <c r="O485" s="264"/>
      <c r="P485" s="264"/>
      <c r="Q485" s="264"/>
      <c r="R485" s="264"/>
      <c r="S485" s="264"/>
      <c r="T485" s="264"/>
      <c r="U485" s="264"/>
      <c r="V485" s="264"/>
      <c r="W485" s="264"/>
      <c r="X485" s="264"/>
      <c r="Y485" s="264"/>
      <c r="Z485" s="264"/>
      <c r="AA485" s="264"/>
    </row>
    <row r="486" spans="1:27" ht="15.75" customHeight="1">
      <c r="A486" s="264"/>
      <c r="B486" s="264"/>
      <c r="C486" s="264"/>
      <c r="D486" s="264"/>
      <c r="E486" s="264"/>
      <c r="F486" s="264"/>
      <c r="G486" s="264"/>
      <c r="H486" s="264"/>
      <c r="I486" s="264"/>
      <c r="J486" s="264"/>
      <c r="K486" s="264"/>
      <c r="L486" s="264"/>
      <c r="M486" s="264"/>
      <c r="N486" s="264"/>
      <c r="O486" s="264"/>
      <c r="P486" s="264"/>
      <c r="Q486" s="264"/>
      <c r="R486" s="264"/>
      <c r="S486" s="264"/>
      <c r="T486" s="264"/>
      <c r="U486" s="264"/>
      <c r="V486" s="264"/>
      <c r="W486" s="264"/>
      <c r="X486" s="264"/>
      <c r="Y486" s="264"/>
      <c r="Z486" s="264"/>
      <c r="AA486" s="264"/>
    </row>
    <row r="487" spans="1:27" ht="15.75" customHeight="1">
      <c r="A487" s="264"/>
      <c r="B487" s="264"/>
      <c r="C487" s="264"/>
      <c r="D487" s="264"/>
      <c r="E487" s="264"/>
      <c r="F487" s="264"/>
      <c r="G487" s="264"/>
      <c r="H487" s="264"/>
      <c r="I487" s="264"/>
      <c r="J487" s="264"/>
      <c r="K487" s="264"/>
      <c r="L487" s="264"/>
      <c r="M487" s="264"/>
      <c r="N487" s="264"/>
      <c r="O487" s="264"/>
      <c r="P487" s="264"/>
      <c r="Q487" s="264"/>
      <c r="R487" s="264"/>
      <c r="S487" s="264"/>
      <c r="T487" s="264"/>
      <c r="U487" s="264"/>
      <c r="V487" s="264"/>
      <c r="W487" s="264"/>
      <c r="X487" s="264"/>
      <c r="Y487" s="264"/>
      <c r="Z487" s="264"/>
      <c r="AA487" s="264"/>
    </row>
    <row r="488" spans="1:27" ht="15.75" customHeight="1">
      <c r="A488" s="264"/>
      <c r="B488" s="264"/>
      <c r="C488" s="264"/>
      <c r="D488" s="264"/>
      <c r="E488" s="264"/>
      <c r="F488" s="264"/>
      <c r="G488" s="264"/>
      <c r="H488" s="264"/>
      <c r="I488" s="264"/>
      <c r="J488" s="264"/>
      <c r="K488" s="264"/>
      <c r="L488" s="264"/>
      <c r="M488" s="264"/>
      <c r="N488" s="264"/>
      <c r="O488" s="264"/>
      <c r="P488" s="264"/>
      <c r="Q488" s="264"/>
      <c r="R488" s="264"/>
      <c r="S488" s="264"/>
      <c r="T488" s="264"/>
      <c r="U488" s="264"/>
      <c r="V488" s="264"/>
      <c r="W488" s="264"/>
      <c r="X488" s="264"/>
      <c r="Y488" s="264"/>
      <c r="Z488" s="264"/>
      <c r="AA488" s="264"/>
    </row>
    <row r="489" spans="1:27" ht="15.75" customHeight="1">
      <c r="A489" s="264"/>
      <c r="B489" s="264"/>
      <c r="C489" s="264"/>
      <c r="D489" s="264"/>
      <c r="E489" s="264"/>
      <c r="F489" s="264"/>
      <c r="G489" s="264"/>
      <c r="H489" s="264"/>
      <c r="I489" s="264"/>
      <c r="J489" s="264"/>
      <c r="K489" s="264"/>
      <c r="L489" s="264"/>
      <c r="M489" s="264"/>
      <c r="N489" s="264"/>
      <c r="O489" s="264"/>
      <c r="P489" s="264"/>
      <c r="Q489" s="264"/>
      <c r="R489" s="264"/>
      <c r="S489" s="264"/>
      <c r="T489" s="264"/>
      <c r="U489" s="264"/>
      <c r="V489" s="264"/>
      <c r="W489" s="264"/>
      <c r="X489" s="264"/>
      <c r="Y489" s="264"/>
      <c r="Z489" s="264"/>
      <c r="AA489" s="264"/>
    </row>
    <row r="490" spans="1:27" ht="15.75" customHeight="1">
      <c r="A490" s="264"/>
      <c r="B490" s="264"/>
      <c r="C490" s="264"/>
      <c r="D490" s="264"/>
      <c r="E490" s="264"/>
      <c r="F490" s="264"/>
      <c r="G490" s="264"/>
      <c r="H490" s="264"/>
      <c r="I490" s="264"/>
      <c r="J490" s="264"/>
      <c r="K490" s="264"/>
      <c r="L490" s="264"/>
      <c r="M490" s="264"/>
      <c r="N490" s="264"/>
      <c r="O490" s="264"/>
      <c r="P490" s="264"/>
      <c r="Q490" s="264"/>
      <c r="R490" s="264"/>
      <c r="S490" s="264"/>
      <c r="T490" s="264"/>
      <c r="U490" s="264"/>
      <c r="V490" s="264"/>
      <c r="W490" s="264"/>
      <c r="X490" s="264"/>
      <c r="Y490" s="264"/>
      <c r="Z490" s="264"/>
      <c r="AA490" s="264"/>
    </row>
    <row r="491" spans="1:27" ht="15.75" customHeight="1">
      <c r="A491" s="264"/>
      <c r="B491" s="264"/>
      <c r="C491" s="264"/>
      <c r="D491" s="264"/>
      <c r="E491" s="264"/>
      <c r="F491" s="264"/>
      <c r="G491" s="264"/>
      <c r="H491" s="264"/>
      <c r="I491" s="264"/>
      <c r="J491" s="264"/>
      <c r="K491" s="264"/>
      <c r="L491" s="264"/>
      <c r="M491" s="264"/>
      <c r="N491" s="264"/>
      <c r="O491" s="264"/>
      <c r="P491" s="264"/>
      <c r="Q491" s="264"/>
      <c r="R491" s="264"/>
      <c r="S491" s="264"/>
      <c r="T491" s="264"/>
      <c r="U491" s="264"/>
      <c r="V491" s="264"/>
      <c r="W491" s="264"/>
      <c r="X491" s="264"/>
      <c r="Y491" s="264"/>
      <c r="Z491" s="264"/>
      <c r="AA491" s="264"/>
    </row>
    <row r="492" spans="1:27" ht="15.75" customHeight="1">
      <c r="A492" s="264"/>
      <c r="B492" s="264"/>
      <c r="C492" s="264"/>
      <c r="D492" s="264"/>
      <c r="E492" s="264"/>
      <c r="F492" s="264"/>
      <c r="G492" s="264"/>
      <c r="H492" s="264"/>
      <c r="I492" s="264"/>
      <c r="J492" s="264"/>
      <c r="K492" s="264"/>
      <c r="L492" s="264"/>
      <c r="M492" s="264"/>
      <c r="N492" s="264"/>
      <c r="O492" s="264"/>
      <c r="P492" s="264"/>
      <c r="Q492" s="264"/>
      <c r="R492" s="264"/>
      <c r="S492" s="264"/>
      <c r="T492" s="264"/>
      <c r="U492" s="264"/>
      <c r="V492" s="264"/>
      <c r="W492" s="264"/>
      <c r="X492" s="264"/>
      <c r="Y492" s="264"/>
      <c r="Z492" s="264"/>
      <c r="AA492" s="264"/>
    </row>
    <row r="493" spans="1:27" ht="15.75" customHeight="1">
      <c r="A493" s="264"/>
      <c r="B493" s="264"/>
      <c r="C493" s="264"/>
      <c r="D493" s="264"/>
      <c r="E493" s="264"/>
      <c r="F493" s="264"/>
      <c r="G493" s="264"/>
      <c r="H493" s="264"/>
      <c r="I493" s="264"/>
      <c r="J493" s="264"/>
      <c r="K493" s="264"/>
      <c r="L493" s="264"/>
      <c r="M493" s="264"/>
      <c r="N493" s="264"/>
      <c r="O493" s="264"/>
      <c r="P493" s="264"/>
      <c r="Q493" s="264"/>
      <c r="R493" s="264"/>
      <c r="S493" s="264"/>
      <c r="T493" s="264"/>
      <c r="U493" s="264"/>
      <c r="V493" s="264"/>
      <c r="W493" s="264"/>
      <c r="X493" s="264"/>
      <c r="Y493" s="264"/>
      <c r="Z493" s="264"/>
      <c r="AA493" s="264"/>
    </row>
    <row r="494" spans="1:27" ht="15.75" customHeight="1">
      <c r="A494" s="264"/>
      <c r="B494" s="264"/>
      <c r="C494" s="264"/>
      <c r="D494" s="264"/>
      <c r="E494" s="264"/>
      <c r="F494" s="264"/>
      <c r="G494" s="264"/>
      <c r="H494" s="264"/>
      <c r="I494" s="264"/>
      <c r="J494" s="264"/>
      <c r="K494" s="264"/>
      <c r="L494" s="264"/>
      <c r="M494" s="264"/>
      <c r="N494" s="264"/>
      <c r="O494" s="264"/>
      <c r="P494" s="264"/>
      <c r="Q494" s="264"/>
      <c r="R494" s="264"/>
      <c r="S494" s="264"/>
      <c r="T494" s="264"/>
      <c r="U494" s="264"/>
      <c r="V494" s="264"/>
      <c r="W494" s="264"/>
      <c r="X494" s="264"/>
      <c r="Y494" s="264"/>
      <c r="Z494" s="264"/>
      <c r="AA494" s="264"/>
    </row>
    <row r="495" spans="1:27" ht="15.75" customHeight="1">
      <c r="A495" s="264"/>
      <c r="B495" s="264"/>
      <c r="C495" s="264"/>
      <c r="D495" s="264"/>
      <c r="E495" s="264"/>
      <c r="F495" s="264"/>
      <c r="G495" s="264"/>
      <c r="H495" s="264"/>
      <c r="I495" s="264"/>
      <c r="J495" s="264"/>
      <c r="K495" s="264"/>
      <c r="L495" s="264"/>
      <c r="M495" s="264"/>
      <c r="N495" s="264"/>
      <c r="O495" s="264"/>
      <c r="P495" s="264"/>
      <c r="Q495" s="264"/>
      <c r="R495" s="264"/>
      <c r="S495" s="264"/>
      <c r="T495" s="264"/>
      <c r="U495" s="264"/>
      <c r="V495" s="264"/>
      <c r="W495" s="264"/>
      <c r="X495" s="264"/>
      <c r="Y495" s="264"/>
      <c r="Z495" s="264"/>
      <c r="AA495" s="264"/>
    </row>
    <row r="496" spans="1:27" ht="15.75" customHeight="1">
      <c r="A496" s="264"/>
      <c r="B496" s="264"/>
      <c r="C496" s="264"/>
      <c r="D496" s="264"/>
      <c r="E496" s="264"/>
      <c r="F496" s="264"/>
      <c r="G496" s="264"/>
      <c r="H496" s="264"/>
      <c r="I496" s="264"/>
      <c r="J496" s="264"/>
      <c r="K496" s="264"/>
      <c r="L496" s="264"/>
      <c r="M496" s="264"/>
      <c r="N496" s="264"/>
      <c r="O496" s="264"/>
      <c r="P496" s="264"/>
      <c r="Q496" s="264"/>
      <c r="R496" s="264"/>
      <c r="S496" s="264"/>
      <c r="T496" s="264"/>
      <c r="U496" s="264"/>
      <c r="V496" s="264"/>
      <c r="W496" s="264"/>
      <c r="X496" s="264"/>
      <c r="Y496" s="264"/>
      <c r="Z496" s="264"/>
      <c r="AA496" s="264"/>
    </row>
    <row r="497" spans="1:27" ht="15.75" customHeight="1">
      <c r="A497" s="264"/>
      <c r="B497" s="264"/>
      <c r="C497" s="264"/>
      <c r="D497" s="264"/>
      <c r="E497" s="264"/>
      <c r="F497" s="264"/>
      <c r="G497" s="264"/>
      <c r="H497" s="264"/>
      <c r="I497" s="264"/>
      <c r="J497" s="264"/>
      <c r="K497" s="264"/>
      <c r="L497" s="264"/>
      <c r="M497" s="264"/>
      <c r="N497" s="264"/>
      <c r="O497" s="264"/>
      <c r="P497" s="264"/>
      <c r="Q497" s="264"/>
      <c r="R497" s="264"/>
      <c r="S497" s="264"/>
      <c r="T497" s="264"/>
      <c r="U497" s="264"/>
      <c r="V497" s="264"/>
      <c r="W497" s="264"/>
      <c r="X497" s="264"/>
      <c r="Y497" s="264"/>
      <c r="Z497" s="264"/>
      <c r="AA497" s="264"/>
    </row>
    <row r="498" spans="1:27" ht="15.75" customHeight="1">
      <c r="A498" s="264"/>
      <c r="B498" s="264"/>
      <c r="C498" s="264"/>
      <c r="D498" s="264"/>
      <c r="E498" s="264"/>
      <c r="F498" s="264"/>
      <c r="G498" s="264"/>
      <c r="H498" s="264"/>
      <c r="I498" s="264"/>
      <c r="J498" s="264"/>
      <c r="K498" s="264"/>
      <c r="L498" s="264"/>
      <c r="M498" s="264"/>
      <c r="N498" s="264"/>
      <c r="O498" s="264"/>
      <c r="P498" s="264"/>
      <c r="Q498" s="264"/>
      <c r="R498" s="264"/>
      <c r="S498" s="264"/>
      <c r="T498" s="264"/>
      <c r="U498" s="264"/>
      <c r="V498" s="264"/>
      <c r="W498" s="264"/>
      <c r="X498" s="264"/>
      <c r="Y498" s="264"/>
      <c r="Z498" s="264"/>
      <c r="AA498" s="264"/>
    </row>
    <row r="499" spans="1:27" ht="15.75" customHeight="1">
      <c r="A499" s="264"/>
      <c r="B499" s="264"/>
      <c r="C499" s="264"/>
      <c r="D499" s="264"/>
      <c r="E499" s="264"/>
      <c r="F499" s="264"/>
      <c r="G499" s="264"/>
      <c r="H499" s="264"/>
      <c r="I499" s="264"/>
      <c r="J499" s="264"/>
      <c r="K499" s="264"/>
      <c r="L499" s="264"/>
      <c r="M499" s="264"/>
      <c r="N499" s="264"/>
      <c r="O499" s="264"/>
      <c r="P499" s="264"/>
      <c r="Q499" s="264"/>
      <c r="R499" s="264"/>
      <c r="S499" s="264"/>
      <c r="T499" s="264"/>
      <c r="U499" s="264"/>
      <c r="V499" s="264"/>
      <c r="W499" s="264"/>
      <c r="X499" s="264"/>
      <c r="Y499" s="264"/>
      <c r="Z499" s="264"/>
      <c r="AA499" s="264"/>
    </row>
    <row r="500" spans="1:27" ht="15.75" customHeight="1">
      <c r="A500" s="264"/>
      <c r="B500" s="264"/>
      <c r="C500" s="264"/>
      <c r="D500" s="264"/>
      <c r="E500" s="264"/>
      <c r="F500" s="264"/>
      <c r="G500" s="264"/>
      <c r="H500" s="264"/>
      <c r="I500" s="264"/>
      <c r="J500" s="264"/>
      <c r="K500" s="264"/>
      <c r="L500" s="264"/>
      <c r="M500" s="264"/>
      <c r="N500" s="264"/>
      <c r="O500" s="264"/>
      <c r="P500" s="264"/>
      <c r="Q500" s="264"/>
      <c r="R500" s="264"/>
      <c r="S500" s="264"/>
      <c r="T500" s="264"/>
      <c r="U500" s="264"/>
      <c r="V500" s="264"/>
      <c r="W500" s="264"/>
      <c r="X500" s="264"/>
      <c r="Y500" s="264"/>
      <c r="Z500" s="264"/>
      <c r="AA500" s="264"/>
    </row>
    <row r="501" spans="1:27" ht="15.75" customHeight="1">
      <c r="A501" s="264"/>
      <c r="B501" s="264"/>
      <c r="C501" s="264"/>
      <c r="D501" s="264"/>
      <c r="E501" s="264"/>
      <c r="F501" s="264"/>
      <c r="G501" s="264"/>
      <c r="H501" s="264"/>
      <c r="I501" s="264"/>
      <c r="J501" s="264"/>
      <c r="K501" s="264"/>
      <c r="L501" s="264"/>
      <c r="M501" s="264"/>
      <c r="N501" s="264"/>
      <c r="O501" s="264"/>
      <c r="P501" s="264"/>
      <c r="Q501" s="264"/>
      <c r="R501" s="264"/>
      <c r="S501" s="264"/>
      <c r="T501" s="264"/>
      <c r="U501" s="264"/>
      <c r="V501" s="264"/>
      <c r="W501" s="264"/>
      <c r="X501" s="264"/>
      <c r="Y501" s="264"/>
      <c r="Z501" s="264"/>
      <c r="AA501" s="264"/>
    </row>
    <row r="502" spans="1:27" ht="15.75" customHeight="1">
      <c r="A502" s="264"/>
      <c r="B502" s="264"/>
      <c r="C502" s="264"/>
      <c r="D502" s="264"/>
      <c r="E502" s="264"/>
      <c r="F502" s="264"/>
      <c r="G502" s="264"/>
      <c r="H502" s="264"/>
      <c r="I502" s="264"/>
      <c r="J502" s="264"/>
      <c r="K502" s="264"/>
      <c r="L502" s="264"/>
      <c r="M502" s="264"/>
      <c r="N502" s="264"/>
      <c r="O502" s="264"/>
      <c r="P502" s="264"/>
      <c r="Q502" s="264"/>
      <c r="R502" s="264"/>
      <c r="S502" s="264"/>
      <c r="T502" s="264"/>
      <c r="U502" s="264"/>
      <c r="V502" s="264"/>
      <c r="W502" s="264"/>
      <c r="X502" s="264"/>
      <c r="Y502" s="264"/>
      <c r="Z502" s="264"/>
      <c r="AA502" s="264"/>
    </row>
    <row r="503" spans="1:27" ht="15.75" customHeight="1">
      <c r="A503" s="264"/>
      <c r="B503" s="264"/>
      <c r="C503" s="264"/>
      <c r="D503" s="264"/>
      <c r="E503" s="264"/>
      <c r="F503" s="264"/>
      <c r="G503" s="264"/>
      <c r="H503" s="264"/>
      <c r="I503" s="264"/>
      <c r="J503" s="264"/>
      <c r="K503" s="264"/>
      <c r="L503" s="264"/>
      <c r="M503" s="264"/>
      <c r="N503" s="264"/>
      <c r="O503" s="264"/>
      <c r="P503" s="264"/>
      <c r="Q503" s="264"/>
      <c r="R503" s="264"/>
      <c r="S503" s="264"/>
      <c r="T503" s="264"/>
      <c r="U503" s="264"/>
      <c r="V503" s="264"/>
      <c r="W503" s="264"/>
      <c r="X503" s="264"/>
      <c r="Y503" s="264"/>
      <c r="Z503" s="264"/>
      <c r="AA503" s="264"/>
    </row>
    <row r="504" spans="1:27" ht="15.75" customHeight="1">
      <c r="A504" s="264"/>
      <c r="B504" s="264"/>
      <c r="C504" s="264"/>
      <c r="D504" s="264"/>
      <c r="E504" s="264"/>
      <c r="F504" s="264"/>
      <c r="G504" s="264"/>
      <c r="H504" s="264"/>
      <c r="I504" s="264"/>
      <c r="J504" s="264"/>
      <c r="K504" s="264"/>
      <c r="L504" s="264"/>
      <c r="M504" s="264"/>
      <c r="N504" s="264"/>
      <c r="O504" s="264"/>
      <c r="P504" s="264"/>
      <c r="Q504" s="264"/>
      <c r="R504" s="264"/>
      <c r="S504" s="264"/>
      <c r="T504" s="264"/>
      <c r="U504" s="264"/>
      <c r="V504" s="264"/>
      <c r="W504" s="264"/>
      <c r="X504" s="264"/>
      <c r="Y504" s="264"/>
      <c r="Z504" s="264"/>
      <c r="AA504" s="264"/>
    </row>
    <row r="505" spans="1:27" ht="15.75" customHeight="1">
      <c r="A505" s="264"/>
      <c r="B505" s="264"/>
      <c r="C505" s="264"/>
      <c r="D505" s="264"/>
      <c r="E505" s="264"/>
      <c r="F505" s="264"/>
      <c r="G505" s="264"/>
      <c r="H505" s="264"/>
      <c r="I505" s="264"/>
      <c r="J505" s="264"/>
      <c r="K505" s="264"/>
      <c r="L505" s="264"/>
      <c r="M505" s="264"/>
      <c r="N505" s="264"/>
      <c r="O505" s="264"/>
      <c r="P505" s="264"/>
      <c r="Q505" s="264"/>
      <c r="R505" s="264"/>
      <c r="S505" s="264"/>
      <c r="T505" s="264"/>
      <c r="U505" s="264"/>
      <c r="V505" s="264"/>
      <c r="W505" s="264"/>
      <c r="X505" s="264"/>
      <c r="Y505" s="264"/>
      <c r="Z505" s="264"/>
      <c r="AA505" s="264"/>
    </row>
    <row r="506" spans="1:27" ht="15.75" customHeight="1">
      <c r="A506" s="264"/>
      <c r="B506" s="264"/>
      <c r="C506" s="264"/>
      <c r="D506" s="264"/>
      <c r="E506" s="264"/>
      <c r="F506" s="264"/>
      <c r="G506" s="264"/>
      <c r="H506" s="264"/>
      <c r="I506" s="264"/>
      <c r="J506" s="264"/>
      <c r="K506" s="264"/>
      <c r="L506" s="264"/>
      <c r="M506" s="264"/>
      <c r="N506" s="264"/>
      <c r="O506" s="264"/>
      <c r="P506" s="264"/>
      <c r="Q506" s="264"/>
      <c r="R506" s="264"/>
      <c r="S506" s="264"/>
      <c r="T506" s="264"/>
      <c r="U506" s="264"/>
      <c r="V506" s="264"/>
      <c r="W506" s="264"/>
      <c r="X506" s="264"/>
      <c r="Y506" s="264"/>
      <c r="Z506" s="264"/>
      <c r="AA506" s="264"/>
    </row>
    <row r="507" spans="1:27" ht="15.75" customHeight="1">
      <c r="A507" s="264"/>
      <c r="B507" s="264"/>
      <c r="C507" s="264"/>
      <c r="D507" s="264"/>
      <c r="E507" s="264"/>
      <c r="F507" s="264"/>
      <c r="G507" s="264"/>
      <c r="H507" s="264"/>
      <c r="I507" s="264"/>
      <c r="J507" s="264"/>
      <c r="K507" s="264"/>
      <c r="L507" s="264"/>
      <c r="M507" s="264"/>
      <c r="N507" s="264"/>
      <c r="O507" s="264"/>
      <c r="P507" s="264"/>
      <c r="Q507" s="264"/>
      <c r="R507" s="264"/>
      <c r="S507" s="264"/>
      <c r="T507" s="264"/>
      <c r="U507" s="264"/>
      <c r="V507" s="264"/>
      <c r="W507" s="264"/>
      <c r="X507" s="264"/>
      <c r="Y507" s="264"/>
      <c r="Z507" s="264"/>
      <c r="AA507" s="264"/>
    </row>
    <row r="508" spans="1:27" ht="15.75" customHeight="1">
      <c r="A508" s="264"/>
      <c r="B508" s="264"/>
      <c r="C508" s="264"/>
      <c r="D508" s="264"/>
      <c r="E508" s="264"/>
      <c r="F508" s="264"/>
      <c r="G508" s="264"/>
      <c r="H508" s="264"/>
      <c r="I508" s="264"/>
      <c r="J508" s="264"/>
      <c r="K508" s="264"/>
      <c r="L508" s="264"/>
      <c r="M508" s="264"/>
      <c r="N508" s="264"/>
      <c r="O508" s="264"/>
      <c r="P508" s="264"/>
      <c r="Q508" s="264"/>
      <c r="R508" s="264"/>
      <c r="S508" s="264"/>
      <c r="T508" s="264"/>
      <c r="U508" s="264"/>
      <c r="V508" s="264"/>
      <c r="W508" s="264"/>
      <c r="X508" s="264"/>
      <c r="Y508" s="264"/>
      <c r="Z508" s="264"/>
      <c r="AA508" s="264"/>
    </row>
    <row r="509" spans="1:27" ht="15.75" customHeight="1">
      <c r="A509" s="264"/>
      <c r="B509" s="264"/>
      <c r="C509" s="264"/>
      <c r="D509" s="264"/>
      <c r="E509" s="264"/>
      <c r="F509" s="264"/>
      <c r="G509" s="264"/>
      <c r="H509" s="264"/>
      <c r="I509" s="264"/>
      <c r="J509" s="264"/>
      <c r="K509" s="264"/>
      <c r="L509" s="264"/>
      <c r="M509" s="264"/>
      <c r="N509" s="264"/>
      <c r="O509" s="264"/>
      <c r="P509" s="264"/>
      <c r="Q509" s="264"/>
      <c r="R509" s="264"/>
      <c r="S509" s="264"/>
      <c r="T509" s="264"/>
      <c r="U509" s="264"/>
      <c r="V509" s="264"/>
      <c r="W509" s="264"/>
      <c r="X509" s="264"/>
      <c r="Y509" s="264"/>
      <c r="Z509" s="264"/>
      <c r="AA509" s="264"/>
    </row>
    <row r="510" spans="1:27" ht="15.75" customHeight="1">
      <c r="A510" s="264"/>
      <c r="B510" s="264"/>
      <c r="C510" s="264"/>
      <c r="D510" s="264"/>
      <c r="E510" s="264"/>
      <c r="F510" s="264"/>
      <c r="G510" s="264"/>
      <c r="H510" s="264"/>
      <c r="I510" s="264"/>
      <c r="J510" s="264"/>
      <c r="K510" s="264"/>
      <c r="L510" s="264"/>
      <c r="M510" s="264"/>
      <c r="N510" s="264"/>
      <c r="O510" s="264"/>
      <c r="P510" s="264"/>
      <c r="Q510" s="264"/>
      <c r="R510" s="264"/>
      <c r="S510" s="264"/>
      <c r="T510" s="264"/>
      <c r="U510" s="264"/>
      <c r="V510" s="264"/>
      <c r="W510" s="264"/>
      <c r="X510" s="264"/>
      <c r="Y510" s="264"/>
      <c r="Z510" s="264"/>
      <c r="AA510" s="264"/>
    </row>
    <row r="511" spans="1:27" ht="15.75" customHeight="1">
      <c r="A511" s="264"/>
      <c r="B511" s="264"/>
      <c r="C511" s="264"/>
      <c r="D511" s="264"/>
      <c r="E511" s="264"/>
      <c r="F511" s="264"/>
      <c r="G511" s="264"/>
      <c r="H511" s="264"/>
      <c r="I511" s="264"/>
      <c r="J511" s="264"/>
      <c r="K511" s="264"/>
      <c r="L511" s="264"/>
      <c r="M511" s="264"/>
      <c r="N511" s="264"/>
      <c r="O511" s="264"/>
      <c r="P511" s="264"/>
      <c r="Q511" s="264"/>
      <c r="R511" s="264"/>
      <c r="S511" s="264"/>
      <c r="T511" s="264"/>
      <c r="U511" s="264"/>
      <c r="V511" s="264"/>
      <c r="W511" s="264"/>
      <c r="X511" s="264"/>
      <c r="Y511" s="264"/>
      <c r="Z511" s="264"/>
      <c r="AA511" s="264"/>
    </row>
    <row r="512" spans="1:27" ht="15.75" customHeight="1">
      <c r="A512" s="264"/>
      <c r="B512" s="264"/>
      <c r="C512" s="264"/>
      <c r="D512" s="264"/>
      <c r="E512" s="264"/>
      <c r="F512" s="264"/>
      <c r="G512" s="264"/>
      <c r="H512" s="264"/>
      <c r="I512" s="264"/>
      <c r="J512" s="264"/>
      <c r="K512" s="264"/>
      <c r="L512" s="264"/>
      <c r="M512" s="264"/>
      <c r="N512" s="264"/>
      <c r="O512" s="264"/>
      <c r="P512" s="264"/>
      <c r="Q512" s="264"/>
      <c r="R512" s="264"/>
      <c r="S512" s="264"/>
      <c r="T512" s="264"/>
      <c r="U512" s="264"/>
      <c r="V512" s="264"/>
      <c r="W512" s="264"/>
      <c r="X512" s="264"/>
      <c r="Y512" s="264"/>
      <c r="Z512" s="264"/>
      <c r="AA512" s="264"/>
    </row>
    <row r="513" spans="1:27" ht="15.75" customHeight="1">
      <c r="A513" s="264"/>
      <c r="B513" s="264"/>
      <c r="C513" s="264"/>
      <c r="D513" s="264"/>
      <c r="E513" s="264"/>
      <c r="F513" s="264"/>
      <c r="G513" s="264"/>
      <c r="H513" s="264"/>
      <c r="I513" s="264"/>
      <c r="J513" s="264"/>
      <c r="K513" s="264"/>
      <c r="L513" s="264"/>
      <c r="M513" s="264"/>
      <c r="N513" s="264"/>
      <c r="O513" s="264"/>
      <c r="P513" s="264"/>
      <c r="Q513" s="264"/>
      <c r="R513" s="264"/>
      <c r="S513" s="264"/>
      <c r="T513" s="264"/>
      <c r="U513" s="264"/>
      <c r="V513" s="264"/>
      <c r="W513" s="264"/>
      <c r="X513" s="264"/>
      <c r="Y513" s="264"/>
      <c r="Z513" s="264"/>
      <c r="AA513" s="264"/>
    </row>
    <row r="514" spans="1:27" ht="15.75" customHeight="1">
      <c r="A514" s="264"/>
      <c r="B514" s="264"/>
      <c r="C514" s="264"/>
      <c r="D514" s="264"/>
      <c r="E514" s="264"/>
      <c r="F514" s="264"/>
      <c r="G514" s="264"/>
      <c r="H514" s="264"/>
      <c r="I514" s="264"/>
      <c r="J514" s="264"/>
      <c r="K514" s="264"/>
      <c r="L514" s="264"/>
      <c r="M514" s="264"/>
      <c r="N514" s="264"/>
      <c r="O514" s="264"/>
      <c r="P514" s="264"/>
      <c r="Q514" s="264"/>
      <c r="R514" s="264"/>
      <c r="S514" s="264"/>
      <c r="T514" s="264"/>
      <c r="U514" s="264"/>
      <c r="V514" s="264"/>
      <c r="W514" s="264"/>
      <c r="X514" s="264"/>
      <c r="Y514" s="264"/>
      <c r="Z514" s="264"/>
      <c r="AA514" s="264"/>
    </row>
    <row r="515" spans="1:27" ht="15.75" customHeight="1">
      <c r="A515" s="264"/>
      <c r="B515" s="264"/>
      <c r="C515" s="264"/>
      <c r="D515" s="264"/>
      <c r="E515" s="264"/>
      <c r="F515" s="264"/>
      <c r="G515" s="264"/>
      <c r="H515" s="264"/>
      <c r="I515" s="264"/>
      <c r="J515" s="264"/>
      <c r="K515" s="264"/>
      <c r="L515" s="264"/>
      <c r="M515" s="264"/>
      <c r="N515" s="264"/>
      <c r="O515" s="264"/>
      <c r="P515" s="264"/>
      <c r="Q515" s="264"/>
      <c r="R515" s="264"/>
      <c r="S515" s="264"/>
      <c r="T515" s="264"/>
      <c r="U515" s="264"/>
      <c r="V515" s="264"/>
      <c r="W515" s="264"/>
      <c r="X515" s="264"/>
      <c r="Y515" s="264"/>
      <c r="Z515" s="264"/>
      <c r="AA515" s="264"/>
    </row>
    <row r="516" spans="1:27" ht="15.75" customHeight="1">
      <c r="A516" s="264"/>
      <c r="B516" s="264"/>
      <c r="C516" s="264"/>
      <c r="D516" s="264"/>
      <c r="E516" s="264"/>
      <c r="F516" s="264"/>
      <c r="G516" s="264"/>
      <c r="H516" s="264"/>
      <c r="I516" s="264"/>
      <c r="J516" s="264"/>
      <c r="K516" s="264"/>
      <c r="L516" s="264"/>
      <c r="M516" s="264"/>
      <c r="N516" s="264"/>
      <c r="O516" s="264"/>
      <c r="P516" s="264"/>
      <c r="Q516" s="264"/>
      <c r="R516" s="264"/>
      <c r="S516" s="264"/>
      <c r="T516" s="264"/>
      <c r="U516" s="264"/>
      <c r="V516" s="264"/>
      <c r="W516" s="264"/>
      <c r="X516" s="264"/>
      <c r="Y516" s="264"/>
      <c r="Z516" s="264"/>
      <c r="AA516" s="264"/>
    </row>
    <row r="517" spans="1:27" ht="15.75" customHeight="1">
      <c r="A517" s="264"/>
      <c r="B517" s="264"/>
      <c r="C517" s="264"/>
      <c r="D517" s="264"/>
      <c r="E517" s="264"/>
      <c r="F517" s="264"/>
      <c r="G517" s="264"/>
      <c r="H517" s="264"/>
      <c r="I517" s="264"/>
      <c r="J517" s="264"/>
      <c r="K517" s="264"/>
      <c r="L517" s="264"/>
      <c r="M517" s="264"/>
      <c r="N517" s="264"/>
      <c r="O517" s="264"/>
      <c r="P517" s="264"/>
      <c r="Q517" s="264"/>
      <c r="R517" s="264"/>
      <c r="S517" s="264"/>
      <c r="T517" s="264"/>
      <c r="U517" s="264"/>
      <c r="V517" s="264"/>
      <c r="W517" s="264"/>
      <c r="X517" s="264"/>
      <c r="Y517" s="264"/>
      <c r="Z517" s="264"/>
      <c r="AA517" s="264"/>
    </row>
    <row r="518" spans="1:27" ht="15.75" customHeight="1">
      <c r="A518" s="264"/>
      <c r="B518" s="264"/>
      <c r="C518" s="264"/>
      <c r="D518" s="264"/>
      <c r="E518" s="264"/>
      <c r="F518" s="264"/>
      <c r="G518" s="264"/>
      <c r="H518" s="264"/>
      <c r="I518" s="264"/>
      <c r="J518" s="264"/>
      <c r="K518" s="264"/>
      <c r="L518" s="264"/>
      <c r="M518" s="264"/>
      <c r="N518" s="264"/>
      <c r="O518" s="264"/>
      <c r="P518" s="264"/>
      <c r="Q518" s="264"/>
      <c r="R518" s="264"/>
      <c r="S518" s="264"/>
      <c r="T518" s="264"/>
      <c r="U518" s="264"/>
      <c r="V518" s="264"/>
      <c r="W518" s="264"/>
      <c r="X518" s="264"/>
      <c r="Y518" s="264"/>
      <c r="Z518" s="264"/>
      <c r="AA518" s="264"/>
    </row>
    <row r="519" spans="1:27" ht="15.75" customHeight="1">
      <c r="A519" s="264"/>
      <c r="B519" s="264"/>
      <c r="C519" s="264"/>
      <c r="D519" s="264"/>
      <c r="E519" s="264"/>
      <c r="F519" s="264"/>
      <c r="G519" s="264"/>
      <c r="H519" s="264"/>
      <c r="I519" s="264"/>
      <c r="J519" s="264"/>
      <c r="K519" s="264"/>
      <c r="L519" s="264"/>
      <c r="M519" s="264"/>
      <c r="N519" s="264"/>
      <c r="O519" s="264"/>
      <c r="P519" s="264"/>
      <c r="Q519" s="264"/>
      <c r="R519" s="264"/>
      <c r="S519" s="264"/>
      <c r="T519" s="264"/>
      <c r="U519" s="264"/>
      <c r="V519" s="264"/>
      <c r="W519" s="264"/>
      <c r="X519" s="264"/>
      <c r="Y519" s="264"/>
      <c r="Z519" s="264"/>
      <c r="AA519" s="264"/>
    </row>
    <row r="520" spans="1:27" ht="15.75" customHeight="1">
      <c r="A520" s="264"/>
      <c r="B520" s="264"/>
      <c r="C520" s="264"/>
      <c r="D520" s="264"/>
      <c r="E520" s="264"/>
      <c r="F520" s="264"/>
      <c r="G520" s="264"/>
      <c r="H520" s="264"/>
      <c r="I520" s="264"/>
      <c r="J520" s="264"/>
      <c r="K520" s="264"/>
      <c r="L520" s="264"/>
      <c r="M520" s="264"/>
      <c r="N520" s="264"/>
      <c r="O520" s="264"/>
      <c r="P520" s="264"/>
      <c r="Q520" s="264"/>
      <c r="R520" s="264"/>
      <c r="S520" s="264"/>
      <c r="T520" s="264"/>
      <c r="U520" s="264"/>
      <c r="V520" s="264"/>
      <c r="W520" s="264"/>
      <c r="X520" s="264"/>
      <c r="Y520" s="264"/>
      <c r="Z520" s="264"/>
      <c r="AA520" s="264"/>
    </row>
    <row r="521" spans="1:27" ht="15.75" customHeight="1">
      <c r="A521" s="264"/>
      <c r="B521" s="264"/>
      <c r="C521" s="264"/>
      <c r="D521" s="264"/>
      <c r="E521" s="264"/>
      <c r="F521" s="264"/>
      <c r="G521" s="264"/>
      <c r="H521" s="264"/>
      <c r="I521" s="264"/>
      <c r="J521" s="264"/>
      <c r="K521" s="264"/>
      <c r="L521" s="264"/>
      <c r="M521" s="264"/>
      <c r="N521" s="264"/>
      <c r="O521" s="264"/>
      <c r="P521" s="264"/>
      <c r="Q521" s="264"/>
      <c r="R521" s="264"/>
      <c r="S521" s="264"/>
      <c r="T521" s="264"/>
      <c r="U521" s="264"/>
      <c r="V521" s="264"/>
      <c r="W521" s="264"/>
      <c r="X521" s="264"/>
      <c r="Y521" s="264"/>
      <c r="Z521" s="264"/>
      <c r="AA521" s="264"/>
    </row>
    <row r="522" spans="1:27" ht="15.75" customHeight="1">
      <c r="A522" s="264"/>
      <c r="B522" s="264"/>
      <c r="C522" s="264"/>
      <c r="D522" s="264"/>
      <c r="E522" s="264"/>
      <c r="F522" s="264"/>
      <c r="G522" s="264"/>
      <c r="H522" s="264"/>
      <c r="I522" s="264"/>
      <c r="J522" s="264"/>
      <c r="K522" s="264"/>
      <c r="L522" s="264"/>
      <c r="M522" s="264"/>
      <c r="N522" s="264"/>
      <c r="O522" s="264"/>
      <c r="P522" s="264"/>
      <c r="Q522" s="264"/>
      <c r="R522" s="264"/>
      <c r="S522" s="264"/>
      <c r="T522" s="264"/>
      <c r="U522" s="264"/>
      <c r="V522" s="264"/>
      <c r="W522" s="264"/>
      <c r="X522" s="264"/>
      <c r="Y522" s="264"/>
      <c r="Z522" s="264"/>
      <c r="AA522" s="264"/>
    </row>
    <row r="523" spans="1:27" ht="15.75" customHeight="1">
      <c r="A523" s="264"/>
      <c r="B523" s="264"/>
      <c r="C523" s="264"/>
      <c r="D523" s="264"/>
      <c r="E523" s="264"/>
      <c r="F523" s="264"/>
      <c r="G523" s="264"/>
      <c r="H523" s="264"/>
      <c r="I523" s="264"/>
      <c r="J523" s="264"/>
      <c r="K523" s="264"/>
      <c r="L523" s="264"/>
      <c r="M523" s="264"/>
      <c r="N523" s="264"/>
      <c r="O523" s="264"/>
      <c r="P523" s="264"/>
      <c r="Q523" s="264"/>
      <c r="R523" s="264"/>
      <c r="S523" s="264"/>
      <c r="T523" s="264"/>
      <c r="U523" s="264"/>
      <c r="V523" s="264"/>
      <c r="W523" s="264"/>
      <c r="X523" s="264"/>
      <c r="Y523" s="264"/>
      <c r="Z523" s="264"/>
      <c r="AA523" s="264"/>
    </row>
    <row r="524" spans="1:27" ht="15.75" customHeight="1">
      <c r="A524" s="264"/>
      <c r="B524" s="264"/>
      <c r="C524" s="264"/>
      <c r="D524" s="264"/>
      <c r="E524" s="264"/>
      <c r="F524" s="264"/>
      <c r="G524" s="264"/>
      <c r="H524" s="264"/>
      <c r="I524" s="264"/>
      <c r="J524" s="264"/>
      <c r="K524" s="264"/>
      <c r="L524" s="264"/>
      <c r="M524" s="264"/>
      <c r="N524" s="264"/>
      <c r="O524" s="264"/>
      <c r="P524" s="264"/>
      <c r="Q524" s="264"/>
      <c r="R524" s="264"/>
      <c r="S524" s="264"/>
      <c r="T524" s="264"/>
      <c r="U524" s="264"/>
      <c r="V524" s="264"/>
      <c r="W524" s="264"/>
      <c r="X524" s="264"/>
      <c r="Y524" s="264"/>
      <c r="Z524" s="264"/>
      <c r="AA524" s="264"/>
    </row>
    <row r="525" spans="1:27" ht="15.75" customHeight="1">
      <c r="A525" s="264"/>
      <c r="B525" s="264"/>
      <c r="C525" s="264"/>
      <c r="D525" s="264"/>
      <c r="E525" s="264"/>
      <c r="F525" s="264"/>
      <c r="G525" s="264"/>
      <c r="H525" s="264"/>
      <c r="I525" s="264"/>
      <c r="J525" s="264"/>
      <c r="K525" s="264"/>
      <c r="L525" s="264"/>
      <c r="M525" s="264"/>
      <c r="N525" s="264"/>
      <c r="O525" s="264"/>
      <c r="P525" s="264"/>
      <c r="Q525" s="264"/>
      <c r="R525" s="264"/>
      <c r="S525" s="264"/>
      <c r="T525" s="264"/>
      <c r="U525" s="264"/>
      <c r="V525" s="264"/>
      <c r="W525" s="264"/>
      <c r="X525" s="264"/>
      <c r="Y525" s="264"/>
      <c r="Z525" s="264"/>
      <c r="AA525" s="264"/>
    </row>
    <row r="526" spans="1:27" ht="15.75" customHeight="1">
      <c r="A526" s="264"/>
      <c r="B526" s="264"/>
      <c r="C526" s="264"/>
      <c r="D526" s="264"/>
      <c r="E526" s="264"/>
      <c r="F526" s="264"/>
      <c r="G526" s="264"/>
      <c r="H526" s="264"/>
      <c r="I526" s="264"/>
      <c r="J526" s="264"/>
      <c r="K526" s="264"/>
      <c r="L526" s="264"/>
      <c r="M526" s="264"/>
      <c r="N526" s="264"/>
      <c r="O526" s="264"/>
      <c r="P526" s="264"/>
      <c r="Q526" s="264"/>
      <c r="R526" s="264"/>
      <c r="S526" s="264"/>
      <c r="T526" s="264"/>
      <c r="U526" s="264"/>
      <c r="V526" s="264"/>
      <c r="W526" s="264"/>
      <c r="X526" s="264"/>
      <c r="Y526" s="264"/>
      <c r="Z526" s="264"/>
      <c r="AA526" s="264"/>
    </row>
    <row r="527" spans="1:27" ht="15.75" customHeight="1">
      <c r="A527" s="264"/>
      <c r="B527" s="264"/>
      <c r="C527" s="264"/>
      <c r="D527" s="264"/>
      <c r="E527" s="264"/>
      <c r="F527" s="264"/>
      <c r="G527" s="264"/>
      <c r="H527" s="264"/>
      <c r="I527" s="264"/>
      <c r="J527" s="264"/>
      <c r="K527" s="264"/>
      <c r="L527" s="264"/>
      <c r="M527" s="264"/>
      <c r="N527" s="264"/>
      <c r="O527" s="264"/>
      <c r="P527" s="264"/>
      <c r="Q527" s="264"/>
      <c r="R527" s="264"/>
      <c r="S527" s="264"/>
      <c r="T527" s="264"/>
      <c r="U527" s="264"/>
      <c r="V527" s="264"/>
      <c r="W527" s="264"/>
      <c r="X527" s="264"/>
      <c r="Y527" s="264"/>
      <c r="Z527" s="264"/>
      <c r="AA527" s="264"/>
    </row>
    <row r="528" spans="1:27" ht="15.75" customHeight="1">
      <c r="A528" s="264"/>
      <c r="B528" s="264"/>
      <c r="C528" s="264"/>
      <c r="D528" s="264"/>
      <c r="E528" s="264"/>
      <c r="F528" s="264"/>
      <c r="G528" s="264"/>
      <c r="H528" s="264"/>
      <c r="I528" s="264"/>
      <c r="J528" s="264"/>
      <c r="K528" s="264"/>
      <c r="L528" s="264"/>
      <c r="M528" s="264"/>
      <c r="N528" s="264"/>
      <c r="O528" s="264"/>
      <c r="P528" s="264"/>
      <c r="Q528" s="264"/>
      <c r="R528" s="264"/>
      <c r="S528" s="264"/>
      <c r="T528" s="264"/>
      <c r="U528" s="264"/>
      <c r="V528" s="264"/>
      <c r="W528" s="264"/>
      <c r="X528" s="264"/>
      <c r="Y528" s="264"/>
      <c r="Z528" s="264"/>
      <c r="AA528" s="264"/>
    </row>
    <row r="529" spans="1:27" ht="15.75" customHeight="1">
      <c r="A529" s="264"/>
      <c r="B529" s="264"/>
      <c r="C529" s="264"/>
      <c r="D529" s="264"/>
      <c r="E529" s="264"/>
      <c r="F529" s="264"/>
      <c r="G529" s="264"/>
      <c r="H529" s="264"/>
      <c r="I529" s="264"/>
      <c r="J529" s="264"/>
      <c r="K529" s="264"/>
      <c r="L529" s="264"/>
      <c r="M529" s="264"/>
      <c r="N529" s="264"/>
      <c r="O529" s="264"/>
      <c r="P529" s="264"/>
      <c r="Q529" s="264"/>
      <c r="R529" s="264"/>
      <c r="S529" s="264"/>
      <c r="T529" s="264"/>
      <c r="U529" s="264"/>
      <c r="V529" s="264"/>
      <c r="W529" s="264"/>
      <c r="X529" s="264"/>
      <c r="Y529" s="264"/>
      <c r="Z529" s="264"/>
      <c r="AA529" s="264"/>
    </row>
    <row r="530" spans="1:27" ht="15.75" customHeight="1">
      <c r="A530" s="264"/>
      <c r="B530" s="264"/>
      <c r="C530" s="264"/>
      <c r="D530" s="264"/>
      <c r="E530" s="264"/>
      <c r="F530" s="264"/>
      <c r="G530" s="264"/>
      <c r="H530" s="264"/>
      <c r="I530" s="264"/>
      <c r="J530" s="264"/>
      <c r="K530" s="264"/>
      <c r="L530" s="264"/>
      <c r="M530" s="264"/>
      <c r="N530" s="264"/>
      <c r="O530" s="264"/>
      <c r="P530" s="264"/>
      <c r="Q530" s="264"/>
      <c r="R530" s="264"/>
      <c r="S530" s="264"/>
      <c r="T530" s="264"/>
      <c r="U530" s="264"/>
      <c r="V530" s="264"/>
      <c r="W530" s="264"/>
      <c r="X530" s="264"/>
      <c r="Y530" s="264"/>
      <c r="Z530" s="264"/>
      <c r="AA530" s="264"/>
    </row>
    <row r="531" spans="1:27" ht="15.75" customHeight="1">
      <c r="A531" s="264"/>
      <c r="B531" s="264"/>
      <c r="C531" s="264"/>
      <c r="D531" s="264"/>
      <c r="E531" s="264"/>
      <c r="F531" s="264"/>
      <c r="G531" s="264"/>
      <c r="H531" s="264"/>
      <c r="I531" s="264"/>
      <c r="J531" s="264"/>
      <c r="K531" s="264"/>
      <c r="L531" s="264"/>
      <c r="M531" s="264"/>
      <c r="N531" s="264"/>
      <c r="O531" s="264"/>
      <c r="P531" s="264"/>
      <c r="Q531" s="264"/>
      <c r="R531" s="264"/>
      <c r="S531" s="264"/>
      <c r="T531" s="264"/>
      <c r="U531" s="264"/>
      <c r="V531" s="264"/>
      <c r="W531" s="264"/>
      <c r="X531" s="264"/>
      <c r="Y531" s="264"/>
      <c r="Z531" s="264"/>
      <c r="AA531" s="264"/>
    </row>
    <row r="532" spans="1:27" ht="15.75" customHeight="1">
      <c r="A532" s="264"/>
      <c r="B532" s="264"/>
      <c r="C532" s="264"/>
      <c r="D532" s="264"/>
      <c r="E532" s="264"/>
      <c r="F532" s="264"/>
      <c r="G532" s="264"/>
      <c r="H532" s="264"/>
      <c r="I532" s="264"/>
      <c r="J532" s="264"/>
      <c r="K532" s="264"/>
      <c r="L532" s="264"/>
      <c r="M532" s="264"/>
      <c r="N532" s="264"/>
      <c r="O532" s="264"/>
      <c r="P532" s="264"/>
      <c r="Q532" s="264"/>
      <c r="R532" s="264"/>
      <c r="S532" s="264"/>
      <c r="T532" s="264"/>
      <c r="U532" s="264"/>
      <c r="V532" s="264"/>
      <c r="W532" s="264"/>
      <c r="X532" s="264"/>
      <c r="Y532" s="264"/>
      <c r="Z532" s="264"/>
      <c r="AA532" s="264"/>
    </row>
    <row r="533" spans="1:27" ht="15.75" customHeight="1">
      <c r="A533" s="264"/>
      <c r="B533" s="264"/>
      <c r="C533" s="264"/>
      <c r="D533" s="264"/>
      <c r="E533" s="264"/>
      <c r="F533" s="264"/>
      <c r="G533" s="264"/>
      <c r="H533" s="264"/>
      <c r="I533" s="264"/>
      <c r="J533" s="264"/>
      <c r="K533" s="264"/>
      <c r="L533" s="264"/>
      <c r="M533" s="264"/>
      <c r="N533" s="264"/>
      <c r="O533" s="264"/>
      <c r="P533" s="264"/>
      <c r="Q533" s="264"/>
      <c r="R533" s="264"/>
      <c r="S533" s="264"/>
      <c r="T533" s="264"/>
      <c r="U533" s="264"/>
      <c r="V533" s="264"/>
      <c r="W533" s="264"/>
      <c r="X533" s="264"/>
      <c r="Y533" s="264"/>
      <c r="Z533" s="264"/>
      <c r="AA533" s="264"/>
    </row>
    <row r="534" spans="1:27" ht="15.75" customHeight="1">
      <c r="A534" s="264"/>
      <c r="B534" s="264"/>
      <c r="C534" s="264"/>
      <c r="D534" s="264"/>
      <c r="E534" s="264"/>
      <c r="F534" s="264"/>
      <c r="G534" s="264"/>
      <c r="H534" s="264"/>
      <c r="I534" s="264"/>
      <c r="J534" s="264"/>
      <c r="K534" s="264"/>
      <c r="L534" s="264"/>
      <c r="M534" s="264"/>
      <c r="N534" s="264"/>
      <c r="O534" s="264"/>
      <c r="P534" s="264"/>
      <c r="Q534" s="264"/>
      <c r="R534" s="264"/>
      <c r="S534" s="264"/>
      <c r="T534" s="264"/>
      <c r="U534" s="264"/>
      <c r="V534" s="264"/>
      <c r="W534" s="264"/>
      <c r="X534" s="264"/>
      <c r="Y534" s="264"/>
      <c r="Z534" s="264"/>
      <c r="AA534" s="264"/>
    </row>
    <row r="535" spans="1:27" ht="15.75" customHeight="1">
      <c r="A535" s="264"/>
      <c r="B535" s="264"/>
      <c r="C535" s="264"/>
      <c r="D535" s="264"/>
      <c r="E535" s="264"/>
      <c r="F535" s="264"/>
      <c r="G535" s="264"/>
      <c r="H535" s="264"/>
      <c r="I535" s="264"/>
      <c r="J535" s="264"/>
      <c r="K535" s="264"/>
      <c r="L535" s="264"/>
      <c r="M535" s="264"/>
      <c r="N535" s="264"/>
      <c r="O535" s="264"/>
      <c r="P535" s="264"/>
      <c r="Q535" s="264"/>
      <c r="R535" s="264"/>
      <c r="S535" s="264"/>
      <c r="T535" s="264"/>
      <c r="U535" s="264"/>
      <c r="V535" s="264"/>
      <c r="W535" s="264"/>
      <c r="X535" s="264"/>
      <c r="Y535" s="264"/>
      <c r="Z535" s="264"/>
      <c r="AA535" s="264"/>
    </row>
    <row r="536" spans="1:27" ht="15.75" customHeight="1">
      <c r="A536" s="264"/>
      <c r="B536" s="264"/>
      <c r="C536" s="264"/>
      <c r="D536" s="264"/>
      <c r="E536" s="264"/>
      <c r="F536" s="264"/>
      <c r="G536" s="264"/>
      <c r="H536" s="264"/>
      <c r="I536" s="264"/>
      <c r="J536" s="264"/>
      <c r="K536" s="264"/>
      <c r="L536" s="264"/>
      <c r="M536" s="264"/>
      <c r="N536" s="264"/>
      <c r="O536" s="264"/>
      <c r="P536" s="264"/>
      <c r="Q536" s="264"/>
      <c r="R536" s="264"/>
      <c r="S536" s="264"/>
      <c r="T536" s="264"/>
      <c r="U536" s="264"/>
      <c r="V536" s="264"/>
      <c r="W536" s="264"/>
      <c r="X536" s="264"/>
      <c r="Y536" s="264"/>
      <c r="Z536" s="264"/>
      <c r="AA536" s="264"/>
    </row>
    <row r="537" spans="1:27" ht="15.75" customHeight="1">
      <c r="A537" s="264"/>
      <c r="B537" s="264"/>
      <c r="C537" s="264"/>
      <c r="D537" s="264"/>
      <c r="E537" s="264"/>
      <c r="F537" s="264"/>
      <c r="G537" s="264"/>
      <c r="H537" s="264"/>
      <c r="I537" s="264"/>
      <c r="J537" s="264"/>
      <c r="K537" s="264"/>
      <c r="L537" s="264"/>
      <c r="M537" s="264"/>
      <c r="N537" s="264"/>
      <c r="O537" s="264"/>
      <c r="P537" s="264"/>
      <c r="Q537" s="264"/>
      <c r="R537" s="264"/>
      <c r="S537" s="264"/>
      <c r="T537" s="264"/>
      <c r="U537" s="264"/>
      <c r="V537" s="264"/>
      <c r="W537" s="264"/>
      <c r="X537" s="264"/>
      <c r="Y537" s="264"/>
      <c r="Z537" s="264"/>
      <c r="AA537" s="264"/>
    </row>
    <row r="538" spans="1:27" ht="15.75" customHeight="1">
      <c r="A538" s="264"/>
      <c r="B538" s="264"/>
      <c r="C538" s="264"/>
      <c r="D538" s="264"/>
      <c r="E538" s="264"/>
      <c r="F538" s="264"/>
      <c r="G538" s="264"/>
      <c r="H538" s="264"/>
      <c r="I538" s="264"/>
      <c r="J538" s="264"/>
      <c r="K538" s="264"/>
      <c r="L538" s="264"/>
      <c r="M538" s="264"/>
      <c r="N538" s="264"/>
      <c r="O538" s="264"/>
      <c r="P538" s="264"/>
      <c r="Q538" s="264"/>
      <c r="R538" s="264"/>
      <c r="S538" s="264"/>
      <c r="T538" s="264"/>
      <c r="U538" s="264"/>
      <c r="V538" s="264"/>
      <c r="W538" s="264"/>
      <c r="X538" s="264"/>
      <c r="Y538" s="264"/>
      <c r="Z538" s="264"/>
      <c r="AA538" s="264"/>
    </row>
    <row r="539" spans="1:27" ht="15.75" customHeight="1">
      <c r="A539" s="264"/>
      <c r="B539" s="264"/>
      <c r="C539" s="264"/>
      <c r="D539" s="264"/>
      <c r="E539" s="264"/>
      <c r="F539" s="264"/>
      <c r="G539" s="264"/>
      <c r="H539" s="264"/>
      <c r="I539" s="264"/>
      <c r="J539" s="264"/>
      <c r="K539" s="264"/>
      <c r="L539" s="264"/>
      <c r="M539" s="264"/>
      <c r="N539" s="264"/>
      <c r="O539" s="264"/>
      <c r="P539" s="264"/>
      <c r="Q539" s="264"/>
      <c r="R539" s="264"/>
      <c r="S539" s="264"/>
      <c r="T539" s="264"/>
      <c r="U539" s="264"/>
      <c r="V539" s="264"/>
      <c r="W539" s="264"/>
      <c r="X539" s="264"/>
      <c r="Y539" s="264"/>
      <c r="Z539" s="264"/>
      <c r="AA539" s="264"/>
    </row>
    <row r="540" spans="1:27" ht="15.75" customHeight="1">
      <c r="A540" s="264"/>
      <c r="B540" s="264"/>
      <c r="C540" s="264"/>
      <c r="D540" s="264"/>
      <c r="E540" s="264"/>
      <c r="F540" s="264"/>
      <c r="G540" s="264"/>
      <c r="H540" s="264"/>
      <c r="I540" s="264"/>
      <c r="J540" s="264"/>
      <c r="K540" s="264"/>
      <c r="L540" s="264"/>
      <c r="M540" s="264"/>
      <c r="N540" s="264"/>
      <c r="O540" s="264"/>
      <c r="P540" s="264"/>
      <c r="Q540" s="264"/>
      <c r="R540" s="264"/>
      <c r="S540" s="264"/>
      <c r="T540" s="264"/>
      <c r="U540" s="264"/>
      <c r="V540" s="264"/>
      <c r="W540" s="264"/>
      <c r="X540" s="264"/>
      <c r="Y540" s="264"/>
      <c r="Z540" s="264"/>
      <c r="AA540" s="264"/>
    </row>
    <row r="541" spans="1:27" ht="15.75" customHeight="1">
      <c r="A541" s="264"/>
      <c r="B541" s="264"/>
      <c r="C541" s="264"/>
      <c r="D541" s="264"/>
      <c r="E541" s="264"/>
      <c r="F541" s="264"/>
      <c r="G541" s="264"/>
      <c r="H541" s="264"/>
      <c r="I541" s="264"/>
      <c r="J541" s="264"/>
      <c r="K541" s="264"/>
      <c r="L541" s="264"/>
      <c r="M541" s="264"/>
      <c r="N541" s="264"/>
      <c r="O541" s="264"/>
      <c r="P541" s="264"/>
      <c r="Q541" s="264"/>
      <c r="R541" s="264"/>
      <c r="S541" s="264"/>
      <c r="T541" s="264"/>
      <c r="U541" s="264"/>
      <c r="V541" s="264"/>
      <c r="W541" s="264"/>
      <c r="X541" s="264"/>
      <c r="Y541" s="264"/>
      <c r="Z541" s="264"/>
      <c r="AA541" s="264"/>
    </row>
    <row r="542" spans="1:27" ht="15.75" customHeight="1">
      <c r="A542" s="264"/>
      <c r="B542" s="264"/>
      <c r="C542" s="264"/>
      <c r="D542" s="264"/>
      <c r="E542" s="264"/>
      <c r="F542" s="264"/>
      <c r="G542" s="264"/>
      <c r="H542" s="264"/>
      <c r="I542" s="264"/>
      <c r="J542" s="264"/>
      <c r="K542" s="264"/>
      <c r="L542" s="264"/>
      <c r="M542" s="264"/>
      <c r="N542" s="264"/>
      <c r="O542" s="264"/>
      <c r="P542" s="264"/>
      <c r="Q542" s="264"/>
      <c r="R542" s="264"/>
      <c r="S542" s="264"/>
      <c r="T542" s="264"/>
      <c r="U542" s="264"/>
      <c r="V542" s="264"/>
      <c r="W542" s="264"/>
      <c r="X542" s="264"/>
      <c r="Y542" s="264"/>
      <c r="Z542" s="264"/>
      <c r="AA542" s="264"/>
    </row>
    <row r="543" spans="1:27" ht="15.75" customHeight="1">
      <c r="A543" s="264"/>
      <c r="B543" s="264"/>
      <c r="C543" s="264"/>
      <c r="D543" s="264"/>
      <c r="E543" s="264"/>
      <c r="F543" s="264"/>
      <c r="G543" s="264"/>
      <c r="H543" s="264"/>
      <c r="I543" s="264"/>
      <c r="J543" s="264"/>
      <c r="K543" s="264"/>
      <c r="L543" s="264"/>
      <c r="M543" s="264"/>
      <c r="N543" s="264"/>
      <c r="O543" s="264"/>
      <c r="P543" s="264"/>
      <c r="Q543" s="264"/>
      <c r="R543" s="264"/>
      <c r="S543" s="264"/>
      <c r="T543" s="264"/>
      <c r="U543" s="264"/>
      <c r="V543" s="264"/>
      <c r="W543" s="264"/>
      <c r="X543" s="264"/>
      <c r="Y543" s="264"/>
      <c r="Z543" s="264"/>
      <c r="AA543" s="264"/>
    </row>
    <row r="544" spans="1:27" ht="15.75" customHeight="1">
      <c r="A544" s="264"/>
      <c r="B544" s="264"/>
      <c r="C544" s="264"/>
      <c r="D544" s="264"/>
      <c r="E544" s="264"/>
      <c r="F544" s="264"/>
      <c r="G544" s="264"/>
      <c r="H544" s="264"/>
      <c r="I544" s="264"/>
      <c r="J544" s="264"/>
      <c r="K544" s="264"/>
      <c r="L544" s="264"/>
      <c r="M544" s="264"/>
      <c r="N544" s="264"/>
      <c r="O544" s="264"/>
      <c r="P544" s="264"/>
      <c r="Q544" s="264"/>
      <c r="R544" s="264"/>
      <c r="S544" s="264"/>
      <c r="T544" s="264"/>
      <c r="U544" s="264"/>
      <c r="V544" s="264"/>
      <c r="W544" s="264"/>
      <c r="X544" s="264"/>
      <c r="Y544" s="264"/>
      <c r="Z544" s="264"/>
      <c r="AA544" s="264"/>
    </row>
    <row r="545" spans="1:27" ht="15.75" customHeight="1">
      <c r="A545" s="264"/>
      <c r="B545" s="264"/>
      <c r="C545" s="264"/>
      <c r="D545" s="264"/>
      <c r="E545" s="264"/>
      <c r="F545" s="264"/>
      <c r="G545" s="264"/>
      <c r="H545" s="264"/>
      <c r="I545" s="264"/>
      <c r="J545" s="264"/>
      <c r="K545" s="264"/>
      <c r="L545" s="264"/>
      <c r="M545" s="264"/>
      <c r="N545" s="264"/>
      <c r="O545" s="264"/>
      <c r="P545" s="264"/>
      <c r="Q545" s="264"/>
      <c r="R545" s="264"/>
      <c r="S545" s="264"/>
      <c r="T545" s="264"/>
      <c r="U545" s="264"/>
      <c r="V545" s="264"/>
      <c r="W545" s="264"/>
      <c r="X545" s="264"/>
      <c r="Y545" s="264"/>
      <c r="Z545" s="264"/>
      <c r="AA545" s="264"/>
    </row>
    <row r="546" spans="1:27" ht="15.75" customHeight="1">
      <c r="A546" s="264"/>
      <c r="B546" s="264"/>
      <c r="C546" s="264"/>
      <c r="D546" s="264"/>
      <c r="E546" s="264"/>
      <c r="F546" s="264"/>
      <c r="G546" s="264"/>
      <c r="H546" s="264"/>
      <c r="I546" s="264"/>
      <c r="J546" s="264"/>
      <c r="K546" s="264"/>
      <c r="L546" s="264"/>
      <c r="M546" s="264"/>
      <c r="N546" s="264"/>
      <c r="O546" s="264"/>
      <c r="P546" s="264"/>
      <c r="Q546" s="264"/>
      <c r="R546" s="264"/>
      <c r="S546" s="264"/>
      <c r="T546" s="264"/>
      <c r="U546" s="264"/>
      <c r="V546" s="264"/>
      <c r="W546" s="264"/>
      <c r="X546" s="264"/>
      <c r="Y546" s="264"/>
      <c r="Z546" s="264"/>
      <c r="AA546" s="264"/>
    </row>
    <row r="547" spans="1:27" ht="15.75" customHeight="1">
      <c r="A547" s="264"/>
      <c r="B547" s="264"/>
      <c r="C547" s="264"/>
      <c r="D547" s="264"/>
      <c r="E547" s="264"/>
      <c r="F547" s="264"/>
      <c r="G547" s="264"/>
      <c r="H547" s="264"/>
      <c r="I547" s="264"/>
      <c r="J547" s="264"/>
      <c r="K547" s="264"/>
      <c r="L547" s="264"/>
      <c r="M547" s="264"/>
      <c r="N547" s="264"/>
      <c r="O547" s="264"/>
      <c r="P547" s="264"/>
      <c r="Q547" s="264"/>
      <c r="R547" s="264"/>
      <c r="S547" s="264"/>
      <c r="T547" s="264"/>
      <c r="U547" s="264"/>
      <c r="V547" s="264"/>
      <c r="W547" s="264"/>
      <c r="X547" s="264"/>
      <c r="Y547" s="264"/>
      <c r="Z547" s="264"/>
      <c r="AA547" s="264"/>
    </row>
    <row r="548" spans="1:27" ht="15.75" customHeight="1">
      <c r="A548" s="264"/>
      <c r="B548" s="264"/>
      <c r="C548" s="264"/>
      <c r="D548" s="264"/>
      <c r="E548" s="264"/>
      <c r="F548" s="264"/>
      <c r="G548" s="264"/>
      <c r="H548" s="264"/>
      <c r="I548" s="264"/>
      <c r="J548" s="264"/>
      <c r="K548" s="264"/>
      <c r="L548" s="264"/>
      <c r="M548" s="264"/>
      <c r="N548" s="264"/>
      <c r="O548" s="264"/>
      <c r="P548" s="264"/>
      <c r="Q548" s="264"/>
      <c r="R548" s="264"/>
      <c r="S548" s="264"/>
      <c r="T548" s="264"/>
      <c r="U548" s="264"/>
      <c r="V548" s="264"/>
      <c r="W548" s="264"/>
      <c r="X548" s="264"/>
      <c r="Y548" s="264"/>
      <c r="Z548" s="264"/>
      <c r="AA548" s="264"/>
    </row>
    <row r="549" spans="1:27" ht="15.75" customHeight="1">
      <c r="A549" s="264"/>
      <c r="B549" s="264"/>
      <c r="C549" s="264"/>
      <c r="D549" s="264"/>
      <c r="E549" s="264"/>
      <c r="F549" s="264"/>
      <c r="G549" s="264"/>
      <c r="H549" s="264"/>
      <c r="I549" s="264"/>
      <c r="J549" s="264"/>
      <c r="K549" s="264"/>
      <c r="L549" s="264"/>
      <c r="M549" s="264"/>
      <c r="N549" s="264"/>
      <c r="O549" s="264"/>
      <c r="P549" s="264"/>
      <c r="Q549" s="264"/>
      <c r="R549" s="264"/>
      <c r="S549" s="264"/>
      <c r="T549" s="264"/>
      <c r="U549" s="264"/>
      <c r="V549" s="264"/>
      <c r="W549" s="264"/>
      <c r="X549" s="264"/>
      <c r="Y549" s="264"/>
      <c r="Z549" s="264"/>
      <c r="AA549" s="264"/>
    </row>
    <row r="550" spans="1:27" ht="15.75" customHeight="1">
      <c r="A550" s="264"/>
      <c r="B550" s="264"/>
      <c r="C550" s="264"/>
      <c r="D550" s="264"/>
      <c r="E550" s="264"/>
      <c r="F550" s="264"/>
      <c r="G550" s="264"/>
      <c r="H550" s="264"/>
      <c r="I550" s="264"/>
      <c r="J550" s="264"/>
      <c r="K550" s="264"/>
      <c r="L550" s="264"/>
      <c r="M550" s="264"/>
      <c r="N550" s="264"/>
      <c r="O550" s="264"/>
      <c r="P550" s="264"/>
      <c r="Q550" s="264"/>
      <c r="R550" s="264"/>
      <c r="S550" s="264"/>
      <c r="T550" s="264"/>
      <c r="U550" s="264"/>
      <c r="V550" s="264"/>
      <c r="W550" s="264"/>
      <c r="X550" s="264"/>
      <c r="Y550" s="264"/>
      <c r="Z550" s="264"/>
      <c r="AA550" s="264"/>
    </row>
    <row r="551" spans="1:27" ht="15.75" customHeight="1">
      <c r="A551" s="264"/>
      <c r="B551" s="264"/>
      <c r="C551" s="264"/>
      <c r="D551" s="264"/>
      <c r="E551" s="264"/>
      <c r="F551" s="264"/>
      <c r="G551" s="264"/>
      <c r="H551" s="264"/>
      <c r="I551" s="264"/>
      <c r="J551" s="264"/>
      <c r="K551" s="264"/>
      <c r="L551" s="264"/>
      <c r="M551" s="264"/>
      <c r="N551" s="264"/>
      <c r="O551" s="264"/>
      <c r="P551" s="264"/>
      <c r="Q551" s="264"/>
      <c r="R551" s="264"/>
      <c r="S551" s="264"/>
      <c r="T551" s="264"/>
      <c r="U551" s="264"/>
      <c r="V551" s="264"/>
      <c r="W551" s="264"/>
      <c r="X551" s="264"/>
      <c r="Y551" s="264"/>
      <c r="Z551" s="264"/>
      <c r="AA551" s="264"/>
    </row>
    <row r="552" spans="1:27" ht="15.75" customHeight="1">
      <c r="A552" s="264"/>
      <c r="B552" s="264"/>
      <c r="C552" s="264"/>
      <c r="D552" s="264"/>
      <c r="E552" s="264"/>
      <c r="F552" s="264"/>
      <c r="G552" s="264"/>
      <c r="H552" s="264"/>
      <c r="I552" s="264"/>
      <c r="J552" s="264"/>
      <c r="K552" s="264"/>
      <c r="L552" s="264"/>
      <c r="M552" s="264"/>
      <c r="N552" s="264"/>
      <c r="O552" s="264"/>
      <c r="P552" s="264"/>
      <c r="Q552" s="264"/>
      <c r="R552" s="264"/>
      <c r="S552" s="264"/>
      <c r="T552" s="264"/>
      <c r="U552" s="264"/>
      <c r="V552" s="264"/>
      <c r="W552" s="264"/>
      <c r="X552" s="264"/>
      <c r="Y552" s="264"/>
      <c r="Z552" s="264"/>
      <c r="AA552" s="264"/>
    </row>
    <row r="553" spans="1:27" ht="15.75" customHeight="1">
      <c r="A553" s="264"/>
      <c r="B553" s="264"/>
      <c r="C553" s="264"/>
      <c r="D553" s="264"/>
      <c r="E553" s="264"/>
      <c r="F553" s="264"/>
      <c r="G553" s="264"/>
      <c r="H553" s="264"/>
      <c r="I553" s="264"/>
      <c r="J553" s="264"/>
      <c r="K553" s="264"/>
      <c r="L553" s="264"/>
      <c r="M553" s="264"/>
      <c r="N553" s="264"/>
      <c r="O553" s="264"/>
      <c r="P553" s="264"/>
      <c r="Q553" s="264"/>
      <c r="R553" s="264"/>
      <c r="S553" s="264"/>
      <c r="T553" s="264"/>
      <c r="U553" s="264"/>
      <c r="V553" s="264"/>
      <c r="W553" s="264"/>
      <c r="X553" s="264"/>
      <c r="Y553" s="264"/>
      <c r="Z553" s="264"/>
      <c r="AA553" s="264"/>
    </row>
    <row r="554" spans="1:27" ht="15.75" customHeight="1">
      <c r="A554" s="264"/>
      <c r="B554" s="264"/>
      <c r="C554" s="264"/>
      <c r="D554" s="264"/>
      <c r="E554" s="264"/>
      <c r="F554" s="264"/>
      <c r="G554" s="264"/>
      <c r="H554" s="264"/>
      <c r="I554" s="264"/>
      <c r="J554" s="264"/>
      <c r="K554" s="264"/>
      <c r="L554" s="264"/>
      <c r="M554" s="264"/>
      <c r="N554" s="264"/>
      <c r="O554" s="264"/>
      <c r="P554" s="264"/>
      <c r="Q554" s="264"/>
      <c r="R554" s="264"/>
      <c r="S554" s="264"/>
      <c r="T554" s="264"/>
      <c r="U554" s="264"/>
      <c r="V554" s="264"/>
      <c r="W554" s="264"/>
      <c r="X554" s="264"/>
      <c r="Y554" s="264"/>
      <c r="Z554" s="264"/>
      <c r="AA554" s="264"/>
    </row>
    <row r="555" spans="1:27" ht="15.75" customHeight="1">
      <c r="A555" s="264"/>
      <c r="B555" s="264"/>
      <c r="C555" s="264"/>
      <c r="D555" s="264"/>
      <c r="E555" s="264"/>
      <c r="F555" s="264"/>
      <c r="G555" s="264"/>
      <c r="H555" s="264"/>
      <c r="I555" s="264"/>
      <c r="J555" s="264"/>
      <c r="K555" s="264"/>
      <c r="L555" s="264"/>
      <c r="M555" s="264"/>
      <c r="N555" s="264"/>
      <c r="O555" s="264"/>
      <c r="P555" s="264"/>
      <c r="Q555" s="264"/>
      <c r="R555" s="264"/>
      <c r="S555" s="264"/>
      <c r="T555" s="264"/>
      <c r="U555" s="264"/>
      <c r="V555" s="264"/>
      <c r="W555" s="264"/>
      <c r="X555" s="264"/>
      <c r="Y555" s="264"/>
      <c r="Z555" s="264"/>
      <c r="AA555" s="264"/>
    </row>
    <row r="556" spans="1:27" ht="15.75" customHeight="1">
      <c r="A556" s="264"/>
      <c r="B556" s="264"/>
      <c r="C556" s="264"/>
      <c r="D556" s="264"/>
      <c r="E556" s="264"/>
      <c r="F556" s="264"/>
      <c r="G556" s="264"/>
      <c r="H556" s="264"/>
      <c r="I556" s="264"/>
      <c r="J556" s="264"/>
      <c r="K556" s="264"/>
      <c r="L556" s="264"/>
      <c r="M556" s="264"/>
      <c r="N556" s="264"/>
      <c r="O556" s="264"/>
      <c r="P556" s="264"/>
      <c r="Q556" s="264"/>
      <c r="R556" s="264"/>
      <c r="S556" s="264"/>
      <c r="T556" s="264"/>
      <c r="U556" s="264"/>
      <c r="V556" s="264"/>
      <c r="W556" s="264"/>
      <c r="X556" s="264"/>
      <c r="Y556" s="264"/>
      <c r="Z556" s="264"/>
      <c r="AA556" s="264"/>
    </row>
    <row r="557" spans="1:27" ht="15.75" customHeight="1">
      <c r="A557" s="264"/>
      <c r="B557" s="264"/>
      <c r="C557" s="264"/>
      <c r="D557" s="264"/>
      <c r="E557" s="264"/>
      <c r="F557" s="264"/>
      <c r="G557" s="264"/>
      <c r="H557" s="264"/>
      <c r="I557" s="264"/>
      <c r="J557" s="264"/>
      <c r="K557" s="264"/>
      <c r="L557" s="264"/>
      <c r="M557" s="264"/>
      <c r="N557" s="264"/>
      <c r="O557" s="264"/>
      <c r="P557" s="264"/>
      <c r="Q557" s="264"/>
      <c r="R557" s="264"/>
      <c r="S557" s="264"/>
      <c r="T557" s="264"/>
      <c r="U557" s="264"/>
      <c r="V557" s="264"/>
      <c r="W557" s="264"/>
      <c r="X557" s="264"/>
      <c r="Y557" s="264"/>
      <c r="Z557" s="264"/>
      <c r="AA557" s="264"/>
    </row>
    <row r="558" spans="1:27" ht="15.75" customHeight="1">
      <c r="A558" s="264"/>
      <c r="B558" s="264"/>
      <c r="C558" s="264"/>
      <c r="D558" s="264"/>
      <c r="E558" s="264"/>
      <c r="F558" s="264"/>
      <c r="G558" s="264"/>
      <c r="H558" s="264"/>
      <c r="I558" s="264"/>
      <c r="J558" s="264"/>
      <c r="K558" s="264"/>
      <c r="L558" s="264"/>
      <c r="M558" s="264"/>
      <c r="N558" s="264"/>
      <c r="O558" s="264"/>
      <c r="P558" s="264"/>
      <c r="Q558" s="264"/>
      <c r="R558" s="264"/>
      <c r="S558" s="264"/>
      <c r="T558" s="264"/>
      <c r="U558" s="264"/>
      <c r="V558" s="264"/>
      <c r="W558" s="264"/>
      <c r="X558" s="264"/>
      <c r="Y558" s="264"/>
      <c r="Z558" s="264"/>
      <c r="AA558" s="264"/>
    </row>
    <row r="559" spans="1:27" ht="15.75" customHeight="1">
      <c r="A559" s="264"/>
      <c r="B559" s="264"/>
      <c r="C559" s="264"/>
      <c r="D559" s="264"/>
      <c r="E559" s="264"/>
      <c r="F559" s="264"/>
      <c r="G559" s="264"/>
      <c r="H559" s="264"/>
      <c r="I559" s="264"/>
      <c r="J559" s="264"/>
      <c r="K559" s="264"/>
      <c r="L559" s="264"/>
      <c r="M559" s="264"/>
      <c r="N559" s="264"/>
      <c r="O559" s="264"/>
      <c r="P559" s="264"/>
      <c r="Q559" s="264"/>
      <c r="R559" s="264"/>
      <c r="S559" s="264"/>
      <c r="T559" s="264"/>
      <c r="U559" s="264"/>
      <c r="V559" s="264"/>
      <c r="W559" s="264"/>
      <c r="X559" s="264"/>
      <c r="Y559" s="264"/>
      <c r="Z559" s="264"/>
      <c r="AA559" s="264"/>
    </row>
    <row r="560" spans="1:27" ht="15.75" customHeight="1">
      <c r="A560" s="264"/>
      <c r="B560" s="264"/>
      <c r="C560" s="264"/>
      <c r="D560" s="264"/>
      <c r="E560" s="264"/>
      <c r="F560" s="264"/>
      <c r="G560" s="264"/>
      <c r="H560" s="264"/>
      <c r="I560" s="264"/>
      <c r="J560" s="264"/>
      <c r="K560" s="264"/>
      <c r="L560" s="264"/>
      <c r="M560" s="264"/>
      <c r="N560" s="264"/>
      <c r="O560" s="264"/>
      <c r="P560" s="264"/>
      <c r="Q560" s="264"/>
      <c r="R560" s="264"/>
      <c r="S560" s="264"/>
      <c r="T560" s="264"/>
      <c r="U560" s="264"/>
      <c r="V560" s="264"/>
      <c r="W560" s="264"/>
      <c r="X560" s="264"/>
      <c r="Y560" s="264"/>
      <c r="Z560" s="264"/>
      <c r="AA560" s="264"/>
    </row>
    <row r="561" spans="1:27" ht="15.75" customHeight="1">
      <c r="A561" s="264"/>
      <c r="B561" s="264"/>
      <c r="C561" s="264"/>
      <c r="D561" s="264"/>
      <c r="E561" s="264"/>
      <c r="F561" s="264"/>
      <c r="G561" s="264"/>
      <c r="H561" s="264"/>
      <c r="I561" s="264"/>
      <c r="J561" s="264"/>
      <c r="K561" s="264"/>
      <c r="L561" s="264"/>
      <c r="M561" s="264"/>
      <c r="N561" s="264"/>
      <c r="O561" s="264"/>
      <c r="P561" s="264"/>
      <c r="Q561" s="264"/>
      <c r="R561" s="264"/>
      <c r="S561" s="264"/>
      <c r="T561" s="264"/>
      <c r="U561" s="264"/>
      <c r="V561" s="264"/>
      <c r="W561" s="264"/>
      <c r="X561" s="264"/>
      <c r="Y561" s="264"/>
      <c r="Z561" s="264"/>
      <c r="AA561" s="264"/>
    </row>
    <row r="562" spans="1:27" ht="15.75" customHeight="1">
      <c r="A562" s="264"/>
      <c r="B562" s="264"/>
      <c r="C562" s="264"/>
      <c r="D562" s="264"/>
      <c r="E562" s="264"/>
      <c r="F562" s="264"/>
      <c r="G562" s="264"/>
      <c r="H562" s="264"/>
      <c r="I562" s="264"/>
      <c r="J562" s="264"/>
      <c r="K562" s="264"/>
      <c r="L562" s="264"/>
      <c r="M562" s="264"/>
      <c r="N562" s="264"/>
      <c r="O562" s="264"/>
      <c r="P562" s="264"/>
      <c r="Q562" s="264"/>
      <c r="R562" s="264"/>
      <c r="S562" s="264"/>
      <c r="T562" s="264"/>
      <c r="U562" s="264"/>
      <c r="V562" s="264"/>
      <c r="W562" s="264"/>
      <c r="X562" s="264"/>
      <c r="Y562" s="264"/>
      <c r="Z562" s="264"/>
      <c r="AA562" s="264"/>
    </row>
    <row r="563" spans="1:27" ht="15.75" customHeight="1">
      <c r="A563" s="264"/>
      <c r="B563" s="264"/>
      <c r="C563" s="264"/>
      <c r="D563" s="264"/>
      <c r="E563" s="264"/>
      <c r="F563" s="264"/>
      <c r="G563" s="264"/>
      <c r="H563" s="264"/>
      <c r="I563" s="264"/>
      <c r="J563" s="264"/>
      <c r="K563" s="264"/>
      <c r="L563" s="264"/>
      <c r="M563" s="264"/>
      <c r="N563" s="264"/>
      <c r="O563" s="264"/>
      <c r="P563" s="264"/>
      <c r="Q563" s="264"/>
      <c r="R563" s="264"/>
      <c r="S563" s="264"/>
      <c r="T563" s="264"/>
      <c r="U563" s="264"/>
      <c r="V563" s="264"/>
      <c r="W563" s="264"/>
      <c r="X563" s="264"/>
      <c r="Y563" s="264"/>
      <c r="Z563" s="264"/>
      <c r="AA563" s="264"/>
    </row>
    <row r="564" spans="1:27" ht="15.75" customHeight="1">
      <c r="A564" s="264"/>
      <c r="B564" s="264"/>
      <c r="C564" s="264"/>
      <c r="D564" s="264"/>
      <c r="E564" s="264"/>
      <c r="F564" s="264"/>
      <c r="G564" s="264"/>
      <c r="H564" s="264"/>
      <c r="I564" s="264"/>
      <c r="J564" s="264"/>
      <c r="K564" s="264"/>
      <c r="L564" s="264"/>
      <c r="M564" s="264"/>
      <c r="N564" s="264"/>
      <c r="O564" s="264"/>
      <c r="P564" s="264"/>
      <c r="Q564" s="264"/>
      <c r="R564" s="264"/>
      <c r="S564" s="264"/>
      <c r="T564" s="264"/>
      <c r="U564" s="264"/>
      <c r="V564" s="264"/>
      <c r="W564" s="264"/>
      <c r="X564" s="264"/>
      <c r="Y564" s="264"/>
      <c r="Z564" s="264"/>
      <c r="AA564" s="264"/>
    </row>
    <row r="565" spans="1:27" ht="15.75" customHeight="1">
      <c r="A565" s="264"/>
      <c r="B565" s="264"/>
      <c r="C565" s="264"/>
      <c r="D565" s="264"/>
      <c r="E565" s="264"/>
      <c r="F565" s="264"/>
      <c r="G565" s="264"/>
      <c r="H565" s="264"/>
      <c r="I565" s="264"/>
      <c r="J565" s="264"/>
      <c r="K565" s="264"/>
      <c r="L565" s="264"/>
      <c r="M565" s="264"/>
      <c r="N565" s="264"/>
      <c r="O565" s="264"/>
      <c r="P565" s="264"/>
      <c r="Q565" s="264"/>
      <c r="R565" s="264"/>
      <c r="S565" s="264"/>
      <c r="T565" s="264"/>
      <c r="U565" s="264"/>
      <c r="V565" s="264"/>
      <c r="W565" s="264"/>
      <c r="X565" s="264"/>
      <c r="Y565" s="264"/>
      <c r="Z565" s="264"/>
      <c r="AA565" s="264"/>
    </row>
    <row r="566" spans="1:27" ht="15.75" customHeight="1">
      <c r="A566" s="264"/>
      <c r="B566" s="264"/>
      <c r="C566" s="264"/>
      <c r="D566" s="264"/>
      <c r="E566" s="264"/>
      <c r="F566" s="264"/>
      <c r="G566" s="264"/>
      <c r="H566" s="264"/>
      <c r="I566" s="264"/>
      <c r="J566" s="264"/>
      <c r="K566" s="264"/>
      <c r="L566" s="264"/>
      <c r="M566" s="264"/>
      <c r="N566" s="264"/>
      <c r="O566" s="264"/>
      <c r="P566" s="264"/>
      <c r="Q566" s="264"/>
      <c r="R566" s="264"/>
      <c r="S566" s="264"/>
      <c r="T566" s="264"/>
      <c r="U566" s="264"/>
      <c r="V566" s="264"/>
      <c r="W566" s="264"/>
      <c r="X566" s="264"/>
      <c r="Y566" s="264"/>
      <c r="Z566" s="264"/>
      <c r="AA566" s="264"/>
    </row>
    <row r="567" spans="1:27" ht="15.75" customHeight="1">
      <c r="A567" s="264"/>
      <c r="B567" s="264"/>
      <c r="C567" s="264"/>
      <c r="D567" s="264"/>
      <c r="E567" s="264"/>
      <c r="F567" s="264"/>
      <c r="G567" s="264"/>
      <c r="H567" s="264"/>
      <c r="I567" s="264"/>
      <c r="J567" s="264"/>
      <c r="K567" s="264"/>
      <c r="L567" s="264"/>
      <c r="M567" s="264"/>
      <c r="N567" s="264"/>
      <c r="O567" s="264"/>
      <c r="P567" s="264"/>
      <c r="Q567" s="264"/>
      <c r="R567" s="264"/>
      <c r="S567" s="264"/>
      <c r="T567" s="264"/>
      <c r="U567" s="264"/>
      <c r="V567" s="264"/>
      <c r="W567" s="264"/>
      <c r="X567" s="264"/>
      <c r="Y567" s="264"/>
      <c r="Z567" s="264"/>
      <c r="AA567" s="264"/>
    </row>
    <row r="568" spans="1:27" ht="15.75" customHeight="1">
      <c r="A568" s="264"/>
      <c r="B568" s="264"/>
      <c r="C568" s="264"/>
      <c r="D568" s="264"/>
      <c r="E568" s="264"/>
      <c r="F568" s="264"/>
      <c r="G568" s="264"/>
      <c r="H568" s="264"/>
      <c r="I568" s="264"/>
      <c r="J568" s="264"/>
      <c r="K568" s="264"/>
      <c r="L568" s="264"/>
      <c r="M568" s="264"/>
      <c r="N568" s="264"/>
      <c r="O568" s="264"/>
      <c r="P568" s="264"/>
      <c r="Q568" s="264"/>
      <c r="R568" s="264"/>
      <c r="S568" s="264"/>
      <c r="T568" s="264"/>
      <c r="U568" s="264"/>
      <c r="V568" s="264"/>
      <c r="W568" s="264"/>
      <c r="X568" s="264"/>
      <c r="Y568" s="264"/>
      <c r="Z568" s="264"/>
      <c r="AA568" s="264"/>
    </row>
    <row r="569" spans="1:27" ht="15.75" customHeight="1">
      <c r="A569" s="264"/>
      <c r="B569" s="264"/>
      <c r="C569" s="264"/>
      <c r="D569" s="264"/>
      <c r="E569" s="264"/>
      <c r="F569" s="264"/>
      <c r="G569" s="264"/>
      <c r="H569" s="264"/>
      <c r="I569" s="264"/>
      <c r="J569" s="264"/>
      <c r="K569" s="264"/>
      <c r="L569" s="264"/>
      <c r="M569" s="264"/>
      <c r="N569" s="264"/>
      <c r="O569" s="264"/>
      <c r="P569" s="264"/>
      <c r="Q569" s="264"/>
      <c r="R569" s="264"/>
      <c r="S569" s="264"/>
      <c r="T569" s="264"/>
      <c r="U569" s="264"/>
      <c r="V569" s="264"/>
      <c r="W569" s="264"/>
      <c r="X569" s="264"/>
      <c r="Y569" s="264"/>
      <c r="Z569" s="264"/>
      <c r="AA569" s="264"/>
    </row>
    <row r="570" spans="1:27" ht="15.75" customHeight="1">
      <c r="A570" s="264"/>
      <c r="B570" s="264"/>
      <c r="C570" s="264"/>
      <c r="D570" s="264"/>
      <c r="E570" s="264"/>
      <c r="F570" s="264"/>
      <c r="G570" s="264"/>
      <c r="H570" s="264"/>
      <c r="I570" s="264"/>
      <c r="J570" s="264"/>
      <c r="K570" s="264"/>
      <c r="L570" s="264"/>
      <c r="M570" s="264"/>
      <c r="N570" s="264"/>
      <c r="O570" s="264"/>
      <c r="P570" s="264"/>
      <c r="Q570" s="264"/>
      <c r="R570" s="264"/>
      <c r="S570" s="264"/>
      <c r="T570" s="264"/>
      <c r="U570" s="264"/>
      <c r="V570" s="264"/>
      <c r="W570" s="264"/>
      <c r="X570" s="264"/>
      <c r="Y570" s="264"/>
      <c r="Z570" s="264"/>
      <c r="AA570" s="264"/>
    </row>
    <row r="571" spans="1:27" ht="15.75" customHeight="1">
      <c r="A571" s="264"/>
      <c r="B571" s="264"/>
      <c r="C571" s="264"/>
      <c r="D571" s="264"/>
      <c r="E571" s="264"/>
      <c r="F571" s="264"/>
      <c r="G571" s="264"/>
      <c r="H571" s="264"/>
      <c r="I571" s="264"/>
      <c r="J571" s="264"/>
      <c r="K571" s="264"/>
      <c r="L571" s="264"/>
      <c r="M571" s="264"/>
      <c r="N571" s="264"/>
      <c r="O571" s="264"/>
      <c r="P571" s="264"/>
      <c r="Q571" s="264"/>
      <c r="R571" s="264"/>
      <c r="S571" s="264"/>
      <c r="T571" s="264"/>
      <c r="U571" s="264"/>
      <c r="V571" s="264"/>
      <c r="W571" s="264"/>
      <c r="X571" s="264"/>
      <c r="Y571" s="264"/>
      <c r="Z571" s="264"/>
      <c r="AA571" s="264"/>
    </row>
    <row r="572" spans="1:27" ht="15.75" customHeight="1">
      <c r="A572" s="264"/>
      <c r="B572" s="264"/>
      <c r="C572" s="264"/>
      <c r="D572" s="264"/>
      <c r="E572" s="264"/>
      <c r="F572" s="264"/>
      <c r="G572" s="264"/>
      <c r="H572" s="264"/>
      <c r="I572" s="264"/>
      <c r="J572" s="264"/>
      <c r="K572" s="264"/>
      <c r="L572" s="264"/>
      <c r="M572" s="264"/>
      <c r="N572" s="264"/>
      <c r="O572" s="264"/>
      <c r="P572" s="264"/>
      <c r="Q572" s="264"/>
      <c r="R572" s="264"/>
      <c r="S572" s="264"/>
      <c r="T572" s="264"/>
      <c r="U572" s="264"/>
      <c r="V572" s="264"/>
      <c r="W572" s="264"/>
      <c r="X572" s="264"/>
      <c r="Y572" s="264"/>
      <c r="Z572" s="264"/>
      <c r="AA572" s="264"/>
    </row>
    <row r="573" spans="1:27" ht="15.75" customHeight="1">
      <c r="A573" s="264"/>
      <c r="B573" s="264"/>
      <c r="C573" s="264"/>
      <c r="D573" s="264"/>
      <c r="E573" s="264"/>
      <c r="F573" s="264"/>
      <c r="G573" s="264"/>
      <c r="H573" s="264"/>
      <c r="I573" s="264"/>
      <c r="J573" s="264"/>
      <c r="K573" s="264"/>
      <c r="L573" s="264"/>
      <c r="M573" s="264"/>
      <c r="N573" s="264"/>
      <c r="O573" s="264"/>
      <c r="P573" s="264"/>
      <c r="Q573" s="264"/>
      <c r="R573" s="264"/>
      <c r="S573" s="264"/>
      <c r="T573" s="264"/>
      <c r="U573" s="264"/>
      <c r="V573" s="264"/>
      <c r="W573" s="264"/>
      <c r="X573" s="264"/>
      <c r="Y573" s="264"/>
      <c r="Z573" s="264"/>
      <c r="AA573" s="264"/>
    </row>
    <row r="574" spans="1:27" ht="15.75" customHeight="1">
      <c r="A574" s="264"/>
      <c r="B574" s="264"/>
      <c r="C574" s="264"/>
      <c r="D574" s="264"/>
      <c r="E574" s="264"/>
      <c r="F574" s="264"/>
      <c r="G574" s="264"/>
      <c r="H574" s="264"/>
      <c r="I574" s="264"/>
      <c r="J574" s="264"/>
      <c r="K574" s="264"/>
      <c r="L574" s="264"/>
      <c r="M574" s="264"/>
      <c r="N574" s="264"/>
      <c r="O574" s="264"/>
      <c r="P574" s="264"/>
      <c r="Q574" s="264"/>
      <c r="R574" s="264"/>
      <c r="S574" s="264"/>
      <c r="T574" s="264"/>
      <c r="U574" s="264"/>
      <c r="V574" s="264"/>
      <c r="W574" s="264"/>
      <c r="X574" s="264"/>
      <c r="Y574" s="264"/>
      <c r="Z574" s="264"/>
      <c r="AA574" s="264"/>
    </row>
    <row r="575" spans="1:27" ht="15.75" customHeight="1">
      <c r="A575" s="264"/>
      <c r="B575" s="264"/>
      <c r="C575" s="264"/>
      <c r="D575" s="264"/>
      <c r="E575" s="264"/>
      <c r="F575" s="264"/>
      <c r="G575" s="264"/>
      <c r="H575" s="264"/>
      <c r="I575" s="264"/>
      <c r="J575" s="264"/>
      <c r="K575" s="264"/>
      <c r="L575" s="264"/>
      <c r="M575" s="264"/>
      <c r="N575" s="264"/>
      <c r="O575" s="264"/>
      <c r="P575" s="264"/>
      <c r="Q575" s="264"/>
      <c r="R575" s="264"/>
      <c r="S575" s="264"/>
      <c r="T575" s="264"/>
      <c r="U575" s="264"/>
      <c r="V575" s="264"/>
      <c r="W575" s="264"/>
      <c r="X575" s="264"/>
      <c r="Y575" s="264"/>
      <c r="Z575" s="264"/>
      <c r="AA575" s="264"/>
    </row>
    <row r="576" spans="1:27" ht="15.75" customHeight="1">
      <c r="A576" s="264"/>
      <c r="B576" s="264"/>
      <c r="C576" s="264"/>
      <c r="D576" s="264"/>
      <c r="E576" s="264"/>
      <c r="F576" s="264"/>
      <c r="G576" s="264"/>
      <c r="H576" s="264"/>
      <c r="I576" s="264"/>
      <c r="J576" s="264"/>
      <c r="K576" s="264"/>
      <c r="L576" s="264"/>
      <c r="M576" s="264"/>
      <c r="N576" s="264"/>
      <c r="O576" s="264"/>
      <c r="P576" s="264"/>
      <c r="Q576" s="264"/>
      <c r="R576" s="264"/>
      <c r="S576" s="264"/>
      <c r="T576" s="264"/>
      <c r="U576" s="264"/>
      <c r="V576" s="264"/>
      <c r="W576" s="264"/>
      <c r="X576" s="264"/>
      <c r="Y576" s="264"/>
      <c r="Z576" s="264"/>
      <c r="AA576" s="264"/>
    </row>
    <row r="577" spans="1:27" ht="15.75" customHeight="1">
      <c r="A577" s="264"/>
      <c r="B577" s="264"/>
      <c r="C577" s="264"/>
      <c r="D577" s="264"/>
      <c r="E577" s="264"/>
      <c r="F577" s="264"/>
      <c r="G577" s="264"/>
      <c r="H577" s="264"/>
      <c r="I577" s="264"/>
      <c r="J577" s="264"/>
      <c r="K577" s="264"/>
      <c r="L577" s="264"/>
      <c r="M577" s="264"/>
      <c r="N577" s="264"/>
      <c r="O577" s="264"/>
      <c r="P577" s="264"/>
      <c r="Q577" s="264"/>
      <c r="R577" s="264"/>
      <c r="S577" s="264"/>
      <c r="T577" s="264"/>
      <c r="U577" s="264"/>
      <c r="V577" s="264"/>
      <c r="W577" s="264"/>
      <c r="X577" s="264"/>
      <c r="Y577" s="264"/>
      <c r="Z577" s="264"/>
      <c r="AA577" s="264"/>
    </row>
    <row r="578" spans="1:27" ht="15.75" customHeight="1">
      <c r="A578" s="264"/>
      <c r="B578" s="264"/>
      <c r="C578" s="264"/>
      <c r="D578" s="264"/>
      <c r="E578" s="264"/>
      <c r="F578" s="264"/>
      <c r="G578" s="264"/>
      <c r="H578" s="264"/>
      <c r="I578" s="264"/>
      <c r="J578" s="264"/>
      <c r="K578" s="264"/>
      <c r="L578" s="264"/>
      <c r="M578" s="264"/>
      <c r="N578" s="264"/>
      <c r="O578" s="264"/>
      <c r="P578" s="264"/>
      <c r="Q578" s="264"/>
      <c r="R578" s="264"/>
      <c r="S578" s="264"/>
      <c r="T578" s="264"/>
      <c r="U578" s="264"/>
      <c r="V578" s="264"/>
      <c r="W578" s="264"/>
      <c r="X578" s="264"/>
      <c r="Y578" s="264"/>
      <c r="Z578" s="264"/>
      <c r="AA578" s="264"/>
    </row>
    <row r="579" spans="1:27" ht="15.75" customHeight="1">
      <c r="A579" s="264"/>
      <c r="B579" s="264"/>
      <c r="C579" s="264"/>
      <c r="D579" s="264"/>
      <c r="E579" s="264"/>
      <c r="F579" s="264"/>
      <c r="G579" s="264"/>
      <c r="H579" s="264"/>
      <c r="I579" s="264"/>
      <c r="J579" s="264"/>
      <c r="K579" s="264"/>
      <c r="L579" s="264"/>
      <c r="M579" s="264"/>
      <c r="N579" s="264"/>
      <c r="O579" s="264"/>
      <c r="P579" s="264"/>
      <c r="Q579" s="264"/>
      <c r="R579" s="264"/>
      <c r="S579" s="264"/>
      <c r="T579" s="264"/>
      <c r="U579" s="264"/>
      <c r="V579" s="264"/>
      <c r="W579" s="264"/>
      <c r="X579" s="264"/>
      <c r="Y579" s="264"/>
      <c r="Z579" s="264"/>
      <c r="AA579" s="264"/>
    </row>
    <row r="580" spans="1:27" ht="15.75" customHeight="1">
      <c r="A580" s="264"/>
      <c r="B580" s="264"/>
      <c r="C580" s="264"/>
      <c r="D580" s="264"/>
      <c r="E580" s="264"/>
      <c r="F580" s="264"/>
      <c r="G580" s="264"/>
      <c r="H580" s="264"/>
      <c r="I580" s="264"/>
      <c r="J580" s="264"/>
      <c r="K580" s="264"/>
      <c r="L580" s="264"/>
      <c r="M580" s="264"/>
      <c r="N580" s="264"/>
      <c r="O580" s="264"/>
      <c r="P580" s="264"/>
      <c r="Q580" s="264"/>
      <c r="R580" s="264"/>
      <c r="S580" s="264"/>
      <c r="T580" s="264"/>
      <c r="U580" s="264"/>
      <c r="V580" s="264"/>
      <c r="W580" s="264"/>
      <c r="X580" s="264"/>
      <c r="Y580" s="264"/>
      <c r="Z580" s="264"/>
      <c r="AA580" s="264"/>
    </row>
    <row r="581" spans="1:27" ht="15.75" customHeight="1">
      <c r="A581" s="264"/>
      <c r="B581" s="264"/>
      <c r="C581" s="264"/>
      <c r="D581" s="264"/>
      <c r="E581" s="264"/>
      <c r="F581" s="264"/>
      <c r="G581" s="264"/>
      <c r="H581" s="264"/>
      <c r="I581" s="264"/>
      <c r="J581" s="264"/>
      <c r="K581" s="264"/>
      <c r="L581" s="264"/>
      <c r="M581" s="264"/>
      <c r="N581" s="264"/>
      <c r="O581" s="264"/>
      <c r="P581" s="264"/>
      <c r="Q581" s="264"/>
      <c r="R581" s="264"/>
      <c r="S581" s="264"/>
      <c r="T581" s="264"/>
      <c r="U581" s="264"/>
      <c r="V581" s="264"/>
      <c r="W581" s="264"/>
      <c r="X581" s="264"/>
      <c r="Y581" s="264"/>
      <c r="Z581" s="264"/>
      <c r="AA581" s="264"/>
    </row>
    <row r="582" spans="1:27" ht="15.75" customHeight="1">
      <c r="A582" s="264"/>
      <c r="B582" s="264"/>
      <c r="C582" s="264"/>
      <c r="D582" s="264"/>
      <c r="E582" s="264"/>
      <c r="F582" s="264"/>
      <c r="G582" s="264"/>
      <c r="H582" s="264"/>
      <c r="I582" s="264"/>
      <c r="J582" s="264"/>
      <c r="K582" s="264"/>
      <c r="L582" s="264"/>
      <c r="M582" s="264"/>
      <c r="N582" s="264"/>
      <c r="O582" s="264"/>
      <c r="P582" s="264"/>
      <c r="Q582" s="264"/>
      <c r="R582" s="264"/>
      <c r="S582" s="264"/>
      <c r="T582" s="264"/>
      <c r="U582" s="264"/>
      <c r="V582" s="264"/>
      <c r="W582" s="264"/>
      <c r="X582" s="264"/>
      <c r="Y582" s="264"/>
      <c r="Z582" s="264"/>
      <c r="AA582" s="264"/>
    </row>
    <row r="583" spans="1:27" ht="15.75" customHeight="1">
      <c r="A583" s="264"/>
      <c r="B583" s="264"/>
      <c r="C583" s="264"/>
      <c r="D583" s="264"/>
      <c r="E583" s="264"/>
      <c r="F583" s="264"/>
      <c r="G583" s="264"/>
      <c r="H583" s="264"/>
      <c r="I583" s="264"/>
      <c r="J583" s="264"/>
      <c r="K583" s="264"/>
      <c r="L583" s="264"/>
      <c r="M583" s="264"/>
      <c r="N583" s="264"/>
      <c r="O583" s="264"/>
      <c r="P583" s="264"/>
      <c r="Q583" s="264"/>
      <c r="R583" s="264"/>
      <c r="S583" s="264"/>
      <c r="T583" s="264"/>
      <c r="U583" s="264"/>
      <c r="V583" s="264"/>
      <c r="W583" s="264"/>
      <c r="X583" s="264"/>
      <c r="Y583" s="264"/>
      <c r="Z583" s="264"/>
      <c r="AA583" s="264"/>
    </row>
    <row r="584" spans="1:27" ht="15.75" customHeight="1">
      <c r="A584" s="264"/>
      <c r="B584" s="264"/>
      <c r="C584" s="264"/>
      <c r="D584" s="264"/>
      <c r="E584" s="264"/>
      <c r="F584" s="264"/>
      <c r="G584" s="264"/>
      <c r="H584" s="264"/>
      <c r="I584" s="264"/>
      <c r="J584" s="264"/>
      <c r="K584" s="264"/>
      <c r="L584" s="264"/>
      <c r="M584" s="264"/>
      <c r="N584" s="264"/>
      <c r="O584" s="264"/>
      <c r="P584" s="264"/>
      <c r="Q584" s="264"/>
      <c r="R584" s="264"/>
      <c r="S584" s="264"/>
      <c r="T584" s="264"/>
      <c r="U584" s="264"/>
      <c r="V584" s="264"/>
      <c r="W584" s="264"/>
      <c r="X584" s="264"/>
      <c r="Y584" s="264"/>
      <c r="Z584" s="264"/>
      <c r="AA584" s="264"/>
    </row>
    <row r="585" spans="1:27" ht="15.75" customHeight="1">
      <c r="A585" s="264"/>
      <c r="B585" s="264"/>
      <c r="C585" s="264"/>
      <c r="D585" s="264"/>
      <c r="E585" s="264"/>
      <c r="F585" s="264"/>
      <c r="G585" s="264"/>
      <c r="H585" s="264"/>
      <c r="I585" s="264"/>
      <c r="J585" s="264"/>
      <c r="K585" s="264"/>
      <c r="L585" s="264"/>
      <c r="M585" s="264"/>
      <c r="N585" s="264"/>
      <c r="O585" s="264"/>
      <c r="P585" s="264"/>
      <c r="Q585" s="264"/>
      <c r="R585" s="264"/>
      <c r="S585" s="264"/>
      <c r="T585" s="264"/>
      <c r="U585" s="264"/>
      <c r="V585" s="264"/>
      <c r="W585" s="264"/>
      <c r="X585" s="264"/>
      <c r="Y585" s="264"/>
      <c r="Z585" s="264"/>
      <c r="AA585" s="264"/>
    </row>
    <row r="586" spans="1:27" ht="15.75" customHeight="1">
      <c r="A586" s="264"/>
      <c r="B586" s="264"/>
      <c r="C586" s="264"/>
      <c r="D586" s="264"/>
      <c r="E586" s="264"/>
      <c r="F586" s="264"/>
      <c r="G586" s="264"/>
      <c r="H586" s="264"/>
      <c r="I586" s="264"/>
      <c r="J586" s="264"/>
      <c r="K586" s="264"/>
      <c r="L586" s="264"/>
      <c r="M586" s="264"/>
      <c r="N586" s="264"/>
      <c r="O586" s="264"/>
      <c r="P586" s="264"/>
      <c r="Q586" s="264"/>
      <c r="R586" s="264"/>
      <c r="S586" s="264"/>
      <c r="T586" s="264"/>
      <c r="U586" s="264"/>
      <c r="V586" s="264"/>
      <c r="W586" s="264"/>
      <c r="X586" s="264"/>
      <c r="Y586" s="264"/>
      <c r="Z586" s="264"/>
      <c r="AA586" s="264"/>
    </row>
    <row r="587" spans="1:27" ht="15.75" customHeight="1">
      <c r="A587" s="264"/>
      <c r="B587" s="264"/>
      <c r="C587" s="264"/>
      <c r="D587" s="264"/>
      <c r="E587" s="264"/>
      <c r="F587" s="264"/>
      <c r="G587" s="264"/>
      <c r="H587" s="264"/>
      <c r="I587" s="264"/>
      <c r="J587" s="264"/>
      <c r="K587" s="264"/>
      <c r="L587" s="264"/>
      <c r="M587" s="264"/>
      <c r="N587" s="264"/>
      <c r="O587" s="264"/>
      <c r="P587" s="264"/>
      <c r="Q587" s="264"/>
      <c r="R587" s="264"/>
      <c r="S587" s="264"/>
      <c r="T587" s="264"/>
      <c r="U587" s="264"/>
      <c r="V587" s="264"/>
      <c r="W587" s="264"/>
      <c r="X587" s="264"/>
      <c r="Y587" s="264"/>
      <c r="Z587" s="264"/>
      <c r="AA587" s="264"/>
    </row>
    <row r="588" spans="1:27" ht="15.75" customHeight="1">
      <c r="A588" s="264"/>
      <c r="B588" s="264"/>
      <c r="C588" s="264"/>
      <c r="D588" s="264"/>
      <c r="E588" s="264"/>
      <c r="F588" s="264"/>
      <c r="G588" s="264"/>
      <c r="H588" s="264"/>
      <c r="I588" s="264"/>
      <c r="J588" s="264"/>
      <c r="K588" s="264"/>
      <c r="L588" s="264"/>
      <c r="M588" s="264"/>
      <c r="N588" s="264"/>
      <c r="O588" s="264"/>
      <c r="P588" s="264"/>
      <c r="Q588" s="264"/>
      <c r="R588" s="264"/>
      <c r="S588" s="264"/>
      <c r="T588" s="264"/>
      <c r="U588" s="264"/>
      <c r="V588" s="264"/>
      <c r="W588" s="264"/>
      <c r="X588" s="264"/>
      <c r="Y588" s="264"/>
      <c r="Z588" s="264"/>
      <c r="AA588" s="264"/>
    </row>
    <row r="589" spans="1:27" ht="15.75" customHeight="1">
      <c r="A589" s="264"/>
      <c r="B589" s="264"/>
      <c r="C589" s="264"/>
      <c r="D589" s="264"/>
      <c r="E589" s="264"/>
      <c r="F589" s="264"/>
      <c r="G589" s="264"/>
      <c r="H589" s="264"/>
      <c r="I589" s="264"/>
      <c r="J589" s="264"/>
      <c r="K589" s="264"/>
      <c r="L589" s="264"/>
      <c r="M589" s="264"/>
      <c r="N589" s="264"/>
      <c r="O589" s="264"/>
      <c r="P589" s="264"/>
      <c r="Q589" s="264"/>
      <c r="R589" s="264"/>
      <c r="S589" s="264"/>
      <c r="T589" s="264"/>
      <c r="U589" s="264"/>
      <c r="V589" s="264"/>
      <c r="W589" s="264"/>
      <c r="X589" s="264"/>
      <c r="Y589" s="264"/>
      <c r="Z589" s="264"/>
      <c r="AA589" s="264"/>
    </row>
    <row r="590" spans="1:27" ht="15.75" customHeight="1">
      <c r="A590" s="264"/>
      <c r="B590" s="264"/>
      <c r="C590" s="264"/>
      <c r="D590" s="264"/>
      <c r="E590" s="264"/>
      <c r="F590" s="264"/>
      <c r="G590" s="264"/>
      <c r="H590" s="264"/>
      <c r="I590" s="264"/>
      <c r="J590" s="264"/>
      <c r="K590" s="264"/>
      <c r="L590" s="264"/>
      <c r="M590" s="264"/>
      <c r="N590" s="264"/>
      <c r="O590" s="264"/>
      <c r="P590" s="264"/>
      <c r="Q590" s="264"/>
      <c r="R590" s="264"/>
      <c r="S590" s="264"/>
      <c r="T590" s="264"/>
      <c r="U590" s="264"/>
      <c r="V590" s="264"/>
      <c r="W590" s="264"/>
      <c r="X590" s="264"/>
      <c r="Y590" s="264"/>
      <c r="Z590" s="264"/>
      <c r="AA590" s="264"/>
    </row>
    <row r="591" spans="1:27" ht="15.75" customHeight="1">
      <c r="A591" s="264"/>
      <c r="B591" s="264"/>
      <c r="C591" s="264"/>
      <c r="D591" s="264"/>
      <c r="E591" s="264"/>
      <c r="F591" s="264"/>
      <c r="G591" s="264"/>
      <c r="H591" s="264"/>
      <c r="I591" s="264"/>
      <c r="J591" s="264"/>
      <c r="K591" s="264"/>
      <c r="L591" s="264"/>
      <c r="M591" s="264"/>
      <c r="N591" s="264"/>
      <c r="O591" s="264"/>
      <c r="P591" s="264"/>
      <c r="Q591" s="264"/>
      <c r="R591" s="264"/>
      <c r="S591" s="264"/>
      <c r="T591" s="264"/>
      <c r="U591" s="264"/>
      <c r="V591" s="264"/>
      <c r="W591" s="264"/>
      <c r="X591" s="264"/>
      <c r="Y591" s="264"/>
      <c r="Z591" s="264"/>
      <c r="AA591" s="264"/>
    </row>
    <row r="592" spans="1:27" ht="15.75" customHeight="1">
      <c r="A592" s="264"/>
      <c r="B592" s="264"/>
      <c r="C592" s="264"/>
      <c r="D592" s="264"/>
      <c r="E592" s="264"/>
      <c r="F592" s="264"/>
      <c r="G592" s="264"/>
      <c r="H592" s="264"/>
      <c r="I592" s="264"/>
      <c r="J592" s="264"/>
      <c r="K592" s="264"/>
      <c r="L592" s="264"/>
      <c r="M592" s="264"/>
      <c r="N592" s="264"/>
      <c r="O592" s="264"/>
      <c r="P592" s="264"/>
      <c r="Q592" s="264"/>
      <c r="R592" s="264"/>
      <c r="S592" s="264"/>
      <c r="T592" s="264"/>
      <c r="U592" s="264"/>
      <c r="V592" s="264"/>
      <c r="W592" s="264"/>
      <c r="X592" s="264"/>
      <c r="Y592" s="264"/>
      <c r="Z592" s="264"/>
      <c r="AA592" s="264"/>
    </row>
    <row r="593" spans="1:27" ht="15.75" customHeight="1">
      <c r="A593" s="264"/>
      <c r="B593" s="264"/>
      <c r="C593" s="264"/>
      <c r="D593" s="264"/>
      <c r="E593" s="264"/>
      <c r="F593" s="264"/>
      <c r="G593" s="264"/>
      <c r="H593" s="264"/>
      <c r="I593" s="264"/>
      <c r="J593" s="264"/>
      <c r="K593" s="264"/>
      <c r="L593" s="264"/>
      <c r="M593" s="264"/>
      <c r="N593" s="264"/>
      <c r="O593" s="264"/>
      <c r="P593" s="264"/>
      <c r="Q593" s="264"/>
      <c r="R593" s="264"/>
      <c r="S593" s="264"/>
      <c r="T593" s="264"/>
      <c r="U593" s="264"/>
      <c r="V593" s="264"/>
      <c r="W593" s="264"/>
      <c r="X593" s="264"/>
      <c r="Y593" s="264"/>
      <c r="Z593" s="264"/>
      <c r="AA593" s="264"/>
    </row>
    <row r="594" spans="1:27" ht="15.75" customHeight="1">
      <c r="A594" s="264"/>
      <c r="B594" s="264"/>
      <c r="C594" s="264"/>
      <c r="D594" s="264"/>
      <c r="E594" s="264"/>
      <c r="F594" s="264"/>
      <c r="G594" s="264"/>
      <c r="H594" s="264"/>
      <c r="I594" s="264"/>
      <c r="J594" s="264"/>
      <c r="K594" s="264"/>
      <c r="L594" s="264"/>
      <c r="M594" s="264"/>
      <c r="N594" s="264"/>
      <c r="O594" s="264"/>
      <c r="P594" s="264"/>
      <c r="Q594" s="264"/>
      <c r="R594" s="264"/>
      <c r="S594" s="264"/>
      <c r="T594" s="264"/>
      <c r="U594" s="264"/>
      <c r="V594" s="264"/>
      <c r="W594" s="264"/>
      <c r="X594" s="264"/>
      <c r="Y594" s="264"/>
      <c r="Z594" s="264"/>
      <c r="AA594" s="264"/>
    </row>
    <row r="595" spans="1:27" ht="15.75" customHeight="1">
      <c r="A595" s="264"/>
      <c r="B595" s="264"/>
      <c r="C595" s="264"/>
      <c r="D595" s="264"/>
      <c r="E595" s="264"/>
      <c r="F595" s="264"/>
      <c r="G595" s="264"/>
      <c r="H595" s="264"/>
      <c r="I595" s="264"/>
      <c r="J595" s="264"/>
      <c r="K595" s="264"/>
      <c r="L595" s="264"/>
      <c r="M595" s="264"/>
      <c r="N595" s="264"/>
      <c r="O595" s="264"/>
      <c r="P595" s="264"/>
      <c r="Q595" s="264"/>
      <c r="R595" s="264"/>
      <c r="S595" s="264"/>
      <c r="T595" s="264"/>
      <c r="U595" s="264"/>
      <c r="V595" s="264"/>
      <c r="W595" s="264"/>
      <c r="X595" s="264"/>
      <c r="Y595" s="264"/>
      <c r="Z595" s="264"/>
      <c r="AA595" s="264"/>
    </row>
    <row r="596" spans="1:27" ht="15.75" customHeight="1">
      <c r="A596" s="264"/>
      <c r="B596" s="264"/>
      <c r="C596" s="264"/>
      <c r="D596" s="264"/>
      <c r="E596" s="264"/>
      <c r="F596" s="264"/>
      <c r="G596" s="264"/>
      <c r="H596" s="264"/>
      <c r="I596" s="264"/>
      <c r="J596" s="264"/>
      <c r="K596" s="264"/>
      <c r="L596" s="264"/>
      <c r="M596" s="264"/>
      <c r="N596" s="264"/>
      <c r="O596" s="264"/>
      <c r="P596" s="264"/>
      <c r="Q596" s="264"/>
      <c r="R596" s="264"/>
      <c r="S596" s="264"/>
      <c r="T596" s="264"/>
      <c r="U596" s="264"/>
      <c r="V596" s="264"/>
      <c r="W596" s="264"/>
      <c r="X596" s="264"/>
      <c r="Y596" s="264"/>
      <c r="Z596" s="264"/>
      <c r="AA596" s="264"/>
    </row>
    <row r="597" spans="1:27" ht="15.75" customHeight="1">
      <c r="A597" s="264"/>
      <c r="B597" s="264"/>
      <c r="C597" s="264"/>
      <c r="D597" s="264"/>
      <c r="E597" s="264"/>
      <c r="F597" s="264"/>
      <c r="G597" s="264"/>
      <c r="H597" s="264"/>
      <c r="I597" s="264"/>
      <c r="J597" s="264"/>
      <c r="K597" s="264"/>
      <c r="L597" s="264"/>
      <c r="M597" s="264"/>
      <c r="N597" s="264"/>
      <c r="O597" s="264"/>
      <c r="P597" s="264"/>
      <c r="Q597" s="264"/>
      <c r="R597" s="264"/>
      <c r="S597" s="264"/>
      <c r="T597" s="264"/>
      <c r="U597" s="264"/>
      <c r="V597" s="264"/>
      <c r="W597" s="264"/>
      <c r="X597" s="264"/>
      <c r="Y597" s="264"/>
      <c r="Z597" s="264"/>
      <c r="AA597" s="264"/>
    </row>
    <row r="598" spans="1:27" ht="15.75" customHeight="1">
      <c r="A598" s="264"/>
      <c r="B598" s="264"/>
      <c r="C598" s="264"/>
      <c r="D598" s="264"/>
      <c r="E598" s="264"/>
      <c r="F598" s="264"/>
      <c r="G598" s="264"/>
      <c r="H598" s="264"/>
      <c r="I598" s="264"/>
      <c r="J598" s="264"/>
      <c r="K598" s="264"/>
      <c r="L598" s="264"/>
      <c r="M598" s="264"/>
      <c r="N598" s="264"/>
      <c r="O598" s="264"/>
      <c r="P598" s="264"/>
      <c r="Q598" s="264"/>
      <c r="R598" s="264"/>
      <c r="S598" s="264"/>
      <c r="T598" s="264"/>
      <c r="U598" s="264"/>
      <c r="V598" s="264"/>
      <c r="W598" s="264"/>
      <c r="X598" s="264"/>
      <c r="Y598" s="264"/>
      <c r="Z598" s="264"/>
      <c r="AA598" s="264"/>
    </row>
    <row r="599" spans="1:27" ht="15.75" customHeight="1">
      <c r="A599" s="264"/>
      <c r="B599" s="264"/>
      <c r="C599" s="264"/>
      <c r="D599" s="264"/>
      <c r="E599" s="264"/>
      <c r="F599" s="264"/>
      <c r="G599" s="264"/>
      <c r="H599" s="264"/>
      <c r="I599" s="264"/>
      <c r="J599" s="264"/>
      <c r="K599" s="264"/>
      <c r="L599" s="264"/>
      <c r="M599" s="264"/>
      <c r="N599" s="264"/>
      <c r="O599" s="264"/>
      <c r="P599" s="264"/>
      <c r="Q599" s="264"/>
      <c r="R599" s="264"/>
      <c r="S599" s="264"/>
      <c r="T599" s="264"/>
      <c r="U599" s="264"/>
      <c r="V599" s="264"/>
      <c r="W599" s="264"/>
      <c r="X599" s="264"/>
      <c r="Y599" s="264"/>
      <c r="Z599" s="264"/>
      <c r="AA599" s="264"/>
    </row>
    <row r="600" spans="1:27" ht="15.75" customHeight="1">
      <c r="A600" s="264"/>
      <c r="B600" s="264"/>
      <c r="C600" s="264"/>
      <c r="D600" s="264"/>
      <c r="E600" s="264"/>
      <c r="F600" s="264"/>
      <c r="G600" s="264"/>
      <c r="H600" s="264"/>
      <c r="I600" s="264"/>
      <c r="J600" s="264"/>
      <c r="K600" s="264"/>
      <c r="L600" s="264"/>
      <c r="M600" s="264"/>
      <c r="N600" s="264"/>
      <c r="O600" s="264"/>
      <c r="P600" s="264"/>
      <c r="Q600" s="264"/>
      <c r="R600" s="264"/>
      <c r="S600" s="264"/>
      <c r="T600" s="264"/>
      <c r="U600" s="264"/>
      <c r="V600" s="264"/>
      <c r="W600" s="264"/>
      <c r="X600" s="264"/>
      <c r="Y600" s="264"/>
      <c r="Z600" s="264"/>
      <c r="AA600" s="264"/>
    </row>
    <row r="601" spans="1:27" ht="15.75" customHeight="1">
      <c r="A601" s="264"/>
      <c r="B601" s="264"/>
      <c r="C601" s="264"/>
      <c r="D601" s="264"/>
      <c r="E601" s="264"/>
      <c r="F601" s="264"/>
      <c r="G601" s="264"/>
      <c r="H601" s="264"/>
      <c r="I601" s="264"/>
      <c r="J601" s="264"/>
      <c r="K601" s="264"/>
      <c r="L601" s="264"/>
      <c r="M601" s="264"/>
      <c r="N601" s="264"/>
      <c r="O601" s="264"/>
      <c r="P601" s="264"/>
      <c r="Q601" s="264"/>
      <c r="R601" s="264"/>
      <c r="S601" s="264"/>
      <c r="T601" s="264"/>
      <c r="U601" s="264"/>
      <c r="V601" s="264"/>
      <c r="W601" s="264"/>
      <c r="X601" s="264"/>
      <c r="Y601" s="264"/>
      <c r="Z601" s="264"/>
      <c r="AA601" s="264"/>
    </row>
    <row r="602" spans="1:27" ht="15.75" customHeight="1">
      <c r="A602" s="264"/>
      <c r="B602" s="264"/>
      <c r="C602" s="264"/>
      <c r="D602" s="264"/>
      <c r="E602" s="264"/>
      <c r="F602" s="264"/>
      <c r="G602" s="264"/>
      <c r="H602" s="264"/>
      <c r="I602" s="264"/>
      <c r="J602" s="264"/>
      <c r="K602" s="264"/>
      <c r="L602" s="264"/>
      <c r="M602" s="264"/>
      <c r="N602" s="264"/>
      <c r="O602" s="264"/>
      <c r="P602" s="264"/>
      <c r="Q602" s="264"/>
      <c r="R602" s="264"/>
      <c r="S602" s="264"/>
      <c r="T602" s="264"/>
      <c r="U602" s="264"/>
      <c r="V602" s="264"/>
      <c r="W602" s="264"/>
      <c r="X602" s="264"/>
      <c r="Y602" s="264"/>
      <c r="Z602" s="264"/>
      <c r="AA602" s="264"/>
    </row>
    <row r="603" spans="1:27" ht="15.75" customHeight="1">
      <c r="A603" s="264"/>
      <c r="B603" s="264"/>
      <c r="C603" s="264"/>
      <c r="D603" s="264"/>
      <c r="E603" s="264"/>
      <c r="F603" s="264"/>
      <c r="G603" s="264"/>
      <c r="H603" s="264"/>
      <c r="I603" s="264"/>
      <c r="J603" s="264"/>
      <c r="K603" s="264"/>
      <c r="L603" s="264"/>
      <c r="M603" s="264"/>
      <c r="N603" s="264"/>
      <c r="O603" s="264"/>
      <c r="P603" s="264"/>
      <c r="Q603" s="264"/>
      <c r="R603" s="264"/>
      <c r="S603" s="264"/>
      <c r="T603" s="264"/>
      <c r="U603" s="264"/>
      <c r="V603" s="264"/>
      <c r="W603" s="264"/>
      <c r="X603" s="264"/>
      <c r="Y603" s="264"/>
      <c r="Z603" s="264"/>
      <c r="AA603" s="264"/>
    </row>
    <row r="604" spans="1:27" ht="15.75" customHeight="1">
      <c r="A604" s="264"/>
      <c r="B604" s="264"/>
      <c r="C604" s="264"/>
      <c r="D604" s="264"/>
      <c r="E604" s="264"/>
      <c r="F604" s="264"/>
      <c r="G604" s="264"/>
      <c r="H604" s="264"/>
      <c r="I604" s="264"/>
      <c r="J604" s="264"/>
      <c r="K604" s="264"/>
      <c r="L604" s="264"/>
      <c r="M604" s="264"/>
      <c r="N604" s="264"/>
      <c r="O604" s="264"/>
      <c r="P604" s="264"/>
      <c r="Q604" s="264"/>
      <c r="R604" s="264"/>
      <c r="S604" s="264"/>
      <c r="T604" s="264"/>
      <c r="U604" s="264"/>
      <c r="V604" s="264"/>
      <c r="W604" s="264"/>
      <c r="X604" s="264"/>
      <c r="Y604" s="264"/>
      <c r="Z604" s="264"/>
      <c r="AA604" s="264"/>
    </row>
    <row r="605" spans="1:27" ht="15.75" customHeight="1">
      <c r="A605" s="264"/>
      <c r="B605" s="264"/>
      <c r="C605" s="264"/>
      <c r="D605" s="264"/>
      <c r="E605" s="264"/>
      <c r="F605" s="264"/>
      <c r="G605" s="264"/>
      <c r="H605" s="264"/>
      <c r="I605" s="264"/>
      <c r="J605" s="264"/>
      <c r="K605" s="264"/>
      <c r="L605" s="264"/>
      <c r="M605" s="264"/>
      <c r="N605" s="264"/>
      <c r="O605" s="264"/>
      <c r="P605" s="264"/>
      <c r="Q605" s="264"/>
      <c r="R605" s="264"/>
      <c r="S605" s="264"/>
      <c r="T605" s="264"/>
      <c r="U605" s="264"/>
      <c r="V605" s="264"/>
      <c r="W605" s="264"/>
      <c r="X605" s="264"/>
      <c r="Y605" s="264"/>
      <c r="Z605" s="264"/>
      <c r="AA605" s="264"/>
    </row>
    <row r="606" spans="1:27" ht="15.75" customHeight="1">
      <c r="A606" s="264"/>
      <c r="B606" s="264"/>
      <c r="C606" s="264"/>
      <c r="D606" s="264"/>
      <c r="E606" s="264"/>
      <c r="F606" s="264"/>
      <c r="G606" s="264"/>
      <c r="H606" s="264"/>
      <c r="I606" s="264"/>
      <c r="J606" s="264"/>
      <c r="K606" s="264"/>
      <c r="L606" s="264"/>
      <c r="M606" s="264"/>
      <c r="N606" s="264"/>
      <c r="O606" s="264"/>
      <c r="P606" s="264"/>
      <c r="Q606" s="264"/>
      <c r="R606" s="264"/>
      <c r="S606" s="264"/>
      <c r="T606" s="264"/>
      <c r="U606" s="264"/>
      <c r="V606" s="264"/>
      <c r="W606" s="264"/>
      <c r="X606" s="264"/>
      <c r="Y606" s="264"/>
      <c r="Z606" s="264"/>
      <c r="AA606" s="264"/>
    </row>
    <row r="607" spans="1:27" ht="15.75" customHeight="1">
      <c r="A607" s="264"/>
      <c r="B607" s="264"/>
      <c r="C607" s="264"/>
      <c r="D607" s="264"/>
      <c r="E607" s="264"/>
      <c r="F607" s="264"/>
      <c r="G607" s="264"/>
      <c r="H607" s="264"/>
      <c r="I607" s="264"/>
      <c r="J607" s="264"/>
      <c r="K607" s="264"/>
      <c r="L607" s="264"/>
      <c r="M607" s="264"/>
      <c r="N607" s="264"/>
      <c r="O607" s="264"/>
      <c r="P607" s="264"/>
      <c r="Q607" s="264"/>
      <c r="R607" s="264"/>
      <c r="S607" s="264"/>
      <c r="T607" s="264"/>
      <c r="U607" s="264"/>
      <c r="V607" s="264"/>
      <c r="W607" s="264"/>
      <c r="X607" s="264"/>
      <c r="Y607" s="264"/>
      <c r="Z607" s="264"/>
      <c r="AA607" s="264"/>
    </row>
    <row r="608" spans="1:27" ht="15.75" customHeight="1">
      <c r="A608" s="264"/>
      <c r="B608" s="264"/>
      <c r="C608" s="264"/>
      <c r="D608" s="264"/>
      <c r="E608" s="264"/>
      <c r="F608" s="264"/>
      <c r="G608" s="264"/>
      <c r="H608" s="264"/>
      <c r="I608" s="264"/>
      <c r="J608" s="264"/>
      <c r="K608" s="264"/>
      <c r="L608" s="264"/>
      <c r="M608" s="264"/>
      <c r="N608" s="264"/>
      <c r="O608" s="264"/>
      <c r="P608" s="264"/>
      <c r="Q608" s="264"/>
      <c r="R608" s="264"/>
      <c r="S608" s="264"/>
      <c r="T608" s="264"/>
      <c r="U608" s="264"/>
      <c r="V608" s="264"/>
      <c r="W608" s="264"/>
      <c r="X608" s="264"/>
      <c r="Y608" s="264"/>
      <c r="Z608" s="264"/>
      <c r="AA608" s="264"/>
    </row>
    <row r="609" spans="1:27" ht="15.75" customHeight="1">
      <c r="A609" s="264"/>
      <c r="B609" s="264"/>
      <c r="C609" s="264"/>
      <c r="D609" s="264"/>
      <c r="E609" s="264"/>
      <c r="F609" s="264"/>
      <c r="G609" s="264"/>
      <c r="H609" s="264"/>
      <c r="I609" s="264"/>
      <c r="J609" s="264"/>
      <c r="K609" s="264"/>
      <c r="L609" s="264"/>
      <c r="M609" s="264"/>
      <c r="N609" s="264"/>
      <c r="O609" s="264"/>
      <c r="P609" s="264"/>
      <c r="Q609" s="264"/>
      <c r="R609" s="264"/>
      <c r="S609" s="264"/>
      <c r="T609" s="264"/>
      <c r="U609" s="264"/>
      <c r="V609" s="264"/>
      <c r="W609" s="264"/>
      <c r="X609" s="264"/>
      <c r="Y609" s="264"/>
      <c r="Z609" s="264"/>
      <c r="AA609" s="264"/>
    </row>
    <row r="610" spans="1:27" ht="15.75" customHeight="1">
      <c r="A610" s="264"/>
      <c r="B610" s="264"/>
      <c r="C610" s="264"/>
      <c r="D610" s="264"/>
      <c r="E610" s="264"/>
      <c r="F610" s="264"/>
      <c r="G610" s="264"/>
      <c r="H610" s="264"/>
      <c r="I610" s="264"/>
      <c r="J610" s="264"/>
      <c r="K610" s="264"/>
      <c r="L610" s="264"/>
      <c r="M610" s="264"/>
      <c r="N610" s="264"/>
      <c r="O610" s="264"/>
      <c r="P610" s="264"/>
      <c r="Q610" s="264"/>
      <c r="R610" s="264"/>
      <c r="S610" s="264"/>
      <c r="T610" s="264"/>
      <c r="U610" s="264"/>
      <c r="V610" s="264"/>
      <c r="W610" s="264"/>
      <c r="X610" s="264"/>
      <c r="Y610" s="264"/>
      <c r="Z610" s="264"/>
      <c r="AA610" s="264"/>
    </row>
    <row r="611" spans="1:27" ht="15.75" customHeight="1">
      <c r="A611" s="264"/>
      <c r="B611" s="264"/>
      <c r="C611" s="264"/>
      <c r="D611" s="264"/>
      <c r="E611" s="264"/>
      <c r="F611" s="264"/>
      <c r="G611" s="264"/>
      <c r="H611" s="264"/>
      <c r="I611" s="264"/>
      <c r="J611" s="264"/>
      <c r="K611" s="264"/>
      <c r="L611" s="264"/>
      <c r="M611" s="264"/>
      <c r="N611" s="264"/>
      <c r="O611" s="264"/>
      <c r="P611" s="264"/>
      <c r="Q611" s="264"/>
      <c r="R611" s="264"/>
      <c r="S611" s="264"/>
      <c r="T611" s="264"/>
      <c r="U611" s="264"/>
      <c r="V611" s="264"/>
      <c r="W611" s="264"/>
      <c r="X611" s="264"/>
      <c r="Y611" s="264"/>
      <c r="Z611" s="264"/>
      <c r="AA611" s="264"/>
    </row>
    <row r="612" spans="1:27" ht="15.75" customHeight="1">
      <c r="A612" s="264"/>
      <c r="B612" s="264"/>
      <c r="C612" s="264"/>
      <c r="D612" s="264"/>
      <c r="E612" s="264"/>
      <c r="F612" s="264"/>
      <c r="G612" s="264"/>
      <c r="H612" s="264"/>
      <c r="I612" s="264"/>
      <c r="J612" s="264"/>
      <c r="K612" s="264"/>
      <c r="L612" s="264"/>
      <c r="M612" s="264"/>
      <c r="N612" s="264"/>
      <c r="O612" s="264"/>
      <c r="P612" s="264"/>
      <c r="Q612" s="264"/>
      <c r="R612" s="264"/>
      <c r="S612" s="264"/>
      <c r="T612" s="264"/>
      <c r="U612" s="264"/>
      <c r="V612" s="264"/>
      <c r="W612" s="264"/>
      <c r="X612" s="264"/>
      <c r="Y612" s="264"/>
      <c r="Z612" s="264"/>
      <c r="AA612" s="264"/>
    </row>
    <row r="613" spans="1:27" ht="15.75" customHeight="1">
      <c r="A613" s="264"/>
      <c r="B613" s="264"/>
      <c r="C613" s="264"/>
      <c r="D613" s="264"/>
      <c r="E613" s="264"/>
      <c r="F613" s="264"/>
      <c r="G613" s="264"/>
      <c r="H613" s="264"/>
      <c r="I613" s="264"/>
      <c r="J613" s="264"/>
      <c r="K613" s="264"/>
      <c r="L613" s="264"/>
      <c r="M613" s="264"/>
      <c r="N613" s="264"/>
      <c r="O613" s="264"/>
      <c r="P613" s="264"/>
      <c r="Q613" s="264"/>
      <c r="R613" s="264"/>
      <c r="S613" s="264"/>
      <c r="T613" s="264"/>
      <c r="U613" s="264"/>
      <c r="V613" s="264"/>
      <c r="W613" s="264"/>
      <c r="X613" s="264"/>
      <c r="Y613" s="264"/>
      <c r="Z613" s="264"/>
      <c r="AA613" s="264"/>
    </row>
    <row r="614" spans="1:27" ht="15.75" customHeight="1">
      <c r="A614" s="264"/>
      <c r="B614" s="264"/>
      <c r="C614" s="264"/>
      <c r="D614" s="264"/>
      <c r="E614" s="264"/>
      <c r="F614" s="264"/>
      <c r="G614" s="264"/>
      <c r="H614" s="264"/>
      <c r="I614" s="264"/>
      <c r="J614" s="264"/>
      <c r="K614" s="264"/>
      <c r="L614" s="264"/>
      <c r="M614" s="264"/>
      <c r="N614" s="264"/>
      <c r="O614" s="264"/>
      <c r="P614" s="264"/>
      <c r="Q614" s="264"/>
      <c r="R614" s="264"/>
      <c r="S614" s="264"/>
      <c r="T614" s="264"/>
      <c r="U614" s="264"/>
      <c r="V614" s="264"/>
      <c r="W614" s="264"/>
      <c r="X614" s="264"/>
      <c r="Y614" s="264"/>
      <c r="Z614" s="264"/>
      <c r="AA614" s="264"/>
    </row>
    <row r="615" spans="1:27" ht="15.75" customHeight="1">
      <c r="A615" s="264"/>
      <c r="B615" s="264"/>
      <c r="C615" s="264"/>
      <c r="D615" s="264"/>
      <c r="E615" s="264"/>
      <c r="F615" s="264"/>
      <c r="G615" s="264"/>
      <c r="H615" s="264"/>
      <c r="I615" s="264"/>
      <c r="J615" s="264"/>
      <c r="K615" s="264"/>
      <c r="L615" s="264"/>
      <c r="M615" s="264"/>
      <c r="N615" s="264"/>
      <c r="O615" s="264"/>
      <c r="P615" s="264"/>
      <c r="Q615" s="264"/>
      <c r="R615" s="264"/>
      <c r="S615" s="264"/>
      <c r="T615" s="264"/>
      <c r="U615" s="264"/>
      <c r="V615" s="264"/>
      <c r="W615" s="264"/>
      <c r="X615" s="264"/>
      <c r="Y615" s="264"/>
      <c r="Z615" s="264"/>
      <c r="AA615" s="264"/>
    </row>
    <row r="616" spans="1:27" ht="15.75" customHeight="1">
      <c r="A616" s="264"/>
      <c r="B616" s="264"/>
      <c r="C616" s="264"/>
      <c r="D616" s="264"/>
      <c r="E616" s="264"/>
      <c r="F616" s="264"/>
      <c r="G616" s="264"/>
      <c r="H616" s="264"/>
      <c r="I616" s="264"/>
      <c r="J616" s="264"/>
      <c r="K616" s="264"/>
      <c r="L616" s="264"/>
      <c r="M616" s="264"/>
      <c r="N616" s="264"/>
      <c r="O616" s="264"/>
      <c r="P616" s="264"/>
      <c r="Q616" s="264"/>
      <c r="R616" s="264"/>
      <c r="S616" s="264"/>
      <c r="T616" s="264"/>
      <c r="U616" s="264"/>
      <c r="V616" s="264"/>
      <c r="W616" s="264"/>
      <c r="X616" s="264"/>
      <c r="Y616" s="264"/>
      <c r="Z616" s="264"/>
      <c r="AA616" s="264"/>
    </row>
    <row r="617" spans="1:27" ht="15.75" customHeight="1">
      <c r="A617" s="264"/>
      <c r="B617" s="264"/>
      <c r="C617" s="264"/>
      <c r="D617" s="264"/>
      <c r="E617" s="264"/>
      <c r="F617" s="264"/>
      <c r="G617" s="264"/>
      <c r="H617" s="264"/>
      <c r="I617" s="264"/>
      <c r="J617" s="264"/>
      <c r="K617" s="264"/>
      <c r="L617" s="264"/>
      <c r="M617" s="264"/>
      <c r="N617" s="264"/>
      <c r="O617" s="264"/>
      <c r="P617" s="264"/>
      <c r="Q617" s="264"/>
      <c r="R617" s="264"/>
      <c r="S617" s="264"/>
      <c r="T617" s="264"/>
      <c r="U617" s="264"/>
      <c r="V617" s="264"/>
      <c r="W617" s="264"/>
      <c r="X617" s="264"/>
      <c r="Y617" s="264"/>
      <c r="Z617" s="264"/>
      <c r="AA617" s="264"/>
    </row>
    <row r="618" spans="1:27" ht="15.75" customHeight="1">
      <c r="A618" s="264"/>
      <c r="B618" s="264"/>
      <c r="C618" s="264"/>
      <c r="D618" s="264"/>
      <c r="E618" s="264"/>
      <c r="F618" s="264"/>
      <c r="G618" s="264"/>
      <c r="H618" s="264"/>
      <c r="I618" s="264"/>
      <c r="J618" s="264"/>
      <c r="K618" s="264"/>
      <c r="L618" s="264"/>
      <c r="M618" s="264"/>
      <c r="N618" s="264"/>
      <c r="O618" s="264"/>
      <c r="P618" s="264"/>
      <c r="Q618" s="264"/>
      <c r="R618" s="264"/>
      <c r="S618" s="264"/>
      <c r="T618" s="264"/>
      <c r="U618" s="264"/>
      <c r="V618" s="264"/>
      <c r="W618" s="264"/>
      <c r="X618" s="264"/>
      <c r="Y618" s="264"/>
      <c r="Z618" s="264"/>
      <c r="AA618" s="264"/>
    </row>
    <row r="619" spans="1:27" ht="15.75" customHeight="1">
      <c r="A619" s="264"/>
      <c r="B619" s="264"/>
      <c r="C619" s="264"/>
      <c r="D619" s="264"/>
      <c r="E619" s="264"/>
      <c r="F619" s="264"/>
      <c r="G619" s="264"/>
      <c r="H619" s="264"/>
      <c r="I619" s="264"/>
      <c r="J619" s="264"/>
      <c r="K619" s="264"/>
      <c r="L619" s="264"/>
      <c r="M619" s="264"/>
      <c r="N619" s="264"/>
      <c r="O619" s="264"/>
      <c r="P619" s="264"/>
      <c r="Q619" s="264"/>
      <c r="R619" s="264"/>
      <c r="S619" s="264"/>
      <c r="T619" s="264"/>
      <c r="U619" s="264"/>
      <c r="V619" s="264"/>
      <c r="W619" s="264"/>
      <c r="X619" s="264"/>
      <c r="Y619" s="264"/>
      <c r="Z619" s="264"/>
      <c r="AA619" s="264"/>
    </row>
    <row r="620" spans="1:27" ht="15.75" customHeight="1">
      <c r="A620" s="264"/>
      <c r="B620" s="264"/>
      <c r="C620" s="264"/>
      <c r="D620" s="264"/>
      <c r="E620" s="264"/>
      <c r="F620" s="264"/>
      <c r="G620" s="264"/>
      <c r="H620" s="264"/>
      <c r="I620" s="264"/>
      <c r="J620" s="264"/>
      <c r="K620" s="264"/>
      <c r="L620" s="264"/>
      <c r="M620" s="264"/>
      <c r="N620" s="264"/>
      <c r="O620" s="264"/>
      <c r="P620" s="264"/>
      <c r="Q620" s="264"/>
      <c r="R620" s="264"/>
      <c r="S620" s="264"/>
      <c r="T620" s="264"/>
      <c r="U620" s="264"/>
      <c r="V620" s="264"/>
      <c r="W620" s="264"/>
      <c r="X620" s="264"/>
      <c r="Y620" s="264"/>
      <c r="Z620" s="264"/>
      <c r="AA620" s="264"/>
    </row>
    <row r="621" spans="1:27" ht="15.75" customHeight="1">
      <c r="A621" s="264"/>
      <c r="B621" s="264"/>
      <c r="C621" s="264"/>
      <c r="D621" s="264"/>
      <c r="E621" s="264"/>
      <c r="F621" s="264"/>
      <c r="G621" s="264"/>
      <c r="H621" s="264"/>
      <c r="I621" s="264"/>
      <c r="J621" s="264"/>
      <c r="K621" s="264"/>
      <c r="L621" s="264"/>
      <c r="M621" s="264"/>
      <c r="N621" s="264"/>
      <c r="O621" s="264"/>
      <c r="P621" s="264"/>
      <c r="Q621" s="264"/>
      <c r="R621" s="264"/>
      <c r="S621" s="264"/>
      <c r="T621" s="264"/>
      <c r="U621" s="264"/>
      <c r="V621" s="264"/>
      <c r="W621" s="264"/>
      <c r="X621" s="264"/>
      <c r="Y621" s="264"/>
      <c r="Z621" s="264"/>
      <c r="AA621" s="264"/>
    </row>
    <row r="622" spans="1:27" ht="15.75" customHeight="1">
      <c r="A622" s="264"/>
      <c r="B622" s="264"/>
      <c r="C622" s="264"/>
      <c r="D622" s="264"/>
      <c r="E622" s="264"/>
      <c r="F622" s="264"/>
      <c r="G622" s="264"/>
      <c r="H622" s="264"/>
      <c r="I622" s="264"/>
      <c r="J622" s="264"/>
      <c r="K622" s="264"/>
      <c r="L622" s="264"/>
      <c r="M622" s="264"/>
      <c r="N622" s="264"/>
      <c r="O622" s="264"/>
      <c r="P622" s="264"/>
      <c r="Q622" s="264"/>
      <c r="R622" s="264"/>
      <c r="S622" s="264"/>
      <c r="T622" s="264"/>
      <c r="U622" s="264"/>
      <c r="V622" s="264"/>
      <c r="W622" s="264"/>
      <c r="X622" s="264"/>
      <c r="Y622" s="264"/>
      <c r="Z622" s="264"/>
      <c r="AA622" s="264"/>
    </row>
    <row r="623" spans="1:27" ht="15.75" customHeight="1">
      <c r="A623" s="264"/>
      <c r="B623" s="264"/>
      <c r="C623" s="264"/>
      <c r="D623" s="264"/>
      <c r="E623" s="264"/>
      <c r="F623" s="264"/>
      <c r="G623" s="264"/>
      <c r="H623" s="264"/>
      <c r="I623" s="264"/>
      <c r="J623" s="264"/>
      <c r="K623" s="264"/>
      <c r="L623" s="264"/>
      <c r="M623" s="264"/>
      <c r="N623" s="264"/>
      <c r="O623" s="264"/>
      <c r="P623" s="264"/>
      <c r="Q623" s="264"/>
      <c r="R623" s="264"/>
      <c r="S623" s="264"/>
      <c r="T623" s="264"/>
      <c r="U623" s="264"/>
      <c r="V623" s="264"/>
      <c r="W623" s="264"/>
      <c r="X623" s="264"/>
      <c r="Y623" s="264"/>
      <c r="Z623" s="264"/>
      <c r="AA623" s="264"/>
    </row>
    <row r="624" spans="1:27" ht="15.75" customHeight="1">
      <c r="A624" s="264"/>
      <c r="B624" s="264"/>
      <c r="C624" s="264"/>
      <c r="D624" s="264"/>
      <c r="E624" s="264"/>
      <c r="F624" s="264"/>
      <c r="G624" s="264"/>
      <c r="H624" s="264"/>
      <c r="I624" s="264"/>
      <c r="J624" s="264"/>
      <c r="K624" s="264"/>
      <c r="L624" s="264"/>
      <c r="M624" s="264"/>
      <c r="N624" s="264"/>
      <c r="O624" s="264"/>
      <c r="P624" s="264"/>
      <c r="Q624" s="264"/>
      <c r="R624" s="264"/>
      <c r="S624" s="264"/>
      <c r="T624" s="264"/>
      <c r="U624" s="264"/>
      <c r="V624" s="264"/>
      <c r="W624" s="264"/>
      <c r="X624" s="264"/>
      <c r="Y624" s="264"/>
      <c r="Z624" s="264"/>
      <c r="AA624" s="264"/>
    </row>
    <row r="625" spans="1:27" ht="15.75" customHeight="1">
      <c r="A625" s="264"/>
      <c r="B625" s="264"/>
      <c r="C625" s="264"/>
      <c r="D625" s="264"/>
      <c r="E625" s="264"/>
      <c r="F625" s="264"/>
      <c r="G625" s="264"/>
      <c r="H625" s="264"/>
      <c r="I625" s="264"/>
      <c r="J625" s="264"/>
      <c r="K625" s="264"/>
      <c r="L625" s="264"/>
      <c r="M625" s="264"/>
      <c r="N625" s="264"/>
      <c r="O625" s="264"/>
      <c r="P625" s="264"/>
      <c r="Q625" s="264"/>
      <c r="R625" s="264"/>
      <c r="S625" s="264"/>
      <c r="T625" s="264"/>
      <c r="U625" s="264"/>
      <c r="V625" s="264"/>
      <c r="W625" s="264"/>
      <c r="X625" s="264"/>
      <c r="Y625" s="264"/>
      <c r="Z625" s="264"/>
      <c r="AA625" s="264"/>
    </row>
    <row r="626" spans="1:27" ht="15.75" customHeight="1">
      <c r="A626" s="264"/>
      <c r="B626" s="264"/>
      <c r="C626" s="264"/>
      <c r="D626" s="264"/>
      <c r="E626" s="264"/>
      <c r="F626" s="264"/>
      <c r="G626" s="264"/>
      <c r="H626" s="264"/>
      <c r="I626" s="264"/>
      <c r="J626" s="264"/>
      <c r="K626" s="264"/>
      <c r="L626" s="264"/>
      <c r="M626" s="264"/>
      <c r="N626" s="264"/>
      <c r="O626" s="264"/>
      <c r="P626" s="264"/>
      <c r="Q626" s="264"/>
      <c r="R626" s="264"/>
      <c r="S626" s="264"/>
      <c r="T626" s="264"/>
      <c r="U626" s="264"/>
      <c r="V626" s="264"/>
      <c r="W626" s="264"/>
      <c r="X626" s="264"/>
      <c r="Y626" s="264"/>
      <c r="Z626" s="264"/>
      <c r="AA626" s="264"/>
    </row>
    <row r="627" spans="1:27" ht="15.75" customHeight="1">
      <c r="A627" s="264"/>
      <c r="B627" s="264"/>
      <c r="C627" s="264"/>
      <c r="D627" s="264"/>
      <c r="E627" s="264"/>
      <c r="F627" s="264"/>
      <c r="G627" s="264"/>
      <c r="H627" s="264"/>
      <c r="I627" s="264"/>
      <c r="J627" s="264"/>
      <c r="K627" s="264"/>
      <c r="L627" s="264"/>
      <c r="M627" s="264"/>
      <c r="N627" s="264"/>
      <c r="O627" s="264"/>
      <c r="P627" s="264"/>
      <c r="Q627" s="264"/>
      <c r="R627" s="264"/>
      <c r="S627" s="264"/>
      <c r="T627" s="264"/>
      <c r="U627" s="264"/>
      <c r="V627" s="264"/>
      <c r="W627" s="264"/>
      <c r="X627" s="264"/>
      <c r="Y627" s="264"/>
      <c r="Z627" s="264"/>
      <c r="AA627" s="264"/>
    </row>
    <row r="628" spans="1:27" ht="15.75" customHeight="1">
      <c r="A628" s="264"/>
      <c r="B628" s="264"/>
      <c r="C628" s="264"/>
      <c r="D628" s="264"/>
      <c r="E628" s="264"/>
      <c r="F628" s="264"/>
      <c r="G628" s="264"/>
      <c r="H628" s="264"/>
      <c r="I628" s="264"/>
      <c r="J628" s="264"/>
      <c r="K628" s="264"/>
      <c r="L628" s="264"/>
      <c r="M628" s="264"/>
      <c r="N628" s="264"/>
      <c r="O628" s="264"/>
      <c r="P628" s="264"/>
      <c r="Q628" s="264"/>
      <c r="R628" s="264"/>
      <c r="S628" s="264"/>
      <c r="T628" s="264"/>
      <c r="U628" s="264"/>
      <c r="V628" s="264"/>
      <c r="W628" s="264"/>
      <c r="X628" s="264"/>
      <c r="Y628" s="264"/>
      <c r="Z628" s="264"/>
      <c r="AA628" s="264"/>
    </row>
    <row r="629" spans="1:27" ht="15.75" customHeight="1">
      <c r="A629" s="264"/>
      <c r="B629" s="264"/>
      <c r="C629" s="264"/>
      <c r="D629" s="264"/>
      <c r="E629" s="264"/>
      <c r="F629" s="264"/>
      <c r="G629" s="264"/>
      <c r="H629" s="264"/>
      <c r="I629" s="264"/>
      <c r="J629" s="264"/>
      <c r="K629" s="264"/>
      <c r="L629" s="264"/>
      <c r="M629" s="264"/>
      <c r="N629" s="264"/>
      <c r="O629" s="264"/>
      <c r="P629" s="264"/>
      <c r="Q629" s="264"/>
      <c r="R629" s="264"/>
      <c r="S629" s="264"/>
      <c r="T629" s="264"/>
      <c r="U629" s="264"/>
      <c r="V629" s="264"/>
      <c r="W629" s="264"/>
      <c r="X629" s="264"/>
      <c r="Y629" s="264"/>
      <c r="Z629" s="264"/>
      <c r="AA629" s="264"/>
    </row>
    <row r="630" spans="1:27" ht="15.75" customHeight="1">
      <c r="A630" s="264"/>
      <c r="B630" s="264"/>
      <c r="C630" s="264"/>
      <c r="D630" s="264"/>
      <c r="E630" s="264"/>
      <c r="F630" s="264"/>
      <c r="G630" s="264"/>
      <c r="H630" s="264"/>
      <c r="I630" s="264"/>
      <c r="J630" s="264"/>
      <c r="K630" s="264"/>
      <c r="L630" s="264"/>
      <c r="M630" s="264"/>
      <c r="N630" s="264"/>
      <c r="O630" s="264"/>
      <c r="P630" s="264"/>
      <c r="Q630" s="264"/>
      <c r="R630" s="264"/>
      <c r="S630" s="264"/>
      <c r="T630" s="264"/>
      <c r="U630" s="264"/>
      <c r="V630" s="264"/>
      <c r="W630" s="264"/>
      <c r="X630" s="264"/>
      <c r="Y630" s="264"/>
      <c r="Z630" s="264"/>
      <c r="AA630" s="264"/>
    </row>
    <row r="631" spans="1:27" ht="15.75" customHeight="1">
      <c r="A631" s="264"/>
      <c r="B631" s="264"/>
      <c r="C631" s="264"/>
      <c r="D631" s="264"/>
      <c r="E631" s="264"/>
      <c r="F631" s="264"/>
      <c r="G631" s="264"/>
      <c r="H631" s="264"/>
      <c r="I631" s="264"/>
      <c r="J631" s="264"/>
      <c r="K631" s="264"/>
      <c r="L631" s="264"/>
      <c r="M631" s="264"/>
      <c r="N631" s="264"/>
      <c r="O631" s="264"/>
      <c r="P631" s="264"/>
      <c r="Q631" s="264"/>
      <c r="R631" s="264"/>
      <c r="S631" s="264"/>
      <c r="T631" s="264"/>
      <c r="U631" s="264"/>
      <c r="V631" s="264"/>
      <c r="W631" s="264"/>
      <c r="X631" s="264"/>
      <c r="Y631" s="264"/>
      <c r="Z631" s="264"/>
      <c r="AA631" s="264"/>
    </row>
    <row r="632" spans="1:27" ht="15.75" customHeight="1">
      <c r="A632" s="264"/>
      <c r="B632" s="264"/>
      <c r="C632" s="264"/>
      <c r="D632" s="264"/>
      <c r="E632" s="264"/>
      <c r="F632" s="264"/>
      <c r="G632" s="264"/>
      <c r="H632" s="264"/>
      <c r="I632" s="264"/>
      <c r="J632" s="264"/>
      <c r="K632" s="264"/>
      <c r="L632" s="264"/>
      <c r="M632" s="264"/>
      <c r="N632" s="264"/>
      <c r="O632" s="264"/>
      <c r="P632" s="264"/>
      <c r="Q632" s="264"/>
      <c r="R632" s="264"/>
      <c r="S632" s="264"/>
      <c r="T632" s="264"/>
      <c r="U632" s="264"/>
      <c r="V632" s="264"/>
      <c r="W632" s="264"/>
      <c r="X632" s="264"/>
      <c r="Y632" s="264"/>
      <c r="Z632" s="264"/>
      <c r="AA632" s="264"/>
    </row>
    <row r="633" spans="1:27" ht="15.75" customHeight="1">
      <c r="A633" s="264"/>
      <c r="B633" s="264"/>
      <c r="C633" s="264"/>
      <c r="D633" s="264"/>
      <c r="E633" s="264"/>
      <c r="F633" s="264"/>
      <c r="G633" s="264"/>
      <c r="H633" s="264"/>
      <c r="I633" s="264"/>
      <c r="J633" s="264"/>
      <c r="K633" s="264"/>
      <c r="L633" s="264"/>
      <c r="M633" s="264"/>
      <c r="N633" s="264"/>
      <c r="O633" s="264"/>
      <c r="P633" s="264"/>
      <c r="Q633" s="264"/>
      <c r="R633" s="264"/>
      <c r="S633" s="264"/>
      <c r="T633" s="264"/>
      <c r="U633" s="264"/>
      <c r="V633" s="264"/>
      <c r="W633" s="264"/>
      <c r="X633" s="264"/>
      <c r="Y633" s="264"/>
      <c r="Z633" s="264"/>
      <c r="AA633" s="264"/>
    </row>
    <row r="634" spans="1:27" ht="15.75" customHeight="1">
      <c r="A634" s="264"/>
      <c r="B634" s="264"/>
      <c r="C634" s="264"/>
      <c r="D634" s="264"/>
      <c r="E634" s="264"/>
      <c r="F634" s="264"/>
      <c r="G634" s="264"/>
      <c r="H634" s="264"/>
      <c r="I634" s="264"/>
      <c r="J634" s="264"/>
      <c r="K634" s="264"/>
      <c r="L634" s="264"/>
      <c r="M634" s="264"/>
      <c r="N634" s="264"/>
      <c r="O634" s="264"/>
      <c r="P634" s="264"/>
      <c r="Q634" s="264"/>
      <c r="R634" s="264"/>
      <c r="S634" s="264"/>
      <c r="T634" s="264"/>
      <c r="U634" s="264"/>
      <c r="V634" s="264"/>
      <c r="W634" s="264"/>
      <c r="X634" s="264"/>
      <c r="Y634" s="264"/>
      <c r="Z634" s="264"/>
      <c r="AA634" s="264"/>
    </row>
    <row r="635" spans="1:27" ht="15.75" customHeight="1">
      <c r="A635" s="264"/>
      <c r="B635" s="264"/>
      <c r="C635" s="264"/>
      <c r="D635" s="264"/>
      <c r="E635" s="264"/>
      <c r="F635" s="264"/>
      <c r="G635" s="264"/>
      <c r="H635" s="264"/>
      <c r="I635" s="264"/>
      <c r="J635" s="264"/>
      <c r="K635" s="264"/>
      <c r="L635" s="264"/>
      <c r="M635" s="264"/>
      <c r="N635" s="264"/>
      <c r="O635" s="264"/>
      <c r="P635" s="264"/>
      <c r="Q635" s="264"/>
      <c r="R635" s="264"/>
      <c r="S635" s="264"/>
      <c r="T635" s="264"/>
      <c r="U635" s="264"/>
      <c r="V635" s="264"/>
      <c r="W635" s="264"/>
      <c r="X635" s="264"/>
      <c r="Y635" s="264"/>
      <c r="Z635" s="264"/>
      <c r="AA635" s="264"/>
    </row>
    <row r="636" spans="1:27" ht="15.75" customHeight="1">
      <c r="A636" s="264"/>
      <c r="B636" s="264"/>
      <c r="C636" s="264"/>
      <c r="D636" s="264"/>
      <c r="E636" s="264"/>
      <c r="F636" s="264"/>
      <c r="G636" s="264"/>
      <c r="H636" s="264"/>
      <c r="I636" s="264"/>
      <c r="J636" s="264"/>
      <c r="K636" s="264"/>
      <c r="L636" s="264"/>
      <c r="M636" s="264"/>
      <c r="N636" s="264"/>
      <c r="O636" s="264"/>
      <c r="P636" s="264"/>
      <c r="Q636" s="264"/>
      <c r="R636" s="264"/>
      <c r="S636" s="264"/>
      <c r="T636" s="264"/>
      <c r="U636" s="264"/>
      <c r="V636" s="264"/>
      <c r="W636" s="264"/>
      <c r="X636" s="264"/>
      <c r="Y636" s="264"/>
      <c r="Z636" s="264"/>
      <c r="AA636" s="264"/>
    </row>
    <row r="637" spans="1:27" ht="15.75" customHeight="1">
      <c r="A637" s="264"/>
      <c r="B637" s="264"/>
      <c r="C637" s="264"/>
      <c r="D637" s="264"/>
      <c r="E637" s="264"/>
      <c r="F637" s="264"/>
      <c r="G637" s="264"/>
      <c r="H637" s="264"/>
      <c r="I637" s="264"/>
      <c r="J637" s="264"/>
      <c r="K637" s="264"/>
      <c r="L637" s="264"/>
      <c r="M637" s="264"/>
      <c r="N637" s="264"/>
      <c r="O637" s="264"/>
      <c r="P637" s="264"/>
      <c r="Q637" s="264"/>
      <c r="R637" s="264"/>
      <c r="S637" s="264"/>
      <c r="T637" s="264"/>
      <c r="U637" s="264"/>
      <c r="V637" s="264"/>
      <c r="W637" s="264"/>
      <c r="X637" s="264"/>
      <c r="Y637" s="264"/>
      <c r="Z637" s="264"/>
      <c r="AA637" s="264"/>
    </row>
    <row r="638" spans="1:27" ht="15.75" customHeight="1">
      <c r="A638" s="264"/>
      <c r="B638" s="264"/>
      <c r="C638" s="264"/>
      <c r="D638" s="264"/>
      <c r="E638" s="264"/>
      <c r="F638" s="264"/>
      <c r="G638" s="264"/>
      <c r="H638" s="264"/>
      <c r="I638" s="264"/>
      <c r="J638" s="264"/>
      <c r="K638" s="264"/>
      <c r="L638" s="264"/>
      <c r="M638" s="264"/>
      <c r="N638" s="264"/>
      <c r="O638" s="264"/>
      <c r="P638" s="264"/>
      <c r="Q638" s="264"/>
      <c r="R638" s="264"/>
      <c r="S638" s="264"/>
      <c r="T638" s="264"/>
      <c r="U638" s="264"/>
      <c r="V638" s="264"/>
      <c r="W638" s="264"/>
      <c r="X638" s="264"/>
      <c r="Y638" s="264"/>
      <c r="Z638" s="264"/>
      <c r="AA638" s="264"/>
    </row>
    <row r="639" spans="1:27" ht="15.75" customHeight="1">
      <c r="A639" s="264"/>
      <c r="B639" s="264"/>
      <c r="C639" s="264"/>
      <c r="D639" s="264"/>
      <c r="E639" s="264"/>
      <c r="F639" s="264"/>
      <c r="G639" s="264"/>
      <c r="H639" s="264"/>
      <c r="I639" s="264"/>
      <c r="J639" s="264"/>
      <c r="K639" s="264"/>
      <c r="L639" s="264"/>
      <c r="M639" s="264"/>
      <c r="N639" s="264"/>
      <c r="O639" s="264"/>
      <c r="P639" s="264"/>
      <c r="Q639" s="264"/>
      <c r="R639" s="264"/>
      <c r="S639" s="264"/>
      <c r="T639" s="264"/>
      <c r="U639" s="264"/>
      <c r="V639" s="264"/>
      <c r="W639" s="264"/>
      <c r="X639" s="264"/>
      <c r="Y639" s="264"/>
      <c r="Z639" s="264"/>
      <c r="AA639" s="264"/>
    </row>
    <row r="640" spans="1:27" ht="15.75" customHeight="1">
      <c r="A640" s="264"/>
      <c r="B640" s="264"/>
      <c r="C640" s="264"/>
      <c r="D640" s="264"/>
      <c r="E640" s="264"/>
      <c r="F640" s="264"/>
      <c r="G640" s="264"/>
      <c r="H640" s="264"/>
      <c r="I640" s="264"/>
      <c r="J640" s="264"/>
      <c r="K640" s="264"/>
      <c r="L640" s="264"/>
      <c r="M640" s="264"/>
      <c r="N640" s="264"/>
      <c r="O640" s="264"/>
      <c r="P640" s="264"/>
      <c r="Q640" s="264"/>
      <c r="R640" s="264"/>
      <c r="S640" s="264"/>
      <c r="T640" s="264"/>
      <c r="U640" s="264"/>
      <c r="V640" s="264"/>
      <c r="W640" s="264"/>
      <c r="X640" s="264"/>
      <c r="Y640" s="264"/>
      <c r="Z640" s="264"/>
      <c r="AA640" s="264"/>
    </row>
    <row r="641" spans="1:27" ht="15.75" customHeight="1">
      <c r="A641" s="264"/>
      <c r="B641" s="264"/>
      <c r="C641" s="264"/>
      <c r="D641" s="264"/>
      <c r="E641" s="264"/>
      <c r="F641" s="264"/>
      <c r="G641" s="264"/>
      <c r="H641" s="264"/>
      <c r="I641" s="264"/>
      <c r="J641" s="264"/>
      <c r="K641" s="264"/>
      <c r="L641" s="264"/>
      <c r="M641" s="264"/>
      <c r="N641" s="264"/>
      <c r="O641" s="264"/>
      <c r="P641" s="264"/>
      <c r="Q641" s="264"/>
      <c r="R641" s="264"/>
      <c r="S641" s="264"/>
      <c r="T641" s="264"/>
      <c r="U641" s="264"/>
      <c r="V641" s="264"/>
      <c r="W641" s="264"/>
      <c r="X641" s="264"/>
      <c r="Y641" s="264"/>
      <c r="Z641" s="264"/>
      <c r="AA641" s="264"/>
    </row>
    <row r="642" spans="1:27" ht="15.75" customHeight="1">
      <c r="A642" s="264"/>
      <c r="B642" s="264"/>
      <c r="C642" s="264"/>
      <c r="D642" s="264"/>
      <c r="E642" s="264"/>
      <c r="F642" s="264"/>
      <c r="G642" s="264"/>
      <c r="H642" s="264"/>
      <c r="I642" s="264"/>
      <c r="J642" s="264"/>
      <c r="K642" s="264"/>
      <c r="L642" s="264"/>
      <c r="M642" s="264"/>
      <c r="N642" s="264"/>
      <c r="O642" s="264"/>
      <c r="P642" s="264"/>
      <c r="Q642" s="264"/>
      <c r="R642" s="264"/>
      <c r="S642" s="264"/>
      <c r="T642" s="264"/>
      <c r="U642" s="264"/>
      <c r="V642" s="264"/>
      <c r="W642" s="264"/>
      <c r="X642" s="264"/>
      <c r="Y642" s="264"/>
      <c r="Z642" s="264"/>
      <c r="AA642" s="264"/>
    </row>
    <row r="643" spans="1:27" ht="15.75" customHeight="1">
      <c r="A643" s="264"/>
      <c r="B643" s="264"/>
      <c r="C643" s="264"/>
      <c r="D643" s="264"/>
      <c r="E643" s="264"/>
      <c r="F643" s="264"/>
      <c r="G643" s="264"/>
      <c r="H643" s="264"/>
      <c r="I643" s="264"/>
      <c r="J643" s="264"/>
      <c r="K643" s="264"/>
      <c r="L643" s="264"/>
      <c r="M643" s="264"/>
      <c r="N643" s="264"/>
      <c r="O643" s="264"/>
      <c r="P643" s="264"/>
      <c r="Q643" s="264"/>
      <c r="R643" s="264"/>
      <c r="S643" s="264"/>
      <c r="T643" s="264"/>
      <c r="U643" s="264"/>
      <c r="V643" s="264"/>
      <c r="W643" s="264"/>
      <c r="X643" s="264"/>
      <c r="Y643" s="264"/>
      <c r="Z643" s="264"/>
      <c r="AA643" s="264"/>
    </row>
    <row r="644" spans="1:27" ht="15.75" customHeight="1">
      <c r="A644" s="264"/>
      <c r="B644" s="264"/>
      <c r="C644" s="264"/>
      <c r="D644" s="264"/>
      <c r="E644" s="264"/>
      <c r="F644" s="264"/>
      <c r="G644" s="264"/>
      <c r="H644" s="264"/>
      <c r="I644" s="264"/>
      <c r="J644" s="264"/>
      <c r="K644" s="264"/>
      <c r="L644" s="264"/>
      <c r="M644" s="264"/>
      <c r="N644" s="264"/>
      <c r="O644" s="264"/>
      <c r="P644" s="264"/>
      <c r="Q644" s="264"/>
      <c r="R644" s="264"/>
      <c r="S644" s="264"/>
      <c r="T644" s="264"/>
      <c r="U644" s="264"/>
      <c r="V644" s="264"/>
      <c r="W644" s="264"/>
      <c r="X644" s="264"/>
      <c r="Y644" s="264"/>
      <c r="Z644" s="264"/>
      <c r="AA644" s="264"/>
    </row>
    <row r="645" spans="1:27" ht="15.75" customHeight="1">
      <c r="A645" s="264"/>
      <c r="B645" s="264"/>
      <c r="C645" s="264"/>
      <c r="D645" s="264"/>
      <c r="E645" s="264"/>
      <c r="F645" s="264"/>
      <c r="G645" s="264"/>
      <c r="H645" s="264"/>
      <c r="I645" s="264"/>
      <c r="J645" s="264"/>
      <c r="K645" s="264"/>
      <c r="L645" s="264"/>
      <c r="M645" s="264"/>
      <c r="N645" s="264"/>
      <c r="O645" s="264"/>
      <c r="P645" s="264"/>
      <c r="Q645" s="264"/>
      <c r="R645" s="264"/>
      <c r="S645" s="264"/>
      <c r="T645" s="264"/>
      <c r="U645" s="264"/>
      <c r="V645" s="264"/>
      <c r="W645" s="264"/>
      <c r="X645" s="264"/>
      <c r="Y645" s="264"/>
      <c r="Z645" s="264"/>
      <c r="AA645" s="264"/>
    </row>
    <row r="646" spans="1:27" ht="15.75" customHeight="1">
      <c r="A646" s="264"/>
      <c r="B646" s="264"/>
      <c r="C646" s="264"/>
      <c r="D646" s="264"/>
      <c r="E646" s="264"/>
      <c r="F646" s="264"/>
      <c r="G646" s="264"/>
      <c r="H646" s="264"/>
      <c r="I646" s="264"/>
      <c r="J646" s="264"/>
      <c r="K646" s="264"/>
      <c r="L646" s="264"/>
      <c r="M646" s="264"/>
      <c r="N646" s="264"/>
      <c r="O646" s="264"/>
      <c r="P646" s="264"/>
      <c r="Q646" s="264"/>
      <c r="R646" s="264"/>
      <c r="S646" s="264"/>
      <c r="T646" s="264"/>
      <c r="U646" s="264"/>
      <c r="V646" s="264"/>
      <c r="W646" s="264"/>
      <c r="X646" s="264"/>
      <c r="Y646" s="264"/>
      <c r="Z646" s="264"/>
      <c r="AA646" s="264"/>
    </row>
    <row r="647" spans="1:27" ht="15.75" customHeight="1">
      <c r="A647" s="264"/>
      <c r="B647" s="264"/>
      <c r="C647" s="264"/>
      <c r="D647" s="264"/>
      <c r="E647" s="264"/>
      <c r="F647" s="264"/>
      <c r="G647" s="264"/>
      <c r="H647" s="264"/>
      <c r="I647" s="264"/>
      <c r="J647" s="264"/>
      <c r="K647" s="264"/>
      <c r="L647" s="264"/>
      <c r="M647" s="264"/>
      <c r="N647" s="264"/>
      <c r="O647" s="264"/>
      <c r="P647" s="264"/>
      <c r="Q647" s="264"/>
      <c r="R647" s="264"/>
      <c r="S647" s="264"/>
      <c r="T647" s="264"/>
      <c r="U647" s="264"/>
      <c r="V647" s="264"/>
      <c r="W647" s="264"/>
      <c r="X647" s="264"/>
      <c r="Y647" s="264"/>
      <c r="Z647" s="264"/>
      <c r="AA647" s="264"/>
    </row>
    <row r="648" spans="1:27" ht="15.75" customHeight="1">
      <c r="A648" s="264"/>
      <c r="B648" s="264"/>
      <c r="C648" s="264"/>
      <c r="D648" s="264"/>
      <c r="E648" s="264"/>
      <c r="F648" s="264"/>
      <c r="G648" s="264"/>
      <c r="H648" s="264"/>
      <c r="I648" s="264"/>
      <c r="J648" s="264"/>
      <c r="K648" s="264"/>
      <c r="L648" s="264"/>
      <c r="M648" s="264"/>
      <c r="N648" s="264"/>
      <c r="O648" s="264"/>
      <c r="P648" s="264"/>
      <c r="Q648" s="264"/>
      <c r="R648" s="264"/>
      <c r="S648" s="264"/>
      <c r="T648" s="264"/>
      <c r="U648" s="264"/>
      <c r="V648" s="264"/>
      <c r="W648" s="264"/>
      <c r="X648" s="264"/>
      <c r="Y648" s="264"/>
      <c r="Z648" s="264"/>
      <c r="AA648" s="264"/>
    </row>
    <row r="649" spans="1:27" ht="15.75" customHeight="1">
      <c r="A649" s="264"/>
      <c r="B649" s="264"/>
      <c r="C649" s="264"/>
      <c r="D649" s="264"/>
      <c r="E649" s="264"/>
      <c r="F649" s="264"/>
      <c r="G649" s="264"/>
      <c r="H649" s="264"/>
      <c r="I649" s="264"/>
      <c r="J649" s="264"/>
      <c r="K649" s="264"/>
      <c r="L649" s="264"/>
      <c r="M649" s="264"/>
      <c r="N649" s="264"/>
      <c r="O649" s="264"/>
      <c r="P649" s="264"/>
      <c r="Q649" s="264"/>
      <c r="R649" s="264"/>
      <c r="S649" s="264"/>
      <c r="T649" s="264"/>
      <c r="U649" s="264"/>
      <c r="V649" s="264"/>
      <c r="W649" s="264"/>
      <c r="X649" s="264"/>
      <c r="Y649" s="264"/>
      <c r="Z649" s="264"/>
      <c r="AA649" s="264"/>
    </row>
    <row r="650" spans="1:27" ht="15.75" customHeight="1">
      <c r="A650" s="264"/>
      <c r="B650" s="264"/>
      <c r="C650" s="264"/>
      <c r="D650" s="264"/>
      <c r="E650" s="264"/>
      <c r="F650" s="264"/>
      <c r="G650" s="264"/>
      <c r="H650" s="264"/>
      <c r="I650" s="264"/>
      <c r="J650" s="264"/>
      <c r="K650" s="264"/>
      <c r="L650" s="264"/>
      <c r="M650" s="264"/>
      <c r="N650" s="264"/>
      <c r="O650" s="264"/>
      <c r="P650" s="264"/>
      <c r="Q650" s="264"/>
      <c r="R650" s="264"/>
      <c r="S650" s="264"/>
      <c r="T650" s="264"/>
      <c r="U650" s="264"/>
      <c r="V650" s="264"/>
      <c r="W650" s="264"/>
      <c r="X650" s="264"/>
      <c r="Y650" s="264"/>
      <c r="Z650" s="264"/>
      <c r="AA650" s="264"/>
    </row>
    <row r="651" spans="1:27" ht="15.75" customHeight="1">
      <c r="A651" s="264"/>
      <c r="B651" s="264"/>
      <c r="C651" s="264"/>
      <c r="D651" s="264"/>
      <c r="E651" s="264"/>
      <c r="F651" s="264"/>
      <c r="G651" s="264"/>
      <c r="H651" s="264"/>
      <c r="I651" s="264"/>
      <c r="J651" s="264"/>
      <c r="K651" s="264"/>
      <c r="L651" s="264"/>
      <c r="M651" s="264"/>
      <c r="N651" s="264"/>
      <c r="O651" s="264"/>
      <c r="P651" s="264"/>
      <c r="Q651" s="264"/>
      <c r="R651" s="264"/>
      <c r="S651" s="264"/>
      <c r="T651" s="264"/>
      <c r="U651" s="264"/>
      <c r="V651" s="264"/>
      <c r="W651" s="264"/>
      <c r="X651" s="264"/>
      <c r="Y651" s="264"/>
      <c r="Z651" s="264"/>
      <c r="AA651" s="264"/>
    </row>
    <row r="652" spans="1:27" ht="15.75" customHeight="1">
      <c r="A652" s="264"/>
      <c r="B652" s="264"/>
      <c r="C652" s="264"/>
      <c r="D652" s="264"/>
      <c r="E652" s="264"/>
      <c r="F652" s="264"/>
      <c r="G652" s="264"/>
      <c r="H652" s="264"/>
      <c r="I652" s="264"/>
      <c r="J652" s="264"/>
      <c r="K652" s="264"/>
      <c r="L652" s="264"/>
      <c r="M652" s="264"/>
      <c r="N652" s="264"/>
      <c r="O652" s="264"/>
      <c r="P652" s="264"/>
      <c r="Q652" s="264"/>
      <c r="R652" s="264"/>
      <c r="S652" s="264"/>
      <c r="T652" s="264"/>
      <c r="U652" s="264"/>
      <c r="V652" s="264"/>
      <c r="W652" s="264"/>
      <c r="X652" s="264"/>
      <c r="Y652" s="264"/>
      <c r="Z652" s="264"/>
      <c r="AA652" s="264"/>
    </row>
    <row r="653" spans="1:27" ht="15.75" customHeight="1">
      <c r="A653" s="264"/>
      <c r="B653" s="264"/>
      <c r="C653" s="264"/>
      <c r="D653" s="264"/>
      <c r="E653" s="264"/>
      <c r="F653" s="264"/>
      <c r="G653" s="264"/>
      <c r="H653" s="264"/>
      <c r="I653" s="264"/>
      <c r="J653" s="264"/>
      <c r="K653" s="264"/>
      <c r="L653" s="264"/>
      <c r="M653" s="264"/>
      <c r="N653" s="264"/>
      <c r="O653" s="264"/>
      <c r="P653" s="264"/>
      <c r="Q653" s="264"/>
      <c r="R653" s="264"/>
      <c r="S653" s="264"/>
      <c r="T653" s="264"/>
      <c r="U653" s="264"/>
      <c r="V653" s="264"/>
      <c r="W653" s="264"/>
      <c r="X653" s="264"/>
      <c r="Y653" s="264"/>
      <c r="Z653" s="264"/>
      <c r="AA653" s="264"/>
    </row>
    <row r="654" spans="1:27" ht="15.75" customHeight="1">
      <c r="A654" s="264"/>
      <c r="B654" s="264"/>
      <c r="C654" s="264"/>
      <c r="D654" s="264"/>
      <c r="E654" s="264"/>
      <c r="F654" s="264"/>
      <c r="G654" s="264"/>
      <c r="H654" s="264"/>
      <c r="I654" s="264"/>
      <c r="J654" s="264"/>
      <c r="K654" s="264"/>
      <c r="L654" s="264"/>
      <c r="M654" s="264"/>
      <c r="N654" s="264"/>
      <c r="O654" s="264"/>
      <c r="P654" s="264"/>
      <c r="Q654" s="264"/>
      <c r="R654" s="264"/>
      <c r="S654" s="264"/>
      <c r="T654" s="264"/>
      <c r="U654" s="264"/>
      <c r="V654" s="264"/>
      <c r="W654" s="264"/>
      <c r="X654" s="264"/>
      <c r="Y654" s="264"/>
      <c r="Z654" s="264"/>
      <c r="AA654" s="264"/>
    </row>
    <row r="655" spans="1:27" ht="15.75" customHeight="1">
      <c r="A655" s="264"/>
      <c r="B655" s="264"/>
      <c r="C655" s="264"/>
      <c r="D655" s="264"/>
      <c r="E655" s="264"/>
      <c r="F655" s="264"/>
      <c r="G655" s="264"/>
      <c r="H655" s="264"/>
      <c r="I655" s="264"/>
      <c r="J655" s="264"/>
      <c r="K655" s="264"/>
      <c r="L655" s="264"/>
      <c r="M655" s="264"/>
      <c r="N655" s="264"/>
      <c r="O655" s="264"/>
      <c r="P655" s="264"/>
      <c r="Q655" s="264"/>
      <c r="R655" s="264"/>
      <c r="S655" s="264"/>
      <c r="T655" s="264"/>
      <c r="U655" s="264"/>
      <c r="V655" s="264"/>
      <c r="W655" s="264"/>
      <c r="X655" s="264"/>
      <c r="Y655" s="264"/>
      <c r="Z655" s="264"/>
      <c r="AA655" s="264"/>
    </row>
    <row r="656" spans="1:27" ht="15.75" customHeight="1">
      <c r="A656" s="264"/>
      <c r="B656" s="264"/>
      <c r="C656" s="264"/>
      <c r="D656" s="264"/>
      <c r="E656" s="264"/>
      <c r="F656" s="264"/>
      <c r="G656" s="264"/>
      <c r="H656" s="264"/>
      <c r="I656" s="264"/>
      <c r="J656" s="264"/>
      <c r="K656" s="264"/>
      <c r="L656" s="264"/>
      <c r="M656" s="264"/>
      <c r="N656" s="264"/>
      <c r="O656" s="264"/>
      <c r="P656" s="264"/>
      <c r="Q656" s="264"/>
      <c r="R656" s="264"/>
      <c r="S656" s="264"/>
      <c r="T656" s="264"/>
      <c r="U656" s="264"/>
      <c r="V656" s="264"/>
      <c r="W656" s="264"/>
      <c r="X656" s="264"/>
      <c r="Y656" s="264"/>
      <c r="Z656" s="264"/>
      <c r="AA656" s="264"/>
    </row>
    <row r="657" spans="1:27" ht="15.75" customHeight="1">
      <c r="A657" s="264"/>
      <c r="B657" s="264"/>
      <c r="C657" s="264"/>
      <c r="D657" s="264"/>
      <c r="E657" s="264"/>
      <c r="F657" s="264"/>
      <c r="G657" s="264"/>
      <c r="H657" s="264"/>
      <c r="I657" s="264"/>
      <c r="J657" s="264"/>
      <c r="K657" s="264"/>
      <c r="L657" s="264"/>
      <c r="M657" s="264"/>
      <c r="N657" s="264"/>
      <c r="O657" s="264"/>
      <c r="P657" s="264"/>
      <c r="Q657" s="264"/>
      <c r="R657" s="264"/>
      <c r="S657" s="264"/>
      <c r="T657" s="264"/>
      <c r="U657" s="264"/>
      <c r="V657" s="264"/>
      <c r="W657" s="264"/>
      <c r="X657" s="264"/>
      <c r="Y657" s="264"/>
      <c r="Z657" s="264"/>
      <c r="AA657" s="264"/>
    </row>
    <row r="658" spans="1:27" ht="15.75" customHeight="1">
      <c r="A658" s="264"/>
      <c r="B658" s="264"/>
      <c r="C658" s="264"/>
      <c r="D658" s="264"/>
      <c r="E658" s="264"/>
      <c r="F658" s="264"/>
      <c r="G658" s="264"/>
      <c r="H658" s="264"/>
      <c r="I658" s="264"/>
      <c r="J658" s="264"/>
      <c r="K658" s="264"/>
      <c r="L658" s="264"/>
      <c r="M658" s="264"/>
      <c r="N658" s="264"/>
      <c r="O658" s="264"/>
      <c r="P658" s="264"/>
      <c r="Q658" s="264"/>
      <c r="R658" s="264"/>
      <c r="S658" s="264"/>
      <c r="T658" s="264"/>
      <c r="U658" s="264"/>
      <c r="V658" s="264"/>
      <c r="W658" s="264"/>
      <c r="X658" s="264"/>
      <c r="Y658" s="264"/>
      <c r="Z658" s="264"/>
      <c r="AA658" s="264"/>
    </row>
    <row r="659" spans="1:27" ht="15.75" customHeight="1">
      <c r="A659" s="264"/>
      <c r="B659" s="264"/>
      <c r="C659" s="264"/>
      <c r="D659" s="264"/>
      <c r="E659" s="264"/>
      <c r="F659" s="264"/>
      <c r="G659" s="264"/>
      <c r="H659" s="264"/>
      <c r="I659" s="264"/>
      <c r="J659" s="264"/>
      <c r="K659" s="264"/>
      <c r="L659" s="264"/>
      <c r="M659" s="264"/>
      <c r="N659" s="264"/>
      <c r="O659" s="264"/>
      <c r="P659" s="264"/>
      <c r="Q659" s="264"/>
      <c r="R659" s="264"/>
      <c r="S659" s="264"/>
      <c r="T659" s="264"/>
      <c r="U659" s="264"/>
      <c r="V659" s="264"/>
      <c r="W659" s="264"/>
      <c r="X659" s="264"/>
      <c r="Y659" s="264"/>
      <c r="Z659" s="264"/>
      <c r="AA659" s="264"/>
    </row>
    <row r="660" spans="1:27" ht="15.75" customHeight="1">
      <c r="A660" s="264"/>
      <c r="B660" s="264"/>
      <c r="C660" s="264"/>
      <c r="D660" s="264"/>
      <c r="E660" s="264"/>
      <c r="F660" s="264"/>
      <c r="G660" s="264"/>
      <c r="H660" s="264"/>
      <c r="I660" s="264"/>
      <c r="J660" s="264"/>
      <c r="K660" s="264"/>
      <c r="L660" s="264"/>
      <c r="M660" s="264"/>
      <c r="N660" s="264"/>
      <c r="O660" s="264"/>
      <c r="P660" s="264"/>
      <c r="Q660" s="264"/>
      <c r="R660" s="264"/>
      <c r="S660" s="264"/>
      <c r="T660" s="264"/>
      <c r="U660" s="264"/>
      <c r="V660" s="264"/>
      <c r="W660" s="264"/>
      <c r="X660" s="264"/>
      <c r="Y660" s="264"/>
      <c r="Z660" s="264"/>
      <c r="AA660" s="264"/>
    </row>
    <row r="661" spans="1:27" ht="15.75" customHeight="1">
      <c r="A661" s="264"/>
      <c r="B661" s="264"/>
      <c r="C661" s="264"/>
      <c r="D661" s="264"/>
      <c r="E661" s="264"/>
      <c r="F661" s="264"/>
      <c r="G661" s="264"/>
      <c r="H661" s="264"/>
      <c r="I661" s="264"/>
      <c r="J661" s="264"/>
      <c r="K661" s="264"/>
      <c r="L661" s="264"/>
      <c r="M661" s="264"/>
      <c r="N661" s="264"/>
      <c r="O661" s="264"/>
      <c r="P661" s="264"/>
      <c r="Q661" s="264"/>
      <c r="R661" s="264"/>
      <c r="S661" s="264"/>
      <c r="T661" s="264"/>
      <c r="U661" s="264"/>
      <c r="V661" s="264"/>
      <c r="W661" s="264"/>
      <c r="X661" s="264"/>
      <c r="Y661" s="264"/>
      <c r="Z661" s="264"/>
      <c r="AA661" s="264"/>
    </row>
    <row r="662" spans="1:27" ht="15.75" customHeight="1">
      <c r="A662" s="264"/>
      <c r="B662" s="264"/>
      <c r="C662" s="264"/>
      <c r="D662" s="264"/>
      <c r="E662" s="264"/>
      <c r="F662" s="264"/>
      <c r="G662" s="264"/>
      <c r="H662" s="264"/>
      <c r="I662" s="264"/>
      <c r="J662" s="264"/>
      <c r="K662" s="264"/>
      <c r="L662" s="264"/>
      <c r="M662" s="264"/>
      <c r="N662" s="264"/>
      <c r="O662" s="264"/>
      <c r="P662" s="264"/>
      <c r="Q662" s="264"/>
      <c r="R662" s="264"/>
      <c r="S662" s="264"/>
      <c r="T662" s="264"/>
      <c r="U662" s="264"/>
      <c r="V662" s="264"/>
      <c r="W662" s="264"/>
      <c r="X662" s="264"/>
      <c r="Y662" s="264"/>
      <c r="Z662" s="264"/>
      <c r="AA662" s="264"/>
    </row>
    <row r="663" spans="1:27" ht="15.75" customHeight="1">
      <c r="A663" s="264"/>
      <c r="B663" s="264"/>
      <c r="C663" s="264"/>
      <c r="D663" s="264"/>
      <c r="E663" s="264"/>
      <c r="F663" s="264"/>
      <c r="G663" s="264"/>
      <c r="H663" s="264"/>
      <c r="I663" s="264"/>
      <c r="J663" s="264"/>
      <c r="K663" s="264"/>
      <c r="L663" s="264"/>
      <c r="M663" s="264"/>
      <c r="N663" s="264"/>
      <c r="O663" s="264"/>
      <c r="P663" s="264"/>
      <c r="Q663" s="264"/>
      <c r="R663" s="264"/>
      <c r="S663" s="264"/>
      <c r="T663" s="264"/>
      <c r="U663" s="264"/>
      <c r="V663" s="264"/>
      <c r="W663" s="264"/>
      <c r="X663" s="264"/>
      <c r="Y663" s="264"/>
      <c r="Z663" s="264"/>
      <c r="AA663" s="264"/>
    </row>
    <row r="664" spans="1:27" ht="15.75" customHeight="1">
      <c r="A664" s="264"/>
      <c r="B664" s="264"/>
      <c r="C664" s="264"/>
      <c r="D664" s="264"/>
      <c r="E664" s="264"/>
      <c r="F664" s="264"/>
      <c r="G664" s="264"/>
      <c r="H664" s="264"/>
      <c r="I664" s="264"/>
      <c r="J664" s="264"/>
      <c r="K664" s="264"/>
      <c r="L664" s="264"/>
      <c r="M664" s="264"/>
      <c r="N664" s="264"/>
      <c r="O664" s="264"/>
      <c r="P664" s="264"/>
      <c r="Q664" s="264"/>
      <c r="R664" s="264"/>
      <c r="S664" s="264"/>
      <c r="T664" s="264"/>
      <c r="U664" s="264"/>
      <c r="V664" s="264"/>
      <c r="W664" s="264"/>
      <c r="X664" s="264"/>
      <c r="Y664" s="264"/>
      <c r="Z664" s="264"/>
      <c r="AA664" s="264"/>
    </row>
    <row r="665" spans="1:27" ht="15.75" customHeight="1">
      <c r="A665" s="264"/>
      <c r="B665" s="264"/>
      <c r="C665" s="264"/>
      <c r="D665" s="264"/>
      <c r="E665" s="264"/>
      <c r="F665" s="264"/>
      <c r="G665" s="264"/>
      <c r="H665" s="264"/>
      <c r="I665" s="264"/>
      <c r="J665" s="264"/>
      <c r="K665" s="264"/>
      <c r="L665" s="264"/>
      <c r="M665" s="264"/>
      <c r="N665" s="264"/>
      <c r="O665" s="264"/>
      <c r="P665" s="264"/>
      <c r="Q665" s="264"/>
      <c r="R665" s="264"/>
      <c r="S665" s="264"/>
      <c r="T665" s="264"/>
      <c r="U665" s="264"/>
      <c r="V665" s="264"/>
      <c r="W665" s="264"/>
      <c r="X665" s="264"/>
      <c r="Y665" s="264"/>
      <c r="Z665" s="264"/>
      <c r="AA665" s="264"/>
    </row>
    <row r="666" spans="1:27" ht="15.75" customHeight="1">
      <c r="A666" s="264"/>
      <c r="B666" s="264"/>
      <c r="C666" s="264"/>
      <c r="D666" s="264"/>
      <c r="E666" s="264"/>
      <c r="F666" s="264"/>
      <c r="G666" s="264"/>
      <c r="H666" s="264"/>
      <c r="I666" s="264"/>
      <c r="J666" s="264"/>
      <c r="K666" s="264"/>
      <c r="L666" s="264"/>
      <c r="M666" s="264"/>
      <c r="N666" s="264"/>
      <c r="O666" s="264"/>
      <c r="P666" s="264"/>
      <c r="Q666" s="264"/>
      <c r="R666" s="264"/>
      <c r="S666" s="264"/>
      <c r="T666" s="264"/>
      <c r="U666" s="264"/>
      <c r="V666" s="264"/>
      <c r="W666" s="264"/>
      <c r="X666" s="264"/>
      <c r="Y666" s="264"/>
      <c r="Z666" s="264"/>
      <c r="AA666" s="264"/>
    </row>
    <row r="667" spans="1:27" ht="15.75" customHeight="1">
      <c r="A667" s="264"/>
      <c r="B667" s="264"/>
      <c r="C667" s="264"/>
      <c r="D667" s="264"/>
      <c r="E667" s="264"/>
      <c r="F667" s="264"/>
      <c r="G667" s="264"/>
      <c r="H667" s="264"/>
      <c r="I667" s="264"/>
      <c r="J667" s="264"/>
      <c r="K667" s="264"/>
      <c r="L667" s="264"/>
      <c r="M667" s="264"/>
      <c r="N667" s="264"/>
      <c r="O667" s="264"/>
      <c r="P667" s="264"/>
      <c r="Q667" s="264"/>
      <c r="R667" s="264"/>
      <c r="S667" s="264"/>
      <c r="T667" s="264"/>
      <c r="U667" s="264"/>
      <c r="V667" s="264"/>
      <c r="W667" s="264"/>
      <c r="X667" s="264"/>
      <c r="Y667" s="264"/>
      <c r="Z667" s="264"/>
      <c r="AA667" s="264"/>
    </row>
    <row r="668" spans="1:27" ht="15.75" customHeight="1">
      <c r="A668" s="264"/>
      <c r="B668" s="264"/>
      <c r="C668" s="264"/>
      <c r="D668" s="264"/>
      <c r="E668" s="264"/>
      <c r="F668" s="264"/>
      <c r="G668" s="264"/>
      <c r="H668" s="264"/>
      <c r="I668" s="264"/>
      <c r="J668" s="264"/>
      <c r="K668" s="264"/>
      <c r="L668" s="264"/>
      <c r="M668" s="264"/>
      <c r="N668" s="264"/>
      <c r="O668" s="264"/>
      <c r="P668" s="264"/>
      <c r="Q668" s="264"/>
      <c r="R668" s="264"/>
      <c r="S668" s="264"/>
      <c r="T668" s="264"/>
      <c r="U668" s="264"/>
      <c r="V668" s="264"/>
      <c r="W668" s="264"/>
      <c r="X668" s="264"/>
      <c r="Y668" s="264"/>
      <c r="Z668" s="264"/>
      <c r="AA668" s="264"/>
    </row>
    <row r="669" spans="1:27" ht="15.75" customHeight="1">
      <c r="A669" s="264"/>
      <c r="B669" s="264"/>
      <c r="C669" s="264"/>
      <c r="D669" s="264"/>
      <c r="E669" s="264"/>
      <c r="F669" s="264"/>
      <c r="G669" s="264"/>
      <c r="H669" s="264"/>
      <c r="I669" s="264"/>
      <c r="J669" s="264"/>
      <c r="K669" s="264"/>
      <c r="L669" s="264"/>
      <c r="M669" s="264"/>
      <c r="N669" s="264"/>
      <c r="O669" s="264"/>
      <c r="P669" s="264"/>
      <c r="Q669" s="264"/>
      <c r="R669" s="264"/>
      <c r="S669" s="264"/>
      <c r="T669" s="264"/>
      <c r="U669" s="264"/>
      <c r="V669" s="264"/>
      <c r="W669" s="264"/>
      <c r="X669" s="264"/>
      <c r="Y669" s="264"/>
      <c r="Z669" s="264"/>
      <c r="AA669" s="264"/>
    </row>
    <row r="670" spans="1:27" ht="15.75" customHeight="1">
      <c r="A670" s="264"/>
      <c r="B670" s="264"/>
      <c r="C670" s="264"/>
      <c r="D670" s="264"/>
      <c r="E670" s="264"/>
      <c r="F670" s="264"/>
      <c r="G670" s="264"/>
      <c r="H670" s="264"/>
      <c r="I670" s="264"/>
      <c r="J670" s="264"/>
      <c r="K670" s="264"/>
      <c r="L670" s="264"/>
      <c r="M670" s="264"/>
      <c r="N670" s="264"/>
      <c r="O670" s="264"/>
      <c r="P670" s="264"/>
      <c r="Q670" s="264"/>
      <c r="R670" s="264"/>
      <c r="S670" s="264"/>
      <c r="T670" s="264"/>
      <c r="U670" s="264"/>
      <c r="V670" s="264"/>
      <c r="W670" s="264"/>
      <c r="X670" s="264"/>
      <c r="Y670" s="264"/>
      <c r="Z670" s="264"/>
      <c r="AA670" s="264"/>
    </row>
    <row r="671" spans="1:27" ht="15.75" customHeight="1">
      <c r="A671" s="264"/>
      <c r="B671" s="264"/>
      <c r="C671" s="264"/>
      <c r="D671" s="264"/>
      <c r="E671" s="264"/>
      <c r="F671" s="264"/>
      <c r="G671" s="264"/>
      <c r="H671" s="264"/>
      <c r="I671" s="264"/>
      <c r="J671" s="264"/>
      <c r="K671" s="264"/>
      <c r="L671" s="264"/>
      <c r="M671" s="264"/>
      <c r="N671" s="264"/>
      <c r="O671" s="264"/>
      <c r="P671" s="264"/>
      <c r="Q671" s="264"/>
      <c r="R671" s="264"/>
      <c r="S671" s="264"/>
      <c r="T671" s="264"/>
      <c r="U671" s="264"/>
      <c r="V671" s="264"/>
      <c r="W671" s="264"/>
      <c r="X671" s="264"/>
      <c r="Y671" s="264"/>
      <c r="Z671" s="264"/>
      <c r="AA671" s="264"/>
    </row>
    <row r="672" spans="1:27" ht="15.75" customHeight="1">
      <c r="A672" s="264"/>
      <c r="B672" s="264"/>
      <c r="C672" s="264"/>
      <c r="D672" s="264"/>
      <c r="E672" s="264"/>
      <c r="F672" s="264"/>
      <c r="G672" s="264"/>
      <c r="H672" s="264"/>
      <c r="I672" s="264"/>
      <c r="J672" s="264"/>
      <c r="K672" s="264"/>
      <c r="L672" s="264"/>
      <c r="M672" s="264"/>
      <c r="N672" s="264"/>
      <c r="O672" s="264"/>
      <c r="P672" s="264"/>
      <c r="Q672" s="264"/>
      <c r="R672" s="264"/>
      <c r="S672" s="264"/>
      <c r="T672" s="264"/>
      <c r="U672" s="264"/>
      <c r="V672" s="264"/>
      <c r="W672" s="264"/>
      <c r="X672" s="264"/>
      <c r="Y672" s="264"/>
      <c r="Z672" s="264"/>
      <c r="AA672" s="264"/>
    </row>
    <row r="673" spans="1:27" ht="15.75" customHeight="1">
      <c r="A673" s="264"/>
      <c r="B673" s="264"/>
      <c r="C673" s="264"/>
      <c r="D673" s="264"/>
      <c r="E673" s="264"/>
      <c r="F673" s="264"/>
      <c r="G673" s="264"/>
      <c r="H673" s="264"/>
      <c r="I673" s="264"/>
      <c r="J673" s="264"/>
      <c r="K673" s="264"/>
      <c r="L673" s="264"/>
      <c r="M673" s="264"/>
      <c r="N673" s="264"/>
      <c r="O673" s="264"/>
      <c r="P673" s="264"/>
      <c r="Q673" s="264"/>
      <c r="R673" s="264"/>
      <c r="S673" s="264"/>
      <c r="T673" s="264"/>
      <c r="U673" s="264"/>
      <c r="V673" s="264"/>
      <c r="W673" s="264"/>
      <c r="X673" s="264"/>
      <c r="Y673" s="264"/>
      <c r="Z673" s="264"/>
      <c r="AA673" s="264"/>
    </row>
    <row r="674" spans="1:27" ht="15.75" customHeight="1">
      <c r="A674" s="264"/>
      <c r="B674" s="264"/>
      <c r="C674" s="264"/>
      <c r="D674" s="264"/>
      <c r="E674" s="264"/>
      <c r="F674" s="264"/>
      <c r="G674" s="264"/>
      <c r="H674" s="264"/>
      <c r="I674" s="264"/>
      <c r="J674" s="264"/>
      <c r="K674" s="264"/>
      <c r="L674" s="264"/>
      <c r="M674" s="264"/>
      <c r="N674" s="264"/>
      <c r="O674" s="264"/>
      <c r="P674" s="264"/>
      <c r="Q674" s="264"/>
      <c r="R674" s="264"/>
      <c r="S674" s="264"/>
      <c r="T674" s="264"/>
      <c r="U674" s="264"/>
      <c r="V674" s="264"/>
      <c r="W674" s="264"/>
      <c r="X674" s="264"/>
      <c r="Y674" s="264"/>
      <c r="Z674" s="264"/>
      <c r="AA674" s="264"/>
    </row>
    <row r="675" spans="1:27" ht="15.75" customHeight="1">
      <c r="A675" s="264"/>
      <c r="B675" s="264"/>
      <c r="C675" s="264"/>
      <c r="D675" s="264"/>
      <c r="E675" s="264"/>
      <c r="F675" s="264"/>
      <c r="G675" s="264"/>
      <c r="H675" s="264"/>
      <c r="I675" s="264"/>
      <c r="J675" s="264"/>
      <c r="K675" s="264"/>
      <c r="L675" s="264"/>
      <c r="M675" s="264"/>
      <c r="N675" s="264"/>
      <c r="O675" s="264"/>
      <c r="P675" s="264"/>
      <c r="Q675" s="264"/>
      <c r="R675" s="264"/>
      <c r="S675" s="264"/>
      <c r="T675" s="264"/>
      <c r="U675" s="264"/>
      <c r="V675" s="264"/>
      <c r="W675" s="264"/>
      <c r="X675" s="264"/>
      <c r="Y675" s="264"/>
      <c r="Z675" s="264"/>
      <c r="AA675" s="264"/>
    </row>
    <row r="676" spans="1:27" ht="15.75" customHeight="1">
      <c r="A676" s="264"/>
      <c r="B676" s="264"/>
      <c r="C676" s="264"/>
      <c r="D676" s="264"/>
      <c r="E676" s="264"/>
      <c r="F676" s="264"/>
      <c r="G676" s="264"/>
      <c r="H676" s="264"/>
      <c r="I676" s="264"/>
      <c r="J676" s="264"/>
      <c r="K676" s="264"/>
      <c r="L676" s="264"/>
      <c r="M676" s="264"/>
      <c r="N676" s="264"/>
      <c r="O676" s="264"/>
      <c r="P676" s="264"/>
      <c r="Q676" s="264"/>
      <c r="R676" s="264"/>
      <c r="S676" s="264"/>
      <c r="T676" s="264"/>
      <c r="U676" s="264"/>
      <c r="V676" s="264"/>
      <c r="W676" s="264"/>
      <c r="X676" s="264"/>
      <c r="Y676" s="264"/>
      <c r="Z676" s="264"/>
      <c r="AA676" s="264"/>
    </row>
    <row r="677" spans="1:27" ht="15.75" customHeight="1">
      <c r="A677" s="264"/>
      <c r="B677" s="264"/>
      <c r="C677" s="264"/>
      <c r="D677" s="264"/>
      <c r="E677" s="264"/>
      <c r="F677" s="264"/>
      <c r="G677" s="264"/>
      <c r="H677" s="264"/>
      <c r="I677" s="264"/>
      <c r="J677" s="264"/>
      <c r="K677" s="264"/>
      <c r="L677" s="264"/>
      <c r="M677" s="264"/>
      <c r="N677" s="264"/>
      <c r="O677" s="264"/>
      <c r="P677" s="264"/>
      <c r="Q677" s="264"/>
      <c r="R677" s="264"/>
      <c r="S677" s="264"/>
      <c r="T677" s="264"/>
      <c r="U677" s="264"/>
      <c r="V677" s="264"/>
      <c r="W677" s="264"/>
      <c r="X677" s="264"/>
      <c r="Y677" s="264"/>
      <c r="Z677" s="264"/>
      <c r="AA677" s="264"/>
    </row>
    <row r="678" spans="1:27" ht="15.75" customHeight="1">
      <c r="A678" s="264"/>
      <c r="B678" s="264"/>
      <c r="C678" s="264"/>
      <c r="D678" s="264"/>
      <c r="E678" s="264"/>
      <c r="F678" s="264"/>
      <c r="G678" s="264"/>
      <c r="H678" s="264"/>
      <c r="I678" s="264"/>
      <c r="J678" s="264"/>
      <c r="K678" s="264"/>
      <c r="L678" s="264"/>
      <c r="M678" s="264"/>
      <c r="N678" s="264"/>
      <c r="O678" s="264"/>
      <c r="P678" s="264"/>
      <c r="Q678" s="264"/>
      <c r="R678" s="264"/>
      <c r="S678" s="264"/>
      <c r="T678" s="264"/>
      <c r="U678" s="264"/>
      <c r="V678" s="264"/>
      <c r="W678" s="264"/>
      <c r="X678" s="264"/>
      <c r="Y678" s="264"/>
      <c r="Z678" s="264"/>
      <c r="AA678" s="264"/>
    </row>
    <row r="679" spans="1:27" ht="15.75" customHeight="1">
      <c r="A679" s="264"/>
      <c r="B679" s="264"/>
      <c r="C679" s="264"/>
      <c r="D679" s="264"/>
      <c r="E679" s="264"/>
      <c r="F679" s="264"/>
      <c r="G679" s="264"/>
      <c r="H679" s="264"/>
      <c r="I679" s="264"/>
      <c r="J679" s="264"/>
      <c r="K679" s="264"/>
      <c r="L679" s="264"/>
      <c r="M679" s="264"/>
      <c r="N679" s="264"/>
      <c r="O679" s="264"/>
      <c r="P679" s="264"/>
      <c r="Q679" s="264"/>
      <c r="R679" s="264"/>
      <c r="S679" s="264"/>
      <c r="T679" s="264"/>
      <c r="U679" s="264"/>
      <c r="V679" s="264"/>
      <c r="W679" s="264"/>
      <c r="X679" s="264"/>
      <c r="Y679" s="264"/>
      <c r="Z679" s="264"/>
      <c r="AA679" s="264"/>
    </row>
    <row r="680" spans="1:27" ht="15.75" customHeight="1">
      <c r="A680" s="264"/>
      <c r="B680" s="264"/>
      <c r="C680" s="264"/>
      <c r="D680" s="264"/>
      <c r="E680" s="264"/>
      <c r="F680" s="264"/>
      <c r="G680" s="264"/>
      <c r="H680" s="264"/>
      <c r="I680" s="264"/>
      <c r="J680" s="264"/>
      <c r="K680" s="264"/>
      <c r="L680" s="264"/>
      <c r="M680" s="264"/>
      <c r="N680" s="264"/>
      <c r="O680" s="264"/>
      <c r="P680" s="264"/>
      <c r="Q680" s="264"/>
      <c r="R680" s="264"/>
      <c r="S680" s="264"/>
      <c r="T680" s="264"/>
      <c r="U680" s="264"/>
      <c r="V680" s="264"/>
      <c r="W680" s="264"/>
      <c r="X680" s="264"/>
      <c r="Y680" s="264"/>
      <c r="Z680" s="264"/>
      <c r="AA680" s="264"/>
    </row>
    <row r="681" spans="1:27" ht="15.75" customHeight="1">
      <c r="A681" s="264"/>
      <c r="B681" s="264"/>
      <c r="C681" s="264"/>
      <c r="D681" s="264"/>
      <c r="E681" s="264"/>
      <c r="F681" s="264"/>
      <c r="G681" s="264"/>
      <c r="H681" s="264"/>
      <c r="I681" s="264"/>
      <c r="J681" s="264"/>
      <c r="K681" s="264"/>
      <c r="L681" s="264"/>
      <c r="M681" s="264"/>
      <c r="N681" s="264"/>
      <c r="O681" s="264"/>
      <c r="P681" s="264"/>
      <c r="Q681" s="264"/>
      <c r="R681" s="264"/>
      <c r="S681" s="264"/>
      <c r="T681" s="264"/>
      <c r="U681" s="264"/>
      <c r="V681" s="264"/>
      <c r="W681" s="264"/>
      <c r="X681" s="264"/>
      <c r="Y681" s="264"/>
      <c r="Z681" s="264"/>
      <c r="AA681" s="264"/>
    </row>
    <row r="682" spans="1:27" ht="15.75" customHeight="1">
      <c r="A682" s="264"/>
      <c r="B682" s="264"/>
      <c r="C682" s="264"/>
      <c r="D682" s="264"/>
      <c r="E682" s="264"/>
      <c r="F682" s="264"/>
      <c r="G682" s="264"/>
      <c r="H682" s="264"/>
      <c r="I682" s="264"/>
      <c r="J682" s="264"/>
      <c r="K682" s="264"/>
      <c r="L682" s="264"/>
      <c r="M682" s="264"/>
      <c r="N682" s="264"/>
      <c r="O682" s="264"/>
      <c r="P682" s="264"/>
      <c r="Q682" s="264"/>
      <c r="R682" s="264"/>
      <c r="S682" s="264"/>
      <c r="T682" s="264"/>
      <c r="U682" s="264"/>
      <c r="V682" s="264"/>
      <c r="W682" s="264"/>
      <c r="X682" s="264"/>
      <c r="Y682" s="264"/>
      <c r="Z682" s="264"/>
      <c r="AA682" s="264"/>
    </row>
    <row r="683" spans="1:27" ht="15.75" customHeight="1">
      <c r="A683" s="264"/>
      <c r="B683" s="264"/>
      <c r="C683" s="264"/>
      <c r="D683" s="264"/>
      <c r="E683" s="264"/>
      <c r="F683" s="264"/>
      <c r="G683" s="264"/>
      <c r="H683" s="264"/>
      <c r="I683" s="264"/>
      <c r="J683" s="264"/>
      <c r="K683" s="264"/>
      <c r="L683" s="264"/>
      <c r="M683" s="264"/>
      <c r="N683" s="264"/>
      <c r="O683" s="264"/>
      <c r="P683" s="264"/>
      <c r="Q683" s="264"/>
      <c r="R683" s="264"/>
      <c r="S683" s="264"/>
      <c r="T683" s="264"/>
      <c r="U683" s="264"/>
      <c r="V683" s="264"/>
      <c r="W683" s="264"/>
      <c r="X683" s="264"/>
      <c r="Y683" s="264"/>
      <c r="Z683" s="264"/>
      <c r="AA683" s="264"/>
    </row>
    <row r="684" spans="1:27" ht="15.75" customHeight="1">
      <c r="A684" s="264"/>
      <c r="B684" s="264"/>
      <c r="C684" s="264"/>
      <c r="D684" s="264"/>
      <c r="E684" s="264"/>
      <c r="F684" s="264"/>
      <c r="G684" s="264"/>
      <c r="H684" s="264"/>
      <c r="I684" s="264"/>
      <c r="J684" s="264"/>
      <c r="K684" s="264"/>
      <c r="L684" s="264"/>
      <c r="M684" s="264"/>
      <c r="N684" s="264"/>
      <c r="O684" s="264"/>
      <c r="P684" s="264"/>
      <c r="Q684" s="264"/>
      <c r="R684" s="264"/>
      <c r="S684" s="264"/>
      <c r="T684" s="264"/>
      <c r="U684" s="264"/>
      <c r="V684" s="264"/>
      <c r="W684" s="264"/>
      <c r="X684" s="264"/>
      <c r="Y684" s="264"/>
      <c r="Z684" s="264"/>
      <c r="AA684" s="264"/>
    </row>
    <row r="685" spans="1:27" ht="15.75" customHeight="1">
      <c r="A685" s="264"/>
      <c r="B685" s="264"/>
      <c r="C685" s="264"/>
      <c r="D685" s="264"/>
      <c r="E685" s="264"/>
      <c r="F685" s="264"/>
      <c r="G685" s="264"/>
      <c r="H685" s="264"/>
      <c r="I685" s="264"/>
      <c r="J685" s="264"/>
      <c r="K685" s="264"/>
      <c r="L685" s="264"/>
      <c r="M685" s="264"/>
      <c r="N685" s="264"/>
      <c r="O685" s="264"/>
      <c r="P685" s="264"/>
      <c r="Q685" s="264"/>
      <c r="R685" s="264"/>
      <c r="S685" s="264"/>
      <c r="T685" s="264"/>
      <c r="U685" s="264"/>
      <c r="V685" s="264"/>
      <c r="W685" s="264"/>
      <c r="X685" s="264"/>
      <c r="Y685" s="264"/>
      <c r="Z685" s="264"/>
      <c r="AA685" s="264"/>
    </row>
    <row r="686" spans="1:27" ht="15.75" customHeight="1">
      <c r="A686" s="264"/>
      <c r="B686" s="264"/>
      <c r="C686" s="264"/>
      <c r="D686" s="264"/>
      <c r="E686" s="264"/>
      <c r="F686" s="264"/>
      <c r="G686" s="264"/>
      <c r="H686" s="264"/>
      <c r="I686" s="264"/>
      <c r="J686" s="264"/>
      <c r="K686" s="264"/>
      <c r="L686" s="264"/>
      <c r="M686" s="264"/>
      <c r="N686" s="264"/>
      <c r="O686" s="264"/>
      <c r="P686" s="264"/>
      <c r="Q686" s="264"/>
      <c r="R686" s="264"/>
      <c r="S686" s="264"/>
      <c r="T686" s="264"/>
      <c r="U686" s="264"/>
      <c r="V686" s="264"/>
      <c r="W686" s="264"/>
      <c r="X686" s="264"/>
      <c r="Y686" s="264"/>
      <c r="Z686" s="264"/>
      <c r="AA686" s="264"/>
    </row>
    <row r="687" spans="1:27" ht="15.75" customHeight="1">
      <c r="A687" s="264"/>
      <c r="B687" s="264"/>
      <c r="C687" s="264"/>
      <c r="D687" s="264"/>
      <c r="E687" s="264"/>
      <c r="F687" s="264"/>
      <c r="G687" s="264"/>
      <c r="H687" s="264"/>
      <c r="I687" s="264"/>
      <c r="J687" s="264"/>
      <c r="K687" s="264"/>
      <c r="L687" s="264"/>
      <c r="M687" s="264"/>
      <c r="N687" s="264"/>
      <c r="O687" s="264"/>
      <c r="P687" s="264"/>
      <c r="Q687" s="264"/>
      <c r="R687" s="264"/>
      <c r="S687" s="264"/>
      <c r="T687" s="264"/>
      <c r="U687" s="264"/>
      <c r="V687" s="264"/>
      <c r="W687" s="264"/>
      <c r="X687" s="264"/>
      <c r="Y687" s="264"/>
      <c r="Z687" s="264"/>
      <c r="AA687" s="264"/>
    </row>
    <row r="688" spans="1:27" ht="15.75" customHeight="1">
      <c r="A688" s="264"/>
      <c r="B688" s="264"/>
      <c r="C688" s="264"/>
      <c r="D688" s="264"/>
      <c r="E688" s="264"/>
      <c r="F688" s="264"/>
      <c r="G688" s="264"/>
      <c r="H688" s="264"/>
      <c r="I688" s="264"/>
      <c r="J688" s="264"/>
      <c r="K688" s="264"/>
      <c r="L688" s="264"/>
      <c r="M688" s="264"/>
      <c r="N688" s="264"/>
      <c r="O688" s="264"/>
      <c r="P688" s="264"/>
      <c r="Q688" s="264"/>
      <c r="R688" s="264"/>
      <c r="S688" s="264"/>
      <c r="T688" s="264"/>
      <c r="U688" s="264"/>
      <c r="V688" s="264"/>
      <c r="W688" s="264"/>
      <c r="X688" s="264"/>
      <c r="Y688" s="264"/>
      <c r="Z688" s="264"/>
      <c r="AA688" s="264"/>
    </row>
    <row r="689" spans="1:27" ht="15.75" customHeight="1">
      <c r="A689" s="264"/>
      <c r="B689" s="264"/>
      <c r="C689" s="264"/>
      <c r="D689" s="264"/>
      <c r="E689" s="264"/>
      <c r="F689" s="264"/>
      <c r="G689" s="264"/>
      <c r="H689" s="264"/>
      <c r="I689" s="264"/>
      <c r="J689" s="264"/>
      <c r="K689" s="264"/>
      <c r="L689" s="264"/>
      <c r="M689" s="264"/>
      <c r="N689" s="264"/>
      <c r="O689" s="264"/>
      <c r="P689" s="264"/>
      <c r="Q689" s="264"/>
      <c r="R689" s="264"/>
      <c r="S689" s="264"/>
      <c r="T689" s="264"/>
      <c r="U689" s="264"/>
      <c r="V689" s="264"/>
      <c r="W689" s="264"/>
      <c r="X689" s="264"/>
      <c r="Y689" s="264"/>
      <c r="Z689" s="264"/>
      <c r="AA689" s="264"/>
    </row>
    <row r="690" spans="1:27" ht="15.75" customHeight="1">
      <c r="A690" s="264"/>
      <c r="B690" s="264"/>
      <c r="C690" s="264"/>
      <c r="D690" s="264"/>
      <c r="E690" s="264"/>
      <c r="F690" s="264"/>
      <c r="G690" s="264"/>
      <c r="H690" s="264"/>
      <c r="I690" s="264"/>
      <c r="J690" s="264"/>
      <c r="K690" s="264"/>
      <c r="L690" s="264"/>
      <c r="M690" s="264"/>
      <c r="N690" s="264"/>
      <c r="O690" s="264"/>
      <c r="P690" s="264"/>
      <c r="Q690" s="264"/>
      <c r="R690" s="264"/>
      <c r="S690" s="264"/>
      <c r="T690" s="264"/>
      <c r="U690" s="264"/>
      <c r="V690" s="264"/>
      <c r="W690" s="264"/>
      <c r="X690" s="264"/>
      <c r="Y690" s="264"/>
      <c r="Z690" s="264"/>
      <c r="AA690" s="264"/>
    </row>
    <row r="691" spans="1:27" ht="15.75" customHeight="1">
      <c r="A691" s="264"/>
      <c r="B691" s="264"/>
      <c r="C691" s="264"/>
      <c r="D691" s="264"/>
      <c r="E691" s="264"/>
      <c r="F691" s="264"/>
      <c r="G691" s="264"/>
      <c r="H691" s="264"/>
      <c r="I691" s="264"/>
      <c r="J691" s="264"/>
      <c r="K691" s="264"/>
      <c r="L691" s="264"/>
      <c r="M691" s="264"/>
      <c r="N691" s="264"/>
      <c r="O691" s="264"/>
      <c r="P691" s="264"/>
      <c r="Q691" s="264"/>
      <c r="R691" s="264"/>
      <c r="S691" s="264"/>
      <c r="T691" s="264"/>
      <c r="U691" s="264"/>
      <c r="V691" s="264"/>
      <c r="W691" s="264"/>
      <c r="X691" s="264"/>
      <c r="Y691" s="264"/>
      <c r="Z691" s="264"/>
      <c r="AA691" s="264"/>
    </row>
    <row r="692" spans="1:27" ht="15.75" customHeight="1">
      <c r="A692" s="264"/>
      <c r="B692" s="264"/>
      <c r="C692" s="264"/>
      <c r="D692" s="264"/>
      <c r="E692" s="264"/>
      <c r="F692" s="264"/>
      <c r="G692" s="264"/>
      <c r="H692" s="264"/>
      <c r="I692" s="264"/>
      <c r="J692" s="264"/>
      <c r="K692" s="264"/>
      <c r="L692" s="264"/>
      <c r="M692" s="264"/>
      <c r="N692" s="264"/>
      <c r="O692" s="264"/>
      <c r="P692" s="264"/>
      <c r="Q692" s="264"/>
      <c r="R692" s="264"/>
      <c r="S692" s="264"/>
      <c r="T692" s="264"/>
      <c r="U692" s="264"/>
      <c r="V692" s="264"/>
      <c r="W692" s="264"/>
      <c r="X692" s="264"/>
      <c r="Y692" s="264"/>
      <c r="Z692" s="264"/>
      <c r="AA692" s="264"/>
    </row>
    <row r="693" spans="1:27" ht="15.75" customHeight="1">
      <c r="A693" s="264"/>
      <c r="B693" s="264"/>
      <c r="C693" s="264"/>
      <c r="D693" s="264"/>
      <c r="E693" s="264"/>
      <c r="F693" s="264"/>
      <c r="G693" s="264"/>
      <c r="H693" s="264"/>
      <c r="I693" s="264"/>
      <c r="J693" s="264"/>
      <c r="K693" s="264"/>
      <c r="L693" s="264"/>
      <c r="M693" s="264"/>
      <c r="N693" s="264"/>
      <c r="O693" s="264"/>
      <c r="P693" s="264"/>
      <c r="Q693" s="264"/>
      <c r="R693" s="264"/>
      <c r="S693" s="264"/>
      <c r="T693" s="264"/>
      <c r="U693" s="264"/>
      <c r="V693" s="264"/>
      <c r="W693" s="264"/>
      <c r="X693" s="264"/>
      <c r="Y693" s="264"/>
      <c r="Z693" s="264"/>
      <c r="AA693" s="264"/>
    </row>
    <row r="694" spans="1:27" ht="15.75" customHeight="1">
      <c r="A694" s="264"/>
      <c r="B694" s="264"/>
      <c r="C694" s="264"/>
      <c r="D694" s="264"/>
      <c r="E694" s="264"/>
      <c r="F694" s="264"/>
      <c r="G694" s="264"/>
      <c r="H694" s="264"/>
      <c r="I694" s="264"/>
      <c r="J694" s="264"/>
      <c r="K694" s="264"/>
      <c r="L694" s="264"/>
      <c r="M694" s="264"/>
      <c r="N694" s="264"/>
      <c r="O694" s="264"/>
      <c r="P694" s="264"/>
      <c r="Q694" s="264"/>
      <c r="R694" s="264"/>
      <c r="S694" s="264"/>
      <c r="T694" s="264"/>
      <c r="U694" s="264"/>
      <c r="V694" s="264"/>
      <c r="W694" s="264"/>
      <c r="X694" s="264"/>
      <c r="Y694" s="264"/>
      <c r="Z694" s="264"/>
      <c r="AA694" s="264"/>
    </row>
    <row r="695" spans="1:27" ht="15.75" customHeight="1">
      <c r="A695" s="264"/>
      <c r="B695" s="264"/>
      <c r="C695" s="264"/>
      <c r="D695" s="264"/>
      <c r="E695" s="264"/>
      <c r="F695" s="264"/>
      <c r="G695" s="264"/>
      <c r="H695" s="264"/>
      <c r="I695" s="264"/>
      <c r="J695" s="264"/>
      <c r="K695" s="264"/>
      <c r="L695" s="264"/>
      <c r="M695" s="264"/>
      <c r="N695" s="264"/>
      <c r="O695" s="264"/>
      <c r="P695" s="264"/>
      <c r="Q695" s="264"/>
      <c r="R695" s="264"/>
      <c r="S695" s="264"/>
      <c r="T695" s="264"/>
      <c r="U695" s="264"/>
      <c r="V695" s="264"/>
      <c r="W695" s="264"/>
      <c r="X695" s="264"/>
      <c r="Y695" s="264"/>
      <c r="Z695" s="264"/>
      <c r="AA695" s="264"/>
    </row>
    <row r="696" spans="1:27" ht="15.75" customHeight="1">
      <c r="A696" s="264"/>
      <c r="B696" s="264"/>
      <c r="C696" s="264"/>
      <c r="D696" s="264"/>
      <c r="E696" s="264"/>
      <c r="F696" s="264"/>
      <c r="G696" s="264"/>
      <c r="H696" s="264"/>
      <c r="I696" s="264"/>
      <c r="J696" s="264"/>
      <c r="K696" s="264"/>
      <c r="L696" s="264"/>
      <c r="M696" s="264"/>
      <c r="N696" s="264"/>
      <c r="O696" s="264"/>
      <c r="P696" s="264"/>
      <c r="Q696" s="264"/>
      <c r="R696" s="264"/>
      <c r="S696" s="264"/>
      <c r="T696" s="264"/>
      <c r="U696" s="264"/>
      <c r="V696" s="264"/>
      <c r="W696" s="264"/>
      <c r="X696" s="264"/>
      <c r="Y696" s="264"/>
      <c r="Z696" s="264"/>
      <c r="AA696" s="264"/>
    </row>
    <row r="697" spans="1:27" ht="15.75" customHeight="1">
      <c r="A697" s="264"/>
      <c r="B697" s="264"/>
      <c r="C697" s="264"/>
      <c r="D697" s="264"/>
      <c r="E697" s="264"/>
      <c r="F697" s="264"/>
      <c r="G697" s="264"/>
      <c r="H697" s="264"/>
      <c r="I697" s="264"/>
      <c r="J697" s="264"/>
      <c r="K697" s="264"/>
      <c r="L697" s="264"/>
      <c r="M697" s="264"/>
      <c r="N697" s="264"/>
      <c r="O697" s="264"/>
      <c r="P697" s="264"/>
      <c r="Q697" s="264"/>
      <c r="R697" s="264"/>
      <c r="S697" s="264"/>
      <c r="T697" s="264"/>
      <c r="U697" s="264"/>
      <c r="V697" s="264"/>
      <c r="W697" s="264"/>
      <c r="X697" s="264"/>
      <c r="Y697" s="264"/>
      <c r="Z697" s="264"/>
      <c r="AA697" s="264"/>
    </row>
    <row r="698" spans="1:27" ht="15.75" customHeight="1">
      <c r="A698" s="264"/>
      <c r="B698" s="264"/>
      <c r="C698" s="264"/>
      <c r="D698" s="264"/>
      <c r="E698" s="264"/>
      <c r="F698" s="264"/>
      <c r="G698" s="264"/>
      <c r="H698" s="264"/>
      <c r="I698" s="264"/>
      <c r="J698" s="264"/>
      <c r="K698" s="264"/>
      <c r="L698" s="264"/>
      <c r="M698" s="264"/>
      <c r="N698" s="264"/>
      <c r="O698" s="264"/>
      <c r="P698" s="264"/>
      <c r="Q698" s="264"/>
      <c r="R698" s="264"/>
      <c r="S698" s="264"/>
      <c r="T698" s="264"/>
      <c r="U698" s="264"/>
      <c r="V698" s="264"/>
      <c r="W698" s="264"/>
      <c r="X698" s="264"/>
      <c r="Y698" s="264"/>
      <c r="Z698" s="264"/>
      <c r="AA698" s="264"/>
    </row>
    <row r="699" spans="1:27" ht="15.75" customHeight="1">
      <c r="A699" s="264"/>
      <c r="B699" s="264"/>
      <c r="C699" s="264"/>
      <c r="D699" s="264"/>
      <c r="E699" s="264"/>
      <c r="F699" s="264"/>
      <c r="G699" s="264"/>
      <c r="H699" s="264"/>
      <c r="I699" s="264"/>
      <c r="J699" s="264"/>
      <c r="K699" s="264"/>
      <c r="L699" s="264"/>
      <c r="M699" s="264"/>
      <c r="N699" s="264"/>
      <c r="O699" s="264"/>
      <c r="P699" s="264"/>
      <c r="Q699" s="264"/>
      <c r="R699" s="264"/>
      <c r="S699" s="264"/>
      <c r="T699" s="264"/>
      <c r="U699" s="264"/>
      <c r="V699" s="264"/>
      <c r="W699" s="264"/>
      <c r="X699" s="264"/>
      <c r="Y699" s="264"/>
      <c r="Z699" s="264"/>
      <c r="AA699" s="264"/>
    </row>
    <row r="700" spans="1:27" ht="15.75" customHeight="1">
      <c r="A700" s="264"/>
      <c r="B700" s="264"/>
      <c r="C700" s="264"/>
      <c r="D700" s="264"/>
      <c r="E700" s="264"/>
      <c r="F700" s="264"/>
      <c r="G700" s="264"/>
      <c r="H700" s="264"/>
      <c r="I700" s="264"/>
      <c r="J700" s="264"/>
      <c r="K700" s="264"/>
      <c r="L700" s="264"/>
      <c r="M700" s="264"/>
      <c r="N700" s="264"/>
      <c r="O700" s="264"/>
      <c r="P700" s="264"/>
      <c r="Q700" s="264"/>
      <c r="R700" s="264"/>
      <c r="S700" s="264"/>
      <c r="T700" s="264"/>
      <c r="U700" s="264"/>
      <c r="V700" s="264"/>
      <c r="W700" s="264"/>
      <c r="X700" s="264"/>
      <c r="Y700" s="264"/>
      <c r="Z700" s="264"/>
      <c r="AA700" s="264"/>
    </row>
    <row r="701" spans="1:27" ht="15.75" customHeight="1">
      <c r="A701" s="264"/>
      <c r="B701" s="264"/>
      <c r="C701" s="264"/>
      <c r="D701" s="264"/>
      <c r="E701" s="264"/>
      <c r="F701" s="264"/>
      <c r="G701" s="264"/>
      <c r="H701" s="264"/>
      <c r="I701" s="264"/>
      <c r="J701" s="264"/>
      <c r="K701" s="264"/>
      <c r="L701" s="264"/>
      <c r="M701" s="264"/>
      <c r="N701" s="264"/>
      <c r="O701" s="264"/>
      <c r="P701" s="264"/>
      <c r="Q701" s="264"/>
      <c r="R701" s="264"/>
      <c r="S701" s="264"/>
      <c r="T701" s="264"/>
      <c r="U701" s="264"/>
      <c r="V701" s="264"/>
      <c r="W701" s="264"/>
      <c r="X701" s="264"/>
      <c r="Y701" s="264"/>
      <c r="Z701" s="264"/>
      <c r="AA701" s="264"/>
    </row>
    <row r="702" spans="1:27" ht="15.75" customHeight="1">
      <c r="A702" s="264"/>
      <c r="B702" s="264"/>
      <c r="C702" s="264"/>
      <c r="D702" s="264"/>
      <c r="E702" s="264"/>
      <c r="F702" s="264"/>
      <c r="G702" s="264"/>
      <c r="H702" s="264"/>
      <c r="I702" s="264"/>
      <c r="J702" s="264"/>
      <c r="K702" s="264"/>
      <c r="L702" s="264"/>
      <c r="M702" s="264"/>
      <c r="N702" s="264"/>
      <c r="O702" s="264"/>
      <c r="P702" s="264"/>
      <c r="Q702" s="264"/>
      <c r="R702" s="264"/>
      <c r="S702" s="264"/>
      <c r="T702" s="264"/>
      <c r="U702" s="264"/>
      <c r="V702" s="264"/>
      <c r="W702" s="264"/>
      <c r="X702" s="264"/>
      <c r="Y702" s="264"/>
      <c r="Z702" s="264"/>
      <c r="AA702" s="264"/>
    </row>
    <row r="703" spans="1:27" ht="15.75" customHeight="1">
      <c r="A703" s="264"/>
      <c r="B703" s="264"/>
      <c r="C703" s="264"/>
      <c r="D703" s="264"/>
      <c r="E703" s="264"/>
      <c r="F703" s="264"/>
      <c r="G703" s="264"/>
      <c r="H703" s="264"/>
      <c r="I703" s="264"/>
      <c r="J703" s="264"/>
      <c r="K703" s="264"/>
      <c r="L703" s="264"/>
      <c r="M703" s="264"/>
      <c r="N703" s="264"/>
      <c r="O703" s="264"/>
      <c r="P703" s="264"/>
      <c r="Q703" s="264"/>
      <c r="R703" s="264"/>
      <c r="S703" s="264"/>
      <c r="T703" s="264"/>
      <c r="U703" s="264"/>
      <c r="V703" s="264"/>
      <c r="W703" s="264"/>
      <c r="X703" s="264"/>
      <c r="Y703" s="264"/>
      <c r="Z703" s="264"/>
      <c r="AA703" s="264"/>
    </row>
    <row r="704" spans="1:27" ht="15.75" customHeight="1">
      <c r="A704" s="264"/>
      <c r="B704" s="264"/>
      <c r="C704" s="264"/>
      <c r="D704" s="264"/>
      <c r="E704" s="264"/>
      <c r="F704" s="264"/>
      <c r="G704" s="264"/>
      <c r="H704" s="264"/>
      <c r="I704" s="264"/>
      <c r="J704" s="264"/>
      <c r="K704" s="264"/>
      <c r="L704" s="264"/>
      <c r="M704" s="264"/>
      <c r="N704" s="264"/>
      <c r="O704" s="264"/>
      <c r="P704" s="264"/>
      <c r="Q704" s="264"/>
      <c r="R704" s="264"/>
      <c r="S704" s="264"/>
      <c r="T704" s="264"/>
      <c r="U704" s="264"/>
      <c r="V704" s="264"/>
      <c r="W704" s="264"/>
      <c r="X704" s="264"/>
      <c r="Y704" s="264"/>
      <c r="Z704" s="264"/>
      <c r="AA704" s="264"/>
    </row>
    <row r="705" spans="1:27" ht="15.75" customHeight="1">
      <c r="A705" s="264"/>
      <c r="B705" s="264"/>
      <c r="C705" s="264"/>
      <c r="D705" s="264"/>
      <c r="E705" s="264"/>
      <c r="F705" s="264"/>
      <c r="G705" s="264"/>
      <c r="H705" s="264"/>
      <c r="I705" s="264"/>
      <c r="J705" s="264"/>
      <c r="K705" s="264"/>
      <c r="L705" s="264"/>
      <c r="M705" s="264"/>
      <c r="N705" s="264"/>
      <c r="O705" s="264"/>
      <c r="P705" s="264"/>
      <c r="Q705" s="264"/>
      <c r="R705" s="264"/>
      <c r="S705" s="264"/>
      <c r="T705" s="264"/>
      <c r="U705" s="264"/>
      <c r="V705" s="264"/>
      <c r="W705" s="264"/>
      <c r="X705" s="264"/>
      <c r="Y705" s="264"/>
      <c r="Z705" s="264"/>
      <c r="AA705" s="264"/>
    </row>
    <row r="706" spans="1:27" ht="15.75" customHeight="1">
      <c r="A706" s="264"/>
      <c r="B706" s="264"/>
      <c r="C706" s="264"/>
      <c r="D706" s="264"/>
      <c r="E706" s="264"/>
      <c r="F706" s="264"/>
      <c r="G706" s="264"/>
      <c r="H706" s="264"/>
      <c r="I706" s="264"/>
      <c r="J706" s="264"/>
      <c r="K706" s="264"/>
      <c r="L706" s="264"/>
      <c r="M706" s="264"/>
      <c r="N706" s="264"/>
      <c r="O706" s="264"/>
      <c r="P706" s="264"/>
      <c r="Q706" s="264"/>
      <c r="R706" s="264"/>
      <c r="S706" s="264"/>
      <c r="T706" s="264"/>
      <c r="U706" s="264"/>
      <c r="V706" s="264"/>
      <c r="W706" s="264"/>
      <c r="X706" s="264"/>
      <c r="Y706" s="264"/>
      <c r="Z706" s="264"/>
      <c r="AA706" s="264"/>
    </row>
    <row r="707" spans="1:27" ht="15.75" customHeight="1">
      <c r="A707" s="264"/>
      <c r="B707" s="264"/>
      <c r="C707" s="264"/>
      <c r="D707" s="264"/>
      <c r="E707" s="264"/>
      <c r="F707" s="264"/>
      <c r="G707" s="264"/>
      <c r="H707" s="264"/>
      <c r="I707" s="264"/>
      <c r="J707" s="264"/>
      <c r="K707" s="264"/>
      <c r="L707" s="264"/>
      <c r="M707" s="264"/>
      <c r="N707" s="264"/>
      <c r="O707" s="264"/>
      <c r="P707" s="264"/>
      <c r="Q707" s="264"/>
      <c r="R707" s="264"/>
      <c r="S707" s="264"/>
      <c r="T707" s="264"/>
      <c r="U707" s="264"/>
      <c r="V707" s="264"/>
      <c r="W707" s="264"/>
      <c r="X707" s="264"/>
      <c r="Y707" s="264"/>
      <c r="Z707" s="264"/>
      <c r="AA707" s="264"/>
    </row>
    <row r="708" spans="1:27" ht="15.75" customHeight="1">
      <c r="A708" s="264"/>
      <c r="B708" s="264"/>
      <c r="C708" s="264"/>
      <c r="D708" s="264"/>
      <c r="E708" s="264"/>
      <c r="F708" s="264"/>
      <c r="G708" s="264"/>
      <c r="H708" s="264"/>
      <c r="I708" s="264"/>
      <c r="J708" s="264"/>
      <c r="K708" s="264"/>
      <c r="L708" s="264"/>
      <c r="M708" s="264"/>
      <c r="N708" s="264"/>
      <c r="O708" s="264"/>
      <c r="P708" s="264"/>
      <c r="Q708" s="264"/>
      <c r="R708" s="264"/>
      <c r="S708" s="264"/>
      <c r="T708" s="264"/>
      <c r="U708" s="264"/>
      <c r="V708" s="264"/>
      <c r="W708" s="264"/>
      <c r="X708" s="264"/>
      <c r="Y708" s="264"/>
      <c r="Z708" s="264"/>
      <c r="AA708" s="264"/>
    </row>
    <row r="709" spans="1:27" ht="15.75" customHeight="1">
      <c r="A709" s="264"/>
      <c r="B709" s="264"/>
      <c r="C709" s="264"/>
      <c r="D709" s="264"/>
      <c r="E709" s="264"/>
      <c r="F709" s="264"/>
      <c r="G709" s="264"/>
      <c r="H709" s="264"/>
      <c r="I709" s="264"/>
      <c r="J709" s="264"/>
      <c r="K709" s="264"/>
      <c r="L709" s="264"/>
      <c r="M709" s="264"/>
      <c r="N709" s="264"/>
      <c r="O709" s="264"/>
      <c r="P709" s="264"/>
      <c r="Q709" s="264"/>
      <c r="R709" s="264"/>
      <c r="S709" s="264"/>
      <c r="T709" s="264"/>
      <c r="U709" s="264"/>
      <c r="V709" s="264"/>
      <c r="W709" s="264"/>
      <c r="X709" s="264"/>
      <c r="Y709" s="264"/>
      <c r="Z709" s="264"/>
      <c r="AA709" s="264"/>
    </row>
    <row r="710" spans="1:27" ht="15.75" customHeight="1">
      <c r="A710" s="264"/>
      <c r="B710" s="264"/>
      <c r="C710" s="264"/>
      <c r="D710" s="264"/>
      <c r="E710" s="264"/>
      <c r="F710" s="264"/>
      <c r="G710" s="264"/>
      <c r="H710" s="264"/>
      <c r="I710" s="264"/>
      <c r="J710" s="264"/>
      <c r="K710" s="264"/>
      <c r="L710" s="264"/>
      <c r="M710" s="264"/>
      <c r="N710" s="264"/>
      <c r="O710" s="264"/>
      <c r="P710" s="264"/>
      <c r="Q710" s="264"/>
      <c r="R710" s="264"/>
      <c r="S710" s="264"/>
      <c r="T710" s="264"/>
      <c r="U710" s="264"/>
      <c r="V710" s="264"/>
      <c r="W710" s="264"/>
      <c r="X710" s="264"/>
      <c r="Y710" s="264"/>
      <c r="Z710" s="264"/>
      <c r="AA710" s="264"/>
    </row>
    <row r="711" spans="1:27" ht="15.75" customHeight="1">
      <c r="A711" s="264"/>
      <c r="B711" s="264"/>
      <c r="C711" s="264"/>
      <c r="D711" s="264"/>
      <c r="E711" s="264"/>
      <c r="F711" s="264"/>
      <c r="G711" s="264"/>
      <c r="H711" s="264"/>
      <c r="I711" s="264"/>
      <c r="J711" s="264"/>
      <c r="K711" s="264"/>
      <c r="L711" s="264"/>
      <c r="M711" s="264"/>
      <c r="N711" s="264"/>
      <c r="O711" s="264"/>
      <c r="P711" s="264"/>
      <c r="Q711" s="264"/>
      <c r="R711" s="264"/>
      <c r="S711" s="264"/>
      <c r="T711" s="264"/>
      <c r="U711" s="264"/>
      <c r="V711" s="264"/>
      <c r="W711" s="264"/>
      <c r="X711" s="264"/>
      <c r="Y711" s="264"/>
      <c r="Z711" s="264"/>
      <c r="AA711" s="264"/>
    </row>
    <row r="712" spans="1:27" ht="15.75" customHeight="1">
      <c r="A712" s="264"/>
      <c r="B712" s="264"/>
      <c r="C712" s="264"/>
      <c r="D712" s="264"/>
      <c r="E712" s="264"/>
      <c r="F712" s="264"/>
      <c r="G712" s="264"/>
      <c r="H712" s="264"/>
      <c r="I712" s="264"/>
      <c r="J712" s="264"/>
      <c r="K712" s="264"/>
      <c r="L712" s="264"/>
      <c r="M712" s="264"/>
      <c r="N712" s="264"/>
      <c r="O712" s="264"/>
      <c r="P712" s="264"/>
      <c r="Q712" s="264"/>
      <c r="R712" s="264"/>
      <c r="S712" s="264"/>
      <c r="T712" s="264"/>
      <c r="U712" s="264"/>
      <c r="V712" s="264"/>
      <c r="W712" s="264"/>
      <c r="X712" s="264"/>
      <c r="Y712" s="264"/>
      <c r="Z712" s="264"/>
      <c r="AA712" s="264"/>
    </row>
    <row r="713" spans="1:27" ht="15.75" customHeight="1">
      <c r="A713" s="264"/>
      <c r="B713" s="264"/>
      <c r="C713" s="264"/>
      <c r="D713" s="264"/>
      <c r="E713" s="264"/>
      <c r="F713" s="264"/>
      <c r="G713" s="264"/>
      <c r="H713" s="264"/>
      <c r="I713" s="264"/>
      <c r="J713" s="264"/>
      <c r="K713" s="264"/>
      <c r="L713" s="264"/>
      <c r="M713" s="264"/>
      <c r="N713" s="264"/>
      <c r="O713" s="264"/>
      <c r="P713" s="264"/>
      <c r="Q713" s="264"/>
      <c r="R713" s="264"/>
      <c r="S713" s="264"/>
      <c r="T713" s="264"/>
      <c r="U713" s="264"/>
      <c r="V713" s="264"/>
      <c r="W713" s="264"/>
      <c r="X713" s="264"/>
      <c r="Y713" s="264"/>
      <c r="Z713" s="264"/>
      <c r="AA713" s="264"/>
    </row>
    <row r="714" spans="1:27" ht="15.75" customHeight="1">
      <c r="A714" s="264"/>
      <c r="B714" s="264"/>
      <c r="C714" s="264"/>
      <c r="D714" s="264"/>
      <c r="E714" s="264"/>
      <c r="F714" s="264"/>
      <c r="G714" s="264"/>
      <c r="H714" s="264"/>
      <c r="I714" s="264"/>
      <c r="J714" s="264"/>
      <c r="K714" s="264"/>
      <c r="L714" s="264"/>
      <c r="M714" s="264"/>
      <c r="N714" s="264"/>
      <c r="O714" s="264"/>
      <c r="P714" s="264"/>
      <c r="Q714" s="264"/>
      <c r="R714" s="264"/>
      <c r="S714" s="264"/>
      <c r="T714" s="264"/>
      <c r="U714" s="264"/>
      <c r="V714" s="264"/>
      <c r="W714" s="264"/>
      <c r="X714" s="264"/>
      <c r="Y714" s="264"/>
      <c r="Z714" s="264"/>
      <c r="AA714" s="264"/>
    </row>
    <row r="715" spans="1:27" ht="15.75" customHeight="1">
      <c r="A715" s="264"/>
      <c r="B715" s="264"/>
      <c r="C715" s="264"/>
      <c r="D715" s="264"/>
      <c r="E715" s="264"/>
      <c r="F715" s="264"/>
      <c r="G715" s="264"/>
      <c r="H715" s="264"/>
      <c r="I715" s="264"/>
      <c r="J715" s="264"/>
      <c r="K715" s="264"/>
      <c r="L715" s="264"/>
      <c r="M715" s="264"/>
      <c r="N715" s="264"/>
      <c r="O715" s="264"/>
      <c r="P715" s="264"/>
      <c r="Q715" s="264"/>
      <c r="R715" s="264"/>
      <c r="S715" s="264"/>
      <c r="T715" s="264"/>
      <c r="U715" s="264"/>
      <c r="V715" s="264"/>
      <c r="W715" s="264"/>
      <c r="X715" s="264"/>
      <c r="Y715" s="264"/>
      <c r="Z715" s="264"/>
      <c r="AA715" s="264"/>
    </row>
    <row r="716" spans="1:27" ht="15.75" customHeight="1">
      <c r="A716" s="264"/>
      <c r="B716" s="264"/>
      <c r="C716" s="264"/>
      <c r="D716" s="264"/>
      <c r="E716" s="264"/>
      <c r="F716" s="264"/>
      <c r="G716" s="264"/>
      <c r="H716" s="264"/>
      <c r="I716" s="264"/>
      <c r="J716" s="264"/>
      <c r="K716" s="264"/>
      <c r="L716" s="264"/>
      <c r="M716" s="264"/>
      <c r="N716" s="264"/>
      <c r="O716" s="264"/>
      <c r="P716" s="264"/>
      <c r="Q716" s="264"/>
      <c r="R716" s="264"/>
      <c r="S716" s="264"/>
      <c r="T716" s="264"/>
      <c r="U716" s="264"/>
      <c r="V716" s="264"/>
      <c r="W716" s="264"/>
      <c r="X716" s="264"/>
      <c r="Y716" s="264"/>
      <c r="Z716" s="264"/>
      <c r="AA716" s="264"/>
    </row>
    <row r="717" spans="1:27" ht="15.75" customHeight="1">
      <c r="A717" s="264"/>
      <c r="B717" s="264"/>
      <c r="C717" s="264"/>
      <c r="D717" s="264"/>
      <c r="E717" s="264"/>
      <c r="F717" s="264"/>
      <c r="G717" s="264"/>
      <c r="H717" s="264"/>
      <c r="I717" s="264"/>
      <c r="J717" s="264"/>
      <c r="K717" s="264"/>
      <c r="L717" s="264"/>
      <c r="M717" s="264"/>
      <c r="N717" s="264"/>
      <c r="O717" s="264"/>
      <c r="P717" s="264"/>
      <c r="Q717" s="264"/>
      <c r="R717" s="264"/>
      <c r="S717" s="264"/>
      <c r="T717" s="264"/>
      <c r="U717" s="264"/>
      <c r="V717" s="264"/>
      <c r="W717" s="264"/>
      <c r="X717" s="264"/>
      <c r="Y717" s="264"/>
      <c r="Z717" s="264"/>
      <c r="AA717" s="264"/>
    </row>
    <row r="718" spans="1:27" ht="15.75" customHeight="1">
      <c r="A718" s="264"/>
      <c r="B718" s="264"/>
      <c r="C718" s="264"/>
      <c r="D718" s="264"/>
      <c r="E718" s="264"/>
      <c r="F718" s="264"/>
      <c r="G718" s="264"/>
      <c r="H718" s="264"/>
      <c r="I718" s="264"/>
      <c r="J718" s="264"/>
      <c r="K718" s="264"/>
      <c r="L718" s="264"/>
      <c r="M718" s="264"/>
      <c r="N718" s="264"/>
      <c r="O718" s="264"/>
      <c r="P718" s="264"/>
      <c r="Q718" s="264"/>
      <c r="R718" s="264"/>
      <c r="S718" s="264"/>
      <c r="T718" s="264"/>
      <c r="U718" s="264"/>
      <c r="V718" s="264"/>
      <c r="W718" s="264"/>
      <c r="X718" s="264"/>
      <c r="Y718" s="264"/>
      <c r="Z718" s="264"/>
      <c r="AA718" s="264"/>
    </row>
    <row r="719" spans="1:27" ht="15.75" customHeight="1">
      <c r="A719" s="264"/>
      <c r="B719" s="264"/>
      <c r="C719" s="264"/>
      <c r="D719" s="264"/>
      <c r="E719" s="264"/>
      <c r="F719" s="264"/>
      <c r="G719" s="264"/>
      <c r="H719" s="264"/>
      <c r="I719" s="264"/>
      <c r="J719" s="264"/>
      <c r="K719" s="264"/>
      <c r="L719" s="264"/>
      <c r="M719" s="264"/>
      <c r="N719" s="264"/>
      <c r="O719" s="264"/>
      <c r="P719" s="264"/>
      <c r="Q719" s="264"/>
      <c r="R719" s="264"/>
      <c r="S719" s="264"/>
      <c r="T719" s="264"/>
      <c r="U719" s="264"/>
      <c r="V719" s="264"/>
      <c r="W719" s="264"/>
      <c r="X719" s="264"/>
      <c r="Y719" s="264"/>
      <c r="Z719" s="264"/>
      <c r="AA719" s="264"/>
    </row>
    <row r="720" spans="1:27" ht="15.75" customHeight="1">
      <c r="A720" s="264"/>
      <c r="B720" s="264"/>
      <c r="C720" s="264"/>
      <c r="D720" s="264"/>
      <c r="E720" s="264"/>
      <c r="F720" s="264"/>
      <c r="G720" s="264"/>
      <c r="H720" s="264"/>
      <c r="I720" s="264"/>
      <c r="J720" s="264"/>
      <c r="K720" s="264"/>
      <c r="L720" s="264"/>
      <c r="M720" s="264"/>
      <c r="N720" s="264"/>
      <c r="O720" s="264"/>
      <c r="P720" s="264"/>
      <c r="Q720" s="264"/>
      <c r="R720" s="264"/>
      <c r="S720" s="264"/>
      <c r="T720" s="264"/>
      <c r="U720" s="264"/>
      <c r="V720" s="264"/>
      <c r="W720" s="264"/>
      <c r="X720" s="264"/>
      <c r="Y720" s="264"/>
      <c r="Z720" s="264"/>
      <c r="AA720" s="264"/>
    </row>
    <row r="721" spans="1:27" ht="15.75" customHeight="1">
      <c r="A721" s="264"/>
      <c r="B721" s="264"/>
      <c r="C721" s="264"/>
      <c r="D721" s="264"/>
      <c r="E721" s="264"/>
      <c r="F721" s="264"/>
      <c r="G721" s="264"/>
      <c r="H721" s="264"/>
      <c r="I721" s="264"/>
      <c r="J721" s="264"/>
      <c r="K721" s="264"/>
      <c r="L721" s="264"/>
      <c r="M721" s="264"/>
      <c r="N721" s="264"/>
      <c r="O721" s="264"/>
      <c r="P721" s="264"/>
      <c r="Q721" s="264"/>
      <c r="R721" s="264"/>
      <c r="S721" s="264"/>
      <c r="T721" s="264"/>
      <c r="U721" s="264"/>
      <c r="V721" s="264"/>
      <c r="W721" s="264"/>
      <c r="X721" s="264"/>
      <c r="Y721" s="264"/>
      <c r="Z721" s="264"/>
      <c r="AA721" s="264"/>
    </row>
    <row r="722" spans="1:27" ht="15.75" customHeight="1">
      <c r="A722" s="264"/>
      <c r="B722" s="264"/>
      <c r="C722" s="264"/>
      <c r="D722" s="264"/>
      <c r="E722" s="264"/>
      <c r="F722" s="264"/>
      <c r="G722" s="264"/>
      <c r="H722" s="264"/>
      <c r="I722" s="264"/>
      <c r="J722" s="264"/>
      <c r="K722" s="264"/>
      <c r="L722" s="264"/>
      <c r="M722" s="264"/>
      <c r="N722" s="264"/>
      <c r="O722" s="264"/>
      <c r="P722" s="264"/>
      <c r="Q722" s="264"/>
      <c r="R722" s="264"/>
      <c r="S722" s="264"/>
      <c r="T722" s="264"/>
      <c r="U722" s="264"/>
      <c r="V722" s="264"/>
      <c r="W722" s="264"/>
      <c r="X722" s="264"/>
      <c r="Y722" s="264"/>
      <c r="Z722" s="264"/>
      <c r="AA722" s="264"/>
    </row>
    <row r="723" spans="1:27" ht="15.75" customHeight="1">
      <c r="A723" s="264"/>
      <c r="B723" s="264"/>
      <c r="C723" s="264"/>
      <c r="D723" s="264"/>
      <c r="E723" s="264"/>
      <c r="F723" s="264"/>
      <c r="G723" s="264"/>
      <c r="H723" s="264"/>
      <c r="I723" s="264"/>
      <c r="J723" s="264"/>
      <c r="K723" s="264"/>
      <c r="L723" s="264"/>
      <c r="M723" s="264"/>
      <c r="N723" s="264"/>
      <c r="O723" s="264"/>
      <c r="P723" s="264"/>
      <c r="Q723" s="264"/>
      <c r="R723" s="264"/>
      <c r="S723" s="264"/>
      <c r="T723" s="264"/>
      <c r="U723" s="264"/>
      <c r="V723" s="264"/>
      <c r="W723" s="264"/>
      <c r="X723" s="264"/>
      <c r="Y723" s="264"/>
      <c r="Z723" s="264"/>
      <c r="AA723" s="264"/>
    </row>
    <row r="724" spans="1:27" ht="15.75" customHeight="1">
      <c r="A724" s="264"/>
      <c r="B724" s="264"/>
      <c r="C724" s="264"/>
      <c r="D724" s="264"/>
      <c r="E724" s="264"/>
      <c r="F724" s="264"/>
      <c r="G724" s="264"/>
      <c r="H724" s="264"/>
      <c r="I724" s="264"/>
      <c r="J724" s="264"/>
      <c r="K724" s="264"/>
      <c r="L724" s="264"/>
      <c r="M724" s="264"/>
      <c r="N724" s="264"/>
      <c r="O724" s="264"/>
      <c r="P724" s="264"/>
      <c r="Q724" s="264"/>
      <c r="R724" s="264"/>
      <c r="S724" s="264"/>
      <c r="T724" s="264"/>
      <c r="U724" s="264"/>
      <c r="V724" s="264"/>
      <c r="W724" s="264"/>
      <c r="X724" s="264"/>
      <c r="Y724" s="264"/>
      <c r="Z724" s="264"/>
      <c r="AA724" s="264"/>
    </row>
    <row r="725" spans="1:27" ht="15.75" customHeight="1">
      <c r="A725" s="264"/>
      <c r="B725" s="264"/>
      <c r="C725" s="264"/>
      <c r="D725" s="264"/>
      <c r="E725" s="264"/>
      <c r="F725" s="264"/>
      <c r="G725" s="264"/>
      <c r="H725" s="264"/>
      <c r="I725" s="264"/>
      <c r="J725" s="264"/>
      <c r="K725" s="264"/>
      <c r="L725" s="264"/>
      <c r="M725" s="264"/>
      <c r="N725" s="264"/>
      <c r="O725" s="264"/>
      <c r="P725" s="264"/>
      <c r="Q725" s="264"/>
      <c r="R725" s="264"/>
      <c r="S725" s="264"/>
      <c r="T725" s="264"/>
      <c r="U725" s="264"/>
      <c r="V725" s="264"/>
      <c r="W725" s="264"/>
      <c r="X725" s="264"/>
      <c r="Y725" s="264"/>
      <c r="Z725" s="264"/>
      <c r="AA725" s="264"/>
    </row>
    <row r="726" spans="1:27" ht="15.75" customHeight="1">
      <c r="A726" s="264"/>
      <c r="B726" s="264"/>
      <c r="C726" s="264"/>
      <c r="D726" s="264"/>
      <c r="E726" s="264"/>
      <c r="F726" s="264"/>
      <c r="G726" s="264"/>
      <c r="H726" s="264"/>
      <c r="I726" s="264"/>
      <c r="J726" s="264"/>
      <c r="K726" s="264"/>
      <c r="L726" s="264"/>
      <c r="M726" s="264"/>
      <c r="N726" s="264"/>
      <c r="O726" s="264"/>
      <c r="P726" s="264"/>
      <c r="Q726" s="264"/>
      <c r="R726" s="264"/>
      <c r="S726" s="264"/>
      <c r="T726" s="264"/>
      <c r="U726" s="264"/>
      <c r="V726" s="264"/>
      <c r="W726" s="264"/>
      <c r="X726" s="264"/>
      <c r="Y726" s="264"/>
      <c r="Z726" s="264"/>
      <c r="AA726" s="264"/>
    </row>
    <row r="727" spans="1:27" ht="15.75" customHeight="1">
      <c r="A727" s="264"/>
      <c r="B727" s="264"/>
      <c r="C727" s="264"/>
      <c r="D727" s="264"/>
      <c r="E727" s="264"/>
      <c r="F727" s="264"/>
      <c r="G727" s="264"/>
      <c r="H727" s="264"/>
      <c r="I727" s="264"/>
      <c r="J727" s="264"/>
      <c r="K727" s="264"/>
      <c r="L727" s="264"/>
      <c r="M727" s="264"/>
      <c r="N727" s="264"/>
      <c r="O727" s="264"/>
      <c r="P727" s="264"/>
      <c r="Q727" s="264"/>
      <c r="R727" s="264"/>
      <c r="S727" s="264"/>
      <c r="T727" s="264"/>
      <c r="U727" s="264"/>
      <c r="V727" s="264"/>
      <c r="W727" s="264"/>
      <c r="X727" s="264"/>
      <c r="Y727" s="264"/>
      <c r="Z727" s="264"/>
      <c r="AA727" s="264"/>
    </row>
    <row r="728" spans="1:27" ht="15.75" customHeight="1">
      <c r="A728" s="264"/>
      <c r="B728" s="264"/>
      <c r="C728" s="264"/>
      <c r="D728" s="264"/>
      <c r="E728" s="264"/>
      <c r="F728" s="264"/>
      <c r="G728" s="264"/>
      <c r="H728" s="264"/>
      <c r="I728" s="264"/>
      <c r="J728" s="264"/>
      <c r="K728" s="264"/>
      <c r="L728" s="264"/>
      <c r="M728" s="264"/>
      <c r="N728" s="264"/>
      <c r="O728" s="264"/>
      <c r="P728" s="264"/>
      <c r="Q728" s="264"/>
      <c r="R728" s="264"/>
      <c r="S728" s="264"/>
      <c r="T728" s="264"/>
      <c r="U728" s="264"/>
      <c r="V728" s="264"/>
      <c r="W728" s="264"/>
      <c r="X728" s="264"/>
      <c r="Y728" s="264"/>
      <c r="Z728" s="264"/>
      <c r="AA728" s="264"/>
    </row>
    <row r="729" spans="1:27" ht="15.75" customHeight="1">
      <c r="A729" s="264"/>
      <c r="B729" s="264"/>
      <c r="C729" s="264"/>
      <c r="D729" s="264"/>
      <c r="E729" s="264"/>
      <c r="F729" s="264"/>
      <c r="G729" s="264"/>
      <c r="H729" s="264"/>
      <c r="I729" s="264"/>
      <c r="J729" s="264"/>
      <c r="K729" s="264"/>
      <c r="L729" s="264"/>
      <c r="M729" s="264"/>
      <c r="N729" s="264"/>
      <c r="O729" s="264"/>
      <c r="P729" s="264"/>
      <c r="Q729" s="264"/>
      <c r="R729" s="264"/>
      <c r="S729" s="264"/>
      <c r="T729" s="264"/>
      <c r="U729" s="264"/>
      <c r="V729" s="264"/>
      <c r="W729" s="264"/>
      <c r="X729" s="264"/>
      <c r="Y729" s="264"/>
      <c r="Z729" s="264"/>
      <c r="AA729" s="264"/>
    </row>
    <row r="730" spans="1:27" ht="15.75" customHeight="1">
      <c r="A730" s="264"/>
      <c r="B730" s="264"/>
      <c r="C730" s="264"/>
      <c r="D730" s="264"/>
      <c r="E730" s="264"/>
      <c r="F730" s="264"/>
      <c r="G730" s="264"/>
      <c r="H730" s="264"/>
      <c r="I730" s="264"/>
      <c r="J730" s="264"/>
      <c r="K730" s="264"/>
      <c r="L730" s="264"/>
      <c r="M730" s="264"/>
      <c r="N730" s="264"/>
      <c r="O730" s="264"/>
      <c r="P730" s="264"/>
      <c r="Q730" s="264"/>
      <c r="R730" s="264"/>
      <c r="S730" s="264"/>
      <c r="T730" s="264"/>
      <c r="U730" s="264"/>
      <c r="V730" s="264"/>
      <c r="W730" s="264"/>
      <c r="X730" s="264"/>
      <c r="Y730" s="264"/>
      <c r="Z730" s="264"/>
      <c r="AA730" s="264"/>
    </row>
    <row r="731" spans="1:27" ht="15.75" customHeight="1">
      <c r="A731" s="264"/>
      <c r="B731" s="264"/>
      <c r="C731" s="264"/>
      <c r="D731" s="264"/>
      <c r="E731" s="264"/>
      <c r="F731" s="264"/>
      <c r="G731" s="264"/>
      <c r="H731" s="264"/>
      <c r="I731" s="264"/>
      <c r="J731" s="264"/>
      <c r="K731" s="264"/>
      <c r="L731" s="264"/>
      <c r="M731" s="264"/>
      <c r="N731" s="264"/>
      <c r="O731" s="264"/>
      <c r="P731" s="264"/>
      <c r="Q731" s="264"/>
      <c r="R731" s="264"/>
      <c r="S731" s="264"/>
      <c r="T731" s="264"/>
      <c r="U731" s="264"/>
      <c r="V731" s="264"/>
      <c r="W731" s="264"/>
      <c r="X731" s="264"/>
      <c r="Y731" s="264"/>
      <c r="Z731" s="264"/>
      <c r="AA731" s="264"/>
    </row>
    <row r="732" spans="1:27" ht="15.75" customHeight="1">
      <c r="A732" s="264"/>
      <c r="B732" s="264"/>
      <c r="C732" s="264"/>
      <c r="D732" s="264"/>
      <c r="E732" s="264"/>
      <c r="F732" s="264"/>
      <c r="G732" s="264"/>
      <c r="H732" s="264"/>
      <c r="I732" s="264"/>
      <c r="J732" s="264"/>
      <c r="K732" s="264"/>
      <c r="L732" s="264"/>
      <c r="M732" s="264"/>
      <c r="N732" s="264"/>
      <c r="O732" s="264"/>
      <c r="P732" s="264"/>
      <c r="Q732" s="264"/>
      <c r="R732" s="264"/>
      <c r="S732" s="264"/>
      <c r="T732" s="264"/>
      <c r="U732" s="264"/>
      <c r="V732" s="264"/>
      <c r="W732" s="264"/>
      <c r="X732" s="264"/>
      <c r="Y732" s="264"/>
      <c r="Z732" s="264"/>
      <c r="AA732" s="264"/>
    </row>
    <row r="733" spans="1:27" ht="15.75" customHeight="1">
      <c r="A733" s="264"/>
      <c r="B733" s="264"/>
      <c r="C733" s="264"/>
      <c r="D733" s="264"/>
      <c r="E733" s="264"/>
      <c r="F733" s="264"/>
      <c r="G733" s="264"/>
      <c r="H733" s="264"/>
      <c r="I733" s="264"/>
      <c r="J733" s="264"/>
      <c r="K733" s="264"/>
      <c r="L733" s="264"/>
      <c r="M733" s="264"/>
      <c r="N733" s="264"/>
      <c r="O733" s="264"/>
      <c r="P733" s="264"/>
      <c r="Q733" s="264"/>
      <c r="R733" s="264"/>
      <c r="S733" s="264"/>
      <c r="T733" s="264"/>
      <c r="U733" s="264"/>
      <c r="V733" s="264"/>
      <c r="W733" s="264"/>
      <c r="X733" s="264"/>
      <c r="Y733" s="264"/>
      <c r="Z733" s="264"/>
      <c r="AA733" s="264"/>
    </row>
    <row r="734" spans="1:27" ht="15.75" customHeight="1">
      <c r="A734" s="264"/>
      <c r="B734" s="264"/>
      <c r="C734" s="264"/>
      <c r="D734" s="264"/>
      <c r="E734" s="264"/>
      <c r="F734" s="264"/>
      <c r="G734" s="264"/>
      <c r="H734" s="264"/>
      <c r="I734" s="264"/>
      <c r="J734" s="264"/>
      <c r="K734" s="264"/>
      <c r="L734" s="264"/>
      <c r="M734" s="264"/>
      <c r="N734" s="264"/>
      <c r="O734" s="264"/>
      <c r="P734" s="264"/>
      <c r="Q734" s="264"/>
      <c r="R734" s="264"/>
      <c r="S734" s="264"/>
      <c r="T734" s="264"/>
      <c r="U734" s="264"/>
      <c r="V734" s="264"/>
      <c r="W734" s="264"/>
      <c r="X734" s="264"/>
      <c r="Y734" s="264"/>
      <c r="Z734" s="264"/>
      <c r="AA734" s="264"/>
    </row>
    <row r="735" spans="1:27" ht="15.75" customHeight="1">
      <c r="A735" s="264"/>
      <c r="B735" s="264"/>
      <c r="C735" s="264"/>
      <c r="D735" s="264"/>
      <c r="E735" s="264"/>
      <c r="F735" s="264"/>
      <c r="G735" s="264"/>
      <c r="H735" s="264"/>
      <c r="I735" s="264"/>
      <c r="J735" s="264"/>
      <c r="K735" s="264"/>
      <c r="L735" s="264"/>
      <c r="M735" s="264"/>
      <c r="N735" s="264"/>
      <c r="O735" s="264"/>
      <c r="P735" s="264"/>
      <c r="Q735" s="264"/>
      <c r="R735" s="264"/>
      <c r="S735" s="264"/>
      <c r="T735" s="264"/>
      <c r="U735" s="264"/>
      <c r="V735" s="264"/>
      <c r="W735" s="264"/>
      <c r="X735" s="264"/>
      <c r="Y735" s="264"/>
      <c r="Z735" s="264"/>
      <c r="AA735" s="264"/>
    </row>
    <row r="736" spans="1:27" ht="15.75" customHeight="1">
      <c r="A736" s="264"/>
      <c r="B736" s="264"/>
      <c r="C736" s="264"/>
      <c r="D736" s="264"/>
      <c r="E736" s="264"/>
      <c r="F736" s="264"/>
      <c r="G736" s="264"/>
      <c r="H736" s="264"/>
      <c r="I736" s="264"/>
      <c r="J736" s="264"/>
      <c r="K736" s="264"/>
      <c r="L736" s="264"/>
      <c r="M736" s="264"/>
      <c r="N736" s="264"/>
      <c r="O736" s="264"/>
      <c r="P736" s="264"/>
      <c r="Q736" s="264"/>
      <c r="R736" s="264"/>
      <c r="S736" s="264"/>
      <c r="T736" s="264"/>
      <c r="U736" s="264"/>
      <c r="V736" s="264"/>
      <c r="W736" s="264"/>
      <c r="X736" s="264"/>
      <c r="Y736" s="264"/>
      <c r="Z736" s="264"/>
      <c r="AA736" s="264"/>
    </row>
    <row r="737" spans="1:27" ht="15.75" customHeight="1">
      <c r="A737" s="264"/>
      <c r="B737" s="264"/>
      <c r="C737" s="264"/>
      <c r="D737" s="264"/>
      <c r="E737" s="264"/>
      <c r="F737" s="264"/>
      <c r="G737" s="264"/>
      <c r="H737" s="264"/>
      <c r="I737" s="264"/>
      <c r="J737" s="264"/>
      <c r="K737" s="264"/>
      <c r="L737" s="264"/>
      <c r="M737" s="264"/>
      <c r="N737" s="264"/>
      <c r="O737" s="264"/>
      <c r="P737" s="264"/>
      <c r="Q737" s="264"/>
      <c r="R737" s="264"/>
      <c r="S737" s="264"/>
      <c r="T737" s="264"/>
      <c r="U737" s="264"/>
      <c r="V737" s="264"/>
      <c r="W737" s="264"/>
      <c r="X737" s="264"/>
      <c r="Y737" s="264"/>
      <c r="Z737" s="264"/>
      <c r="AA737" s="264"/>
    </row>
    <row r="738" spans="1:27" ht="15.75" customHeight="1">
      <c r="A738" s="264"/>
      <c r="B738" s="264"/>
      <c r="C738" s="264"/>
      <c r="D738" s="264"/>
      <c r="E738" s="264"/>
      <c r="F738" s="264"/>
      <c r="G738" s="264"/>
      <c r="H738" s="264"/>
      <c r="I738" s="264"/>
      <c r="J738" s="264"/>
      <c r="K738" s="264"/>
      <c r="L738" s="264"/>
      <c r="M738" s="264"/>
      <c r="N738" s="264"/>
      <c r="O738" s="264"/>
      <c r="P738" s="264"/>
      <c r="Q738" s="264"/>
      <c r="R738" s="264"/>
      <c r="S738" s="264"/>
      <c r="T738" s="264"/>
      <c r="U738" s="264"/>
      <c r="V738" s="264"/>
      <c r="W738" s="264"/>
      <c r="X738" s="264"/>
      <c r="Y738" s="264"/>
      <c r="Z738" s="264"/>
      <c r="AA738" s="264"/>
    </row>
    <row r="739" spans="1:27" ht="15.75" customHeight="1">
      <c r="A739" s="264"/>
      <c r="B739" s="264"/>
      <c r="C739" s="264"/>
      <c r="D739" s="264"/>
      <c r="E739" s="264"/>
      <c r="F739" s="264"/>
      <c r="G739" s="264"/>
      <c r="H739" s="264"/>
      <c r="I739" s="264"/>
      <c r="J739" s="264"/>
      <c r="K739" s="264"/>
      <c r="L739" s="264"/>
      <c r="M739" s="264"/>
      <c r="N739" s="264"/>
      <c r="O739" s="264"/>
      <c r="P739" s="264"/>
      <c r="Q739" s="264"/>
      <c r="R739" s="264"/>
      <c r="S739" s="264"/>
      <c r="T739" s="264"/>
      <c r="U739" s="264"/>
      <c r="V739" s="264"/>
      <c r="W739" s="264"/>
      <c r="X739" s="264"/>
      <c r="Y739" s="264"/>
      <c r="Z739" s="264"/>
      <c r="AA739" s="264"/>
    </row>
    <row r="740" spans="1:27" ht="15.75" customHeight="1">
      <c r="A740" s="264"/>
      <c r="B740" s="264"/>
      <c r="C740" s="264"/>
      <c r="D740" s="264"/>
      <c r="E740" s="264"/>
      <c r="F740" s="264"/>
      <c r="G740" s="264"/>
      <c r="H740" s="264"/>
      <c r="I740" s="264"/>
      <c r="J740" s="264"/>
      <c r="K740" s="264"/>
      <c r="L740" s="264"/>
      <c r="M740" s="264"/>
      <c r="N740" s="264"/>
      <c r="O740" s="264"/>
      <c r="P740" s="264"/>
      <c r="Q740" s="264"/>
      <c r="R740" s="264"/>
      <c r="S740" s="264"/>
      <c r="T740" s="264"/>
      <c r="U740" s="264"/>
      <c r="V740" s="264"/>
      <c r="W740" s="264"/>
      <c r="X740" s="264"/>
      <c r="Y740" s="264"/>
      <c r="Z740" s="264"/>
      <c r="AA740" s="264"/>
    </row>
    <row r="741" spans="1:27" ht="15.75" customHeight="1">
      <c r="A741" s="264"/>
      <c r="B741" s="264"/>
      <c r="C741" s="264"/>
      <c r="D741" s="264"/>
      <c r="E741" s="264"/>
      <c r="F741" s="264"/>
      <c r="G741" s="264"/>
      <c r="H741" s="264"/>
      <c r="I741" s="264"/>
      <c r="J741" s="264"/>
      <c r="K741" s="264"/>
      <c r="L741" s="264"/>
      <c r="M741" s="264"/>
      <c r="N741" s="264"/>
      <c r="O741" s="264"/>
      <c r="P741" s="264"/>
      <c r="Q741" s="264"/>
      <c r="R741" s="264"/>
      <c r="S741" s="264"/>
      <c r="T741" s="264"/>
      <c r="U741" s="264"/>
      <c r="V741" s="264"/>
      <c r="W741" s="264"/>
      <c r="X741" s="264"/>
      <c r="Y741" s="264"/>
      <c r="Z741" s="264"/>
      <c r="AA741" s="264"/>
    </row>
    <row r="742" spans="1:27" ht="15.75" customHeight="1">
      <c r="A742" s="264"/>
      <c r="B742" s="264"/>
      <c r="C742" s="264"/>
      <c r="D742" s="264"/>
      <c r="E742" s="264"/>
      <c r="F742" s="264"/>
      <c r="G742" s="264"/>
      <c r="H742" s="264"/>
      <c r="I742" s="264"/>
      <c r="J742" s="264"/>
      <c r="K742" s="264"/>
      <c r="L742" s="264"/>
      <c r="M742" s="264"/>
      <c r="N742" s="264"/>
      <c r="O742" s="264"/>
      <c r="P742" s="264"/>
      <c r="Q742" s="264"/>
      <c r="R742" s="264"/>
      <c r="S742" s="264"/>
      <c r="T742" s="264"/>
      <c r="U742" s="264"/>
      <c r="V742" s="264"/>
      <c r="W742" s="264"/>
      <c r="X742" s="264"/>
      <c r="Y742" s="264"/>
      <c r="Z742" s="264"/>
      <c r="AA742" s="264"/>
    </row>
    <row r="743" spans="1:27" ht="15.75" customHeight="1">
      <c r="A743" s="264"/>
      <c r="B743" s="264"/>
      <c r="C743" s="264"/>
      <c r="D743" s="264"/>
      <c r="E743" s="264"/>
      <c r="F743" s="264"/>
      <c r="G743" s="264"/>
      <c r="H743" s="264"/>
      <c r="I743" s="264"/>
      <c r="J743" s="264"/>
      <c r="K743" s="264"/>
      <c r="L743" s="264"/>
      <c r="M743" s="264"/>
      <c r="N743" s="264"/>
      <c r="O743" s="264"/>
      <c r="P743" s="264"/>
      <c r="Q743" s="264"/>
      <c r="R743" s="264"/>
      <c r="S743" s="264"/>
      <c r="T743" s="264"/>
      <c r="U743" s="264"/>
      <c r="V743" s="264"/>
      <c r="W743" s="264"/>
      <c r="X743" s="264"/>
      <c r="Y743" s="264"/>
      <c r="Z743" s="264"/>
      <c r="AA743" s="264"/>
    </row>
    <row r="744" spans="1:27" ht="15.75" customHeight="1">
      <c r="A744" s="264"/>
      <c r="B744" s="264"/>
      <c r="C744" s="264"/>
      <c r="D744" s="264"/>
      <c r="E744" s="264"/>
      <c r="F744" s="264"/>
      <c r="G744" s="264"/>
      <c r="H744" s="264"/>
      <c r="I744" s="264"/>
      <c r="J744" s="264"/>
      <c r="K744" s="264"/>
      <c r="L744" s="264"/>
      <c r="M744" s="264"/>
      <c r="N744" s="264"/>
      <c r="O744" s="264"/>
      <c r="P744" s="264"/>
      <c r="Q744" s="264"/>
      <c r="R744" s="264"/>
      <c r="S744" s="264"/>
      <c r="T744" s="264"/>
      <c r="U744" s="264"/>
      <c r="V744" s="264"/>
      <c r="W744" s="264"/>
      <c r="X744" s="264"/>
      <c r="Y744" s="264"/>
      <c r="Z744" s="264"/>
      <c r="AA744" s="264"/>
    </row>
    <row r="745" spans="1:27" ht="15.75" customHeight="1">
      <c r="A745" s="264"/>
      <c r="B745" s="264"/>
      <c r="C745" s="264"/>
      <c r="D745" s="264"/>
      <c r="E745" s="264"/>
      <c r="F745" s="264"/>
      <c r="G745" s="264"/>
      <c r="H745" s="264"/>
      <c r="I745" s="264"/>
      <c r="J745" s="264"/>
      <c r="K745" s="264"/>
      <c r="L745" s="264"/>
      <c r="M745" s="264"/>
      <c r="N745" s="264"/>
      <c r="O745" s="264"/>
      <c r="P745" s="264"/>
      <c r="Q745" s="264"/>
      <c r="R745" s="264"/>
      <c r="S745" s="264"/>
      <c r="T745" s="264"/>
      <c r="U745" s="264"/>
      <c r="V745" s="264"/>
      <c r="W745" s="264"/>
      <c r="X745" s="264"/>
      <c r="Y745" s="264"/>
      <c r="Z745" s="264"/>
      <c r="AA745" s="264"/>
    </row>
    <row r="746" spans="1:27" ht="15.75" customHeight="1">
      <c r="A746" s="264"/>
      <c r="B746" s="264"/>
      <c r="C746" s="264"/>
      <c r="D746" s="264"/>
      <c r="E746" s="264"/>
      <c r="F746" s="264"/>
      <c r="G746" s="264"/>
      <c r="H746" s="264"/>
      <c r="I746" s="264"/>
      <c r="J746" s="264"/>
      <c r="K746" s="264"/>
      <c r="L746" s="264"/>
      <c r="M746" s="264"/>
      <c r="N746" s="264"/>
      <c r="O746" s="264"/>
      <c r="P746" s="264"/>
      <c r="Q746" s="264"/>
      <c r="R746" s="264"/>
      <c r="S746" s="264"/>
      <c r="T746" s="264"/>
      <c r="U746" s="264"/>
      <c r="V746" s="264"/>
      <c r="W746" s="264"/>
      <c r="X746" s="264"/>
      <c r="Y746" s="264"/>
      <c r="Z746" s="264"/>
      <c r="AA746" s="264"/>
    </row>
    <row r="747" spans="1:27" ht="15.75" customHeight="1">
      <c r="A747" s="264"/>
      <c r="B747" s="264"/>
      <c r="C747" s="264"/>
      <c r="D747" s="264"/>
      <c r="E747" s="264"/>
      <c r="F747" s="264"/>
      <c r="G747" s="264"/>
      <c r="H747" s="264"/>
      <c r="I747" s="264"/>
      <c r="J747" s="264"/>
      <c r="K747" s="264"/>
      <c r="L747" s="264"/>
      <c r="M747" s="264"/>
      <c r="N747" s="264"/>
      <c r="O747" s="264"/>
      <c r="P747" s="264"/>
      <c r="Q747" s="264"/>
      <c r="R747" s="264"/>
      <c r="S747" s="264"/>
      <c r="T747" s="264"/>
      <c r="U747" s="264"/>
      <c r="V747" s="264"/>
      <c r="W747" s="264"/>
      <c r="X747" s="264"/>
      <c r="Y747" s="264"/>
      <c r="Z747" s="264"/>
      <c r="AA747" s="264"/>
    </row>
    <row r="748" spans="1:27" ht="15.75" customHeight="1">
      <c r="A748" s="264"/>
      <c r="B748" s="264"/>
      <c r="C748" s="264"/>
      <c r="D748" s="264"/>
      <c r="E748" s="264"/>
      <c r="F748" s="264"/>
      <c r="G748" s="264"/>
      <c r="H748" s="264"/>
      <c r="I748" s="264"/>
      <c r="J748" s="264"/>
      <c r="K748" s="264"/>
      <c r="L748" s="264"/>
      <c r="M748" s="264"/>
      <c r="N748" s="264"/>
      <c r="O748" s="264"/>
      <c r="P748" s="264"/>
      <c r="Q748" s="264"/>
      <c r="R748" s="264"/>
      <c r="S748" s="264"/>
      <c r="T748" s="264"/>
      <c r="U748" s="264"/>
      <c r="V748" s="264"/>
      <c r="W748" s="264"/>
      <c r="X748" s="264"/>
      <c r="Y748" s="264"/>
      <c r="Z748" s="264"/>
      <c r="AA748" s="264"/>
    </row>
    <row r="749" spans="1:27" ht="15.75" customHeight="1">
      <c r="A749" s="264"/>
      <c r="B749" s="264"/>
      <c r="C749" s="264"/>
      <c r="D749" s="264"/>
      <c r="E749" s="264"/>
      <c r="F749" s="264"/>
      <c r="G749" s="264"/>
      <c r="H749" s="264"/>
      <c r="I749" s="264"/>
      <c r="J749" s="264"/>
      <c r="K749" s="264"/>
      <c r="L749" s="264"/>
      <c r="M749" s="264"/>
      <c r="N749" s="264"/>
      <c r="O749" s="264"/>
      <c r="P749" s="264"/>
      <c r="Q749" s="264"/>
      <c r="R749" s="264"/>
      <c r="S749" s="264"/>
      <c r="T749" s="264"/>
      <c r="U749" s="264"/>
      <c r="V749" s="264"/>
      <c r="W749" s="264"/>
      <c r="X749" s="264"/>
      <c r="Y749" s="264"/>
      <c r="Z749" s="264"/>
      <c r="AA749" s="264"/>
    </row>
    <row r="750" spans="1:27" ht="15.75" customHeight="1">
      <c r="A750" s="264"/>
      <c r="B750" s="264"/>
      <c r="C750" s="264"/>
      <c r="D750" s="264"/>
      <c r="E750" s="264"/>
      <c r="F750" s="264"/>
      <c r="G750" s="264"/>
      <c r="H750" s="264"/>
      <c r="I750" s="264"/>
      <c r="J750" s="264"/>
      <c r="K750" s="264"/>
      <c r="L750" s="264"/>
      <c r="M750" s="264"/>
      <c r="N750" s="264"/>
      <c r="O750" s="264"/>
      <c r="P750" s="264"/>
      <c r="Q750" s="264"/>
      <c r="R750" s="264"/>
      <c r="S750" s="264"/>
      <c r="T750" s="264"/>
      <c r="U750" s="264"/>
      <c r="V750" s="264"/>
      <c r="W750" s="264"/>
      <c r="X750" s="264"/>
      <c r="Y750" s="264"/>
      <c r="Z750" s="264"/>
      <c r="AA750" s="264"/>
    </row>
    <row r="751" spans="1:27" ht="15.75" customHeight="1">
      <c r="A751" s="264"/>
      <c r="B751" s="264"/>
      <c r="C751" s="264"/>
      <c r="D751" s="264"/>
      <c r="E751" s="264"/>
      <c r="F751" s="264"/>
      <c r="G751" s="264"/>
      <c r="H751" s="264"/>
      <c r="I751" s="264"/>
      <c r="J751" s="264"/>
      <c r="K751" s="264"/>
      <c r="L751" s="264"/>
      <c r="M751" s="264"/>
      <c r="N751" s="264"/>
      <c r="O751" s="264"/>
      <c r="P751" s="264"/>
      <c r="Q751" s="264"/>
      <c r="R751" s="264"/>
      <c r="S751" s="264"/>
      <c r="T751" s="264"/>
      <c r="U751" s="264"/>
      <c r="V751" s="264"/>
      <c r="W751" s="264"/>
      <c r="X751" s="264"/>
      <c r="Y751" s="264"/>
      <c r="Z751" s="264"/>
      <c r="AA751" s="264"/>
    </row>
    <row r="752" spans="1:27" ht="15.75" customHeight="1">
      <c r="A752" s="264"/>
      <c r="B752" s="264"/>
      <c r="C752" s="264"/>
      <c r="D752" s="264"/>
      <c r="E752" s="264"/>
      <c r="F752" s="264"/>
      <c r="G752" s="264"/>
      <c r="H752" s="264"/>
      <c r="I752" s="264"/>
      <c r="J752" s="264"/>
      <c r="K752" s="264"/>
      <c r="L752" s="264"/>
      <c r="M752" s="264"/>
      <c r="N752" s="264"/>
      <c r="O752" s="264"/>
      <c r="P752" s="264"/>
      <c r="Q752" s="264"/>
      <c r="R752" s="264"/>
      <c r="S752" s="264"/>
      <c r="T752" s="264"/>
      <c r="U752" s="264"/>
      <c r="V752" s="264"/>
      <c r="W752" s="264"/>
      <c r="X752" s="264"/>
      <c r="Y752" s="264"/>
      <c r="Z752" s="264"/>
      <c r="AA752" s="264"/>
    </row>
    <row r="753" spans="1:27" ht="15.75" customHeight="1">
      <c r="A753" s="264"/>
      <c r="B753" s="264"/>
      <c r="C753" s="264"/>
      <c r="D753" s="264"/>
      <c r="E753" s="264"/>
      <c r="F753" s="264"/>
      <c r="G753" s="264"/>
      <c r="H753" s="264"/>
      <c r="I753" s="264"/>
      <c r="J753" s="264"/>
      <c r="K753" s="264"/>
      <c r="L753" s="264"/>
      <c r="M753" s="264"/>
      <c r="N753" s="264"/>
      <c r="O753" s="264"/>
      <c r="P753" s="264"/>
      <c r="Q753" s="264"/>
      <c r="R753" s="264"/>
      <c r="S753" s="264"/>
      <c r="T753" s="264"/>
      <c r="U753" s="264"/>
      <c r="V753" s="264"/>
      <c r="W753" s="264"/>
      <c r="X753" s="264"/>
      <c r="Y753" s="264"/>
      <c r="Z753" s="264"/>
      <c r="AA753" s="264"/>
    </row>
    <row r="754" spans="1:27" ht="15.75" customHeight="1">
      <c r="A754" s="264"/>
      <c r="B754" s="264"/>
      <c r="C754" s="264"/>
      <c r="D754" s="264"/>
      <c r="E754" s="264"/>
      <c r="F754" s="264"/>
      <c r="G754" s="264"/>
      <c r="H754" s="264"/>
      <c r="I754" s="264"/>
      <c r="J754" s="264"/>
      <c r="K754" s="264"/>
      <c r="L754" s="264"/>
      <c r="M754" s="264"/>
      <c r="N754" s="264"/>
      <c r="O754" s="264"/>
      <c r="P754" s="264"/>
      <c r="Q754" s="264"/>
      <c r="R754" s="264"/>
      <c r="S754" s="264"/>
      <c r="T754" s="264"/>
      <c r="U754" s="264"/>
      <c r="V754" s="264"/>
      <c r="W754" s="264"/>
      <c r="X754" s="264"/>
      <c r="Y754" s="264"/>
      <c r="Z754" s="264"/>
      <c r="AA754" s="264"/>
    </row>
    <row r="755" spans="1:27" ht="15.75" customHeight="1">
      <c r="A755" s="264"/>
      <c r="B755" s="264"/>
      <c r="C755" s="264"/>
      <c r="D755" s="264"/>
      <c r="E755" s="264"/>
      <c r="F755" s="264"/>
      <c r="G755" s="264"/>
      <c r="H755" s="264"/>
      <c r="I755" s="264"/>
      <c r="J755" s="264"/>
      <c r="K755" s="264"/>
      <c r="L755" s="264"/>
      <c r="M755" s="264"/>
      <c r="N755" s="264"/>
      <c r="O755" s="264"/>
      <c r="P755" s="264"/>
      <c r="Q755" s="264"/>
      <c r="R755" s="264"/>
      <c r="S755" s="264"/>
      <c r="T755" s="264"/>
      <c r="U755" s="264"/>
      <c r="V755" s="264"/>
      <c r="W755" s="264"/>
      <c r="X755" s="264"/>
      <c r="Y755" s="264"/>
      <c r="Z755" s="264"/>
      <c r="AA755" s="264"/>
    </row>
    <row r="756" spans="1:27" ht="15.75" customHeight="1">
      <c r="A756" s="264"/>
      <c r="B756" s="264"/>
      <c r="C756" s="264"/>
      <c r="D756" s="264"/>
      <c r="E756" s="264"/>
      <c r="F756" s="264"/>
      <c r="G756" s="264"/>
      <c r="H756" s="264"/>
      <c r="I756" s="264"/>
      <c r="J756" s="264"/>
      <c r="K756" s="264"/>
      <c r="L756" s="264"/>
      <c r="M756" s="264"/>
      <c r="N756" s="264"/>
      <c r="O756" s="264"/>
      <c r="P756" s="264"/>
      <c r="Q756" s="264"/>
      <c r="R756" s="264"/>
      <c r="S756" s="264"/>
      <c r="T756" s="264"/>
      <c r="U756" s="264"/>
      <c r="V756" s="264"/>
      <c r="W756" s="264"/>
      <c r="X756" s="264"/>
      <c r="Y756" s="264"/>
      <c r="Z756" s="264"/>
      <c r="AA756" s="264"/>
    </row>
    <row r="757" spans="1:27" ht="15.75" customHeight="1">
      <c r="A757" s="264"/>
      <c r="B757" s="264"/>
      <c r="C757" s="264"/>
      <c r="D757" s="264"/>
      <c r="E757" s="264"/>
      <c r="F757" s="264"/>
      <c r="G757" s="264"/>
      <c r="H757" s="264"/>
      <c r="I757" s="264"/>
      <c r="J757" s="264"/>
      <c r="K757" s="264"/>
      <c r="L757" s="264"/>
      <c r="M757" s="264"/>
      <c r="N757" s="264"/>
      <c r="O757" s="264"/>
      <c r="P757" s="264"/>
      <c r="Q757" s="264"/>
      <c r="R757" s="264"/>
      <c r="S757" s="264"/>
      <c r="T757" s="264"/>
      <c r="U757" s="264"/>
      <c r="V757" s="264"/>
      <c r="W757" s="264"/>
      <c r="X757" s="264"/>
      <c r="Y757" s="264"/>
      <c r="Z757" s="264"/>
      <c r="AA757" s="264"/>
    </row>
    <row r="758" spans="1:27" ht="15.75" customHeight="1">
      <c r="A758" s="264"/>
      <c r="B758" s="264"/>
      <c r="C758" s="264"/>
      <c r="D758" s="264"/>
      <c r="E758" s="264"/>
      <c r="F758" s="264"/>
      <c r="G758" s="264"/>
      <c r="H758" s="264"/>
      <c r="I758" s="264"/>
      <c r="J758" s="264"/>
      <c r="K758" s="264"/>
      <c r="L758" s="264"/>
      <c r="M758" s="264"/>
      <c r="N758" s="264"/>
      <c r="O758" s="264"/>
      <c r="P758" s="264"/>
      <c r="Q758" s="264"/>
      <c r="R758" s="264"/>
      <c r="S758" s="264"/>
      <c r="T758" s="264"/>
      <c r="U758" s="264"/>
      <c r="V758" s="264"/>
      <c r="W758" s="264"/>
      <c r="X758" s="264"/>
      <c r="Y758" s="264"/>
      <c r="Z758" s="264"/>
      <c r="AA758" s="264"/>
    </row>
    <row r="759" spans="1:27" ht="15.75" customHeight="1">
      <c r="A759" s="264"/>
      <c r="B759" s="264"/>
      <c r="C759" s="264"/>
      <c r="D759" s="264"/>
      <c r="E759" s="264"/>
      <c r="F759" s="264"/>
      <c r="G759" s="264"/>
      <c r="H759" s="264"/>
      <c r="I759" s="264"/>
      <c r="J759" s="264"/>
      <c r="K759" s="264"/>
      <c r="L759" s="264"/>
      <c r="M759" s="264"/>
      <c r="N759" s="264"/>
      <c r="O759" s="264"/>
      <c r="P759" s="264"/>
      <c r="Q759" s="264"/>
      <c r="R759" s="264"/>
      <c r="S759" s="264"/>
      <c r="T759" s="264"/>
      <c r="U759" s="264"/>
      <c r="V759" s="264"/>
      <c r="W759" s="264"/>
      <c r="X759" s="264"/>
      <c r="Y759" s="264"/>
      <c r="Z759" s="264"/>
      <c r="AA759" s="264"/>
    </row>
    <row r="760" spans="1:27" ht="15.75" customHeight="1">
      <c r="A760" s="264"/>
      <c r="B760" s="264"/>
      <c r="C760" s="264"/>
      <c r="D760" s="264"/>
      <c r="E760" s="264"/>
      <c r="F760" s="264"/>
      <c r="G760" s="264"/>
      <c r="H760" s="264"/>
      <c r="I760" s="264"/>
      <c r="J760" s="264"/>
      <c r="K760" s="264"/>
      <c r="L760" s="264"/>
      <c r="M760" s="264"/>
      <c r="N760" s="264"/>
      <c r="O760" s="264"/>
      <c r="P760" s="264"/>
      <c r="Q760" s="264"/>
      <c r="R760" s="264"/>
      <c r="S760" s="264"/>
      <c r="T760" s="264"/>
      <c r="U760" s="264"/>
      <c r="V760" s="264"/>
      <c r="W760" s="264"/>
      <c r="X760" s="264"/>
      <c r="Y760" s="264"/>
      <c r="Z760" s="264"/>
      <c r="AA760" s="264"/>
    </row>
    <row r="761" spans="1:27" ht="15.75" customHeight="1">
      <c r="A761" s="264"/>
      <c r="B761" s="264"/>
      <c r="C761" s="264"/>
      <c r="D761" s="264"/>
      <c r="E761" s="264"/>
      <c r="F761" s="264"/>
      <c r="G761" s="264"/>
      <c r="H761" s="264"/>
      <c r="I761" s="264"/>
      <c r="J761" s="264"/>
      <c r="K761" s="264"/>
      <c r="L761" s="264"/>
      <c r="M761" s="264"/>
      <c r="N761" s="264"/>
      <c r="O761" s="264"/>
      <c r="P761" s="264"/>
      <c r="Q761" s="264"/>
      <c r="R761" s="264"/>
      <c r="S761" s="264"/>
      <c r="T761" s="264"/>
      <c r="U761" s="264"/>
      <c r="V761" s="264"/>
      <c r="W761" s="264"/>
      <c r="X761" s="264"/>
      <c r="Y761" s="264"/>
      <c r="Z761" s="264"/>
      <c r="AA761" s="264"/>
    </row>
    <row r="762" spans="1:27" ht="15.75" customHeight="1">
      <c r="A762" s="264"/>
      <c r="B762" s="264"/>
      <c r="C762" s="264"/>
      <c r="D762" s="264"/>
      <c r="E762" s="264"/>
      <c r="F762" s="264"/>
      <c r="G762" s="264"/>
      <c r="H762" s="264"/>
      <c r="I762" s="264"/>
      <c r="J762" s="264"/>
      <c r="K762" s="264"/>
      <c r="L762" s="264"/>
      <c r="M762" s="264"/>
      <c r="N762" s="264"/>
      <c r="O762" s="264"/>
      <c r="P762" s="264"/>
      <c r="Q762" s="264"/>
      <c r="R762" s="264"/>
      <c r="S762" s="264"/>
      <c r="T762" s="264"/>
      <c r="U762" s="264"/>
      <c r="V762" s="264"/>
      <c r="W762" s="264"/>
      <c r="X762" s="264"/>
      <c r="Y762" s="264"/>
      <c r="Z762" s="264"/>
      <c r="AA762" s="264"/>
    </row>
    <row r="763" spans="1:27" ht="15.75" customHeight="1">
      <c r="A763" s="264"/>
      <c r="B763" s="264"/>
      <c r="C763" s="264"/>
      <c r="D763" s="264"/>
      <c r="E763" s="264"/>
      <c r="F763" s="264"/>
      <c r="G763" s="264"/>
      <c r="H763" s="264"/>
      <c r="I763" s="264"/>
      <c r="J763" s="264"/>
      <c r="K763" s="264"/>
      <c r="L763" s="264"/>
      <c r="M763" s="264"/>
      <c r="N763" s="264"/>
      <c r="O763" s="264"/>
      <c r="P763" s="264"/>
      <c r="Q763" s="264"/>
      <c r="R763" s="264"/>
      <c r="S763" s="264"/>
      <c r="T763" s="264"/>
      <c r="U763" s="264"/>
      <c r="V763" s="264"/>
      <c r="W763" s="264"/>
      <c r="X763" s="264"/>
      <c r="Y763" s="264"/>
      <c r="Z763" s="264"/>
      <c r="AA763" s="264"/>
    </row>
    <row r="764" spans="1:27" ht="15.75" customHeight="1">
      <c r="A764" s="264"/>
      <c r="B764" s="264"/>
      <c r="C764" s="264"/>
      <c r="D764" s="264"/>
      <c r="E764" s="264"/>
      <c r="F764" s="264"/>
      <c r="G764" s="264"/>
      <c r="H764" s="264"/>
      <c r="I764" s="264"/>
      <c r="J764" s="264"/>
      <c r="K764" s="264"/>
      <c r="L764" s="264"/>
      <c r="M764" s="264"/>
      <c r="N764" s="264"/>
      <c r="O764" s="264"/>
      <c r="P764" s="264"/>
      <c r="Q764" s="264"/>
      <c r="R764" s="264"/>
      <c r="S764" s="264"/>
      <c r="T764" s="264"/>
      <c r="U764" s="264"/>
      <c r="V764" s="264"/>
      <c r="W764" s="264"/>
      <c r="X764" s="264"/>
      <c r="Y764" s="264"/>
      <c r="Z764" s="264"/>
      <c r="AA764" s="264"/>
    </row>
    <row r="765" spans="1:27" ht="15.75" customHeight="1">
      <c r="A765" s="264"/>
      <c r="B765" s="264"/>
      <c r="C765" s="264"/>
      <c r="D765" s="264"/>
      <c r="E765" s="264"/>
      <c r="F765" s="264"/>
      <c r="G765" s="264"/>
      <c r="H765" s="264"/>
      <c r="I765" s="264"/>
      <c r="J765" s="264"/>
      <c r="K765" s="264"/>
      <c r="L765" s="264"/>
      <c r="M765" s="264"/>
      <c r="N765" s="264"/>
      <c r="O765" s="264"/>
      <c r="P765" s="264"/>
      <c r="Q765" s="264"/>
      <c r="R765" s="264"/>
      <c r="S765" s="264"/>
      <c r="T765" s="264"/>
      <c r="U765" s="264"/>
      <c r="V765" s="264"/>
      <c r="W765" s="264"/>
      <c r="X765" s="264"/>
      <c r="Y765" s="264"/>
      <c r="Z765" s="264"/>
      <c r="AA765" s="264"/>
    </row>
    <row r="766" spans="1:27" ht="15.75" customHeight="1">
      <c r="A766" s="264"/>
      <c r="B766" s="264"/>
      <c r="C766" s="264"/>
      <c r="D766" s="264"/>
      <c r="E766" s="264"/>
      <c r="F766" s="264"/>
      <c r="G766" s="264"/>
      <c r="H766" s="264"/>
      <c r="I766" s="264"/>
      <c r="J766" s="264"/>
      <c r="K766" s="264"/>
      <c r="L766" s="264"/>
      <c r="M766" s="264"/>
      <c r="N766" s="264"/>
      <c r="O766" s="264"/>
      <c r="P766" s="264"/>
      <c r="Q766" s="264"/>
      <c r="R766" s="264"/>
      <c r="S766" s="264"/>
      <c r="T766" s="264"/>
      <c r="U766" s="264"/>
      <c r="V766" s="264"/>
      <c r="W766" s="264"/>
      <c r="X766" s="264"/>
      <c r="Y766" s="264"/>
      <c r="Z766" s="264"/>
      <c r="AA766" s="264"/>
    </row>
    <row r="767" spans="1:27" ht="15.75" customHeight="1">
      <c r="A767" s="264"/>
      <c r="B767" s="264"/>
      <c r="C767" s="264"/>
      <c r="D767" s="264"/>
      <c r="E767" s="264"/>
      <c r="F767" s="264"/>
      <c r="G767" s="264"/>
      <c r="H767" s="264"/>
      <c r="I767" s="264"/>
      <c r="J767" s="264"/>
      <c r="K767" s="264"/>
      <c r="L767" s="264"/>
      <c r="M767" s="264"/>
      <c r="N767" s="264"/>
      <c r="O767" s="264"/>
      <c r="P767" s="264"/>
      <c r="Q767" s="264"/>
      <c r="R767" s="264"/>
      <c r="S767" s="264"/>
      <c r="T767" s="264"/>
      <c r="U767" s="264"/>
      <c r="V767" s="264"/>
      <c r="W767" s="264"/>
      <c r="X767" s="264"/>
      <c r="Y767" s="264"/>
      <c r="Z767" s="264"/>
      <c r="AA767" s="264"/>
    </row>
    <row r="768" spans="1:27" ht="15.75" customHeight="1">
      <c r="A768" s="264"/>
      <c r="B768" s="264"/>
      <c r="C768" s="264"/>
      <c r="D768" s="264"/>
      <c r="E768" s="264"/>
      <c r="F768" s="264"/>
      <c r="G768" s="264"/>
      <c r="H768" s="264"/>
      <c r="I768" s="264"/>
      <c r="J768" s="264"/>
      <c r="K768" s="264"/>
      <c r="L768" s="264"/>
      <c r="M768" s="264"/>
      <c r="N768" s="264"/>
      <c r="O768" s="264"/>
      <c r="P768" s="264"/>
      <c r="Q768" s="264"/>
      <c r="R768" s="264"/>
      <c r="S768" s="264"/>
      <c r="T768" s="264"/>
      <c r="U768" s="264"/>
      <c r="V768" s="264"/>
      <c r="W768" s="264"/>
      <c r="X768" s="264"/>
      <c r="Y768" s="264"/>
      <c r="Z768" s="264"/>
      <c r="AA768" s="264"/>
    </row>
    <row r="769" spans="1:27" ht="15.75" customHeight="1">
      <c r="A769" s="264"/>
      <c r="B769" s="264"/>
      <c r="C769" s="264"/>
      <c r="D769" s="264"/>
      <c r="E769" s="264"/>
      <c r="F769" s="264"/>
      <c r="G769" s="264"/>
      <c r="H769" s="264"/>
      <c r="I769" s="264"/>
      <c r="J769" s="264"/>
      <c r="K769" s="264"/>
      <c r="L769" s="264"/>
      <c r="M769" s="264"/>
      <c r="N769" s="264"/>
      <c r="O769" s="264"/>
      <c r="P769" s="264"/>
      <c r="Q769" s="264"/>
      <c r="R769" s="264"/>
      <c r="S769" s="264"/>
      <c r="T769" s="264"/>
      <c r="U769" s="264"/>
      <c r="V769" s="264"/>
      <c r="W769" s="264"/>
      <c r="X769" s="264"/>
      <c r="Y769" s="264"/>
      <c r="Z769" s="264"/>
      <c r="AA769" s="264"/>
    </row>
    <row r="770" spans="1:27" ht="15.75" customHeight="1">
      <c r="A770" s="264"/>
      <c r="B770" s="264"/>
      <c r="C770" s="264"/>
      <c r="D770" s="264"/>
      <c r="E770" s="264"/>
      <c r="F770" s="264"/>
      <c r="G770" s="264"/>
      <c r="H770" s="264"/>
      <c r="I770" s="264"/>
      <c r="J770" s="264"/>
      <c r="K770" s="264"/>
      <c r="L770" s="264"/>
      <c r="M770" s="264"/>
      <c r="N770" s="264"/>
      <c r="O770" s="264"/>
      <c r="P770" s="264"/>
      <c r="Q770" s="264"/>
      <c r="R770" s="264"/>
      <c r="S770" s="264"/>
      <c r="T770" s="264"/>
      <c r="U770" s="264"/>
      <c r="V770" s="264"/>
      <c r="W770" s="264"/>
      <c r="X770" s="264"/>
      <c r="Y770" s="264"/>
      <c r="Z770" s="264"/>
      <c r="AA770" s="264"/>
    </row>
    <row r="771" spans="1:27" ht="15.75" customHeight="1">
      <c r="A771" s="264"/>
      <c r="B771" s="264"/>
      <c r="C771" s="264"/>
      <c r="D771" s="264"/>
      <c r="E771" s="264"/>
      <c r="F771" s="264"/>
      <c r="G771" s="264"/>
      <c r="H771" s="264"/>
      <c r="I771" s="264"/>
      <c r="J771" s="264"/>
      <c r="K771" s="264"/>
      <c r="L771" s="264"/>
      <c r="M771" s="264"/>
      <c r="N771" s="264"/>
      <c r="O771" s="264"/>
      <c r="P771" s="264"/>
      <c r="Q771" s="264"/>
      <c r="R771" s="264"/>
      <c r="S771" s="264"/>
      <c r="T771" s="264"/>
      <c r="U771" s="264"/>
      <c r="V771" s="264"/>
      <c r="W771" s="264"/>
      <c r="X771" s="264"/>
      <c r="Y771" s="264"/>
      <c r="Z771" s="264"/>
      <c r="AA771" s="264"/>
    </row>
    <row r="772" spans="1:27" ht="15.75" customHeight="1">
      <c r="A772" s="264"/>
      <c r="B772" s="264"/>
      <c r="C772" s="264"/>
      <c r="D772" s="264"/>
      <c r="E772" s="264"/>
      <c r="F772" s="264"/>
      <c r="G772" s="264"/>
      <c r="H772" s="264"/>
      <c r="I772" s="264"/>
      <c r="J772" s="264"/>
      <c r="K772" s="264"/>
      <c r="L772" s="264"/>
      <c r="M772" s="264"/>
      <c r="N772" s="264"/>
      <c r="O772" s="264"/>
      <c r="P772" s="264"/>
      <c r="Q772" s="264"/>
      <c r="R772" s="264"/>
      <c r="S772" s="264"/>
      <c r="T772" s="264"/>
      <c r="U772" s="264"/>
      <c r="V772" s="264"/>
      <c r="W772" s="264"/>
      <c r="X772" s="264"/>
      <c r="Y772" s="264"/>
      <c r="Z772" s="264"/>
      <c r="AA772" s="264"/>
    </row>
    <row r="773" spans="1:27" ht="15.75" customHeight="1">
      <c r="A773" s="264"/>
      <c r="B773" s="264"/>
      <c r="C773" s="264"/>
      <c r="D773" s="264"/>
      <c r="E773" s="264"/>
      <c r="F773" s="264"/>
      <c r="G773" s="264"/>
      <c r="H773" s="264"/>
      <c r="I773" s="264"/>
      <c r="J773" s="264"/>
      <c r="K773" s="264"/>
      <c r="L773" s="264"/>
      <c r="M773" s="264"/>
      <c r="N773" s="264"/>
      <c r="O773" s="264"/>
      <c r="P773" s="264"/>
      <c r="Q773" s="264"/>
      <c r="R773" s="264"/>
      <c r="S773" s="264"/>
      <c r="T773" s="264"/>
      <c r="U773" s="264"/>
      <c r="V773" s="264"/>
      <c r="W773" s="264"/>
      <c r="X773" s="264"/>
      <c r="Y773" s="264"/>
      <c r="Z773" s="264"/>
      <c r="AA773" s="264"/>
    </row>
    <row r="774" spans="1:27" ht="15.75" customHeight="1">
      <c r="A774" s="264"/>
      <c r="B774" s="264"/>
      <c r="C774" s="264"/>
      <c r="D774" s="264"/>
      <c r="E774" s="264"/>
      <c r="F774" s="264"/>
      <c r="G774" s="264"/>
      <c r="H774" s="264"/>
      <c r="I774" s="264"/>
      <c r="J774" s="264"/>
      <c r="K774" s="264"/>
      <c r="L774" s="264"/>
      <c r="M774" s="264"/>
      <c r="N774" s="264"/>
      <c r="O774" s="264"/>
      <c r="P774" s="264"/>
      <c r="Q774" s="264"/>
      <c r="R774" s="264"/>
      <c r="S774" s="264"/>
      <c r="T774" s="264"/>
      <c r="U774" s="264"/>
      <c r="V774" s="264"/>
      <c r="W774" s="264"/>
      <c r="X774" s="264"/>
      <c r="Y774" s="264"/>
      <c r="Z774" s="264"/>
      <c r="AA774" s="264"/>
    </row>
    <row r="775" spans="1:27" ht="15.75" customHeight="1">
      <c r="A775" s="264"/>
      <c r="B775" s="264"/>
      <c r="C775" s="264"/>
      <c r="D775" s="264"/>
      <c r="E775" s="264"/>
      <c r="F775" s="264"/>
      <c r="G775" s="264"/>
      <c r="H775" s="264"/>
      <c r="I775" s="264"/>
      <c r="J775" s="264"/>
      <c r="K775" s="264"/>
      <c r="L775" s="264"/>
      <c r="M775" s="264"/>
      <c r="N775" s="264"/>
      <c r="O775" s="264"/>
      <c r="P775" s="264"/>
      <c r="Q775" s="264"/>
      <c r="R775" s="264"/>
      <c r="S775" s="264"/>
      <c r="T775" s="264"/>
      <c r="U775" s="264"/>
      <c r="V775" s="264"/>
      <c r="W775" s="264"/>
      <c r="X775" s="264"/>
      <c r="Y775" s="264"/>
      <c r="Z775" s="264"/>
      <c r="AA775" s="264"/>
    </row>
    <row r="776" spans="1:27" ht="15.75" customHeight="1">
      <c r="A776" s="264"/>
      <c r="B776" s="264"/>
      <c r="C776" s="264"/>
      <c r="D776" s="264"/>
      <c r="E776" s="264"/>
      <c r="F776" s="264"/>
      <c r="G776" s="264"/>
      <c r="H776" s="264"/>
      <c r="I776" s="264"/>
      <c r="J776" s="264"/>
      <c r="K776" s="264"/>
      <c r="L776" s="264"/>
      <c r="M776" s="264"/>
      <c r="N776" s="264"/>
      <c r="O776" s="264"/>
      <c r="P776" s="264"/>
      <c r="Q776" s="264"/>
      <c r="R776" s="264"/>
      <c r="S776" s="264"/>
      <c r="T776" s="264"/>
      <c r="U776" s="264"/>
      <c r="V776" s="264"/>
      <c r="W776" s="264"/>
      <c r="X776" s="264"/>
      <c r="Y776" s="264"/>
      <c r="Z776" s="264"/>
      <c r="AA776" s="264"/>
    </row>
    <row r="777" spans="1:27" ht="15.75" customHeight="1">
      <c r="A777" s="264"/>
      <c r="B777" s="264"/>
      <c r="C777" s="264"/>
      <c r="D777" s="264"/>
      <c r="E777" s="264"/>
      <c r="F777" s="264"/>
      <c r="G777" s="264"/>
      <c r="H777" s="264"/>
      <c r="I777" s="264"/>
      <c r="J777" s="264"/>
      <c r="K777" s="264"/>
      <c r="L777" s="264"/>
      <c r="M777" s="264"/>
      <c r="N777" s="264"/>
      <c r="O777" s="264"/>
      <c r="P777" s="264"/>
      <c r="Q777" s="264"/>
      <c r="R777" s="264"/>
      <c r="S777" s="264"/>
      <c r="T777" s="264"/>
      <c r="U777" s="264"/>
      <c r="V777" s="264"/>
      <c r="W777" s="264"/>
      <c r="X777" s="264"/>
      <c r="Y777" s="264"/>
      <c r="Z777" s="264"/>
      <c r="AA777" s="264"/>
    </row>
    <row r="778" spans="1:27" ht="15.75" customHeight="1">
      <c r="A778" s="264"/>
      <c r="B778" s="264"/>
      <c r="C778" s="264"/>
      <c r="D778" s="264"/>
      <c r="E778" s="264"/>
      <c r="F778" s="264"/>
      <c r="G778" s="264"/>
      <c r="H778" s="264"/>
      <c r="I778" s="264"/>
      <c r="J778" s="264"/>
      <c r="K778" s="264"/>
      <c r="L778" s="264"/>
      <c r="M778" s="264"/>
      <c r="N778" s="264"/>
      <c r="O778" s="264"/>
      <c r="P778" s="264"/>
      <c r="Q778" s="264"/>
      <c r="R778" s="264"/>
      <c r="S778" s="264"/>
      <c r="T778" s="264"/>
      <c r="U778" s="264"/>
      <c r="V778" s="264"/>
      <c r="W778" s="264"/>
      <c r="X778" s="264"/>
      <c r="Y778" s="264"/>
      <c r="Z778" s="264"/>
      <c r="AA778" s="264"/>
    </row>
    <row r="779" spans="1:27" ht="15.75" customHeight="1">
      <c r="A779" s="264"/>
      <c r="B779" s="264"/>
      <c r="C779" s="264"/>
      <c r="D779" s="264"/>
      <c r="E779" s="264"/>
      <c r="F779" s="264"/>
      <c r="G779" s="264"/>
      <c r="H779" s="264"/>
      <c r="I779" s="264"/>
      <c r="J779" s="264"/>
      <c r="K779" s="264"/>
      <c r="L779" s="264"/>
      <c r="M779" s="264"/>
      <c r="N779" s="264"/>
      <c r="O779" s="264"/>
      <c r="P779" s="264"/>
      <c r="Q779" s="264"/>
      <c r="R779" s="264"/>
      <c r="S779" s="264"/>
      <c r="T779" s="264"/>
      <c r="U779" s="264"/>
      <c r="V779" s="264"/>
      <c r="W779" s="264"/>
      <c r="X779" s="264"/>
      <c r="Y779" s="264"/>
      <c r="Z779" s="264"/>
      <c r="AA779" s="264"/>
    </row>
    <row r="780" spans="1:27" ht="15.75" customHeight="1">
      <c r="A780" s="264"/>
      <c r="B780" s="264"/>
      <c r="C780" s="264"/>
      <c r="D780" s="264"/>
      <c r="E780" s="264"/>
      <c r="F780" s="264"/>
      <c r="G780" s="264"/>
      <c r="H780" s="264"/>
      <c r="I780" s="264"/>
      <c r="J780" s="264"/>
      <c r="K780" s="264"/>
      <c r="L780" s="264"/>
      <c r="M780" s="264"/>
      <c r="N780" s="264"/>
      <c r="O780" s="264"/>
      <c r="P780" s="264"/>
      <c r="Q780" s="264"/>
      <c r="R780" s="264"/>
      <c r="S780" s="264"/>
      <c r="T780" s="264"/>
      <c r="U780" s="264"/>
      <c r="V780" s="264"/>
      <c r="W780" s="264"/>
      <c r="X780" s="264"/>
      <c r="Y780" s="264"/>
      <c r="Z780" s="264"/>
      <c r="AA780" s="264"/>
    </row>
    <row r="781" spans="1:27" ht="15.75" customHeight="1">
      <c r="A781" s="264"/>
      <c r="B781" s="264"/>
      <c r="C781" s="264"/>
      <c r="D781" s="264"/>
      <c r="E781" s="264"/>
      <c r="F781" s="264"/>
      <c r="G781" s="264"/>
      <c r="H781" s="264"/>
      <c r="I781" s="264"/>
      <c r="J781" s="264"/>
      <c r="K781" s="264"/>
      <c r="L781" s="264"/>
      <c r="M781" s="264"/>
      <c r="N781" s="264"/>
      <c r="O781" s="264"/>
      <c r="P781" s="264"/>
      <c r="Q781" s="264"/>
      <c r="R781" s="264"/>
      <c r="S781" s="264"/>
      <c r="T781" s="264"/>
      <c r="U781" s="264"/>
      <c r="V781" s="264"/>
      <c r="W781" s="264"/>
      <c r="X781" s="264"/>
      <c r="Y781" s="264"/>
      <c r="Z781" s="264"/>
      <c r="AA781" s="264"/>
    </row>
    <row r="782" spans="1:27" ht="15.75" customHeight="1">
      <c r="A782" s="264"/>
      <c r="B782" s="264"/>
      <c r="C782" s="264"/>
      <c r="D782" s="264"/>
      <c r="E782" s="264"/>
      <c r="F782" s="264"/>
      <c r="G782" s="264"/>
      <c r="H782" s="264"/>
      <c r="I782" s="264"/>
      <c r="J782" s="264"/>
      <c r="K782" s="264"/>
      <c r="L782" s="264"/>
      <c r="M782" s="264"/>
      <c r="N782" s="264"/>
      <c r="O782" s="264"/>
      <c r="P782" s="264"/>
      <c r="Q782" s="264"/>
      <c r="R782" s="264"/>
      <c r="S782" s="264"/>
      <c r="T782" s="264"/>
      <c r="U782" s="264"/>
      <c r="V782" s="264"/>
      <c r="W782" s="264"/>
      <c r="X782" s="264"/>
      <c r="Y782" s="264"/>
      <c r="Z782" s="264"/>
      <c r="AA782" s="264"/>
    </row>
    <row r="783" spans="1:27" ht="15.75" customHeight="1">
      <c r="A783" s="264"/>
      <c r="B783" s="264"/>
      <c r="C783" s="264"/>
      <c r="D783" s="264"/>
      <c r="E783" s="264"/>
      <c r="F783" s="264"/>
      <c r="G783" s="264"/>
      <c r="H783" s="264"/>
      <c r="I783" s="264"/>
      <c r="J783" s="264"/>
      <c r="K783" s="264"/>
      <c r="L783" s="264"/>
      <c r="M783" s="264"/>
      <c r="N783" s="264"/>
      <c r="O783" s="264"/>
      <c r="P783" s="264"/>
      <c r="Q783" s="264"/>
      <c r="R783" s="264"/>
      <c r="S783" s="264"/>
      <c r="T783" s="264"/>
      <c r="U783" s="264"/>
      <c r="V783" s="264"/>
      <c r="W783" s="264"/>
      <c r="X783" s="264"/>
      <c r="Y783" s="264"/>
      <c r="Z783" s="264"/>
      <c r="AA783" s="264"/>
    </row>
    <row r="784" spans="1:27" ht="15.75" customHeight="1">
      <c r="A784" s="264"/>
      <c r="B784" s="264"/>
      <c r="C784" s="264"/>
      <c r="D784" s="264"/>
      <c r="E784" s="264"/>
      <c r="F784" s="264"/>
      <c r="G784" s="264"/>
      <c r="H784" s="264"/>
      <c r="I784" s="264"/>
      <c r="J784" s="264"/>
      <c r="K784" s="264"/>
      <c r="L784" s="264"/>
      <c r="M784" s="264"/>
      <c r="N784" s="264"/>
      <c r="O784" s="264"/>
      <c r="P784" s="264"/>
      <c r="Q784" s="264"/>
      <c r="R784" s="264"/>
      <c r="S784" s="264"/>
      <c r="T784" s="264"/>
      <c r="U784" s="264"/>
      <c r="V784" s="264"/>
      <c r="W784" s="264"/>
      <c r="X784" s="264"/>
      <c r="Y784" s="264"/>
      <c r="Z784" s="264"/>
      <c r="AA784" s="264"/>
    </row>
    <row r="785" spans="1:27" ht="15.75" customHeight="1">
      <c r="A785" s="264"/>
      <c r="B785" s="264"/>
      <c r="C785" s="264"/>
      <c r="D785" s="264"/>
      <c r="E785" s="264"/>
      <c r="F785" s="264"/>
      <c r="G785" s="264"/>
      <c r="H785" s="264"/>
      <c r="I785" s="264"/>
      <c r="J785" s="264"/>
      <c r="K785" s="264"/>
      <c r="L785" s="264"/>
      <c r="M785" s="264"/>
      <c r="N785" s="264"/>
      <c r="O785" s="264"/>
      <c r="P785" s="264"/>
      <c r="Q785" s="264"/>
      <c r="R785" s="264"/>
      <c r="S785" s="264"/>
      <c r="T785" s="264"/>
      <c r="U785" s="264"/>
      <c r="V785" s="264"/>
      <c r="W785" s="264"/>
      <c r="X785" s="264"/>
      <c r="Y785" s="264"/>
      <c r="Z785" s="264"/>
      <c r="AA785" s="264"/>
    </row>
    <row r="786" spans="1:27" ht="15.75" customHeight="1">
      <c r="A786" s="264"/>
      <c r="B786" s="264"/>
      <c r="C786" s="264"/>
      <c r="D786" s="264"/>
      <c r="E786" s="264"/>
      <c r="F786" s="264"/>
      <c r="G786" s="264"/>
      <c r="H786" s="264"/>
      <c r="I786" s="264"/>
      <c r="J786" s="264"/>
      <c r="K786" s="264"/>
      <c r="L786" s="264"/>
      <c r="M786" s="264"/>
      <c r="N786" s="264"/>
      <c r="O786" s="264"/>
      <c r="P786" s="264"/>
      <c r="Q786" s="264"/>
      <c r="R786" s="264"/>
      <c r="S786" s="264"/>
      <c r="T786" s="264"/>
      <c r="U786" s="264"/>
      <c r="V786" s="264"/>
      <c r="W786" s="264"/>
      <c r="X786" s="264"/>
      <c r="Y786" s="264"/>
      <c r="Z786" s="264"/>
      <c r="AA786" s="264"/>
    </row>
    <row r="787" spans="1:27" ht="15.75" customHeight="1">
      <c r="A787" s="264"/>
      <c r="B787" s="264"/>
      <c r="C787" s="264"/>
      <c r="D787" s="264"/>
      <c r="E787" s="264"/>
      <c r="F787" s="264"/>
      <c r="G787" s="264"/>
      <c r="H787" s="264"/>
      <c r="I787" s="264"/>
      <c r="J787" s="264"/>
      <c r="K787" s="264"/>
      <c r="L787" s="264"/>
      <c r="M787" s="264"/>
      <c r="N787" s="264"/>
      <c r="O787" s="264"/>
      <c r="P787" s="264"/>
      <c r="Q787" s="264"/>
      <c r="R787" s="264"/>
      <c r="S787" s="264"/>
      <c r="T787" s="264"/>
      <c r="U787" s="264"/>
      <c r="V787" s="264"/>
      <c r="W787" s="264"/>
      <c r="X787" s="264"/>
      <c r="Y787" s="264"/>
      <c r="Z787" s="264"/>
      <c r="AA787" s="264"/>
    </row>
    <row r="788" spans="1:27" ht="15.75" customHeight="1">
      <c r="A788" s="264"/>
      <c r="B788" s="264"/>
      <c r="C788" s="264"/>
      <c r="D788" s="264"/>
      <c r="E788" s="264"/>
      <c r="F788" s="264"/>
      <c r="G788" s="264"/>
      <c r="H788" s="264"/>
      <c r="I788" s="264"/>
      <c r="J788" s="264"/>
      <c r="K788" s="264"/>
      <c r="L788" s="264"/>
      <c r="M788" s="264"/>
      <c r="N788" s="264"/>
      <c r="O788" s="264"/>
      <c r="P788" s="264"/>
      <c r="Q788" s="264"/>
      <c r="R788" s="264"/>
      <c r="S788" s="264"/>
      <c r="T788" s="264"/>
      <c r="U788" s="264"/>
      <c r="V788" s="264"/>
      <c r="W788" s="264"/>
      <c r="X788" s="264"/>
      <c r="Y788" s="264"/>
      <c r="Z788" s="264"/>
      <c r="AA788" s="264"/>
    </row>
    <row r="789" spans="1:27" ht="15.75" customHeight="1">
      <c r="A789" s="264"/>
      <c r="B789" s="264"/>
      <c r="C789" s="264"/>
      <c r="D789" s="264"/>
      <c r="E789" s="264"/>
      <c r="F789" s="264"/>
      <c r="G789" s="264"/>
      <c r="H789" s="264"/>
      <c r="I789" s="264"/>
      <c r="J789" s="264"/>
      <c r="K789" s="264"/>
      <c r="L789" s="264"/>
      <c r="M789" s="264"/>
      <c r="N789" s="264"/>
      <c r="O789" s="264"/>
      <c r="P789" s="264"/>
      <c r="Q789" s="264"/>
      <c r="R789" s="264"/>
      <c r="S789" s="264"/>
      <c r="T789" s="264"/>
      <c r="U789" s="264"/>
      <c r="V789" s="264"/>
      <c r="W789" s="264"/>
      <c r="X789" s="264"/>
      <c r="Y789" s="264"/>
      <c r="Z789" s="264"/>
      <c r="AA789" s="264"/>
    </row>
    <row r="790" spans="1:27" ht="15.75" customHeight="1">
      <c r="A790" s="264"/>
      <c r="B790" s="264"/>
      <c r="C790" s="264"/>
      <c r="D790" s="264"/>
      <c r="E790" s="264"/>
      <c r="F790" s="264"/>
      <c r="G790" s="264"/>
      <c r="H790" s="264"/>
      <c r="I790" s="264"/>
      <c r="J790" s="264"/>
      <c r="K790" s="264"/>
      <c r="L790" s="264"/>
      <c r="M790" s="264"/>
      <c r="N790" s="264"/>
      <c r="O790" s="264"/>
      <c r="P790" s="264"/>
      <c r="Q790" s="264"/>
      <c r="R790" s="264"/>
      <c r="S790" s="264"/>
      <c r="T790" s="264"/>
      <c r="U790" s="264"/>
      <c r="V790" s="264"/>
      <c r="W790" s="264"/>
      <c r="X790" s="264"/>
      <c r="Y790" s="264"/>
      <c r="Z790" s="264"/>
      <c r="AA790" s="264"/>
    </row>
    <row r="791" spans="1:27" ht="15.75" customHeight="1">
      <c r="A791" s="264"/>
      <c r="B791" s="264"/>
      <c r="C791" s="264"/>
      <c r="D791" s="264"/>
      <c r="E791" s="264"/>
      <c r="F791" s="264"/>
      <c r="G791" s="264"/>
      <c r="H791" s="264"/>
      <c r="I791" s="264"/>
      <c r="J791" s="264"/>
      <c r="K791" s="264"/>
      <c r="L791" s="264"/>
      <c r="M791" s="264"/>
      <c r="N791" s="264"/>
      <c r="O791" s="264"/>
      <c r="P791" s="264"/>
      <c r="Q791" s="264"/>
      <c r="R791" s="264"/>
      <c r="S791" s="264"/>
      <c r="T791" s="264"/>
      <c r="U791" s="264"/>
      <c r="V791" s="264"/>
      <c r="W791" s="264"/>
      <c r="X791" s="264"/>
      <c r="Y791" s="264"/>
      <c r="Z791" s="264"/>
      <c r="AA791" s="264"/>
    </row>
    <row r="792" spans="1:27" ht="15.75" customHeight="1">
      <c r="A792" s="264"/>
      <c r="B792" s="264"/>
      <c r="C792" s="264"/>
      <c r="D792" s="264"/>
      <c r="E792" s="264"/>
      <c r="F792" s="264"/>
      <c r="G792" s="264"/>
      <c r="H792" s="264"/>
      <c r="I792" s="264"/>
      <c r="J792" s="264"/>
      <c r="K792" s="264"/>
      <c r="L792" s="264"/>
      <c r="M792" s="264"/>
      <c r="N792" s="264"/>
      <c r="O792" s="264"/>
      <c r="P792" s="264"/>
      <c r="Q792" s="264"/>
      <c r="R792" s="264"/>
      <c r="S792" s="264"/>
      <c r="T792" s="264"/>
      <c r="U792" s="264"/>
      <c r="V792" s="264"/>
      <c r="W792" s="264"/>
      <c r="X792" s="264"/>
      <c r="Y792" s="264"/>
      <c r="Z792" s="264"/>
      <c r="AA792" s="264"/>
    </row>
    <row r="793" spans="1:27" ht="15.75" customHeight="1">
      <c r="A793" s="264"/>
      <c r="B793" s="264"/>
      <c r="C793" s="264"/>
      <c r="D793" s="264"/>
      <c r="E793" s="264"/>
      <c r="F793" s="264"/>
      <c r="G793" s="264"/>
      <c r="H793" s="264"/>
      <c r="I793" s="264"/>
      <c r="J793" s="264"/>
      <c r="K793" s="264"/>
      <c r="L793" s="264"/>
      <c r="M793" s="264"/>
      <c r="N793" s="264"/>
      <c r="O793" s="264"/>
      <c r="P793" s="264"/>
      <c r="Q793" s="264"/>
      <c r="R793" s="264"/>
      <c r="S793" s="264"/>
      <c r="T793" s="264"/>
      <c r="U793" s="264"/>
      <c r="V793" s="264"/>
      <c r="W793" s="264"/>
      <c r="X793" s="264"/>
      <c r="Y793" s="264"/>
      <c r="Z793" s="264"/>
      <c r="AA793" s="264"/>
    </row>
    <row r="794" spans="1:27" ht="15.75" customHeight="1">
      <c r="A794" s="264"/>
      <c r="B794" s="264"/>
      <c r="C794" s="264"/>
      <c r="D794" s="264"/>
      <c r="E794" s="264"/>
      <c r="F794" s="264"/>
      <c r="G794" s="264"/>
      <c r="H794" s="264"/>
      <c r="I794" s="264"/>
      <c r="J794" s="264"/>
      <c r="K794" s="264"/>
      <c r="L794" s="264"/>
      <c r="M794" s="264"/>
      <c r="N794" s="264"/>
      <c r="O794" s="264"/>
      <c r="P794" s="264"/>
      <c r="Q794" s="264"/>
      <c r="R794" s="264"/>
      <c r="S794" s="264"/>
      <c r="T794" s="264"/>
      <c r="U794" s="264"/>
      <c r="V794" s="264"/>
      <c r="W794" s="264"/>
      <c r="X794" s="264"/>
      <c r="Y794" s="264"/>
      <c r="Z794" s="264"/>
      <c r="AA794" s="264"/>
    </row>
    <row r="795" spans="1:27" ht="15.75" customHeight="1">
      <c r="A795" s="264"/>
      <c r="B795" s="264"/>
      <c r="C795" s="264"/>
      <c r="D795" s="264"/>
      <c r="E795" s="264"/>
      <c r="F795" s="264"/>
      <c r="G795" s="264"/>
      <c r="H795" s="264"/>
      <c r="I795" s="264"/>
      <c r="J795" s="264"/>
      <c r="K795" s="264"/>
      <c r="L795" s="264"/>
      <c r="M795" s="264"/>
      <c r="N795" s="264"/>
      <c r="O795" s="264"/>
      <c r="P795" s="264"/>
      <c r="Q795" s="264"/>
      <c r="R795" s="264"/>
      <c r="S795" s="264"/>
      <c r="T795" s="264"/>
      <c r="U795" s="264"/>
      <c r="V795" s="264"/>
      <c r="W795" s="264"/>
      <c r="X795" s="264"/>
      <c r="Y795" s="264"/>
      <c r="Z795" s="264"/>
      <c r="AA795" s="264"/>
    </row>
    <row r="796" spans="1:27" ht="15.75" customHeight="1">
      <c r="A796" s="264"/>
      <c r="B796" s="264"/>
      <c r="C796" s="264"/>
      <c r="D796" s="264"/>
      <c r="E796" s="264"/>
      <c r="F796" s="264"/>
      <c r="G796" s="264"/>
      <c r="H796" s="264"/>
      <c r="I796" s="264"/>
      <c r="J796" s="264"/>
      <c r="K796" s="264"/>
      <c r="L796" s="264"/>
      <c r="M796" s="264"/>
      <c r="N796" s="264"/>
      <c r="O796" s="264"/>
      <c r="P796" s="264"/>
      <c r="Q796" s="264"/>
      <c r="R796" s="264"/>
      <c r="S796" s="264"/>
      <c r="T796" s="264"/>
      <c r="U796" s="264"/>
      <c r="V796" s="264"/>
      <c r="W796" s="264"/>
      <c r="X796" s="264"/>
      <c r="Y796" s="264"/>
      <c r="Z796" s="264"/>
      <c r="AA796" s="264"/>
    </row>
    <row r="797" spans="1:27" ht="15.75" customHeight="1">
      <c r="A797" s="264"/>
      <c r="B797" s="264"/>
      <c r="C797" s="264"/>
      <c r="D797" s="264"/>
      <c r="E797" s="264"/>
      <c r="F797" s="264"/>
      <c r="G797" s="264"/>
      <c r="H797" s="264"/>
      <c r="I797" s="264"/>
      <c r="J797" s="264"/>
      <c r="K797" s="264"/>
      <c r="L797" s="264"/>
      <c r="M797" s="264"/>
      <c r="N797" s="264"/>
      <c r="O797" s="264"/>
      <c r="P797" s="264"/>
      <c r="Q797" s="264"/>
      <c r="R797" s="264"/>
      <c r="S797" s="264"/>
      <c r="T797" s="264"/>
      <c r="U797" s="264"/>
      <c r="V797" s="264"/>
      <c r="W797" s="264"/>
      <c r="X797" s="264"/>
      <c r="Y797" s="264"/>
      <c r="Z797" s="264"/>
      <c r="AA797" s="264"/>
    </row>
    <row r="798" spans="1:27" ht="15.75" customHeight="1">
      <c r="A798" s="264"/>
      <c r="B798" s="264"/>
      <c r="C798" s="264"/>
      <c r="D798" s="264"/>
      <c r="E798" s="264"/>
      <c r="F798" s="264"/>
      <c r="G798" s="264"/>
      <c r="H798" s="264"/>
      <c r="I798" s="264"/>
      <c r="J798" s="264"/>
      <c r="K798" s="264"/>
      <c r="L798" s="264"/>
      <c r="M798" s="264"/>
      <c r="N798" s="264"/>
      <c r="O798" s="264"/>
      <c r="P798" s="264"/>
      <c r="Q798" s="264"/>
      <c r="R798" s="264"/>
      <c r="S798" s="264"/>
      <c r="T798" s="264"/>
      <c r="U798" s="264"/>
      <c r="V798" s="264"/>
      <c r="W798" s="264"/>
      <c r="X798" s="264"/>
      <c r="Y798" s="264"/>
      <c r="Z798" s="264"/>
      <c r="AA798" s="264"/>
    </row>
    <row r="799" spans="1:27" ht="15.75" customHeight="1">
      <c r="A799" s="264"/>
      <c r="B799" s="264"/>
      <c r="C799" s="264"/>
      <c r="D799" s="264"/>
      <c r="E799" s="264"/>
      <c r="F799" s="264"/>
      <c r="G799" s="264"/>
      <c r="H799" s="264"/>
      <c r="I799" s="264"/>
      <c r="J799" s="264"/>
      <c r="K799" s="264"/>
      <c r="L799" s="264"/>
      <c r="M799" s="264"/>
      <c r="N799" s="264"/>
      <c r="O799" s="264"/>
      <c r="P799" s="264"/>
      <c r="Q799" s="264"/>
      <c r="R799" s="264"/>
      <c r="S799" s="264"/>
      <c r="T799" s="264"/>
      <c r="U799" s="264"/>
      <c r="V799" s="264"/>
      <c r="W799" s="264"/>
      <c r="X799" s="264"/>
      <c r="Y799" s="264"/>
      <c r="Z799" s="264"/>
      <c r="AA799" s="264"/>
    </row>
    <row r="800" spans="1:27" ht="15.75" customHeight="1">
      <c r="A800" s="264"/>
      <c r="B800" s="264"/>
      <c r="C800" s="264"/>
      <c r="D800" s="264"/>
      <c r="E800" s="264"/>
      <c r="F800" s="264"/>
      <c r="G800" s="264"/>
      <c r="H800" s="264"/>
      <c r="I800" s="264"/>
      <c r="J800" s="264"/>
      <c r="K800" s="264"/>
      <c r="L800" s="264"/>
      <c r="M800" s="264"/>
      <c r="N800" s="264"/>
      <c r="O800" s="264"/>
      <c r="P800" s="264"/>
      <c r="Q800" s="264"/>
      <c r="R800" s="264"/>
      <c r="S800" s="264"/>
      <c r="T800" s="264"/>
      <c r="U800" s="264"/>
      <c r="V800" s="264"/>
      <c r="W800" s="264"/>
      <c r="X800" s="264"/>
      <c r="Y800" s="264"/>
      <c r="Z800" s="264"/>
      <c r="AA800" s="264"/>
    </row>
    <row r="801" spans="1:27" ht="15.75" customHeight="1">
      <c r="A801" s="264"/>
      <c r="B801" s="264"/>
      <c r="C801" s="264"/>
      <c r="D801" s="264"/>
      <c r="E801" s="264"/>
      <c r="F801" s="264"/>
      <c r="G801" s="264"/>
      <c r="H801" s="264"/>
      <c r="I801" s="264"/>
      <c r="J801" s="264"/>
      <c r="K801" s="264"/>
      <c r="L801" s="264"/>
      <c r="M801" s="264"/>
      <c r="N801" s="264"/>
      <c r="O801" s="264"/>
      <c r="P801" s="264"/>
      <c r="Q801" s="264"/>
      <c r="R801" s="264"/>
      <c r="S801" s="264"/>
      <c r="T801" s="264"/>
      <c r="U801" s="264"/>
      <c r="V801" s="264"/>
      <c r="W801" s="264"/>
      <c r="X801" s="264"/>
      <c r="Y801" s="264"/>
      <c r="Z801" s="264"/>
      <c r="AA801" s="264"/>
    </row>
    <row r="802" spans="1:27" ht="15.75" customHeight="1">
      <c r="A802" s="264"/>
      <c r="B802" s="264"/>
      <c r="C802" s="264"/>
      <c r="D802" s="264"/>
      <c r="E802" s="264"/>
      <c r="F802" s="264"/>
      <c r="G802" s="264"/>
      <c r="H802" s="264"/>
      <c r="I802" s="264"/>
      <c r="J802" s="264"/>
      <c r="K802" s="264"/>
      <c r="L802" s="264"/>
      <c r="M802" s="264"/>
      <c r="N802" s="264"/>
      <c r="O802" s="264"/>
      <c r="P802" s="264"/>
      <c r="Q802" s="264"/>
      <c r="R802" s="264"/>
      <c r="S802" s="264"/>
      <c r="T802" s="264"/>
      <c r="U802" s="264"/>
      <c r="V802" s="264"/>
      <c r="W802" s="264"/>
      <c r="X802" s="264"/>
      <c r="Y802" s="264"/>
      <c r="Z802" s="264"/>
      <c r="AA802" s="264"/>
    </row>
    <row r="803" spans="1:27" ht="15.75" customHeight="1">
      <c r="A803" s="264"/>
      <c r="B803" s="264"/>
      <c r="C803" s="264"/>
      <c r="D803" s="264"/>
      <c r="E803" s="264"/>
      <c r="F803" s="264"/>
      <c r="G803" s="264"/>
      <c r="H803" s="264"/>
      <c r="I803" s="264"/>
      <c r="J803" s="264"/>
      <c r="K803" s="264"/>
      <c r="L803" s="264"/>
      <c r="M803" s="264"/>
      <c r="N803" s="264"/>
      <c r="O803" s="264"/>
      <c r="P803" s="264"/>
      <c r="Q803" s="264"/>
      <c r="R803" s="264"/>
      <c r="S803" s="264"/>
      <c r="T803" s="264"/>
      <c r="U803" s="264"/>
      <c r="V803" s="264"/>
      <c r="W803" s="264"/>
      <c r="X803" s="264"/>
      <c r="Y803" s="264"/>
      <c r="Z803" s="264"/>
      <c r="AA803" s="264"/>
    </row>
    <row r="804" spans="1:27" ht="15.75" customHeight="1">
      <c r="A804" s="264"/>
      <c r="B804" s="264"/>
      <c r="C804" s="264"/>
      <c r="D804" s="264"/>
      <c r="E804" s="264"/>
      <c r="F804" s="264"/>
      <c r="G804" s="264"/>
      <c r="H804" s="264"/>
      <c r="I804" s="264"/>
      <c r="J804" s="264"/>
      <c r="K804" s="264"/>
      <c r="L804" s="264"/>
      <c r="M804" s="264"/>
      <c r="N804" s="264"/>
      <c r="O804" s="264"/>
      <c r="P804" s="264"/>
      <c r="Q804" s="264"/>
      <c r="R804" s="264"/>
      <c r="S804" s="264"/>
      <c r="T804" s="264"/>
      <c r="U804" s="264"/>
      <c r="V804" s="264"/>
      <c r="W804" s="264"/>
      <c r="X804" s="264"/>
      <c r="Y804" s="264"/>
      <c r="Z804" s="264"/>
      <c r="AA804" s="264"/>
    </row>
    <row r="805" spans="1:27" ht="15.75" customHeight="1">
      <c r="A805" s="264"/>
      <c r="B805" s="264"/>
      <c r="C805" s="264"/>
      <c r="D805" s="264"/>
      <c r="E805" s="264"/>
      <c r="F805" s="264"/>
      <c r="G805" s="264"/>
      <c r="H805" s="264"/>
      <c r="I805" s="264"/>
      <c r="J805" s="264"/>
      <c r="K805" s="264"/>
      <c r="L805" s="264"/>
      <c r="M805" s="264"/>
      <c r="N805" s="264"/>
      <c r="O805" s="264"/>
      <c r="P805" s="264"/>
      <c r="Q805" s="264"/>
      <c r="R805" s="264"/>
      <c r="S805" s="264"/>
      <c r="T805" s="264"/>
      <c r="U805" s="264"/>
      <c r="V805" s="264"/>
      <c r="W805" s="264"/>
      <c r="X805" s="264"/>
      <c r="Y805" s="264"/>
      <c r="Z805" s="264"/>
      <c r="AA805" s="264"/>
    </row>
    <row r="806" spans="1:27" ht="15.75" customHeight="1">
      <c r="A806" s="264"/>
      <c r="B806" s="264"/>
      <c r="C806" s="264"/>
      <c r="D806" s="264"/>
      <c r="E806" s="264"/>
      <c r="F806" s="264"/>
      <c r="G806" s="264"/>
      <c r="H806" s="264"/>
      <c r="I806" s="264"/>
      <c r="J806" s="264"/>
      <c r="K806" s="264"/>
      <c r="L806" s="264"/>
      <c r="M806" s="264"/>
      <c r="N806" s="264"/>
      <c r="O806" s="264"/>
      <c r="P806" s="264"/>
      <c r="Q806" s="264"/>
      <c r="R806" s="264"/>
      <c r="S806" s="264"/>
      <c r="T806" s="264"/>
      <c r="U806" s="264"/>
      <c r="V806" s="264"/>
      <c r="W806" s="264"/>
      <c r="X806" s="264"/>
      <c r="Y806" s="264"/>
      <c r="Z806" s="264"/>
      <c r="AA806" s="264"/>
    </row>
    <row r="807" spans="1:27" ht="15.75" customHeight="1">
      <c r="A807" s="264"/>
      <c r="B807" s="264"/>
      <c r="C807" s="264"/>
      <c r="D807" s="264"/>
      <c r="E807" s="264"/>
      <c r="F807" s="264"/>
      <c r="G807" s="264"/>
      <c r="H807" s="264"/>
      <c r="I807" s="264"/>
      <c r="J807" s="264"/>
      <c r="K807" s="264"/>
      <c r="L807" s="264"/>
      <c r="M807" s="264"/>
      <c r="N807" s="264"/>
      <c r="O807" s="264"/>
      <c r="P807" s="264"/>
      <c r="Q807" s="264"/>
      <c r="R807" s="264"/>
      <c r="S807" s="264"/>
      <c r="T807" s="264"/>
      <c r="U807" s="264"/>
      <c r="V807" s="264"/>
      <c r="W807" s="264"/>
      <c r="X807" s="264"/>
      <c r="Y807" s="264"/>
      <c r="Z807" s="264"/>
      <c r="AA807" s="264"/>
    </row>
    <row r="808" spans="1:27" ht="15.75" customHeight="1">
      <c r="A808" s="264"/>
      <c r="B808" s="264"/>
      <c r="C808" s="264"/>
      <c r="D808" s="264"/>
      <c r="E808" s="264"/>
      <c r="F808" s="264"/>
      <c r="G808" s="264"/>
      <c r="H808" s="264"/>
      <c r="I808" s="264"/>
      <c r="J808" s="264"/>
      <c r="K808" s="264"/>
      <c r="L808" s="264"/>
      <c r="M808" s="264"/>
      <c r="N808" s="264"/>
      <c r="O808" s="264"/>
      <c r="P808" s="264"/>
      <c r="Q808" s="264"/>
      <c r="R808" s="264"/>
      <c r="S808" s="264"/>
      <c r="T808" s="264"/>
      <c r="U808" s="264"/>
      <c r="V808" s="264"/>
      <c r="W808" s="264"/>
      <c r="X808" s="264"/>
      <c r="Y808" s="264"/>
      <c r="Z808" s="264"/>
      <c r="AA808" s="264"/>
    </row>
    <row r="809" spans="1:27" ht="15.75" customHeight="1">
      <c r="A809" s="264"/>
      <c r="B809" s="264"/>
      <c r="C809" s="264"/>
      <c r="D809" s="264"/>
      <c r="E809" s="264"/>
      <c r="F809" s="264"/>
      <c r="G809" s="264"/>
      <c r="H809" s="264"/>
      <c r="I809" s="264"/>
      <c r="J809" s="264"/>
      <c r="K809" s="264"/>
      <c r="L809" s="264"/>
      <c r="M809" s="264"/>
      <c r="N809" s="264"/>
      <c r="O809" s="264"/>
      <c r="P809" s="264"/>
      <c r="Q809" s="264"/>
      <c r="R809" s="264"/>
      <c r="S809" s="264"/>
      <c r="T809" s="264"/>
      <c r="U809" s="264"/>
      <c r="V809" s="264"/>
      <c r="W809" s="264"/>
      <c r="X809" s="264"/>
      <c r="Y809" s="264"/>
      <c r="Z809" s="264"/>
      <c r="AA809" s="264"/>
    </row>
    <row r="810" spans="1:27" ht="15.75" customHeight="1">
      <c r="A810" s="264"/>
      <c r="B810" s="264"/>
      <c r="C810" s="264"/>
      <c r="D810" s="264"/>
      <c r="E810" s="264"/>
      <c r="F810" s="264"/>
      <c r="G810" s="264"/>
      <c r="H810" s="264"/>
      <c r="I810" s="264"/>
      <c r="J810" s="264"/>
      <c r="K810" s="264"/>
      <c r="L810" s="264"/>
      <c r="M810" s="264"/>
      <c r="N810" s="264"/>
      <c r="O810" s="264"/>
      <c r="P810" s="264"/>
      <c r="Q810" s="264"/>
      <c r="R810" s="264"/>
      <c r="S810" s="264"/>
      <c r="T810" s="264"/>
      <c r="U810" s="264"/>
      <c r="V810" s="264"/>
      <c r="W810" s="264"/>
      <c r="X810" s="264"/>
      <c r="Y810" s="264"/>
      <c r="Z810" s="264"/>
      <c r="AA810" s="264"/>
    </row>
    <row r="811" spans="1:27" ht="15.75" customHeight="1">
      <c r="A811" s="264"/>
      <c r="B811" s="264"/>
      <c r="C811" s="264"/>
      <c r="D811" s="264"/>
      <c r="E811" s="264"/>
      <c r="F811" s="264"/>
      <c r="G811" s="264"/>
      <c r="H811" s="264"/>
      <c r="I811" s="264"/>
      <c r="J811" s="264"/>
      <c r="K811" s="264"/>
      <c r="L811" s="264"/>
      <c r="M811" s="264"/>
      <c r="N811" s="264"/>
      <c r="O811" s="264"/>
      <c r="P811" s="264"/>
      <c r="Q811" s="264"/>
      <c r="R811" s="264"/>
      <c r="S811" s="264"/>
      <c r="T811" s="264"/>
      <c r="U811" s="264"/>
      <c r="V811" s="264"/>
      <c r="W811" s="264"/>
      <c r="X811" s="264"/>
      <c r="Y811" s="264"/>
      <c r="Z811" s="264"/>
      <c r="AA811" s="264"/>
    </row>
    <row r="812" spans="1:27" ht="15.75" customHeight="1">
      <c r="A812" s="264"/>
      <c r="B812" s="264"/>
      <c r="C812" s="264"/>
      <c r="D812" s="264"/>
      <c r="E812" s="264"/>
      <c r="F812" s="264"/>
      <c r="G812" s="264"/>
      <c r="H812" s="264"/>
      <c r="I812" s="264"/>
      <c r="J812" s="264"/>
      <c r="K812" s="264"/>
      <c r="L812" s="264"/>
      <c r="M812" s="264"/>
      <c r="N812" s="264"/>
      <c r="O812" s="264"/>
      <c r="P812" s="264"/>
      <c r="Q812" s="264"/>
      <c r="R812" s="264"/>
      <c r="S812" s="264"/>
      <c r="T812" s="264"/>
      <c r="U812" s="264"/>
      <c r="V812" s="264"/>
      <c r="W812" s="264"/>
      <c r="X812" s="264"/>
      <c r="Y812" s="264"/>
      <c r="Z812" s="264"/>
      <c r="AA812" s="264"/>
    </row>
    <row r="813" spans="1:27" ht="15.75" customHeight="1">
      <c r="A813" s="264"/>
      <c r="B813" s="264"/>
      <c r="C813" s="264"/>
      <c r="D813" s="264"/>
      <c r="E813" s="264"/>
      <c r="F813" s="264"/>
      <c r="G813" s="264"/>
      <c r="H813" s="264"/>
      <c r="I813" s="264"/>
      <c r="J813" s="264"/>
      <c r="K813" s="264"/>
      <c r="L813" s="264"/>
      <c r="M813" s="264"/>
      <c r="N813" s="264"/>
      <c r="O813" s="264"/>
      <c r="P813" s="264"/>
      <c r="Q813" s="264"/>
      <c r="R813" s="264"/>
      <c r="S813" s="264"/>
      <c r="T813" s="264"/>
      <c r="U813" s="264"/>
      <c r="V813" s="264"/>
      <c r="W813" s="264"/>
      <c r="X813" s="264"/>
      <c r="Y813" s="264"/>
      <c r="Z813" s="264"/>
      <c r="AA813" s="264"/>
    </row>
    <row r="814" spans="1:27" ht="15.75" customHeight="1">
      <c r="A814" s="264"/>
      <c r="B814" s="264"/>
      <c r="C814" s="264"/>
      <c r="D814" s="264"/>
      <c r="E814" s="264"/>
      <c r="F814" s="264"/>
      <c r="G814" s="264"/>
      <c r="H814" s="264"/>
      <c r="I814" s="264"/>
      <c r="J814" s="264"/>
      <c r="K814" s="264"/>
      <c r="L814" s="264"/>
      <c r="M814" s="264"/>
      <c r="N814" s="264"/>
      <c r="O814" s="264"/>
      <c r="P814" s="264"/>
      <c r="Q814" s="264"/>
      <c r="R814" s="264"/>
      <c r="S814" s="264"/>
      <c r="T814" s="264"/>
      <c r="U814" s="264"/>
      <c r="V814" s="264"/>
      <c r="W814" s="264"/>
      <c r="X814" s="264"/>
      <c r="Y814" s="264"/>
      <c r="Z814" s="264"/>
      <c r="AA814" s="264"/>
    </row>
    <row r="815" spans="1:27" ht="15.75" customHeight="1">
      <c r="A815" s="264"/>
      <c r="B815" s="264"/>
      <c r="C815" s="264"/>
      <c r="D815" s="264"/>
      <c r="E815" s="264"/>
      <c r="F815" s="264"/>
      <c r="G815" s="264"/>
      <c r="H815" s="264"/>
      <c r="I815" s="264"/>
      <c r="J815" s="264"/>
      <c r="K815" s="264"/>
      <c r="L815" s="264"/>
      <c r="M815" s="264"/>
      <c r="N815" s="264"/>
      <c r="O815" s="264"/>
      <c r="P815" s="264"/>
      <c r="Q815" s="264"/>
      <c r="R815" s="264"/>
      <c r="S815" s="264"/>
      <c r="T815" s="264"/>
      <c r="U815" s="264"/>
      <c r="V815" s="264"/>
      <c r="W815" s="264"/>
      <c r="X815" s="264"/>
      <c r="Y815" s="264"/>
      <c r="Z815" s="264"/>
      <c r="AA815" s="264"/>
    </row>
    <row r="816" spans="1:27" ht="15.75" customHeight="1">
      <c r="A816" s="264"/>
      <c r="B816" s="264"/>
      <c r="C816" s="264"/>
      <c r="D816" s="264"/>
      <c r="E816" s="264"/>
      <c r="F816" s="264"/>
      <c r="G816" s="264"/>
      <c r="H816" s="264"/>
      <c r="I816" s="264"/>
      <c r="J816" s="264"/>
      <c r="K816" s="264"/>
      <c r="L816" s="264"/>
      <c r="M816" s="264"/>
      <c r="N816" s="264"/>
      <c r="O816" s="264"/>
      <c r="P816" s="264"/>
      <c r="Q816" s="264"/>
      <c r="R816" s="264"/>
      <c r="S816" s="264"/>
      <c r="T816" s="264"/>
      <c r="U816" s="264"/>
      <c r="V816" s="264"/>
      <c r="W816" s="264"/>
      <c r="X816" s="264"/>
      <c r="Y816" s="264"/>
      <c r="Z816" s="264"/>
      <c r="AA816" s="264"/>
    </row>
    <row r="817" spans="1:27" ht="15.75" customHeight="1">
      <c r="A817" s="264"/>
      <c r="B817" s="264"/>
      <c r="C817" s="264"/>
      <c r="D817" s="264"/>
      <c r="E817" s="264"/>
      <c r="F817" s="264"/>
      <c r="G817" s="264"/>
      <c r="H817" s="264"/>
      <c r="I817" s="264"/>
      <c r="J817" s="264"/>
      <c r="K817" s="264"/>
      <c r="L817" s="264"/>
      <c r="M817" s="264"/>
      <c r="N817" s="264"/>
      <c r="O817" s="264"/>
      <c r="P817" s="264"/>
      <c r="Q817" s="264"/>
      <c r="R817" s="264"/>
      <c r="S817" s="264"/>
      <c r="T817" s="264"/>
      <c r="U817" s="264"/>
      <c r="V817" s="264"/>
      <c r="W817" s="264"/>
      <c r="X817" s="264"/>
      <c r="Y817" s="264"/>
      <c r="Z817" s="264"/>
      <c r="AA817" s="264"/>
    </row>
    <row r="818" spans="1:27" ht="15.75" customHeight="1">
      <c r="A818" s="264"/>
      <c r="B818" s="264"/>
      <c r="C818" s="264"/>
      <c r="D818" s="264"/>
      <c r="E818" s="264"/>
      <c r="F818" s="264"/>
      <c r="G818" s="264"/>
      <c r="H818" s="264"/>
      <c r="I818" s="264"/>
      <c r="J818" s="264"/>
      <c r="K818" s="264"/>
      <c r="L818" s="264"/>
      <c r="M818" s="264"/>
      <c r="N818" s="264"/>
      <c r="O818" s="264"/>
      <c r="P818" s="264"/>
      <c r="Q818" s="264"/>
      <c r="R818" s="264"/>
      <c r="S818" s="264"/>
      <c r="T818" s="264"/>
      <c r="U818" s="264"/>
      <c r="V818" s="264"/>
      <c r="W818" s="264"/>
      <c r="X818" s="264"/>
      <c r="Y818" s="264"/>
      <c r="Z818" s="264"/>
      <c r="AA818" s="264"/>
    </row>
    <row r="819" spans="1:27" ht="15.75" customHeight="1">
      <c r="A819" s="264"/>
      <c r="B819" s="264"/>
      <c r="C819" s="264"/>
      <c r="D819" s="264"/>
      <c r="E819" s="264"/>
      <c r="F819" s="264"/>
      <c r="G819" s="264"/>
      <c r="H819" s="264"/>
      <c r="I819" s="264"/>
      <c r="J819" s="264"/>
      <c r="K819" s="264"/>
      <c r="L819" s="264"/>
      <c r="M819" s="264"/>
      <c r="N819" s="264"/>
      <c r="O819" s="264"/>
      <c r="P819" s="264"/>
      <c r="Q819" s="264"/>
      <c r="R819" s="264"/>
      <c r="S819" s="264"/>
      <c r="T819" s="264"/>
      <c r="U819" s="264"/>
      <c r="V819" s="264"/>
      <c r="W819" s="264"/>
      <c r="X819" s="264"/>
      <c r="Y819" s="264"/>
      <c r="Z819" s="264"/>
      <c r="AA819" s="264"/>
    </row>
    <row r="820" spans="1:27" ht="15.75" customHeight="1">
      <c r="A820" s="264"/>
      <c r="B820" s="264"/>
      <c r="C820" s="264"/>
      <c r="D820" s="264"/>
      <c r="E820" s="264"/>
      <c r="F820" s="264"/>
      <c r="G820" s="264"/>
      <c r="H820" s="264"/>
      <c r="I820" s="264"/>
      <c r="J820" s="264"/>
      <c r="K820" s="264"/>
      <c r="L820" s="264"/>
      <c r="M820" s="264"/>
      <c r="N820" s="264"/>
      <c r="O820" s="264"/>
      <c r="P820" s="264"/>
      <c r="Q820" s="264"/>
      <c r="R820" s="264"/>
      <c r="S820" s="264"/>
      <c r="T820" s="264"/>
      <c r="U820" s="264"/>
      <c r="V820" s="264"/>
      <c r="W820" s="264"/>
      <c r="X820" s="264"/>
      <c r="Y820" s="264"/>
      <c r="Z820" s="264"/>
      <c r="AA820" s="264"/>
    </row>
    <row r="821" spans="1:27" ht="15.75" customHeight="1">
      <c r="A821" s="264"/>
      <c r="B821" s="264"/>
      <c r="C821" s="264"/>
      <c r="D821" s="264"/>
      <c r="E821" s="264"/>
      <c r="F821" s="264"/>
      <c r="G821" s="264"/>
      <c r="H821" s="264"/>
      <c r="I821" s="264"/>
      <c r="J821" s="264"/>
      <c r="K821" s="264"/>
      <c r="L821" s="264"/>
      <c r="M821" s="264"/>
      <c r="N821" s="264"/>
      <c r="O821" s="264"/>
      <c r="P821" s="264"/>
      <c r="Q821" s="264"/>
      <c r="R821" s="264"/>
      <c r="S821" s="264"/>
      <c r="T821" s="264"/>
      <c r="U821" s="264"/>
      <c r="V821" s="264"/>
      <c r="W821" s="264"/>
      <c r="X821" s="264"/>
      <c r="Y821" s="264"/>
      <c r="Z821" s="264"/>
      <c r="AA821" s="264"/>
    </row>
    <row r="822" spans="1:27" ht="15.75" customHeight="1">
      <c r="A822" s="264"/>
      <c r="B822" s="264"/>
      <c r="C822" s="264"/>
      <c r="D822" s="264"/>
      <c r="E822" s="264"/>
      <c r="F822" s="264"/>
      <c r="G822" s="264"/>
      <c r="H822" s="264"/>
      <c r="I822" s="264"/>
      <c r="J822" s="264"/>
      <c r="K822" s="264"/>
      <c r="L822" s="264"/>
      <c r="M822" s="264"/>
      <c r="N822" s="264"/>
      <c r="O822" s="264"/>
      <c r="P822" s="264"/>
      <c r="Q822" s="264"/>
      <c r="R822" s="264"/>
      <c r="S822" s="264"/>
      <c r="T822" s="264"/>
      <c r="U822" s="264"/>
      <c r="V822" s="264"/>
      <c r="W822" s="264"/>
      <c r="X822" s="264"/>
      <c r="Y822" s="264"/>
      <c r="Z822" s="264"/>
      <c r="AA822" s="264"/>
    </row>
    <row r="823" spans="1:27" ht="15.75" customHeight="1">
      <c r="A823" s="264"/>
      <c r="B823" s="264"/>
      <c r="C823" s="264"/>
      <c r="D823" s="264"/>
      <c r="E823" s="264"/>
      <c r="F823" s="264"/>
      <c r="G823" s="264"/>
      <c r="H823" s="264"/>
      <c r="I823" s="264"/>
      <c r="J823" s="264"/>
      <c r="K823" s="264"/>
      <c r="L823" s="264"/>
      <c r="M823" s="264"/>
      <c r="N823" s="264"/>
      <c r="O823" s="264"/>
      <c r="P823" s="264"/>
      <c r="Q823" s="264"/>
      <c r="R823" s="264"/>
      <c r="S823" s="264"/>
      <c r="T823" s="264"/>
      <c r="U823" s="264"/>
      <c r="V823" s="264"/>
      <c r="W823" s="264"/>
      <c r="X823" s="264"/>
      <c r="Y823" s="264"/>
      <c r="Z823" s="264"/>
      <c r="AA823" s="264"/>
    </row>
    <row r="824" spans="1:27" ht="15.75" customHeight="1">
      <c r="A824" s="264"/>
      <c r="B824" s="264"/>
      <c r="C824" s="264"/>
      <c r="D824" s="264"/>
      <c r="E824" s="264"/>
      <c r="F824" s="264"/>
      <c r="G824" s="264"/>
      <c r="H824" s="264"/>
      <c r="I824" s="264"/>
      <c r="J824" s="264"/>
      <c r="K824" s="264"/>
      <c r="L824" s="264"/>
      <c r="M824" s="264"/>
      <c r="N824" s="264"/>
      <c r="O824" s="264"/>
      <c r="P824" s="264"/>
      <c r="Q824" s="264"/>
      <c r="R824" s="264"/>
      <c r="S824" s="264"/>
      <c r="T824" s="264"/>
      <c r="U824" s="264"/>
      <c r="V824" s="264"/>
      <c r="W824" s="264"/>
      <c r="X824" s="264"/>
      <c r="Y824" s="264"/>
      <c r="Z824" s="264"/>
      <c r="AA824" s="264"/>
    </row>
    <row r="825" spans="1:27" ht="15.75" customHeight="1">
      <c r="A825" s="264"/>
      <c r="B825" s="264"/>
      <c r="C825" s="264"/>
      <c r="D825" s="264"/>
      <c r="E825" s="264"/>
      <c r="F825" s="264"/>
      <c r="G825" s="264"/>
      <c r="H825" s="264"/>
      <c r="I825" s="264"/>
      <c r="J825" s="264"/>
      <c r="K825" s="264"/>
      <c r="L825" s="264"/>
      <c r="M825" s="264"/>
      <c r="N825" s="264"/>
      <c r="O825" s="264"/>
      <c r="P825" s="264"/>
      <c r="Q825" s="264"/>
      <c r="R825" s="264"/>
      <c r="S825" s="264"/>
      <c r="T825" s="264"/>
      <c r="U825" s="264"/>
      <c r="V825" s="264"/>
      <c r="W825" s="264"/>
      <c r="X825" s="264"/>
      <c r="Y825" s="264"/>
      <c r="Z825" s="264"/>
      <c r="AA825" s="264"/>
    </row>
    <row r="826" spans="1:27" ht="15.75" customHeight="1">
      <c r="A826" s="264"/>
      <c r="B826" s="264"/>
      <c r="C826" s="264"/>
      <c r="D826" s="264"/>
      <c r="E826" s="264"/>
      <c r="F826" s="264"/>
      <c r="G826" s="264"/>
      <c r="H826" s="264"/>
      <c r="I826" s="264"/>
      <c r="J826" s="264"/>
      <c r="K826" s="264"/>
      <c r="L826" s="264"/>
      <c r="M826" s="264"/>
      <c r="N826" s="264"/>
      <c r="O826" s="264"/>
      <c r="P826" s="264"/>
      <c r="Q826" s="264"/>
      <c r="R826" s="264"/>
      <c r="S826" s="264"/>
      <c r="T826" s="264"/>
      <c r="U826" s="264"/>
      <c r="V826" s="264"/>
      <c r="W826" s="264"/>
      <c r="X826" s="264"/>
      <c r="Y826" s="264"/>
      <c r="Z826" s="264"/>
      <c r="AA826" s="264"/>
    </row>
    <row r="827" spans="1:27" ht="15.75" customHeight="1">
      <c r="A827" s="264"/>
      <c r="B827" s="264"/>
      <c r="C827" s="264"/>
      <c r="D827" s="264"/>
      <c r="E827" s="264"/>
      <c r="F827" s="264"/>
      <c r="G827" s="264"/>
      <c r="H827" s="264"/>
      <c r="I827" s="264"/>
      <c r="J827" s="264"/>
      <c r="K827" s="264"/>
      <c r="L827" s="264"/>
      <c r="M827" s="264"/>
      <c r="N827" s="264"/>
      <c r="O827" s="264"/>
      <c r="P827" s="264"/>
      <c r="Q827" s="264"/>
      <c r="R827" s="264"/>
      <c r="S827" s="264"/>
      <c r="T827" s="264"/>
      <c r="U827" s="264"/>
      <c r="V827" s="264"/>
      <c r="W827" s="264"/>
      <c r="X827" s="264"/>
      <c r="Y827" s="264"/>
      <c r="Z827" s="264"/>
      <c r="AA827" s="264"/>
    </row>
    <row r="828" spans="1:27" ht="15.75" customHeight="1">
      <c r="A828" s="264"/>
      <c r="B828" s="264"/>
      <c r="C828" s="264"/>
      <c r="D828" s="264"/>
      <c r="E828" s="264"/>
      <c r="F828" s="264"/>
      <c r="G828" s="264"/>
      <c r="H828" s="264"/>
      <c r="I828" s="264"/>
      <c r="J828" s="264"/>
      <c r="K828" s="264"/>
      <c r="L828" s="264"/>
      <c r="M828" s="264"/>
      <c r="N828" s="264"/>
      <c r="O828" s="264"/>
      <c r="P828" s="264"/>
      <c r="Q828" s="264"/>
      <c r="R828" s="264"/>
      <c r="S828" s="264"/>
      <c r="T828" s="264"/>
      <c r="U828" s="264"/>
      <c r="V828" s="264"/>
      <c r="W828" s="264"/>
      <c r="X828" s="264"/>
      <c r="Y828" s="264"/>
      <c r="Z828" s="264"/>
      <c r="AA828" s="264"/>
    </row>
    <row r="829" spans="1:27" ht="15.75" customHeight="1">
      <c r="A829" s="264"/>
      <c r="B829" s="264"/>
      <c r="C829" s="264"/>
      <c r="D829" s="264"/>
      <c r="E829" s="264"/>
      <c r="F829" s="264"/>
      <c r="G829" s="264"/>
      <c r="H829" s="264"/>
      <c r="I829" s="264"/>
      <c r="J829" s="264"/>
      <c r="K829" s="264"/>
      <c r="L829" s="264"/>
      <c r="M829" s="264"/>
      <c r="N829" s="264"/>
      <c r="O829" s="264"/>
      <c r="P829" s="264"/>
      <c r="Q829" s="264"/>
      <c r="R829" s="264"/>
      <c r="S829" s="264"/>
      <c r="T829" s="264"/>
      <c r="U829" s="264"/>
      <c r="V829" s="264"/>
      <c r="W829" s="264"/>
      <c r="X829" s="264"/>
      <c r="Y829" s="264"/>
      <c r="Z829" s="264"/>
      <c r="AA829" s="264"/>
    </row>
    <row r="830" spans="1:27" ht="15.75" customHeight="1">
      <c r="A830" s="264"/>
      <c r="B830" s="264"/>
      <c r="C830" s="264"/>
      <c r="D830" s="264"/>
      <c r="E830" s="264"/>
      <c r="F830" s="264"/>
      <c r="G830" s="264"/>
      <c r="H830" s="264"/>
      <c r="I830" s="264"/>
      <c r="J830" s="264"/>
      <c r="K830" s="264"/>
      <c r="L830" s="264"/>
      <c r="M830" s="264"/>
      <c r="N830" s="264"/>
      <c r="O830" s="264"/>
      <c r="P830" s="264"/>
      <c r="Q830" s="264"/>
      <c r="R830" s="264"/>
      <c r="S830" s="264"/>
      <c r="T830" s="264"/>
      <c r="U830" s="264"/>
      <c r="V830" s="264"/>
      <c r="W830" s="264"/>
      <c r="X830" s="264"/>
      <c r="Y830" s="264"/>
      <c r="Z830" s="264"/>
      <c r="AA830" s="264"/>
    </row>
    <row r="831" spans="1:27" ht="15.75" customHeight="1">
      <c r="A831" s="264"/>
      <c r="B831" s="264"/>
      <c r="C831" s="264"/>
      <c r="D831" s="264"/>
      <c r="E831" s="264"/>
      <c r="F831" s="264"/>
      <c r="G831" s="264"/>
      <c r="H831" s="264"/>
      <c r="I831" s="264"/>
      <c r="J831" s="264"/>
      <c r="K831" s="264"/>
      <c r="L831" s="264"/>
      <c r="M831" s="264"/>
      <c r="N831" s="264"/>
      <c r="O831" s="264"/>
      <c r="P831" s="264"/>
      <c r="Q831" s="264"/>
      <c r="R831" s="264"/>
      <c r="S831" s="264"/>
      <c r="T831" s="264"/>
      <c r="U831" s="264"/>
      <c r="V831" s="264"/>
      <c r="W831" s="264"/>
      <c r="X831" s="264"/>
      <c r="Y831" s="264"/>
      <c r="Z831" s="264"/>
      <c r="AA831" s="264"/>
    </row>
    <row r="832" spans="1:27" ht="15.75" customHeight="1">
      <c r="A832" s="264"/>
      <c r="B832" s="264"/>
      <c r="C832" s="264"/>
      <c r="D832" s="264"/>
      <c r="E832" s="264"/>
      <c r="F832" s="264"/>
      <c r="G832" s="264"/>
      <c r="H832" s="264"/>
      <c r="I832" s="264"/>
      <c r="J832" s="264"/>
      <c r="K832" s="264"/>
      <c r="L832" s="264"/>
      <c r="M832" s="264"/>
      <c r="N832" s="264"/>
      <c r="O832" s="264"/>
      <c r="P832" s="264"/>
      <c r="Q832" s="264"/>
      <c r="R832" s="264"/>
      <c r="S832" s="264"/>
      <c r="T832" s="264"/>
      <c r="U832" s="264"/>
      <c r="V832" s="264"/>
      <c r="W832" s="264"/>
      <c r="X832" s="264"/>
      <c r="Y832" s="264"/>
      <c r="Z832" s="264"/>
      <c r="AA832" s="264"/>
    </row>
    <row r="833" spans="1:27" ht="15.75" customHeight="1">
      <c r="A833" s="264"/>
      <c r="B833" s="264"/>
      <c r="C833" s="264"/>
      <c r="D833" s="264"/>
      <c r="E833" s="264"/>
      <c r="F833" s="264"/>
      <c r="G833" s="264"/>
      <c r="H833" s="264"/>
      <c r="I833" s="264"/>
      <c r="J833" s="264"/>
      <c r="K833" s="264"/>
      <c r="L833" s="264"/>
      <c r="M833" s="264"/>
      <c r="N833" s="264"/>
      <c r="O833" s="264"/>
      <c r="P833" s="264"/>
      <c r="Q833" s="264"/>
      <c r="R833" s="264"/>
      <c r="S833" s="264"/>
      <c r="T833" s="264"/>
      <c r="U833" s="264"/>
      <c r="V833" s="264"/>
      <c r="W833" s="264"/>
      <c r="X833" s="264"/>
      <c r="Y833" s="264"/>
      <c r="Z833" s="264"/>
      <c r="AA833" s="264"/>
    </row>
    <row r="834" spans="1:27" ht="15.75" customHeight="1">
      <c r="A834" s="264"/>
      <c r="B834" s="264"/>
      <c r="C834" s="264"/>
      <c r="D834" s="264"/>
      <c r="E834" s="264"/>
      <c r="F834" s="264"/>
      <c r="G834" s="264"/>
      <c r="H834" s="264"/>
      <c r="I834" s="264"/>
      <c r="J834" s="264"/>
      <c r="K834" s="264"/>
      <c r="L834" s="264"/>
      <c r="M834" s="264"/>
      <c r="N834" s="264"/>
      <c r="O834" s="264"/>
      <c r="P834" s="264"/>
      <c r="Q834" s="264"/>
      <c r="R834" s="264"/>
      <c r="S834" s="264"/>
      <c r="T834" s="264"/>
      <c r="U834" s="264"/>
      <c r="V834" s="264"/>
      <c r="W834" s="264"/>
      <c r="X834" s="264"/>
      <c r="Y834" s="264"/>
      <c r="Z834" s="264"/>
      <c r="AA834" s="264"/>
    </row>
    <row r="835" spans="1:27" ht="15.75" customHeight="1">
      <c r="A835" s="264"/>
      <c r="B835" s="264"/>
      <c r="C835" s="264"/>
      <c r="D835" s="264"/>
      <c r="E835" s="264"/>
      <c r="F835" s="264"/>
      <c r="G835" s="264"/>
      <c r="H835" s="264"/>
      <c r="I835" s="264"/>
      <c r="J835" s="264"/>
      <c r="K835" s="264"/>
      <c r="L835" s="264"/>
      <c r="M835" s="264"/>
      <c r="N835" s="264"/>
      <c r="O835" s="264"/>
      <c r="P835" s="264"/>
      <c r="Q835" s="264"/>
      <c r="R835" s="264"/>
      <c r="S835" s="264"/>
      <c r="T835" s="264"/>
      <c r="U835" s="264"/>
      <c r="V835" s="264"/>
      <c r="W835" s="264"/>
      <c r="X835" s="264"/>
      <c r="Y835" s="264"/>
      <c r="Z835" s="264"/>
      <c r="AA835" s="264"/>
    </row>
    <row r="836" spans="1:27" ht="15.75" customHeight="1">
      <c r="A836" s="264"/>
      <c r="B836" s="264"/>
      <c r="C836" s="264"/>
      <c r="D836" s="264"/>
      <c r="E836" s="264"/>
      <c r="F836" s="264"/>
      <c r="G836" s="264"/>
      <c r="H836" s="264"/>
      <c r="I836" s="264"/>
      <c r="J836" s="264"/>
      <c r="K836" s="264"/>
      <c r="L836" s="264"/>
      <c r="M836" s="264"/>
      <c r="N836" s="264"/>
      <c r="O836" s="264"/>
      <c r="P836" s="264"/>
      <c r="Q836" s="264"/>
      <c r="R836" s="264"/>
      <c r="S836" s="264"/>
      <c r="T836" s="264"/>
      <c r="U836" s="264"/>
      <c r="V836" s="264"/>
      <c r="W836" s="264"/>
      <c r="X836" s="264"/>
      <c r="Y836" s="264"/>
      <c r="Z836" s="264"/>
      <c r="AA836" s="264"/>
    </row>
    <row r="837" spans="1:27" ht="15.75" customHeight="1">
      <c r="A837" s="264"/>
      <c r="B837" s="264"/>
      <c r="C837" s="264"/>
      <c r="D837" s="264"/>
      <c r="E837" s="264"/>
      <c r="F837" s="264"/>
      <c r="G837" s="264"/>
      <c r="H837" s="264"/>
      <c r="I837" s="264"/>
      <c r="J837" s="264"/>
      <c r="K837" s="264"/>
      <c r="L837" s="264"/>
      <c r="M837" s="264"/>
      <c r="N837" s="264"/>
      <c r="O837" s="264"/>
      <c r="P837" s="264"/>
      <c r="Q837" s="264"/>
      <c r="R837" s="264"/>
      <c r="S837" s="264"/>
      <c r="T837" s="264"/>
      <c r="U837" s="264"/>
      <c r="V837" s="264"/>
      <c r="W837" s="264"/>
      <c r="X837" s="264"/>
      <c r="Y837" s="264"/>
      <c r="Z837" s="264"/>
      <c r="AA837" s="264"/>
    </row>
    <row r="838" spans="1:27" ht="15.75" customHeight="1">
      <c r="A838" s="264"/>
      <c r="B838" s="264"/>
      <c r="C838" s="264"/>
      <c r="D838" s="264"/>
      <c r="E838" s="264"/>
      <c r="F838" s="264"/>
      <c r="G838" s="264"/>
      <c r="H838" s="264"/>
      <c r="I838" s="264"/>
      <c r="J838" s="264"/>
      <c r="K838" s="264"/>
      <c r="L838" s="264"/>
      <c r="M838" s="264"/>
      <c r="N838" s="264"/>
      <c r="O838" s="264"/>
      <c r="P838" s="264"/>
      <c r="Q838" s="264"/>
      <c r="R838" s="264"/>
      <c r="S838" s="264"/>
      <c r="T838" s="264"/>
      <c r="U838" s="264"/>
      <c r="V838" s="264"/>
      <c r="W838" s="264"/>
      <c r="X838" s="264"/>
      <c r="Y838" s="264"/>
      <c r="Z838" s="264"/>
      <c r="AA838" s="264"/>
    </row>
    <row r="839" spans="1:27" ht="15.75" customHeight="1">
      <c r="A839" s="264"/>
      <c r="B839" s="264"/>
      <c r="C839" s="264"/>
      <c r="D839" s="264"/>
      <c r="E839" s="264"/>
      <c r="F839" s="264"/>
      <c r="G839" s="264"/>
      <c r="H839" s="264"/>
      <c r="I839" s="264"/>
      <c r="J839" s="264"/>
      <c r="K839" s="264"/>
      <c r="L839" s="264"/>
      <c r="M839" s="264"/>
      <c r="N839" s="264"/>
      <c r="O839" s="264"/>
      <c r="P839" s="264"/>
      <c r="Q839" s="264"/>
      <c r="R839" s="264"/>
      <c r="S839" s="264"/>
      <c r="T839" s="264"/>
      <c r="U839" s="264"/>
      <c r="V839" s="264"/>
      <c r="W839" s="264"/>
      <c r="X839" s="264"/>
      <c r="Y839" s="264"/>
      <c r="Z839" s="264"/>
      <c r="AA839" s="264"/>
    </row>
    <row r="840" spans="1:27" ht="15.75" customHeight="1">
      <c r="A840" s="264"/>
      <c r="B840" s="264"/>
      <c r="C840" s="264"/>
      <c r="D840" s="264"/>
      <c r="E840" s="264"/>
      <c r="F840" s="264"/>
      <c r="G840" s="264"/>
      <c r="H840" s="264"/>
      <c r="I840" s="264"/>
      <c r="J840" s="264"/>
      <c r="K840" s="264"/>
      <c r="L840" s="264"/>
      <c r="M840" s="264"/>
      <c r="N840" s="264"/>
      <c r="O840" s="264"/>
      <c r="P840" s="264"/>
      <c r="Q840" s="264"/>
      <c r="R840" s="264"/>
      <c r="S840" s="264"/>
      <c r="T840" s="264"/>
      <c r="U840" s="264"/>
      <c r="V840" s="264"/>
      <c r="W840" s="264"/>
      <c r="X840" s="264"/>
      <c r="Y840" s="264"/>
      <c r="Z840" s="264"/>
      <c r="AA840" s="264"/>
    </row>
    <row r="841" spans="1:27" ht="15.75" customHeight="1">
      <c r="A841" s="264"/>
      <c r="B841" s="264"/>
      <c r="C841" s="264"/>
      <c r="D841" s="264"/>
      <c r="E841" s="264"/>
      <c r="F841" s="264"/>
      <c r="G841" s="264"/>
      <c r="H841" s="264"/>
      <c r="I841" s="264"/>
      <c r="J841" s="264"/>
      <c r="K841" s="264"/>
      <c r="L841" s="264"/>
      <c r="M841" s="264"/>
      <c r="N841" s="264"/>
      <c r="O841" s="264"/>
      <c r="P841" s="264"/>
      <c r="Q841" s="264"/>
      <c r="R841" s="264"/>
      <c r="S841" s="264"/>
      <c r="T841" s="264"/>
      <c r="U841" s="264"/>
      <c r="V841" s="264"/>
      <c r="W841" s="264"/>
      <c r="X841" s="264"/>
      <c r="Y841" s="264"/>
      <c r="Z841" s="264"/>
      <c r="AA841" s="264"/>
    </row>
    <row r="842" spans="1:27" ht="15.75" customHeight="1">
      <c r="A842" s="264"/>
      <c r="B842" s="264"/>
      <c r="C842" s="264"/>
      <c r="D842" s="264"/>
      <c r="E842" s="264"/>
      <c r="F842" s="264"/>
      <c r="G842" s="264"/>
      <c r="H842" s="264"/>
      <c r="I842" s="264"/>
      <c r="J842" s="264"/>
      <c r="K842" s="264"/>
      <c r="L842" s="264"/>
      <c r="M842" s="264"/>
      <c r="N842" s="264"/>
      <c r="O842" s="264"/>
      <c r="P842" s="264"/>
      <c r="Q842" s="264"/>
      <c r="R842" s="264"/>
      <c r="S842" s="264"/>
      <c r="T842" s="264"/>
      <c r="U842" s="264"/>
      <c r="V842" s="264"/>
      <c r="W842" s="264"/>
      <c r="X842" s="264"/>
      <c r="Y842" s="264"/>
      <c r="Z842" s="264"/>
      <c r="AA842" s="264"/>
    </row>
    <row r="843" spans="1:27" ht="15.75" customHeight="1">
      <c r="A843" s="264"/>
      <c r="B843" s="264"/>
      <c r="C843" s="264"/>
      <c r="D843" s="264"/>
      <c r="E843" s="264"/>
      <c r="F843" s="264"/>
      <c r="G843" s="264"/>
      <c r="H843" s="264"/>
      <c r="I843" s="264"/>
      <c r="J843" s="264"/>
      <c r="K843" s="264"/>
      <c r="L843" s="264"/>
      <c r="M843" s="264"/>
      <c r="N843" s="264"/>
      <c r="O843" s="264"/>
      <c r="P843" s="264"/>
      <c r="Q843" s="264"/>
      <c r="R843" s="264"/>
      <c r="S843" s="264"/>
      <c r="T843" s="264"/>
      <c r="U843" s="264"/>
      <c r="V843" s="264"/>
      <c r="W843" s="264"/>
      <c r="X843" s="264"/>
      <c r="Y843" s="264"/>
      <c r="Z843" s="264"/>
      <c r="AA843" s="264"/>
    </row>
    <row r="844" spans="1:27" ht="15.75" customHeight="1">
      <c r="A844" s="264"/>
      <c r="B844" s="264"/>
      <c r="C844" s="264"/>
      <c r="D844" s="264"/>
      <c r="E844" s="264"/>
      <c r="F844" s="264"/>
      <c r="G844" s="264"/>
      <c r="H844" s="264"/>
      <c r="I844" s="264"/>
      <c r="J844" s="264"/>
      <c r="K844" s="264"/>
      <c r="L844" s="264"/>
      <c r="M844" s="264"/>
      <c r="N844" s="264"/>
      <c r="O844" s="264"/>
      <c r="P844" s="264"/>
      <c r="Q844" s="264"/>
      <c r="R844" s="264"/>
      <c r="S844" s="264"/>
      <c r="T844" s="264"/>
      <c r="U844" s="264"/>
      <c r="V844" s="264"/>
      <c r="W844" s="264"/>
      <c r="X844" s="264"/>
      <c r="Y844" s="264"/>
      <c r="Z844" s="264"/>
      <c r="AA844" s="264"/>
    </row>
    <row r="845" spans="1:27" ht="15.75" customHeight="1">
      <c r="A845" s="264"/>
      <c r="B845" s="264"/>
      <c r="C845" s="264"/>
      <c r="D845" s="264"/>
      <c r="E845" s="264"/>
      <c r="F845" s="264"/>
      <c r="G845" s="264"/>
      <c r="H845" s="264"/>
      <c r="I845" s="264"/>
      <c r="J845" s="264"/>
      <c r="K845" s="264"/>
      <c r="L845" s="264"/>
      <c r="M845" s="264"/>
      <c r="N845" s="264"/>
      <c r="O845" s="264"/>
      <c r="P845" s="264"/>
      <c r="Q845" s="264"/>
      <c r="R845" s="264"/>
      <c r="S845" s="264"/>
      <c r="T845" s="264"/>
      <c r="U845" s="264"/>
      <c r="V845" s="264"/>
      <c r="W845" s="264"/>
      <c r="X845" s="264"/>
      <c r="Y845" s="264"/>
      <c r="Z845" s="264"/>
      <c r="AA845" s="264"/>
    </row>
    <row r="846" spans="1:27" ht="15.75" customHeight="1">
      <c r="A846" s="264"/>
      <c r="B846" s="264"/>
      <c r="C846" s="264"/>
      <c r="D846" s="264"/>
      <c r="E846" s="264"/>
      <c r="F846" s="264"/>
      <c r="G846" s="264"/>
      <c r="H846" s="264"/>
      <c r="I846" s="264"/>
      <c r="J846" s="264"/>
      <c r="K846" s="264"/>
      <c r="L846" s="264"/>
      <c r="M846" s="264"/>
      <c r="N846" s="264"/>
      <c r="O846" s="264"/>
      <c r="P846" s="264"/>
      <c r="Q846" s="264"/>
      <c r="R846" s="264"/>
      <c r="S846" s="264"/>
      <c r="T846" s="264"/>
      <c r="U846" s="264"/>
      <c r="V846" s="264"/>
      <c r="W846" s="264"/>
      <c r="X846" s="264"/>
      <c r="Y846" s="264"/>
      <c r="Z846" s="264"/>
      <c r="AA846" s="264"/>
    </row>
    <row r="847" spans="1:27" ht="15.75" customHeight="1">
      <c r="A847" s="264"/>
      <c r="B847" s="264"/>
      <c r="C847" s="264"/>
      <c r="D847" s="264"/>
      <c r="E847" s="264"/>
      <c r="F847" s="264"/>
      <c r="G847" s="264"/>
      <c r="H847" s="264"/>
      <c r="I847" s="264"/>
      <c r="J847" s="264"/>
      <c r="K847" s="264"/>
      <c r="L847" s="264"/>
      <c r="M847" s="264"/>
      <c r="N847" s="264"/>
      <c r="O847" s="264"/>
      <c r="P847" s="264"/>
      <c r="Q847" s="264"/>
      <c r="R847" s="264"/>
      <c r="S847" s="264"/>
      <c r="T847" s="264"/>
      <c r="U847" s="264"/>
      <c r="V847" s="264"/>
      <c r="W847" s="264"/>
      <c r="X847" s="264"/>
      <c r="Y847" s="264"/>
      <c r="Z847" s="264"/>
      <c r="AA847" s="264"/>
    </row>
    <row r="848" spans="1:27" ht="15.75" customHeight="1">
      <c r="A848" s="264"/>
      <c r="B848" s="264"/>
      <c r="C848" s="264"/>
      <c r="D848" s="264"/>
      <c r="E848" s="264"/>
      <c r="F848" s="264"/>
      <c r="G848" s="264"/>
      <c r="H848" s="264"/>
      <c r="I848" s="264"/>
      <c r="J848" s="264"/>
      <c r="K848" s="264"/>
      <c r="L848" s="264"/>
      <c r="M848" s="264"/>
      <c r="N848" s="264"/>
      <c r="O848" s="264"/>
      <c r="P848" s="264"/>
      <c r="Q848" s="264"/>
      <c r="R848" s="264"/>
      <c r="S848" s="264"/>
      <c r="T848" s="264"/>
      <c r="U848" s="264"/>
      <c r="V848" s="264"/>
      <c r="W848" s="264"/>
      <c r="X848" s="264"/>
      <c r="Y848" s="264"/>
      <c r="Z848" s="264"/>
      <c r="AA848" s="264"/>
    </row>
    <row r="849" spans="1:27" ht="15.75" customHeight="1">
      <c r="A849" s="264"/>
      <c r="B849" s="264"/>
      <c r="C849" s="264"/>
      <c r="D849" s="264"/>
      <c r="E849" s="264"/>
      <c r="F849" s="264"/>
      <c r="G849" s="264"/>
      <c r="H849" s="264"/>
      <c r="I849" s="264"/>
      <c r="J849" s="264"/>
      <c r="K849" s="264"/>
      <c r="L849" s="264"/>
      <c r="M849" s="264"/>
      <c r="N849" s="264"/>
      <c r="O849" s="264"/>
      <c r="P849" s="264"/>
      <c r="Q849" s="264"/>
      <c r="R849" s="264"/>
      <c r="S849" s="264"/>
      <c r="T849" s="264"/>
      <c r="U849" s="264"/>
      <c r="V849" s="264"/>
      <c r="W849" s="264"/>
      <c r="X849" s="264"/>
      <c r="Y849" s="264"/>
      <c r="Z849" s="264"/>
      <c r="AA849" s="264"/>
    </row>
    <row r="850" spans="1:27" ht="15.75" customHeight="1">
      <c r="A850" s="264"/>
      <c r="B850" s="264"/>
      <c r="C850" s="264"/>
      <c r="D850" s="264"/>
      <c r="E850" s="264"/>
      <c r="F850" s="264"/>
      <c r="G850" s="264"/>
      <c r="H850" s="264"/>
      <c r="I850" s="264"/>
      <c r="J850" s="264"/>
      <c r="K850" s="264"/>
      <c r="L850" s="264"/>
      <c r="M850" s="264"/>
      <c r="N850" s="264"/>
      <c r="O850" s="264"/>
      <c r="P850" s="264"/>
      <c r="Q850" s="264"/>
      <c r="R850" s="264"/>
      <c r="S850" s="264"/>
      <c r="T850" s="264"/>
      <c r="U850" s="264"/>
      <c r="V850" s="264"/>
      <c r="W850" s="264"/>
      <c r="X850" s="264"/>
      <c r="Y850" s="264"/>
      <c r="Z850" s="264"/>
      <c r="AA850" s="264"/>
    </row>
    <row r="851" spans="1:27" ht="15.75" customHeight="1">
      <c r="A851" s="264"/>
      <c r="B851" s="264"/>
      <c r="C851" s="264"/>
      <c r="D851" s="264"/>
      <c r="E851" s="264"/>
      <c r="F851" s="264"/>
      <c r="G851" s="264"/>
      <c r="H851" s="264"/>
      <c r="I851" s="264"/>
      <c r="J851" s="264"/>
      <c r="K851" s="264"/>
      <c r="L851" s="264"/>
      <c r="M851" s="264"/>
      <c r="N851" s="264"/>
      <c r="O851" s="264"/>
      <c r="P851" s="264"/>
      <c r="Q851" s="264"/>
      <c r="R851" s="264"/>
      <c r="S851" s="264"/>
      <c r="T851" s="264"/>
      <c r="U851" s="264"/>
      <c r="V851" s="264"/>
      <c r="W851" s="264"/>
      <c r="X851" s="264"/>
      <c r="Y851" s="264"/>
      <c r="Z851" s="264"/>
      <c r="AA851" s="264"/>
    </row>
    <row r="852" spans="1:27" ht="15.75" customHeight="1">
      <c r="A852" s="264"/>
      <c r="B852" s="264"/>
      <c r="C852" s="264"/>
      <c r="D852" s="264"/>
      <c r="E852" s="264"/>
      <c r="F852" s="264"/>
      <c r="G852" s="264"/>
      <c r="H852" s="264"/>
      <c r="I852" s="264"/>
      <c r="J852" s="264"/>
      <c r="K852" s="264"/>
      <c r="L852" s="264"/>
      <c r="M852" s="264"/>
      <c r="N852" s="264"/>
      <c r="O852" s="264"/>
      <c r="P852" s="264"/>
      <c r="Q852" s="264"/>
      <c r="R852" s="264"/>
      <c r="S852" s="264"/>
      <c r="T852" s="264"/>
      <c r="U852" s="264"/>
      <c r="V852" s="264"/>
      <c r="W852" s="264"/>
      <c r="X852" s="264"/>
      <c r="Y852" s="264"/>
      <c r="Z852" s="264"/>
      <c r="AA852" s="264"/>
    </row>
    <row r="853" spans="1:27" ht="15.75" customHeight="1">
      <c r="A853" s="264"/>
      <c r="B853" s="264"/>
      <c r="C853" s="264"/>
      <c r="D853" s="264"/>
      <c r="E853" s="264"/>
      <c r="F853" s="264"/>
      <c r="G853" s="264"/>
      <c r="H853" s="264"/>
      <c r="I853" s="264"/>
      <c r="J853" s="264"/>
      <c r="K853" s="264"/>
      <c r="L853" s="264"/>
      <c r="M853" s="264"/>
      <c r="N853" s="264"/>
      <c r="O853" s="264"/>
      <c r="P853" s="264"/>
      <c r="Q853" s="264"/>
      <c r="R853" s="264"/>
      <c r="S853" s="264"/>
      <c r="T853" s="264"/>
      <c r="U853" s="264"/>
      <c r="V853" s="264"/>
      <c r="W853" s="264"/>
      <c r="X853" s="264"/>
      <c r="Y853" s="264"/>
      <c r="Z853" s="264"/>
      <c r="AA853" s="264"/>
    </row>
    <row r="854" spans="1:27" ht="15.75" customHeight="1">
      <c r="A854" s="264"/>
      <c r="B854" s="264"/>
      <c r="C854" s="264"/>
      <c r="D854" s="264"/>
      <c r="E854" s="264"/>
      <c r="F854" s="264"/>
      <c r="G854" s="264"/>
      <c r="H854" s="264"/>
      <c r="I854" s="264"/>
      <c r="J854" s="264"/>
      <c r="K854" s="264"/>
      <c r="L854" s="264"/>
      <c r="M854" s="264"/>
      <c r="N854" s="264"/>
      <c r="O854" s="264"/>
      <c r="P854" s="264"/>
      <c r="Q854" s="264"/>
      <c r="R854" s="264"/>
      <c r="S854" s="264"/>
      <c r="T854" s="264"/>
      <c r="U854" s="264"/>
      <c r="V854" s="264"/>
      <c r="W854" s="264"/>
      <c r="X854" s="264"/>
      <c r="Y854" s="264"/>
      <c r="Z854" s="264"/>
      <c r="AA854" s="264"/>
    </row>
    <row r="855" spans="1:27" ht="15.75" customHeight="1">
      <c r="A855" s="264"/>
      <c r="B855" s="264"/>
      <c r="C855" s="264"/>
      <c r="D855" s="264"/>
      <c r="E855" s="264"/>
      <c r="F855" s="264"/>
      <c r="G855" s="264"/>
      <c r="H855" s="264"/>
      <c r="I855" s="264"/>
      <c r="J855" s="264"/>
      <c r="K855" s="264"/>
      <c r="L855" s="264"/>
      <c r="M855" s="264"/>
      <c r="N855" s="264"/>
      <c r="O855" s="264"/>
      <c r="P855" s="264"/>
      <c r="Q855" s="264"/>
      <c r="R855" s="264"/>
      <c r="S855" s="264"/>
      <c r="T855" s="264"/>
      <c r="U855" s="264"/>
      <c r="V855" s="264"/>
      <c r="W855" s="264"/>
      <c r="X855" s="264"/>
      <c r="Y855" s="264"/>
      <c r="Z855" s="264"/>
      <c r="AA855" s="264"/>
    </row>
    <row r="856" spans="1:27" ht="15.75" customHeight="1">
      <c r="A856" s="264"/>
      <c r="B856" s="264"/>
      <c r="C856" s="264"/>
      <c r="D856" s="264"/>
      <c r="E856" s="264"/>
      <c r="F856" s="264"/>
      <c r="G856" s="264"/>
      <c r="H856" s="264"/>
      <c r="I856" s="264"/>
      <c r="J856" s="264"/>
      <c r="K856" s="264"/>
      <c r="L856" s="264"/>
      <c r="M856" s="264"/>
      <c r="N856" s="264"/>
      <c r="O856" s="264"/>
      <c r="P856" s="264"/>
      <c r="Q856" s="264"/>
      <c r="R856" s="264"/>
      <c r="S856" s="264"/>
      <c r="T856" s="264"/>
      <c r="U856" s="264"/>
      <c r="V856" s="264"/>
      <c r="W856" s="264"/>
      <c r="X856" s="264"/>
      <c r="Y856" s="264"/>
      <c r="Z856" s="264"/>
      <c r="AA856" s="264"/>
    </row>
    <row r="857" spans="1:27" ht="15.75" customHeight="1">
      <c r="A857" s="264"/>
      <c r="B857" s="264"/>
      <c r="C857" s="264"/>
      <c r="D857" s="264"/>
      <c r="E857" s="264"/>
      <c r="F857" s="264"/>
      <c r="G857" s="264"/>
      <c r="H857" s="264"/>
      <c r="I857" s="264"/>
      <c r="J857" s="264"/>
      <c r="K857" s="264"/>
      <c r="L857" s="264"/>
      <c r="M857" s="264"/>
      <c r="N857" s="264"/>
      <c r="O857" s="264"/>
      <c r="P857" s="264"/>
      <c r="Q857" s="264"/>
      <c r="R857" s="264"/>
      <c r="S857" s="264"/>
      <c r="T857" s="264"/>
      <c r="U857" s="264"/>
      <c r="V857" s="264"/>
      <c r="W857" s="264"/>
      <c r="X857" s="264"/>
      <c r="Y857" s="264"/>
      <c r="Z857" s="264"/>
      <c r="AA857" s="264"/>
    </row>
    <row r="858" spans="1:27" ht="15.75" customHeight="1">
      <c r="A858" s="264"/>
      <c r="B858" s="264"/>
      <c r="C858" s="264"/>
      <c r="D858" s="264"/>
      <c r="E858" s="264"/>
      <c r="F858" s="264"/>
      <c r="G858" s="264"/>
      <c r="H858" s="264"/>
      <c r="I858" s="264"/>
      <c r="J858" s="264"/>
      <c r="K858" s="264"/>
      <c r="L858" s="264"/>
      <c r="M858" s="264"/>
      <c r="N858" s="264"/>
      <c r="O858" s="264"/>
      <c r="P858" s="264"/>
      <c r="Q858" s="264"/>
      <c r="R858" s="264"/>
      <c r="S858" s="264"/>
      <c r="T858" s="264"/>
      <c r="U858" s="264"/>
      <c r="V858" s="264"/>
      <c r="W858" s="264"/>
      <c r="X858" s="264"/>
      <c r="Y858" s="264"/>
      <c r="Z858" s="264"/>
      <c r="AA858" s="264"/>
    </row>
    <row r="859" spans="1:27" ht="15.75" customHeight="1">
      <c r="A859" s="264"/>
      <c r="B859" s="264"/>
      <c r="C859" s="264"/>
      <c r="D859" s="264"/>
      <c r="E859" s="264"/>
      <c r="F859" s="264"/>
      <c r="G859" s="264"/>
      <c r="H859" s="264"/>
      <c r="I859" s="264"/>
      <c r="J859" s="264"/>
      <c r="K859" s="264"/>
      <c r="L859" s="264"/>
      <c r="M859" s="264"/>
      <c r="N859" s="264"/>
      <c r="O859" s="264"/>
      <c r="P859" s="264"/>
      <c r="Q859" s="264"/>
      <c r="R859" s="264"/>
      <c r="S859" s="264"/>
      <c r="T859" s="264"/>
      <c r="U859" s="264"/>
      <c r="V859" s="264"/>
      <c r="W859" s="264"/>
      <c r="X859" s="264"/>
      <c r="Y859" s="264"/>
      <c r="Z859" s="264"/>
      <c r="AA859" s="264"/>
    </row>
    <row r="860" spans="1:27" ht="15.75" customHeight="1">
      <c r="A860" s="264"/>
      <c r="B860" s="264"/>
      <c r="C860" s="264"/>
      <c r="D860" s="264"/>
      <c r="E860" s="264"/>
      <c r="F860" s="264"/>
      <c r="G860" s="264"/>
      <c r="H860" s="264"/>
      <c r="I860" s="264"/>
      <c r="J860" s="264"/>
      <c r="K860" s="264"/>
      <c r="L860" s="264"/>
      <c r="M860" s="264"/>
      <c r="N860" s="264"/>
      <c r="O860" s="264"/>
      <c r="P860" s="264"/>
      <c r="Q860" s="264"/>
      <c r="R860" s="264"/>
      <c r="S860" s="264"/>
      <c r="T860" s="264"/>
      <c r="U860" s="264"/>
      <c r="V860" s="264"/>
      <c r="W860" s="264"/>
      <c r="X860" s="264"/>
      <c r="Y860" s="264"/>
      <c r="Z860" s="264"/>
      <c r="AA860" s="264"/>
    </row>
    <row r="861" spans="1:27" ht="15.75" customHeight="1">
      <c r="A861" s="264"/>
      <c r="B861" s="264"/>
      <c r="C861" s="264"/>
      <c r="D861" s="264"/>
      <c r="E861" s="264"/>
      <c r="F861" s="264"/>
      <c r="G861" s="264"/>
      <c r="H861" s="264"/>
      <c r="I861" s="264"/>
      <c r="J861" s="264"/>
      <c r="K861" s="264"/>
      <c r="L861" s="264"/>
      <c r="M861" s="264"/>
      <c r="N861" s="264"/>
      <c r="O861" s="264"/>
      <c r="P861" s="264"/>
      <c r="Q861" s="264"/>
      <c r="R861" s="264"/>
      <c r="S861" s="264"/>
      <c r="T861" s="264"/>
      <c r="U861" s="264"/>
      <c r="V861" s="264"/>
      <c r="W861" s="264"/>
      <c r="X861" s="264"/>
      <c r="Y861" s="264"/>
      <c r="Z861" s="264"/>
      <c r="AA861" s="264"/>
    </row>
    <row r="862" spans="1:27" ht="15.75" customHeight="1">
      <c r="A862" s="264"/>
      <c r="B862" s="264"/>
      <c r="C862" s="264"/>
      <c r="D862" s="264"/>
      <c r="E862" s="264"/>
      <c r="F862" s="264"/>
      <c r="G862" s="264"/>
      <c r="H862" s="264"/>
      <c r="I862" s="264"/>
      <c r="J862" s="264"/>
      <c r="K862" s="264"/>
      <c r="L862" s="264"/>
      <c r="M862" s="264"/>
      <c r="N862" s="264"/>
      <c r="O862" s="264"/>
      <c r="P862" s="264"/>
      <c r="Q862" s="264"/>
      <c r="R862" s="264"/>
      <c r="S862" s="264"/>
      <c r="T862" s="264"/>
      <c r="U862" s="264"/>
      <c r="V862" s="264"/>
      <c r="W862" s="264"/>
      <c r="X862" s="264"/>
      <c r="Y862" s="264"/>
      <c r="Z862" s="264"/>
      <c r="AA862" s="264"/>
    </row>
    <row r="863" spans="1:27" ht="15.75" customHeight="1">
      <c r="A863" s="264"/>
      <c r="B863" s="264"/>
      <c r="C863" s="264"/>
      <c r="D863" s="264"/>
      <c r="E863" s="264"/>
      <c r="F863" s="264"/>
      <c r="G863" s="264"/>
      <c r="H863" s="264"/>
      <c r="I863" s="264"/>
      <c r="J863" s="264"/>
      <c r="K863" s="264"/>
      <c r="L863" s="264"/>
      <c r="M863" s="264"/>
      <c r="N863" s="264"/>
      <c r="O863" s="264"/>
      <c r="P863" s="264"/>
      <c r="Q863" s="264"/>
      <c r="R863" s="264"/>
      <c r="S863" s="264"/>
      <c r="T863" s="264"/>
      <c r="U863" s="264"/>
      <c r="V863" s="264"/>
      <c r="W863" s="264"/>
      <c r="X863" s="264"/>
      <c r="Y863" s="264"/>
      <c r="Z863" s="264"/>
      <c r="AA863" s="264"/>
    </row>
    <row r="864" spans="1:27" ht="15.75" customHeight="1">
      <c r="A864" s="264"/>
      <c r="B864" s="264"/>
      <c r="C864" s="264"/>
      <c r="D864" s="264"/>
      <c r="E864" s="264"/>
      <c r="F864" s="264"/>
      <c r="G864" s="264"/>
      <c r="H864" s="264"/>
      <c r="I864" s="264"/>
      <c r="J864" s="264"/>
      <c r="K864" s="264"/>
      <c r="L864" s="264"/>
      <c r="M864" s="264"/>
      <c r="N864" s="264"/>
      <c r="O864" s="264"/>
      <c r="P864" s="264"/>
      <c r="Q864" s="264"/>
      <c r="R864" s="264"/>
      <c r="S864" s="264"/>
      <c r="T864" s="264"/>
      <c r="U864" s="264"/>
      <c r="V864" s="264"/>
      <c r="W864" s="264"/>
      <c r="X864" s="264"/>
      <c r="Y864" s="264"/>
      <c r="Z864" s="264"/>
      <c r="AA864" s="264"/>
    </row>
    <row r="865" spans="1:27" ht="15.75" customHeight="1">
      <c r="A865" s="264"/>
      <c r="B865" s="264"/>
      <c r="C865" s="264"/>
      <c r="D865" s="264"/>
      <c r="E865" s="264"/>
      <c r="F865" s="264"/>
      <c r="G865" s="264"/>
      <c r="H865" s="264"/>
      <c r="I865" s="264"/>
      <c r="J865" s="264"/>
      <c r="K865" s="264"/>
      <c r="L865" s="264"/>
      <c r="M865" s="264"/>
      <c r="N865" s="264"/>
      <c r="O865" s="264"/>
      <c r="P865" s="264"/>
      <c r="Q865" s="264"/>
      <c r="R865" s="264"/>
      <c r="S865" s="264"/>
      <c r="T865" s="264"/>
      <c r="U865" s="264"/>
      <c r="V865" s="264"/>
      <c r="W865" s="264"/>
      <c r="X865" s="264"/>
      <c r="Y865" s="264"/>
      <c r="Z865" s="264"/>
      <c r="AA865" s="264"/>
    </row>
    <row r="866" spans="1:27" ht="15.75" customHeight="1">
      <c r="A866" s="264"/>
      <c r="B866" s="264"/>
      <c r="C866" s="264"/>
      <c r="D866" s="264"/>
      <c r="E866" s="264"/>
      <c r="F866" s="264"/>
      <c r="G866" s="264"/>
      <c r="H866" s="264"/>
      <c r="I866" s="264"/>
      <c r="J866" s="264"/>
      <c r="K866" s="264"/>
      <c r="L866" s="264"/>
      <c r="M866" s="264"/>
      <c r="N866" s="264"/>
      <c r="O866" s="264"/>
      <c r="P866" s="264"/>
      <c r="Q866" s="264"/>
      <c r="R866" s="264"/>
      <c r="S866" s="264"/>
      <c r="T866" s="264"/>
      <c r="U866" s="264"/>
      <c r="V866" s="264"/>
      <c r="W866" s="264"/>
      <c r="X866" s="264"/>
      <c r="Y866" s="264"/>
      <c r="Z866" s="264"/>
      <c r="AA866" s="264"/>
    </row>
    <row r="867" spans="1:27" ht="15.75" customHeight="1">
      <c r="A867" s="264"/>
      <c r="B867" s="264"/>
      <c r="C867" s="264"/>
      <c r="D867" s="264"/>
      <c r="E867" s="264"/>
      <c r="F867" s="264"/>
      <c r="G867" s="264"/>
      <c r="H867" s="264"/>
      <c r="I867" s="264"/>
      <c r="J867" s="264"/>
      <c r="K867" s="264"/>
      <c r="L867" s="264"/>
      <c r="M867" s="264"/>
      <c r="N867" s="264"/>
      <c r="O867" s="264"/>
      <c r="P867" s="264"/>
      <c r="Q867" s="264"/>
      <c r="R867" s="264"/>
      <c r="S867" s="264"/>
      <c r="T867" s="264"/>
      <c r="U867" s="264"/>
      <c r="V867" s="264"/>
      <c r="W867" s="264"/>
      <c r="X867" s="264"/>
      <c r="Y867" s="264"/>
      <c r="Z867" s="264"/>
      <c r="AA867" s="264"/>
    </row>
    <row r="868" spans="1:27" ht="15.75" customHeight="1">
      <c r="A868" s="264"/>
      <c r="B868" s="264"/>
      <c r="C868" s="264"/>
      <c r="D868" s="264"/>
      <c r="E868" s="264"/>
      <c r="F868" s="264"/>
      <c r="G868" s="264"/>
      <c r="H868" s="264"/>
      <c r="I868" s="264"/>
      <c r="J868" s="264"/>
      <c r="K868" s="264"/>
      <c r="L868" s="264"/>
      <c r="M868" s="264"/>
      <c r="N868" s="264"/>
      <c r="O868" s="264"/>
      <c r="P868" s="264"/>
      <c r="Q868" s="264"/>
      <c r="R868" s="264"/>
      <c r="S868" s="264"/>
      <c r="T868" s="264"/>
      <c r="U868" s="264"/>
      <c r="V868" s="264"/>
      <c r="W868" s="264"/>
      <c r="X868" s="264"/>
      <c r="Y868" s="264"/>
      <c r="Z868" s="264"/>
      <c r="AA868" s="264"/>
    </row>
    <row r="869" spans="1:27" ht="15.75" customHeight="1">
      <c r="A869" s="264"/>
      <c r="B869" s="264"/>
      <c r="C869" s="264"/>
      <c r="D869" s="264"/>
      <c r="E869" s="264"/>
      <c r="F869" s="264"/>
      <c r="G869" s="264"/>
      <c r="H869" s="264"/>
      <c r="I869" s="264"/>
      <c r="J869" s="264"/>
      <c r="K869" s="264"/>
      <c r="L869" s="264"/>
      <c r="M869" s="264"/>
      <c r="N869" s="264"/>
      <c r="O869" s="264"/>
      <c r="P869" s="264"/>
      <c r="Q869" s="264"/>
      <c r="R869" s="264"/>
      <c r="S869" s="264"/>
      <c r="T869" s="264"/>
      <c r="U869" s="264"/>
      <c r="V869" s="264"/>
      <c r="W869" s="264"/>
      <c r="X869" s="264"/>
      <c r="Y869" s="264"/>
      <c r="Z869" s="264"/>
      <c r="AA869" s="264"/>
    </row>
    <row r="870" spans="1:27" ht="15.75" customHeight="1">
      <c r="A870" s="264"/>
      <c r="B870" s="264"/>
      <c r="C870" s="264"/>
      <c r="D870" s="264"/>
      <c r="E870" s="264"/>
      <c r="F870" s="264"/>
      <c r="G870" s="264"/>
      <c r="H870" s="264"/>
      <c r="I870" s="264"/>
      <c r="J870" s="264"/>
      <c r="K870" s="264"/>
      <c r="L870" s="264"/>
      <c r="M870" s="264"/>
      <c r="N870" s="264"/>
      <c r="O870" s="264"/>
      <c r="P870" s="264"/>
      <c r="Q870" s="264"/>
      <c r="R870" s="264"/>
      <c r="S870" s="264"/>
      <c r="T870" s="264"/>
      <c r="U870" s="264"/>
      <c r="V870" s="264"/>
      <c r="W870" s="264"/>
      <c r="X870" s="264"/>
      <c r="Y870" s="264"/>
      <c r="Z870" s="264"/>
      <c r="AA870" s="264"/>
    </row>
    <row r="871" spans="1:27" ht="15.75" customHeight="1">
      <c r="A871" s="264"/>
      <c r="B871" s="264"/>
      <c r="C871" s="264"/>
      <c r="D871" s="264"/>
      <c r="E871" s="264"/>
      <c r="F871" s="264"/>
      <c r="G871" s="264"/>
      <c r="H871" s="264"/>
      <c r="I871" s="264"/>
      <c r="J871" s="264"/>
      <c r="K871" s="264"/>
      <c r="L871" s="264"/>
      <c r="M871" s="264"/>
      <c r="N871" s="264"/>
      <c r="O871" s="264"/>
      <c r="P871" s="264"/>
      <c r="Q871" s="264"/>
      <c r="R871" s="264"/>
      <c r="S871" s="264"/>
      <c r="T871" s="264"/>
      <c r="U871" s="264"/>
      <c r="V871" s="264"/>
      <c r="W871" s="264"/>
      <c r="X871" s="264"/>
      <c r="Y871" s="264"/>
      <c r="Z871" s="264"/>
      <c r="AA871" s="264"/>
    </row>
    <row r="872" spans="1:27" ht="15.75" customHeight="1">
      <c r="A872" s="264"/>
      <c r="B872" s="264"/>
      <c r="C872" s="264"/>
      <c r="D872" s="264"/>
      <c r="E872" s="264"/>
      <c r="F872" s="264"/>
      <c r="G872" s="264"/>
      <c r="H872" s="264"/>
      <c r="I872" s="264"/>
      <c r="J872" s="264"/>
      <c r="K872" s="264"/>
      <c r="L872" s="264"/>
      <c r="M872" s="264"/>
      <c r="N872" s="264"/>
      <c r="O872" s="264"/>
      <c r="P872" s="264"/>
      <c r="Q872" s="264"/>
      <c r="R872" s="264"/>
      <c r="S872" s="264"/>
      <c r="T872" s="264"/>
      <c r="U872" s="264"/>
      <c r="V872" s="264"/>
      <c r="W872" s="264"/>
      <c r="X872" s="264"/>
      <c r="Y872" s="264"/>
      <c r="Z872" s="264"/>
      <c r="AA872" s="264"/>
    </row>
    <row r="873" spans="1:27" ht="15.75" customHeight="1">
      <c r="A873" s="264"/>
      <c r="B873" s="264"/>
      <c r="C873" s="264"/>
      <c r="D873" s="264"/>
      <c r="E873" s="264"/>
      <c r="F873" s="264"/>
      <c r="G873" s="264"/>
      <c r="H873" s="264"/>
      <c r="I873" s="264"/>
      <c r="J873" s="264"/>
      <c r="K873" s="264"/>
      <c r="L873" s="264"/>
      <c r="M873" s="264"/>
      <c r="N873" s="264"/>
      <c r="O873" s="264"/>
      <c r="P873" s="264"/>
      <c r="Q873" s="264"/>
      <c r="R873" s="264"/>
      <c r="S873" s="264"/>
      <c r="T873" s="264"/>
      <c r="U873" s="264"/>
      <c r="V873" s="264"/>
      <c r="W873" s="264"/>
      <c r="X873" s="264"/>
      <c r="Y873" s="264"/>
      <c r="Z873" s="264"/>
      <c r="AA873" s="264"/>
    </row>
    <row r="874" spans="1:27" ht="15.75" customHeight="1">
      <c r="A874" s="264"/>
      <c r="B874" s="264"/>
      <c r="C874" s="264"/>
      <c r="D874" s="264"/>
      <c r="E874" s="264"/>
      <c r="F874" s="264"/>
      <c r="G874" s="264"/>
      <c r="H874" s="264"/>
      <c r="I874" s="264"/>
      <c r="J874" s="264"/>
      <c r="K874" s="264"/>
      <c r="L874" s="264"/>
      <c r="M874" s="264"/>
      <c r="N874" s="264"/>
      <c r="O874" s="264"/>
      <c r="P874" s="264"/>
      <c r="Q874" s="264"/>
      <c r="R874" s="264"/>
      <c r="S874" s="264"/>
      <c r="T874" s="264"/>
      <c r="U874" s="264"/>
      <c r="V874" s="264"/>
      <c r="W874" s="264"/>
      <c r="X874" s="264"/>
      <c r="Y874" s="264"/>
      <c r="Z874" s="264"/>
      <c r="AA874" s="264"/>
    </row>
    <row r="875" spans="1:27" ht="15.75" customHeight="1">
      <c r="A875" s="264"/>
      <c r="B875" s="264"/>
      <c r="C875" s="264"/>
      <c r="D875" s="264"/>
      <c r="E875" s="264"/>
      <c r="F875" s="264"/>
      <c r="G875" s="264"/>
      <c r="H875" s="264"/>
      <c r="I875" s="264"/>
      <c r="J875" s="264"/>
      <c r="K875" s="264"/>
      <c r="L875" s="264"/>
      <c r="M875" s="264"/>
      <c r="N875" s="264"/>
      <c r="O875" s="264"/>
      <c r="P875" s="264"/>
      <c r="Q875" s="264"/>
      <c r="R875" s="264"/>
      <c r="S875" s="264"/>
      <c r="T875" s="264"/>
      <c r="U875" s="264"/>
      <c r="V875" s="264"/>
      <c r="W875" s="264"/>
      <c r="X875" s="264"/>
      <c r="Y875" s="264"/>
      <c r="Z875" s="264"/>
      <c r="AA875" s="264"/>
    </row>
    <row r="876" spans="1:27" ht="15.75" customHeight="1">
      <c r="A876" s="264"/>
      <c r="B876" s="264"/>
      <c r="C876" s="264"/>
      <c r="D876" s="264"/>
      <c r="E876" s="264"/>
      <c r="F876" s="264"/>
      <c r="G876" s="264"/>
      <c r="H876" s="264"/>
      <c r="I876" s="264"/>
      <c r="J876" s="264"/>
      <c r="K876" s="264"/>
      <c r="L876" s="264"/>
      <c r="M876" s="264"/>
      <c r="N876" s="264"/>
      <c r="O876" s="264"/>
      <c r="P876" s="264"/>
      <c r="Q876" s="264"/>
      <c r="R876" s="264"/>
      <c r="S876" s="264"/>
      <c r="T876" s="264"/>
      <c r="U876" s="264"/>
      <c r="V876" s="264"/>
      <c r="W876" s="264"/>
      <c r="X876" s="264"/>
      <c r="Y876" s="264"/>
      <c r="Z876" s="264"/>
      <c r="AA876" s="264"/>
    </row>
    <row r="877" spans="1:27" ht="15.75" customHeight="1">
      <c r="A877" s="264"/>
      <c r="B877" s="264"/>
      <c r="C877" s="264"/>
      <c r="D877" s="264"/>
      <c r="E877" s="264"/>
      <c r="F877" s="264"/>
      <c r="G877" s="264"/>
      <c r="H877" s="264"/>
      <c r="I877" s="264"/>
      <c r="J877" s="264"/>
      <c r="K877" s="264"/>
      <c r="L877" s="264"/>
      <c r="M877" s="264"/>
      <c r="N877" s="264"/>
      <c r="O877" s="264"/>
      <c r="P877" s="264"/>
      <c r="Q877" s="264"/>
      <c r="R877" s="264"/>
      <c r="S877" s="264"/>
      <c r="T877" s="264"/>
      <c r="U877" s="264"/>
      <c r="V877" s="264"/>
      <c r="W877" s="264"/>
      <c r="X877" s="264"/>
      <c r="Y877" s="264"/>
      <c r="Z877" s="264"/>
      <c r="AA877" s="264"/>
    </row>
    <row r="878" spans="1:27" ht="15.75" customHeight="1">
      <c r="A878" s="264"/>
      <c r="B878" s="264"/>
      <c r="C878" s="264"/>
      <c r="D878" s="264"/>
      <c r="E878" s="264"/>
      <c r="F878" s="264"/>
      <c r="G878" s="264"/>
      <c r="H878" s="264"/>
      <c r="I878" s="264"/>
      <c r="J878" s="264"/>
      <c r="K878" s="264"/>
      <c r="L878" s="264"/>
      <c r="M878" s="264"/>
      <c r="N878" s="264"/>
      <c r="O878" s="264"/>
      <c r="P878" s="264"/>
      <c r="Q878" s="264"/>
      <c r="R878" s="264"/>
      <c r="S878" s="264"/>
      <c r="T878" s="264"/>
      <c r="U878" s="264"/>
      <c r="V878" s="264"/>
      <c r="W878" s="264"/>
      <c r="X878" s="264"/>
      <c r="Y878" s="264"/>
      <c r="Z878" s="264"/>
      <c r="AA878" s="264"/>
    </row>
    <row r="879" spans="1:27" ht="15.75" customHeight="1">
      <c r="A879" s="264"/>
      <c r="B879" s="264"/>
      <c r="C879" s="264"/>
      <c r="D879" s="264"/>
      <c r="E879" s="264"/>
      <c r="F879" s="264"/>
      <c r="G879" s="264"/>
      <c r="H879" s="264"/>
      <c r="I879" s="264"/>
      <c r="J879" s="264"/>
      <c r="K879" s="264"/>
      <c r="L879" s="264"/>
      <c r="M879" s="264"/>
      <c r="N879" s="264"/>
      <c r="O879" s="264"/>
      <c r="P879" s="264"/>
      <c r="Q879" s="264"/>
      <c r="R879" s="264"/>
      <c r="S879" s="264"/>
      <c r="T879" s="264"/>
      <c r="U879" s="264"/>
      <c r="V879" s="264"/>
      <c r="W879" s="264"/>
      <c r="X879" s="264"/>
      <c r="Y879" s="264"/>
      <c r="Z879" s="264"/>
      <c r="AA879" s="264"/>
    </row>
    <row r="880" spans="1:27" ht="15.75" customHeight="1">
      <c r="A880" s="264"/>
      <c r="B880" s="264"/>
      <c r="C880" s="264"/>
      <c r="D880" s="264"/>
      <c r="E880" s="264"/>
      <c r="F880" s="264"/>
      <c r="G880" s="264"/>
      <c r="H880" s="264"/>
      <c r="I880" s="264"/>
      <c r="J880" s="264"/>
      <c r="K880" s="264"/>
      <c r="L880" s="264"/>
      <c r="M880" s="264"/>
      <c r="N880" s="264"/>
      <c r="O880" s="264"/>
      <c r="P880" s="264"/>
      <c r="Q880" s="264"/>
      <c r="R880" s="264"/>
      <c r="S880" s="264"/>
      <c r="T880" s="264"/>
      <c r="U880" s="264"/>
      <c r="V880" s="264"/>
      <c r="W880" s="264"/>
      <c r="X880" s="264"/>
      <c r="Y880" s="264"/>
      <c r="Z880" s="264"/>
      <c r="AA880" s="264"/>
    </row>
    <row r="881" spans="1:27" ht="15.75" customHeight="1">
      <c r="A881" s="264"/>
      <c r="B881" s="264"/>
      <c r="C881" s="264"/>
      <c r="D881" s="264"/>
      <c r="E881" s="264"/>
      <c r="F881" s="264"/>
      <c r="G881" s="264"/>
      <c r="H881" s="264"/>
      <c r="I881" s="264"/>
      <c r="J881" s="264"/>
      <c r="K881" s="264"/>
      <c r="L881" s="264"/>
      <c r="M881" s="264"/>
      <c r="N881" s="264"/>
      <c r="O881" s="264"/>
      <c r="P881" s="264"/>
      <c r="Q881" s="264"/>
      <c r="R881" s="264"/>
      <c r="S881" s="264"/>
      <c r="T881" s="264"/>
      <c r="U881" s="264"/>
      <c r="V881" s="264"/>
      <c r="W881" s="264"/>
      <c r="X881" s="264"/>
      <c r="Y881" s="264"/>
      <c r="Z881" s="264"/>
      <c r="AA881" s="264"/>
    </row>
    <row r="882" spans="1:27" ht="15.75" customHeight="1">
      <c r="A882" s="264"/>
      <c r="B882" s="264"/>
      <c r="C882" s="264"/>
      <c r="D882" s="264"/>
      <c r="E882" s="264"/>
      <c r="F882" s="264"/>
      <c r="G882" s="264"/>
      <c r="H882" s="264"/>
      <c r="I882" s="264"/>
      <c r="J882" s="264"/>
      <c r="K882" s="264"/>
      <c r="L882" s="264"/>
      <c r="M882" s="264"/>
      <c r="N882" s="264"/>
      <c r="O882" s="264"/>
      <c r="P882" s="264"/>
      <c r="Q882" s="264"/>
      <c r="R882" s="264"/>
      <c r="S882" s="264"/>
      <c r="T882" s="264"/>
      <c r="U882" s="264"/>
      <c r="V882" s="264"/>
      <c r="W882" s="264"/>
      <c r="X882" s="264"/>
      <c r="Y882" s="264"/>
      <c r="Z882" s="264"/>
      <c r="AA882" s="264"/>
    </row>
    <row r="883" spans="1:27" ht="15.75" customHeight="1">
      <c r="A883" s="264"/>
      <c r="B883" s="264"/>
      <c r="C883" s="264"/>
      <c r="D883" s="264"/>
      <c r="E883" s="264"/>
      <c r="F883" s="264"/>
      <c r="G883" s="264"/>
      <c r="H883" s="264"/>
      <c r="I883" s="264"/>
      <c r="J883" s="264"/>
      <c r="K883" s="264"/>
      <c r="L883" s="264"/>
      <c r="M883" s="264"/>
      <c r="N883" s="264"/>
      <c r="O883" s="264"/>
      <c r="P883" s="264"/>
      <c r="Q883" s="264"/>
      <c r="R883" s="264"/>
      <c r="S883" s="264"/>
      <c r="T883" s="264"/>
      <c r="U883" s="264"/>
      <c r="V883" s="264"/>
      <c r="W883" s="264"/>
      <c r="X883" s="264"/>
      <c r="Y883" s="264"/>
      <c r="Z883" s="264"/>
      <c r="AA883" s="264"/>
    </row>
    <row r="884" spans="1:27" ht="15.75" customHeight="1">
      <c r="A884" s="264"/>
      <c r="B884" s="264"/>
      <c r="C884" s="264"/>
      <c r="D884" s="264"/>
      <c r="E884" s="264"/>
      <c r="F884" s="264"/>
      <c r="G884" s="264"/>
      <c r="H884" s="264"/>
      <c r="I884" s="264"/>
      <c r="J884" s="264"/>
      <c r="K884" s="264"/>
      <c r="L884" s="264"/>
      <c r="M884" s="264"/>
      <c r="N884" s="264"/>
      <c r="O884" s="264"/>
      <c r="P884" s="264"/>
      <c r="Q884" s="264"/>
      <c r="R884" s="264"/>
      <c r="S884" s="264"/>
      <c r="T884" s="264"/>
      <c r="U884" s="264"/>
      <c r="V884" s="264"/>
      <c r="W884" s="264"/>
      <c r="X884" s="264"/>
      <c r="Y884" s="264"/>
      <c r="Z884" s="264"/>
      <c r="AA884" s="264"/>
    </row>
    <row r="885" spans="1:27" ht="15.75" customHeight="1">
      <c r="A885" s="264"/>
      <c r="B885" s="264"/>
      <c r="C885" s="264"/>
      <c r="D885" s="264"/>
      <c r="E885" s="264"/>
      <c r="F885" s="264"/>
      <c r="G885" s="264"/>
      <c r="H885" s="264"/>
      <c r="I885" s="264"/>
      <c r="J885" s="264"/>
      <c r="K885" s="264"/>
      <c r="L885" s="264"/>
      <c r="M885" s="264"/>
      <c r="N885" s="264"/>
      <c r="O885" s="264"/>
      <c r="P885" s="264"/>
      <c r="Q885" s="264"/>
      <c r="R885" s="264"/>
      <c r="S885" s="264"/>
      <c r="T885" s="264"/>
      <c r="U885" s="264"/>
      <c r="V885" s="264"/>
      <c r="W885" s="264"/>
      <c r="X885" s="264"/>
      <c r="Y885" s="264"/>
      <c r="Z885" s="264"/>
      <c r="AA885" s="264"/>
    </row>
    <row r="886" spans="1:27" ht="15.75" customHeight="1">
      <c r="A886" s="264"/>
      <c r="B886" s="264"/>
      <c r="C886" s="264"/>
      <c r="D886" s="264"/>
      <c r="E886" s="264"/>
      <c r="F886" s="264"/>
      <c r="G886" s="264"/>
      <c r="H886" s="264"/>
      <c r="I886" s="264"/>
      <c r="J886" s="264"/>
      <c r="K886" s="264"/>
      <c r="L886" s="264"/>
      <c r="M886" s="264"/>
      <c r="N886" s="264"/>
      <c r="O886" s="264"/>
      <c r="P886" s="264"/>
      <c r="Q886" s="264"/>
      <c r="R886" s="264"/>
      <c r="S886" s="264"/>
      <c r="T886" s="264"/>
      <c r="U886" s="264"/>
      <c r="V886" s="264"/>
      <c r="W886" s="264"/>
      <c r="X886" s="264"/>
      <c r="Y886" s="264"/>
      <c r="Z886" s="264"/>
      <c r="AA886" s="264"/>
    </row>
    <row r="887" spans="1:27" ht="15.75" customHeight="1">
      <c r="A887" s="264"/>
      <c r="B887" s="264"/>
      <c r="C887" s="264"/>
      <c r="D887" s="264"/>
      <c r="E887" s="264"/>
      <c r="F887" s="264"/>
      <c r="G887" s="264"/>
      <c r="H887" s="264"/>
      <c r="I887" s="264"/>
      <c r="J887" s="264"/>
      <c r="K887" s="264"/>
      <c r="L887" s="264"/>
      <c r="M887" s="264"/>
      <c r="N887" s="264"/>
      <c r="O887" s="264"/>
      <c r="P887" s="264"/>
      <c r="Q887" s="264"/>
      <c r="R887" s="264"/>
      <c r="S887" s="264"/>
      <c r="T887" s="264"/>
      <c r="U887" s="264"/>
      <c r="V887" s="264"/>
      <c r="W887" s="264"/>
      <c r="X887" s="264"/>
      <c r="Y887" s="264"/>
      <c r="Z887" s="264"/>
      <c r="AA887" s="264"/>
    </row>
    <row r="888" spans="1:27" ht="15.75" customHeight="1">
      <c r="A888" s="264"/>
      <c r="B888" s="264"/>
      <c r="C888" s="264"/>
      <c r="D888" s="264"/>
      <c r="E888" s="264"/>
      <c r="F888" s="264"/>
      <c r="G888" s="264"/>
      <c r="H888" s="264"/>
      <c r="I888" s="264"/>
      <c r="J888" s="264"/>
      <c r="K888" s="264"/>
      <c r="L888" s="264"/>
      <c r="M888" s="264"/>
      <c r="N888" s="264"/>
      <c r="O888" s="264"/>
      <c r="P888" s="264"/>
      <c r="Q888" s="264"/>
      <c r="R888" s="264"/>
      <c r="S888" s="264"/>
      <c r="T888" s="264"/>
      <c r="U888" s="264"/>
      <c r="V888" s="264"/>
      <c r="W888" s="264"/>
      <c r="X888" s="264"/>
      <c r="Y888" s="264"/>
      <c r="Z888" s="264"/>
      <c r="AA888" s="264"/>
    </row>
    <row r="889" spans="1:27" ht="15.75" customHeight="1">
      <c r="A889" s="264"/>
      <c r="B889" s="264"/>
      <c r="C889" s="264"/>
      <c r="D889" s="264"/>
      <c r="E889" s="264"/>
      <c r="F889" s="264"/>
      <c r="G889" s="264"/>
      <c r="H889" s="264"/>
      <c r="I889" s="264"/>
      <c r="J889" s="264"/>
      <c r="K889" s="264"/>
      <c r="L889" s="264"/>
      <c r="M889" s="264"/>
      <c r="N889" s="264"/>
      <c r="O889" s="264"/>
      <c r="P889" s="264"/>
      <c r="Q889" s="264"/>
      <c r="R889" s="264"/>
      <c r="S889" s="264"/>
      <c r="T889" s="264"/>
      <c r="U889" s="264"/>
      <c r="V889" s="264"/>
      <c r="W889" s="264"/>
      <c r="X889" s="264"/>
      <c r="Y889" s="264"/>
      <c r="Z889" s="264"/>
      <c r="AA889" s="264"/>
    </row>
    <row r="890" spans="1:27" ht="15.75" customHeight="1">
      <c r="A890" s="264"/>
      <c r="B890" s="264"/>
      <c r="C890" s="264"/>
      <c r="D890" s="264"/>
      <c r="E890" s="264"/>
      <c r="F890" s="264"/>
      <c r="G890" s="264"/>
      <c r="H890" s="264"/>
      <c r="I890" s="264"/>
      <c r="J890" s="264"/>
      <c r="K890" s="264"/>
      <c r="L890" s="264"/>
      <c r="M890" s="264"/>
      <c r="N890" s="264"/>
      <c r="O890" s="264"/>
      <c r="P890" s="264"/>
      <c r="Q890" s="264"/>
      <c r="R890" s="264"/>
      <c r="S890" s="264"/>
      <c r="T890" s="264"/>
      <c r="U890" s="264"/>
      <c r="V890" s="264"/>
      <c r="W890" s="264"/>
      <c r="X890" s="264"/>
      <c r="Y890" s="264"/>
      <c r="Z890" s="264"/>
      <c r="AA890" s="264"/>
    </row>
    <row r="891" spans="1:27" ht="15.75" customHeight="1">
      <c r="A891" s="264"/>
      <c r="B891" s="264"/>
      <c r="C891" s="264"/>
      <c r="D891" s="264"/>
      <c r="E891" s="264"/>
      <c r="F891" s="264"/>
      <c r="G891" s="264"/>
      <c r="H891" s="264"/>
      <c r="I891" s="264"/>
      <c r="J891" s="264"/>
      <c r="K891" s="264"/>
      <c r="L891" s="264"/>
      <c r="M891" s="264"/>
      <c r="N891" s="264"/>
      <c r="O891" s="264"/>
      <c r="P891" s="264"/>
      <c r="Q891" s="264"/>
      <c r="R891" s="264"/>
      <c r="S891" s="264"/>
      <c r="T891" s="264"/>
      <c r="U891" s="264"/>
      <c r="V891" s="264"/>
      <c r="W891" s="264"/>
      <c r="X891" s="264"/>
      <c r="Y891" s="264"/>
      <c r="Z891" s="264"/>
      <c r="AA891" s="264"/>
    </row>
    <row r="892" spans="1:27" ht="15.75" customHeight="1">
      <c r="A892" s="264"/>
      <c r="B892" s="264"/>
      <c r="C892" s="264"/>
      <c r="D892" s="264"/>
      <c r="E892" s="264"/>
      <c r="F892" s="264"/>
      <c r="G892" s="264"/>
      <c r="H892" s="264"/>
      <c r="I892" s="264"/>
      <c r="J892" s="264"/>
      <c r="K892" s="264"/>
      <c r="L892" s="264"/>
      <c r="M892" s="264"/>
      <c r="N892" s="264"/>
      <c r="O892" s="264"/>
      <c r="P892" s="264"/>
      <c r="Q892" s="264"/>
      <c r="R892" s="264"/>
      <c r="S892" s="264"/>
      <c r="T892" s="264"/>
      <c r="U892" s="264"/>
      <c r="V892" s="264"/>
      <c r="W892" s="264"/>
      <c r="X892" s="264"/>
      <c r="Y892" s="264"/>
      <c r="Z892" s="264"/>
      <c r="AA892" s="264"/>
    </row>
    <row r="893" spans="1:27" ht="15.75" customHeight="1">
      <c r="A893" s="264"/>
      <c r="B893" s="264"/>
      <c r="C893" s="264"/>
      <c r="D893" s="264"/>
      <c r="E893" s="264"/>
      <c r="F893" s="264"/>
      <c r="G893" s="264"/>
      <c r="H893" s="264"/>
      <c r="I893" s="264"/>
      <c r="J893" s="264"/>
      <c r="K893" s="264"/>
      <c r="L893" s="264"/>
      <c r="M893" s="264"/>
      <c r="N893" s="264"/>
      <c r="O893" s="264"/>
      <c r="P893" s="264"/>
      <c r="Q893" s="264"/>
      <c r="R893" s="264"/>
      <c r="S893" s="264"/>
      <c r="T893" s="264"/>
      <c r="U893" s="264"/>
      <c r="V893" s="264"/>
      <c r="W893" s="264"/>
      <c r="X893" s="264"/>
      <c r="Y893" s="264"/>
      <c r="Z893" s="264"/>
      <c r="AA893" s="264"/>
    </row>
    <row r="894" spans="1:27" ht="15.75" customHeight="1">
      <c r="A894" s="264"/>
      <c r="B894" s="264"/>
      <c r="C894" s="264"/>
      <c r="D894" s="264"/>
      <c r="E894" s="264"/>
      <c r="F894" s="264"/>
      <c r="G894" s="264"/>
      <c r="H894" s="264"/>
      <c r="I894" s="264"/>
      <c r="J894" s="264"/>
      <c r="K894" s="264"/>
      <c r="L894" s="264"/>
      <c r="M894" s="264"/>
      <c r="N894" s="264"/>
      <c r="O894" s="264"/>
      <c r="P894" s="264"/>
      <c r="Q894" s="264"/>
      <c r="R894" s="264"/>
      <c r="S894" s="264"/>
      <c r="T894" s="264"/>
      <c r="U894" s="264"/>
      <c r="V894" s="264"/>
      <c r="W894" s="264"/>
      <c r="X894" s="264"/>
      <c r="Y894" s="264"/>
      <c r="Z894" s="264"/>
      <c r="AA894" s="264"/>
    </row>
    <row r="895" spans="1:27" ht="15.75" customHeight="1">
      <c r="A895" s="264"/>
      <c r="B895" s="264"/>
      <c r="C895" s="264"/>
      <c r="D895" s="264"/>
      <c r="E895" s="264"/>
      <c r="F895" s="264"/>
      <c r="G895" s="264"/>
      <c r="H895" s="264"/>
      <c r="I895" s="264"/>
      <c r="J895" s="264"/>
      <c r="K895" s="264"/>
      <c r="L895" s="264"/>
      <c r="M895" s="264"/>
      <c r="N895" s="264"/>
      <c r="O895" s="264"/>
      <c r="P895" s="264"/>
      <c r="Q895" s="264"/>
      <c r="R895" s="264"/>
      <c r="S895" s="264"/>
      <c r="T895" s="264"/>
      <c r="U895" s="264"/>
      <c r="V895" s="264"/>
      <c r="W895" s="264"/>
      <c r="X895" s="264"/>
      <c r="Y895" s="264"/>
      <c r="Z895" s="264"/>
      <c r="AA895" s="264"/>
    </row>
    <row r="896" spans="1:27" ht="15.75" customHeight="1">
      <c r="A896" s="264"/>
      <c r="B896" s="264"/>
      <c r="C896" s="264"/>
      <c r="D896" s="264"/>
      <c r="E896" s="264"/>
      <c r="F896" s="264"/>
      <c r="G896" s="264"/>
      <c r="H896" s="264"/>
      <c r="I896" s="264"/>
      <c r="J896" s="264"/>
      <c r="K896" s="264"/>
      <c r="L896" s="264"/>
      <c r="M896" s="264"/>
      <c r="N896" s="264"/>
      <c r="O896" s="264"/>
      <c r="P896" s="264"/>
      <c r="Q896" s="264"/>
      <c r="R896" s="264"/>
      <c r="S896" s="264"/>
      <c r="T896" s="264"/>
      <c r="U896" s="264"/>
      <c r="V896" s="264"/>
      <c r="W896" s="264"/>
      <c r="X896" s="264"/>
      <c r="Y896" s="264"/>
      <c r="Z896" s="264"/>
      <c r="AA896" s="264"/>
    </row>
    <row r="897" spans="1:27" ht="15.75" customHeight="1">
      <c r="A897" s="264"/>
      <c r="B897" s="264"/>
      <c r="C897" s="264"/>
      <c r="D897" s="264"/>
      <c r="E897" s="264"/>
      <c r="F897" s="264"/>
      <c r="G897" s="264"/>
      <c r="H897" s="264"/>
      <c r="I897" s="264"/>
      <c r="J897" s="264"/>
      <c r="K897" s="264"/>
      <c r="L897" s="264"/>
      <c r="M897" s="264"/>
      <c r="N897" s="264"/>
      <c r="O897" s="264"/>
      <c r="P897" s="264"/>
      <c r="Q897" s="264"/>
      <c r="R897" s="264"/>
      <c r="S897" s="264"/>
      <c r="T897" s="264"/>
      <c r="U897" s="264"/>
      <c r="V897" s="264"/>
      <c r="W897" s="264"/>
      <c r="X897" s="264"/>
      <c r="Y897" s="264"/>
      <c r="Z897" s="264"/>
      <c r="AA897" s="264"/>
    </row>
    <row r="898" spans="1:27" ht="15.75" customHeight="1">
      <c r="A898" s="264"/>
      <c r="B898" s="264"/>
      <c r="C898" s="264"/>
      <c r="D898" s="264"/>
      <c r="E898" s="264"/>
      <c r="F898" s="264"/>
      <c r="G898" s="264"/>
      <c r="H898" s="264"/>
      <c r="I898" s="264"/>
      <c r="J898" s="264"/>
      <c r="K898" s="264"/>
      <c r="L898" s="264"/>
      <c r="M898" s="264"/>
      <c r="N898" s="264"/>
      <c r="O898" s="264"/>
      <c r="P898" s="264"/>
      <c r="Q898" s="264"/>
      <c r="R898" s="264"/>
      <c r="S898" s="264"/>
      <c r="T898" s="264"/>
      <c r="U898" s="264"/>
      <c r="V898" s="264"/>
      <c r="W898" s="264"/>
      <c r="X898" s="264"/>
      <c r="Y898" s="264"/>
      <c r="Z898" s="264"/>
      <c r="AA898" s="264"/>
    </row>
    <row r="899" spans="1:27" ht="15.75" customHeight="1">
      <c r="A899" s="264"/>
      <c r="B899" s="264"/>
      <c r="C899" s="264"/>
      <c r="D899" s="264"/>
      <c r="E899" s="264"/>
      <c r="F899" s="264"/>
      <c r="G899" s="264"/>
      <c r="H899" s="264"/>
      <c r="I899" s="264"/>
      <c r="J899" s="264"/>
      <c r="K899" s="264"/>
      <c r="L899" s="264"/>
      <c r="M899" s="264"/>
      <c r="N899" s="264"/>
      <c r="O899" s="264"/>
      <c r="P899" s="264"/>
      <c r="Q899" s="264"/>
      <c r="R899" s="264"/>
      <c r="S899" s="264"/>
      <c r="T899" s="264"/>
      <c r="U899" s="264"/>
      <c r="V899" s="264"/>
      <c r="W899" s="264"/>
      <c r="X899" s="264"/>
      <c r="Y899" s="264"/>
      <c r="Z899" s="264"/>
      <c r="AA899" s="264"/>
    </row>
    <row r="900" spans="1:27" ht="15.75" customHeight="1">
      <c r="A900" s="264"/>
      <c r="B900" s="264"/>
      <c r="C900" s="264"/>
      <c r="D900" s="264"/>
      <c r="E900" s="264"/>
      <c r="F900" s="264"/>
      <c r="G900" s="264"/>
      <c r="H900" s="264"/>
      <c r="I900" s="264"/>
      <c r="J900" s="264"/>
      <c r="K900" s="264"/>
      <c r="L900" s="264"/>
      <c r="M900" s="264"/>
      <c r="N900" s="264"/>
      <c r="O900" s="264"/>
      <c r="P900" s="264"/>
      <c r="Q900" s="264"/>
      <c r="R900" s="264"/>
      <c r="S900" s="264"/>
      <c r="T900" s="264"/>
      <c r="U900" s="264"/>
      <c r="V900" s="264"/>
      <c r="W900" s="264"/>
      <c r="X900" s="264"/>
      <c r="Y900" s="264"/>
      <c r="Z900" s="264"/>
      <c r="AA900" s="264"/>
    </row>
    <row r="901" spans="1:27" ht="15.75" customHeight="1">
      <c r="A901" s="264"/>
      <c r="B901" s="264"/>
      <c r="C901" s="264"/>
      <c r="D901" s="264"/>
      <c r="E901" s="264"/>
      <c r="F901" s="264"/>
      <c r="G901" s="264"/>
      <c r="H901" s="264"/>
      <c r="I901" s="264"/>
      <c r="J901" s="264"/>
      <c r="K901" s="264"/>
      <c r="L901" s="264"/>
      <c r="M901" s="264"/>
      <c r="N901" s="264"/>
      <c r="O901" s="264"/>
      <c r="P901" s="264"/>
      <c r="Q901" s="264"/>
      <c r="R901" s="264"/>
      <c r="S901" s="264"/>
      <c r="T901" s="264"/>
      <c r="U901" s="264"/>
      <c r="V901" s="264"/>
      <c r="W901" s="264"/>
      <c r="X901" s="264"/>
      <c r="Y901" s="264"/>
      <c r="Z901" s="264"/>
      <c r="AA901" s="264"/>
    </row>
    <row r="902" spans="1:27" ht="15.75" customHeight="1">
      <c r="A902" s="264"/>
      <c r="B902" s="264"/>
      <c r="C902" s="264"/>
      <c r="D902" s="264"/>
      <c r="E902" s="264"/>
      <c r="F902" s="264"/>
      <c r="G902" s="264"/>
      <c r="H902" s="264"/>
      <c r="I902" s="264"/>
      <c r="J902" s="264"/>
      <c r="K902" s="264"/>
      <c r="L902" s="264"/>
      <c r="M902" s="264"/>
      <c r="N902" s="264"/>
      <c r="O902" s="264"/>
      <c r="P902" s="264"/>
      <c r="Q902" s="264"/>
      <c r="R902" s="264"/>
      <c r="S902" s="264"/>
      <c r="T902" s="264"/>
      <c r="U902" s="264"/>
      <c r="V902" s="264"/>
      <c r="W902" s="264"/>
      <c r="X902" s="264"/>
      <c r="Y902" s="264"/>
      <c r="Z902" s="264"/>
      <c r="AA902" s="264"/>
    </row>
    <row r="903" spans="1:27" ht="15.75" customHeight="1">
      <c r="A903" s="264"/>
      <c r="B903" s="264"/>
      <c r="C903" s="264"/>
      <c r="D903" s="264"/>
      <c r="E903" s="264"/>
      <c r="F903" s="264"/>
      <c r="G903" s="264"/>
      <c r="H903" s="264"/>
      <c r="I903" s="264"/>
      <c r="J903" s="264"/>
      <c r="K903" s="264"/>
      <c r="L903" s="264"/>
      <c r="M903" s="264"/>
      <c r="N903" s="264"/>
      <c r="O903" s="264"/>
      <c r="P903" s="264"/>
      <c r="Q903" s="264"/>
      <c r="R903" s="264"/>
      <c r="S903" s="264"/>
      <c r="T903" s="264"/>
      <c r="U903" s="264"/>
      <c r="V903" s="264"/>
      <c r="W903" s="264"/>
      <c r="X903" s="264"/>
      <c r="Y903" s="264"/>
      <c r="Z903" s="264"/>
      <c r="AA903" s="264"/>
    </row>
    <row r="904" spans="1:27" ht="15.75" customHeight="1">
      <c r="A904" s="264"/>
      <c r="B904" s="264"/>
      <c r="C904" s="264"/>
      <c r="D904" s="264"/>
      <c r="E904" s="264"/>
      <c r="F904" s="264"/>
      <c r="G904" s="264"/>
      <c r="H904" s="264"/>
      <c r="I904" s="264"/>
      <c r="J904" s="264"/>
      <c r="K904" s="264"/>
      <c r="L904" s="264"/>
      <c r="M904" s="264"/>
      <c r="N904" s="264"/>
      <c r="O904" s="264"/>
      <c r="P904" s="264"/>
      <c r="Q904" s="264"/>
      <c r="R904" s="264"/>
      <c r="S904" s="264"/>
      <c r="T904" s="264"/>
      <c r="U904" s="264"/>
      <c r="V904" s="264"/>
      <c r="W904" s="264"/>
      <c r="X904" s="264"/>
      <c r="Y904" s="264"/>
      <c r="Z904" s="264"/>
      <c r="AA904" s="264"/>
    </row>
    <row r="905" spans="1:27" ht="15.75" customHeight="1">
      <c r="A905" s="264"/>
      <c r="B905" s="264"/>
      <c r="C905" s="264"/>
      <c r="D905" s="264"/>
      <c r="E905" s="264"/>
      <c r="F905" s="264"/>
      <c r="G905" s="264"/>
      <c r="H905" s="264"/>
      <c r="I905" s="264"/>
      <c r="J905" s="264"/>
      <c r="K905" s="264"/>
      <c r="L905" s="264"/>
      <c r="M905" s="264"/>
      <c r="N905" s="264"/>
      <c r="O905" s="264"/>
      <c r="P905" s="264"/>
      <c r="Q905" s="264"/>
      <c r="R905" s="264"/>
      <c r="S905" s="264"/>
      <c r="T905" s="264"/>
      <c r="U905" s="264"/>
      <c r="V905" s="264"/>
      <c r="W905" s="264"/>
      <c r="X905" s="264"/>
      <c r="Y905" s="264"/>
      <c r="Z905" s="264"/>
      <c r="AA905" s="264"/>
    </row>
    <row r="906" spans="1:27" ht="15.75" customHeight="1">
      <c r="A906" s="264"/>
      <c r="B906" s="264"/>
      <c r="C906" s="264"/>
      <c r="D906" s="264"/>
      <c r="E906" s="264"/>
      <c r="F906" s="264"/>
      <c r="G906" s="264"/>
      <c r="H906" s="264"/>
      <c r="I906" s="264"/>
      <c r="J906" s="264"/>
      <c r="K906" s="264"/>
      <c r="L906" s="264"/>
      <c r="M906" s="264"/>
      <c r="N906" s="264"/>
      <c r="O906" s="264"/>
      <c r="P906" s="264"/>
      <c r="Q906" s="264"/>
      <c r="R906" s="264"/>
      <c r="S906" s="264"/>
      <c r="T906" s="264"/>
      <c r="U906" s="264"/>
      <c r="V906" s="264"/>
      <c r="W906" s="264"/>
      <c r="X906" s="264"/>
      <c r="Y906" s="264"/>
      <c r="Z906" s="264"/>
      <c r="AA906" s="264"/>
    </row>
    <row r="907" spans="1:27" ht="15.75" customHeight="1">
      <c r="A907" s="264"/>
      <c r="B907" s="264"/>
      <c r="C907" s="264"/>
      <c r="D907" s="264"/>
      <c r="E907" s="264"/>
      <c r="F907" s="264"/>
      <c r="G907" s="264"/>
      <c r="H907" s="264"/>
      <c r="I907" s="264"/>
      <c r="J907" s="264"/>
      <c r="K907" s="264"/>
      <c r="L907" s="264"/>
      <c r="M907" s="264"/>
      <c r="N907" s="264"/>
      <c r="O907" s="264"/>
      <c r="P907" s="264"/>
      <c r="Q907" s="264"/>
      <c r="R907" s="264"/>
      <c r="S907" s="264"/>
      <c r="T907" s="264"/>
      <c r="U907" s="264"/>
      <c r="V907" s="264"/>
      <c r="W907" s="264"/>
      <c r="X907" s="264"/>
      <c r="Y907" s="264"/>
      <c r="Z907" s="264"/>
      <c r="AA907" s="264"/>
    </row>
    <row r="908" spans="1:27" ht="15.75" customHeight="1">
      <c r="A908" s="264"/>
      <c r="B908" s="264"/>
      <c r="C908" s="264"/>
      <c r="D908" s="264"/>
      <c r="E908" s="264"/>
      <c r="F908" s="264"/>
      <c r="G908" s="264"/>
      <c r="H908" s="264"/>
      <c r="I908" s="264"/>
      <c r="J908" s="264"/>
      <c r="K908" s="264"/>
      <c r="L908" s="264"/>
      <c r="M908" s="264"/>
      <c r="N908" s="264"/>
      <c r="O908" s="264"/>
      <c r="P908" s="264"/>
      <c r="Q908" s="264"/>
      <c r="R908" s="264"/>
      <c r="S908" s="264"/>
      <c r="T908" s="264"/>
      <c r="U908" s="264"/>
      <c r="V908" s="264"/>
      <c r="W908" s="264"/>
      <c r="X908" s="264"/>
      <c r="Y908" s="264"/>
      <c r="Z908" s="264"/>
      <c r="AA908" s="264"/>
    </row>
    <row r="909" spans="1:27" ht="15.75" customHeight="1">
      <c r="A909" s="264"/>
      <c r="B909" s="264"/>
      <c r="C909" s="264"/>
      <c r="D909" s="264"/>
      <c r="E909" s="264"/>
      <c r="F909" s="264"/>
      <c r="G909" s="264"/>
      <c r="H909" s="264"/>
      <c r="I909" s="264"/>
      <c r="J909" s="264"/>
      <c r="K909" s="264"/>
      <c r="L909" s="264"/>
      <c r="M909" s="264"/>
      <c r="N909" s="264"/>
      <c r="O909" s="264"/>
      <c r="P909" s="264"/>
      <c r="Q909" s="264"/>
      <c r="R909" s="264"/>
      <c r="S909" s="264"/>
      <c r="T909" s="264"/>
      <c r="U909" s="264"/>
      <c r="V909" s="264"/>
      <c r="W909" s="264"/>
      <c r="X909" s="264"/>
      <c r="Y909" s="264"/>
      <c r="Z909" s="264"/>
      <c r="AA909" s="264"/>
    </row>
    <row r="910" spans="1:27" ht="15.75" customHeight="1">
      <c r="A910" s="264"/>
      <c r="B910" s="264"/>
      <c r="C910" s="264"/>
      <c r="D910" s="264"/>
      <c r="E910" s="264"/>
      <c r="F910" s="264"/>
      <c r="G910" s="264"/>
      <c r="H910" s="264"/>
      <c r="I910" s="264"/>
      <c r="J910" s="264"/>
      <c r="K910" s="264"/>
      <c r="L910" s="264"/>
      <c r="M910" s="264"/>
      <c r="N910" s="264"/>
      <c r="O910" s="264"/>
      <c r="P910" s="264"/>
      <c r="Q910" s="264"/>
      <c r="R910" s="264"/>
      <c r="S910" s="264"/>
      <c r="T910" s="264"/>
      <c r="U910" s="264"/>
      <c r="V910" s="264"/>
      <c r="W910" s="264"/>
      <c r="X910" s="264"/>
      <c r="Y910" s="264"/>
      <c r="Z910" s="264"/>
      <c r="AA910" s="264"/>
    </row>
    <row r="911" spans="1:27" ht="15.75" customHeight="1">
      <c r="A911" s="264"/>
      <c r="B911" s="264"/>
      <c r="C911" s="264"/>
      <c r="D911" s="264"/>
      <c r="E911" s="264"/>
      <c r="F911" s="264"/>
      <c r="G911" s="264"/>
      <c r="H911" s="264"/>
      <c r="I911" s="264"/>
      <c r="J911" s="264"/>
      <c r="K911" s="264"/>
      <c r="L911" s="264"/>
      <c r="M911" s="264"/>
      <c r="N911" s="264"/>
      <c r="O911" s="264"/>
      <c r="P911" s="264"/>
      <c r="Q911" s="264"/>
      <c r="R911" s="264"/>
      <c r="S911" s="264"/>
      <c r="T911" s="264"/>
      <c r="U911" s="264"/>
      <c r="V911" s="264"/>
      <c r="W911" s="264"/>
      <c r="X911" s="264"/>
      <c r="Y911" s="264"/>
      <c r="Z911" s="264"/>
      <c r="AA911" s="264"/>
    </row>
    <row r="912" spans="1:27" ht="15.75" customHeight="1">
      <c r="A912" s="264"/>
      <c r="B912" s="264"/>
      <c r="C912" s="264"/>
      <c r="D912" s="264"/>
      <c r="E912" s="264"/>
      <c r="F912" s="264"/>
      <c r="G912" s="264"/>
      <c r="H912" s="264"/>
      <c r="I912" s="264"/>
      <c r="J912" s="264"/>
      <c r="K912" s="264"/>
      <c r="L912" s="264"/>
      <c r="M912" s="264"/>
      <c r="N912" s="264"/>
      <c r="O912" s="264"/>
      <c r="P912" s="264"/>
      <c r="Q912" s="264"/>
      <c r="R912" s="264"/>
      <c r="S912" s="264"/>
      <c r="T912" s="264"/>
      <c r="U912" s="264"/>
      <c r="V912" s="264"/>
      <c r="W912" s="264"/>
      <c r="X912" s="264"/>
      <c r="Y912" s="264"/>
      <c r="Z912" s="264"/>
      <c r="AA912" s="264"/>
    </row>
    <row r="913" spans="1:27" ht="15.75" customHeight="1">
      <c r="A913" s="264"/>
      <c r="B913" s="264"/>
      <c r="C913" s="264"/>
      <c r="D913" s="264"/>
      <c r="E913" s="264"/>
      <c r="F913" s="264"/>
      <c r="G913" s="264"/>
      <c r="H913" s="264"/>
      <c r="I913" s="264"/>
      <c r="J913" s="264"/>
      <c r="K913" s="264"/>
      <c r="L913" s="264"/>
      <c r="M913" s="264"/>
      <c r="N913" s="264"/>
      <c r="O913" s="264"/>
      <c r="P913" s="264"/>
      <c r="Q913" s="264"/>
      <c r="R913" s="264"/>
      <c r="S913" s="264"/>
      <c r="T913" s="264"/>
      <c r="U913" s="264"/>
      <c r="V913" s="264"/>
      <c r="W913" s="264"/>
      <c r="X913" s="264"/>
      <c r="Y913" s="264"/>
      <c r="Z913" s="264"/>
      <c r="AA913" s="264"/>
    </row>
    <row r="914" spans="1:27" ht="15.75" customHeight="1">
      <c r="A914" s="264"/>
      <c r="B914" s="264"/>
      <c r="C914" s="264"/>
      <c r="D914" s="264"/>
      <c r="E914" s="264"/>
      <c r="F914" s="264"/>
      <c r="G914" s="264"/>
      <c r="H914" s="264"/>
      <c r="I914" s="264"/>
      <c r="J914" s="264"/>
      <c r="K914" s="264"/>
      <c r="L914" s="264"/>
      <c r="M914" s="264"/>
      <c r="N914" s="264"/>
      <c r="O914" s="264"/>
      <c r="P914" s="264"/>
      <c r="Q914" s="264"/>
      <c r="R914" s="264"/>
      <c r="S914" s="264"/>
      <c r="T914" s="264"/>
      <c r="U914" s="264"/>
      <c r="V914" s="264"/>
      <c r="W914" s="264"/>
      <c r="X914" s="264"/>
      <c r="Y914" s="264"/>
      <c r="Z914" s="264"/>
      <c r="AA914" s="264"/>
    </row>
    <row r="915" spans="1:27" ht="15.75" customHeight="1">
      <c r="A915" s="264"/>
      <c r="B915" s="264"/>
      <c r="C915" s="264"/>
      <c r="D915" s="264"/>
      <c r="E915" s="264"/>
      <c r="F915" s="264"/>
      <c r="G915" s="264"/>
      <c r="H915" s="264"/>
      <c r="I915" s="264"/>
      <c r="J915" s="264"/>
      <c r="K915" s="264"/>
      <c r="L915" s="264"/>
      <c r="M915" s="264"/>
      <c r="N915" s="264"/>
      <c r="O915" s="264"/>
      <c r="P915" s="264"/>
      <c r="Q915" s="264"/>
      <c r="R915" s="264"/>
      <c r="S915" s="264"/>
      <c r="T915" s="264"/>
      <c r="U915" s="264"/>
      <c r="V915" s="264"/>
      <c r="W915" s="264"/>
      <c r="X915" s="264"/>
      <c r="Y915" s="264"/>
      <c r="Z915" s="264"/>
      <c r="AA915" s="264"/>
    </row>
    <row r="916" spans="1:27" ht="15.75" customHeight="1">
      <c r="A916" s="264"/>
      <c r="B916" s="264"/>
      <c r="C916" s="264"/>
      <c r="D916" s="264"/>
      <c r="E916" s="264"/>
      <c r="F916" s="264"/>
      <c r="G916" s="264"/>
      <c r="H916" s="264"/>
      <c r="I916" s="264"/>
      <c r="J916" s="264"/>
      <c r="K916" s="264"/>
      <c r="L916" s="264"/>
      <c r="M916" s="264"/>
      <c r="N916" s="264"/>
      <c r="O916" s="264"/>
      <c r="P916" s="264"/>
      <c r="Q916" s="264"/>
      <c r="R916" s="264"/>
      <c r="S916" s="264"/>
      <c r="T916" s="264"/>
      <c r="U916" s="264"/>
      <c r="V916" s="264"/>
      <c r="W916" s="264"/>
      <c r="X916" s="264"/>
      <c r="Y916" s="264"/>
      <c r="Z916" s="264"/>
      <c r="AA916" s="264"/>
    </row>
    <row r="917" spans="1:27" ht="15.75" customHeight="1">
      <c r="A917" s="264"/>
      <c r="B917" s="264"/>
      <c r="C917" s="264"/>
      <c r="D917" s="264"/>
      <c r="E917" s="264"/>
      <c r="F917" s="264"/>
      <c r="G917" s="264"/>
      <c r="H917" s="264"/>
      <c r="I917" s="264"/>
      <c r="J917" s="264"/>
      <c r="K917" s="264"/>
      <c r="L917" s="264"/>
      <c r="M917" s="264"/>
      <c r="N917" s="264"/>
      <c r="O917" s="264"/>
      <c r="P917" s="264"/>
      <c r="Q917" s="264"/>
      <c r="R917" s="264"/>
      <c r="S917" s="264"/>
      <c r="T917" s="264"/>
      <c r="U917" s="264"/>
      <c r="V917" s="264"/>
      <c r="W917" s="264"/>
      <c r="X917" s="264"/>
      <c r="Y917" s="264"/>
      <c r="Z917" s="264"/>
      <c r="AA917" s="264"/>
    </row>
    <row r="918" spans="1:27" ht="15.75" customHeight="1">
      <c r="A918" s="264"/>
      <c r="B918" s="264"/>
      <c r="C918" s="264"/>
      <c r="D918" s="264"/>
      <c r="E918" s="264"/>
      <c r="F918" s="264"/>
      <c r="G918" s="264"/>
      <c r="H918" s="264"/>
      <c r="I918" s="264"/>
      <c r="J918" s="264"/>
      <c r="K918" s="264"/>
      <c r="L918" s="264"/>
      <c r="M918" s="264"/>
      <c r="N918" s="264"/>
      <c r="O918" s="264"/>
      <c r="P918" s="264"/>
      <c r="Q918" s="264"/>
      <c r="R918" s="264"/>
      <c r="S918" s="264"/>
      <c r="T918" s="264"/>
      <c r="U918" s="264"/>
      <c r="V918" s="264"/>
      <c r="W918" s="264"/>
      <c r="X918" s="264"/>
      <c r="Y918" s="264"/>
      <c r="Z918" s="264"/>
      <c r="AA918" s="264"/>
    </row>
    <row r="919" spans="1:27" ht="15.75" customHeight="1">
      <c r="A919" s="264"/>
      <c r="B919" s="264"/>
      <c r="C919" s="264"/>
      <c r="D919" s="264"/>
      <c r="E919" s="264"/>
      <c r="F919" s="264"/>
      <c r="G919" s="264"/>
      <c r="H919" s="264"/>
      <c r="I919" s="264"/>
      <c r="J919" s="264"/>
      <c r="K919" s="264"/>
      <c r="L919" s="264"/>
      <c r="M919" s="264"/>
      <c r="N919" s="264"/>
      <c r="O919" s="264"/>
      <c r="P919" s="264"/>
      <c r="Q919" s="264"/>
      <c r="R919" s="264"/>
      <c r="S919" s="264"/>
      <c r="T919" s="264"/>
      <c r="U919" s="264"/>
      <c r="V919" s="264"/>
      <c r="W919" s="264"/>
      <c r="X919" s="264"/>
      <c r="Y919" s="264"/>
      <c r="Z919" s="264"/>
      <c r="AA919" s="264"/>
    </row>
    <row r="920" spans="1:27" ht="15.75" customHeight="1">
      <c r="A920" s="264"/>
      <c r="B920" s="264"/>
      <c r="C920" s="264"/>
      <c r="D920" s="264"/>
      <c r="E920" s="264"/>
      <c r="F920" s="264"/>
      <c r="G920" s="264"/>
      <c r="H920" s="264"/>
      <c r="I920" s="264"/>
      <c r="J920" s="264"/>
      <c r="K920" s="264"/>
      <c r="L920" s="264"/>
      <c r="M920" s="264"/>
      <c r="N920" s="264"/>
      <c r="O920" s="264"/>
      <c r="P920" s="264"/>
      <c r="Q920" s="264"/>
      <c r="R920" s="264"/>
      <c r="S920" s="264"/>
      <c r="T920" s="264"/>
      <c r="U920" s="264"/>
      <c r="V920" s="264"/>
      <c r="W920" s="264"/>
      <c r="X920" s="264"/>
      <c r="Y920" s="264"/>
      <c r="Z920" s="264"/>
      <c r="AA920" s="264"/>
    </row>
    <row r="921" spans="1:27" ht="15.75" customHeight="1">
      <c r="A921" s="264"/>
      <c r="B921" s="264"/>
      <c r="C921" s="264"/>
      <c r="D921" s="264"/>
      <c r="E921" s="264"/>
      <c r="F921" s="264"/>
      <c r="G921" s="264"/>
      <c r="H921" s="264"/>
      <c r="I921" s="264"/>
      <c r="J921" s="264"/>
      <c r="K921" s="264"/>
      <c r="L921" s="264"/>
      <c r="M921" s="264"/>
      <c r="N921" s="264"/>
      <c r="O921" s="264"/>
      <c r="P921" s="264"/>
      <c r="Q921" s="264"/>
      <c r="R921" s="264"/>
      <c r="S921" s="264"/>
      <c r="T921" s="264"/>
      <c r="U921" s="264"/>
      <c r="V921" s="264"/>
      <c r="W921" s="264"/>
      <c r="X921" s="264"/>
      <c r="Y921" s="264"/>
      <c r="Z921" s="264"/>
      <c r="AA921" s="264"/>
    </row>
    <row r="922" spans="1:27" ht="15.75" customHeight="1">
      <c r="A922" s="264"/>
      <c r="B922" s="264"/>
      <c r="C922" s="264"/>
      <c r="D922" s="264"/>
      <c r="E922" s="264"/>
      <c r="F922" s="264"/>
      <c r="G922" s="264"/>
      <c r="H922" s="264"/>
      <c r="I922" s="264"/>
      <c r="J922" s="264"/>
      <c r="K922" s="264"/>
      <c r="L922" s="264"/>
      <c r="M922" s="264"/>
      <c r="N922" s="264"/>
      <c r="O922" s="264"/>
      <c r="P922" s="264"/>
      <c r="Q922" s="264"/>
      <c r="R922" s="264"/>
      <c r="S922" s="264"/>
      <c r="T922" s="264"/>
      <c r="U922" s="264"/>
      <c r="V922" s="264"/>
      <c r="W922" s="264"/>
      <c r="X922" s="264"/>
      <c r="Y922" s="264"/>
      <c r="Z922" s="264"/>
      <c r="AA922" s="264"/>
    </row>
    <row r="923" spans="1:27" ht="15.75" customHeight="1">
      <c r="A923" s="264"/>
      <c r="B923" s="264"/>
      <c r="C923" s="264"/>
      <c r="D923" s="264"/>
      <c r="E923" s="264"/>
      <c r="F923" s="264"/>
      <c r="G923" s="264"/>
      <c r="H923" s="264"/>
      <c r="I923" s="264"/>
      <c r="J923" s="264"/>
      <c r="K923" s="264"/>
      <c r="L923" s="264"/>
      <c r="M923" s="264"/>
      <c r="N923" s="264"/>
      <c r="O923" s="264"/>
      <c r="P923" s="264"/>
      <c r="Q923" s="264"/>
      <c r="R923" s="264"/>
      <c r="S923" s="264"/>
      <c r="T923" s="264"/>
      <c r="U923" s="264"/>
      <c r="V923" s="264"/>
      <c r="W923" s="264"/>
      <c r="X923" s="264"/>
      <c r="Y923" s="264"/>
      <c r="Z923" s="264"/>
      <c r="AA923" s="264"/>
    </row>
    <row r="924" spans="1:27" ht="15.75" customHeight="1">
      <c r="A924" s="264"/>
      <c r="B924" s="264"/>
      <c r="C924" s="264"/>
      <c r="D924" s="264"/>
      <c r="E924" s="264"/>
      <c r="F924" s="264"/>
      <c r="G924" s="264"/>
      <c r="H924" s="264"/>
      <c r="I924" s="264"/>
      <c r="J924" s="264"/>
      <c r="K924" s="264"/>
      <c r="L924" s="264"/>
      <c r="M924" s="264"/>
      <c r="N924" s="264"/>
      <c r="O924" s="264"/>
      <c r="P924" s="264"/>
      <c r="Q924" s="264"/>
      <c r="R924" s="264"/>
      <c r="S924" s="264"/>
      <c r="T924" s="264"/>
      <c r="U924" s="264"/>
      <c r="V924" s="264"/>
      <c r="W924" s="264"/>
      <c r="X924" s="264"/>
      <c r="Y924" s="264"/>
      <c r="Z924" s="264"/>
      <c r="AA924" s="264"/>
    </row>
    <row r="925" spans="1:27" ht="15.75" customHeight="1">
      <c r="A925" s="264"/>
      <c r="B925" s="264"/>
      <c r="C925" s="264"/>
      <c r="D925" s="264"/>
      <c r="E925" s="264"/>
      <c r="F925" s="264"/>
      <c r="G925" s="264"/>
      <c r="H925" s="264"/>
      <c r="I925" s="264"/>
      <c r="J925" s="264"/>
      <c r="K925" s="264"/>
      <c r="L925" s="264"/>
      <c r="M925" s="264"/>
      <c r="N925" s="264"/>
      <c r="O925" s="264"/>
      <c r="P925" s="264"/>
      <c r="Q925" s="264"/>
      <c r="R925" s="264"/>
      <c r="S925" s="264"/>
      <c r="T925" s="264"/>
      <c r="U925" s="264"/>
      <c r="V925" s="264"/>
      <c r="W925" s="264"/>
      <c r="X925" s="264"/>
      <c r="Y925" s="264"/>
      <c r="Z925" s="264"/>
      <c r="AA925" s="264"/>
    </row>
    <row r="926" spans="1:27" ht="15.75" customHeight="1">
      <c r="A926" s="264"/>
      <c r="B926" s="264"/>
      <c r="C926" s="264"/>
      <c r="D926" s="264"/>
      <c r="E926" s="264"/>
      <c r="F926" s="264"/>
      <c r="G926" s="264"/>
      <c r="H926" s="264"/>
      <c r="I926" s="264"/>
      <c r="J926" s="264"/>
      <c r="K926" s="264"/>
      <c r="L926" s="264"/>
      <c r="M926" s="264"/>
      <c r="N926" s="264"/>
      <c r="O926" s="264"/>
      <c r="P926" s="264"/>
      <c r="Q926" s="264"/>
      <c r="R926" s="264"/>
      <c r="S926" s="264"/>
      <c r="T926" s="264"/>
      <c r="U926" s="264"/>
      <c r="V926" s="264"/>
      <c r="W926" s="264"/>
      <c r="X926" s="264"/>
      <c r="Y926" s="264"/>
      <c r="Z926" s="264"/>
      <c r="AA926" s="264"/>
    </row>
    <row r="927" spans="1:27" ht="15.75" customHeight="1">
      <c r="A927" s="264"/>
      <c r="B927" s="264"/>
      <c r="C927" s="264"/>
      <c r="D927" s="264"/>
      <c r="E927" s="264"/>
      <c r="F927" s="264"/>
      <c r="G927" s="264"/>
      <c r="H927" s="264"/>
      <c r="I927" s="264"/>
      <c r="J927" s="264"/>
      <c r="K927" s="264"/>
      <c r="L927" s="264"/>
      <c r="M927" s="264"/>
      <c r="N927" s="264"/>
      <c r="O927" s="264"/>
      <c r="P927" s="264"/>
      <c r="Q927" s="264"/>
      <c r="R927" s="264"/>
      <c r="S927" s="264"/>
      <c r="T927" s="264"/>
      <c r="U927" s="264"/>
      <c r="V927" s="264"/>
      <c r="W927" s="264"/>
      <c r="X927" s="264"/>
      <c r="Y927" s="264"/>
      <c r="Z927" s="264"/>
      <c r="AA927" s="264"/>
    </row>
    <row r="928" spans="1:27" ht="15.75" customHeight="1">
      <c r="A928" s="264"/>
      <c r="B928" s="264"/>
      <c r="C928" s="264"/>
      <c r="D928" s="264"/>
      <c r="E928" s="264"/>
      <c r="F928" s="264"/>
      <c r="G928" s="264"/>
      <c r="H928" s="264"/>
      <c r="I928" s="264"/>
      <c r="J928" s="264"/>
      <c r="K928" s="264"/>
      <c r="L928" s="264"/>
      <c r="M928" s="264"/>
      <c r="N928" s="264"/>
      <c r="O928" s="264"/>
      <c r="P928" s="264"/>
      <c r="Q928" s="264"/>
      <c r="R928" s="264"/>
      <c r="S928" s="264"/>
      <c r="T928" s="264"/>
      <c r="U928" s="264"/>
      <c r="V928" s="264"/>
      <c r="W928" s="264"/>
      <c r="X928" s="264"/>
      <c r="Y928" s="264"/>
      <c r="Z928" s="264"/>
      <c r="AA928" s="264"/>
    </row>
    <row r="929" spans="1:27" ht="15.75" customHeight="1">
      <c r="A929" s="264"/>
      <c r="B929" s="264"/>
      <c r="C929" s="264"/>
      <c r="D929" s="264"/>
      <c r="E929" s="264"/>
      <c r="F929" s="264"/>
      <c r="G929" s="264"/>
      <c r="H929" s="264"/>
      <c r="I929" s="264"/>
      <c r="J929" s="264"/>
      <c r="K929" s="264"/>
      <c r="L929" s="264"/>
      <c r="M929" s="264"/>
      <c r="N929" s="264"/>
      <c r="O929" s="264"/>
      <c r="P929" s="264"/>
      <c r="Q929" s="264"/>
      <c r="R929" s="264"/>
      <c r="S929" s="264"/>
      <c r="T929" s="264"/>
      <c r="U929" s="264"/>
      <c r="V929" s="264"/>
      <c r="W929" s="264"/>
      <c r="X929" s="264"/>
      <c r="Y929" s="264"/>
      <c r="Z929" s="264"/>
      <c r="AA929" s="264"/>
    </row>
    <row r="930" spans="1:27" ht="15.75" customHeight="1">
      <c r="A930" s="264"/>
      <c r="B930" s="264"/>
      <c r="C930" s="264"/>
      <c r="D930" s="264"/>
      <c r="E930" s="264"/>
      <c r="F930" s="264"/>
      <c r="G930" s="264"/>
      <c r="H930" s="264"/>
      <c r="I930" s="264"/>
      <c r="J930" s="264"/>
      <c r="K930" s="264"/>
      <c r="L930" s="264"/>
      <c r="M930" s="264"/>
      <c r="N930" s="264"/>
      <c r="O930" s="264"/>
      <c r="P930" s="264"/>
      <c r="Q930" s="264"/>
      <c r="R930" s="264"/>
      <c r="S930" s="264"/>
      <c r="T930" s="264"/>
      <c r="U930" s="264"/>
      <c r="V930" s="264"/>
      <c r="W930" s="264"/>
      <c r="X930" s="264"/>
      <c r="Y930" s="264"/>
      <c r="Z930" s="264"/>
      <c r="AA930" s="264"/>
    </row>
    <row r="931" spans="1:27" ht="15.75" customHeight="1">
      <c r="A931" s="264"/>
      <c r="B931" s="264"/>
      <c r="C931" s="264"/>
      <c r="D931" s="264"/>
      <c r="E931" s="264"/>
      <c r="F931" s="264"/>
      <c r="G931" s="264"/>
      <c r="H931" s="264"/>
      <c r="I931" s="264"/>
      <c r="J931" s="264"/>
      <c r="K931" s="264"/>
      <c r="L931" s="264"/>
      <c r="M931" s="264"/>
      <c r="N931" s="264"/>
      <c r="O931" s="264"/>
      <c r="P931" s="264"/>
      <c r="Q931" s="264"/>
      <c r="R931" s="264"/>
      <c r="S931" s="264"/>
      <c r="T931" s="264"/>
      <c r="U931" s="264"/>
      <c r="V931" s="264"/>
      <c r="W931" s="264"/>
      <c r="X931" s="264"/>
      <c r="Y931" s="264"/>
      <c r="Z931" s="264"/>
      <c r="AA931" s="264"/>
    </row>
    <row r="932" spans="1:27" ht="15.75" customHeight="1">
      <c r="A932" s="264"/>
      <c r="B932" s="264"/>
      <c r="C932" s="264"/>
      <c r="D932" s="264"/>
      <c r="E932" s="264"/>
      <c r="F932" s="264"/>
      <c r="G932" s="264"/>
      <c r="H932" s="264"/>
      <c r="I932" s="264"/>
      <c r="J932" s="264"/>
      <c r="K932" s="264"/>
      <c r="L932" s="264"/>
      <c r="M932" s="264"/>
      <c r="N932" s="264"/>
      <c r="O932" s="264"/>
      <c r="P932" s="264"/>
      <c r="Q932" s="264"/>
      <c r="R932" s="264"/>
      <c r="S932" s="264"/>
      <c r="T932" s="264"/>
      <c r="U932" s="264"/>
      <c r="V932" s="264"/>
      <c r="W932" s="264"/>
      <c r="X932" s="264"/>
      <c r="Y932" s="264"/>
      <c r="Z932" s="264"/>
      <c r="AA932" s="264"/>
    </row>
    <row r="933" spans="1:27" ht="15.75" customHeight="1">
      <c r="A933" s="264"/>
      <c r="B933" s="264"/>
      <c r="C933" s="264"/>
      <c r="D933" s="264"/>
      <c r="E933" s="264"/>
      <c r="F933" s="264"/>
      <c r="G933" s="264"/>
      <c r="H933" s="264"/>
      <c r="I933" s="264"/>
      <c r="J933" s="264"/>
      <c r="K933" s="264"/>
      <c r="L933" s="264"/>
      <c r="M933" s="264"/>
      <c r="N933" s="264"/>
      <c r="O933" s="264"/>
      <c r="P933" s="264"/>
      <c r="Q933" s="264"/>
      <c r="R933" s="264"/>
      <c r="S933" s="264"/>
      <c r="T933" s="264"/>
      <c r="U933" s="264"/>
      <c r="V933" s="264"/>
      <c r="W933" s="264"/>
      <c r="X933" s="264"/>
      <c r="Y933" s="264"/>
      <c r="Z933" s="264"/>
      <c r="AA933" s="264"/>
    </row>
    <row r="934" spans="1:27" ht="15.75" customHeight="1">
      <c r="A934" s="264"/>
      <c r="B934" s="264"/>
      <c r="C934" s="264"/>
      <c r="D934" s="264"/>
      <c r="E934" s="264"/>
      <c r="F934" s="264"/>
      <c r="G934" s="264"/>
      <c r="H934" s="264"/>
      <c r="I934" s="264"/>
      <c r="J934" s="264"/>
      <c r="K934" s="264"/>
      <c r="L934" s="264"/>
      <c r="M934" s="264"/>
      <c r="N934" s="264"/>
      <c r="O934" s="264"/>
      <c r="P934" s="264"/>
      <c r="Q934" s="264"/>
      <c r="R934" s="264"/>
      <c r="S934" s="264"/>
      <c r="T934" s="264"/>
      <c r="U934" s="264"/>
      <c r="V934" s="264"/>
      <c r="W934" s="264"/>
      <c r="X934" s="264"/>
      <c r="Y934" s="264"/>
      <c r="Z934" s="264"/>
      <c r="AA934" s="264"/>
    </row>
    <row r="935" spans="1:27" ht="15.75" customHeight="1">
      <c r="A935" s="264"/>
      <c r="B935" s="264"/>
      <c r="C935" s="264"/>
      <c r="D935" s="264"/>
      <c r="E935" s="264"/>
      <c r="F935" s="264"/>
      <c r="G935" s="264"/>
      <c r="H935" s="264"/>
      <c r="I935" s="264"/>
      <c r="J935" s="264"/>
      <c r="K935" s="264"/>
      <c r="L935" s="264"/>
      <c r="M935" s="264"/>
      <c r="N935" s="264"/>
      <c r="O935" s="264"/>
      <c r="P935" s="264"/>
      <c r="Q935" s="264"/>
      <c r="R935" s="264"/>
      <c r="S935" s="264"/>
      <c r="T935" s="264"/>
      <c r="U935" s="264"/>
      <c r="V935" s="264"/>
      <c r="W935" s="264"/>
      <c r="X935" s="264"/>
      <c r="Y935" s="264"/>
      <c r="Z935" s="264"/>
      <c r="AA935" s="264"/>
    </row>
    <row r="936" spans="1:27" ht="15.75" customHeight="1">
      <c r="A936" s="264"/>
      <c r="B936" s="264"/>
      <c r="C936" s="264"/>
      <c r="D936" s="264"/>
      <c r="E936" s="264"/>
      <c r="F936" s="264"/>
      <c r="G936" s="264"/>
      <c r="H936" s="264"/>
      <c r="I936" s="264"/>
      <c r="J936" s="264"/>
      <c r="K936" s="264"/>
      <c r="L936" s="264"/>
      <c r="M936" s="264"/>
      <c r="N936" s="264"/>
      <c r="O936" s="264"/>
      <c r="P936" s="264"/>
      <c r="Q936" s="264"/>
      <c r="R936" s="264"/>
      <c r="S936" s="264"/>
      <c r="T936" s="264"/>
      <c r="U936" s="264"/>
      <c r="V936" s="264"/>
      <c r="W936" s="264"/>
      <c r="X936" s="264"/>
      <c r="Y936" s="264"/>
      <c r="Z936" s="264"/>
      <c r="AA936" s="264"/>
    </row>
    <row r="937" spans="1:27" ht="15.75" customHeight="1">
      <c r="A937" s="264"/>
      <c r="B937" s="264"/>
      <c r="C937" s="264"/>
      <c r="D937" s="264"/>
      <c r="E937" s="264"/>
      <c r="F937" s="264"/>
      <c r="G937" s="264"/>
      <c r="H937" s="264"/>
      <c r="I937" s="264"/>
      <c r="J937" s="264"/>
      <c r="K937" s="264"/>
      <c r="L937" s="264"/>
      <c r="M937" s="264"/>
      <c r="N937" s="264"/>
      <c r="O937" s="264"/>
      <c r="P937" s="264"/>
      <c r="Q937" s="264"/>
      <c r="R937" s="264"/>
      <c r="S937" s="264"/>
      <c r="T937" s="264"/>
      <c r="U937" s="264"/>
      <c r="V937" s="264"/>
      <c r="W937" s="264"/>
      <c r="X937" s="264"/>
      <c r="Y937" s="264"/>
      <c r="Z937" s="264"/>
      <c r="AA937" s="264"/>
    </row>
    <row r="938" spans="1:27" ht="15.75" customHeight="1">
      <c r="A938" s="264"/>
      <c r="B938" s="264"/>
      <c r="C938" s="264"/>
      <c r="D938" s="264"/>
      <c r="E938" s="264"/>
      <c r="F938" s="264"/>
      <c r="G938" s="264"/>
      <c r="H938" s="264"/>
      <c r="I938" s="264"/>
      <c r="J938" s="264"/>
      <c r="K938" s="264"/>
      <c r="L938" s="264"/>
      <c r="M938" s="264"/>
      <c r="N938" s="264"/>
      <c r="O938" s="264"/>
      <c r="P938" s="264"/>
      <c r="Q938" s="264"/>
      <c r="R938" s="264"/>
      <c r="S938" s="264"/>
      <c r="T938" s="264"/>
      <c r="U938" s="264"/>
      <c r="V938" s="264"/>
      <c r="W938" s="264"/>
      <c r="X938" s="264"/>
      <c r="Y938" s="264"/>
      <c r="Z938" s="264"/>
      <c r="AA938" s="264"/>
    </row>
    <row r="939" spans="1:27" ht="15.75" customHeight="1">
      <c r="A939" s="264"/>
      <c r="B939" s="264"/>
      <c r="C939" s="264"/>
      <c r="D939" s="264"/>
      <c r="E939" s="264"/>
      <c r="F939" s="264"/>
      <c r="G939" s="264"/>
      <c r="H939" s="264"/>
      <c r="I939" s="264"/>
      <c r="J939" s="264"/>
      <c r="K939" s="264"/>
      <c r="L939" s="264"/>
      <c r="M939" s="264"/>
      <c r="N939" s="264"/>
      <c r="O939" s="264"/>
      <c r="P939" s="264"/>
      <c r="Q939" s="264"/>
      <c r="R939" s="264"/>
      <c r="S939" s="264"/>
      <c r="T939" s="264"/>
      <c r="U939" s="264"/>
      <c r="V939" s="264"/>
      <c r="W939" s="264"/>
      <c r="X939" s="264"/>
      <c r="Y939" s="264"/>
      <c r="Z939" s="264"/>
      <c r="AA939" s="264"/>
    </row>
    <row r="940" spans="1:27" ht="15.75" customHeight="1">
      <c r="A940" s="264"/>
      <c r="B940" s="264"/>
      <c r="C940" s="264"/>
      <c r="D940" s="264"/>
      <c r="E940" s="264"/>
      <c r="F940" s="264"/>
      <c r="G940" s="264"/>
      <c r="H940" s="264"/>
      <c r="I940" s="264"/>
      <c r="J940" s="264"/>
      <c r="K940" s="264"/>
      <c r="L940" s="264"/>
      <c r="M940" s="264"/>
      <c r="N940" s="264"/>
      <c r="O940" s="264"/>
      <c r="P940" s="264"/>
      <c r="Q940" s="264"/>
      <c r="R940" s="264"/>
      <c r="S940" s="264"/>
      <c r="T940" s="264"/>
      <c r="U940" s="264"/>
      <c r="V940" s="264"/>
      <c r="W940" s="264"/>
      <c r="X940" s="264"/>
      <c r="Y940" s="264"/>
      <c r="Z940" s="264"/>
      <c r="AA940" s="264"/>
    </row>
    <row r="941" spans="1:27" ht="15.75" customHeight="1">
      <c r="A941" s="264"/>
      <c r="B941" s="264"/>
      <c r="C941" s="264"/>
      <c r="D941" s="264"/>
      <c r="E941" s="264"/>
      <c r="F941" s="264"/>
      <c r="G941" s="264"/>
      <c r="H941" s="264"/>
      <c r="I941" s="264"/>
      <c r="J941" s="264"/>
      <c r="K941" s="264"/>
      <c r="L941" s="264"/>
      <c r="M941" s="264"/>
      <c r="N941" s="264"/>
      <c r="O941" s="264"/>
      <c r="P941" s="264"/>
      <c r="Q941" s="264"/>
      <c r="R941" s="264"/>
      <c r="S941" s="264"/>
      <c r="T941" s="264"/>
      <c r="U941" s="264"/>
      <c r="V941" s="264"/>
      <c r="W941" s="264"/>
      <c r="X941" s="264"/>
      <c r="Y941" s="264"/>
      <c r="Z941" s="264"/>
      <c r="AA941" s="264"/>
    </row>
    <row r="942" spans="1:27" ht="15.75" customHeight="1">
      <c r="A942" s="264"/>
      <c r="B942" s="264"/>
      <c r="C942" s="264"/>
      <c r="D942" s="264"/>
      <c r="E942" s="264"/>
      <c r="F942" s="264"/>
      <c r="G942" s="264"/>
      <c r="H942" s="264"/>
      <c r="I942" s="264"/>
      <c r="J942" s="264"/>
      <c r="K942" s="264"/>
      <c r="L942" s="264"/>
      <c r="M942" s="264"/>
      <c r="N942" s="264"/>
      <c r="O942" s="264"/>
      <c r="P942" s="264"/>
      <c r="Q942" s="264"/>
      <c r="R942" s="264"/>
      <c r="S942" s="264"/>
      <c r="T942" s="264"/>
      <c r="U942" s="264"/>
      <c r="V942" s="264"/>
      <c r="W942" s="264"/>
      <c r="X942" s="264"/>
      <c r="Y942" s="264"/>
      <c r="Z942" s="264"/>
      <c r="AA942" s="264"/>
    </row>
    <row r="943" spans="1:27" ht="15.75" customHeight="1">
      <c r="A943" s="264"/>
      <c r="B943" s="264"/>
      <c r="C943" s="264"/>
      <c r="D943" s="264"/>
      <c r="E943" s="264"/>
      <c r="F943" s="264"/>
      <c r="G943" s="264"/>
      <c r="H943" s="264"/>
      <c r="I943" s="264"/>
      <c r="J943" s="264"/>
      <c r="K943" s="264"/>
      <c r="L943" s="264"/>
      <c r="M943" s="264"/>
      <c r="N943" s="264"/>
      <c r="O943" s="264"/>
      <c r="P943" s="264"/>
      <c r="Q943" s="264"/>
      <c r="R943" s="264"/>
      <c r="S943" s="264"/>
      <c r="T943" s="264"/>
      <c r="U943" s="264"/>
      <c r="V943" s="264"/>
      <c r="W943" s="264"/>
      <c r="X943" s="264"/>
      <c r="Y943" s="264"/>
      <c r="Z943" s="264"/>
      <c r="AA943" s="264"/>
    </row>
    <row r="944" spans="1:27" ht="15.75" customHeight="1">
      <c r="A944" s="264"/>
      <c r="B944" s="264"/>
      <c r="C944" s="264"/>
      <c r="D944" s="264"/>
      <c r="E944" s="264"/>
      <c r="F944" s="264"/>
      <c r="G944" s="264"/>
      <c r="H944" s="264"/>
      <c r="I944" s="264"/>
      <c r="J944" s="264"/>
      <c r="K944" s="264"/>
      <c r="L944" s="264"/>
      <c r="M944" s="264"/>
      <c r="N944" s="264"/>
      <c r="O944" s="264"/>
      <c r="P944" s="264"/>
      <c r="Q944" s="264"/>
      <c r="R944" s="264"/>
      <c r="S944" s="264"/>
      <c r="T944" s="264"/>
      <c r="U944" s="264"/>
      <c r="V944" s="264"/>
      <c r="W944" s="264"/>
      <c r="X944" s="264"/>
      <c r="Y944" s="264"/>
      <c r="Z944" s="264"/>
      <c r="AA944" s="264"/>
    </row>
    <row r="945" spans="1:27" ht="15.75" customHeight="1">
      <c r="A945" s="264"/>
      <c r="B945" s="264"/>
      <c r="C945" s="264"/>
      <c r="D945" s="264"/>
      <c r="E945" s="264"/>
      <c r="F945" s="264"/>
      <c r="G945" s="264"/>
      <c r="H945" s="264"/>
      <c r="I945" s="264"/>
      <c r="J945" s="264"/>
      <c r="K945" s="264"/>
      <c r="L945" s="264"/>
      <c r="M945" s="264"/>
      <c r="N945" s="264"/>
      <c r="O945" s="264"/>
      <c r="P945" s="264"/>
      <c r="Q945" s="264"/>
      <c r="R945" s="264"/>
      <c r="S945" s="264"/>
      <c r="T945" s="264"/>
      <c r="U945" s="264"/>
      <c r="V945" s="264"/>
      <c r="W945" s="264"/>
      <c r="X945" s="264"/>
      <c r="Y945" s="264"/>
      <c r="Z945" s="264"/>
      <c r="AA945" s="264"/>
    </row>
    <row r="946" spans="1:27" ht="15.75" customHeight="1">
      <c r="A946" s="264"/>
      <c r="B946" s="264"/>
      <c r="C946" s="264"/>
      <c r="D946" s="264"/>
      <c r="E946" s="264"/>
      <c r="F946" s="264"/>
      <c r="G946" s="264"/>
      <c r="H946" s="264"/>
      <c r="I946" s="264"/>
      <c r="J946" s="264"/>
      <c r="K946" s="264"/>
      <c r="L946" s="264"/>
      <c r="M946" s="264"/>
      <c r="N946" s="264"/>
      <c r="O946" s="264"/>
      <c r="P946" s="264"/>
      <c r="Q946" s="264"/>
      <c r="R946" s="264"/>
      <c r="S946" s="264"/>
      <c r="T946" s="264"/>
      <c r="U946" s="264"/>
      <c r="V946" s="264"/>
      <c r="W946" s="264"/>
      <c r="X946" s="264"/>
      <c r="Y946" s="264"/>
      <c r="Z946" s="264"/>
      <c r="AA946" s="264"/>
    </row>
    <row r="947" spans="1:27" ht="15.75" customHeight="1">
      <c r="A947" s="264"/>
      <c r="B947" s="264"/>
      <c r="C947" s="264"/>
      <c r="D947" s="264"/>
      <c r="E947" s="264"/>
      <c r="F947" s="264"/>
      <c r="G947" s="264"/>
      <c r="H947" s="264"/>
      <c r="I947" s="264"/>
      <c r="J947" s="264"/>
      <c r="K947" s="264"/>
      <c r="L947" s="264"/>
      <c r="M947" s="264"/>
      <c r="N947" s="264"/>
      <c r="O947" s="264"/>
      <c r="P947" s="264"/>
      <c r="Q947" s="264"/>
      <c r="R947" s="264"/>
      <c r="S947" s="264"/>
      <c r="T947" s="264"/>
      <c r="U947" s="264"/>
      <c r="V947" s="264"/>
      <c r="W947" s="264"/>
      <c r="X947" s="264"/>
      <c r="Y947" s="264"/>
      <c r="Z947" s="264"/>
      <c r="AA947" s="264"/>
    </row>
    <row r="948" spans="1:27" ht="15.75" customHeight="1">
      <c r="A948" s="264"/>
      <c r="B948" s="264"/>
      <c r="C948" s="264"/>
      <c r="D948" s="264"/>
      <c r="E948" s="264"/>
      <c r="F948" s="264"/>
      <c r="G948" s="264"/>
      <c r="H948" s="264"/>
      <c r="I948" s="264"/>
      <c r="J948" s="264"/>
      <c r="K948" s="264"/>
      <c r="L948" s="264"/>
      <c r="M948" s="264"/>
      <c r="N948" s="264"/>
      <c r="O948" s="264"/>
      <c r="P948" s="264"/>
      <c r="Q948" s="264"/>
      <c r="R948" s="264"/>
      <c r="S948" s="264"/>
      <c r="T948" s="264"/>
      <c r="U948" s="264"/>
      <c r="V948" s="264"/>
      <c r="W948" s="264"/>
      <c r="X948" s="264"/>
      <c r="Y948" s="264"/>
      <c r="Z948" s="264"/>
      <c r="AA948" s="264"/>
    </row>
    <row r="949" spans="1:27" ht="15.75" customHeight="1">
      <c r="A949" s="264"/>
      <c r="B949" s="264"/>
      <c r="C949" s="264"/>
      <c r="D949" s="264"/>
      <c r="E949" s="264"/>
      <c r="F949" s="264"/>
      <c r="G949" s="264"/>
      <c r="H949" s="264"/>
      <c r="I949" s="264"/>
      <c r="J949" s="264"/>
      <c r="K949" s="264"/>
      <c r="L949" s="264"/>
      <c r="M949" s="264"/>
      <c r="N949" s="264"/>
      <c r="O949" s="264"/>
      <c r="P949" s="264"/>
      <c r="Q949" s="264"/>
      <c r="R949" s="264"/>
      <c r="S949" s="264"/>
      <c r="T949" s="264"/>
      <c r="U949" s="264"/>
      <c r="V949" s="264"/>
      <c r="W949" s="264"/>
      <c r="X949" s="264"/>
      <c r="Y949" s="264"/>
      <c r="Z949" s="264"/>
      <c r="AA949" s="264"/>
    </row>
    <row r="950" spans="1:27" ht="15.75" customHeight="1">
      <c r="A950" s="264"/>
      <c r="B950" s="264"/>
      <c r="C950" s="264"/>
      <c r="D950" s="264"/>
      <c r="E950" s="264"/>
      <c r="F950" s="264"/>
      <c r="G950" s="264"/>
      <c r="H950" s="264"/>
      <c r="I950" s="264"/>
      <c r="J950" s="264"/>
      <c r="K950" s="264"/>
      <c r="L950" s="264"/>
      <c r="M950" s="264"/>
      <c r="N950" s="264"/>
      <c r="O950" s="264"/>
      <c r="P950" s="264"/>
      <c r="Q950" s="264"/>
      <c r="R950" s="264"/>
      <c r="S950" s="264"/>
      <c r="T950" s="264"/>
      <c r="U950" s="264"/>
      <c r="V950" s="264"/>
      <c r="W950" s="264"/>
      <c r="X950" s="264"/>
      <c r="Y950" s="264"/>
      <c r="Z950" s="264"/>
      <c r="AA950" s="264"/>
    </row>
    <row r="951" spans="1:27" ht="15.75" customHeight="1">
      <c r="A951" s="264"/>
      <c r="B951" s="264"/>
      <c r="C951" s="264"/>
      <c r="D951" s="264"/>
      <c r="E951" s="264"/>
      <c r="F951" s="264"/>
      <c r="G951" s="264"/>
      <c r="H951" s="264"/>
      <c r="I951" s="264"/>
      <c r="J951" s="264"/>
      <c r="K951" s="264"/>
      <c r="L951" s="264"/>
      <c r="M951" s="264"/>
      <c r="N951" s="264"/>
      <c r="O951" s="264"/>
      <c r="P951" s="264"/>
      <c r="Q951" s="264"/>
      <c r="R951" s="264"/>
      <c r="S951" s="264"/>
      <c r="T951" s="264"/>
      <c r="U951" s="264"/>
      <c r="V951" s="264"/>
      <c r="W951" s="264"/>
      <c r="X951" s="264"/>
      <c r="Y951" s="264"/>
      <c r="Z951" s="264"/>
      <c r="AA951" s="264"/>
    </row>
    <row r="952" spans="1:27" ht="15.75" customHeight="1">
      <c r="A952" s="264"/>
      <c r="B952" s="264"/>
      <c r="C952" s="264"/>
      <c r="D952" s="264"/>
      <c r="E952" s="264"/>
      <c r="F952" s="264"/>
      <c r="G952" s="264"/>
      <c r="H952" s="264"/>
      <c r="I952" s="264"/>
      <c r="J952" s="264"/>
      <c r="K952" s="264"/>
      <c r="L952" s="264"/>
      <c r="M952" s="264"/>
      <c r="N952" s="264"/>
      <c r="O952" s="264"/>
      <c r="P952" s="264"/>
      <c r="Q952" s="264"/>
      <c r="R952" s="264"/>
      <c r="S952" s="264"/>
      <c r="T952" s="264"/>
      <c r="U952" s="264"/>
      <c r="V952" s="264"/>
      <c r="W952" s="264"/>
      <c r="X952" s="264"/>
      <c r="Y952" s="264"/>
      <c r="Z952" s="264"/>
      <c r="AA952" s="264"/>
    </row>
    <row r="953" spans="1:27" ht="15.75" customHeight="1">
      <c r="A953" s="264"/>
      <c r="B953" s="264"/>
      <c r="C953" s="264"/>
      <c r="D953" s="264"/>
      <c r="E953" s="264"/>
      <c r="F953" s="264"/>
      <c r="G953" s="264"/>
      <c r="H953" s="264"/>
      <c r="I953" s="264"/>
      <c r="J953" s="264"/>
      <c r="K953" s="264"/>
      <c r="L953" s="264"/>
      <c r="M953" s="264"/>
      <c r="N953" s="264"/>
      <c r="O953" s="264"/>
      <c r="P953" s="264"/>
      <c r="Q953" s="264"/>
      <c r="R953" s="264"/>
      <c r="S953" s="264"/>
      <c r="T953" s="264"/>
      <c r="U953" s="264"/>
      <c r="V953" s="264"/>
      <c r="W953" s="264"/>
      <c r="X953" s="264"/>
      <c r="Y953" s="264"/>
      <c r="Z953" s="264"/>
      <c r="AA953" s="264"/>
    </row>
    <row r="954" spans="1:27" ht="15.75" customHeight="1">
      <c r="A954" s="264"/>
      <c r="B954" s="264"/>
      <c r="C954" s="264"/>
      <c r="D954" s="264"/>
      <c r="E954" s="264"/>
      <c r="F954" s="264"/>
      <c r="G954" s="264"/>
      <c r="H954" s="264"/>
      <c r="I954" s="264"/>
      <c r="J954" s="264"/>
      <c r="K954" s="264"/>
      <c r="L954" s="264"/>
      <c r="M954" s="264"/>
      <c r="N954" s="264"/>
      <c r="O954" s="264"/>
      <c r="P954" s="264"/>
      <c r="Q954" s="264"/>
      <c r="R954" s="264"/>
      <c r="S954" s="264"/>
      <c r="T954" s="264"/>
      <c r="U954" s="264"/>
      <c r="V954" s="264"/>
      <c r="W954" s="264"/>
      <c r="X954" s="264"/>
      <c r="Y954" s="264"/>
      <c r="Z954" s="264"/>
      <c r="AA954" s="264"/>
    </row>
    <row r="955" spans="1:27" ht="15.75" customHeight="1">
      <c r="A955" s="264"/>
      <c r="B955" s="264"/>
      <c r="C955" s="264"/>
      <c r="D955" s="264"/>
      <c r="E955" s="264"/>
      <c r="F955" s="264"/>
      <c r="G955" s="264"/>
      <c r="H955" s="264"/>
      <c r="I955" s="264"/>
      <c r="J955" s="264"/>
      <c r="K955" s="264"/>
      <c r="L955" s="264"/>
      <c r="M955" s="264"/>
      <c r="N955" s="264"/>
      <c r="O955" s="264"/>
      <c r="P955" s="264"/>
      <c r="Q955" s="264"/>
      <c r="R955" s="264"/>
      <c r="S955" s="264"/>
      <c r="T955" s="264"/>
      <c r="U955" s="264"/>
      <c r="V955" s="264"/>
      <c r="W955" s="264"/>
      <c r="X955" s="264"/>
      <c r="Y955" s="264"/>
      <c r="Z955" s="264"/>
      <c r="AA955" s="264"/>
    </row>
    <row r="956" spans="1:27" ht="15.75" customHeight="1">
      <c r="A956" s="264"/>
      <c r="B956" s="264"/>
      <c r="C956" s="264"/>
      <c r="D956" s="264"/>
      <c r="E956" s="264"/>
      <c r="F956" s="264"/>
      <c r="G956" s="264"/>
      <c r="H956" s="264"/>
      <c r="I956" s="264"/>
      <c r="J956" s="264"/>
      <c r="K956" s="264"/>
      <c r="L956" s="264"/>
      <c r="M956" s="264"/>
      <c r="N956" s="264"/>
      <c r="O956" s="264"/>
      <c r="P956" s="264"/>
      <c r="Q956" s="264"/>
      <c r="R956" s="264"/>
      <c r="S956" s="264"/>
      <c r="T956" s="264"/>
      <c r="U956" s="264"/>
      <c r="V956" s="264"/>
      <c r="W956" s="264"/>
      <c r="X956" s="264"/>
      <c r="Y956" s="264"/>
      <c r="Z956" s="264"/>
      <c r="AA956" s="264"/>
    </row>
    <row r="957" spans="1:27" ht="15.75" customHeight="1">
      <c r="A957" s="264"/>
      <c r="B957" s="264"/>
      <c r="C957" s="264"/>
      <c r="D957" s="264"/>
      <c r="E957" s="264"/>
      <c r="F957" s="264"/>
      <c r="G957" s="264"/>
      <c r="H957" s="264"/>
      <c r="I957" s="264"/>
      <c r="J957" s="264"/>
      <c r="K957" s="264"/>
      <c r="L957" s="264"/>
      <c r="M957" s="264"/>
      <c r="N957" s="264"/>
      <c r="O957" s="264"/>
      <c r="P957" s="264"/>
      <c r="Q957" s="264"/>
      <c r="R957" s="264"/>
      <c r="S957" s="264"/>
      <c r="T957" s="264"/>
      <c r="U957" s="264"/>
      <c r="V957" s="264"/>
      <c r="W957" s="264"/>
      <c r="X957" s="264"/>
      <c r="Y957" s="264"/>
      <c r="Z957" s="264"/>
      <c r="AA957" s="264"/>
    </row>
    <row r="958" spans="1:27" ht="15.75" customHeight="1">
      <c r="A958" s="264"/>
      <c r="B958" s="264"/>
      <c r="C958" s="264"/>
      <c r="D958" s="264"/>
      <c r="E958" s="264"/>
      <c r="F958" s="264"/>
      <c r="G958" s="264"/>
      <c r="H958" s="264"/>
      <c r="I958" s="264"/>
      <c r="J958" s="264"/>
      <c r="K958" s="264"/>
      <c r="L958" s="264"/>
      <c r="M958" s="264"/>
      <c r="N958" s="264"/>
      <c r="O958" s="264"/>
      <c r="P958" s="264"/>
      <c r="Q958" s="264"/>
      <c r="R958" s="264"/>
      <c r="S958" s="264"/>
      <c r="T958" s="264"/>
      <c r="U958" s="264"/>
      <c r="V958" s="264"/>
      <c r="W958" s="264"/>
      <c r="X958" s="264"/>
      <c r="Y958" s="264"/>
      <c r="Z958" s="264"/>
      <c r="AA958" s="264"/>
    </row>
    <row r="959" spans="1:27" ht="15.75" customHeight="1">
      <c r="A959" s="264"/>
      <c r="B959" s="264"/>
      <c r="C959" s="264"/>
      <c r="D959" s="264"/>
      <c r="E959" s="264"/>
      <c r="F959" s="264"/>
      <c r="G959" s="264"/>
      <c r="H959" s="264"/>
      <c r="I959" s="264"/>
      <c r="J959" s="264"/>
      <c r="K959" s="264"/>
      <c r="L959" s="264"/>
      <c r="M959" s="264"/>
      <c r="N959" s="264"/>
      <c r="O959" s="264"/>
      <c r="P959" s="264"/>
      <c r="Q959" s="264"/>
      <c r="R959" s="264"/>
      <c r="S959" s="264"/>
      <c r="T959" s="264"/>
      <c r="U959" s="264"/>
      <c r="V959" s="264"/>
      <c r="W959" s="264"/>
      <c r="X959" s="264"/>
      <c r="Y959" s="264"/>
      <c r="Z959" s="264"/>
      <c r="AA959" s="264"/>
    </row>
    <row r="960" spans="1:27" ht="15.75" customHeight="1">
      <c r="A960" s="264"/>
      <c r="B960" s="264"/>
      <c r="C960" s="264"/>
      <c r="D960" s="264"/>
      <c r="E960" s="264"/>
      <c r="F960" s="264"/>
      <c r="G960" s="264"/>
      <c r="H960" s="264"/>
      <c r="I960" s="264"/>
      <c r="J960" s="264"/>
      <c r="K960" s="264"/>
      <c r="L960" s="264"/>
      <c r="M960" s="264"/>
      <c r="N960" s="264"/>
      <c r="O960" s="264"/>
      <c r="P960" s="264"/>
      <c r="Q960" s="264"/>
      <c r="R960" s="264"/>
      <c r="S960" s="264"/>
      <c r="T960" s="264"/>
      <c r="U960" s="264"/>
      <c r="V960" s="264"/>
      <c r="W960" s="264"/>
      <c r="X960" s="264"/>
      <c r="Y960" s="264"/>
      <c r="Z960" s="264"/>
      <c r="AA960" s="264"/>
    </row>
    <row r="961" spans="1:27" ht="15.75" customHeight="1">
      <c r="A961" s="264"/>
      <c r="B961" s="264"/>
      <c r="C961" s="264"/>
      <c r="D961" s="264"/>
      <c r="E961" s="264"/>
      <c r="F961" s="264"/>
      <c r="G961" s="264"/>
      <c r="H961" s="264"/>
      <c r="I961" s="264"/>
      <c r="J961" s="264"/>
      <c r="K961" s="264"/>
      <c r="L961" s="264"/>
      <c r="M961" s="264"/>
      <c r="N961" s="264"/>
      <c r="O961" s="264"/>
      <c r="P961" s="264"/>
      <c r="Q961" s="264"/>
      <c r="R961" s="264"/>
      <c r="S961" s="264"/>
      <c r="T961" s="264"/>
      <c r="U961" s="264"/>
      <c r="V961" s="264"/>
      <c r="W961" s="264"/>
      <c r="X961" s="264"/>
      <c r="Y961" s="264"/>
      <c r="Z961" s="264"/>
      <c r="AA961" s="264"/>
    </row>
    <row r="962" spans="1:27" ht="15.75" customHeight="1">
      <c r="A962" s="264"/>
      <c r="B962" s="264"/>
      <c r="C962" s="264"/>
      <c r="D962" s="264"/>
      <c r="E962" s="264"/>
      <c r="F962" s="264"/>
      <c r="G962" s="264"/>
      <c r="H962" s="264"/>
      <c r="I962" s="264"/>
      <c r="J962" s="264"/>
      <c r="K962" s="264"/>
      <c r="L962" s="264"/>
      <c r="M962" s="264"/>
      <c r="N962" s="264"/>
      <c r="O962" s="264"/>
      <c r="P962" s="264"/>
      <c r="Q962" s="264"/>
      <c r="R962" s="264"/>
      <c r="S962" s="264"/>
      <c r="T962" s="264"/>
      <c r="U962" s="264"/>
      <c r="V962" s="264"/>
      <c r="W962" s="264"/>
      <c r="X962" s="264"/>
      <c r="Y962" s="264"/>
      <c r="Z962" s="264"/>
      <c r="AA962" s="264"/>
    </row>
    <row r="963" spans="1:27" ht="15.75" customHeight="1">
      <c r="A963" s="264"/>
      <c r="B963" s="264"/>
      <c r="C963" s="264"/>
      <c r="D963" s="264"/>
      <c r="E963" s="264"/>
      <c r="F963" s="264"/>
      <c r="G963" s="264"/>
      <c r="H963" s="264"/>
      <c r="I963" s="264"/>
      <c r="J963" s="264"/>
      <c r="K963" s="264"/>
      <c r="L963" s="264"/>
      <c r="M963" s="264"/>
      <c r="N963" s="264"/>
      <c r="O963" s="264"/>
      <c r="P963" s="264"/>
      <c r="Q963" s="264"/>
      <c r="R963" s="264"/>
      <c r="S963" s="264"/>
      <c r="T963" s="264"/>
      <c r="U963" s="264"/>
      <c r="V963" s="264"/>
      <c r="W963" s="264"/>
      <c r="X963" s="264"/>
      <c r="Y963" s="264"/>
      <c r="Z963" s="264"/>
      <c r="AA963" s="264"/>
    </row>
    <row r="964" spans="1:27" ht="15.75" customHeight="1">
      <c r="A964" s="264"/>
      <c r="B964" s="264"/>
      <c r="C964" s="264"/>
      <c r="D964" s="264"/>
      <c r="E964" s="264"/>
      <c r="F964" s="264"/>
      <c r="G964" s="264"/>
      <c r="H964" s="264"/>
      <c r="I964" s="264"/>
      <c r="J964" s="264"/>
      <c r="K964" s="264"/>
      <c r="L964" s="264"/>
      <c r="M964" s="264"/>
      <c r="N964" s="264"/>
      <c r="O964" s="264"/>
      <c r="P964" s="264"/>
      <c r="Q964" s="264"/>
      <c r="R964" s="264"/>
      <c r="S964" s="264"/>
      <c r="T964" s="264"/>
      <c r="U964" s="264"/>
      <c r="V964" s="264"/>
      <c r="W964" s="264"/>
      <c r="X964" s="264"/>
      <c r="Y964" s="264"/>
      <c r="Z964" s="264"/>
      <c r="AA964" s="264"/>
    </row>
    <row r="965" spans="1:27" ht="15.75" customHeight="1">
      <c r="A965" s="264"/>
      <c r="B965" s="264"/>
      <c r="C965" s="264"/>
      <c r="D965" s="264"/>
      <c r="E965" s="264"/>
      <c r="F965" s="264"/>
      <c r="G965" s="264"/>
      <c r="H965" s="264"/>
      <c r="I965" s="264"/>
      <c r="J965" s="264"/>
      <c r="K965" s="264"/>
      <c r="L965" s="264"/>
      <c r="M965" s="264"/>
      <c r="N965" s="264"/>
      <c r="O965" s="264"/>
      <c r="P965" s="264"/>
      <c r="Q965" s="264"/>
      <c r="R965" s="264"/>
      <c r="S965" s="264"/>
      <c r="T965" s="264"/>
      <c r="U965" s="264"/>
      <c r="V965" s="264"/>
      <c r="W965" s="264"/>
      <c r="X965" s="264"/>
      <c r="Y965" s="264"/>
      <c r="Z965" s="264"/>
      <c r="AA965" s="264"/>
    </row>
    <row r="966" spans="1:27" ht="15.75" customHeight="1">
      <c r="A966" s="264"/>
      <c r="B966" s="264"/>
      <c r="C966" s="264"/>
      <c r="D966" s="264"/>
      <c r="E966" s="264"/>
      <c r="F966" s="264"/>
      <c r="G966" s="264"/>
      <c r="H966" s="264"/>
      <c r="I966" s="264"/>
      <c r="J966" s="264"/>
      <c r="K966" s="264"/>
      <c r="L966" s="264"/>
      <c r="M966" s="264"/>
      <c r="N966" s="264"/>
      <c r="O966" s="264"/>
      <c r="P966" s="264"/>
      <c r="Q966" s="264"/>
      <c r="R966" s="264"/>
      <c r="S966" s="264"/>
      <c r="T966" s="264"/>
      <c r="U966" s="264"/>
      <c r="V966" s="264"/>
      <c r="W966" s="264"/>
      <c r="X966" s="264"/>
      <c r="Y966" s="264"/>
      <c r="Z966" s="264"/>
      <c r="AA966" s="264"/>
    </row>
    <row r="967" spans="1:27" ht="15.75" customHeight="1">
      <c r="A967" s="264"/>
      <c r="B967" s="264"/>
      <c r="C967" s="264"/>
      <c r="D967" s="264"/>
      <c r="E967" s="264"/>
      <c r="F967" s="264"/>
      <c r="G967" s="264"/>
      <c r="H967" s="264"/>
      <c r="I967" s="264"/>
      <c r="J967" s="264"/>
      <c r="K967" s="264"/>
      <c r="L967" s="264"/>
      <c r="M967" s="264"/>
      <c r="N967" s="264"/>
      <c r="O967" s="264"/>
      <c r="P967" s="264"/>
      <c r="Q967" s="264"/>
      <c r="R967" s="264"/>
      <c r="S967" s="264"/>
      <c r="T967" s="264"/>
      <c r="U967" s="264"/>
      <c r="V967" s="264"/>
      <c r="W967" s="264"/>
      <c r="X967" s="264"/>
      <c r="Y967" s="264"/>
      <c r="Z967" s="264"/>
      <c r="AA967" s="264"/>
    </row>
    <row r="968" spans="1:27" ht="15.75" customHeight="1">
      <c r="A968" s="264"/>
      <c r="B968" s="264"/>
      <c r="C968" s="264"/>
      <c r="D968" s="264"/>
      <c r="E968" s="264"/>
      <c r="F968" s="264"/>
      <c r="G968" s="264"/>
      <c r="H968" s="264"/>
      <c r="I968" s="264"/>
      <c r="J968" s="264"/>
      <c r="K968" s="264"/>
      <c r="L968" s="264"/>
      <c r="M968" s="264"/>
      <c r="N968" s="264"/>
      <c r="O968" s="264"/>
      <c r="P968" s="264"/>
      <c r="Q968" s="264"/>
      <c r="R968" s="264"/>
      <c r="S968" s="264"/>
      <c r="T968" s="264"/>
      <c r="U968" s="264"/>
      <c r="V968" s="264"/>
      <c r="W968" s="264"/>
      <c r="X968" s="264"/>
      <c r="Y968" s="264"/>
      <c r="Z968" s="264"/>
      <c r="AA968" s="264"/>
    </row>
    <row r="969" spans="1:27" ht="15.75" customHeight="1">
      <c r="A969" s="264"/>
      <c r="B969" s="264"/>
      <c r="C969" s="264"/>
      <c r="D969" s="264"/>
      <c r="E969" s="264"/>
      <c r="F969" s="264"/>
      <c r="G969" s="264"/>
      <c r="H969" s="264"/>
      <c r="I969" s="264"/>
      <c r="J969" s="264"/>
      <c r="K969" s="264"/>
      <c r="L969" s="264"/>
      <c r="M969" s="264"/>
      <c r="N969" s="264"/>
      <c r="O969" s="264"/>
      <c r="P969" s="264"/>
      <c r="Q969" s="264"/>
      <c r="R969" s="264"/>
      <c r="S969" s="264"/>
      <c r="T969" s="264"/>
      <c r="U969" s="264"/>
      <c r="V969" s="264"/>
      <c r="W969" s="264"/>
      <c r="X969" s="264"/>
      <c r="Y969" s="264"/>
      <c r="Z969" s="264"/>
      <c r="AA969" s="264"/>
    </row>
    <row r="970" spans="1:27" ht="15.75" customHeight="1">
      <c r="A970" s="264"/>
      <c r="B970" s="264"/>
      <c r="C970" s="264"/>
      <c r="D970" s="264"/>
      <c r="E970" s="264"/>
      <c r="F970" s="264"/>
      <c r="G970" s="264"/>
      <c r="H970" s="264"/>
      <c r="I970" s="264"/>
      <c r="J970" s="264"/>
      <c r="K970" s="264"/>
      <c r="L970" s="264"/>
      <c r="M970" s="264"/>
      <c r="N970" s="264"/>
      <c r="O970" s="264"/>
      <c r="P970" s="264"/>
      <c r="Q970" s="264"/>
      <c r="R970" s="264"/>
      <c r="S970" s="264"/>
      <c r="T970" s="264"/>
      <c r="U970" s="264"/>
      <c r="V970" s="264"/>
      <c r="W970" s="264"/>
      <c r="X970" s="264"/>
      <c r="Y970" s="264"/>
      <c r="Z970" s="264"/>
      <c r="AA970" s="264"/>
    </row>
    <row r="971" spans="1:27" ht="15.75" customHeight="1">
      <c r="A971" s="264"/>
      <c r="B971" s="264"/>
      <c r="C971" s="264"/>
      <c r="D971" s="264"/>
      <c r="E971" s="264"/>
      <c r="F971" s="264"/>
      <c r="G971" s="264"/>
      <c r="H971" s="264"/>
      <c r="I971" s="264"/>
      <c r="J971" s="264"/>
      <c r="K971" s="264"/>
      <c r="L971" s="264"/>
      <c r="M971" s="264"/>
      <c r="N971" s="264"/>
      <c r="O971" s="264"/>
      <c r="P971" s="264"/>
      <c r="Q971" s="264"/>
      <c r="R971" s="264"/>
      <c r="S971" s="264"/>
      <c r="T971" s="264"/>
      <c r="U971" s="264"/>
      <c r="V971" s="264"/>
      <c r="W971" s="264"/>
      <c r="X971" s="264"/>
      <c r="Y971" s="264"/>
      <c r="Z971" s="264"/>
      <c r="AA971" s="264"/>
    </row>
    <row r="972" spans="1:27" ht="15.75" customHeight="1">
      <c r="A972" s="264"/>
      <c r="B972" s="264"/>
      <c r="C972" s="264"/>
      <c r="D972" s="264"/>
      <c r="E972" s="264"/>
      <c r="F972" s="264"/>
      <c r="G972" s="264"/>
      <c r="H972" s="264"/>
      <c r="I972" s="264"/>
      <c r="J972" s="264"/>
      <c r="K972" s="264"/>
      <c r="L972" s="264"/>
      <c r="M972" s="264"/>
      <c r="N972" s="264"/>
      <c r="O972" s="264"/>
      <c r="P972" s="264"/>
      <c r="Q972" s="264"/>
      <c r="R972" s="264"/>
      <c r="S972" s="264"/>
      <c r="T972" s="264"/>
      <c r="U972" s="264"/>
      <c r="V972" s="264"/>
      <c r="W972" s="264"/>
      <c r="X972" s="264"/>
      <c r="Y972" s="264"/>
      <c r="Z972" s="264"/>
      <c r="AA972" s="264"/>
    </row>
    <row r="973" spans="1:27" ht="15.75" customHeight="1">
      <c r="A973" s="264"/>
      <c r="B973" s="264"/>
      <c r="C973" s="264"/>
      <c r="D973" s="264"/>
      <c r="E973" s="264"/>
      <c r="F973" s="264"/>
      <c r="G973" s="264"/>
      <c r="H973" s="264"/>
      <c r="I973" s="264"/>
      <c r="J973" s="264"/>
      <c r="K973" s="264"/>
      <c r="L973" s="264"/>
      <c r="M973" s="264"/>
      <c r="N973" s="264"/>
      <c r="O973" s="264"/>
      <c r="P973" s="264"/>
      <c r="Q973" s="264"/>
      <c r="R973" s="264"/>
      <c r="S973" s="264"/>
      <c r="T973" s="264"/>
      <c r="U973" s="264"/>
      <c r="V973" s="264"/>
      <c r="W973" s="264"/>
      <c r="X973" s="264"/>
      <c r="Y973" s="264"/>
      <c r="Z973" s="264"/>
      <c r="AA973" s="264"/>
    </row>
    <row r="974" spans="1:27" ht="15.75" customHeight="1">
      <c r="A974" s="264"/>
      <c r="B974" s="264"/>
      <c r="C974" s="264"/>
      <c r="D974" s="264"/>
      <c r="E974" s="264"/>
      <c r="F974" s="264"/>
      <c r="G974" s="264"/>
      <c r="H974" s="264"/>
      <c r="I974" s="264"/>
      <c r="J974" s="264"/>
      <c r="K974" s="264"/>
      <c r="L974" s="264"/>
      <c r="M974" s="264"/>
      <c r="N974" s="264"/>
      <c r="O974" s="264"/>
      <c r="P974" s="264"/>
      <c r="Q974" s="264"/>
      <c r="R974" s="264"/>
      <c r="S974" s="264"/>
      <c r="T974" s="264"/>
      <c r="U974" s="264"/>
      <c r="V974" s="264"/>
      <c r="W974" s="264"/>
      <c r="X974" s="264"/>
      <c r="Y974" s="264"/>
      <c r="Z974" s="264"/>
      <c r="AA974" s="264"/>
    </row>
    <row r="975" spans="1:27" ht="15.75" customHeight="1">
      <c r="A975" s="264"/>
      <c r="B975" s="264"/>
      <c r="C975" s="264"/>
      <c r="D975" s="264"/>
      <c r="E975" s="264"/>
      <c r="F975" s="264"/>
      <c r="G975" s="264"/>
      <c r="H975" s="264"/>
      <c r="I975" s="264"/>
      <c r="J975" s="264"/>
      <c r="K975" s="264"/>
      <c r="L975" s="264"/>
      <c r="M975" s="264"/>
      <c r="N975" s="264"/>
      <c r="O975" s="264"/>
      <c r="P975" s="264"/>
      <c r="Q975" s="264"/>
      <c r="R975" s="264"/>
      <c r="S975" s="264"/>
      <c r="T975" s="264"/>
      <c r="U975" s="264"/>
      <c r="V975" s="264"/>
      <c r="W975" s="264"/>
      <c r="X975" s="264"/>
      <c r="Y975" s="264"/>
      <c r="Z975" s="264"/>
      <c r="AA975" s="264"/>
    </row>
    <row r="976" spans="1:27" ht="15.75" customHeight="1">
      <c r="A976" s="264"/>
      <c r="B976" s="264"/>
      <c r="C976" s="264"/>
      <c r="D976" s="264"/>
      <c r="E976" s="264"/>
      <c r="F976" s="264"/>
      <c r="G976" s="264"/>
      <c r="H976" s="264"/>
      <c r="I976" s="264"/>
      <c r="J976" s="264"/>
      <c r="K976" s="264"/>
      <c r="L976" s="264"/>
      <c r="M976" s="264"/>
      <c r="N976" s="264"/>
      <c r="O976" s="264"/>
      <c r="P976" s="264"/>
      <c r="Q976" s="264"/>
      <c r="R976" s="264"/>
      <c r="S976" s="264"/>
      <c r="T976" s="264"/>
      <c r="U976" s="264"/>
      <c r="V976" s="264"/>
      <c r="W976" s="264"/>
      <c r="X976" s="264"/>
      <c r="Y976" s="264"/>
      <c r="Z976" s="264"/>
      <c r="AA976" s="264"/>
    </row>
    <row r="977" spans="1:27" ht="15.75" customHeight="1">
      <c r="A977" s="264"/>
      <c r="B977" s="264"/>
      <c r="C977" s="264"/>
      <c r="D977" s="264"/>
      <c r="E977" s="264"/>
      <c r="F977" s="264"/>
      <c r="G977" s="264"/>
      <c r="H977" s="264"/>
      <c r="I977" s="264"/>
      <c r="J977" s="264"/>
      <c r="K977" s="264"/>
      <c r="L977" s="264"/>
      <c r="M977" s="264"/>
      <c r="N977" s="264"/>
      <c r="O977" s="264"/>
      <c r="P977" s="264"/>
      <c r="Q977" s="264"/>
      <c r="R977" s="264"/>
      <c r="S977" s="264"/>
      <c r="T977" s="264"/>
      <c r="U977" s="264"/>
      <c r="V977" s="264"/>
      <c r="W977" s="264"/>
      <c r="X977" s="264"/>
      <c r="Y977" s="264"/>
      <c r="Z977" s="264"/>
      <c r="AA977" s="264"/>
    </row>
    <row r="978" spans="1:27" ht="15.75" customHeight="1">
      <c r="A978" s="264"/>
      <c r="B978" s="264"/>
      <c r="C978" s="264"/>
      <c r="D978" s="264"/>
      <c r="E978" s="264"/>
      <c r="F978" s="264"/>
      <c r="G978" s="264"/>
      <c r="H978" s="264"/>
      <c r="I978" s="264"/>
      <c r="J978" s="264"/>
      <c r="K978" s="264"/>
      <c r="L978" s="264"/>
      <c r="M978" s="264"/>
      <c r="N978" s="264"/>
      <c r="O978" s="264"/>
      <c r="P978" s="264"/>
      <c r="Q978" s="264"/>
      <c r="R978" s="264"/>
      <c r="S978" s="264"/>
      <c r="T978" s="264"/>
      <c r="U978" s="264"/>
      <c r="V978" s="264"/>
      <c r="W978" s="264"/>
      <c r="X978" s="264"/>
      <c r="Y978" s="264"/>
      <c r="Z978" s="264"/>
      <c r="AA978" s="264"/>
    </row>
    <row r="979" spans="1:27" ht="15.75" customHeight="1">
      <c r="A979" s="264"/>
      <c r="B979" s="264"/>
      <c r="C979" s="264"/>
      <c r="D979" s="264"/>
      <c r="E979" s="264"/>
      <c r="F979" s="264"/>
      <c r="G979" s="264"/>
      <c r="H979" s="264"/>
      <c r="I979" s="264"/>
      <c r="J979" s="264"/>
      <c r="K979" s="264"/>
      <c r="L979" s="264"/>
      <c r="M979" s="264"/>
      <c r="N979" s="264"/>
      <c r="O979" s="264"/>
      <c r="P979" s="264"/>
      <c r="Q979" s="264"/>
      <c r="R979" s="264"/>
      <c r="S979" s="264"/>
      <c r="T979" s="264"/>
      <c r="U979" s="264"/>
      <c r="V979" s="264"/>
      <c r="W979" s="264"/>
      <c r="X979" s="264"/>
      <c r="Y979" s="264"/>
      <c r="Z979" s="264"/>
      <c r="AA979" s="264"/>
    </row>
    <row r="980" spans="1:27" ht="15.75" customHeight="1">
      <c r="A980" s="264"/>
      <c r="B980" s="264"/>
      <c r="C980" s="264"/>
      <c r="D980" s="264"/>
      <c r="E980" s="264"/>
      <c r="F980" s="264"/>
      <c r="G980" s="264"/>
      <c r="H980" s="264"/>
      <c r="I980" s="264"/>
      <c r="J980" s="264"/>
      <c r="K980" s="264"/>
      <c r="L980" s="264"/>
      <c r="M980" s="264"/>
      <c r="N980" s="264"/>
      <c r="O980" s="264"/>
      <c r="P980" s="264"/>
      <c r="Q980" s="264"/>
      <c r="R980" s="264"/>
      <c r="S980" s="264"/>
      <c r="T980" s="264"/>
      <c r="U980" s="264"/>
      <c r="V980" s="264"/>
      <c r="W980" s="264"/>
      <c r="X980" s="264"/>
      <c r="Y980" s="264"/>
      <c r="Z980" s="264"/>
      <c r="AA980" s="264"/>
    </row>
    <row r="981" spans="1:27" ht="15.75" customHeight="1">
      <c r="A981" s="264"/>
      <c r="B981" s="264"/>
      <c r="C981" s="264"/>
      <c r="D981" s="264"/>
      <c r="E981" s="264"/>
      <c r="F981" s="264"/>
      <c r="G981" s="264"/>
      <c r="H981" s="264"/>
      <c r="I981" s="264"/>
      <c r="J981" s="264"/>
      <c r="K981" s="264"/>
      <c r="L981" s="264"/>
      <c r="M981" s="264"/>
      <c r="N981" s="264"/>
      <c r="O981" s="264"/>
      <c r="P981" s="264"/>
      <c r="Q981" s="264"/>
      <c r="R981" s="264"/>
      <c r="S981" s="264"/>
      <c r="T981" s="264"/>
      <c r="U981" s="264"/>
      <c r="V981" s="264"/>
      <c r="W981" s="264"/>
      <c r="X981" s="264"/>
      <c r="Y981" s="264"/>
      <c r="Z981" s="264"/>
      <c r="AA981" s="264"/>
    </row>
    <row r="982" spans="1:27" ht="15.75" customHeight="1">
      <c r="A982" s="264"/>
      <c r="B982" s="264"/>
      <c r="C982" s="264"/>
      <c r="D982" s="264"/>
      <c r="E982" s="264"/>
      <c r="F982" s="264"/>
      <c r="G982" s="264"/>
      <c r="H982" s="264"/>
      <c r="I982" s="264"/>
      <c r="J982" s="264"/>
      <c r="K982" s="264"/>
      <c r="L982" s="264"/>
      <c r="M982" s="264"/>
      <c r="N982" s="264"/>
      <c r="O982" s="264"/>
      <c r="P982" s="264"/>
      <c r="Q982" s="264"/>
      <c r="R982" s="264"/>
      <c r="S982" s="264"/>
      <c r="T982" s="264"/>
      <c r="U982" s="264"/>
      <c r="V982" s="264"/>
      <c r="W982" s="264"/>
      <c r="X982" s="264"/>
      <c r="Y982" s="264"/>
      <c r="Z982" s="264"/>
      <c r="AA982" s="264"/>
    </row>
    <row r="983" spans="1:27" ht="15.75" customHeight="1">
      <c r="A983" s="264"/>
      <c r="B983" s="264"/>
      <c r="C983" s="264"/>
      <c r="D983" s="264"/>
      <c r="E983" s="264"/>
      <c r="F983" s="264"/>
      <c r="G983" s="264"/>
      <c r="H983" s="264"/>
      <c r="I983" s="264"/>
      <c r="J983" s="264"/>
      <c r="K983" s="264"/>
      <c r="L983" s="264"/>
      <c r="M983" s="264"/>
      <c r="N983" s="264"/>
      <c r="O983" s="264"/>
      <c r="P983" s="264"/>
      <c r="Q983" s="264"/>
      <c r="R983" s="264"/>
      <c r="S983" s="264"/>
      <c r="T983" s="264"/>
      <c r="U983" s="264"/>
      <c r="V983" s="264"/>
      <c r="W983" s="264"/>
      <c r="X983" s="264"/>
      <c r="Y983" s="264"/>
      <c r="Z983" s="264"/>
      <c r="AA983" s="264"/>
    </row>
    <row r="984" spans="1:27" ht="15.75" customHeight="1">
      <c r="A984" s="264"/>
      <c r="B984" s="264"/>
      <c r="C984" s="264"/>
      <c r="D984" s="264"/>
      <c r="E984" s="264"/>
      <c r="F984" s="264"/>
      <c r="G984" s="264"/>
      <c r="H984" s="264"/>
      <c r="I984" s="264"/>
      <c r="J984" s="264"/>
      <c r="K984" s="264"/>
      <c r="L984" s="264"/>
      <c r="M984" s="264"/>
      <c r="N984" s="264"/>
      <c r="O984" s="264"/>
      <c r="P984" s="264"/>
      <c r="Q984" s="264"/>
      <c r="R984" s="264"/>
      <c r="S984" s="264"/>
      <c r="T984" s="264"/>
      <c r="U984" s="264"/>
      <c r="V984" s="264"/>
      <c r="W984" s="264"/>
      <c r="X984" s="264"/>
      <c r="Y984" s="264"/>
      <c r="Z984" s="264"/>
      <c r="AA984" s="264"/>
    </row>
    <row r="985" spans="1:27" ht="15.75" customHeight="1">
      <c r="A985" s="264"/>
      <c r="B985" s="264"/>
      <c r="C985" s="264"/>
      <c r="D985" s="264"/>
      <c r="E985" s="264"/>
      <c r="F985" s="264"/>
      <c r="G985" s="264"/>
      <c r="H985" s="264"/>
      <c r="I985" s="264"/>
      <c r="J985" s="264"/>
      <c r="K985" s="264"/>
      <c r="L985" s="264"/>
      <c r="M985" s="264"/>
      <c r="N985" s="264"/>
      <c r="O985" s="264"/>
      <c r="P985" s="264"/>
      <c r="Q985" s="264"/>
      <c r="R985" s="264"/>
      <c r="S985" s="264"/>
      <c r="T985" s="264"/>
      <c r="U985" s="264"/>
      <c r="V985" s="264"/>
      <c r="W985" s="264"/>
      <c r="X985" s="264"/>
      <c r="Y985" s="264"/>
      <c r="Z985" s="264"/>
      <c r="AA985" s="264"/>
    </row>
    <row r="986" spans="1:27" ht="15.75" customHeight="1">
      <c r="A986" s="264"/>
      <c r="B986" s="264"/>
      <c r="C986" s="264"/>
      <c r="D986" s="264"/>
      <c r="E986" s="264"/>
      <c r="F986" s="264"/>
      <c r="G986" s="264"/>
      <c r="H986" s="264"/>
      <c r="I986" s="264"/>
      <c r="J986" s="264"/>
      <c r="K986" s="264"/>
      <c r="L986" s="264"/>
      <c r="M986" s="264"/>
      <c r="N986" s="264"/>
      <c r="O986" s="264"/>
      <c r="P986" s="264"/>
      <c r="Q986" s="264"/>
      <c r="R986" s="264"/>
      <c r="S986" s="264"/>
      <c r="T986" s="264"/>
      <c r="U986" s="264"/>
      <c r="V986" s="264"/>
      <c r="W986" s="264"/>
      <c r="X986" s="264"/>
      <c r="Y986" s="264"/>
      <c r="Z986" s="264"/>
      <c r="AA986" s="264"/>
    </row>
    <row r="987" spans="1:27" ht="15.75" customHeight="1">
      <c r="A987" s="264"/>
      <c r="B987" s="264"/>
      <c r="C987" s="264"/>
      <c r="D987" s="264"/>
      <c r="E987" s="264"/>
      <c r="F987" s="264"/>
      <c r="G987" s="264"/>
      <c r="H987" s="264"/>
      <c r="I987" s="264"/>
      <c r="J987" s="264"/>
      <c r="K987" s="264"/>
      <c r="L987" s="264"/>
      <c r="M987" s="264"/>
      <c r="N987" s="264"/>
      <c r="O987" s="264"/>
      <c r="P987" s="264"/>
      <c r="Q987" s="264"/>
      <c r="R987" s="264"/>
      <c r="S987" s="264"/>
      <c r="T987" s="264"/>
      <c r="U987" s="264"/>
      <c r="V987" s="264"/>
      <c r="W987" s="264"/>
      <c r="X987" s="264"/>
      <c r="Y987" s="264"/>
      <c r="Z987" s="264"/>
      <c r="AA987" s="264"/>
    </row>
    <row r="988" spans="1:27" ht="15.75" customHeight="1">
      <c r="A988" s="264"/>
      <c r="B988" s="264"/>
      <c r="C988" s="264"/>
      <c r="D988" s="264"/>
      <c r="E988" s="264"/>
      <c r="F988" s="264"/>
      <c r="G988" s="264"/>
      <c r="H988" s="264"/>
      <c r="I988" s="264"/>
      <c r="J988" s="264"/>
      <c r="K988" s="264"/>
      <c r="L988" s="264"/>
      <c r="M988" s="264"/>
      <c r="N988" s="264"/>
      <c r="O988" s="264"/>
      <c r="P988" s="264"/>
      <c r="Q988" s="264"/>
      <c r="R988" s="264"/>
      <c r="S988" s="264"/>
      <c r="T988" s="264"/>
      <c r="U988" s="264"/>
      <c r="V988" s="264"/>
      <c r="W988" s="264"/>
      <c r="X988" s="264"/>
      <c r="Y988" s="264"/>
      <c r="Z988" s="264"/>
      <c r="AA988" s="264"/>
    </row>
    <row r="989" spans="1:27" ht="15.75" customHeight="1">
      <c r="A989" s="264"/>
      <c r="B989" s="264"/>
      <c r="C989" s="264"/>
      <c r="D989" s="264"/>
      <c r="E989" s="264"/>
      <c r="F989" s="264"/>
      <c r="G989" s="264"/>
      <c r="H989" s="264"/>
      <c r="I989" s="264"/>
      <c r="J989" s="264"/>
      <c r="K989" s="264"/>
      <c r="L989" s="264"/>
      <c r="M989" s="264"/>
      <c r="N989" s="264"/>
      <c r="O989" s="264"/>
      <c r="P989" s="264"/>
      <c r="Q989" s="264"/>
      <c r="R989" s="264"/>
      <c r="S989" s="264"/>
      <c r="T989" s="264"/>
      <c r="U989" s="264"/>
      <c r="V989" s="264"/>
      <c r="W989" s="264"/>
      <c r="X989" s="264"/>
      <c r="Y989" s="264"/>
      <c r="Z989" s="264"/>
      <c r="AA989" s="264"/>
    </row>
    <row r="990" spans="1:27" ht="15.75" customHeight="1">
      <c r="A990" s="264"/>
      <c r="B990" s="264"/>
      <c r="C990" s="264"/>
      <c r="D990" s="264"/>
      <c r="E990" s="264"/>
      <c r="F990" s="264"/>
      <c r="G990" s="264"/>
      <c r="H990" s="264"/>
      <c r="I990" s="264"/>
      <c r="J990" s="264"/>
      <c r="K990" s="264"/>
      <c r="L990" s="264"/>
      <c r="M990" s="264"/>
      <c r="N990" s="264"/>
      <c r="O990" s="264"/>
      <c r="P990" s="264"/>
      <c r="Q990" s="264"/>
      <c r="R990" s="264"/>
      <c r="S990" s="264"/>
      <c r="T990" s="264"/>
      <c r="U990" s="264"/>
      <c r="V990" s="264"/>
      <c r="W990" s="264"/>
      <c r="X990" s="264"/>
      <c r="Y990" s="264"/>
      <c r="Z990" s="264"/>
      <c r="AA990" s="264"/>
    </row>
    <row r="991" spans="1:27" ht="15.75" customHeight="1">
      <c r="A991" s="264"/>
      <c r="B991" s="264"/>
      <c r="C991" s="264"/>
      <c r="D991" s="264"/>
      <c r="E991" s="264"/>
      <c r="F991" s="264"/>
      <c r="G991" s="264"/>
      <c r="H991" s="264"/>
      <c r="I991" s="264"/>
      <c r="J991" s="264"/>
      <c r="K991" s="264"/>
      <c r="L991" s="264"/>
      <c r="M991" s="264"/>
      <c r="N991" s="264"/>
      <c r="O991" s="264"/>
      <c r="P991" s="264"/>
      <c r="Q991" s="264"/>
      <c r="R991" s="264"/>
      <c r="S991" s="264"/>
      <c r="T991" s="264"/>
      <c r="U991" s="264"/>
      <c r="V991" s="264"/>
      <c r="W991" s="264"/>
      <c r="X991" s="264"/>
      <c r="Y991" s="264"/>
      <c r="Z991" s="264"/>
      <c r="AA991" s="264"/>
    </row>
    <row r="992" spans="1:27" ht="15.75" customHeight="1">
      <c r="A992" s="264"/>
      <c r="B992" s="264"/>
      <c r="C992" s="264"/>
      <c r="D992" s="264"/>
      <c r="E992" s="264"/>
      <c r="F992" s="264"/>
      <c r="G992" s="264"/>
      <c r="H992" s="264"/>
      <c r="I992" s="264"/>
      <c r="J992" s="264"/>
      <c r="K992" s="264"/>
      <c r="L992" s="264"/>
      <c r="M992" s="264"/>
      <c r="N992" s="264"/>
      <c r="O992" s="264"/>
      <c r="P992" s="264"/>
      <c r="Q992" s="264"/>
      <c r="R992" s="264"/>
      <c r="S992" s="264"/>
      <c r="T992" s="264"/>
      <c r="U992" s="264"/>
      <c r="V992" s="264"/>
      <c r="W992" s="264"/>
      <c r="X992" s="264"/>
      <c r="Y992" s="264"/>
      <c r="Z992" s="264"/>
      <c r="AA992" s="264"/>
    </row>
    <row r="993" spans="1:27" ht="15.75" customHeight="1">
      <c r="A993" s="264"/>
      <c r="B993" s="264"/>
      <c r="C993" s="264"/>
      <c r="D993" s="264"/>
      <c r="E993" s="264"/>
      <c r="F993" s="264"/>
      <c r="G993" s="264"/>
      <c r="H993" s="264"/>
      <c r="I993" s="264"/>
      <c r="J993" s="264"/>
      <c r="K993" s="264"/>
      <c r="L993" s="264"/>
      <c r="M993" s="264"/>
      <c r="N993" s="264"/>
      <c r="O993" s="264"/>
      <c r="P993" s="264"/>
      <c r="Q993" s="264"/>
      <c r="R993" s="264"/>
      <c r="S993" s="264"/>
      <c r="T993" s="264"/>
      <c r="U993" s="264"/>
      <c r="V993" s="264"/>
      <c r="W993" s="264"/>
      <c r="X993" s="264"/>
      <c r="Y993" s="264"/>
      <c r="Z993" s="264"/>
      <c r="AA993" s="264"/>
    </row>
    <row r="994" spans="1:27" ht="15.75" customHeight="1">
      <c r="A994" s="264"/>
      <c r="B994" s="264"/>
      <c r="C994" s="264"/>
      <c r="D994" s="264"/>
      <c r="E994" s="264"/>
      <c r="F994" s="264"/>
      <c r="G994" s="264"/>
      <c r="H994" s="264"/>
      <c r="I994" s="264"/>
      <c r="J994" s="264"/>
      <c r="K994" s="264"/>
      <c r="L994" s="264"/>
      <c r="M994" s="264"/>
      <c r="N994" s="264"/>
      <c r="O994" s="264"/>
      <c r="P994" s="264"/>
      <c r="Q994" s="264"/>
      <c r="R994" s="264"/>
      <c r="S994" s="264"/>
      <c r="T994" s="264"/>
      <c r="U994" s="264"/>
      <c r="V994" s="264"/>
      <c r="W994" s="264"/>
      <c r="X994" s="264"/>
      <c r="Y994" s="264"/>
      <c r="Z994" s="264"/>
      <c r="AA994" s="264"/>
    </row>
    <row r="995" spans="1:27" ht="15.75" customHeight="1">
      <c r="A995" s="264"/>
      <c r="B995" s="264"/>
      <c r="C995" s="264"/>
      <c r="D995" s="264"/>
      <c r="E995" s="264"/>
      <c r="F995" s="264"/>
      <c r="G995" s="264"/>
      <c r="H995" s="264"/>
      <c r="I995" s="264"/>
      <c r="J995" s="264"/>
      <c r="K995" s="264"/>
      <c r="L995" s="264"/>
      <c r="M995" s="264"/>
      <c r="N995" s="264"/>
      <c r="O995" s="264"/>
      <c r="P995" s="264"/>
      <c r="Q995" s="264"/>
      <c r="R995" s="264"/>
      <c r="S995" s="264"/>
      <c r="T995" s="264"/>
      <c r="U995" s="264"/>
      <c r="V995" s="264"/>
      <c r="W995" s="264"/>
      <c r="X995" s="264"/>
      <c r="Y995" s="264"/>
      <c r="Z995" s="264"/>
      <c r="AA995" s="264"/>
    </row>
    <row r="996" spans="1:27" ht="15.75" customHeight="1">
      <c r="A996" s="264"/>
      <c r="B996" s="264"/>
      <c r="C996" s="264"/>
      <c r="D996" s="264"/>
      <c r="E996" s="264"/>
      <c r="F996" s="264"/>
      <c r="G996" s="264"/>
      <c r="H996" s="264"/>
      <c r="I996" s="264"/>
      <c r="J996" s="264"/>
      <c r="K996" s="264"/>
      <c r="L996" s="264"/>
      <c r="M996" s="264"/>
      <c r="N996" s="264"/>
      <c r="O996" s="264"/>
      <c r="P996" s="264"/>
      <c r="Q996" s="264"/>
      <c r="R996" s="264"/>
      <c r="S996" s="264"/>
      <c r="T996" s="264"/>
      <c r="U996" s="264"/>
      <c r="V996" s="264"/>
      <c r="W996" s="264"/>
      <c r="X996" s="264"/>
      <c r="Y996" s="264"/>
      <c r="Z996" s="264"/>
      <c r="AA996" s="264"/>
    </row>
    <row r="997" spans="1:27" ht="15.75" customHeight="1">
      <c r="A997" s="264"/>
      <c r="B997" s="264"/>
      <c r="C997" s="264"/>
      <c r="D997" s="264"/>
      <c r="E997" s="264"/>
      <c r="F997" s="264"/>
      <c r="G997" s="264"/>
      <c r="H997" s="264"/>
      <c r="I997" s="264"/>
      <c r="J997" s="264"/>
      <c r="K997" s="264"/>
      <c r="L997" s="264"/>
      <c r="M997" s="264"/>
      <c r="N997" s="264"/>
      <c r="O997" s="264"/>
      <c r="P997" s="264"/>
      <c r="Q997" s="264"/>
      <c r="R997" s="264"/>
      <c r="S997" s="264"/>
      <c r="T997" s="264"/>
      <c r="U997" s="264"/>
      <c r="V997" s="264"/>
      <c r="W997" s="264"/>
      <c r="X997" s="264"/>
      <c r="Y997" s="264"/>
      <c r="Z997" s="264"/>
      <c r="AA997" s="264"/>
    </row>
    <row r="998" spans="1:27" ht="15.75" customHeight="1">
      <c r="A998" s="264"/>
      <c r="B998" s="264"/>
      <c r="C998" s="264"/>
      <c r="D998" s="264"/>
      <c r="E998" s="264"/>
      <c r="F998" s="264"/>
      <c r="G998" s="264"/>
      <c r="H998" s="264"/>
      <c r="I998" s="264"/>
      <c r="J998" s="264"/>
      <c r="K998" s="264"/>
      <c r="L998" s="264"/>
      <c r="M998" s="264"/>
      <c r="N998" s="264"/>
      <c r="O998" s="264"/>
      <c r="P998" s="264"/>
      <c r="Q998" s="264"/>
      <c r="R998" s="264"/>
      <c r="S998" s="264"/>
      <c r="T998" s="264"/>
      <c r="U998" s="264"/>
      <c r="V998" s="264"/>
      <c r="W998" s="264"/>
      <c r="X998" s="264"/>
      <c r="Y998" s="264"/>
      <c r="Z998" s="264"/>
      <c r="AA998" s="264"/>
    </row>
    <row r="999" spans="1:27" ht="15.75" customHeight="1">
      <c r="A999" s="264"/>
      <c r="B999" s="264"/>
      <c r="C999" s="264"/>
      <c r="D999" s="264"/>
      <c r="E999" s="264"/>
      <c r="F999" s="264"/>
      <c r="G999" s="264"/>
      <c r="H999" s="264"/>
      <c r="I999" s="264"/>
      <c r="J999" s="264"/>
      <c r="K999" s="264"/>
      <c r="L999" s="264"/>
      <c r="M999" s="264"/>
      <c r="N999" s="264"/>
      <c r="O999" s="264"/>
      <c r="P999" s="264"/>
      <c r="Q999" s="264"/>
      <c r="R999" s="264"/>
      <c r="S999" s="264"/>
      <c r="T999" s="264"/>
      <c r="U999" s="264"/>
      <c r="V999" s="264"/>
      <c r="W999" s="264"/>
      <c r="X999" s="264"/>
      <c r="Y999" s="264"/>
      <c r="Z999" s="264"/>
      <c r="AA999" s="264"/>
    </row>
    <row r="1000" spans="1:27" ht="15.75" customHeight="1">
      <c r="A1000" s="264"/>
      <c r="B1000" s="264"/>
      <c r="C1000" s="264"/>
      <c r="D1000" s="264"/>
      <c r="E1000" s="264"/>
      <c r="F1000" s="264"/>
      <c r="G1000" s="264"/>
      <c r="H1000" s="264"/>
      <c r="I1000" s="264"/>
      <c r="J1000" s="264"/>
      <c r="K1000" s="264"/>
      <c r="L1000" s="264"/>
      <c r="M1000" s="264"/>
      <c r="N1000" s="264"/>
      <c r="O1000" s="264"/>
      <c r="P1000" s="264"/>
      <c r="Q1000" s="264"/>
      <c r="R1000" s="264"/>
      <c r="S1000" s="264"/>
      <c r="T1000" s="264"/>
      <c r="U1000" s="264"/>
      <c r="V1000" s="264"/>
      <c r="W1000" s="264"/>
      <c r="X1000" s="264"/>
      <c r="Y1000" s="264"/>
      <c r="Z1000" s="264"/>
      <c r="AA1000" s="264"/>
    </row>
    <row r="1001" spans="1:27" ht="15.75" customHeight="1">
      <c r="A1001" s="264"/>
      <c r="B1001" s="264"/>
      <c r="C1001" s="264"/>
      <c r="D1001" s="264"/>
      <c r="E1001" s="264"/>
      <c r="F1001" s="264"/>
      <c r="G1001" s="264"/>
      <c r="H1001" s="264"/>
      <c r="I1001" s="264"/>
      <c r="J1001" s="264"/>
      <c r="K1001" s="264"/>
      <c r="L1001" s="264"/>
      <c r="M1001" s="264"/>
      <c r="N1001" s="264"/>
      <c r="O1001" s="264"/>
      <c r="P1001" s="264"/>
      <c r="Q1001" s="264"/>
      <c r="R1001" s="264"/>
      <c r="S1001" s="264"/>
      <c r="T1001" s="264"/>
      <c r="U1001" s="264"/>
      <c r="V1001" s="264"/>
      <c r="W1001" s="264"/>
      <c r="X1001" s="264"/>
      <c r="Y1001" s="264"/>
      <c r="Z1001" s="264"/>
      <c r="AA1001" s="264"/>
    </row>
  </sheetData>
  <autoFilter ref="A1:E426" xr:uid="{00000000-0009-0000-0000-000019000000}"/>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I1000"/>
  <sheetViews>
    <sheetView workbookViewId="0"/>
  </sheetViews>
  <sheetFormatPr baseColWidth="10" defaultColWidth="12.6640625" defaultRowHeight="15" customHeight="1"/>
  <cols>
    <col min="1" max="1" width="28.6640625" customWidth="1"/>
    <col min="2" max="2" width="29.5" customWidth="1"/>
    <col min="3" max="3" width="12.83203125" customWidth="1"/>
    <col min="4" max="4" width="26.1640625" customWidth="1"/>
    <col min="5" max="5" width="14.6640625" customWidth="1"/>
    <col min="6" max="6" width="11.33203125" customWidth="1"/>
    <col min="7" max="7" width="14.33203125" customWidth="1"/>
    <col min="8" max="8" width="14.6640625" customWidth="1"/>
    <col min="9" max="9" width="14.1640625" customWidth="1"/>
    <col min="10" max="26" width="7.6640625" customWidth="1"/>
  </cols>
  <sheetData>
    <row r="1" spans="1:9">
      <c r="A1" s="155" t="s">
        <v>466</v>
      </c>
      <c r="B1" s="155" t="s">
        <v>467</v>
      </c>
      <c r="C1" s="155" t="s">
        <v>468</v>
      </c>
      <c r="D1" s="155" t="s">
        <v>469</v>
      </c>
      <c r="E1" s="155" t="s">
        <v>470</v>
      </c>
      <c r="F1" s="155" t="s">
        <v>471</v>
      </c>
      <c r="G1" s="155" t="s">
        <v>472</v>
      </c>
      <c r="H1" s="155" t="s">
        <v>473</v>
      </c>
      <c r="I1" s="155" t="s">
        <v>474</v>
      </c>
    </row>
    <row r="2" spans="1:9">
      <c r="A2" s="159" t="s">
        <v>7091</v>
      </c>
      <c r="B2" s="159" t="s">
        <v>7101</v>
      </c>
      <c r="C2" s="159" t="s">
        <v>477</v>
      </c>
      <c r="D2" s="159">
        <v>10</v>
      </c>
      <c r="E2" s="159">
        <v>0</v>
      </c>
      <c r="F2" s="159">
        <v>0</v>
      </c>
      <c r="G2" s="159" t="s">
        <v>479</v>
      </c>
      <c r="H2" s="159" t="s">
        <v>479</v>
      </c>
      <c r="I2" s="159">
        <v>1</v>
      </c>
    </row>
    <row r="3" spans="1:9">
      <c r="A3" s="159" t="s">
        <v>7091</v>
      </c>
      <c r="B3" s="159" t="s">
        <v>7102</v>
      </c>
      <c r="C3" s="159" t="s">
        <v>484</v>
      </c>
      <c r="D3" s="159">
        <v>4</v>
      </c>
      <c r="E3" s="159">
        <v>10</v>
      </c>
      <c r="F3" s="159">
        <v>0</v>
      </c>
      <c r="G3" s="159" t="s">
        <v>479</v>
      </c>
      <c r="H3" s="159" t="s">
        <v>479</v>
      </c>
      <c r="I3" s="159">
        <v>1</v>
      </c>
    </row>
    <row r="4" spans="1:9">
      <c r="A4" s="159" t="s">
        <v>7091</v>
      </c>
      <c r="B4" s="159" t="s">
        <v>1070</v>
      </c>
      <c r="C4" s="159" t="s">
        <v>978</v>
      </c>
      <c r="D4" s="159">
        <v>2</v>
      </c>
      <c r="E4" s="159">
        <v>5</v>
      </c>
      <c r="F4" s="159">
        <v>0</v>
      </c>
      <c r="G4" s="159" t="s">
        <v>479</v>
      </c>
      <c r="H4" s="159" t="s">
        <v>479</v>
      </c>
      <c r="I4" s="159">
        <v>1</v>
      </c>
    </row>
    <row r="5" spans="1:9">
      <c r="A5" s="159" t="s">
        <v>7091</v>
      </c>
      <c r="B5" s="159" t="s">
        <v>5217</v>
      </c>
      <c r="C5" s="159" t="s">
        <v>477</v>
      </c>
      <c r="D5" s="159">
        <v>10</v>
      </c>
      <c r="E5" s="159">
        <v>0</v>
      </c>
      <c r="F5" s="159">
        <v>0</v>
      </c>
      <c r="G5" s="159" t="s">
        <v>479</v>
      </c>
      <c r="H5" s="159" t="s">
        <v>479</v>
      </c>
      <c r="I5" s="159">
        <v>1</v>
      </c>
    </row>
    <row r="6" spans="1:9">
      <c r="A6" s="159" t="s">
        <v>7091</v>
      </c>
      <c r="B6" s="159" t="s">
        <v>7103</v>
      </c>
      <c r="C6" s="159" t="s">
        <v>1796</v>
      </c>
      <c r="D6" s="159">
        <v>400</v>
      </c>
      <c r="E6" s="159">
        <v>0</v>
      </c>
      <c r="F6" s="159">
        <v>0</v>
      </c>
      <c r="G6" s="159" t="s">
        <v>479</v>
      </c>
      <c r="H6" s="159" t="s">
        <v>479</v>
      </c>
      <c r="I6" s="159">
        <v>1</v>
      </c>
    </row>
    <row r="7" spans="1:9">
      <c r="A7" s="159" t="s">
        <v>7091</v>
      </c>
      <c r="B7" s="159" t="s">
        <v>7103</v>
      </c>
      <c r="C7" s="159" t="s">
        <v>7104</v>
      </c>
      <c r="D7" s="159">
        <v>400</v>
      </c>
      <c r="E7" s="159">
        <v>0</v>
      </c>
      <c r="F7" s="159">
        <v>0</v>
      </c>
      <c r="G7" s="159" t="s">
        <v>479</v>
      </c>
      <c r="H7" s="159" t="s">
        <v>479</v>
      </c>
      <c r="I7" s="159">
        <v>1</v>
      </c>
    </row>
    <row r="8" spans="1:9">
      <c r="A8" s="159" t="s">
        <v>7091</v>
      </c>
      <c r="B8" s="159" t="s">
        <v>7105</v>
      </c>
      <c r="C8" s="159" t="s">
        <v>1796</v>
      </c>
      <c r="D8" s="159">
        <v>400</v>
      </c>
      <c r="E8" s="159">
        <v>0</v>
      </c>
      <c r="F8" s="159">
        <v>0</v>
      </c>
      <c r="G8" s="159" t="s">
        <v>479</v>
      </c>
      <c r="H8" s="159" t="s">
        <v>479</v>
      </c>
      <c r="I8" s="159">
        <v>1</v>
      </c>
    </row>
    <row r="9" spans="1:9">
      <c r="A9" s="159" t="s">
        <v>7091</v>
      </c>
      <c r="B9" s="159" t="s">
        <v>7105</v>
      </c>
      <c r="C9" s="159" t="s">
        <v>7104</v>
      </c>
      <c r="D9" s="159">
        <v>400</v>
      </c>
      <c r="E9" s="159">
        <v>0</v>
      </c>
      <c r="F9" s="159">
        <v>0</v>
      </c>
      <c r="G9" s="159" t="s">
        <v>479</v>
      </c>
      <c r="H9" s="159" t="s">
        <v>479</v>
      </c>
      <c r="I9" s="159">
        <v>1</v>
      </c>
    </row>
    <row r="10" spans="1:9">
      <c r="A10" s="159" t="s">
        <v>7091</v>
      </c>
      <c r="B10" s="159" t="s">
        <v>4643</v>
      </c>
      <c r="C10" s="159" t="s">
        <v>1807</v>
      </c>
      <c r="D10" s="159">
        <v>8</v>
      </c>
      <c r="E10" s="159">
        <v>53</v>
      </c>
      <c r="F10" s="159">
        <v>0</v>
      </c>
      <c r="G10" s="159" t="s">
        <v>479</v>
      </c>
      <c r="H10" s="159" t="s">
        <v>479</v>
      </c>
      <c r="I10" s="159">
        <v>1</v>
      </c>
    </row>
    <row r="11" spans="1:9">
      <c r="A11" s="159" t="s">
        <v>7091</v>
      </c>
      <c r="B11" s="159" t="s">
        <v>5166</v>
      </c>
      <c r="C11" s="159" t="s">
        <v>1807</v>
      </c>
      <c r="D11" s="159">
        <v>8</v>
      </c>
      <c r="E11" s="159">
        <v>53</v>
      </c>
      <c r="F11" s="159">
        <v>0</v>
      </c>
      <c r="G11" s="159" t="s">
        <v>479</v>
      </c>
      <c r="H11" s="159" t="s">
        <v>479</v>
      </c>
      <c r="I11" s="159">
        <v>1</v>
      </c>
    </row>
    <row r="12" spans="1:9">
      <c r="A12" s="159" t="s">
        <v>7092</v>
      </c>
      <c r="B12" s="159" t="s">
        <v>7101</v>
      </c>
      <c r="C12" s="159" t="s">
        <v>3520</v>
      </c>
      <c r="D12" s="159">
        <v>20</v>
      </c>
      <c r="E12" s="159">
        <v>0</v>
      </c>
      <c r="F12" s="159">
        <v>0</v>
      </c>
      <c r="G12" s="159" t="s">
        <v>479</v>
      </c>
      <c r="H12" s="159" t="s">
        <v>479</v>
      </c>
      <c r="I12" s="159">
        <v>1</v>
      </c>
    </row>
    <row r="13" spans="1:9">
      <c r="A13" s="159" t="s">
        <v>7092</v>
      </c>
      <c r="B13" s="159" t="s">
        <v>7106</v>
      </c>
      <c r="C13" s="159" t="s">
        <v>1796</v>
      </c>
      <c r="D13" s="159">
        <v>24</v>
      </c>
      <c r="E13" s="159">
        <v>0</v>
      </c>
      <c r="F13" s="159">
        <v>0</v>
      </c>
      <c r="G13" s="159" t="s">
        <v>479</v>
      </c>
      <c r="H13" s="159" t="s">
        <v>479</v>
      </c>
      <c r="I13" s="159">
        <v>1</v>
      </c>
    </row>
    <row r="14" spans="1:9">
      <c r="A14" s="159" t="s">
        <v>7092</v>
      </c>
      <c r="B14" s="159" t="s">
        <v>7106</v>
      </c>
      <c r="C14" s="159" t="s">
        <v>7104</v>
      </c>
      <c r="D14" s="159">
        <v>24</v>
      </c>
      <c r="E14" s="159">
        <v>0</v>
      </c>
      <c r="F14" s="159">
        <v>0</v>
      </c>
      <c r="G14" s="159" t="s">
        <v>479</v>
      </c>
      <c r="H14" s="159" t="s">
        <v>479</v>
      </c>
      <c r="I14" s="159">
        <v>1</v>
      </c>
    </row>
    <row r="15" spans="1:9">
      <c r="A15" s="159" t="s">
        <v>7092</v>
      </c>
      <c r="B15" s="159" t="s">
        <v>7107</v>
      </c>
      <c r="C15" s="159" t="s">
        <v>1796</v>
      </c>
      <c r="D15" s="159">
        <v>24</v>
      </c>
      <c r="E15" s="159">
        <v>0</v>
      </c>
      <c r="F15" s="159">
        <v>0</v>
      </c>
      <c r="G15" s="159" t="s">
        <v>479</v>
      </c>
      <c r="H15" s="159" t="s">
        <v>479</v>
      </c>
      <c r="I15" s="159">
        <v>1</v>
      </c>
    </row>
    <row r="16" spans="1:9">
      <c r="A16" s="159" t="s">
        <v>7092</v>
      </c>
      <c r="B16" s="159" t="s">
        <v>7107</v>
      </c>
      <c r="C16" s="159" t="s">
        <v>7104</v>
      </c>
      <c r="D16" s="159">
        <v>24</v>
      </c>
      <c r="E16" s="159">
        <v>0</v>
      </c>
      <c r="F16" s="159">
        <v>0</v>
      </c>
      <c r="G16" s="159" t="s">
        <v>479</v>
      </c>
      <c r="H16" s="159" t="s">
        <v>479</v>
      </c>
      <c r="I16" s="159">
        <v>1</v>
      </c>
    </row>
    <row r="17" spans="1:9">
      <c r="A17" s="159" t="s">
        <v>7092</v>
      </c>
      <c r="B17" s="159" t="s">
        <v>7108</v>
      </c>
      <c r="C17" s="159" t="s">
        <v>1796</v>
      </c>
      <c r="D17" s="159">
        <v>400</v>
      </c>
      <c r="E17" s="159">
        <v>0</v>
      </c>
      <c r="F17" s="159">
        <v>0</v>
      </c>
      <c r="G17" s="159" t="s">
        <v>479</v>
      </c>
      <c r="H17" s="159" t="s">
        <v>479</v>
      </c>
      <c r="I17" s="159">
        <v>1</v>
      </c>
    </row>
    <row r="18" spans="1:9">
      <c r="A18" s="159" t="s">
        <v>7092</v>
      </c>
      <c r="B18" s="159" t="s">
        <v>7108</v>
      </c>
      <c r="C18" s="159" t="s">
        <v>7104</v>
      </c>
      <c r="D18" s="159">
        <v>400</v>
      </c>
      <c r="E18" s="159">
        <v>0</v>
      </c>
      <c r="F18" s="159">
        <v>0</v>
      </c>
      <c r="G18" s="159" t="s">
        <v>479</v>
      </c>
      <c r="H18" s="159" t="s">
        <v>479</v>
      </c>
      <c r="I18" s="159">
        <v>1</v>
      </c>
    </row>
    <row r="19" spans="1:9">
      <c r="A19" s="159" t="s">
        <v>7092</v>
      </c>
      <c r="B19" s="159" t="s">
        <v>7109</v>
      </c>
      <c r="C19" s="159" t="s">
        <v>1796</v>
      </c>
      <c r="D19" s="159">
        <v>400</v>
      </c>
      <c r="E19" s="159">
        <v>0</v>
      </c>
      <c r="F19" s="159">
        <v>0</v>
      </c>
      <c r="G19" s="159" t="s">
        <v>479</v>
      </c>
      <c r="H19" s="159" t="s">
        <v>479</v>
      </c>
      <c r="I19" s="159">
        <v>1</v>
      </c>
    </row>
    <row r="20" spans="1:9">
      <c r="A20" s="159" t="s">
        <v>7092</v>
      </c>
      <c r="B20" s="159" t="s">
        <v>7109</v>
      </c>
      <c r="C20" s="159" t="s">
        <v>7104</v>
      </c>
      <c r="D20" s="159">
        <v>400</v>
      </c>
      <c r="E20" s="159">
        <v>0</v>
      </c>
      <c r="F20" s="159">
        <v>0</v>
      </c>
      <c r="G20" s="159" t="s">
        <v>479</v>
      </c>
      <c r="H20" s="159" t="s">
        <v>479</v>
      </c>
      <c r="I20" s="159">
        <v>1</v>
      </c>
    </row>
    <row r="21" spans="1:9" ht="15.75" customHeight="1">
      <c r="A21" s="159" t="s">
        <v>7092</v>
      </c>
      <c r="B21" s="159" t="s">
        <v>7110</v>
      </c>
      <c r="C21" s="159" t="s">
        <v>1796</v>
      </c>
      <c r="D21" s="159">
        <v>400</v>
      </c>
      <c r="E21" s="159">
        <v>0</v>
      </c>
      <c r="F21" s="159">
        <v>0</v>
      </c>
      <c r="G21" s="159" t="s">
        <v>479</v>
      </c>
      <c r="H21" s="159" t="s">
        <v>479</v>
      </c>
      <c r="I21" s="159">
        <v>1</v>
      </c>
    </row>
    <row r="22" spans="1:9" ht="15.75" customHeight="1">
      <c r="A22" s="159" t="s">
        <v>7092</v>
      </c>
      <c r="B22" s="159" t="s">
        <v>7110</v>
      </c>
      <c r="C22" s="159" t="s">
        <v>7104</v>
      </c>
      <c r="D22" s="159">
        <v>400</v>
      </c>
      <c r="E22" s="159">
        <v>0</v>
      </c>
      <c r="F22" s="159">
        <v>0</v>
      </c>
      <c r="G22" s="159" t="s">
        <v>479</v>
      </c>
      <c r="H22" s="159" t="s">
        <v>479</v>
      </c>
      <c r="I22" s="159">
        <v>1</v>
      </c>
    </row>
    <row r="23" spans="1:9" ht="15.75" customHeight="1">
      <c r="A23" s="159" t="s">
        <v>7092</v>
      </c>
      <c r="B23" s="159" t="s">
        <v>7111</v>
      </c>
      <c r="C23" s="159" t="s">
        <v>1796</v>
      </c>
      <c r="D23" s="159">
        <v>400</v>
      </c>
      <c r="E23" s="159">
        <v>0</v>
      </c>
      <c r="F23" s="159">
        <v>0</v>
      </c>
      <c r="G23" s="159" t="s">
        <v>479</v>
      </c>
      <c r="H23" s="159" t="s">
        <v>479</v>
      </c>
      <c r="I23" s="159">
        <v>1</v>
      </c>
    </row>
    <row r="24" spans="1:9" ht="15.75" customHeight="1">
      <c r="A24" s="159" t="s">
        <v>7092</v>
      </c>
      <c r="B24" s="159" t="s">
        <v>7111</v>
      </c>
      <c r="C24" s="159" t="s">
        <v>7104</v>
      </c>
      <c r="D24" s="159">
        <v>400</v>
      </c>
      <c r="E24" s="159">
        <v>0</v>
      </c>
      <c r="F24" s="159">
        <v>0</v>
      </c>
      <c r="G24" s="159" t="s">
        <v>479</v>
      </c>
      <c r="H24" s="159" t="s">
        <v>479</v>
      </c>
      <c r="I24" s="159">
        <v>1</v>
      </c>
    </row>
    <row r="25" spans="1:9" ht="15.75" customHeight="1">
      <c r="A25" s="159" t="s">
        <v>7092</v>
      </c>
      <c r="B25" s="159" t="s">
        <v>2321</v>
      </c>
      <c r="C25" s="159" t="s">
        <v>1796</v>
      </c>
      <c r="D25" s="159">
        <v>400</v>
      </c>
      <c r="E25" s="159">
        <v>0</v>
      </c>
      <c r="F25" s="159">
        <v>0</v>
      </c>
      <c r="G25" s="159" t="s">
        <v>479</v>
      </c>
      <c r="H25" s="159" t="s">
        <v>479</v>
      </c>
      <c r="I25" s="159">
        <v>1</v>
      </c>
    </row>
    <row r="26" spans="1:9" ht="15.75" customHeight="1">
      <c r="A26" s="159" t="s">
        <v>7092</v>
      </c>
      <c r="B26" s="159" t="s">
        <v>2321</v>
      </c>
      <c r="C26" s="159" t="s">
        <v>7104</v>
      </c>
      <c r="D26" s="159">
        <v>400</v>
      </c>
      <c r="E26" s="159">
        <v>0</v>
      </c>
      <c r="F26" s="159">
        <v>0</v>
      </c>
      <c r="G26" s="159" t="s">
        <v>479</v>
      </c>
      <c r="H26" s="159" t="s">
        <v>479</v>
      </c>
      <c r="I26" s="159">
        <v>1</v>
      </c>
    </row>
    <row r="27" spans="1:9" ht="15.75" customHeight="1">
      <c r="A27" s="159" t="s">
        <v>7093</v>
      </c>
      <c r="B27" s="159" t="s">
        <v>7112</v>
      </c>
      <c r="C27" s="159" t="s">
        <v>1796</v>
      </c>
      <c r="D27" s="159">
        <v>200</v>
      </c>
      <c r="E27" s="159">
        <v>0</v>
      </c>
      <c r="F27" s="159">
        <v>0</v>
      </c>
      <c r="G27" s="159" t="s">
        <v>479</v>
      </c>
      <c r="H27" s="159" t="s">
        <v>479</v>
      </c>
      <c r="I27" s="159">
        <v>1</v>
      </c>
    </row>
    <row r="28" spans="1:9" ht="15.75" customHeight="1">
      <c r="A28" s="159" t="s">
        <v>7093</v>
      </c>
      <c r="B28" s="159" t="s">
        <v>7112</v>
      </c>
      <c r="C28" s="159" t="s">
        <v>7104</v>
      </c>
      <c r="D28" s="159">
        <v>200</v>
      </c>
      <c r="E28" s="159">
        <v>0</v>
      </c>
      <c r="F28" s="159">
        <v>0</v>
      </c>
      <c r="G28" s="159" t="s">
        <v>479</v>
      </c>
      <c r="H28" s="159" t="s">
        <v>479</v>
      </c>
      <c r="I28" s="159">
        <v>1</v>
      </c>
    </row>
    <row r="29" spans="1:9" ht="15.75" customHeight="1">
      <c r="A29" s="159" t="s">
        <v>7093</v>
      </c>
      <c r="B29" s="159" t="s">
        <v>5158</v>
      </c>
      <c r="C29" s="159" t="s">
        <v>6118</v>
      </c>
      <c r="D29" s="159">
        <v>16</v>
      </c>
      <c r="E29" s="159">
        <v>0</v>
      </c>
      <c r="F29" s="159">
        <v>0</v>
      </c>
      <c r="G29" s="159" t="s">
        <v>479</v>
      </c>
      <c r="H29" s="159" t="s">
        <v>479</v>
      </c>
      <c r="I29" s="159">
        <v>1</v>
      </c>
    </row>
    <row r="30" spans="1:9" ht="15.75" customHeight="1">
      <c r="A30" s="159" t="s">
        <v>7093</v>
      </c>
      <c r="B30" s="159" t="s">
        <v>5285</v>
      </c>
      <c r="C30" s="159" t="s">
        <v>538</v>
      </c>
      <c r="D30" s="159">
        <v>8</v>
      </c>
      <c r="E30" s="159">
        <v>23</v>
      </c>
      <c r="F30" s="159">
        <v>3</v>
      </c>
      <c r="G30" s="159" t="s">
        <v>479</v>
      </c>
      <c r="H30" s="159" t="s">
        <v>479</v>
      </c>
      <c r="I30" s="159">
        <v>1</v>
      </c>
    </row>
    <row r="31" spans="1:9" ht="15.75" customHeight="1">
      <c r="A31" s="159" t="s">
        <v>7093</v>
      </c>
      <c r="B31" s="159" t="s">
        <v>7113</v>
      </c>
      <c r="C31" s="159" t="s">
        <v>477</v>
      </c>
      <c r="D31" s="159">
        <v>50</v>
      </c>
      <c r="E31" s="159">
        <v>0</v>
      </c>
      <c r="F31" s="159">
        <v>0</v>
      </c>
      <c r="G31" s="159" t="s">
        <v>479</v>
      </c>
      <c r="H31" s="159" t="s">
        <v>479</v>
      </c>
      <c r="I31" s="159">
        <v>1</v>
      </c>
    </row>
    <row r="32" spans="1:9" ht="15.75" customHeight="1">
      <c r="A32" s="159" t="s">
        <v>7093</v>
      </c>
      <c r="B32" s="159" t="s">
        <v>7114</v>
      </c>
      <c r="C32" s="159" t="s">
        <v>538</v>
      </c>
      <c r="D32" s="159">
        <v>8</v>
      </c>
      <c r="E32" s="159">
        <v>23</v>
      </c>
      <c r="F32" s="159">
        <v>3</v>
      </c>
      <c r="G32" s="159" t="s">
        <v>479</v>
      </c>
      <c r="H32" s="159" t="s">
        <v>479</v>
      </c>
      <c r="I32" s="159">
        <v>1</v>
      </c>
    </row>
    <row r="33" spans="1:9" ht="15.75" customHeight="1">
      <c r="A33" s="159" t="s">
        <v>7093</v>
      </c>
      <c r="B33" s="159" t="s">
        <v>7115</v>
      </c>
      <c r="C33" s="159" t="s">
        <v>477</v>
      </c>
      <c r="D33" s="159">
        <v>1000</v>
      </c>
      <c r="E33" s="159">
        <v>0</v>
      </c>
      <c r="F33" s="159">
        <v>0</v>
      </c>
      <c r="G33" s="159" t="s">
        <v>479</v>
      </c>
      <c r="H33" s="159" t="s">
        <v>479</v>
      </c>
      <c r="I33" s="159">
        <v>1</v>
      </c>
    </row>
    <row r="34" spans="1:9" ht="15.75" customHeight="1">
      <c r="A34" s="159" t="s">
        <v>7093</v>
      </c>
      <c r="B34" s="159" t="s">
        <v>7116</v>
      </c>
      <c r="C34" s="159" t="s">
        <v>484</v>
      </c>
      <c r="D34" s="159">
        <v>4</v>
      </c>
      <c r="E34" s="159">
        <v>10</v>
      </c>
      <c r="F34" s="159">
        <v>0</v>
      </c>
      <c r="G34" s="159" t="s">
        <v>479</v>
      </c>
      <c r="H34" s="159" t="s">
        <v>479</v>
      </c>
      <c r="I34" s="159">
        <v>1</v>
      </c>
    </row>
    <row r="35" spans="1:9" ht="15.75" customHeight="1">
      <c r="A35" s="159" t="s">
        <v>7093</v>
      </c>
      <c r="B35" s="159" t="s">
        <v>7117</v>
      </c>
      <c r="C35" s="159" t="s">
        <v>477</v>
      </c>
      <c r="D35" s="159">
        <v>400</v>
      </c>
      <c r="E35" s="159">
        <v>0</v>
      </c>
      <c r="F35" s="159">
        <v>0</v>
      </c>
      <c r="G35" s="159" t="s">
        <v>479</v>
      </c>
      <c r="H35" s="159" t="s">
        <v>479</v>
      </c>
      <c r="I35" s="159">
        <v>1</v>
      </c>
    </row>
    <row r="36" spans="1:9" ht="15.75" customHeight="1">
      <c r="A36" s="159" t="s">
        <v>7093</v>
      </c>
      <c r="B36" s="159" t="s">
        <v>7118</v>
      </c>
      <c r="C36" s="159" t="s">
        <v>477</v>
      </c>
      <c r="D36" s="159">
        <v>400</v>
      </c>
      <c r="E36" s="159">
        <v>0</v>
      </c>
      <c r="F36" s="159">
        <v>0</v>
      </c>
      <c r="G36" s="159" t="s">
        <v>479</v>
      </c>
      <c r="H36" s="159" t="s">
        <v>479</v>
      </c>
      <c r="I36" s="159">
        <v>1</v>
      </c>
    </row>
    <row r="37" spans="1:9" ht="15.75" customHeight="1">
      <c r="A37" s="159" t="s">
        <v>7093</v>
      </c>
      <c r="B37" s="159" t="s">
        <v>7119</v>
      </c>
      <c r="C37" s="159" t="s">
        <v>477</v>
      </c>
      <c r="D37" s="159">
        <v>400</v>
      </c>
      <c r="E37" s="159">
        <v>0</v>
      </c>
      <c r="F37" s="159">
        <v>0</v>
      </c>
      <c r="G37" s="159" t="s">
        <v>479</v>
      </c>
      <c r="H37" s="159" t="s">
        <v>479</v>
      </c>
      <c r="I37" s="159">
        <v>1</v>
      </c>
    </row>
    <row r="38" spans="1:9" ht="15.75" customHeight="1">
      <c r="A38" s="159" t="s">
        <v>7093</v>
      </c>
      <c r="B38" s="159" t="s">
        <v>7120</v>
      </c>
      <c r="C38" s="159" t="s">
        <v>477</v>
      </c>
      <c r="D38" s="159">
        <v>5</v>
      </c>
      <c r="E38" s="159">
        <v>0</v>
      </c>
      <c r="F38" s="159">
        <v>0</v>
      </c>
      <c r="G38" s="159" t="s">
        <v>479</v>
      </c>
      <c r="H38" s="159" t="s">
        <v>479</v>
      </c>
      <c r="I38" s="159">
        <v>1</v>
      </c>
    </row>
    <row r="39" spans="1:9" ht="15.75" customHeight="1">
      <c r="A39" s="159" t="s">
        <v>7093</v>
      </c>
      <c r="B39" s="159" t="s">
        <v>7121</v>
      </c>
      <c r="C39" s="159" t="s">
        <v>477</v>
      </c>
      <c r="D39" s="159">
        <v>1000</v>
      </c>
      <c r="E39" s="159">
        <v>0</v>
      </c>
      <c r="F39" s="159">
        <v>0</v>
      </c>
      <c r="G39" s="159" t="s">
        <v>479</v>
      </c>
      <c r="H39" s="159" t="s">
        <v>479</v>
      </c>
      <c r="I39" s="159">
        <v>1</v>
      </c>
    </row>
    <row r="40" spans="1:9" ht="15.75" customHeight="1">
      <c r="A40" s="159" t="s">
        <v>7093</v>
      </c>
      <c r="B40" s="159" t="s">
        <v>7122</v>
      </c>
      <c r="C40" s="159" t="s">
        <v>477</v>
      </c>
      <c r="D40" s="159">
        <v>1000</v>
      </c>
      <c r="E40" s="159">
        <v>0</v>
      </c>
      <c r="F40" s="159">
        <v>0</v>
      </c>
      <c r="G40" s="159" t="s">
        <v>479</v>
      </c>
      <c r="H40" s="159" t="s">
        <v>479</v>
      </c>
      <c r="I40" s="159">
        <v>1</v>
      </c>
    </row>
    <row r="41" spans="1:9" ht="15.75" customHeight="1">
      <c r="A41" s="159" t="s">
        <v>7093</v>
      </c>
      <c r="B41" s="159" t="s">
        <v>7123</v>
      </c>
      <c r="C41" s="159" t="s">
        <v>477</v>
      </c>
      <c r="D41" s="159">
        <v>1000</v>
      </c>
      <c r="E41" s="159">
        <v>0</v>
      </c>
      <c r="F41" s="159">
        <v>0</v>
      </c>
      <c r="G41" s="159" t="s">
        <v>479</v>
      </c>
      <c r="H41" s="159" t="s">
        <v>479</v>
      </c>
      <c r="I41" s="159">
        <v>1</v>
      </c>
    </row>
    <row r="42" spans="1:9" ht="15.75" customHeight="1">
      <c r="A42" s="159" t="s">
        <v>7093</v>
      </c>
      <c r="B42" s="159" t="s">
        <v>7124</v>
      </c>
      <c r="C42" s="159" t="s">
        <v>477</v>
      </c>
      <c r="D42" s="159">
        <v>1000</v>
      </c>
      <c r="E42" s="159">
        <v>0</v>
      </c>
      <c r="F42" s="159">
        <v>0</v>
      </c>
      <c r="G42" s="159" t="s">
        <v>479</v>
      </c>
      <c r="H42" s="159" t="s">
        <v>479</v>
      </c>
      <c r="I42" s="159">
        <v>1</v>
      </c>
    </row>
    <row r="43" spans="1:9" ht="15.75" customHeight="1">
      <c r="A43" s="159" t="s">
        <v>7093</v>
      </c>
      <c r="B43" s="159" t="s">
        <v>7125</v>
      </c>
      <c r="C43" s="159" t="s">
        <v>477</v>
      </c>
      <c r="D43" s="159">
        <v>1000</v>
      </c>
      <c r="E43" s="159">
        <v>0</v>
      </c>
      <c r="F43" s="159">
        <v>0</v>
      </c>
      <c r="G43" s="159" t="s">
        <v>479</v>
      </c>
      <c r="H43" s="159" t="s">
        <v>479</v>
      </c>
      <c r="I43" s="159">
        <v>1</v>
      </c>
    </row>
    <row r="44" spans="1:9" ht="15.75" customHeight="1">
      <c r="A44" s="159" t="s">
        <v>7093</v>
      </c>
      <c r="B44" s="159" t="s">
        <v>7126</v>
      </c>
      <c r="C44" s="159" t="s">
        <v>477</v>
      </c>
      <c r="D44" s="159">
        <v>1</v>
      </c>
      <c r="E44" s="159">
        <v>0</v>
      </c>
      <c r="F44" s="159">
        <v>0</v>
      </c>
      <c r="G44" s="159" t="s">
        <v>479</v>
      </c>
      <c r="H44" s="159" t="s">
        <v>479</v>
      </c>
      <c r="I44" s="159">
        <v>1</v>
      </c>
    </row>
    <row r="45" spans="1:9" ht="15.75" customHeight="1">
      <c r="A45" s="159" t="s">
        <v>7093</v>
      </c>
      <c r="B45" s="159" t="s">
        <v>7127</v>
      </c>
      <c r="C45" s="159" t="s">
        <v>477</v>
      </c>
      <c r="D45" s="159">
        <v>1</v>
      </c>
      <c r="E45" s="159">
        <v>0</v>
      </c>
      <c r="F45" s="159">
        <v>0</v>
      </c>
      <c r="G45" s="159" t="s">
        <v>479</v>
      </c>
      <c r="H45" s="159" t="s">
        <v>479</v>
      </c>
      <c r="I45" s="159">
        <v>1</v>
      </c>
    </row>
    <row r="46" spans="1:9" ht="15.75" customHeight="1">
      <c r="A46" s="159" t="s">
        <v>7093</v>
      </c>
      <c r="B46" s="159" t="s">
        <v>7128</v>
      </c>
      <c r="C46" s="159" t="s">
        <v>477</v>
      </c>
      <c r="D46" s="159">
        <v>1</v>
      </c>
      <c r="E46" s="159">
        <v>0</v>
      </c>
      <c r="F46" s="159">
        <v>0</v>
      </c>
      <c r="G46" s="159" t="s">
        <v>479</v>
      </c>
      <c r="H46" s="159" t="s">
        <v>479</v>
      </c>
      <c r="I46" s="159">
        <v>1</v>
      </c>
    </row>
    <row r="47" spans="1:9" ht="15.75" customHeight="1">
      <c r="A47" s="159" t="s">
        <v>7093</v>
      </c>
      <c r="B47" s="159" t="s">
        <v>7129</v>
      </c>
      <c r="C47" s="159" t="s">
        <v>477</v>
      </c>
      <c r="D47" s="159">
        <v>100</v>
      </c>
      <c r="E47" s="159">
        <v>0</v>
      </c>
      <c r="F47" s="159">
        <v>0</v>
      </c>
      <c r="G47" s="159" t="s">
        <v>479</v>
      </c>
      <c r="H47" s="159" t="s">
        <v>479</v>
      </c>
      <c r="I47" s="159">
        <v>1</v>
      </c>
    </row>
    <row r="48" spans="1:9" ht="15.75" customHeight="1">
      <c r="A48" s="159" t="s">
        <v>7093</v>
      </c>
      <c r="B48" s="159" t="s">
        <v>7130</v>
      </c>
      <c r="C48" s="159" t="s">
        <v>477</v>
      </c>
      <c r="D48" s="159">
        <v>1000</v>
      </c>
      <c r="E48" s="159">
        <v>0</v>
      </c>
      <c r="F48" s="159">
        <v>0</v>
      </c>
      <c r="G48" s="159" t="s">
        <v>479</v>
      </c>
      <c r="H48" s="159" t="s">
        <v>479</v>
      </c>
      <c r="I48" s="159">
        <v>1</v>
      </c>
    </row>
    <row r="49" spans="1:9" ht="15.75" customHeight="1">
      <c r="A49" s="159" t="s">
        <v>7093</v>
      </c>
      <c r="B49" s="159" t="s">
        <v>7131</v>
      </c>
      <c r="C49" s="159" t="s">
        <v>477</v>
      </c>
      <c r="D49" s="159">
        <v>3</v>
      </c>
      <c r="E49" s="159">
        <v>0</v>
      </c>
      <c r="F49" s="159">
        <v>0</v>
      </c>
      <c r="G49" s="159" t="s">
        <v>479</v>
      </c>
      <c r="H49" s="159" t="s">
        <v>479</v>
      </c>
      <c r="I49" s="159">
        <v>1</v>
      </c>
    </row>
    <row r="50" spans="1:9" ht="15.75" customHeight="1">
      <c r="A50" s="159" t="s">
        <v>7093</v>
      </c>
      <c r="B50" s="159" t="s">
        <v>7101</v>
      </c>
      <c r="C50" s="159" t="s">
        <v>477</v>
      </c>
      <c r="D50" s="159">
        <v>10</v>
      </c>
      <c r="E50" s="159">
        <v>0</v>
      </c>
      <c r="F50" s="159">
        <v>0</v>
      </c>
      <c r="G50" s="159" t="s">
        <v>479</v>
      </c>
      <c r="H50" s="159" t="s">
        <v>479</v>
      </c>
      <c r="I50" s="159">
        <v>1</v>
      </c>
    </row>
    <row r="51" spans="1:9" ht="15.75" customHeight="1">
      <c r="A51" s="159" t="s">
        <v>7094</v>
      </c>
      <c r="B51" s="159" t="s">
        <v>7101</v>
      </c>
      <c r="C51" s="159" t="s">
        <v>1796</v>
      </c>
      <c r="D51" s="159">
        <v>20</v>
      </c>
      <c r="E51" s="159">
        <v>0</v>
      </c>
      <c r="F51" s="159">
        <v>0</v>
      </c>
      <c r="G51" s="159" t="s">
        <v>479</v>
      </c>
      <c r="H51" s="159" t="s">
        <v>479</v>
      </c>
      <c r="I51" s="159">
        <v>1</v>
      </c>
    </row>
    <row r="52" spans="1:9" ht="15.75" customHeight="1">
      <c r="A52" s="159" t="s">
        <v>7094</v>
      </c>
      <c r="B52" s="159" t="s">
        <v>7101</v>
      </c>
      <c r="C52" s="159" t="s">
        <v>7104</v>
      </c>
      <c r="D52" s="159">
        <v>20</v>
      </c>
      <c r="E52" s="159">
        <v>0</v>
      </c>
      <c r="F52" s="159">
        <v>0</v>
      </c>
      <c r="G52" s="159" t="s">
        <v>479</v>
      </c>
      <c r="H52" s="159" t="s">
        <v>479</v>
      </c>
      <c r="I52" s="159">
        <v>1</v>
      </c>
    </row>
    <row r="53" spans="1:9" ht="15.75" customHeight="1">
      <c r="A53" s="159" t="s">
        <v>7094</v>
      </c>
      <c r="B53" s="159" t="s">
        <v>7132</v>
      </c>
      <c r="C53" s="159" t="s">
        <v>1796</v>
      </c>
      <c r="D53" s="159">
        <v>20</v>
      </c>
      <c r="E53" s="159">
        <v>0</v>
      </c>
      <c r="F53" s="159">
        <v>0</v>
      </c>
      <c r="G53" s="159" t="s">
        <v>479</v>
      </c>
      <c r="H53" s="159" t="s">
        <v>479</v>
      </c>
      <c r="I53" s="159">
        <v>0</v>
      </c>
    </row>
    <row r="54" spans="1:9" ht="15.75" customHeight="1">
      <c r="A54" s="159" t="s">
        <v>7094</v>
      </c>
      <c r="B54" s="159" t="s">
        <v>7132</v>
      </c>
      <c r="C54" s="159" t="s">
        <v>7104</v>
      </c>
      <c r="D54" s="159">
        <v>20</v>
      </c>
      <c r="E54" s="159">
        <v>0</v>
      </c>
      <c r="F54" s="159">
        <v>0</v>
      </c>
      <c r="G54" s="159" t="s">
        <v>479</v>
      </c>
      <c r="H54" s="159" t="s">
        <v>479</v>
      </c>
      <c r="I54" s="159">
        <v>0</v>
      </c>
    </row>
    <row r="55" spans="1:9" ht="15.75" customHeight="1">
      <c r="A55" s="159" t="s">
        <v>7094</v>
      </c>
      <c r="B55" s="159" t="s">
        <v>7133</v>
      </c>
      <c r="C55" s="159" t="s">
        <v>1796</v>
      </c>
      <c r="D55" s="159">
        <v>200</v>
      </c>
      <c r="E55" s="159">
        <v>0</v>
      </c>
      <c r="F55" s="159">
        <v>0</v>
      </c>
      <c r="G55" s="159" t="s">
        <v>479</v>
      </c>
      <c r="H55" s="159" t="s">
        <v>479</v>
      </c>
      <c r="I55" s="159">
        <v>0</v>
      </c>
    </row>
    <row r="56" spans="1:9" ht="15.75" customHeight="1">
      <c r="A56" s="159" t="s">
        <v>7094</v>
      </c>
      <c r="B56" s="159" t="s">
        <v>7133</v>
      </c>
      <c r="C56" s="159" t="s">
        <v>7104</v>
      </c>
      <c r="D56" s="159">
        <v>200</v>
      </c>
      <c r="E56" s="159">
        <v>0</v>
      </c>
      <c r="F56" s="159">
        <v>0</v>
      </c>
      <c r="G56" s="159" t="s">
        <v>479</v>
      </c>
      <c r="H56" s="159" t="s">
        <v>479</v>
      </c>
      <c r="I56" s="159">
        <v>0</v>
      </c>
    </row>
    <row r="57" spans="1:9" ht="15.75" customHeight="1">
      <c r="A57" s="159" t="s">
        <v>7094</v>
      </c>
      <c r="B57" s="159" t="s">
        <v>4674</v>
      </c>
      <c r="C57" s="159" t="s">
        <v>1796</v>
      </c>
      <c r="D57" s="159">
        <v>72</v>
      </c>
      <c r="E57" s="159">
        <v>0</v>
      </c>
      <c r="F57" s="159">
        <v>0</v>
      </c>
      <c r="G57" s="159" t="s">
        <v>479</v>
      </c>
      <c r="H57" s="159" t="s">
        <v>479</v>
      </c>
      <c r="I57" s="159">
        <v>0</v>
      </c>
    </row>
    <row r="58" spans="1:9" ht="15.75" customHeight="1">
      <c r="A58" s="159" t="s">
        <v>7094</v>
      </c>
      <c r="B58" s="159" t="s">
        <v>4674</v>
      </c>
      <c r="C58" s="159" t="s">
        <v>7104</v>
      </c>
      <c r="D58" s="159">
        <v>72</v>
      </c>
      <c r="E58" s="159">
        <v>0</v>
      </c>
      <c r="F58" s="159">
        <v>0</v>
      </c>
      <c r="G58" s="159" t="s">
        <v>479</v>
      </c>
      <c r="H58" s="159" t="s">
        <v>479</v>
      </c>
      <c r="I58" s="159">
        <v>0</v>
      </c>
    </row>
    <row r="59" spans="1:9" ht="15.75" customHeight="1">
      <c r="A59" s="159" t="s">
        <v>7094</v>
      </c>
      <c r="B59" s="159" t="s">
        <v>7134</v>
      </c>
      <c r="C59" s="159" t="s">
        <v>1796</v>
      </c>
      <c r="D59" s="159">
        <v>100</v>
      </c>
      <c r="E59" s="159">
        <v>0</v>
      </c>
      <c r="F59" s="159">
        <v>0</v>
      </c>
      <c r="G59" s="159" t="s">
        <v>479</v>
      </c>
      <c r="H59" s="159" t="s">
        <v>479</v>
      </c>
      <c r="I59" s="159">
        <v>1</v>
      </c>
    </row>
    <row r="60" spans="1:9" ht="15.75" customHeight="1">
      <c r="A60" s="159" t="s">
        <v>7094</v>
      </c>
      <c r="B60" s="159" t="s">
        <v>7134</v>
      </c>
      <c r="C60" s="159" t="s">
        <v>7104</v>
      </c>
      <c r="D60" s="159">
        <v>100</v>
      </c>
      <c r="E60" s="159">
        <v>0</v>
      </c>
      <c r="F60" s="159">
        <v>0</v>
      </c>
      <c r="G60" s="159" t="s">
        <v>479</v>
      </c>
      <c r="H60" s="159" t="s">
        <v>479</v>
      </c>
      <c r="I60" s="159">
        <v>1</v>
      </c>
    </row>
    <row r="61" spans="1:9" ht="15.75" customHeight="1">
      <c r="A61" s="159" t="s">
        <v>7094</v>
      </c>
      <c r="B61" s="159" t="s">
        <v>7135</v>
      </c>
      <c r="C61" s="159" t="s">
        <v>538</v>
      </c>
      <c r="D61" s="159">
        <v>8</v>
      </c>
      <c r="E61" s="159">
        <v>23</v>
      </c>
      <c r="F61" s="159">
        <v>3</v>
      </c>
      <c r="G61" s="159" t="s">
        <v>479</v>
      </c>
      <c r="H61" s="159" t="s">
        <v>479</v>
      </c>
      <c r="I61" s="159">
        <v>0</v>
      </c>
    </row>
    <row r="62" spans="1:9" ht="15.75" customHeight="1">
      <c r="A62" s="159" t="s">
        <v>7095</v>
      </c>
      <c r="B62" s="159" t="s">
        <v>7101</v>
      </c>
      <c r="C62" s="159" t="s">
        <v>477</v>
      </c>
      <c r="D62" s="159">
        <v>10</v>
      </c>
      <c r="E62" s="159">
        <v>0</v>
      </c>
      <c r="F62" s="159">
        <v>0</v>
      </c>
      <c r="G62" s="159" t="s">
        <v>479</v>
      </c>
      <c r="H62" s="159" t="s">
        <v>548</v>
      </c>
      <c r="I62" s="159">
        <v>1</v>
      </c>
    </row>
    <row r="63" spans="1:9" ht="15.75" customHeight="1">
      <c r="A63" s="159" t="s">
        <v>7095</v>
      </c>
      <c r="B63" s="159" t="s">
        <v>7136</v>
      </c>
      <c r="C63" s="159" t="s">
        <v>477</v>
      </c>
      <c r="D63" s="159">
        <v>50</v>
      </c>
      <c r="E63" s="159">
        <v>0</v>
      </c>
      <c r="F63" s="159">
        <v>0</v>
      </c>
      <c r="G63" s="159" t="s">
        <v>479</v>
      </c>
      <c r="H63" s="159" t="s">
        <v>479</v>
      </c>
      <c r="I63" s="159">
        <v>1</v>
      </c>
    </row>
    <row r="64" spans="1:9" ht="15.75" customHeight="1">
      <c r="A64" s="159" t="s">
        <v>7095</v>
      </c>
      <c r="B64" s="159" t="s">
        <v>7137</v>
      </c>
      <c r="C64" s="159" t="s">
        <v>477</v>
      </c>
      <c r="D64" s="159">
        <v>50</v>
      </c>
      <c r="E64" s="159">
        <v>0</v>
      </c>
      <c r="F64" s="159">
        <v>0</v>
      </c>
      <c r="G64" s="159" t="s">
        <v>479</v>
      </c>
      <c r="H64" s="159" t="s">
        <v>479</v>
      </c>
      <c r="I64" s="159">
        <v>1</v>
      </c>
    </row>
    <row r="65" spans="1:9" ht="15.75" customHeight="1">
      <c r="A65" s="159" t="s">
        <v>7095</v>
      </c>
      <c r="B65" s="159" t="s">
        <v>5158</v>
      </c>
      <c r="C65" s="159" t="s">
        <v>6118</v>
      </c>
      <c r="D65" s="159">
        <v>16</v>
      </c>
      <c r="E65" s="159">
        <v>0</v>
      </c>
      <c r="F65" s="159">
        <v>0</v>
      </c>
      <c r="G65" s="159" t="s">
        <v>479</v>
      </c>
      <c r="H65" s="159" t="s">
        <v>479</v>
      </c>
      <c r="I65" s="159">
        <v>1</v>
      </c>
    </row>
    <row r="66" spans="1:9" ht="15.75" customHeight="1">
      <c r="A66" s="159" t="s">
        <v>7095</v>
      </c>
      <c r="B66" s="159" t="s">
        <v>7138</v>
      </c>
      <c r="C66" s="159" t="s">
        <v>477</v>
      </c>
      <c r="D66" s="159">
        <v>50</v>
      </c>
      <c r="E66" s="159">
        <v>0</v>
      </c>
      <c r="F66" s="159">
        <v>0</v>
      </c>
      <c r="G66" s="159" t="s">
        <v>479</v>
      </c>
      <c r="H66" s="159" t="s">
        <v>479</v>
      </c>
      <c r="I66" s="159">
        <v>1</v>
      </c>
    </row>
    <row r="67" spans="1:9" ht="15.75" customHeight="1">
      <c r="A67" s="159" t="s">
        <v>7095</v>
      </c>
      <c r="B67" s="159" t="s">
        <v>7139</v>
      </c>
      <c r="C67" s="159" t="s">
        <v>477</v>
      </c>
      <c r="D67" s="159">
        <v>50</v>
      </c>
      <c r="E67" s="159">
        <v>0</v>
      </c>
      <c r="F67" s="159">
        <v>0</v>
      </c>
      <c r="G67" s="159" t="s">
        <v>479</v>
      </c>
      <c r="H67" s="159" t="s">
        <v>479</v>
      </c>
      <c r="I67" s="159">
        <v>1</v>
      </c>
    </row>
    <row r="68" spans="1:9" ht="15.75" customHeight="1">
      <c r="A68" s="159" t="s">
        <v>7095</v>
      </c>
      <c r="B68" s="159" t="s">
        <v>7140</v>
      </c>
      <c r="C68" s="159" t="s">
        <v>538</v>
      </c>
      <c r="D68" s="159">
        <v>8</v>
      </c>
      <c r="E68" s="159">
        <v>23</v>
      </c>
      <c r="F68" s="159">
        <v>3</v>
      </c>
      <c r="G68" s="159" t="s">
        <v>479</v>
      </c>
      <c r="H68" s="159" t="s">
        <v>479</v>
      </c>
      <c r="I68" s="159">
        <v>1</v>
      </c>
    </row>
    <row r="69" spans="1:9" ht="15.75" customHeight="1">
      <c r="A69" s="159" t="s">
        <v>7095</v>
      </c>
      <c r="B69" s="159" t="s">
        <v>7141</v>
      </c>
      <c r="C69" s="159" t="s">
        <v>538</v>
      </c>
      <c r="D69" s="159">
        <v>8</v>
      </c>
      <c r="E69" s="159">
        <v>23</v>
      </c>
      <c r="F69" s="159">
        <v>3</v>
      </c>
      <c r="G69" s="159" t="s">
        <v>479</v>
      </c>
      <c r="H69" s="159" t="s">
        <v>479</v>
      </c>
      <c r="I69" s="159">
        <v>1</v>
      </c>
    </row>
    <row r="70" spans="1:9" ht="15.75" customHeight="1">
      <c r="A70" s="159" t="s">
        <v>7096</v>
      </c>
      <c r="B70" s="159" t="s">
        <v>7101</v>
      </c>
      <c r="C70" s="159" t="s">
        <v>3520</v>
      </c>
      <c r="D70" s="159">
        <v>20</v>
      </c>
      <c r="E70" s="159">
        <v>0</v>
      </c>
      <c r="F70" s="159">
        <v>0</v>
      </c>
      <c r="G70" s="159" t="s">
        <v>479</v>
      </c>
      <c r="H70" s="159" t="s">
        <v>479</v>
      </c>
      <c r="I70" s="159">
        <v>1</v>
      </c>
    </row>
    <row r="71" spans="1:9" ht="15.75" customHeight="1">
      <c r="A71" s="159" t="s">
        <v>7096</v>
      </c>
      <c r="B71" s="159" t="s">
        <v>7142</v>
      </c>
      <c r="C71" s="159" t="s">
        <v>717</v>
      </c>
      <c r="D71" s="159">
        <v>17</v>
      </c>
      <c r="E71" s="159">
        <v>36</v>
      </c>
      <c r="F71" s="159">
        <v>0</v>
      </c>
      <c r="G71" s="159" t="s">
        <v>479</v>
      </c>
      <c r="H71" s="159" t="s">
        <v>479</v>
      </c>
      <c r="I71" s="159">
        <v>0</v>
      </c>
    </row>
    <row r="72" spans="1:9" ht="15.75" customHeight="1">
      <c r="A72" s="159" t="s">
        <v>7096</v>
      </c>
      <c r="B72" s="159" t="s">
        <v>2321</v>
      </c>
      <c r="C72" s="159" t="s">
        <v>1796</v>
      </c>
      <c r="D72" s="159">
        <v>1000</v>
      </c>
      <c r="E72" s="159">
        <v>0</v>
      </c>
      <c r="F72" s="159">
        <v>0</v>
      </c>
      <c r="G72" s="159" t="s">
        <v>479</v>
      </c>
      <c r="H72" s="159" t="s">
        <v>479</v>
      </c>
      <c r="I72" s="159">
        <v>1</v>
      </c>
    </row>
    <row r="73" spans="1:9" ht="15.75" customHeight="1">
      <c r="A73" s="159" t="s">
        <v>7096</v>
      </c>
      <c r="B73" s="159" t="s">
        <v>2321</v>
      </c>
      <c r="C73" s="159" t="s">
        <v>7104</v>
      </c>
      <c r="D73" s="159">
        <v>1000</v>
      </c>
      <c r="E73" s="159">
        <v>0</v>
      </c>
      <c r="F73" s="159">
        <v>0</v>
      </c>
      <c r="G73" s="159" t="s">
        <v>479</v>
      </c>
      <c r="H73" s="159" t="s">
        <v>479</v>
      </c>
      <c r="I73" s="159">
        <v>1</v>
      </c>
    </row>
    <row r="74" spans="1:9" ht="15.75" customHeight="1">
      <c r="A74" s="159" t="s">
        <v>7096</v>
      </c>
      <c r="B74" s="159" t="s">
        <v>303</v>
      </c>
      <c r="C74" s="159" t="s">
        <v>1796</v>
      </c>
      <c r="D74" s="159">
        <v>20</v>
      </c>
      <c r="E74" s="159">
        <v>0</v>
      </c>
      <c r="F74" s="159">
        <v>0</v>
      </c>
      <c r="G74" s="159" t="s">
        <v>479</v>
      </c>
      <c r="H74" s="159" t="s">
        <v>479</v>
      </c>
      <c r="I74" s="159">
        <v>1</v>
      </c>
    </row>
    <row r="75" spans="1:9" ht="15.75" customHeight="1">
      <c r="A75" s="159" t="s">
        <v>7096</v>
      </c>
      <c r="B75" s="159" t="s">
        <v>303</v>
      </c>
      <c r="C75" s="159" t="s">
        <v>7104</v>
      </c>
      <c r="D75" s="159">
        <v>20</v>
      </c>
      <c r="E75" s="159">
        <v>0</v>
      </c>
      <c r="F75" s="159">
        <v>0</v>
      </c>
      <c r="G75" s="159" t="s">
        <v>479</v>
      </c>
      <c r="H75" s="159" t="s">
        <v>479</v>
      </c>
      <c r="I75" s="159">
        <v>1</v>
      </c>
    </row>
    <row r="76" spans="1:9" ht="15.75" customHeight="1">
      <c r="A76" s="159" t="s">
        <v>7096</v>
      </c>
      <c r="B76" s="159" t="s">
        <v>4805</v>
      </c>
      <c r="C76" s="159" t="s">
        <v>1796</v>
      </c>
      <c r="D76" s="159">
        <v>1000</v>
      </c>
      <c r="E76" s="159">
        <v>0</v>
      </c>
      <c r="F76" s="159">
        <v>0</v>
      </c>
      <c r="G76" s="159" t="s">
        <v>479</v>
      </c>
      <c r="H76" s="159" t="s">
        <v>479</v>
      </c>
      <c r="I76" s="159">
        <v>1</v>
      </c>
    </row>
    <row r="77" spans="1:9" ht="15.75" customHeight="1">
      <c r="A77" s="159" t="s">
        <v>7096</v>
      </c>
      <c r="B77" s="159" t="s">
        <v>4805</v>
      </c>
      <c r="C77" s="159" t="s">
        <v>7104</v>
      </c>
      <c r="D77" s="159">
        <v>1000</v>
      </c>
      <c r="E77" s="159">
        <v>0</v>
      </c>
      <c r="F77" s="159">
        <v>0</v>
      </c>
      <c r="G77" s="159" t="s">
        <v>479</v>
      </c>
      <c r="H77" s="159" t="s">
        <v>479</v>
      </c>
      <c r="I77" s="159">
        <v>1</v>
      </c>
    </row>
    <row r="78" spans="1:9" ht="15.75" customHeight="1">
      <c r="A78" s="159" t="s">
        <v>7096</v>
      </c>
      <c r="B78" s="159" t="s">
        <v>7143</v>
      </c>
      <c r="C78" s="159" t="s">
        <v>1796</v>
      </c>
      <c r="D78" s="159">
        <v>20</v>
      </c>
      <c r="E78" s="159">
        <v>0</v>
      </c>
      <c r="F78" s="159">
        <v>0</v>
      </c>
      <c r="G78" s="159" t="s">
        <v>479</v>
      </c>
      <c r="H78" s="159" t="s">
        <v>479</v>
      </c>
      <c r="I78" s="159">
        <v>1</v>
      </c>
    </row>
    <row r="79" spans="1:9" ht="15.75" customHeight="1">
      <c r="A79" s="159" t="s">
        <v>7096</v>
      </c>
      <c r="B79" s="159" t="s">
        <v>7143</v>
      </c>
      <c r="C79" s="159" t="s">
        <v>7104</v>
      </c>
      <c r="D79" s="159">
        <v>20</v>
      </c>
      <c r="E79" s="159">
        <v>0</v>
      </c>
      <c r="F79" s="159">
        <v>0</v>
      </c>
      <c r="G79" s="159" t="s">
        <v>479</v>
      </c>
      <c r="H79" s="159" t="s">
        <v>479</v>
      </c>
      <c r="I79" s="159">
        <v>1</v>
      </c>
    </row>
    <row r="80" spans="1:9" ht="15.75" customHeight="1">
      <c r="A80" s="159" t="s">
        <v>7096</v>
      </c>
      <c r="B80" s="159" t="s">
        <v>6120</v>
      </c>
      <c r="C80" s="159" t="s">
        <v>1796</v>
      </c>
      <c r="D80" s="159">
        <v>1000</v>
      </c>
      <c r="E80" s="159">
        <v>0</v>
      </c>
      <c r="F80" s="159">
        <v>0</v>
      </c>
      <c r="G80" s="159" t="s">
        <v>479</v>
      </c>
      <c r="H80" s="159" t="s">
        <v>479</v>
      </c>
      <c r="I80" s="159">
        <v>1</v>
      </c>
    </row>
    <row r="81" spans="1:9" ht="15.75" customHeight="1">
      <c r="A81" s="159" t="s">
        <v>7096</v>
      </c>
      <c r="B81" s="159" t="s">
        <v>6120</v>
      </c>
      <c r="C81" s="159" t="s">
        <v>7104</v>
      </c>
      <c r="D81" s="159">
        <v>1000</v>
      </c>
      <c r="E81" s="159">
        <v>0</v>
      </c>
      <c r="F81" s="159">
        <v>0</v>
      </c>
      <c r="G81" s="159" t="s">
        <v>479</v>
      </c>
      <c r="H81" s="159" t="s">
        <v>479</v>
      </c>
      <c r="I81" s="159">
        <v>1</v>
      </c>
    </row>
    <row r="82" spans="1:9" ht="15.75" customHeight="1">
      <c r="A82" s="159" t="s">
        <v>7096</v>
      </c>
      <c r="B82" s="159" t="s">
        <v>7144</v>
      </c>
      <c r="C82" s="159" t="s">
        <v>1796</v>
      </c>
      <c r="D82" s="159">
        <v>20</v>
      </c>
      <c r="E82" s="159">
        <v>0</v>
      </c>
      <c r="F82" s="159">
        <v>0</v>
      </c>
      <c r="G82" s="159" t="s">
        <v>479</v>
      </c>
      <c r="H82" s="159" t="s">
        <v>479</v>
      </c>
      <c r="I82" s="159">
        <v>1</v>
      </c>
    </row>
    <row r="83" spans="1:9" ht="15.75" customHeight="1">
      <c r="A83" s="159" t="s">
        <v>7096</v>
      </c>
      <c r="B83" s="159" t="s">
        <v>7144</v>
      </c>
      <c r="C83" s="159" t="s">
        <v>7104</v>
      </c>
      <c r="D83" s="159">
        <v>20</v>
      </c>
      <c r="E83" s="159">
        <v>0</v>
      </c>
      <c r="F83" s="159">
        <v>0</v>
      </c>
      <c r="G83" s="159" t="s">
        <v>479</v>
      </c>
      <c r="H83" s="159" t="s">
        <v>479</v>
      </c>
      <c r="I83" s="159">
        <v>1</v>
      </c>
    </row>
    <row r="84" spans="1:9" ht="15.75" customHeight="1">
      <c r="A84" s="159" t="s">
        <v>7096</v>
      </c>
      <c r="B84" s="159" t="s">
        <v>6127</v>
      </c>
      <c r="C84" s="159" t="s">
        <v>1796</v>
      </c>
      <c r="D84" s="159">
        <v>1000</v>
      </c>
      <c r="E84" s="159">
        <v>0</v>
      </c>
      <c r="F84" s="159">
        <v>0</v>
      </c>
      <c r="G84" s="159" t="s">
        <v>479</v>
      </c>
      <c r="H84" s="159" t="s">
        <v>479</v>
      </c>
      <c r="I84" s="159">
        <v>1</v>
      </c>
    </row>
    <row r="85" spans="1:9" ht="15.75" customHeight="1">
      <c r="A85" s="159" t="s">
        <v>7096</v>
      </c>
      <c r="B85" s="159" t="s">
        <v>6127</v>
      </c>
      <c r="C85" s="159" t="s">
        <v>7104</v>
      </c>
      <c r="D85" s="159">
        <v>1000</v>
      </c>
      <c r="E85" s="159">
        <v>0</v>
      </c>
      <c r="F85" s="159">
        <v>0</v>
      </c>
      <c r="G85" s="159" t="s">
        <v>479</v>
      </c>
      <c r="H85" s="159" t="s">
        <v>479</v>
      </c>
      <c r="I85" s="159">
        <v>1</v>
      </c>
    </row>
    <row r="86" spans="1:9" ht="15.75" customHeight="1">
      <c r="A86" s="159" t="s">
        <v>7096</v>
      </c>
      <c r="B86" s="159" t="s">
        <v>7145</v>
      </c>
      <c r="C86" s="159" t="s">
        <v>1796</v>
      </c>
      <c r="D86" s="159">
        <v>20</v>
      </c>
      <c r="E86" s="159">
        <v>0</v>
      </c>
      <c r="F86" s="159">
        <v>0</v>
      </c>
      <c r="G86" s="159" t="s">
        <v>479</v>
      </c>
      <c r="H86" s="159" t="s">
        <v>479</v>
      </c>
      <c r="I86" s="159">
        <v>1</v>
      </c>
    </row>
    <row r="87" spans="1:9" ht="15.75" customHeight="1">
      <c r="A87" s="159" t="s">
        <v>7096</v>
      </c>
      <c r="B87" s="159" t="s">
        <v>7145</v>
      </c>
      <c r="C87" s="159" t="s">
        <v>7104</v>
      </c>
      <c r="D87" s="159">
        <v>20</v>
      </c>
      <c r="E87" s="159">
        <v>0</v>
      </c>
      <c r="F87" s="159">
        <v>0</v>
      </c>
      <c r="G87" s="159" t="s">
        <v>479</v>
      </c>
      <c r="H87" s="159" t="s">
        <v>479</v>
      </c>
      <c r="I87" s="159">
        <v>1</v>
      </c>
    </row>
    <row r="88" spans="1:9" ht="15.75" customHeight="1">
      <c r="A88" s="159" t="s">
        <v>7096</v>
      </c>
      <c r="B88" s="159" t="s">
        <v>6129</v>
      </c>
      <c r="C88" s="159" t="s">
        <v>1796</v>
      </c>
      <c r="D88" s="159">
        <v>1000</v>
      </c>
      <c r="E88" s="159">
        <v>0</v>
      </c>
      <c r="F88" s="159">
        <v>0</v>
      </c>
      <c r="G88" s="159" t="s">
        <v>479</v>
      </c>
      <c r="H88" s="159" t="s">
        <v>479</v>
      </c>
      <c r="I88" s="159">
        <v>1</v>
      </c>
    </row>
    <row r="89" spans="1:9" ht="15.75" customHeight="1">
      <c r="A89" s="159" t="s">
        <v>7096</v>
      </c>
      <c r="B89" s="159" t="s">
        <v>6129</v>
      </c>
      <c r="C89" s="159" t="s">
        <v>7104</v>
      </c>
      <c r="D89" s="159">
        <v>1000</v>
      </c>
      <c r="E89" s="159">
        <v>0</v>
      </c>
      <c r="F89" s="159">
        <v>0</v>
      </c>
      <c r="G89" s="159" t="s">
        <v>479</v>
      </c>
      <c r="H89" s="159" t="s">
        <v>479</v>
      </c>
      <c r="I89" s="159">
        <v>1</v>
      </c>
    </row>
    <row r="90" spans="1:9" ht="15.75" customHeight="1">
      <c r="A90" s="159" t="s">
        <v>7096</v>
      </c>
      <c r="B90" s="159" t="s">
        <v>2284</v>
      </c>
      <c r="C90" s="159" t="s">
        <v>717</v>
      </c>
      <c r="D90" s="159">
        <v>17</v>
      </c>
      <c r="E90" s="159">
        <v>36</v>
      </c>
      <c r="F90" s="159">
        <v>0</v>
      </c>
      <c r="G90" s="159" t="s">
        <v>479</v>
      </c>
      <c r="H90" s="159" t="s">
        <v>479</v>
      </c>
      <c r="I90" s="159">
        <v>1</v>
      </c>
    </row>
    <row r="91" spans="1:9" ht="15.75" customHeight="1">
      <c r="A91" s="159" t="s">
        <v>7096</v>
      </c>
      <c r="B91" s="159" t="s">
        <v>4953</v>
      </c>
      <c r="C91" s="159" t="s">
        <v>1796</v>
      </c>
      <c r="D91" s="159">
        <v>1000</v>
      </c>
      <c r="E91" s="159">
        <v>0</v>
      </c>
      <c r="F91" s="159">
        <v>0</v>
      </c>
      <c r="G91" s="159" t="s">
        <v>479</v>
      </c>
      <c r="H91" s="159" t="s">
        <v>479</v>
      </c>
      <c r="I91" s="159">
        <v>1</v>
      </c>
    </row>
    <row r="92" spans="1:9" ht="15.75" customHeight="1">
      <c r="A92" s="159" t="s">
        <v>7096</v>
      </c>
      <c r="B92" s="159" t="s">
        <v>4953</v>
      </c>
      <c r="C92" s="159" t="s">
        <v>7104</v>
      </c>
      <c r="D92" s="159">
        <v>1000</v>
      </c>
      <c r="E92" s="159">
        <v>0</v>
      </c>
      <c r="F92" s="159">
        <v>0</v>
      </c>
      <c r="G92" s="159" t="s">
        <v>479</v>
      </c>
      <c r="H92" s="159" t="s">
        <v>479</v>
      </c>
      <c r="I92" s="159">
        <v>1</v>
      </c>
    </row>
    <row r="93" spans="1:9" ht="15.75" customHeight="1">
      <c r="A93" s="159" t="s">
        <v>7096</v>
      </c>
      <c r="B93" s="159" t="s">
        <v>1954</v>
      </c>
      <c r="C93" s="159" t="s">
        <v>717</v>
      </c>
      <c r="D93" s="159">
        <v>17</v>
      </c>
      <c r="E93" s="159">
        <v>36</v>
      </c>
      <c r="F93" s="159">
        <v>0</v>
      </c>
      <c r="G93" s="159" t="s">
        <v>479</v>
      </c>
      <c r="H93" s="159" t="s">
        <v>479</v>
      </c>
      <c r="I93" s="159">
        <v>1</v>
      </c>
    </row>
    <row r="94" spans="1:9" ht="15.75" customHeight="1">
      <c r="A94" s="159" t="s">
        <v>7096</v>
      </c>
      <c r="B94" s="159" t="s">
        <v>7146</v>
      </c>
      <c r="C94" s="159" t="s">
        <v>1796</v>
      </c>
      <c r="D94" s="159">
        <v>1000</v>
      </c>
      <c r="E94" s="159">
        <v>0</v>
      </c>
      <c r="F94" s="159">
        <v>0</v>
      </c>
      <c r="G94" s="159" t="s">
        <v>479</v>
      </c>
      <c r="H94" s="159" t="s">
        <v>479</v>
      </c>
      <c r="I94" s="159">
        <v>1</v>
      </c>
    </row>
    <row r="95" spans="1:9" ht="15.75" customHeight="1">
      <c r="A95" s="159" t="s">
        <v>7096</v>
      </c>
      <c r="B95" s="159" t="s">
        <v>7146</v>
      </c>
      <c r="C95" s="159" t="s">
        <v>7104</v>
      </c>
      <c r="D95" s="159">
        <v>1000</v>
      </c>
      <c r="E95" s="159">
        <v>0</v>
      </c>
      <c r="F95" s="159">
        <v>0</v>
      </c>
      <c r="G95" s="159" t="s">
        <v>479</v>
      </c>
      <c r="H95" s="159" t="s">
        <v>479</v>
      </c>
      <c r="I95" s="159">
        <v>1</v>
      </c>
    </row>
    <row r="96" spans="1:9" ht="15.75" customHeight="1">
      <c r="A96" s="159" t="s">
        <v>7096</v>
      </c>
      <c r="B96" s="159" t="s">
        <v>7147</v>
      </c>
      <c r="C96" s="159" t="s">
        <v>484</v>
      </c>
      <c r="D96" s="159">
        <v>4</v>
      </c>
      <c r="E96" s="159">
        <v>10</v>
      </c>
      <c r="F96" s="159">
        <v>0</v>
      </c>
      <c r="G96" s="159" t="s">
        <v>479</v>
      </c>
      <c r="H96" s="159" t="s">
        <v>479</v>
      </c>
      <c r="I96" s="159">
        <v>1</v>
      </c>
    </row>
    <row r="97" spans="1:9" ht="15.75" customHeight="1">
      <c r="A97" s="159" t="s">
        <v>7096</v>
      </c>
      <c r="B97" s="159" t="s">
        <v>7148</v>
      </c>
      <c r="C97" s="159" t="s">
        <v>1796</v>
      </c>
      <c r="D97" s="159">
        <v>200</v>
      </c>
      <c r="E97" s="159">
        <v>0</v>
      </c>
      <c r="F97" s="159">
        <v>0</v>
      </c>
      <c r="G97" s="159" t="s">
        <v>479</v>
      </c>
      <c r="H97" s="159" t="s">
        <v>479</v>
      </c>
      <c r="I97" s="159">
        <v>1</v>
      </c>
    </row>
    <row r="98" spans="1:9" ht="15.75" customHeight="1">
      <c r="A98" s="159" t="s">
        <v>7096</v>
      </c>
      <c r="B98" s="159" t="s">
        <v>7148</v>
      </c>
      <c r="C98" s="159" t="s">
        <v>7104</v>
      </c>
      <c r="D98" s="159">
        <v>200</v>
      </c>
      <c r="E98" s="159">
        <v>0</v>
      </c>
      <c r="F98" s="159">
        <v>0</v>
      </c>
      <c r="G98" s="159" t="s">
        <v>479</v>
      </c>
      <c r="H98" s="159" t="s">
        <v>479</v>
      </c>
      <c r="I98" s="159">
        <v>1</v>
      </c>
    </row>
    <row r="99" spans="1:9" ht="15.75" customHeight="1">
      <c r="A99" s="159" t="s">
        <v>7096</v>
      </c>
      <c r="B99" s="159" t="s">
        <v>7140</v>
      </c>
      <c r="C99" s="159" t="s">
        <v>538</v>
      </c>
      <c r="D99" s="159">
        <v>8</v>
      </c>
      <c r="E99" s="159">
        <v>23</v>
      </c>
      <c r="F99" s="159">
        <v>3</v>
      </c>
      <c r="G99" s="159" t="s">
        <v>479</v>
      </c>
      <c r="H99" s="159" t="s">
        <v>479</v>
      </c>
      <c r="I99" s="159">
        <v>1</v>
      </c>
    </row>
    <row r="100" spans="1:9" ht="15.75" customHeight="1">
      <c r="A100" s="159" t="s">
        <v>7097</v>
      </c>
      <c r="B100" s="159" t="s">
        <v>7101</v>
      </c>
      <c r="C100" s="159" t="s">
        <v>3520</v>
      </c>
      <c r="D100" s="159">
        <v>20</v>
      </c>
      <c r="E100" s="159">
        <v>0</v>
      </c>
      <c r="F100" s="159">
        <v>0</v>
      </c>
      <c r="G100" s="159" t="s">
        <v>479</v>
      </c>
      <c r="H100" s="159" t="s">
        <v>479</v>
      </c>
      <c r="I100" s="159">
        <v>1</v>
      </c>
    </row>
    <row r="101" spans="1:9" ht="15.75" customHeight="1">
      <c r="A101" s="159" t="s">
        <v>7097</v>
      </c>
      <c r="B101" s="159" t="s">
        <v>7149</v>
      </c>
      <c r="C101" s="159" t="s">
        <v>1796</v>
      </c>
      <c r="D101" s="159">
        <v>100</v>
      </c>
      <c r="E101" s="159">
        <v>0</v>
      </c>
      <c r="F101" s="159">
        <v>0</v>
      </c>
      <c r="G101" s="159" t="s">
        <v>479</v>
      </c>
      <c r="H101" s="159" t="s">
        <v>479</v>
      </c>
      <c r="I101" s="159">
        <v>1</v>
      </c>
    </row>
    <row r="102" spans="1:9" ht="15.75" customHeight="1">
      <c r="A102" s="159" t="s">
        <v>7097</v>
      </c>
      <c r="B102" s="159" t="s">
        <v>7149</v>
      </c>
      <c r="C102" s="159" t="s">
        <v>7104</v>
      </c>
      <c r="D102" s="159">
        <v>100</v>
      </c>
      <c r="E102" s="159">
        <v>0</v>
      </c>
      <c r="F102" s="159">
        <v>0</v>
      </c>
      <c r="G102" s="159" t="s">
        <v>479</v>
      </c>
      <c r="H102" s="159" t="s">
        <v>479</v>
      </c>
      <c r="I102" s="159">
        <v>1</v>
      </c>
    </row>
    <row r="103" spans="1:9" ht="15.75" customHeight="1">
      <c r="A103" s="159" t="s">
        <v>7097</v>
      </c>
      <c r="B103" s="159" t="s">
        <v>7150</v>
      </c>
      <c r="C103" s="159" t="s">
        <v>1796</v>
      </c>
      <c r="D103" s="159">
        <v>1000</v>
      </c>
      <c r="E103" s="159">
        <v>0</v>
      </c>
      <c r="F103" s="159">
        <v>0</v>
      </c>
      <c r="G103" s="159" t="s">
        <v>479</v>
      </c>
      <c r="H103" s="159" t="s">
        <v>479</v>
      </c>
      <c r="I103" s="159">
        <v>0</v>
      </c>
    </row>
    <row r="104" spans="1:9" ht="15.75" customHeight="1">
      <c r="A104" s="159" t="s">
        <v>7097</v>
      </c>
      <c r="B104" s="159" t="s">
        <v>7150</v>
      </c>
      <c r="C104" s="159" t="s">
        <v>7104</v>
      </c>
      <c r="D104" s="159">
        <v>1000</v>
      </c>
      <c r="E104" s="159">
        <v>0</v>
      </c>
      <c r="F104" s="159">
        <v>0</v>
      </c>
      <c r="G104" s="159" t="s">
        <v>479</v>
      </c>
      <c r="H104" s="159" t="s">
        <v>479</v>
      </c>
      <c r="I104" s="159">
        <v>0</v>
      </c>
    </row>
    <row r="105" spans="1:9" ht="15.75" customHeight="1">
      <c r="A105" s="159" t="s">
        <v>7097</v>
      </c>
      <c r="B105" s="159" t="s">
        <v>7151</v>
      </c>
      <c r="C105" s="159" t="s">
        <v>484</v>
      </c>
      <c r="D105" s="159">
        <v>4</v>
      </c>
      <c r="E105" s="159">
        <v>10</v>
      </c>
      <c r="F105" s="159">
        <v>0</v>
      </c>
      <c r="G105" s="159" t="s">
        <v>479</v>
      </c>
      <c r="H105" s="159" t="s">
        <v>479</v>
      </c>
      <c r="I105" s="159">
        <v>0</v>
      </c>
    </row>
    <row r="106" spans="1:9" ht="15.75" customHeight="1">
      <c r="A106" s="159" t="s">
        <v>7097</v>
      </c>
      <c r="B106" s="159" t="s">
        <v>7152</v>
      </c>
      <c r="C106" s="159" t="s">
        <v>1796</v>
      </c>
      <c r="D106" s="159">
        <v>1000</v>
      </c>
      <c r="E106" s="159">
        <v>0</v>
      </c>
      <c r="F106" s="159">
        <v>0</v>
      </c>
      <c r="G106" s="159" t="s">
        <v>479</v>
      </c>
      <c r="H106" s="159" t="s">
        <v>479</v>
      </c>
      <c r="I106" s="159">
        <v>0</v>
      </c>
    </row>
    <row r="107" spans="1:9" ht="15.75" customHeight="1">
      <c r="A107" s="159" t="s">
        <v>7097</v>
      </c>
      <c r="B107" s="159" t="s">
        <v>7152</v>
      </c>
      <c r="C107" s="159" t="s">
        <v>7104</v>
      </c>
      <c r="D107" s="159">
        <v>1000</v>
      </c>
      <c r="E107" s="159">
        <v>0</v>
      </c>
      <c r="F107" s="159">
        <v>0</v>
      </c>
      <c r="G107" s="159" t="s">
        <v>479</v>
      </c>
      <c r="H107" s="159" t="s">
        <v>479</v>
      </c>
      <c r="I107" s="159">
        <v>0</v>
      </c>
    </row>
    <row r="108" spans="1:9" ht="15.75" customHeight="1">
      <c r="A108" s="159" t="s">
        <v>7097</v>
      </c>
      <c r="B108" s="159" t="s">
        <v>537</v>
      </c>
      <c r="C108" s="159" t="s">
        <v>496</v>
      </c>
      <c r="D108" s="159">
        <v>4</v>
      </c>
      <c r="E108" s="159">
        <v>16</v>
      </c>
      <c r="F108" s="159">
        <v>0</v>
      </c>
      <c r="G108" s="159" t="s">
        <v>479</v>
      </c>
      <c r="H108" s="159" t="s">
        <v>479</v>
      </c>
      <c r="I108" s="159">
        <v>1</v>
      </c>
    </row>
    <row r="109" spans="1:9" ht="15.75" customHeight="1">
      <c r="A109" s="159" t="s">
        <v>7097</v>
      </c>
      <c r="B109" s="159" t="s">
        <v>7153</v>
      </c>
      <c r="C109" s="159" t="s">
        <v>1796</v>
      </c>
      <c r="D109" s="159">
        <v>1000</v>
      </c>
      <c r="E109" s="159">
        <v>0</v>
      </c>
      <c r="F109" s="159">
        <v>0</v>
      </c>
      <c r="G109" s="159" t="s">
        <v>479</v>
      </c>
      <c r="H109" s="159" t="s">
        <v>479</v>
      </c>
      <c r="I109" s="159">
        <v>1</v>
      </c>
    </row>
    <row r="110" spans="1:9" ht="15.75" customHeight="1">
      <c r="A110" s="159" t="s">
        <v>7097</v>
      </c>
      <c r="B110" s="159" t="s">
        <v>7153</v>
      </c>
      <c r="C110" s="159" t="s">
        <v>7104</v>
      </c>
      <c r="D110" s="159">
        <v>1000</v>
      </c>
      <c r="E110" s="159">
        <v>0</v>
      </c>
      <c r="F110" s="159">
        <v>0</v>
      </c>
      <c r="G110" s="159" t="s">
        <v>479</v>
      </c>
      <c r="H110" s="159" t="s">
        <v>479</v>
      </c>
      <c r="I110" s="159">
        <v>1</v>
      </c>
    </row>
    <row r="111" spans="1:9" ht="15.75" customHeight="1">
      <c r="A111" s="159" t="s">
        <v>7097</v>
      </c>
      <c r="B111" s="159" t="s">
        <v>4376</v>
      </c>
      <c r="C111" s="159" t="s">
        <v>1796</v>
      </c>
      <c r="D111" s="159">
        <v>1000</v>
      </c>
      <c r="E111" s="159">
        <v>0</v>
      </c>
      <c r="F111" s="159">
        <v>0</v>
      </c>
      <c r="G111" s="159" t="s">
        <v>479</v>
      </c>
      <c r="H111" s="159" t="s">
        <v>479</v>
      </c>
      <c r="I111" s="159">
        <v>1</v>
      </c>
    </row>
    <row r="112" spans="1:9" ht="15.75" customHeight="1">
      <c r="A112" s="159" t="s">
        <v>7097</v>
      </c>
      <c r="B112" s="159" t="s">
        <v>4376</v>
      </c>
      <c r="C112" s="159" t="s">
        <v>7104</v>
      </c>
      <c r="D112" s="159">
        <v>1000</v>
      </c>
      <c r="E112" s="159">
        <v>0</v>
      </c>
      <c r="F112" s="159">
        <v>0</v>
      </c>
      <c r="G112" s="159" t="s">
        <v>479</v>
      </c>
      <c r="H112" s="159" t="s">
        <v>479</v>
      </c>
      <c r="I112" s="159">
        <v>1</v>
      </c>
    </row>
    <row r="113" spans="1:9" ht="15.75" customHeight="1">
      <c r="A113" s="159" t="s">
        <v>7097</v>
      </c>
      <c r="B113" s="159" t="s">
        <v>5158</v>
      </c>
      <c r="C113" s="159" t="s">
        <v>6118</v>
      </c>
      <c r="D113" s="159">
        <v>16</v>
      </c>
      <c r="E113" s="159">
        <v>0</v>
      </c>
      <c r="F113" s="159">
        <v>0</v>
      </c>
      <c r="G113" s="159" t="s">
        <v>479</v>
      </c>
      <c r="H113" s="159" t="s">
        <v>479</v>
      </c>
      <c r="I113" s="159">
        <v>1</v>
      </c>
    </row>
    <row r="114" spans="1:9" ht="15.75" customHeight="1">
      <c r="A114" s="159" t="s">
        <v>7097</v>
      </c>
      <c r="B114" s="159" t="s">
        <v>6163</v>
      </c>
      <c r="C114" s="159" t="s">
        <v>484</v>
      </c>
      <c r="D114" s="159">
        <v>4</v>
      </c>
      <c r="E114" s="159">
        <v>10</v>
      </c>
      <c r="F114" s="159">
        <v>0</v>
      </c>
      <c r="G114" s="159" t="s">
        <v>479</v>
      </c>
      <c r="H114" s="159" t="s">
        <v>479</v>
      </c>
      <c r="I114" s="159">
        <v>1</v>
      </c>
    </row>
    <row r="115" spans="1:9" ht="15.75" customHeight="1">
      <c r="A115" s="159" t="s">
        <v>7097</v>
      </c>
      <c r="B115" s="159" t="s">
        <v>7154</v>
      </c>
      <c r="C115" s="159" t="s">
        <v>484</v>
      </c>
      <c r="D115" s="159">
        <v>4</v>
      </c>
      <c r="E115" s="159">
        <v>10</v>
      </c>
      <c r="F115" s="159">
        <v>0</v>
      </c>
      <c r="G115" s="159" t="s">
        <v>479</v>
      </c>
      <c r="H115" s="159" t="s">
        <v>479</v>
      </c>
      <c r="I115" s="159">
        <v>1</v>
      </c>
    </row>
    <row r="116" spans="1:9" ht="15.75" customHeight="1">
      <c r="A116" s="159" t="s">
        <v>7098</v>
      </c>
      <c r="B116" s="159" t="s">
        <v>7102</v>
      </c>
      <c r="C116" s="159" t="s">
        <v>484</v>
      </c>
      <c r="D116" s="159">
        <v>4</v>
      </c>
      <c r="E116" s="159">
        <v>10</v>
      </c>
      <c r="F116" s="159">
        <v>0</v>
      </c>
      <c r="G116" s="159" t="s">
        <v>479</v>
      </c>
      <c r="H116" s="159" t="s">
        <v>479</v>
      </c>
      <c r="I116" s="159">
        <v>1</v>
      </c>
    </row>
    <row r="117" spans="1:9" ht="15.75" customHeight="1">
      <c r="A117" s="159" t="s">
        <v>7098</v>
      </c>
      <c r="B117" s="159" t="s">
        <v>7155</v>
      </c>
      <c r="C117" s="159" t="s">
        <v>484</v>
      </c>
      <c r="D117" s="159">
        <v>4</v>
      </c>
      <c r="E117" s="159">
        <v>10</v>
      </c>
      <c r="F117" s="159">
        <v>0</v>
      </c>
      <c r="G117" s="159" t="s">
        <v>479</v>
      </c>
      <c r="H117" s="159" t="s">
        <v>479</v>
      </c>
      <c r="I117" s="159">
        <v>1</v>
      </c>
    </row>
    <row r="118" spans="1:9" ht="15.75" customHeight="1">
      <c r="A118" s="159" t="s">
        <v>7098</v>
      </c>
      <c r="B118" s="159" t="s">
        <v>7156</v>
      </c>
      <c r="C118" s="159" t="s">
        <v>477</v>
      </c>
      <c r="D118" s="159">
        <v>10</v>
      </c>
      <c r="E118" s="159">
        <v>0</v>
      </c>
      <c r="F118" s="159">
        <v>0</v>
      </c>
      <c r="G118" s="159" t="s">
        <v>479</v>
      </c>
      <c r="H118" s="159" t="s">
        <v>479</v>
      </c>
      <c r="I118" s="159">
        <v>1</v>
      </c>
    </row>
    <row r="119" spans="1:9" ht="15.75" customHeight="1">
      <c r="A119" s="159" t="s">
        <v>7098</v>
      </c>
      <c r="B119" s="159" t="s">
        <v>7157</v>
      </c>
      <c r="C119" s="159" t="s">
        <v>484</v>
      </c>
      <c r="D119" s="159">
        <v>4</v>
      </c>
      <c r="E119" s="159">
        <v>10</v>
      </c>
      <c r="F119" s="159">
        <v>0</v>
      </c>
      <c r="G119" s="159" t="s">
        <v>479</v>
      </c>
      <c r="H119" s="159" t="s">
        <v>479</v>
      </c>
      <c r="I119" s="159">
        <v>1</v>
      </c>
    </row>
    <row r="120" spans="1:9" ht="15.75" customHeight="1">
      <c r="A120" s="159" t="s">
        <v>7098</v>
      </c>
      <c r="B120" s="159" t="s">
        <v>7158</v>
      </c>
      <c r="C120" s="159" t="s">
        <v>1796</v>
      </c>
      <c r="D120" s="159">
        <v>60</v>
      </c>
      <c r="E120" s="159">
        <v>0</v>
      </c>
      <c r="F120" s="159">
        <v>0</v>
      </c>
      <c r="G120" s="159" t="s">
        <v>479</v>
      </c>
      <c r="H120" s="159" t="s">
        <v>479</v>
      </c>
      <c r="I120" s="159">
        <v>1</v>
      </c>
    </row>
    <row r="121" spans="1:9" ht="15.75" customHeight="1">
      <c r="A121" s="159" t="s">
        <v>7098</v>
      </c>
      <c r="B121" s="159" t="s">
        <v>7158</v>
      </c>
      <c r="C121" s="159" t="s">
        <v>7104</v>
      </c>
      <c r="D121" s="159">
        <v>60</v>
      </c>
      <c r="E121" s="159">
        <v>0</v>
      </c>
      <c r="F121" s="159">
        <v>0</v>
      </c>
      <c r="G121" s="159" t="s">
        <v>479</v>
      </c>
      <c r="H121" s="159" t="s">
        <v>479</v>
      </c>
      <c r="I121" s="159">
        <v>1</v>
      </c>
    </row>
    <row r="122" spans="1:9" ht="15.75" customHeight="1">
      <c r="A122" s="159" t="s">
        <v>7098</v>
      </c>
      <c r="B122" s="159" t="s">
        <v>4674</v>
      </c>
      <c r="C122" s="159" t="s">
        <v>6118</v>
      </c>
      <c r="D122" s="159">
        <v>16</v>
      </c>
      <c r="E122" s="159">
        <v>0</v>
      </c>
      <c r="F122" s="159">
        <v>0</v>
      </c>
      <c r="G122" s="159" t="s">
        <v>479</v>
      </c>
      <c r="H122" s="159" t="s">
        <v>479</v>
      </c>
      <c r="I122" s="159">
        <v>1</v>
      </c>
    </row>
    <row r="123" spans="1:9" ht="15.75" customHeight="1">
      <c r="A123" s="159" t="s">
        <v>7098</v>
      </c>
      <c r="B123" s="159" t="s">
        <v>7134</v>
      </c>
      <c r="C123" s="159" t="s">
        <v>1796</v>
      </c>
      <c r="D123" s="159">
        <v>100</v>
      </c>
      <c r="E123" s="159">
        <v>0</v>
      </c>
      <c r="F123" s="159">
        <v>0</v>
      </c>
      <c r="G123" s="159" t="s">
        <v>479</v>
      </c>
      <c r="H123" s="159" t="s">
        <v>479</v>
      </c>
      <c r="I123" s="159">
        <v>1</v>
      </c>
    </row>
    <row r="124" spans="1:9" ht="15.75" customHeight="1">
      <c r="A124" s="159" t="s">
        <v>7098</v>
      </c>
      <c r="B124" s="159" t="s">
        <v>7134</v>
      </c>
      <c r="C124" s="159" t="s">
        <v>7104</v>
      </c>
      <c r="D124" s="159">
        <v>100</v>
      </c>
      <c r="E124" s="159">
        <v>0</v>
      </c>
      <c r="F124" s="159">
        <v>0</v>
      </c>
      <c r="G124" s="159" t="s">
        <v>479</v>
      </c>
      <c r="H124" s="159" t="s">
        <v>479</v>
      </c>
      <c r="I124" s="159">
        <v>1</v>
      </c>
    </row>
    <row r="125" spans="1:9" ht="15.75" customHeight="1">
      <c r="A125" s="159" t="s">
        <v>7098</v>
      </c>
      <c r="B125" s="159" t="s">
        <v>7159</v>
      </c>
      <c r="C125" s="159" t="s">
        <v>477</v>
      </c>
      <c r="D125" s="159">
        <v>25</v>
      </c>
      <c r="E125" s="159">
        <v>0</v>
      </c>
      <c r="F125" s="159">
        <v>0</v>
      </c>
      <c r="G125" s="159" t="s">
        <v>479</v>
      </c>
      <c r="H125" s="159" t="s">
        <v>479</v>
      </c>
      <c r="I125" s="159">
        <v>1</v>
      </c>
    </row>
    <row r="126" spans="1:9" ht="15.75" customHeight="1">
      <c r="A126" s="159" t="s">
        <v>7098</v>
      </c>
      <c r="B126" s="159" t="s">
        <v>7160</v>
      </c>
      <c r="C126" s="159" t="s">
        <v>1796</v>
      </c>
      <c r="D126" s="159">
        <v>100</v>
      </c>
      <c r="E126" s="159">
        <v>0</v>
      </c>
      <c r="F126" s="159">
        <v>0</v>
      </c>
      <c r="G126" s="159" t="s">
        <v>479</v>
      </c>
      <c r="H126" s="159" t="s">
        <v>479</v>
      </c>
      <c r="I126" s="159">
        <v>1</v>
      </c>
    </row>
    <row r="127" spans="1:9" ht="15.75" customHeight="1">
      <c r="A127" s="159" t="s">
        <v>7098</v>
      </c>
      <c r="B127" s="159" t="s">
        <v>7160</v>
      </c>
      <c r="C127" s="159" t="s">
        <v>7104</v>
      </c>
      <c r="D127" s="159">
        <v>100</v>
      </c>
      <c r="E127" s="159">
        <v>0</v>
      </c>
      <c r="F127" s="159">
        <v>0</v>
      </c>
      <c r="G127" s="159" t="s">
        <v>479</v>
      </c>
      <c r="H127" s="159" t="s">
        <v>479</v>
      </c>
      <c r="I127" s="159">
        <v>1</v>
      </c>
    </row>
    <row r="128" spans="1:9" ht="15.75" customHeight="1">
      <c r="A128" s="159" t="s">
        <v>7098</v>
      </c>
      <c r="B128" s="159" t="s">
        <v>6207</v>
      </c>
      <c r="C128" s="159" t="s">
        <v>717</v>
      </c>
      <c r="D128" s="159">
        <v>17</v>
      </c>
      <c r="E128" s="159">
        <v>38</v>
      </c>
      <c r="F128" s="159">
        <v>2</v>
      </c>
      <c r="G128" s="159" t="s">
        <v>479</v>
      </c>
      <c r="H128" s="159" t="s">
        <v>479</v>
      </c>
      <c r="I128" s="159">
        <v>1</v>
      </c>
    </row>
    <row r="129" spans="1:9" ht="15.75" customHeight="1">
      <c r="A129" s="159" t="s">
        <v>7098</v>
      </c>
      <c r="B129" s="159" t="s">
        <v>7161</v>
      </c>
      <c r="C129" s="159" t="s">
        <v>477</v>
      </c>
      <c r="D129" s="159">
        <v>50</v>
      </c>
      <c r="E129" s="159">
        <v>0</v>
      </c>
      <c r="F129" s="159">
        <v>0</v>
      </c>
      <c r="G129" s="159" t="s">
        <v>479</v>
      </c>
      <c r="H129" s="159" t="s">
        <v>479</v>
      </c>
      <c r="I129" s="159">
        <v>1</v>
      </c>
    </row>
    <row r="130" spans="1:9" ht="15.75" customHeight="1">
      <c r="A130" s="159" t="s">
        <v>7098</v>
      </c>
      <c r="B130" s="159" t="s">
        <v>7162</v>
      </c>
      <c r="C130" s="159" t="s">
        <v>538</v>
      </c>
      <c r="D130" s="159">
        <v>8</v>
      </c>
      <c r="E130" s="159">
        <v>23</v>
      </c>
      <c r="F130" s="159">
        <v>3</v>
      </c>
      <c r="G130" s="159" t="s">
        <v>479</v>
      </c>
      <c r="H130" s="159" t="s">
        <v>479</v>
      </c>
      <c r="I130" s="159">
        <v>1</v>
      </c>
    </row>
    <row r="131" spans="1:9" ht="15.75" customHeight="1">
      <c r="A131" s="159" t="s">
        <v>7098</v>
      </c>
      <c r="B131" s="159" t="s">
        <v>7163</v>
      </c>
      <c r="C131" s="159" t="s">
        <v>477</v>
      </c>
      <c r="D131" s="159">
        <v>100</v>
      </c>
      <c r="E131" s="159">
        <v>0</v>
      </c>
      <c r="F131" s="159">
        <v>0</v>
      </c>
      <c r="G131" s="159" t="s">
        <v>479</v>
      </c>
      <c r="H131" s="159" t="s">
        <v>479</v>
      </c>
      <c r="I131" s="159">
        <v>1</v>
      </c>
    </row>
    <row r="132" spans="1:9" ht="15.75" customHeight="1">
      <c r="A132" s="159" t="s">
        <v>7098</v>
      </c>
      <c r="B132" s="159" t="s">
        <v>7164</v>
      </c>
      <c r="C132" s="159" t="s">
        <v>538</v>
      </c>
      <c r="D132" s="159">
        <v>8</v>
      </c>
      <c r="E132" s="159">
        <v>23</v>
      </c>
      <c r="F132" s="159">
        <v>3</v>
      </c>
      <c r="G132" s="159" t="s">
        <v>479</v>
      </c>
      <c r="H132" s="159" t="s">
        <v>479</v>
      </c>
      <c r="I132" s="159">
        <v>1</v>
      </c>
    </row>
    <row r="133" spans="1:9" ht="15.75" customHeight="1">
      <c r="A133" s="159" t="s">
        <v>7098</v>
      </c>
      <c r="B133" s="159" t="s">
        <v>7165</v>
      </c>
      <c r="C133" s="159" t="s">
        <v>477</v>
      </c>
      <c r="D133" s="159">
        <v>1000</v>
      </c>
      <c r="E133" s="159">
        <v>0</v>
      </c>
      <c r="F133" s="159">
        <v>0</v>
      </c>
      <c r="G133" s="159" t="s">
        <v>479</v>
      </c>
      <c r="H133" s="159" t="s">
        <v>479</v>
      </c>
      <c r="I133" s="159">
        <v>1</v>
      </c>
    </row>
    <row r="134" spans="1:9" ht="15.75" customHeight="1">
      <c r="A134" s="159" t="s">
        <v>7099</v>
      </c>
      <c r="B134" s="159" t="s">
        <v>7157</v>
      </c>
      <c r="C134" s="159" t="s">
        <v>484</v>
      </c>
      <c r="D134" s="159">
        <v>4</v>
      </c>
      <c r="E134" s="159">
        <v>10</v>
      </c>
      <c r="F134" s="159">
        <v>0</v>
      </c>
      <c r="G134" s="159" t="s">
        <v>479</v>
      </c>
      <c r="H134" s="159" t="s">
        <v>479</v>
      </c>
      <c r="I134" s="159">
        <v>1</v>
      </c>
    </row>
    <row r="135" spans="1:9" ht="15.75" customHeight="1">
      <c r="A135" s="159" t="s">
        <v>7099</v>
      </c>
      <c r="B135" s="159" t="s">
        <v>7102</v>
      </c>
      <c r="C135" s="159" t="s">
        <v>484</v>
      </c>
      <c r="D135" s="159">
        <v>4</v>
      </c>
      <c r="E135" s="159">
        <v>10</v>
      </c>
      <c r="F135" s="159">
        <v>0</v>
      </c>
      <c r="G135" s="159" t="s">
        <v>479</v>
      </c>
      <c r="H135" s="159" t="s">
        <v>479</v>
      </c>
      <c r="I135" s="159">
        <v>1</v>
      </c>
    </row>
    <row r="136" spans="1:9" ht="15.75" customHeight="1">
      <c r="A136" s="159" t="s">
        <v>7099</v>
      </c>
      <c r="B136" s="159" t="s">
        <v>1070</v>
      </c>
      <c r="C136" s="159" t="s">
        <v>484</v>
      </c>
      <c r="D136" s="159">
        <v>4</v>
      </c>
      <c r="E136" s="159">
        <v>10</v>
      </c>
      <c r="F136" s="159">
        <v>0</v>
      </c>
      <c r="G136" s="159" t="s">
        <v>479</v>
      </c>
      <c r="H136" s="159" t="s">
        <v>479</v>
      </c>
      <c r="I136" s="159">
        <v>1</v>
      </c>
    </row>
    <row r="137" spans="1:9" ht="15.75" customHeight="1">
      <c r="A137" s="159" t="s">
        <v>7099</v>
      </c>
      <c r="B137" s="159" t="s">
        <v>7166</v>
      </c>
      <c r="C137" s="159" t="s">
        <v>538</v>
      </c>
      <c r="D137" s="159">
        <v>8</v>
      </c>
      <c r="E137" s="159">
        <v>23</v>
      </c>
      <c r="F137" s="159">
        <v>3</v>
      </c>
      <c r="G137" s="159" t="s">
        <v>479</v>
      </c>
      <c r="H137" s="159" t="s">
        <v>479</v>
      </c>
      <c r="I137" s="159">
        <v>1</v>
      </c>
    </row>
    <row r="138" spans="1:9" ht="15.75" customHeight="1">
      <c r="A138" s="159" t="s">
        <v>7099</v>
      </c>
      <c r="B138" s="159" t="s">
        <v>5158</v>
      </c>
      <c r="C138" s="159" t="s">
        <v>6118</v>
      </c>
      <c r="D138" s="159">
        <v>16</v>
      </c>
      <c r="E138" s="159">
        <v>0</v>
      </c>
      <c r="F138" s="159">
        <v>0</v>
      </c>
      <c r="G138" s="159" t="s">
        <v>479</v>
      </c>
      <c r="H138" s="159" t="s">
        <v>479</v>
      </c>
      <c r="I138" s="159">
        <v>1</v>
      </c>
    </row>
    <row r="139" spans="1:9" ht="15.75" customHeight="1">
      <c r="A139" s="159" t="s">
        <v>7099</v>
      </c>
      <c r="B139" s="159" t="s">
        <v>7134</v>
      </c>
      <c r="C139" s="159" t="s">
        <v>477</v>
      </c>
      <c r="D139" s="159">
        <v>50</v>
      </c>
      <c r="E139" s="159">
        <v>0</v>
      </c>
      <c r="F139" s="159">
        <v>0</v>
      </c>
      <c r="G139" s="159" t="s">
        <v>479</v>
      </c>
      <c r="H139" s="159" t="s">
        <v>479</v>
      </c>
      <c r="I139" s="159">
        <v>1</v>
      </c>
    </row>
    <row r="140" spans="1:9" ht="15.75" customHeight="1">
      <c r="A140" s="159" t="s">
        <v>7099</v>
      </c>
      <c r="B140" s="159" t="s">
        <v>7160</v>
      </c>
      <c r="C140" s="159" t="s">
        <v>477</v>
      </c>
      <c r="D140" s="159">
        <v>50</v>
      </c>
      <c r="E140" s="159">
        <v>0</v>
      </c>
      <c r="F140" s="159">
        <v>0</v>
      </c>
      <c r="G140" s="159" t="s">
        <v>479</v>
      </c>
      <c r="H140" s="159" t="s">
        <v>479</v>
      </c>
      <c r="I140" s="159">
        <v>1</v>
      </c>
    </row>
    <row r="141" spans="1:9" ht="15.75" customHeight="1">
      <c r="A141" s="159" t="s">
        <v>7099</v>
      </c>
      <c r="B141" s="159" t="s">
        <v>1993</v>
      </c>
      <c r="C141" s="159" t="s">
        <v>1631</v>
      </c>
      <c r="D141" s="159">
        <v>8</v>
      </c>
      <c r="E141" s="159">
        <v>19</v>
      </c>
      <c r="F141" s="159">
        <v>0</v>
      </c>
      <c r="G141" s="159" t="s">
        <v>479</v>
      </c>
      <c r="H141" s="159" t="s">
        <v>479</v>
      </c>
      <c r="I141" s="159">
        <v>1</v>
      </c>
    </row>
    <row r="142" spans="1:9" ht="15.75" customHeight="1">
      <c r="A142" s="159" t="s">
        <v>7099</v>
      </c>
      <c r="B142" s="159" t="s">
        <v>7167</v>
      </c>
      <c r="C142" s="159" t="s">
        <v>717</v>
      </c>
      <c r="D142" s="159">
        <v>13</v>
      </c>
      <c r="E142" s="159">
        <v>21</v>
      </c>
      <c r="F142" s="159">
        <v>2</v>
      </c>
      <c r="G142" s="159" t="s">
        <v>479</v>
      </c>
      <c r="H142" s="159" t="s">
        <v>479</v>
      </c>
      <c r="I142" s="159">
        <v>1</v>
      </c>
    </row>
    <row r="143" spans="1:9" ht="15.75" customHeight="1">
      <c r="A143" s="159" t="s">
        <v>7099</v>
      </c>
      <c r="B143" s="159" t="s">
        <v>6119</v>
      </c>
      <c r="C143" s="159" t="s">
        <v>477</v>
      </c>
      <c r="D143" s="159">
        <v>50</v>
      </c>
      <c r="E143" s="159">
        <v>0</v>
      </c>
      <c r="F143" s="159">
        <v>0</v>
      </c>
      <c r="G143" s="159" t="s">
        <v>479</v>
      </c>
      <c r="H143" s="159" t="s">
        <v>479</v>
      </c>
      <c r="I143" s="159">
        <v>1</v>
      </c>
    </row>
    <row r="144" spans="1:9" ht="15.75" customHeight="1">
      <c r="A144" s="159" t="s">
        <v>7099</v>
      </c>
      <c r="B144" s="159" t="s">
        <v>7168</v>
      </c>
      <c r="C144" s="159" t="s">
        <v>477</v>
      </c>
      <c r="D144" s="159">
        <v>50</v>
      </c>
      <c r="E144" s="159">
        <v>0</v>
      </c>
      <c r="F144" s="159">
        <v>0</v>
      </c>
      <c r="G144" s="159" t="s">
        <v>479</v>
      </c>
      <c r="H144" s="159" t="s">
        <v>479</v>
      </c>
      <c r="I144" s="159">
        <v>1</v>
      </c>
    </row>
    <row r="145" spans="1:9" ht="15.75" customHeight="1">
      <c r="A145" s="159" t="s">
        <v>7099</v>
      </c>
      <c r="B145" s="159" t="s">
        <v>6163</v>
      </c>
      <c r="C145" s="159" t="s">
        <v>1631</v>
      </c>
      <c r="D145" s="159">
        <v>8</v>
      </c>
      <c r="E145" s="159">
        <v>19</v>
      </c>
      <c r="F145" s="159">
        <v>0</v>
      </c>
      <c r="G145" s="159" t="s">
        <v>479</v>
      </c>
      <c r="H145" s="159" t="s">
        <v>479</v>
      </c>
      <c r="I145" s="159">
        <v>1</v>
      </c>
    </row>
    <row r="146" spans="1:9" ht="15.75" customHeight="1">
      <c r="A146" s="159" t="s">
        <v>7099</v>
      </c>
      <c r="B146" s="159" t="s">
        <v>7169</v>
      </c>
      <c r="C146" s="159" t="s">
        <v>1796</v>
      </c>
      <c r="D146" s="159">
        <v>100</v>
      </c>
      <c r="E146" s="159">
        <v>0</v>
      </c>
      <c r="F146" s="159">
        <v>0</v>
      </c>
      <c r="G146" s="159" t="s">
        <v>479</v>
      </c>
      <c r="H146" s="159" t="s">
        <v>479</v>
      </c>
      <c r="I146" s="159">
        <v>1</v>
      </c>
    </row>
    <row r="147" spans="1:9" ht="15.75" customHeight="1">
      <c r="A147" s="159" t="s">
        <v>7099</v>
      </c>
      <c r="B147" s="159" t="s">
        <v>7169</v>
      </c>
      <c r="C147" s="159" t="s">
        <v>7104</v>
      </c>
      <c r="D147" s="159">
        <v>100</v>
      </c>
      <c r="E147" s="159">
        <v>0</v>
      </c>
      <c r="F147" s="159">
        <v>0</v>
      </c>
      <c r="G147" s="159" t="s">
        <v>479</v>
      </c>
      <c r="H147" s="159" t="s">
        <v>479</v>
      </c>
      <c r="I147" s="159">
        <v>1</v>
      </c>
    </row>
    <row r="148" spans="1:9" ht="15.75" customHeight="1">
      <c r="A148" s="159" t="s">
        <v>7099</v>
      </c>
      <c r="B148" s="159" t="s">
        <v>7162</v>
      </c>
      <c r="C148" s="159" t="s">
        <v>538</v>
      </c>
      <c r="D148" s="159">
        <v>8</v>
      </c>
      <c r="E148" s="159">
        <v>23</v>
      </c>
      <c r="F148" s="159">
        <v>3</v>
      </c>
      <c r="G148" s="159" t="s">
        <v>479</v>
      </c>
      <c r="H148" s="159" t="s">
        <v>479</v>
      </c>
      <c r="I148" s="159">
        <v>1</v>
      </c>
    </row>
    <row r="149" spans="1:9" ht="15.75" customHeight="1">
      <c r="A149" s="159" t="s">
        <v>7099</v>
      </c>
      <c r="B149" s="159" t="s">
        <v>7163</v>
      </c>
      <c r="C149" s="159" t="s">
        <v>477</v>
      </c>
      <c r="D149" s="159">
        <v>100</v>
      </c>
      <c r="E149" s="159">
        <v>0</v>
      </c>
      <c r="F149" s="159">
        <v>0</v>
      </c>
      <c r="G149" s="159" t="s">
        <v>479</v>
      </c>
      <c r="H149" s="159" t="s">
        <v>479</v>
      </c>
      <c r="I149" s="159">
        <v>1</v>
      </c>
    </row>
    <row r="150" spans="1:9" ht="15.75" customHeight="1">
      <c r="A150" s="159" t="s">
        <v>7099</v>
      </c>
      <c r="B150" s="159" t="s">
        <v>7164</v>
      </c>
      <c r="C150" s="159" t="s">
        <v>538</v>
      </c>
      <c r="D150" s="159">
        <v>8</v>
      </c>
      <c r="E150" s="159">
        <v>23</v>
      </c>
      <c r="F150" s="159">
        <v>3</v>
      </c>
      <c r="G150" s="159" t="s">
        <v>479</v>
      </c>
      <c r="H150" s="159" t="s">
        <v>479</v>
      </c>
      <c r="I150" s="159">
        <v>1</v>
      </c>
    </row>
    <row r="151" spans="1:9" ht="15.75" customHeight="1">
      <c r="A151" s="159" t="s">
        <v>7099</v>
      </c>
      <c r="B151" s="159" t="s">
        <v>7165</v>
      </c>
      <c r="C151" s="159" t="s">
        <v>477</v>
      </c>
      <c r="D151" s="159">
        <v>1000</v>
      </c>
      <c r="E151" s="159">
        <v>0</v>
      </c>
      <c r="F151" s="159">
        <v>0</v>
      </c>
      <c r="G151" s="159" t="s">
        <v>479</v>
      </c>
      <c r="H151" s="159" t="s">
        <v>479</v>
      </c>
      <c r="I151" s="159">
        <v>1</v>
      </c>
    </row>
    <row r="152" spans="1:9" ht="15.75" customHeight="1">
      <c r="A152" s="159" t="s">
        <v>7100</v>
      </c>
      <c r="B152" s="159" t="s">
        <v>7102</v>
      </c>
      <c r="C152" s="159" t="s">
        <v>484</v>
      </c>
      <c r="D152" s="159">
        <v>4</v>
      </c>
      <c r="E152" s="159">
        <v>10</v>
      </c>
      <c r="F152" s="159">
        <v>0</v>
      </c>
      <c r="G152" s="159" t="s">
        <v>479</v>
      </c>
      <c r="H152" s="159" t="s">
        <v>479</v>
      </c>
      <c r="I152" s="159">
        <v>0</v>
      </c>
    </row>
    <row r="153" spans="1:9" ht="15.75" customHeight="1">
      <c r="A153" s="159" t="s">
        <v>7100</v>
      </c>
      <c r="B153" s="159" t="s">
        <v>7155</v>
      </c>
      <c r="C153" s="159" t="s">
        <v>484</v>
      </c>
      <c r="D153" s="159">
        <v>4</v>
      </c>
      <c r="E153" s="159">
        <v>10</v>
      </c>
      <c r="F153" s="159">
        <v>0</v>
      </c>
      <c r="G153" s="159" t="s">
        <v>479</v>
      </c>
      <c r="H153" s="159" t="s">
        <v>479</v>
      </c>
      <c r="I153" s="159">
        <v>0</v>
      </c>
    </row>
    <row r="154" spans="1:9" ht="15.75" customHeight="1">
      <c r="A154" s="159" t="s">
        <v>7100</v>
      </c>
      <c r="B154" s="159" t="s">
        <v>7156</v>
      </c>
      <c r="C154" s="159" t="s">
        <v>1974</v>
      </c>
      <c r="D154" s="159">
        <v>3</v>
      </c>
      <c r="E154" s="159">
        <v>10</v>
      </c>
      <c r="F154" s="159">
        <v>0</v>
      </c>
      <c r="G154" s="159" t="s">
        <v>479</v>
      </c>
      <c r="H154" s="159" t="s">
        <v>479</v>
      </c>
      <c r="I154" s="159">
        <v>0</v>
      </c>
    </row>
    <row r="155" spans="1:9" ht="15.75" customHeight="1">
      <c r="A155" s="159" t="s">
        <v>7100</v>
      </c>
      <c r="B155" s="159" t="s">
        <v>4674</v>
      </c>
      <c r="C155" s="159" t="s">
        <v>1796</v>
      </c>
      <c r="D155" s="159">
        <v>200</v>
      </c>
      <c r="E155" s="159">
        <v>0</v>
      </c>
      <c r="F155" s="159">
        <v>0</v>
      </c>
      <c r="G155" s="159" t="s">
        <v>479</v>
      </c>
      <c r="H155" s="159" t="s">
        <v>479</v>
      </c>
      <c r="I155" s="159">
        <v>1</v>
      </c>
    </row>
    <row r="156" spans="1:9" ht="15.75" customHeight="1">
      <c r="A156" s="159" t="s">
        <v>7100</v>
      </c>
      <c r="B156" s="159" t="s">
        <v>4674</v>
      </c>
      <c r="C156" s="159" t="s">
        <v>7104</v>
      </c>
      <c r="D156" s="159">
        <v>200</v>
      </c>
      <c r="E156" s="159">
        <v>0</v>
      </c>
      <c r="F156" s="159">
        <v>0</v>
      </c>
      <c r="G156" s="159" t="s">
        <v>479</v>
      </c>
      <c r="H156" s="159" t="s">
        <v>479</v>
      </c>
      <c r="I156" s="159">
        <v>1</v>
      </c>
    </row>
    <row r="157" spans="1:9" ht="15.75" customHeight="1">
      <c r="A157" s="159" t="s">
        <v>7100</v>
      </c>
      <c r="B157" s="159" t="s">
        <v>7134</v>
      </c>
      <c r="C157" s="159" t="s">
        <v>1796</v>
      </c>
      <c r="D157" s="159">
        <v>100</v>
      </c>
      <c r="E157" s="159">
        <v>0</v>
      </c>
      <c r="F157" s="159">
        <v>0</v>
      </c>
      <c r="G157" s="159" t="s">
        <v>479</v>
      </c>
      <c r="H157" s="159" t="s">
        <v>479</v>
      </c>
      <c r="I157" s="159">
        <v>1</v>
      </c>
    </row>
    <row r="158" spans="1:9" ht="15.75" customHeight="1">
      <c r="A158" s="159" t="s">
        <v>7100</v>
      </c>
      <c r="B158" s="159" t="s">
        <v>7134</v>
      </c>
      <c r="C158" s="159" t="s">
        <v>7104</v>
      </c>
      <c r="D158" s="159">
        <v>100</v>
      </c>
      <c r="E158" s="159">
        <v>0</v>
      </c>
      <c r="F158" s="159">
        <v>0</v>
      </c>
      <c r="G158" s="159" t="s">
        <v>479</v>
      </c>
      <c r="H158" s="159" t="s">
        <v>479</v>
      </c>
      <c r="I158" s="159">
        <v>1</v>
      </c>
    </row>
    <row r="159" spans="1:9" ht="15.75" customHeight="1">
      <c r="A159" s="159" t="s">
        <v>7100</v>
      </c>
      <c r="B159" s="159" t="s">
        <v>7159</v>
      </c>
      <c r="C159" s="159" t="s">
        <v>477</v>
      </c>
      <c r="D159" s="159">
        <v>25</v>
      </c>
      <c r="E159" s="159">
        <v>0</v>
      </c>
      <c r="F159" s="159">
        <v>0</v>
      </c>
      <c r="G159" s="159" t="s">
        <v>479</v>
      </c>
      <c r="H159" s="159" t="s">
        <v>479</v>
      </c>
      <c r="I159" s="159">
        <v>1</v>
      </c>
    </row>
    <row r="160" spans="1:9" ht="15.75" customHeight="1">
      <c r="A160" s="159" t="s">
        <v>7100</v>
      </c>
      <c r="B160" s="159" t="s">
        <v>7160</v>
      </c>
      <c r="C160" s="159" t="s">
        <v>1796</v>
      </c>
      <c r="D160" s="159">
        <v>100</v>
      </c>
      <c r="E160" s="159">
        <v>0</v>
      </c>
      <c r="F160" s="159">
        <v>0</v>
      </c>
      <c r="G160" s="159" t="s">
        <v>479</v>
      </c>
      <c r="H160" s="159" t="s">
        <v>479</v>
      </c>
      <c r="I160" s="159">
        <v>0</v>
      </c>
    </row>
    <row r="161" spans="1:9" ht="15.75" customHeight="1">
      <c r="A161" s="159" t="s">
        <v>7100</v>
      </c>
      <c r="B161" s="159" t="s">
        <v>7160</v>
      </c>
      <c r="C161" s="159" t="s">
        <v>7104</v>
      </c>
      <c r="D161" s="159">
        <v>100</v>
      </c>
      <c r="E161" s="159">
        <v>0</v>
      </c>
      <c r="F161" s="159">
        <v>0</v>
      </c>
      <c r="G161" s="159" t="s">
        <v>479</v>
      </c>
      <c r="H161" s="159" t="s">
        <v>479</v>
      </c>
      <c r="I161" s="159">
        <v>0</v>
      </c>
    </row>
    <row r="162" spans="1:9" ht="15.75" customHeight="1">
      <c r="A162" s="159" t="s">
        <v>7100</v>
      </c>
      <c r="B162" s="159" t="s">
        <v>6207</v>
      </c>
      <c r="C162" s="159" t="s">
        <v>717</v>
      </c>
      <c r="D162" s="159">
        <v>17</v>
      </c>
      <c r="E162" s="159">
        <v>38</v>
      </c>
      <c r="F162" s="159">
        <v>2</v>
      </c>
      <c r="G162" s="159" t="s">
        <v>479</v>
      </c>
      <c r="H162" s="159" t="s">
        <v>479</v>
      </c>
      <c r="I162" s="159">
        <v>1</v>
      </c>
    </row>
    <row r="163" spans="1:9" ht="15.75" customHeight="1">
      <c r="A163" s="159" t="s">
        <v>7100</v>
      </c>
      <c r="B163" s="159" t="s">
        <v>7161</v>
      </c>
      <c r="C163" s="159" t="s">
        <v>477</v>
      </c>
      <c r="D163" s="159">
        <v>50</v>
      </c>
      <c r="E163" s="159">
        <v>0</v>
      </c>
      <c r="F163" s="159">
        <v>0</v>
      </c>
      <c r="G163" s="159" t="s">
        <v>479</v>
      </c>
      <c r="H163" s="159" t="s">
        <v>479</v>
      </c>
      <c r="I163" s="159">
        <v>1</v>
      </c>
    </row>
    <row r="164" spans="1:9" ht="15.75" customHeight="1">
      <c r="A164" s="159" t="s">
        <v>7100</v>
      </c>
      <c r="B164" s="159" t="s">
        <v>7162</v>
      </c>
      <c r="C164" s="159" t="s">
        <v>538</v>
      </c>
      <c r="D164" s="159">
        <v>8</v>
      </c>
      <c r="E164" s="159">
        <v>23</v>
      </c>
      <c r="F164" s="159">
        <v>3</v>
      </c>
      <c r="G164" s="159" t="s">
        <v>479</v>
      </c>
      <c r="H164" s="159" t="s">
        <v>479</v>
      </c>
      <c r="I164" s="159">
        <v>1</v>
      </c>
    </row>
    <row r="165" spans="1:9" ht="15.75" customHeight="1">
      <c r="A165" s="159" t="s">
        <v>7100</v>
      </c>
      <c r="B165" s="159" t="s">
        <v>7163</v>
      </c>
      <c r="C165" s="159" t="s">
        <v>477</v>
      </c>
      <c r="D165" s="159">
        <v>100</v>
      </c>
      <c r="E165" s="159">
        <v>0</v>
      </c>
      <c r="F165" s="159">
        <v>0</v>
      </c>
      <c r="G165" s="159" t="s">
        <v>479</v>
      </c>
      <c r="H165" s="159" t="s">
        <v>479</v>
      </c>
      <c r="I165" s="159">
        <v>1</v>
      </c>
    </row>
    <row r="166" spans="1:9" ht="15.75" customHeight="1">
      <c r="A166" s="159" t="s">
        <v>7100</v>
      </c>
      <c r="B166" s="159" t="s">
        <v>7164</v>
      </c>
      <c r="C166" s="159" t="s">
        <v>538</v>
      </c>
      <c r="D166" s="159">
        <v>8</v>
      </c>
      <c r="E166" s="159">
        <v>23</v>
      </c>
      <c r="F166" s="159">
        <v>3</v>
      </c>
      <c r="G166" s="159" t="s">
        <v>479</v>
      </c>
      <c r="H166" s="159" t="s">
        <v>479</v>
      </c>
      <c r="I166" s="159">
        <v>1</v>
      </c>
    </row>
    <row r="167" spans="1:9" ht="15.75" customHeight="1">
      <c r="A167" s="159" t="s">
        <v>7100</v>
      </c>
      <c r="B167" s="159" t="s">
        <v>7165</v>
      </c>
      <c r="C167" s="159" t="s">
        <v>477</v>
      </c>
      <c r="D167" s="159">
        <v>1000</v>
      </c>
      <c r="E167" s="159">
        <v>0</v>
      </c>
      <c r="F167" s="159">
        <v>0</v>
      </c>
      <c r="G167" s="159" t="s">
        <v>479</v>
      </c>
      <c r="H167" s="159" t="s">
        <v>479</v>
      </c>
      <c r="I167" s="159">
        <v>1</v>
      </c>
    </row>
    <row r="168" spans="1:9" ht="15.75" customHeight="1">
      <c r="A168" s="159" t="s">
        <v>7100</v>
      </c>
      <c r="B168" s="159" t="s">
        <v>7170</v>
      </c>
      <c r="C168" s="159" t="s">
        <v>484</v>
      </c>
      <c r="D168" s="159">
        <v>4</v>
      </c>
      <c r="E168" s="159">
        <v>10</v>
      </c>
      <c r="F168" s="159">
        <v>0</v>
      </c>
      <c r="G168" s="159" t="s">
        <v>479</v>
      </c>
      <c r="H168" s="159" t="s">
        <v>479</v>
      </c>
      <c r="I168" s="159">
        <v>1</v>
      </c>
    </row>
    <row r="169" spans="1:9" ht="15.75" customHeight="1">
      <c r="A169" s="159" t="s">
        <v>7100</v>
      </c>
      <c r="B169" s="159" t="s">
        <v>7171</v>
      </c>
      <c r="C169" s="159" t="s">
        <v>1631</v>
      </c>
      <c r="D169" s="159">
        <v>8</v>
      </c>
      <c r="E169" s="159">
        <v>19</v>
      </c>
      <c r="F169" s="159">
        <v>0</v>
      </c>
      <c r="G169" s="159" t="s">
        <v>479</v>
      </c>
      <c r="H169" s="159" t="s">
        <v>479</v>
      </c>
      <c r="I169" s="159">
        <v>1</v>
      </c>
    </row>
    <row r="170" spans="1:9" ht="15.75" customHeight="1">
      <c r="A170" s="159" t="s">
        <v>7100</v>
      </c>
      <c r="B170" s="159" t="s">
        <v>7172</v>
      </c>
      <c r="C170" s="159" t="s">
        <v>1631</v>
      </c>
      <c r="D170" s="159">
        <v>8</v>
      </c>
      <c r="E170" s="159">
        <v>19</v>
      </c>
      <c r="F170" s="159">
        <v>0</v>
      </c>
      <c r="G170" s="159" t="s">
        <v>479</v>
      </c>
      <c r="H170" s="159" t="s">
        <v>479</v>
      </c>
      <c r="I170" s="159">
        <v>1</v>
      </c>
    </row>
    <row r="171" spans="1:9" ht="15.75" customHeight="1"/>
    <row r="172" spans="1:9" ht="15.75" customHeight="1"/>
    <row r="173" spans="1:9" ht="15.75" customHeight="1"/>
    <row r="174" spans="1:9" ht="15.75" customHeight="1"/>
    <row r="175" spans="1:9" ht="15.75" customHeight="1"/>
    <row r="176" spans="1:9"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J1000"/>
  <sheetViews>
    <sheetView workbookViewId="0"/>
  </sheetViews>
  <sheetFormatPr baseColWidth="10" defaultColWidth="12.6640625" defaultRowHeight="15" customHeight="1"/>
  <cols>
    <col min="1" max="1" width="7.6640625" customWidth="1"/>
    <col min="2" max="2" width="17.83203125" customWidth="1"/>
    <col min="3" max="3" width="22.33203125" customWidth="1"/>
    <col min="4" max="4" width="17.5" customWidth="1"/>
    <col min="5" max="5" width="17" customWidth="1"/>
    <col min="6" max="6" width="16.1640625" customWidth="1"/>
    <col min="7" max="7" width="14.33203125" customWidth="1"/>
    <col min="8" max="8" width="13.1640625" customWidth="1"/>
    <col min="9" max="9" width="15" customWidth="1"/>
    <col min="10" max="10" width="11.5" customWidth="1"/>
    <col min="11" max="26" width="7.6640625" customWidth="1"/>
  </cols>
  <sheetData>
    <row r="1" spans="1:10">
      <c r="A1" s="174" t="s">
        <v>154</v>
      </c>
      <c r="B1" s="174" t="s">
        <v>155</v>
      </c>
      <c r="C1" s="174" t="s">
        <v>156</v>
      </c>
      <c r="D1" s="174" t="s">
        <v>157</v>
      </c>
      <c r="E1" s="174" t="s">
        <v>158</v>
      </c>
      <c r="F1" s="174" t="s">
        <v>159</v>
      </c>
      <c r="G1" s="174" t="s">
        <v>160</v>
      </c>
      <c r="H1" s="174" t="s">
        <v>161</v>
      </c>
      <c r="I1" s="174" t="s">
        <v>162</v>
      </c>
      <c r="J1" s="245" t="s">
        <v>164</v>
      </c>
    </row>
    <row r="2" spans="1:10">
      <c r="A2" s="159" t="s">
        <v>7090</v>
      </c>
      <c r="B2" s="159" t="s">
        <v>266</v>
      </c>
      <c r="C2" s="159" t="s">
        <v>7091</v>
      </c>
      <c r="D2" s="159">
        <v>1449</v>
      </c>
      <c r="E2" s="159" t="s">
        <v>5068</v>
      </c>
      <c r="F2" s="159">
        <v>272</v>
      </c>
      <c r="G2" s="159">
        <v>176</v>
      </c>
      <c r="H2" s="159">
        <v>16</v>
      </c>
      <c r="I2" s="159">
        <v>80</v>
      </c>
      <c r="J2" s="247" t="s">
        <v>213</v>
      </c>
    </row>
    <row r="3" spans="1:10">
      <c r="A3" s="159" t="s">
        <v>7090</v>
      </c>
      <c r="B3" s="159" t="s">
        <v>266</v>
      </c>
      <c r="C3" s="159" t="s">
        <v>7092</v>
      </c>
      <c r="D3" s="159">
        <v>266</v>
      </c>
      <c r="E3" s="159" t="s">
        <v>5068</v>
      </c>
      <c r="F3" s="159">
        <v>72</v>
      </c>
      <c r="G3" s="159">
        <v>48</v>
      </c>
      <c r="H3" s="159">
        <v>8</v>
      </c>
      <c r="I3" s="159">
        <v>16</v>
      </c>
      <c r="J3" s="247" t="s">
        <v>213</v>
      </c>
    </row>
    <row r="4" spans="1:10">
      <c r="A4" s="159" t="s">
        <v>7090</v>
      </c>
      <c r="B4" s="159" t="s">
        <v>415</v>
      </c>
      <c r="C4" s="159" t="s">
        <v>7093</v>
      </c>
      <c r="D4" s="159">
        <v>36538333</v>
      </c>
      <c r="E4" s="159" t="s">
        <v>5068</v>
      </c>
      <c r="F4" s="159">
        <v>6917896</v>
      </c>
      <c r="G4" s="159">
        <v>6914328</v>
      </c>
      <c r="H4" s="159">
        <v>72</v>
      </c>
      <c r="I4" s="159">
        <v>3496</v>
      </c>
      <c r="J4" s="247" t="s">
        <v>213</v>
      </c>
    </row>
    <row r="5" spans="1:10">
      <c r="A5" s="159" t="s">
        <v>7090</v>
      </c>
      <c r="B5" s="159" t="s">
        <v>415</v>
      </c>
      <c r="C5" s="159" t="s">
        <v>7094</v>
      </c>
      <c r="D5" s="159">
        <v>6154992</v>
      </c>
      <c r="E5" s="159" t="s">
        <v>5068</v>
      </c>
      <c r="F5" s="159">
        <v>937264</v>
      </c>
      <c r="G5" s="159">
        <v>936128</v>
      </c>
      <c r="H5" s="159">
        <v>48</v>
      </c>
      <c r="I5" s="159">
        <v>1088</v>
      </c>
      <c r="J5" s="247" t="s">
        <v>213</v>
      </c>
    </row>
    <row r="6" spans="1:10">
      <c r="A6" s="159" t="s">
        <v>7090</v>
      </c>
      <c r="B6" s="159" t="s">
        <v>415</v>
      </c>
      <c r="C6" s="159" t="s">
        <v>7095</v>
      </c>
      <c r="D6" s="159">
        <v>169054359</v>
      </c>
      <c r="E6" s="159" t="s">
        <v>5068</v>
      </c>
      <c r="F6" s="159">
        <v>21497648</v>
      </c>
      <c r="G6" s="159">
        <v>21494544</v>
      </c>
      <c r="H6" s="159">
        <v>112</v>
      </c>
      <c r="I6" s="159">
        <v>2992</v>
      </c>
      <c r="J6" s="247" t="s">
        <v>213</v>
      </c>
    </row>
    <row r="7" spans="1:10">
      <c r="A7" s="159" t="s">
        <v>7090</v>
      </c>
      <c r="B7" s="159" t="s">
        <v>266</v>
      </c>
      <c r="C7" s="159" t="s">
        <v>7096</v>
      </c>
      <c r="D7" s="159">
        <v>213740</v>
      </c>
      <c r="E7" s="159" t="s">
        <v>5068</v>
      </c>
      <c r="F7" s="159">
        <v>81848</v>
      </c>
      <c r="G7" s="159">
        <v>80712</v>
      </c>
      <c r="H7" s="159">
        <v>56</v>
      </c>
      <c r="I7" s="159">
        <v>1080</v>
      </c>
      <c r="J7" s="247" t="s">
        <v>213</v>
      </c>
    </row>
    <row r="8" spans="1:10">
      <c r="A8" s="159" t="s">
        <v>7090</v>
      </c>
      <c r="B8" s="159" t="s">
        <v>415</v>
      </c>
      <c r="C8" s="159" t="s">
        <v>7097</v>
      </c>
      <c r="D8" s="159">
        <v>315870</v>
      </c>
      <c r="E8" s="159" t="s">
        <v>5068</v>
      </c>
      <c r="F8" s="159">
        <v>59832</v>
      </c>
      <c r="G8" s="159">
        <v>58392</v>
      </c>
      <c r="H8" s="159">
        <v>56</v>
      </c>
      <c r="I8" s="159">
        <v>1384</v>
      </c>
      <c r="J8" s="247" t="s">
        <v>213</v>
      </c>
    </row>
    <row r="9" spans="1:10">
      <c r="A9" s="159" t="s">
        <v>7090</v>
      </c>
      <c r="B9" s="159" t="s">
        <v>415</v>
      </c>
      <c r="C9" s="159" t="s">
        <v>7098</v>
      </c>
      <c r="D9" s="159">
        <v>8438067</v>
      </c>
      <c r="E9" s="159" t="s">
        <v>5068</v>
      </c>
      <c r="F9" s="159">
        <v>1500352</v>
      </c>
      <c r="G9" s="159">
        <v>1499960</v>
      </c>
      <c r="H9" s="159">
        <v>64</v>
      </c>
      <c r="I9" s="159">
        <v>328</v>
      </c>
      <c r="J9" s="247" t="s">
        <v>213</v>
      </c>
    </row>
    <row r="10" spans="1:10">
      <c r="A10" s="159" t="s">
        <v>7090</v>
      </c>
      <c r="B10" s="159" t="s">
        <v>415</v>
      </c>
      <c r="C10" s="159" t="s">
        <v>7099</v>
      </c>
      <c r="D10" s="159">
        <v>10251828</v>
      </c>
      <c r="E10" s="159" t="s">
        <v>5068</v>
      </c>
      <c r="F10" s="159">
        <v>1566016</v>
      </c>
      <c r="G10" s="159">
        <v>1565728</v>
      </c>
      <c r="H10" s="159">
        <v>64</v>
      </c>
      <c r="I10" s="159">
        <v>224</v>
      </c>
      <c r="J10" s="247" t="s">
        <v>213</v>
      </c>
    </row>
    <row r="11" spans="1:10">
      <c r="A11" s="159" t="s">
        <v>7090</v>
      </c>
      <c r="B11" s="159" t="s">
        <v>415</v>
      </c>
      <c r="C11" s="159" t="s">
        <v>7100</v>
      </c>
      <c r="D11" s="159">
        <v>3189887</v>
      </c>
      <c r="E11" s="159" t="s">
        <v>5068</v>
      </c>
      <c r="F11" s="159">
        <v>742696</v>
      </c>
      <c r="G11" s="159">
        <v>731784</v>
      </c>
      <c r="H11" s="159">
        <v>7448</v>
      </c>
      <c r="I11" s="159">
        <v>3464</v>
      </c>
      <c r="J11" s="247" t="s">
        <v>213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Z1000"/>
  <sheetViews>
    <sheetView workbookViewId="0"/>
  </sheetViews>
  <sheetFormatPr baseColWidth="10" defaultColWidth="12.6640625" defaultRowHeight="15" customHeight="1"/>
  <cols>
    <col min="1" max="1" width="20.6640625" customWidth="1"/>
    <col min="2" max="2" width="29.83203125" customWidth="1"/>
    <col min="3" max="3" width="15.6640625" customWidth="1"/>
    <col min="4" max="4" width="10.33203125" customWidth="1"/>
    <col min="5" max="5" width="10.5" customWidth="1"/>
    <col min="6" max="6" width="11.33203125" customWidth="1"/>
    <col min="7" max="7" width="8.83203125" customWidth="1"/>
    <col min="8" max="10" width="7.6640625" customWidth="1"/>
    <col min="11" max="11" width="15.6640625" customWidth="1"/>
    <col min="12" max="12" width="13.1640625" customWidth="1"/>
    <col min="13" max="13" width="25.83203125" customWidth="1"/>
    <col min="14" max="14" width="51.1640625" customWidth="1"/>
    <col min="15" max="26" width="7.6640625" customWidth="1"/>
  </cols>
  <sheetData>
    <row r="1" spans="1:26">
      <c r="A1" s="272" t="s">
        <v>9262</v>
      </c>
      <c r="B1" s="273" t="s">
        <v>466</v>
      </c>
      <c r="C1" s="272" t="s">
        <v>9263</v>
      </c>
      <c r="D1" s="272" t="s">
        <v>9264</v>
      </c>
      <c r="E1" s="272" t="s">
        <v>9265</v>
      </c>
      <c r="F1" s="272" t="s">
        <v>9266</v>
      </c>
      <c r="G1" s="272" t="s">
        <v>9267</v>
      </c>
      <c r="H1" s="272" t="s">
        <v>9268</v>
      </c>
      <c r="I1" s="272" t="s">
        <v>9269</v>
      </c>
      <c r="J1" s="272" t="s">
        <v>9270</v>
      </c>
      <c r="K1" s="272" t="s">
        <v>9271</v>
      </c>
      <c r="L1" s="272" t="s">
        <v>9272</v>
      </c>
      <c r="M1" s="272" t="s">
        <v>9273</v>
      </c>
      <c r="N1" s="272" t="s">
        <v>9274</v>
      </c>
      <c r="O1" s="274"/>
      <c r="P1" s="274"/>
      <c r="Q1" s="274"/>
      <c r="R1" s="274"/>
      <c r="S1" s="274"/>
      <c r="T1" s="274"/>
      <c r="U1" s="274"/>
      <c r="V1" s="274"/>
      <c r="W1" s="274"/>
      <c r="X1" s="274"/>
      <c r="Y1" s="274"/>
      <c r="Z1" s="274"/>
    </row>
    <row r="2" spans="1:26">
      <c r="A2" s="2" t="s">
        <v>9275</v>
      </c>
      <c r="B2" s="2" t="s">
        <v>9276</v>
      </c>
      <c r="C2" s="2" t="s">
        <v>9277</v>
      </c>
      <c r="D2" s="2">
        <v>1</v>
      </c>
      <c r="E2" s="2">
        <v>16384</v>
      </c>
      <c r="F2" s="2">
        <v>16384</v>
      </c>
      <c r="G2" s="2">
        <v>0</v>
      </c>
      <c r="H2" s="2">
        <v>16384</v>
      </c>
      <c r="I2" s="2">
        <v>0</v>
      </c>
      <c r="J2" s="2">
        <v>2</v>
      </c>
      <c r="K2" s="275">
        <v>44294.708333333336</v>
      </c>
      <c r="M2" s="2" t="s">
        <v>9278</v>
      </c>
      <c r="N2" s="2" t="s">
        <v>9279</v>
      </c>
    </row>
    <row r="3" spans="1:26">
      <c r="A3" s="2" t="s">
        <v>9275</v>
      </c>
      <c r="B3" s="2" t="s">
        <v>9280</v>
      </c>
      <c r="C3" s="2" t="s">
        <v>9277</v>
      </c>
      <c r="D3" s="2">
        <v>59</v>
      </c>
      <c r="E3" s="2">
        <v>277</v>
      </c>
      <c r="F3" s="2">
        <v>16384</v>
      </c>
      <c r="G3" s="2">
        <v>0</v>
      </c>
      <c r="H3" s="2">
        <v>16384</v>
      </c>
      <c r="I3" s="2">
        <v>0</v>
      </c>
      <c r="J3" s="2">
        <v>60</v>
      </c>
      <c r="K3" s="275">
        <v>44336.703472222223</v>
      </c>
      <c r="L3" s="275">
        <v>44447.191666666666</v>
      </c>
      <c r="M3" s="2" t="s">
        <v>9278</v>
      </c>
      <c r="N3" s="2" t="s">
        <v>9281</v>
      </c>
    </row>
    <row r="4" spans="1:26">
      <c r="A4" s="2" t="s">
        <v>9275</v>
      </c>
      <c r="B4" s="2" t="s">
        <v>9282</v>
      </c>
      <c r="C4" s="2" t="s">
        <v>9277</v>
      </c>
      <c r="D4" s="2">
        <v>1</v>
      </c>
      <c r="E4" s="2">
        <v>16384</v>
      </c>
      <c r="F4" s="2">
        <v>16384</v>
      </c>
      <c r="G4" s="2">
        <v>0</v>
      </c>
      <c r="H4" s="2">
        <v>0</v>
      </c>
      <c r="I4" s="2">
        <v>0</v>
      </c>
      <c r="K4" s="275">
        <v>44294.708333333336</v>
      </c>
      <c r="L4" s="275">
        <v>44448.434027777781</v>
      </c>
      <c r="M4" s="2" t="s">
        <v>9278</v>
      </c>
      <c r="N4" s="2" t="s">
        <v>9283</v>
      </c>
    </row>
    <row r="5" spans="1:26">
      <c r="A5" s="2" t="s">
        <v>9275</v>
      </c>
      <c r="B5" s="2" t="s">
        <v>9284</v>
      </c>
      <c r="C5" s="2" t="s">
        <v>9277</v>
      </c>
      <c r="D5" s="2">
        <v>31</v>
      </c>
      <c r="E5" s="2">
        <v>1585</v>
      </c>
      <c r="F5" s="2">
        <v>49152</v>
      </c>
      <c r="G5" s="2">
        <v>0</v>
      </c>
      <c r="H5" s="2">
        <v>16384</v>
      </c>
      <c r="I5" s="2">
        <v>0</v>
      </c>
      <c r="J5" s="2">
        <v>32</v>
      </c>
      <c r="K5" s="275">
        <v>44294.708333333336</v>
      </c>
      <c r="L5" s="275">
        <v>44448.45</v>
      </c>
      <c r="M5" s="2" t="s">
        <v>9278</v>
      </c>
      <c r="N5" s="2" t="s">
        <v>9285</v>
      </c>
    </row>
    <row r="6" spans="1:26">
      <c r="A6" s="2" t="s">
        <v>9275</v>
      </c>
      <c r="B6" s="2" t="s">
        <v>9286</v>
      </c>
      <c r="C6" s="2" t="s">
        <v>9277</v>
      </c>
      <c r="D6" s="2">
        <v>0</v>
      </c>
      <c r="E6" s="2">
        <v>0</v>
      </c>
      <c r="F6" s="2">
        <v>16384</v>
      </c>
      <c r="G6" s="2">
        <v>0</v>
      </c>
      <c r="H6" s="2">
        <v>0</v>
      </c>
      <c r="I6" s="2">
        <v>0</v>
      </c>
      <c r="K6" s="275">
        <v>44294.708333333336</v>
      </c>
      <c r="M6" s="2" t="s">
        <v>9278</v>
      </c>
      <c r="N6" s="2" t="s">
        <v>9287</v>
      </c>
    </row>
    <row r="7" spans="1:26">
      <c r="A7" s="2" t="s">
        <v>9275</v>
      </c>
      <c r="B7" s="2" t="s">
        <v>9288</v>
      </c>
      <c r="C7" s="2" t="s">
        <v>9277</v>
      </c>
      <c r="D7" s="2">
        <v>475</v>
      </c>
      <c r="E7" s="2">
        <v>137</v>
      </c>
      <c r="F7" s="2">
        <v>65536</v>
      </c>
      <c r="G7" s="2">
        <v>0</v>
      </c>
      <c r="H7" s="2">
        <v>65536</v>
      </c>
      <c r="I7" s="2">
        <v>0</v>
      </c>
      <c r="J7" s="2">
        <v>16547</v>
      </c>
      <c r="K7" s="275">
        <v>44294.708333333336</v>
      </c>
      <c r="L7" s="275">
        <v>44448.450694444444</v>
      </c>
      <c r="M7" s="2" t="s">
        <v>9278</v>
      </c>
      <c r="N7" s="2" t="s">
        <v>9289</v>
      </c>
    </row>
    <row r="8" spans="1:26">
      <c r="A8" s="2" t="s">
        <v>9275</v>
      </c>
      <c r="B8" s="2" t="s">
        <v>9290</v>
      </c>
      <c r="C8" s="2" t="s">
        <v>9277</v>
      </c>
      <c r="D8" s="2">
        <v>313</v>
      </c>
      <c r="E8" s="2">
        <v>418</v>
      </c>
      <c r="F8" s="2">
        <v>131072</v>
      </c>
      <c r="G8" s="2">
        <v>0</v>
      </c>
      <c r="H8" s="2">
        <v>49152</v>
      </c>
      <c r="I8" s="2">
        <v>0</v>
      </c>
      <c r="J8" s="2">
        <v>314</v>
      </c>
      <c r="K8" s="275">
        <v>44294.708333333336</v>
      </c>
      <c r="L8" s="275">
        <v>44448.390277777777</v>
      </c>
      <c r="M8" s="2" t="s">
        <v>9278</v>
      </c>
      <c r="N8" s="2" t="s">
        <v>9291</v>
      </c>
    </row>
    <row r="9" spans="1:26">
      <c r="A9" s="2" t="s">
        <v>9275</v>
      </c>
      <c r="B9" s="2" t="s">
        <v>9292</v>
      </c>
      <c r="C9" s="2" t="s">
        <v>9277</v>
      </c>
      <c r="D9" s="2">
        <v>0</v>
      </c>
      <c r="E9" s="2">
        <v>0</v>
      </c>
      <c r="F9" s="2">
        <v>16384</v>
      </c>
      <c r="G9" s="2">
        <v>0</v>
      </c>
      <c r="H9" s="2">
        <v>65536</v>
      </c>
      <c r="I9" s="2">
        <v>0</v>
      </c>
      <c r="J9" s="2">
        <v>1</v>
      </c>
      <c r="K9" s="275">
        <v>44294.708333333336</v>
      </c>
      <c r="M9" s="2" t="s">
        <v>9278</v>
      </c>
      <c r="N9" s="2" t="s">
        <v>9293</v>
      </c>
    </row>
    <row r="10" spans="1:26">
      <c r="A10" s="2" t="s">
        <v>9275</v>
      </c>
      <c r="B10" s="2" t="s">
        <v>9294</v>
      </c>
      <c r="C10" s="2" t="s">
        <v>9277</v>
      </c>
      <c r="D10" s="2">
        <v>0</v>
      </c>
      <c r="E10" s="2">
        <v>0</v>
      </c>
      <c r="F10" s="2">
        <v>16384</v>
      </c>
      <c r="G10" s="2">
        <v>0</v>
      </c>
      <c r="H10" s="2">
        <v>16384</v>
      </c>
      <c r="I10" s="2">
        <v>0</v>
      </c>
      <c r="J10" s="2">
        <v>1</v>
      </c>
      <c r="K10" s="275">
        <v>44294.708333333336</v>
      </c>
      <c r="M10" s="2" t="s">
        <v>9278</v>
      </c>
      <c r="N10" s="2" t="s">
        <v>9295</v>
      </c>
    </row>
    <row r="11" spans="1:26">
      <c r="A11" s="2" t="s">
        <v>9275</v>
      </c>
      <c r="B11" s="2" t="s">
        <v>9296</v>
      </c>
      <c r="C11" s="2" t="s">
        <v>9277</v>
      </c>
      <c r="D11" s="2">
        <v>0</v>
      </c>
      <c r="E11" s="2">
        <v>0</v>
      </c>
      <c r="F11" s="2">
        <v>16384</v>
      </c>
      <c r="G11" s="2">
        <v>0</v>
      </c>
      <c r="H11" s="2">
        <v>16384</v>
      </c>
      <c r="I11" s="2">
        <v>0</v>
      </c>
      <c r="J11" s="2">
        <v>1</v>
      </c>
      <c r="K11" s="275">
        <v>44294.708333333336</v>
      </c>
      <c r="M11" s="2" t="s">
        <v>9278</v>
      </c>
      <c r="N11" s="2" t="s">
        <v>9297</v>
      </c>
    </row>
    <row r="12" spans="1:26">
      <c r="A12" s="2" t="s">
        <v>9275</v>
      </c>
      <c r="B12" s="2" t="s">
        <v>9298</v>
      </c>
      <c r="C12" s="2" t="s">
        <v>9277</v>
      </c>
      <c r="D12" s="2">
        <v>0</v>
      </c>
      <c r="E12" s="2">
        <v>0</v>
      </c>
      <c r="F12" s="2">
        <v>16384</v>
      </c>
      <c r="G12" s="2">
        <v>0</v>
      </c>
      <c r="H12" s="2">
        <v>32768</v>
      </c>
      <c r="I12" s="2">
        <v>0</v>
      </c>
      <c r="J12" s="2">
        <v>1</v>
      </c>
      <c r="K12" s="275">
        <v>44294.708333333336</v>
      </c>
      <c r="M12" s="2" t="s">
        <v>9278</v>
      </c>
      <c r="N12" s="2" t="s">
        <v>9299</v>
      </c>
    </row>
    <row r="13" spans="1:26">
      <c r="A13" s="2" t="s">
        <v>9275</v>
      </c>
      <c r="B13" s="2" t="s">
        <v>9300</v>
      </c>
      <c r="C13" s="2" t="s">
        <v>9277</v>
      </c>
      <c r="D13" s="2">
        <v>0</v>
      </c>
      <c r="E13" s="2">
        <v>0</v>
      </c>
      <c r="F13" s="2">
        <v>16384</v>
      </c>
      <c r="G13" s="2">
        <v>0</v>
      </c>
      <c r="H13" s="2">
        <v>0</v>
      </c>
      <c r="I13" s="2">
        <v>0</v>
      </c>
      <c r="J13" s="2">
        <v>1</v>
      </c>
      <c r="K13" s="275">
        <v>44308.188194444447</v>
      </c>
      <c r="M13" s="2" t="s">
        <v>9278</v>
      </c>
      <c r="N13" s="2" t="s">
        <v>9300</v>
      </c>
    </row>
    <row r="14" spans="1:26">
      <c r="A14" s="2" t="s">
        <v>9275</v>
      </c>
      <c r="B14" s="2" t="s">
        <v>9301</v>
      </c>
      <c r="C14" s="2" t="s">
        <v>9277</v>
      </c>
      <c r="D14" s="2">
        <v>1</v>
      </c>
      <c r="E14" s="2">
        <v>16384</v>
      </c>
      <c r="F14" s="2">
        <v>16384</v>
      </c>
      <c r="G14" s="2">
        <v>0</v>
      </c>
      <c r="H14" s="2">
        <v>0</v>
      </c>
      <c r="I14" s="2">
        <v>0</v>
      </c>
      <c r="J14" s="2">
        <v>12872</v>
      </c>
      <c r="K14" s="275">
        <v>44308.188194444447</v>
      </c>
      <c r="L14" s="275">
        <v>44448.25</v>
      </c>
      <c r="M14" s="2" t="s">
        <v>9278</v>
      </c>
      <c r="N14" s="2" t="s">
        <v>9301</v>
      </c>
    </row>
    <row r="15" spans="1:26">
      <c r="A15" s="2" t="s">
        <v>9275</v>
      </c>
      <c r="B15" s="2" t="s">
        <v>9302</v>
      </c>
      <c r="C15" s="2" t="s">
        <v>9277</v>
      </c>
      <c r="D15" s="2">
        <v>0</v>
      </c>
      <c r="E15" s="2">
        <v>0</v>
      </c>
      <c r="F15" s="2">
        <v>16384</v>
      </c>
      <c r="G15" s="2">
        <v>0</v>
      </c>
      <c r="H15" s="2">
        <v>0</v>
      </c>
      <c r="I15" s="2">
        <v>0</v>
      </c>
      <c r="J15" s="2">
        <v>1</v>
      </c>
      <c r="K15" s="275">
        <v>44308.188194444447</v>
      </c>
      <c r="M15" s="2" t="s">
        <v>9278</v>
      </c>
      <c r="N15" s="2" t="s">
        <v>9302</v>
      </c>
    </row>
    <row r="16" spans="1:26">
      <c r="A16" s="2" t="s">
        <v>9275</v>
      </c>
      <c r="B16" s="2" t="s">
        <v>9303</v>
      </c>
      <c r="C16" s="2" t="s">
        <v>9277</v>
      </c>
      <c r="D16" s="2">
        <v>1</v>
      </c>
      <c r="E16" s="2">
        <v>16384</v>
      </c>
      <c r="F16" s="2">
        <v>16384</v>
      </c>
      <c r="G16" s="2">
        <v>0</v>
      </c>
      <c r="H16" s="2">
        <v>0</v>
      </c>
      <c r="I16" s="2">
        <v>0</v>
      </c>
      <c r="J16" s="2">
        <v>254</v>
      </c>
      <c r="K16" s="275">
        <v>44308.188194444447</v>
      </c>
      <c r="L16" s="275">
        <v>44442.208333333336</v>
      </c>
      <c r="M16" s="2" t="s">
        <v>9278</v>
      </c>
      <c r="N16" s="2" t="s">
        <v>9303</v>
      </c>
    </row>
    <row r="17" spans="1:14">
      <c r="A17" s="2" t="s">
        <v>9275</v>
      </c>
      <c r="B17" s="2" t="s">
        <v>9304</v>
      </c>
      <c r="C17" s="2" t="s">
        <v>9277</v>
      </c>
      <c r="D17" s="2">
        <v>303</v>
      </c>
      <c r="E17" s="2">
        <v>54</v>
      </c>
      <c r="F17" s="2">
        <v>16384</v>
      </c>
      <c r="G17" s="2">
        <v>0</v>
      </c>
      <c r="H17" s="2">
        <v>0</v>
      </c>
      <c r="I17" s="2">
        <v>7340032</v>
      </c>
      <c r="J17" s="2">
        <v>1982142</v>
      </c>
      <c r="K17" s="275">
        <v>44308.188194444447</v>
      </c>
      <c r="L17" s="275">
        <v>44448.451388888891</v>
      </c>
      <c r="M17" s="2" t="s">
        <v>9278</v>
      </c>
      <c r="N17" s="2" t="s">
        <v>9304</v>
      </c>
    </row>
    <row r="18" spans="1:14">
      <c r="A18" s="2" t="s">
        <v>9275</v>
      </c>
      <c r="B18" s="2" t="s">
        <v>9305</v>
      </c>
      <c r="C18" s="2" t="s">
        <v>9277</v>
      </c>
      <c r="D18" s="2">
        <v>0</v>
      </c>
      <c r="E18" s="2">
        <v>0</v>
      </c>
      <c r="F18" s="2">
        <v>16384</v>
      </c>
      <c r="G18" s="2">
        <v>0</v>
      </c>
      <c r="H18" s="2">
        <v>0</v>
      </c>
      <c r="I18" s="2">
        <v>0</v>
      </c>
      <c r="J18" s="2">
        <v>1</v>
      </c>
      <c r="K18" s="275">
        <v>44308.188194444447</v>
      </c>
      <c r="M18" s="2" t="s">
        <v>9278</v>
      </c>
      <c r="N18" s="2" t="s">
        <v>9305</v>
      </c>
    </row>
    <row r="19" spans="1:14">
      <c r="A19" s="2" t="s">
        <v>9275</v>
      </c>
      <c r="B19" s="2" t="s">
        <v>9306</v>
      </c>
      <c r="C19" s="2" t="s">
        <v>9277</v>
      </c>
      <c r="D19" s="2">
        <v>0</v>
      </c>
      <c r="E19" s="2">
        <v>0</v>
      </c>
      <c r="F19" s="2">
        <v>16384</v>
      </c>
      <c r="G19" s="2">
        <v>0</v>
      </c>
      <c r="H19" s="2">
        <v>0</v>
      </c>
      <c r="I19" s="2">
        <v>0</v>
      </c>
      <c r="J19" s="2">
        <v>1</v>
      </c>
      <c r="K19" s="275">
        <v>44308.188194444447</v>
      </c>
      <c r="M19" s="2" t="s">
        <v>9278</v>
      </c>
      <c r="N19" s="2" t="s">
        <v>9306</v>
      </c>
    </row>
    <row r="20" spans="1:14">
      <c r="A20" s="2" t="s">
        <v>9275</v>
      </c>
      <c r="B20" s="2" t="s">
        <v>9307</v>
      </c>
      <c r="C20" s="2" t="s">
        <v>9277</v>
      </c>
      <c r="D20" s="2">
        <v>0</v>
      </c>
      <c r="E20" s="2">
        <v>0</v>
      </c>
      <c r="F20" s="2">
        <v>16384</v>
      </c>
      <c r="G20" s="2">
        <v>0</v>
      </c>
      <c r="H20" s="2">
        <v>0</v>
      </c>
      <c r="I20" s="2">
        <v>0</v>
      </c>
      <c r="J20" s="2">
        <v>1</v>
      </c>
      <c r="K20" s="275">
        <v>44294.708333333336</v>
      </c>
      <c r="M20" s="2" t="s">
        <v>9278</v>
      </c>
      <c r="N20" s="2" t="s">
        <v>9307</v>
      </c>
    </row>
    <row r="21" spans="1:14" ht="15.75" customHeight="1">
      <c r="A21" s="2" t="s">
        <v>9275</v>
      </c>
      <c r="B21" s="2" t="s">
        <v>9308</v>
      </c>
      <c r="C21" s="2" t="s">
        <v>9277</v>
      </c>
      <c r="D21" s="2">
        <v>0</v>
      </c>
      <c r="E21" s="2">
        <v>0</v>
      </c>
      <c r="F21" s="2">
        <v>16384</v>
      </c>
      <c r="G21" s="2">
        <v>0</v>
      </c>
      <c r="H21" s="2">
        <v>0</v>
      </c>
      <c r="I21" s="2">
        <v>0</v>
      </c>
      <c r="J21" s="2">
        <v>1</v>
      </c>
      <c r="K21" s="275">
        <v>44294.708333333336</v>
      </c>
      <c r="M21" s="2" t="s">
        <v>9278</v>
      </c>
      <c r="N21" s="2" t="s">
        <v>9308</v>
      </c>
    </row>
    <row r="22" spans="1:14" ht="15.75" customHeight="1">
      <c r="A22" s="2" t="s">
        <v>9275</v>
      </c>
      <c r="B22" s="2" t="s">
        <v>9309</v>
      </c>
      <c r="C22" s="2" t="s">
        <v>9277</v>
      </c>
      <c r="D22" s="2">
        <v>2</v>
      </c>
      <c r="E22" s="2">
        <v>8192</v>
      </c>
      <c r="F22" s="2">
        <v>16384</v>
      </c>
      <c r="G22" s="2">
        <v>0</v>
      </c>
      <c r="H22" s="2">
        <v>0</v>
      </c>
      <c r="I22" s="2">
        <v>0</v>
      </c>
      <c r="J22" s="2">
        <v>109289</v>
      </c>
      <c r="K22" s="275">
        <v>44294.708333333336</v>
      </c>
      <c r="L22" s="275">
        <v>44448.451388888891</v>
      </c>
      <c r="M22" s="2" t="s">
        <v>9278</v>
      </c>
      <c r="N22" s="2" t="s">
        <v>9309</v>
      </c>
    </row>
    <row r="23" spans="1:14" ht="15.75" customHeight="1">
      <c r="A23" s="2" t="s">
        <v>9275</v>
      </c>
      <c r="B23" s="2" t="s">
        <v>9310</v>
      </c>
      <c r="C23" s="2" t="s">
        <v>9277</v>
      </c>
      <c r="D23" s="2">
        <v>0</v>
      </c>
      <c r="E23" s="2">
        <v>0</v>
      </c>
      <c r="F23" s="2">
        <v>16384</v>
      </c>
      <c r="G23" s="2">
        <v>0</v>
      </c>
      <c r="H23" s="2">
        <v>0</v>
      </c>
      <c r="I23" s="2">
        <v>0</v>
      </c>
      <c r="K23" s="275">
        <v>44294.708333333336</v>
      </c>
      <c r="M23" s="2" t="s">
        <v>9278</v>
      </c>
      <c r="N23" s="2" t="s">
        <v>9310</v>
      </c>
    </row>
    <row r="24" spans="1:14" ht="15.75" customHeight="1">
      <c r="A24" s="2" t="s">
        <v>9275</v>
      </c>
      <c r="B24" s="2" t="s">
        <v>9311</v>
      </c>
      <c r="C24" s="2" t="s">
        <v>9277</v>
      </c>
      <c r="D24" s="2">
        <v>25344</v>
      </c>
      <c r="E24" s="2">
        <v>54</v>
      </c>
      <c r="F24" s="2">
        <v>1376256</v>
      </c>
      <c r="G24" s="2">
        <v>0</v>
      </c>
      <c r="H24" s="2">
        <v>0</v>
      </c>
      <c r="I24" s="2">
        <v>4194304</v>
      </c>
      <c r="J24" s="2">
        <v>31085</v>
      </c>
      <c r="K24" s="275">
        <v>44294.708333333336</v>
      </c>
      <c r="L24" s="275">
        <v>44448.451388888891</v>
      </c>
      <c r="M24" s="2" t="s">
        <v>9278</v>
      </c>
      <c r="N24" s="2" t="s">
        <v>9311</v>
      </c>
    </row>
    <row r="25" spans="1:14" ht="15.75" customHeight="1">
      <c r="A25" s="2" t="s">
        <v>9275</v>
      </c>
      <c r="B25" s="2" t="s">
        <v>9312</v>
      </c>
      <c r="C25" s="2" t="s">
        <v>9277</v>
      </c>
      <c r="D25" s="2">
        <v>177</v>
      </c>
      <c r="E25" s="2">
        <v>92</v>
      </c>
      <c r="F25" s="2">
        <v>16384</v>
      </c>
      <c r="G25" s="2">
        <v>0</v>
      </c>
      <c r="H25" s="2">
        <v>16384</v>
      </c>
      <c r="I25" s="2">
        <v>0</v>
      </c>
      <c r="J25" s="2">
        <v>207</v>
      </c>
      <c r="K25" s="275">
        <v>44378.713194444441</v>
      </c>
      <c r="L25" s="275">
        <v>44448.390277777777</v>
      </c>
      <c r="M25" s="2" t="s">
        <v>9278</v>
      </c>
      <c r="N25" s="2" t="s">
        <v>9313</v>
      </c>
    </row>
    <row r="26" spans="1:14" ht="15.75" customHeight="1">
      <c r="A26" s="2" t="s">
        <v>9275</v>
      </c>
      <c r="B26" s="2" t="s">
        <v>9314</v>
      </c>
      <c r="C26" s="2" t="s">
        <v>9277</v>
      </c>
      <c r="D26" s="2">
        <v>290</v>
      </c>
      <c r="E26" s="2">
        <v>56</v>
      </c>
      <c r="F26" s="2">
        <v>16384</v>
      </c>
      <c r="G26" s="2">
        <v>0</v>
      </c>
      <c r="H26" s="2">
        <v>16384</v>
      </c>
      <c r="I26" s="2">
        <v>0</v>
      </c>
      <c r="J26" s="2">
        <v>322</v>
      </c>
      <c r="K26" s="275">
        <v>44294.708333333336</v>
      </c>
      <c r="L26" s="275">
        <v>44448.390277777777</v>
      </c>
      <c r="M26" s="2" t="s">
        <v>9278</v>
      </c>
      <c r="N26" s="2" t="s">
        <v>9315</v>
      </c>
    </row>
    <row r="27" spans="1:14" ht="15.75" customHeight="1">
      <c r="A27" s="2" t="s">
        <v>9275</v>
      </c>
      <c r="B27" s="2" t="s">
        <v>9316</v>
      </c>
      <c r="C27" s="2" t="s">
        <v>9277</v>
      </c>
      <c r="D27" s="2">
        <v>271</v>
      </c>
      <c r="E27" s="2">
        <v>60</v>
      </c>
      <c r="F27" s="2">
        <v>16384</v>
      </c>
      <c r="G27" s="2">
        <v>0</v>
      </c>
      <c r="H27" s="2">
        <v>16384</v>
      </c>
      <c r="I27" s="2">
        <v>0</v>
      </c>
      <c r="J27" s="2">
        <v>304</v>
      </c>
      <c r="K27" s="275">
        <v>44294.708333333336</v>
      </c>
      <c r="L27" s="275">
        <v>44448.448611111111</v>
      </c>
      <c r="M27" s="2" t="s">
        <v>9278</v>
      </c>
      <c r="N27" s="2" t="s">
        <v>9316</v>
      </c>
    </row>
    <row r="28" spans="1:14" ht="15.75" customHeight="1">
      <c r="A28" s="2" t="s">
        <v>9275</v>
      </c>
      <c r="B28" s="2" t="s">
        <v>9317</v>
      </c>
      <c r="C28" s="2" t="s">
        <v>9277</v>
      </c>
      <c r="D28" s="2">
        <v>290</v>
      </c>
      <c r="E28" s="2">
        <v>56</v>
      </c>
      <c r="F28" s="2">
        <v>16384</v>
      </c>
      <c r="G28" s="2">
        <v>0</v>
      </c>
      <c r="H28" s="2">
        <v>16384</v>
      </c>
      <c r="I28" s="2">
        <v>0</v>
      </c>
      <c r="J28" s="2">
        <v>324</v>
      </c>
      <c r="K28" s="275">
        <v>44294.708333333336</v>
      </c>
      <c r="L28" s="275">
        <v>44448.448611111111</v>
      </c>
      <c r="M28" s="2" t="s">
        <v>9278</v>
      </c>
      <c r="N28" s="2" t="s">
        <v>9317</v>
      </c>
    </row>
    <row r="29" spans="1:14" ht="15.75" customHeight="1">
      <c r="A29" s="2" t="s">
        <v>9275</v>
      </c>
      <c r="B29" s="2" t="s">
        <v>9318</v>
      </c>
      <c r="C29" s="2" t="s">
        <v>9277</v>
      </c>
      <c r="D29" s="2">
        <v>89</v>
      </c>
      <c r="E29" s="2">
        <v>184</v>
      </c>
      <c r="F29" s="2">
        <v>16384</v>
      </c>
      <c r="G29" s="2">
        <v>0</v>
      </c>
      <c r="H29" s="2">
        <v>16384</v>
      </c>
      <c r="I29" s="2">
        <v>0</v>
      </c>
      <c r="J29" s="2">
        <v>107</v>
      </c>
      <c r="K29" s="275">
        <v>44294.708333333336</v>
      </c>
      <c r="L29" s="275">
        <v>44442.1</v>
      </c>
      <c r="M29" s="2" t="s">
        <v>9278</v>
      </c>
      <c r="N29" s="2" t="s">
        <v>9318</v>
      </c>
    </row>
    <row r="30" spans="1:14" ht="15.75" customHeight="1">
      <c r="A30" s="2" t="s">
        <v>9275</v>
      </c>
      <c r="B30" s="2" t="s">
        <v>9319</v>
      </c>
      <c r="C30" s="2" t="s">
        <v>9277</v>
      </c>
      <c r="D30" s="2">
        <v>13</v>
      </c>
      <c r="E30" s="2">
        <v>1260</v>
      </c>
      <c r="F30" s="2">
        <v>16384</v>
      </c>
      <c r="G30" s="2">
        <v>0</v>
      </c>
      <c r="H30" s="2">
        <v>16384</v>
      </c>
      <c r="I30" s="2">
        <v>0</v>
      </c>
      <c r="J30" s="2">
        <v>14</v>
      </c>
      <c r="K30" s="275">
        <v>44294.708333333336</v>
      </c>
      <c r="L30" s="275">
        <v>44447.43472222222</v>
      </c>
      <c r="M30" s="2" t="s">
        <v>9278</v>
      </c>
      <c r="N30" s="2" t="s">
        <v>9319</v>
      </c>
    </row>
    <row r="31" spans="1:14" ht="15.75" customHeight="1">
      <c r="A31" s="2" t="s">
        <v>9275</v>
      </c>
      <c r="B31" s="2" t="s">
        <v>9320</v>
      </c>
      <c r="C31" s="2" t="s">
        <v>9277</v>
      </c>
      <c r="D31" s="2">
        <v>0</v>
      </c>
      <c r="E31" s="2">
        <v>0</v>
      </c>
      <c r="F31" s="2">
        <v>16384</v>
      </c>
      <c r="G31" s="2">
        <v>0</v>
      </c>
      <c r="H31" s="2">
        <v>16384</v>
      </c>
      <c r="I31" s="2">
        <v>0</v>
      </c>
      <c r="J31" s="2">
        <v>1</v>
      </c>
      <c r="K31" s="275">
        <v>44294.708333333336</v>
      </c>
      <c r="M31" s="2" t="s">
        <v>9278</v>
      </c>
      <c r="N31" s="2" t="s">
        <v>9320</v>
      </c>
    </row>
    <row r="32" spans="1:14" ht="15.75" customHeight="1">
      <c r="A32" s="2" t="s">
        <v>9275</v>
      </c>
      <c r="B32" s="2" t="s">
        <v>9321</v>
      </c>
      <c r="C32" s="2" t="s">
        <v>9277</v>
      </c>
      <c r="D32" s="2">
        <v>0</v>
      </c>
      <c r="E32" s="2">
        <v>0</v>
      </c>
      <c r="F32" s="2">
        <v>16384</v>
      </c>
      <c r="G32" s="2">
        <v>0</v>
      </c>
      <c r="H32" s="2">
        <v>32768</v>
      </c>
      <c r="I32" s="2">
        <v>0</v>
      </c>
      <c r="J32" s="2">
        <v>1</v>
      </c>
      <c r="K32" s="275">
        <v>44294.708333333336</v>
      </c>
      <c r="M32" s="2" t="s">
        <v>9278</v>
      </c>
      <c r="N32" s="2" t="s">
        <v>9321</v>
      </c>
    </row>
    <row r="33" spans="1:14" ht="15.75" customHeight="1">
      <c r="A33" s="2" t="s">
        <v>9275</v>
      </c>
      <c r="B33" s="2" t="s">
        <v>9322</v>
      </c>
      <c r="C33" s="2" t="s">
        <v>9277</v>
      </c>
      <c r="D33" s="2">
        <v>0</v>
      </c>
      <c r="E33" s="2">
        <v>0</v>
      </c>
      <c r="F33" s="2">
        <v>16384</v>
      </c>
      <c r="G33" s="2">
        <v>0</v>
      </c>
      <c r="H33" s="2">
        <v>16384</v>
      </c>
      <c r="I33" s="2">
        <v>0</v>
      </c>
      <c r="J33" s="2">
        <v>1</v>
      </c>
      <c r="K33" s="275">
        <v>44294.708333333336</v>
      </c>
      <c r="M33" s="2" t="s">
        <v>9278</v>
      </c>
      <c r="N33" s="2" t="s">
        <v>9322</v>
      </c>
    </row>
    <row r="34" spans="1:14" ht="15.75" customHeight="1">
      <c r="A34" s="2" t="s">
        <v>9275</v>
      </c>
      <c r="B34" s="2" t="s">
        <v>9323</v>
      </c>
      <c r="C34" s="2" t="s">
        <v>9277</v>
      </c>
      <c r="D34" s="2">
        <v>1563</v>
      </c>
      <c r="E34" s="2">
        <v>136</v>
      </c>
      <c r="F34" s="2">
        <v>212992</v>
      </c>
      <c r="G34" s="2">
        <v>0</v>
      </c>
      <c r="H34" s="2">
        <v>0</v>
      </c>
      <c r="I34" s="2">
        <v>0</v>
      </c>
      <c r="J34" s="2">
        <v>1564</v>
      </c>
      <c r="K34" s="275">
        <v>44294.708333333336</v>
      </c>
      <c r="L34" s="275">
        <v>44447.43472222222</v>
      </c>
      <c r="M34" s="2" t="s">
        <v>9278</v>
      </c>
      <c r="N34" s="2" t="s">
        <v>9323</v>
      </c>
    </row>
    <row r="35" spans="1:14" ht="15.75" customHeight="1">
      <c r="A35" s="2" t="s">
        <v>9275</v>
      </c>
      <c r="B35" s="2" t="s">
        <v>9324</v>
      </c>
      <c r="C35" s="2" t="s">
        <v>9277</v>
      </c>
      <c r="D35" s="2">
        <v>0</v>
      </c>
      <c r="E35" s="2">
        <v>0</v>
      </c>
      <c r="F35" s="2">
        <v>16384</v>
      </c>
      <c r="G35" s="2">
        <v>0</v>
      </c>
      <c r="H35" s="2">
        <v>49152</v>
      </c>
      <c r="I35" s="2">
        <v>0</v>
      </c>
      <c r="J35" s="2">
        <v>1</v>
      </c>
      <c r="K35" s="275">
        <v>44294.708333333336</v>
      </c>
      <c r="M35" s="2" t="s">
        <v>9278</v>
      </c>
      <c r="N35" s="2" t="s">
        <v>9325</v>
      </c>
    </row>
    <row r="36" spans="1:14" ht="15.75" customHeight="1">
      <c r="A36" s="2" t="s">
        <v>9275</v>
      </c>
      <c r="B36" s="2" t="s">
        <v>9326</v>
      </c>
      <c r="C36" s="2" t="s">
        <v>9277</v>
      </c>
      <c r="D36" s="2">
        <v>0</v>
      </c>
      <c r="E36" s="2">
        <v>0</v>
      </c>
      <c r="F36" s="2">
        <v>16384</v>
      </c>
      <c r="G36" s="2">
        <v>0</v>
      </c>
      <c r="H36" s="2">
        <v>16384</v>
      </c>
      <c r="I36" s="2">
        <v>0</v>
      </c>
      <c r="K36" s="275">
        <v>44294.708333333336</v>
      </c>
      <c r="M36" s="2" t="s">
        <v>9278</v>
      </c>
      <c r="N36" s="2" t="s">
        <v>9327</v>
      </c>
    </row>
    <row r="37" spans="1:14" ht="15.75" customHeight="1">
      <c r="A37" s="2" t="s">
        <v>9275</v>
      </c>
      <c r="B37" s="2" t="s">
        <v>9328</v>
      </c>
      <c r="C37" s="2" t="s">
        <v>9277</v>
      </c>
      <c r="D37" s="2">
        <v>870</v>
      </c>
      <c r="E37" s="2">
        <v>75</v>
      </c>
      <c r="F37" s="2">
        <v>65536</v>
      </c>
      <c r="G37" s="2">
        <v>0</v>
      </c>
      <c r="H37" s="2">
        <v>16384</v>
      </c>
      <c r="I37" s="2">
        <v>0</v>
      </c>
      <c r="J37" s="2">
        <v>973</v>
      </c>
      <c r="K37" s="275">
        <v>44294.708333333336</v>
      </c>
      <c r="L37" s="275">
        <v>44448.390277777777</v>
      </c>
      <c r="M37" s="2" t="s">
        <v>9278</v>
      </c>
      <c r="N37" s="2" t="s">
        <v>9329</v>
      </c>
    </row>
    <row r="38" spans="1:14" ht="15.75" customHeight="1">
      <c r="A38" s="2" t="s">
        <v>9275</v>
      </c>
      <c r="B38" s="2" t="s">
        <v>9330</v>
      </c>
      <c r="C38" s="2" t="s">
        <v>9277</v>
      </c>
      <c r="D38" s="2">
        <v>290</v>
      </c>
      <c r="E38" s="2">
        <v>56</v>
      </c>
      <c r="F38" s="2">
        <v>16384</v>
      </c>
      <c r="G38" s="2">
        <v>0</v>
      </c>
      <c r="H38" s="2">
        <v>16384</v>
      </c>
      <c r="I38" s="2">
        <v>0</v>
      </c>
      <c r="J38" s="2">
        <v>327</v>
      </c>
      <c r="K38" s="275">
        <v>44294.708333333336</v>
      </c>
      <c r="L38" s="275">
        <v>44448.390277777777</v>
      </c>
      <c r="M38" s="2" t="s">
        <v>9278</v>
      </c>
      <c r="N38" s="2" t="s">
        <v>9331</v>
      </c>
    </row>
    <row r="39" spans="1:14" ht="15.75" customHeight="1">
      <c r="A39" s="2" t="s">
        <v>9275</v>
      </c>
      <c r="B39" s="2" t="s">
        <v>9332</v>
      </c>
      <c r="C39" s="2" t="s">
        <v>9277</v>
      </c>
      <c r="D39" s="2">
        <v>288</v>
      </c>
      <c r="E39" s="2">
        <v>56</v>
      </c>
      <c r="F39" s="2">
        <v>16384</v>
      </c>
      <c r="G39" s="2">
        <v>0</v>
      </c>
      <c r="H39" s="2">
        <v>16384</v>
      </c>
      <c r="I39" s="2">
        <v>0</v>
      </c>
      <c r="J39" s="2">
        <v>720</v>
      </c>
      <c r="K39" s="275">
        <v>44294.708333333336</v>
      </c>
      <c r="L39" s="275">
        <v>44448.416666666664</v>
      </c>
      <c r="M39" s="2" t="s">
        <v>9278</v>
      </c>
      <c r="N39" s="2" t="s">
        <v>9332</v>
      </c>
    </row>
    <row r="40" spans="1:14" ht="15.75" customHeight="1">
      <c r="A40" s="2" t="s">
        <v>9275</v>
      </c>
      <c r="B40" s="2" t="s">
        <v>9333</v>
      </c>
      <c r="C40" s="2" t="s">
        <v>9277</v>
      </c>
      <c r="D40" s="2">
        <v>1029</v>
      </c>
      <c r="E40" s="2">
        <v>63</v>
      </c>
      <c r="F40" s="2">
        <v>65536</v>
      </c>
      <c r="G40" s="2">
        <v>0</v>
      </c>
      <c r="H40" s="2">
        <v>0</v>
      </c>
      <c r="I40" s="2">
        <v>0</v>
      </c>
      <c r="J40" s="2">
        <v>1030</v>
      </c>
      <c r="K40" s="275">
        <v>44294.708333333336</v>
      </c>
      <c r="L40" s="275">
        <v>44448.45</v>
      </c>
      <c r="M40" s="2" t="s">
        <v>9278</v>
      </c>
      <c r="N40" s="2" t="s">
        <v>9333</v>
      </c>
    </row>
    <row r="41" spans="1:14" ht="15.75" customHeight="1">
      <c r="A41" s="2" t="s">
        <v>9275</v>
      </c>
      <c r="B41" s="2" t="s">
        <v>9334</v>
      </c>
      <c r="C41" s="2" t="s">
        <v>9277</v>
      </c>
      <c r="D41" s="2">
        <v>144</v>
      </c>
      <c r="E41" s="2">
        <v>113</v>
      </c>
      <c r="F41" s="2">
        <v>16384</v>
      </c>
      <c r="G41" s="2">
        <v>0</v>
      </c>
      <c r="H41" s="2">
        <v>0</v>
      </c>
      <c r="I41" s="2">
        <v>0</v>
      </c>
      <c r="K41" s="275">
        <v>44294.708333333336</v>
      </c>
      <c r="L41" s="275">
        <v>44448.025694444441</v>
      </c>
      <c r="M41" s="2" t="s">
        <v>9278</v>
      </c>
      <c r="N41" s="2" t="s">
        <v>9335</v>
      </c>
    </row>
    <row r="42" spans="1:14" ht="15.75" customHeight="1">
      <c r="A42" s="2" t="s">
        <v>9275</v>
      </c>
      <c r="B42" s="2" t="s">
        <v>9336</v>
      </c>
      <c r="C42" s="2" t="s">
        <v>9277</v>
      </c>
      <c r="D42" s="2">
        <v>144</v>
      </c>
      <c r="E42" s="2">
        <v>113</v>
      </c>
      <c r="F42" s="2">
        <v>16384</v>
      </c>
      <c r="G42" s="2">
        <v>0</v>
      </c>
      <c r="H42" s="2">
        <v>0</v>
      </c>
      <c r="I42" s="2">
        <v>0</v>
      </c>
      <c r="J42" s="2">
        <v>369</v>
      </c>
      <c r="K42" s="275">
        <v>44294.708333333336</v>
      </c>
      <c r="L42" s="275">
        <v>44448.025694444441</v>
      </c>
      <c r="M42" s="2" t="s">
        <v>9278</v>
      </c>
      <c r="N42" s="2" t="s">
        <v>9337</v>
      </c>
    </row>
    <row r="43" spans="1:14" ht="15.75" customHeight="1">
      <c r="A43" s="2" t="s">
        <v>9275</v>
      </c>
      <c r="B43" s="2" t="s">
        <v>9338</v>
      </c>
      <c r="C43" s="2" t="s">
        <v>9277</v>
      </c>
      <c r="D43" s="2">
        <v>57863</v>
      </c>
      <c r="E43" s="2">
        <v>45</v>
      </c>
      <c r="F43" s="2">
        <v>2637824</v>
      </c>
      <c r="G43" s="2">
        <v>0</v>
      </c>
      <c r="H43" s="2">
        <v>0</v>
      </c>
      <c r="I43" s="2">
        <v>4194304</v>
      </c>
      <c r="J43" s="2">
        <v>57548</v>
      </c>
      <c r="K43" s="275">
        <v>44294.708333333336</v>
      </c>
      <c r="L43" s="275">
        <v>44448.450694444444</v>
      </c>
      <c r="M43" s="2" t="s">
        <v>9278</v>
      </c>
      <c r="N43" s="2" t="s">
        <v>9338</v>
      </c>
    </row>
    <row r="44" spans="1:14" ht="15.75" customHeight="1">
      <c r="A44" s="2" t="s">
        <v>9275</v>
      </c>
      <c r="B44" s="2" t="s">
        <v>9339</v>
      </c>
      <c r="C44" s="2" t="s">
        <v>9277</v>
      </c>
      <c r="D44" s="2">
        <v>14</v>
      </c>
      <c r="E44" s="2">
        <v>1170</v>
      </c>
      <c r="F44" s="2">
        <v>16384</v>
      </c>
      <c r="G44" s="2">
        <v>0</v>
      </c>
      <c r="H44" s="2">
        <v>16384</v>
      </c>
      <c r="I44" s="2">
        <v>0</v>
      </c>
      <c r="K44" s="275">
        <v>44294.708333333336</v>
      </c>
      <c r="L44" s="275">
        <v>44448.026388888888</v>
      </c>
      <c r="M44" s="2" t="s">
        <v>9278</v>
      </c>
      <c r="N44" s="2" t="s">
        <v>9340</v>
      </c>
    </row>
    <row r="45" spans="1:14" ht="15.75" customHeight="1">
      <c r="A45" s="2" t="s">
        <v>9275</v>
      </c>
      <c r="B45" s="2" t="s">
        <v>9341</v>
      </c>
      <c r="C45" s="2" t="s">
        <v>9277</v>
      </c>
      <c r="D45" s="2">
        <v>1</v>
      </c>
      <c r="E45" s="2">
        <v>16384</v>
      </c>
      <c r="F45" s="2">
        <v>16384</v>
      </c>
      <c r="G45" s="2">
        <v>0</v>
      </c>
      <c r="H45" s="2">
        <v>0</v>
      </c>
      <c r="I45" s="2">
        <v>0</v>
      </c>
      <c r="K45" s="275">
        <v>44294.708333333336</v>
      </c>
      <c r="M45" s="2" t="s">
        <v>9278</v>
      </c>
      <c r="N45" s="2" t="s">
        <v>9342</v>
      </c>
    </row>
    <row r="46" spans="1:14" ht="15.75" customHeight="1">
      <c r="A46" s="2" t="s">
        <v>9275</v>
      </c>
      <c r="B46" s="2" t="s">
        <v>9343</v>
      </c>
      <c r="C46" s="2" t="s">
        <v>9277</v>
      </c>
      <c r="D46" s="2">
        <v>1</v>
      </c>
      <c r="E46" s="2">
        <v>16384</v>
      </c>
      <c r="F46" s="2">
        <v>16384</v>
      </c>
      <c r="G46" s="2">
        <v>0</v>
      </c>
      <c r="H46" s="2">
        <v>0</v>
      </c>
      <c r="I46" s="2">
        <v>0</v>
      </c>
      <c r="J46" s="2">
        <v>2</v>
      </c>
      <c r="K46" s="275">
        <v>44294.708333333336</v>
      </c>
      <c r="M46" s="2" t="s">
        <v>9278</v>
      </c>
      <c r="N46" s="2" t="s">
        <v>9344</v>
      </c>
    </row>
    <row r="47" spans="1:14" ht="15.75" customHeight="1">
      <c r="A47" s="2" t="s">
        <v>9275</v>
      </c>
      <c r="B47" s="2" t="s">
        <v>9345</v>
      </c>
      <c r="C47" s="2" t="s">
        <v>9277</v>
      </c>
      <c r="D47" s="2">
        <v>53819</v>
      </c>
      <c r="E47" s="2">
        <v>49</v>
      </c>
      <c r="F47" s="2">
        <v>2637824</v>
      </c>
      <c r="G47" s="2">
        <v>0</v>
      </c>
      <c r="H47" s="2">
        <v>2637824</v>
      </c>
      <c r="I47" s="2">
        <v>4194304</v>
      </c>
      <c r="J47" s="2">
        <v>55654</v>
      </c>
      <c r="K47" s="275">
        <v>44378.713194444441</v>
      </c>
      <c r="L47" s="275">
        <v>44448.451388888891</v>
      </c>
      <c r="M47" s="2" t="s">
        <v>9278</v>
      </c>
      <c r="N47" s="2" t="s">
        <v>9346</v>
      </c>
    </row>
    <row r="48" spans="1:14" ht="15.75" customHeight="1">
      <c r="A48" s="2" t="s">
        <v>9275</v>
      </c>
      <c r="B48" s="2" t="s">
        <v>9347</v>
      </c>
      <c r="C48" s="2" t="s">
        <v>9277</v>
      </c>
      <c r="D48" s="2">
        <v>2</v>
      </c>
      <c r="E48" s="2">
        <v>8192</v>
      </c>
      <c r="F48" s="2">
        <v>16384</v>
      </c>
      <c r="G48" s="2">
        <v>0</v>
      </c>
      <c r="H48" s="2">
        <v>0</v>
      </c>
      <c r="I48" s="2">
        <v>0</v>
      </c>
      <c r="J48" s="2">
        <v>3</v>
      </c>
      <c r="K48" s="275">
        <v>44294.708333333336</v>
      </c>
      <c r="M48" s="2" t="s">
        <v>9278</v>
      </c>
      <c r="N48" s="2" t="s">
        <v>9347</v>
      </c>
    </row>
    <row r="49" spans="1:14" ht="15.75" customHeight="1">
      <c r="A49" s="2" t="s">
        <v>9275</v>
      </c>
      <c r="B49" s="2" t="s">
        <v>9348</v>
      </c>
      <c r="C49" s="2" t="s">
        <v>9277</v>
      </c>
      <c r="D49" s="2">
        <v>869</v>
      </c>
      <c r="E49" s="2">
        <v>94</v>
      </c>
      <c r="F49" s="2">
        <v>81920</v>
      </c>
      <c r="G49" s="2">
        <v>0</v>
      </c>
      <c r="H49" s="2">
        <v>32768</v>
      </c>
      <c r="I49" s="2">
        <v>0</v>
      </c>
      <c r="J49" s="2">
        <v>2842</v>
      </c>
      <c r="K49" s="275">
        <v>44294.708333333336</v>
      </c>
      <c r="M49" s="2" t="s">
        <v>9278</v>
      </c>
      <c r="N49" s="2" t="s">
        <v>9348</v>
      </c>
    </row>
    <row r="50" spans="1:14" ht="15.75" customHeight="1">
      <c r="A50" s="2" t="s">
        <v>9275</v>
      </c>
      <c r="B50" s="2" t="s">
        <v>9349</v>
      </c>
      <c r="C50" s="2" t="s">
        <v>9277</v>
      </c>
      <c r="D50" s="2">
        <v>10</v>
      </c>
      <c r="E50" s="2">
        <v>4915</v>
      </c>
      <c r="F50" s="2">
        <v>49152</v>
      </c>
      <c r="G50" s="2">
        <v>0</v>
      </c>
      <c r="H50" s="2">
        <v>16384</v>
      </c>
      <c r="I50" s="2">
        <v>0</v>
      </c>
      <c r="J50" s="2">
        <v>20</v>
      </c>
      <c r="K50" s="275">
        <v>44294.708333333336</v>
      </c>
      <c r="L50" s="275">
        <v>44448.222222222219</v>
      </c>
      <c r="M50" s="2" t="s">
        <v>9278</v>
      </c>
      <c r="N50" s="2" t="s">
        <v>9349</v>
      </c>
    </row>
    <row r="51" spans="1:14" ht="15.75" customHeight="1">
      <c r="A51" s="2" t="s">
        <v>9275</v>
      </c>
      <c r="B51" s="2" t="s">
        <v>9350</v>
      </c>
      <c r="C51" s="2" t="s">
        <v>9277</v>
      </c>
      <c r="D51" s="2">
        <v>1</v>
      </c>
      <c r="E51" s="2">
        <v>16384</v>
      </c>
      <c r="F51" s="2">
        <v>16384</v>
      </c>
      <c r="G51" s="2">
        <v>0</v>
      </c>
      <c r="H51" s="2">
        <v>0</v>
      </c>
      <c r="I51" s="2">
        <v>0</v>
      </c>
      <c r="J51" s="2">
        <v>9498</v>
      </c>
      <c r="K51" s="275">
        <v>44294.708333333336</v>
      </c>
      <c r="L51" s="275">
        <v>44448.25</v>
      </c>
      <c r="M51" s="2" t="s">
        <v>9278</v>
      </c>
      <c r="N51" s="2" t="s">
        <v>9350</v>
      </c>
    </row>
    <row r="52" spans="1:14" ht="15.75" customHeight="1">
      <c r="A52" s="2" t="s">
        <v>9275</v>
      </c>
      <c r="B52" s="2" t="s">
        <v>9351</v>
      </c>
      <c r="C52" s="2" t="s">
        <v>9277</v>
      </c>
      <c r="D52" s="2">
        <v>0</v>
      </c>
      <c r="E52" s="2">
        <v>0</v>
      </c>
      <c r="F52" s="2">
        <v>16384</v>
      </c>
      <c r="G52" s="2">
        <v>0</v>
      </c>
      <c r="H52" s="2">
        <v>16384</v>
      </c>
      <c r="I52" s="2">
        <v>0</v>
      </c>
      <c r="J52" s="2">
        <v>1</v>
      </c>
      <c r="K52" s="275">
        <v>44294.708333333336</v>
      </c>
      <c r="M52" s="2" t="s">
        <v>9278</v>
      </c>
      <c r="N52" s="2" t="s">
        <v>9351</v>
      </c>
    </row>
    <row r="53" spans="1:14" ht="15.75" customHeight="1">
      <c r="A53" s="2" t="s">
        <v>9275</v>
      </c>
      <c r="B53" s="2" t="s">
        <v>9352</v>
      </c>
      <c r="C53" s="2" t="s">
        <v>9277</v>
      </c>
      <c r="D53" s="2">
        <v>0</v>
      </c>
      <c r="E53" s="2">
        <v>0</v>
      </c>
      <c r="F53" s="2">
        <v>16384</v>
      </c>
      <c r="G53" s="2">
        <v>0</v>
      </c>
      <c r="H53" s="2">
        <v>0</v>
      </c>
      <c r="I53" s="2">
        <v>0</v>
      </c>
      <c r="J53" s="2">
        <v>1</v>
      </c>
      <c r="K53" s="275">
        <v>44294.708333333336</v>
      </c>
      <c r="M53" s="2" t="s">
        <v>9278</v>
      </c>
      <c r="N53" s="2" t="s">
        <v>9352</v>
      </c>
    </row>
    <row r="54" spans="1:14" ht="15.75" customHeight="1">
      <c r="A54" s="2" t="s">
        <v>9275</v>
      </c>
      <c r="B54" s="2" t="s">
        <v>9353</v>
      </c>
      <c r="C54" s="2" t="s">
        <v>9277</v>
      </c>
      <c r="D54" s="2">
        <v>44430</v>
      </c>
      <c r="E54" s="2">
        <v>130</v>
      </c>
      <c r="F54" s="2">
        <v>5783552</v>
      </c>
      <c r="G54" s="2">
        <v>0</v>
      </c>
      <c r="H54" s="2">
        <v>0</v>
      </c>
      <c r="I54" s="2">
        <v>4194304</v>
      </c>
      <c r="J54" s="2">
        <v>43417</v>
      </c>
      <c r="K54" s="275">
        <v>44294.708333333336</v>
      </c>
      <c r="M54" s="2" t="s">
        <v>9278</v>
      </c>
      <c r="N54" s="2" t="s">
        <v>9353</v>
      </c>
    </row>
    <row r="55" spans="1:14" ht="15.75" customHeight="1">
      <c r="A55" s="2" t="s">
        <v>9275</v>
      </c>
      <c r="B55" s="2" t="s">
        <v>9354</v>
      </c>
      <c r="C55" s="2" t="s">
        <v>9277</v>
      </c>
      <c r="D55" s="2">
        <v>86</v>
      </c>
      <c r="E55" s="2">
        <v>190</v>
      </c>
      <c r="F55" s="2">
        <v>16384</v>
      </c>
      <c r="G55" s="2">
        <v>0</v>
      </c>
      <c r="H55" s="2">
        <v>0</v>
      </c>
      <c r="I55" s="2">
        <v>7340032</v>
      </c>
      <c r="J55" s="2">
        <v>1668896</v>
      </c>
      <c r="K55" s="275">
        <v>44294.708333333336</v>
      </c>
      <c r="L55" s="275">
        <v>44448.441666666666</v>
      </c>
      <c r="M55" s="2" t="s">
        <v>9278</v>
      </c>
      <c r="N55" s="2" t="s">
        <v>9354</v>
      </c>
    </row>
    <row r="56" spans="1:14" ht="15.75" customHeight="1">
      <c r="A56" s="2" t="s">
        <v>9275</v>
      </c>
      <c r="B56" s="2" t="s">
        <v>9355</v>
      </c>
      <c r="C56" s="2" t="s">
        <v>9277</v>
      </c>
      <c r="D56" s="2">
        <v>14</v>
      </c>
      <c r="E56" s="2">
        <v>1170</v>
      </c>
      <c r="F56" s="2">
        <v>16384</v>
      </c>
      <c r="G56" s="2">
        <v>0</v>
      </c>
      <c r="H56" s="2">
        <v>16384</v>
      </c>
      <c r="I56" s="2">
        <v>0</v>
      </c>
      <c r="J56" s="2">
        <v>540</v>
      </c>
      <c r="K56" s="275">
        <v>44294.708333333336</v>
      </c>
      <c r="L56" s="275">
        <v>44448.09652777778</v>
      </c>
      <c r="M56" s="2" t="s">
        <v>9278</v>
      </c>
      <c r="N56" s="2" t="s">
        <v>9356</v>
      </c>
    </row>
    <row r="57" spans="1:14" ht="15.75" customHeight="1">
      <c r="A57" s="2" t="s">
        <v>9275</v>
      </c>
      <c r="B57" s="2" t="s">
        <v>9357</v>
      </c>
      <c r="C57" s="2" t="s">
        <v>9277</v>
      </c>
      <c r="D57" s="2">
        <v>55231</v>
      </c>
      <c r="E57" s="2">
        <v>57</v>
      </c>
      <c r="F57" s="2">
        <v>3162112</v>
      </c>
      <c r="G57" s="2">
        <v>0</v>
      </c>
      <c r="H57" s="2">
        <v>4227072</v>
      </c>
      <c r="I57" s="2">
        <v>5242880</v>
      </c>
      <c r="J57" s="2">
        <v>18297958</v>
      </c>
      <c r="K57" s="275">
        <v>44294.708333333336</v>
      </c>
      <c r="L57" s="275">
        <v>44448.442361111112</v>
      </c>
      <c r="M57" s="2" t="s">
        <v>9278</v>
      </c>
      <c r="N57" s="2" t="s">
        <v>9357</v>
      </c>
    </row>
    <row r="58" spans="1:14" ht="15.75" customHeight="1">
      <c r="A58" s="2" t="s">
        <v>9275</v>
      </c>
      <c r="B58" s="2" t="s">
        <v>9358</v>
      </c>
      <c r="C58" s="2" t="s">
        <v>9277</v>
      </c>
      <c r="D58" s="2">
        <v>2142</v>
      </c>
      <c r="E58" s="2">
        <v>45</v>
      </c>
      <c r="F58" s="2">
        <v>98304</v>
      </c>
      <c r="G58" s="2">
        <v>0</v>
      </c>
      <c r="H58" s="2">
        <v>65536</v>
      </c>
      <c r="I58" s="2">
        <v>0</v>
      </c>
      <c r="J58" s="2">
        <v>2143</v>
      </c>
      <c r="K58" s="275">
        <v>44294.708333333336</v>
      </c>
      <c r="M58" s="2" t="s">
        <v>9278</v>
      </c>
      <c r="N58" s="2" t="s">
        <v>9358</v>
      </c>
    </row>
    <row r="59" spans="1:14" ht="15.75" customHeight="1">
      <c r="A59" s="2" t="s">
        <v>9275</v>
      </c>
      <c r="B59" s="2" t="s">
        <v>9359</v>
      </c>
      <c r="C59" s="2" t="s">
        <v>9277</v>
      </c>
      <c r="D59" s="2">
        <v>1764</v>
      </c>
      <c r="E59" s="2">
        <v>148</v>
      </c>
      <c r="F59" s="2">
        <v>262144</v>
      </c>
      <c r="G59" s="2">
        <v>0</v>
      </c>
      <c r="H59" s="2">
        <v>49152</v>
      </c>
      <c r="I59" s="2">
        <v>0</v>
      </c>
      <c r="J59" s="2">
        <v>1765</v>
      </c>
      <c r="K59" s="275">
        <v>44294.708333333336</v>
      </c>
      <c r="M59" s="2" t="s">
        <v>9278</v>
      </c>
      <c r="N59" s="2" t="s">
        <v>9359</v>
      </c>
    </row>
    <row r="60" spans="1:14" ht="15.75" customHeight="1">
      <c r="A60" s="2" t="s">
        <v>9275</v>
      </c>
      <c r="B60" s="2" t="s">
        <v>9360</v>
      </c>
      <c r="C60" s="2" t="s">
        <v>9277</v>
      </c>
      <c r="D60" s="2">
        <v>0</v>
      </c>
      <c r="E60" s="2">
        <v>0</v>
      </c>
      <c r="F60" s="2">
        <v>16384</v>
      </c>
      <c r="G60" s="2">
        <v>0</v>
      </c>
      <c r="H60" s="2">
        <v>0</v>
      </c>
      <c r="I60" s="2">
        <v>0</v>
      </c>
      <c r="J60" s="2">
        <v>1</v>
      </c>
      <c r="K60" s="275">
        <v>44294.708333333336</v>
      </c>
      <c r="M60" s="2" t="s">
        <v>9278</v>
      </c>
      <c r="N60" s="2" t="s">
        <v>9360</v>
      </c>
    </row>
    <row r="61" spans="1:14" ht="15.75" customHeight="1">
      <c r="A61" s="2" t="s">
        <v>9275</v>
      </c>
      <c r="B61" s="2" t="s">
        <v>9361</v>
      </c>
      <c r="C61" s="2" t="s">
        <v>9277</v>
      </c>
      <c r="D61" s="2">
        <v>3995</v>
      </c>
      <c r="E61" s="2">
        <v>49</v>
      </c>
      <c r="F61" s="2">
        <v>196608</v>
      </c>
      <c r="G61" s="2">
        <v>0</v>
      </c>
      <c r="H61" s="2">
        <v>114688</v>
      </c>
      <c r="I61" s="2">
        <v>0</v>
      </c>
      <c r="K61" s="275">
        <v>44294.708333333336</v>
      </c>
      <c r="M61" s="2" t="s">
        <v>9278</v>
      </c>
      <c r="N61" s="2" t="s">
        <v>9362</v>
      </c>
    </row>
    <row r="62" spans="1:14" ht="15.75" customHeight="1">
      <c r="A62" s="2" t="s">
        <v>9275</v>
      </c>
      <c r="B62" s="2" t="s">
        <v>9363</v>
      </c>
      <c r="C62" s="2" t="s">
        <v>9277</v>
      </c>
      <c r="D62" s="2">
        <v>21447</v>
      </c>
      <c r="E62" s="2">
        <v>74</v>
      </c>
      <c r="F62" s="2">
        <v>1589248</v>
      </c>
      <c r="G62" s="2">
        <v>0</v>
      </c>
      <c r="H62" s="2">
        <v>1589248</v>
      </c>
      <c r="I62" s="2">
        <v>4194304</v>
      </c>
      <c r="K62" s="275">
        <v>44294.708333333336</v>
      </c>
      <c r="M62" s="2" t="s">
        <v>9278</v>
      </c>
      <c r="N62" s="2" t="s">
        <v>9364</v>
      </c>
    </row>
    <row r="63" spans="1:14" ht="15.75" customHeight="1">
      <c r="A63" s="2" t="s">
        <v>9275</v>
      </c>
      <c r="B63" s="2" t="s">
        <v>9365</v>
      </c>
      <c r="C63" s="2" t="s">
        <v>9277</v>
      </c>
      <c r="D63" s="2">
        <v>0</v>
      </c>
      <c r="E63" s="2">
        <v>0</v>
      </c>
      <c r="F63" s="2">
        <v>16384</v>
      </c>
      <c r="G63" s="2">
        <v>0</v>
      </c>
      <c r="H63" s="2">
        <v>0</v>
      </c>
      <c r="I63" s="2">
        <v>0</v>
      </c>
      <c r="J63" s="2">
        <v>1</v>
      </c>
      <c r="K63" s="275">
        <v>44294.708333333336</v>
      </c>
      <c r="M63" s="2" t="s">
        <v>9278</v>
      </c>
      <c r="N63" s="2" t="s">
        <v>9365</v>
      </c>
    </row>
    <row r="64" spans="1:14" ht="15.75" customHeight="1">
      <c r="A64" s="2" t="s">
        <v>9275</v>
      </c>
      <c r="B64" s="2" t="s">
        <v>9366</v>
      </c>
      <c r="C64" s="2" t="s">
        <v>9277</v>
      </c>
      <c r="D64" s="2">
        <v>3196</v>
      </c>
      <c r="E64" s="2">
        <v>46</v>
      </c>
      <c r="F64" s="2">
        <v>147456</v>
      </c>
      <c r="G64" s="2">
        <v>0</v>
      </c>
      <c r="H64" s="2">
        <v>98304</v>
      </c>
      <c r="I64" s="2">
        <v>0</v>
      </c>
      <c r="K64" s="275">
        <v>44294.708333333336</v>
      </c>
      <c r="M64" s="2" t="s">
        <v>9278</v>
      </c>
      <c r="N64" s="2" t="s">
        <v>9367</v>
      </c>
    </row>
    <row r="65" spans="1:14" ht="15.75" customHeight="1">
      <c r="A65" s="2" t="s">
        <v>9275</v>
      </c>
      <c r="B65" s="2" t="s">
        <v>9368</v>
      </c>
      <c r="C65" s="2" t="s">
        <v>9277</v>
      </c>
      <c r="D65" s="2">
        <v>0</v>
      </c>
      <c r="E65" s="2">
        <v>0</v>
      </c>
      <c r="F65" s="2">
        <v>16384</v>
      </c>
      <c r="G65" s="2">
        <v>0</v>
      </c>
      <c r="H65" s="2">
        <v>0</v>
      </c>
      <c r="I65" s="2">
        <v>0</v>
      </c>
      <c r="J65" s="2">
        <v>1</v>
      </c>
      <c r="K65" s="275">
        <v>44294.708333333336</v>
      </c>
      <c r="M65" s="2" t="s">
        <v>9278</v>
      </c>
      <c r="N65" s="2" t="s">
        <v>9368</v>
      </c>
    </row>
    <row r="66" spans="1:14" ht="15.75" customHeight="1">
      <c r="A66" s="2" t="s">
        <v>9275</v>
      </c>
      <c r="B66" s="2" t="s">
        <v>9369</v>
      </c>
      <c r="C66" s="2" t="s">
        <v>9277</v>
      </c>
      <c r="D66" s="2">
        <v>0</v>
      </c>
      <c r="E66" s="2">
        <v>0</v>
      </c>
      <c r="F66" s="2">
        <v>16384</v>
      </c>
      <c r="G66" s="2">
        <v>0</v>
      </c>
      <c r="H66" s="2">
        <v>32768</v>
      </c>
      <c r="I66" s="2">
        <v>0</v>
      </c>
      <c r="J66" s="2">
        <v>1</v>
      </c>
      <c r="K66" s="275">
        <v>44294.708333333336</v>
      </c>
      <c r="M66" s="2" t="s">
        <v>9278</v>
      </c>
      <c r="N66" s="2" t="s">
        <v>9369</v>
      </c>
    </row>
    <row r="67" spans="1:14" ht="15.75" customHeight="1">
      <c r="A67" s="2" t="s">
        <v>9275</v>
      </c>
      <c r="B67" s="2" t="s">
        <v>9370</v>
      </c>
      <c r="C67" s="2" t="s">
        <v>9277</v>
      </c>
      <c r="D67" s="2">
        <v>0</v>
      </c>
      <c r="E67" s="2">
        <v>0</v>
      </c>
      <c r="F67" s="2">
        <v>16384</v>
      </c>
      <c r="G67" s="2">
        <v>0</v>
      </c>
      <c r="H67" s="2">
        <v>16384</v>
      </c>
      <c r="I67" s="2">
        <v>0</v>
      </c>
      <c r="J67" s="2">
        <v>1</v>
      </c>
      <c r="K67" s="275">
        <v>44294.708333333336</v>
      </c>
      <c r="M67" s="2" t="s">
        <v>9278</v>
      </c>
      <c r="N67" s="2" t="s">
        <v>9370</v>
      </c>
    </row>
    <row r="68" spans="1:14" ht="15.75" customHeight="1">
      <c r="A68" s="2" t="s">
        <v>9275</v>
      </c>
      <c r="B68" s="2" t="s">
        <v>9371</v>
      </c>
      <c r="C68" s="2" t="s">
        <v>9277</v>
      </c>
      <c r="D68" s="2">
        <v>0</v>
      </c>
      <c r="E68" s="2">
        <v>0</v>
      </c>
      <c r="F68" s="2">
        <v>16384</v>
      </c>
      <c r="G68" s="2">
        <v>0</v>
      </c>
      <c r="H68" s="2">
        <v>16384</v>
      </c>
      <c r="I68" s="2">
        <v>0</v>
      </c>
      <c r="J68" s="2">
        <v>1</v>
      </c>
      <c r="K68" s="275">
        <v>44294.708333333336</v>
      </c>
      <c r="M68" s="2" t="s">
        <v>9278</v>
      </c>
      <c r="N68" s="2" t="s">
        <v>9371</v>
      </c>
    </row>
    <row r="69" spans="1:14" ht="15.75" customHeight="1">
      <c r="A69" s="2" t="s">
        <v>9275</v>
      </c>
      <c r="B69" s="2" t="s">
        <v>9372</v>
      </c>
      <c r="C69" s="2" t="s">
        <v>9277</v>
      </c>
      <c r="D69" s="2">
        <v>0</v>
      </c>
      <c r="E69" s="2">
        <v>0</v>
      </c>
      <c r="F69" s="2">
        <v>16384</v>
      </c>
      <c r="G69" s="2">
        <v>0</v>
      </c>
      <c r="H69" s="2">
        <v>16384</v>
      </c>
      <c r="I69" s="2">
        <v>0</v>
      </c>
      <c r="J69" s="2">
        <v>1</v>
      </c>
      <c r="K69" s="275">
        <v>44294.708333333336</v>
      </c>
      <c r="M69" s="2" t="s">
        <v>9278</v>
      </c>
      <c r="N69" s="2" t="s">
        <v>9372</v>
      </c>
    </row>
    <row r="70" spans="1:14" ht="15.75" customHeight="1">
      <c r="A70" s="2" t="s">
        <v>9275</v>
      </c>
      <c r="B70" s="2" t="s">
        <v>9373</v>
      </c>
      <c r="C70" s="2" t="s">
        <v>9277</v>
      </c>
      <c r="D70" s="2">
        <v>0</v>
      </c>
      <c r="E70" s="2">
        <v>0</v>
      </c>
      <c r="F70" s="2">
        <v>16384</v>
      </c>
      <c r="G70" s="2">
        <v>0</v>
      </c>
      <c r="H70" s="2">
        <v>16384</v>
      </c>
      <c r="I70" s="2">
        <v>0</v>
      </c>
      <c r="J70" s="2">
        <v>1</v>
      </c>
      <c r="K70" s="275">
        <v>44294.708333333336</v>
      </c>
      <c r="M70" s="2" t="s">
        <v>9278</v>
      </c>
      <c r="N70" s="2" t="s">
        <v>9373</v>
      </c>
    </row>
    <row r="71" spans="1:14" ht="15.75" customHeight="1">
      <c r="A71" s="2" t="s">
        <v>9275</v>
      </c>
      <c r="B71" s="2" t="s">
        <v>9374</v>
      </c>
      <c r="C71" s="2" t="s">
        <v>9277</v>
      </c>
      <c r="D71" s="2">
        <v>0</v>
      </c>
      <c r="E71" s="2">
        <v>0</v>
      </c>
      <c r="F71" s="2">
        <v>16384</v>
      </c>
      <c r="G71" s="2">
        <v>0</v>
      </c>
      <c r="H71" s="2">
        <v>16384</v>
      </c>
      <c r="I71" s="2">
        <v>0</v>
      </c>
      <c r="J71" s="2">
        <v>1</v>
      </c>
      <c r="K71" s="275">
        <v>44294.708333333336</v>
      </c>
      <c r="M71" s="2" t="s">
        <v>9278</v>
      </c>
      <c r="N71" s="2" t="s">
        <v>9374</v>
      </c>
    </row>
    <row r="72" spans="1:14" ht="15.75" customHeight="1">
      <c r="A72" s="2" t="s">
        <v>9275</v>
      </c>
      <c r="B72" s="2" t="s">
        <v>9375</v>
      </c>
      <c r="C72" s="2" t="s">
        <v>9277</v>
      </c>
      <c r="D72" s="2">
        <v>34</v>
      </c>
      <c r="E72" s="2">
        <v>481</v>
      </c>
      <c r="F72" s="2">
        <v>16384</v>
      </c>
      <c r="G72" s="2">
        <v>0</v>
      </c>
      <c r="H72" s="2">
        <v>32768</v>
      </c>
      <c r="I72" s="2">
        <v>0</v>
      </c>
      <c r="J72" s="2">
        <v>42</v>
      </c>
      <c r="K72" s="275">
        <v>44294.708333333336</v>
      </c>
      <c r="L72" s="275">
        <v>44447.191666666666</v>
      </c>
      <c r="M72" s="2" t="s">
        <v>9278</v>
      </c>
      <c r="N72" s="2" t="s">
        <v>9376</v>
      </c>
    </row>
    <row r="73" spans="1:14" ht="15.75" customHeight="1">
      <c r="A73" s="2" t="s">
        <v>9275</v>
      </c>
      <c r="B73" s="2" t="s">
        <v>9377</v>
      </c>
      <c r="C73" s="2" t="s">
        <v>9277</v>
      </c>
      <c r="D73" s="2">
        <v>1043</v>
      </c>
      <c r="E73" s="2">
        <v>109</v>
      </c>
      <c r="F73" s="2">
        <v>114688</v>
      </c>
      <c r="G73" s="2">
        <v>0</v>
      </c>
      <c r="H73" s="2">
        <v>180224</v>
      </c>
      <c r="I73" s="2">
        <v>0</v>
      </c>
      <c r="J73" s="2">
        <v>2061</v>
      </c>
      <c r="K73" s="275">
        <v>44294.708333333336</v>
      </c>
      <c r="L73" s="275">
        <v>44420.314583333333</v>
      </c>
      <c r="M73" s="2" t="s">
        <v>9278</v>
      </c>
      <c r="N73" s="2" t="s">
        <v>9378</v>
      </c>
    </row>
    <row r="74" spans="1:14" ht="15.75" customHeight="1">
      <c r="A74" s="2" t="s">
        <v>9275</v>
      </c>
      <c r="B74" s="2" t="s">
        <v>9379</v>
      </c>
      <c r="C74" s="2" t="s">
        <v>9277</v>
      </c>
      <c r="D74" s="2">
        <v>333</v>
      </c>
      <c r="E74" s="2">
        <v>590</v>
      </c>
      <c r="F74" s="2">
        <v>196608</v>
      </c>
      <c r="G74" s="2">
        <v>0</v>
      </c>
      <c r="H74" s="2">
        <v>0</v>
      </c>
      <c r="I74" s="2">
        <v>0</v>
      </c>
      <c r="J74" s="2">
        <v>334</v>
      </c>
      <c r="K74" s="275">
        <v>44294.708333333336</v>
      </c>
      <c r="L74" s="275">
        <v>44448.380555555559</v>
      </c>
      <c r="M74" s="2" t="s">
        <v>9278</v>
      </c>
    </row>
    <row r="75" spans="1:14" ht="15.75" customHeight="1">
      <c r="A75" s="2" t="s">
        <v>9275</v>
      </c>
      <c r="B75" s="2" t="s">
        <v>9380</v>
      </c>
      <c r="C75" s="2" t="s">
        <v>9277</v>
      </c>
      <c r="D75" s="2">
        <v>7321</v>
      </c>
      <c r="E75" s="2">
        <v>62</v>
      </c>
      <c r="F75" s="2">
        <v>458752</v>
      </c>
      <c r="G75" s="2">
        <v>0</v>
      </c>
      <c r="H75" s="2">
        <v>704512</v>
      </c>
      <c r="I75" s="2">
        <v>4194304</v>
      </c>
      <c r="J75" s="2">
        <v>23590</v>
      </c>
      <c r="K75" s="275">
        <v>44342.67083333333</v>
      </c>
      <c r="L75" s="275">
        <v>44448.45</v>
      </c>
      <c r="M75" s="2" t="s">
        <v>9278</v>
      </c>
      <c r="N75" s="2" t="s">
        <v>9381</v>
      </c>
    </row>
    <row r="76" spans="1:14" ht="15.75" customHeight="1">
      <c r="A76" s="2" t="s">
        <v>9275</v>
      </c>
      <c r="B76" s="2" t="s">
        <v>9382</v>
      </c>
      <c r="C76" s="2" t="s">
        <v>9277</v>
      </c>
      <c r="D76" s="2">
        <v>3326</v>
      </c>
      <c r="E76" s="2">
        <v>477</v>
      </c>
      <c r="F76" s="2">
        <v>1589248</v>
      </c>
      <c r="G76" s="2">
        <v>0</v>
      </c>
      <c r="H76" s="2">
        <v>327680</v>
      </c>
      <c r="I76" s="2">
        <v>4194304</v>
      </c>
      <c r="J76" s="2">
        <v>3323</v>
      </c>
      <c r="K76" s="275">
        <v>44294.708333333336</v>
      </c>
      <c r="L76" s="275">
        <v>44448.379166666666</v>
      </c>
      <c r="M76" s="2" t="s">
        <v>9278</v>
      </c>
    </row>
    <row r="77" spans="1:14" ht="15.75" customHeight="1">
      <c r="A77" s="2" t="s">
        <v>9275</v>
      </c>
      <c r="B77" s="2" t="s">
        <v>9383</v>
      </c>
      <c r="C77" s="2" t="s">
        <v>9277</v>
      </c>
      <c r="D77" s="2">
        <v>13745</v>
      </c>
      <c r="E77" s="2">
        <v>115</v>
      </c>
      <c r="F77" s="2">
        <v>1589248</v>
      </c>
      <c r="G77" s="2">
        <v>0</v>
      </c>
      <c r="H77" s="2">
        <v>475136</v>
      </c>
      <c r="I77" s="2">
        <v>4194304</v>
      </c>
      <c r="J77" s="2">
        <v>13301</v>
      </c>
      <c r="K77" s="275">
        <v>44424.678472222222</v>
      </c>
      <c r="L77" s="275">
        <v>44448.451388888891</v>
      </c>
      <c r="M77" s="2" t="s">
        <v>9278</v>
      </c>
      <c r="N77" s="2" t="s">
        <v>9384</v>
      </c>
    </row>
    <row r="78" spans="1:14" ht="15.75" customHeight="1">
      <c r="A78" s="2" t="s">
        <v>9275</v>
      </c>
      <c r="B78" s="2" t="s">
        <v>9385</v>
      </c>
      <c r="C78" s="2" t="s">
        <v>9277</v>
      </c>
      <c r="D78" s="2">
        <v>40226</v>
      </c>
      <c r="E78" s="2">
        <v>65</v>
      </c>
      <c r="F78" s="2">
        <v>2637824</v>
      </c>
      <c r="G78" s="2">
        <v>0</v>
      </c>
      <c r="H78" s="2">
        <v>1998848</v>
      </c>
      <c r="I78" s="2">
        <v>4194304</v>
      </c>
      <c r="J78" s="2">
        <v>40740</v>
      </c>
      <c r="K78" s="275">
        <v>44342.67083333333</v>
      </c>
      <c r="L78" s="275">
        <v>44448.450694444444</v>
      </c>
      <c r="M78" s="2" t="s">
        <v>9278</v>
      </c>
      <c r="N78" s="2" t="s">
        <v>9386</v>
      </c>
    </row>
    <row r="79" spans="1:14" ht="15.75" customHeight="1">
      <c r="A79" s="2" t="s">
        <v>9275</v>
      </c>
      <c r="B79" s="2" t="s">
        <v>9387</v>
      </c>
      <c r="C79" s="2" t="s">
        <v>9277</v>
      </c>
      <c r="D79" s="2">
        <v>0</v>
      </c>
      <c r="E79" s="2">
        <v>0</v>
      </c>
      <c r="F79" s="2">
        <v>16384</v>
      </c>
      <c r="G79" s="2">
        <v>0</v>
      </c>
      <c r="H79" s="2">
        <v>32768</v>
      </c>
      <c r="I79" s="2">
        <v>0</v>
      </c>
      <c r="J79" s="2">
        <v>1</v>
      </c>
      <c r="K79" s="275">
        <v>44294.708333333336</v>
      </c>
      <c r="M79" s="2" t="s">
        <v>9278</v>
      </c>
      <c r="N79" s="2" t="s">
        <v>9388</v>
      </c>
    </row>
    <row r="80" spans="1:14" ht="15.75" customHeight="1">
      <c r="A80" s="2" t="s">
        <v>9275</v>
      </c>
      <c r="B80" s="2" t="s">
        <v>9389</v>
      </c>
      <c r="C80" s="2" t="s">
        <v>9277</v>
      </c>
      <c r="D80" s="2">
        <v>0</v>
      </c>
      <c r="E80" s="2">
        <v>0</v>
      </c>
      <c r="F80" s="2">
        <v>16384</v>
      </c>
      <c r="G80" s="2">
        <v>0</v>
      </c>
      <c r="H80" s="2">
        <v>16384</v>
      </c>
      <c r="I80" s="2">
        <v>0</v>
      </c>
      <c r="J80" s="2">
        <v>1</v>
      </c>
      <c r="K80" s="275">
        <v>44294.708333333336</v>
      </c>
      <c r="M80" s="2" t="s">
        <v>9278</v>
      </c>
      <c r="N80" s="2" t="s">
        <v>9390</v>
      </c>
    </row>
    <row r="81" spans="1:14" ht="15.75" customHeight="1">
      <c r="A81" s="2" t="s">
        <v>9275</v>
      </c>
      <c r="B81" s="2" t="s">
        <v>9391</v>
      </c>
      <c r="C81" s="2" t="s">
        <v>9277</v>
      </c>
      <c r="D81" s="2">
        <v>0</v>
      </c>
      <c r="E81" s="2">
        <v>0</v>
      </c>
      <c r="F81" s="2">
        <v>16384</v>
      </c>
      <c r="G81" s="2">
        <v>0</v>
      </c>
      <c r="H81" s="2">
        <v>16384</v>
      </c>
      <c r="I81" s="2">
        <v>0</v>
      </c>
      <c r="K81" s="275">
        <v>44294.708333333336</v>
      </c>
      <c r="M81" s="2" t="s">
        <v>9278</v>
      </c>
      <c r="N81" s="2" t="s">
        <v>9392</v>
      </c>
    </row>
    <row r="82" spans="1:14" ht="15.75" customHeight="1">
      <c r="A82" s="2" t="s">
        <v>9275</v>
      </c>
      <c r="B82" s="2" t="s">
        <v>9393</v>
      </c>
      <c r="C82" s="2" t="s">
        <v>9277</v>
      </c>
      <c r="D82" s="2">
        <v>0</v>
      </c>
      <c r="E82" s="2">
        <v>0</v>
      </c>
      <c r="F82" s="2">
        <v>16384</v>
      </c>
      <c r="G82" s="2">
        <v>0</v>
      </c>
      <c r="H82" s="2">
        <v>16384</v>
      </c>
      <c r="I82" s="2">
        <v>0</v>
      </c>
      <c r="K82" s="275">
        <v>44294.708333333336</v>
      </c>
      <c r="M82" s="2" t="s">
        <v>9278</v>
      </c>
      <c r="N82" s="2" t="s">
        <v>9394</v>
      </c>
    </row>
    <row r="83" spans="1:14" ht="15.75" customHeight="1">
      <c r="A83" s="2" t="s">
        <v>9275</v>
      </c>
      <c r="B83" s="2" t="s">
        <v>9395</v>
      </c>
      <c r="C83" s="2" t="s">
        <v>9277</v>
      </c>
      <c r="D83" s="2">
        <v>1</v>
      </c>
      <c r="E83" s="2">
        <v>16384</v>
      </c>
      <c r="F83" s="2">
        <v>16384</v>
      </c>
      <c r="G83" s="2">
        <v>0</v>
      </c>
      <c r="H83" s="2">
        <v>0</v>
      </c>
      <c r="I83" s="2">
        <v>0</v>
      </c>
      <c r="K83" s="275">
        <v>44294.708333333336</v>
      </c>
      <c r="L83" s="275">
        <v>44448.45</v>
      </c>
      <c r="M83" s="2" t="s">
        <v>9278</v>
      </c>
      <c r="N83" s="2" t="s">
        <v>9396</v>
      </c>
    </row>
    <row r="84" spans="1:14" ht="15.75" customHeight="1">
      <c r="A84" s="2" t="s">
        <v>9275</v>
      </c>
      <c r="B84" s="2" t="s">
        <v>9397</v>
      </c>
      <c r="C84" s="2" t="s">
        <v>9277</v>
      </c>
      <c r="D84" s="2">
        <v>491</v>
      </c>
      <c r="E84" s="2">
        <v>133</v>
      </c>
      <c r="F84" s="2">
        <v>65536</v>
      </c>
      <c r="G84" s="2">
        <v>0</v>
      </c>
      <c r="H84" s="2">
        <v>32768</v>
      </c>
      <c r="I84" s="2">
        <v>0</v>
      </c>
      <c r="J84" s="2">
        <v>2932</v>
      </c>
      <c r="K84" s="275">
        <v>44294.708333333336</v>
      </c>
      <c r="L84" s="275">
        <v>44448.28125</v>
      </c>
      <c r="M84" s="2" t="s">
        <v>9278</v>
      </c>
      <c r="N84" s="2" t="s">
        <v>9398</v>
      </c>
    </row>
    <row r="85" spans="1:14" ht="15.75" customHeight="1">
      <c r="A85" s="2" t="s">
        <v>9275</v>
      </c>
      <c r="B85" s="2" t="s">
        <v>9399</v>
      </c>
      <c r="C85" s="2" t="s">
        <v>9277</v>
      </c>
      <c r="D85" s="2">
        <v>510</v>
      </c>
      <c r="E85" s="2">
        <v>96</v>
      </c>
      <c r="F85" s="2">
        <v>49152</v>
      </c>
      <c r="G85" s="2">
        <v>0</v>
      </c>
      <c r="H85" s="2">
        <v>65536</v>
      </c>
      <c r="I85" s="2">
        <v>0</v>
      </c>
      <c r="J85" s="2">
        <v>14191</v>
      </c>
      <c r="K85" s="275">
        <v>44294.708333333336</v>
      </c>
      <c r="L85" s="275">
        <v>44448.237500000003</v>
      </c>
      <c r="M85" s="2" t="s">
        <v>9278</v>
      </c>
      <c r="N85" s="2" t="s">
        <v>9400</v>
      </c>
    </row>
    <row r="86" spans="1:14" ht="15.75" customHeight="1">
      <c r="A86" s="2" t="s">
        <v>9275</v>
      </c>
      <c r="B86" s="2" t="s">
        <v>9401</v>
      </c>
      <c r="C86" s="2" t="s">
        <v>9277</v>
      </c>
      <c r="D86" s="2">
        <v>0</v>
      </c>
      <c r="E86" s="2">
        <v>0</v>
      </c>
      <c r="F86" s="2">
        <v>16384</v>
      </c>
      <c r="G86" s="2">
        <v>0</v>
      </c>
      <c r="H86" s="2">
        <v>65536</v>
      </c>
      <c r="I86" s="2">
        <v>0</v>
      </c>
      <c r="J86" s="2">
        <v>1179</v>
      </c>
      <c r="K86" s="275">
        <v>44294.708333333336</v>
      </c>
      <c r="M86" s="2" t="s">
        <v>9278</v>
      </c>
      <c r="N86" s="2" t="s">
        <v>9402</v>
      </c>
    </row>
    <row r="87" spans="1:14" ht="15.75" customHeight="1">
      <c r="A87" s="2" t="s">
        <v>9275</v>
      </c>
      <c r="B87" s="2" t="s">
        <v>9403</v>
      </c>
      <c r="C87" s="2" t="s">
        <v>9277</v>
      </c>
      <c r="D87" s="2">
        <v>2705</v>
      </c>
      <c r="E87" s="2">
        <v>54</v>
      </c>
      <c r="F87" s="2">
        <v>147456</v>
      </c>
      <c r="G87" s="2">
        <v>0</v>
      </c>
      <c r="H87" s="2">
        <v>278528</v>
      </c>
      <c r="I87" s="2">
        <v>0</v>
      </c>
      <c r="J87" s="2">
        <v>27921</v>
      </c>
      <c r="K87" s="275">
        <v>44294.708333333336</v>
      </c>
      <c r="L87" s="275">
        <v>44448.237500000003</v>
      </c>
      <c r="M87" s="2" t="s">
        <v>9278</v>
      </c>
      <c r="N87" s="2" t="s">
        <v>9404</v>
      </c>
    </row>
    <row r="88" spans="1:14" ht="15.75" customHeight="1">
      <c r="A88" s="2" t="s">
        <v>9275</v>
      </c>
      <c r="B88" s="2" t="s">
        <v>9405</v>
      </c>
      <c r="C88" s="2" t="s">
        <v>9277</v>
      </c>
      <c r="D88" s="2">
        <v>776</v>
      </c>
      <c r="E88" s="2">
        <v>126</v>
      </c>
      <c r="F88" s="2">
        <v>98304</v>
      </c>
      <c r="G88" s="2">
        <v>0</v>
      </c>
      <c r="H88" s="2">
        <v>65536</v>
      </c>
      <c r="I88" s="2">
        <v>0</v>
      </c>
      <c r="J88" s="2">
        <v>79155</v>
      </c>
      <c r="K88" s="275">
        <v>44336.703472222223</v>
      </c>
      <c r="L88" s="275">
        <v>44448.237500000003</v>
      </c>
      <c r="M88" s="2" t="s">
        <v>9278</v>
      </c>
      <c r="N88" s="2" t="s">
        <v>9406</v>
      </c>
    </row>
    <row r="89" spans="1:14" ht="15.75" customHeight="1">
      <c r="A89" s="2" t="s">
        <v>9275</v>
      </c>
      <c r="B89" s="2" t="s">
        <v>9407</v>
      </c>
      <c r="C89" s="2" t="s">
        <v>9277</v>
      </c>
      <c r="D89" s="2">
        <v>3927</v>
      </c>
      <c r="E89" s="2">
        <v>62</v>
      </c>
      <c r="F89" s="2">
        <v>245760</v>
      </c>
      <c r="G89" s="2">
        <v>0</v>
      </c>
      <c r="H89" s="2">
        <v>376832</v>
      </c>
      <c r="I89" s="2">
        <v>0</v>
      </c>
      <c r="J89" s="2">
        <v>90046</v>
      </c>
      <c r="K89" s="275">
        <v>44294.708333333336</v>
      </c>
      <c r="L89" s="275">
        <v>44448.237500000003</v>
      </c>
      <c r="M89" s="2" t="s">
        <v>9278</v>
      </c>
      <c r="N89" s="2" t="s">
        <v>9408</v>
      </c>
    </row>
    <row r="90" spans="1:14" ht="15.75" customHeight="1">
      <c r="A90" s="2" t="s">
        <v>9275</v>
      </c>
      <c r="B90" s="2" t="s">
        <v>9409</v>
      </c>
      <c r="C90" s="2" t="s">
        <v>9277</v>
      </c>
      <c r="D90" s="2">
        <v>198763</v>
      </c>
      <c r="E90" s="2">
        <v>44</v>
      </c>
      <c r="F90" s="2">
        <v>8929280</v>
      </c>
      <c r="G90" s="2">
        <v>0</v>
      </c>
      <c r="H90" s="2">
        <v>13303808</v>
      </c>
      <c r="I90" s="2">
        <v>4194304</v>
      </c>
      <c r="J90" s="2">
        <v>522091</v>
      </c>
      <c r="K90" s="275">
        <v>44294.708333333336</v>
      </c>
      <c r="L90" s="275">
        <v>44448.309027777781</v>
      </c>
      <c r="M90" s="2" t="s">
        <v>9278</v>
      </c>
      <c r="N90" s="2" t="s">
        <v>9410</v>
      </c>
    </row>
    <row r="91" spans="1:14" ht="15.75" customHeight="1">
      <c r="A91" s="2" t="s">
        <v>9275</v>
      </c>
      <c r="B91" s="2" t="s">
        <v>9411</v>
      </c>
      <c r="C91" s="2" t="s">
        <v>9277</v>
      </c>
      <c r="D91" s="2">
        <v>1</v>
      </c>
      <c r="E91" s="2">
        <v>16384</v>
      </c>
      <c r="F91" s="2">
        <v>16384</v>
      </c>
      <c r="G91" s="2">
        <v>0</v>
      </c>
      <c r="H91" s="2">
        <v>0</v>
      </c>
      <c r="I91" s="2">
        <v>0</v>
      </c>
      <c r="J91" s="2">
        <v>8222</v>
      </c>
      <c r="K91" s="275">
        <v>44294.709027777775</v>
      </c>
      <c r="L91" s="275">
        <v>44448.25</v>
      </c>
      <c r="M91" s="2" t="s">
        <v>9278</v>
      </c>
      <c r="N91" s="2" t="s">
        <v>9411</v>
      </c>
    </row>
    <row r="92" spans="1:14" ht="15.75" customHeight="1">
      <c r="A92" s="2" t="s">
        <v>9275</v>
      </c>
      <c r="B92" s="2" t="s">
        <v>9412</v>
      </c>
      <c r="C92" s="2" t="s">
        <v>9277</v>
      </c>
      <c r="D92" s="2">
        <v>0</v>
      </c>
      <c r="E92" s="2">
        <v>0</v>
      </c>
      <c r="F92" s="2">
        <v>16384</v>
      </c>
      <c r="G92" s="2">
        <v>0</v>
      </c>
      <c r="H92" s="2">
        <v>32768</v>
      </c>
      <c r="I92" s="2">
        <v>0</v>
      </c>
      <c r="K92" s="275">
        <v>44294.709027777775</v>
      </c>
      <c r="M92" s="2" t="s">
        <v>9278</v>
      </c>
      <c r="N92" s="2" t="s">
        <v>9413</v>
      </c>
    </row>
    <row r="93" spans="1:14" ht="15.75" customHeight="1">
      <c r="A93" s="2" t="s">
        <v>9275</v>
      </c>
      <c r="B93" s="2" t="s">
        <v>9414</v>
      </c>
      <c r="C93" s="2" t="s">
        <v>9277</v>
      </c>
      <c r="D93" s="2">
        <v>0</v>
      </c>
      <c r="E93" s="2">
        <v>0</v>
      </c>
      <c r="F93" s="2">
        <v>16384</v>
      </c>
      <c r="G93" s="2">
        <v>0</v>
      </c>
      <c r="H93" s="2">
        <v>32768</v>
      </c>
      <c r="I93" s="2">
        <v>0</v>
      </c>
      <c r="K93" s="275">
        <v>44294.709027777775</v>
      </c>
      <c r="M93" s="2" t="s">
        <v>9278</v>
      </c>
      <c r="N93" s="2" t="s">
        <v>9413</v>
      </c>
    </row>
    <row r="94" spans="1:14" ht="15.75" customHeight="1">
      <c r="A94" s="2" t="s">
        <v>9275</v>
      </c>
      <c r="B94" s="2" t="s">
        <v>9415</v>
      </c>
      <c r="C94" s="2" t="s">
        <v>9277</v>
      </c>
      <c r="D94" s="2">
        <v>194699</v>
      </c>
      <c r="E94" s="2">
        <v>62</v>
      </c>
      <c r="F94" s="2">
        <v>12075008</v>
      </c>
      <c r="G94" s="2">
        <v>0</v>
      </c>
      <c r="H94" s="2">
        <v>16302080</v>
      </c>
      <c r="I94" s="2">
        <v>5242880</v>
      </c>
      <c r="K94" s="275">
        <v>44448.281944444447</v>
      </c>
      <c r="L94" s="275">
        <v>44448.372916666667</v>
      </c>
      <c r="M94" s="2" t="s">
        <v>9278</v>
      </c>
      <c r="N94" s="2" t="s">
        <v>9416</v>
      </c>
    </row>
    <row r="95" spans="1:14" ht="15.75" customHeight="1">
      <c r="A95" s="2" t="s">
        <v>9275</v>
      </c>
      <c r="B95" s="2" t="s">
        <v>9417</v>
      </c>
      <c r="C95" s="2" t="s">
        <v>9277</v>
      </c>
      <c r="D95" s="2">
        <v>4</v>
      </c>
      <c r="E95" s="2">
        <v>4096</v>
      </c>
      <c r="F95" s="2">
        <v>16384</v>
      </c>
      <c r="G95" s="2">
        <v>0</v>
      </c>
      <c r="H95" s="2">
        <v>32768</v>
      </c>
      <c r="I95" s="2">
        <v>0</v>
      </c>
      <c r="K95" s="275">
        <v>44448.281944444447</v>
      </c>
      <c r="L95" s="275">
        <v>44448.372916666667</v>
      </c>
      <c r="M95" s="2" t="s">
        <v>9278</v>
      </c>
      <c r="N95" s="2" t="s">
        <v>9418</v>
      </c>
    </row>
    <row r="96" spans="1:14" ht="15.75" customHeight="1">
      <c r="A96" s="2" t="s">
        <v>9275</v>
      </c>
      <c r="B96" s="2" t="s">
        <v>9419</v>
      </c>
      <c r="C96" s="2" t="s">
        <v>9277</v>
      </c>
      <c r="D96" s="2">
        <v>172562</v>
      </c>
      <c r="E96" s="2">
        <v>69</v>
      </c>
      <c r="F96" s="2">
        <v>12075008</v>
      </c>
      <c r="G96" s="2">
        <v>0</v>
      </c>
      <c r="H96" s="2">
        <v>16302080</v>
      </c>
      <c r="I96" s="2">
        <v>5242880</v>
      </c>
      <c r="K96" s="275">
        <v>44448.281944444447</v>
      </c>
      <c r="L96" s="275">
        <v>44448.372916666667</v>
      </c>
      <c r="M96" s="2" t="s">
        <v>9278</v>
      </c>
      <c r="N96" s="2" t="s">
        <v>9420</v>
      </c>
    </row>
    <row r="97" spans="1:14" ht="15.75" customHeight="1">
      <c r="A97" s="2" t="s">
        <v>9275</v>
      </c>
      <c r="B97" s="2" t="s">
        <v>9421</v>
      </c>
      <c r="C97" s="2" t="s">
        <v>9277</v>
      </c>
      <c r="D97" s="2">
        <v>4</v>
      </c>
      <c r="E97" s="2">
        <v>4096</v>
      </c>
      <c r="F97" s="2">
        <v>16384</v>
      </c>
      <c r="G97" s="2">
        <v>0</v>
      </c>
      <c r="H97" s="2">
        <v>32768</v>
      </c>
      <c r="I97" s="2">
        <v>0</v>
      </c>
      <c r="K97" s="275">
        <v>44448.281944444447</v>
      </c>
      <c r="L97" s="275">
        <v>44448.372916666667</v>
      </c>
      <c r="M97" s="2" t="s">
        <v>9278</v>
      </c>
      <c r="N97" s="2" t="s">
        <v>9422</v>
      </c>
    </row>
    <row r="98" spans="1:14" ht="15.75" customHeight="1">
      <c r="A98" s="2" t="s">
        <v>9275</v>
      </c>
      <c r="B98" s="2" t="s">
        <v>9423</v>
      </c>
      <c r="C98" s="2" t="s">
        <v>9277</v>
      </c>
      <c r="D98" s="2">
        <v>0</v>
      </c>
      <c r="E98" s="2">
        <v>0</v>
      </c>
      <c r="F98" s="2">
        <v>16384</v>
      </c>
      <c r="G98" s="2">
        <v>0</v>
      </c>
      <c r="H98" s="2">
        <v>16384</v>
      </c>
      <c r="I98" s="2">
        <v>0</v>
      </c>
      <c r="K98" s="275">
        <v>44294.709027777775</v>
      </c>
      <c r="M98" s="2" t="s">
        <v>9278</v>
      </c>
      <c r="N98" s="2" t="s">
        <v>9424</v>
      </c>
    </row>
    <row r="99" spans="1:14" ht="15.75" customHeight="1">
      <c r="A99" s="2" t="s">
        <v>9275</v>
      </c>
      <c r="B99" s="2" t="s">
        <v>9425</v>
      </c>
      <c r="C99" s="2" t="s">
        <v>9277</v>
      </c>
      <c r="D99" s="2">
        <v>153</v>
      </c>
      <c r="E99" s="2">
        <v>107</v>
      </c>
      <c r="F99" s="2">
        <v>16384</v>
      </c>
      <c r="G99" s="2">
        <v>0</v>
      </c>
      <c r="H99" s="2">
        <v>81920</v>
      </c>
      <c r="I99" s="2">
        <v>0</v>
      </c>
      <c r="J99" s="2">
        <v>3697</v>
      </c>
      <c r="K99" s="275">
        <v>44336.703472222223</v>
      </c>
      <c r="M99" s="2" t="s">
        <v>9278</v>
      </c>
      <c r="N99" s="2" t="s">
        <v>9426</v>
      </c>
    </row>
    <row r="100" spans="1:14" ht="15.75" customHeight="1">
      <c r="A100" s="2" t="s">
        <v>9275</v>
      </c>
      <c r="B100" s="2" t="s">
        <v>9427</v>
      </c>
      <c r="C100" s="2" t="s">
        <v>9277</v>
      </c>
      <c r="D100" s="2">
        <v>0</v>
      </c>
      <c r="E100" s="2">
        <v>0</v>
      </c>
      <c r="F100" s="2">
        <v>16384</v>
      </c>
      <c r="G100" s="2">
        <v>0</v>
      </c>
      <c r="H100" s="2">
        <v>32768</v>
      </c>
      <c r="I100" s="2">
        <v>0</v>
      </c>
      <c r="J100" s="2">
        <v>1</v>
      </c>
      <c r="K100" s="275">
        <v>44336.703472222223</v>
      </c>
      <c r="M100" s="2" t="s">
        <v>9278</v>
      </c>
      <c r="N100" s="2" t="s">
        <v>9428</v>
      </c>
    </row>
    <row r="101" spans="1:14" ht="15.75" customHeight="1">
      <c r="A101" s="2" t="s">
        <v>9275</v>
      </c>
      <c r="B101" s="2" t="s">
        <v>9429</v>
      </c>
      <c r="C101" s="2" t="s">
        <v>9277</v>
      </c>
      <c r="D101" s="2">
        <v>227</v>
      </c>
      <c r="E101" s="2">
        <v>216</v>
      </c>
      <c r="F101" s="2">
        <v>49152</v>
      </c>
      <c r="G101" s="2">
        <v>0</v>
      </c>
      <c r="H101" s="2">
        <v>32768</v>
      </c>
      <c r="I101" s="2">
        <v>0</v>
      </c>
      <c r="K101" s="275">
        <v>44294.709027777775</v>
      </c>
      <c r="L101" s="275">
        <v>44447.43472222222</v>
      </c>
      <c r="M101" s="2" t="s">
        <v>9278</v>
      </c>
      <c r="N101" s="2" t="s">
        <v>9430</v>
      </c>
    </row>
    <row r="102" spans="1:14" ht="15.75" customHeight="1">
      <c r="A102" s="2" t="s">
        <v>9275</v>
      </c>
      <c r="B102" s="2" t="s">
        <v>9431</v>
      </c>
      <c r="C102" s="2" t="s">
        <v>9277</v>
      </c>
      <c r="D102" s="2">
        <v>2</v>
      </c>
      <c r="E102" s="2">
        <v>8192</v>
      </c>
      <c r="F102" s="2">
        <v>16384</v>
      </c>
      <c r="G102" s="2">
        <v>0</v>
      </c>
      <c r="H102" s="2">
        <v>0</v>
      </c>
      <c r="I102" s="2">
        <v>6291456</v>
      </c>
      <c r="J102" s="2">
        <v>808054</v>
      </c>
      <c r="K102" s="275">
        <v>44294.709027777775</v>
      </c>
      <c r="L102" s="275">
        <v>44448.441666666666</v>
      </c>
      <c r="M102" s="2" t="s">
        <v>9278</v>
      </c>
      <c r="N102" s="2" t="s">
        <v>9431</v>
      </c>
    </row>
    <row r="103" spans="1:14" ht="15.75" customHeight="1">
      <c r="A103" s="2" t="s">
        <v>9275</v>
      </c>
      <c r="B103" s="2" t="s">
        <v>9432</v>
      </c>
      <c r="C103" s="2" t="s">
        <v>9277</v>
      </c>
      <c r="D103" s="2">
        <v>0</v>
      </c>
      <c r="E103" s="2">
        <v>0</v>
      </c>
      <c r="F103" s="2">
        <v>16384</v>
      </c>
      <c r="G103" s="2">
        <v>0</v>
      </c>
      <c r="H103" s="2">
        <v>16384</v>
      </c>
      <c r="I103" s="2">
        <v>0</v>
      </c>
      <c r="J103" s="2">
        <v>1</v>
      </c>
      <c r="K103" s="275">
        <v>44294.709027777775</v>
      </c>
      <c r="M103" s="2" t="s">
        <v>9278</v>
      </c>
      <c r="N103" s="2" t="s">
        <v>9433</v>
      </c>
    </row>
    <row r="104" spans="1:14" ht="15.75" customHeight="1">
      <c r="A104" s="2" t="s">
        <v>9275</v>
      </c>
      <c r="B104" s="2" t="s">
        <v>9434</v>
      </c>
      <c r="C104" s="2" t="s">
        <v>9277</v>
      </c>
      <c r="D104" s="2">
        <v>0</v>
      </c>
      <c r="E104" s="2">
        <v>0</v>
      </c>
      <c r="F104" s="2">
        <v>16384</v>
      </c>
      <c r="G104" s="2">
        <v>0</v>
      </c>
      <c r="H104" s="2">
        <v>16384</v>
      </c>
      <c r="I104" s="2">
        <v>0</v>
      </c>
      <c r="J104" s="2">
        <v>1</v>
      </c>
      <c r="K104" s="275">
        <v>44294.709027777775</v>
      </c>
      <c r="M104" s="2" t="s">
        <v>9278</v>
      </c>
      <c r="N104" s="2" t="s">
        <v>9435</v>
      </c>
    </row>
    <row r="105" spans="1:14" ht="15.75" customHeight="1">
      <c r="A105" s="2" t="s">
        <v>9275</v>
      </c>
      <c r="B105" s="2" t="s">
        <v>9436</v>
      </c>
      <c r="C105" s="2" t="s">
        <v>9277</v>
      </c>
      <c r="D105" s="2">
        <v>0</v>
      </c>
      <c r="E105" s="2">
        <v>0</v>
      </c>
      <c r="F105" s="2">
        <v>16384</v>
      </c>
      <c r="G105" s="2">
        <v>0</v>
      </c>
      <c r="H105" s="2">
        <v>32768</v>
      </c>
      <c r="I105" s="2">
        <v>0</v>
      </c>
      <c r="K105" s="275">
        <v>44294.709027777775</v>
      </c>
      <c r="M105" s="2" t="s">
        <v>9278</v>
      </c>
      <c r="N105" s="2" t="s">
        <v>9437</v>
      </c>
    </row>
    <row r="106" spans="1:14" ht="15.75" customHeight="1">
      <c r="A106" s="2" t="s">
        <v>9275</v>
      </c>
      <c r="B106" s="2" t="s">
        <v>9438</v>
      </c>
      <c r="C106" s="2" t="s">
        <v>9277</v>
      </c>
      <c r="D106" s="2">
        <v>0</v>
      </c>
      <c r="E106" s="2">
        <v>0</v>
      </c>
      <c r="F106" s="2">
        <v>16384</v>
      </c>
      <c r="G106" s="2">
        <v>0</v>
      </c>
      <c r="H106" s="2">
        <v>32768</v>
      </c>
      <c r="I106" s="2">
        <v>0</v>
      </c>
      <c r="J106" s="2">
        <v>1</v>
      </c>
      <c r="K106" s="275">
        <v>44294.709027777775</v>
      </c>
      <c r="M106" s="2" t="s">
        <v>9278</v>
      </c>
      <c r="N106" s="2" t="s">
        <v>9439</v>
      </c>
    </row>
    <row r="107" spans="1:14" ht="15.75" customHeight="1">
      <c r="A107" s="2" t="s">
        <v>9275</v>
      </c>
      <c r="B107" s="2" t="s">
        <v>9440</v>
      </c>
      <c r="C107" s="2" t="s">
        <v>9277</v>
      </c>
      <c r="D107" s="2">
        <v>0</v>
      </c>
      <c r="E107" s="2">
        <v>0</v>
      </c>
      <c r="F107" s="2">
        <v>16384</v>
      </c>
      <c r="G107" s="2">
        <v>0</v>
      </c>
      <c r="H107" s="2">
        <v>16384</v>
      </c>
      <c r="I107" s="2">
        <v>0</v>
      </c>
      <c r="K107" s="275">
        <v>44294.709027777775</v>
      </c>
      <c r="M107" s="2" t="s">
        <v>9278</v>
      </c>
      <c r="N107" s="2" t="s">
        <v>9441</v>
      </c>
    </row>
    <row r="108" spans="1:14" ht="15.75" customHeight="1">
      <c r="A108" s="2" t="s">
        <v>9275</v>
      </c>
      <c r="B108" s="2" t="s">
        <v>9442</v>
      </c>
      <c r="C108" s="2" t="s">
        <v>9277</v>
      </c>
      <c r="D108" s="2">
        <v>0</v>
      </c>
      <c r="E108" s="2">
        <v>0</v>
      </c>
      <c r="F108" s="2">
        <v>16384</v>
      </c>
      <c r="G108" s="2">
        <v>0</v>
      </c>
      <c r="H108" s="2">
        <v>0</v>
      </c>
      <c r="I108" s="2">
        <v>0</v>
      </c>
      <c r="K108" s="275">
        <v>44294.709027777775</v>
      </c>
      <c r="M108" s="2" t="s">
        <v>9278</v>
      </c>
      <c r="N108" s="2" t="s">
        <v>9443</v>
      </c>
    </row>
    <row r="109" spans="1:14" ht="15.75" customHeight="1">
      <c r="A109" s="2" t="s">
        <v>9275</v>
      </c>
      <c r="B109" s="2" t="s">
        <v>9444</v>
      </c>
      <c r="C109" s="2" t="s">
        <v>9277</v>
      </c>
      <c r="D109" s="2">
        <v>1</v>
      </c>
      <c r="E109" s="2">
        <v>16384</v>
      </c>
      <c r="F109" s="2">
        <v>16384</v>
      </c>
      <c r="G109" s="2">
        <v>0</v>
      </c>
      <c r="H109" s="2">
        <v>0</v>
      </c>
      <c r="I109" s="2">
        <v>5242880</v>
      </c>
      <c r="J109" s="2">
        <v>408540</v>
      </c>
      <c r="K109" s="275">
        <v>44294.709027777775</v>
      </c>
      <c r="L109" s="275">
        <v>44448.375</v>
      </c>
      <c r="M109" s="2" t="s">
        <v>9278</v>
      </c>
      <c r="N109" s="2" t="s">
        <v>9444</v>
      </c>
    </row>
    <row r="110" spans="1:14" ht="15.75" customHeight="1">
      <c r="A110" s="2" t="s">
        <v>9275</v>
      </c>
      <c r="B110" s="2" t="s">
        <v>9445</v>
      </c>
      <c r="C110" s="2" t="s">
        <v>9277</v>
      </c>
      <c r="D110" s="2">
        <v>35248</v>
      </c>
      <c r="E110" s="2">
        <v>74</v>
      </c>
      <c r="F110" s="2">
        <v>2637824</v>
      </c>
      <c r="G110" s="2">
        <v>0</v>
      </c>
      <c r="H110" s="2">
        <v>1998848</v>
      </c>
      <c r="I110" s="2">
        <v>4194304</v>
      </c>
      <c r="J110" s="2">
        <v>41532</v>
      </c>
      <c r="K110" s="275">
        <v>44294.709027777775</v>
      </c>
      <c r="L110" s="275">
        <v>44448.441666666666</v>
      </c>
      <c r="M110" s="2" t="s">
        <v>9278</v>
      </c>
      <c r="N110" s="2" t="s">
        <v>9446</v>
      </c>
    </row>
    <row r="111" spans="1:14" ht="15.75" customHeight="1">
      <c r="A111" s="2" t="s">
        <v>9275</v>
      </c>
      <c r="B111" s="2" t="s">
        <v>9447</v>
      </c>
      <c r="C111" s="2" t="s">
        <v>9277</v>
      </c>
      <c r="D111" s="2">
        <v>107690</v>
      </c>
      <c r="E111" s="2">
        <v>43</v>
      </c>
      <c r="F111" s="2">
        <v>4734976</v>
      </c>
      <c r="G111" s="2">
        <v>0</v>
      </c>
      <c r="H111" s="2">
        <v>6651904</v>
      </c>
      <c r="I111" s="2">
        <v>4194304</v>
      </c>
      <c r="J111" s="2">
        <v>1230258</v>
      </c>
      <c r="K111" s="275">
        <v>44294.709027777775</v>
      </c>
      <c r="L111" s="275">
        <v>44447.71597222222</v>
      </c>
      <c r="M111" s="2" t="s">
        <v>9278</v>
      </c>
      <c r="N111" s="2" t="s">
        <v>9448</v>
      </c>
    </row>
    <row r="112" spans="1:14" ht="15.75" customHeight="1">
      <c r="A112" s="2" t="s">
        <v>9275</v>
      </c>
      <c r="B112" s="2" t="s">
        <v>9449</v>
      </c>
      <c r="C112" s="2" t="s">
        <v>9277</v>
      </c>
      <c r="D112" s="2">
        <v>107614</v>
      </c>
      <c r="E112" s="2">
        <v>43</v>
      </c>
      <c r="F112" s="2">
        <v>4734976</v>
      </c>
      <c r="G112" s="2">
        <v>0</v>
      </c>
      <c r="H112" s="2">
        <v>6815744</v>
      </c>
      <c r="I112" s="2">
        <v>4194304</v>
      </c>
      <c r="J112" s="2">
        <v>819070</v>
      </c>
      <c r="K112" s="275">
        <v>44294.709027777775</v>
      </c>
      <c r="L112" s="275">
        <v>44448.231249999997</v>
      </c>
      <c r="M112" s="2" t="s">
        <v>9278</v>
      </c>
      <c r="N112" s="2" t="s">
        <v>9450</v>
      </c>
    </row>
    <row r="113" spans="1:14" ht="15.75" customHeight="1">
      <c r="A113" s="2" t="s">
        <v>9275</v>
      </c>
      <c r="B113" s="2" t="s">
        <v>9451</v>
      </c>
      <c r="C113" s="2" t="s">
        <v>9277</v>
      </c>
      <c r="D113" s="2">
        <v>0</v>
      </c>
      <c r="E113" s="2">
        <v>0</v>
      </c>
      <c r="F113" s="2">
        <v>16384</v>
      </c>
      <c r="G113" s="2">
        <v>0</v>
      </c>
      <c r="H113" s="2">
        <v>65536</v>
      </c>
      <c r="I113" s="2">
        <v>0</v>
      </c>
      <c r="J113" s="2">
        <v>1</v>
      </c>
      <c r="K113" s="275">
        <v>44294.709027777775</v>
      </c>
      <c r="M113" s="2" t="s">
        <v>9278</v>
      </c>
      <c r="N113" s="2" t="s">
        <v>9452</v>
      </c>
    </row>
    <row r="114" spans="1:14" ht="15.75" customHeight="1">
      <c r="A114" s="2" t="s">
        <v>9275</v>
      </c>
      <c r="B114" s="2" t="s">
        <v>9453</v>
      </c>
      <c r="C114" s="2" t="s">
        <v>9277</v>
      </c>
      <c r="D114" s="2">
        <v>345715</v>
      </c>
      <c r="E114" s="2">
        <v>37</v>
      </c>
      <c r="F114" s="2">
        <v>13123584</v>
      </c>
      <c r="G114" s="2">
        <v>0</v>
      </c>
      <c r="H114" s="2">
        <v>31129600</v>
      </c>
      <c r="I114" s="2">
        <v>5242880</v>
      </c>
      <c r="J114" s="2">
        <v>1132196</v>
      </c>
      <c r="K114" s="275">
        <v>44336.703472222223</v>
      </c>
      <c r="L114" s="275">
        <v>44448.37222222222</v>
      </c>
      <c r="M114" s="2" t="s">
        <v>9278</v>
      </c>
      <c r="N114" s="2" t="s">
        <v>9454</v>
      </c>
    </row>
    <row r="115" spans="1:14" ht="15.75" customHeight="1">
      <c r="A115" s="2" t="s">
        <v>9275</v>
      </c>
      <c r="B115" s="2" t="s">
        <v>9455</v>
      </c>
      <c r="C115" s="2" t="s">
        <v>9277</v>
      </c>
      <c r="D115" s="2">
        <v>40509</v>
      </c>
      <c r="E115" s="2">
        <v>65</v>
      </c>
      <c r="F115" s="2">
        <v>2637824</v>
      </c>
      <c r="G115" s="2">
        <v>0</v>
      </c>
      <c r="H115" s="2">
        <v>524288</v>
      </c>
      <c r="I115" s="2">
        <v>4194304</v>
      </c>
      <c r="J115" s="2">
        <v>71123</v>
      </c>
      <c r="K115" s="275">
        <v>44294.709027777775</v>
      </c>
      <c r="L115" s="275">
        <v>44448.37222222222</v>
      </c>
      <c r="M115" s="2" t="s">
        <v>9278</v>
      </c>
      <c r="N115" s="2" t="s">
        <v>9456</v>
      </c>
    </row>
    <row r="116" spans="1:14" ht="15.75" customHeight="1">
      <c r="A116" s="2" t="s">
        <v>9275</v>
      </c>
      <c r="B116" s="2" t="s">
        <v>9457</v>
      </c>
      <c r="C116" s="2" t="s">
        <v>9277</v>
      </c>
      <c r="D116" s="2">
        <v>60125</v>
      </c>
      <c r="E116" s="2">
        <v>61</v>
      </c>
      <c r="F116" s="2">
        <v>3686400</v>
      </c>
      <c r="G116" s="2">
        <v>0</v>
      </c>
      <c r="H116" s="2">
        <v>7290880</v>
      </c>
      <c r="I116" s="2">
        <v>4194304</v>
      </c>
      <c r="J116" s="2">
        <v>91624</v>
      </c>
      <c r="K116" s="275">
        <v>44294.709027777775</v>
      </c>
      <c r="L116" s="275">
        <v>44448.441666666666</v>
      </c>
      <c r="M116" s="2" t="s">
        <v>9278</v>
      </c>
      <c r="N116" s="2" t="s">
        <v>9458</v>
      </c>
    </row>
    <row r="117" spans="1:14" ht="15.75" customHeight="1">
      <c r="A117" s="2" t="s">
        <v>9275</v>
      </c>
      <c r="B117" s="2" t="s">
        <v>9459</v>
      </c>
      <c r="C117" s="2" t="s">
        <v>9277</v>
      </c>
      <c r="D117" s="2">
        <v>40984</v>
      </c>
      <c r="E117" s="2">
        <v>37</v>
      </c>
      <c r="F117" s="2">
        <v>1540096</v>
      </c>
      <c r="G117" s="2">
        <v>0</v>
      </c>
      <c r="H117" s="2">
        <v>1327104</v>
      </c>
      <c r="I117" s="2">
        <v>4194304</v>
      </c>
      <c r="K117" s="275">
        <v>44294.709027777775</v>
      </c>
      <c r="L117" s="275">
        <v>44448.37222222222</v>
      </c>
      <c r="M117" s="2" t="s">
        <v>9278</v>
      </c>
      <c r="N117" s="2" t="s">
        <v>9460</v>
      </c>
    </row>
    <row r="118" spans="1:14" ht="15.75" customHeight="1">
      <c r="A118" s="2" t="s">
        <v>9275</v>
      </c>
      <c r="B118" s="2" t="s">
        <v>9461</v>
      </c>
      <c r="C118" s="2" t="s">
        <v>9277</v>
      </c>
      <c r="D118" s="2">
        <v>0</v>
      </c>
      <c r="E118" s="2">
        <v>0</v>
      </c>
      <c r="F118" s="2">
        <v>16384</v>
      </c>
      <c r="G118" s="2">
        <v>0</v>
      </c>
      <c r="H118" s="2">
        <v>16384</v>
      </c>
      <c r="I118" s="2">
        <v>0</v>
      </c>
      <c r="K118" s="275">
        <v>44294.709027777775</v>
      </c>
      <c r="M118" s="2" t="s">
        <v>9278</v>
      </c>
      <c r="N118" s="2" t="s">
        <v>9462</v>
      </c>
    </row>
    <row r="119" spans="1:14" ht="15.75" customHeight="1">
      <c r="A119" s="2" t="s">
        <v>9275</v>
      </c>
      <c r="B119" s="2" t="s">
        <v>9463</v>
      </c>
      <c r="C119" s="2" t="s">
        <v>9277</v>
      </c>
      <c r="D119" s="2">
        <v>140840</v>
      </c>
      <c r="E119" s="2">
        <v>562</v>
      </c>
      <c r="F119" s="2">
        <v>79282176</v>
      </c>
      <c r="G119" s="2">
        <v>0</v>
      </c>
      <c r="H119" s="2">
        <v>8830976</v>
      </c>
      <c r="I119" s="2">
        <v>7340032</v>
      </c>
      <c r="J119" s="2">
        <v>429662</v>
      </c>
      <c r="K119" s="275">
        <v>44336.703472222223</v>
      </c>
      <c r="L119" s="275">
        <v>44448.439583333333</v>
      </c>
      <c r="M119" s="2" t="s">
        <v>9278</v>
      </c>
      <c r="N119" s="2" t="s">
        <v>9464</v>
      </c>
    </row>
    <row r="120" spans="1:14" ht="15.75" customHeight="1">
      <c r="A120" s="2" t="s">
        <v>9275</v>
      </c>
      <c r="B120" s="2" t="s">
        <v>9465</v>
      </c>
      <c r="C120" s="2" t="s">
        <v>9277</v>
      </c>
      <c r="D120" s="2">
        <v>0</v>
      </c>
      <c r="E120" s="2">
        <v>0</v>
      </c>
      <c r="F120" s="2">
        <v>16384</v>
      </c>
      <c r="G120" s="2">
        <v>0</v>
      </c>
      <c r="H120" s="2">
        <v>49152</v>
      </c>
      <c r="I120" s="2">
        <v>0</v>
      </c>
      <c r="J120" s="2">
        <v>2</v>
      </c>
      <c r="K120" s="275">
        <v>44294.709027777775</v>
      </c>
      <c r="M120" s="2" t="s">
        <v>9278</v>
      </c>
      <c r="N120" s="2" t="s">
        <v>9466</v>
      </c>
    </row>
    <row r="121" spans="1:14" ht="15.75" customHeight="1">
      <c r="A121" s="2" t="s">
        <v>9275</v>
      </c>
      <c r="B121" s="2" t="s">
        <v>9467</v>
      </c>
      <c r="C121" s="2" t="s">
        <v>9277</v>
      </c>
      <c r="D121" s="2">
        <v>499796</v>
      </c>
      <c r="E121" s="2">
        <v>72</v>
      </c>
      <c r="F121" s="2">
        <v>36241408</v>
      </c>
      <c r="G121" s="2">
        <v>0</v>
      </c>
      <c r="H121" s="2">
        <v>33013760</v>
      </c>
      <c r="I121" s="2">
        <v>5242880</v>
      </c>
      <c r="J121" s="2">
        <v>5632618</v>
      </c>
      <c r="K121" s="275">
        <v>44294.709027777775</v>
      </c>
      <c r="L121" s="275">
        <v>44448.441666666666</v>
      </c>
      <c r="M121" s="2" t="s">
        <v>9278</v>
      </c>
      <c r="N121" s="2" t="s">
        <v>9468</v>
      </c>
    </row>
    <row r="122" spans="1:14" ht="15.75" customHeight="1">
      <c r="A122" s="2" t="s">
        <v>9275</v>
      </c>
      <c r="B122" s="2" t="s">
        <v>9469</v>
      </c>
      <c r="C122" s="2" t="s">
        <v>9277</v>
      </c>
      <c r="D122" s="2">
        <v>0</v>
      </c>
      <c r="E122" s="2">
        <v>0</v>
      </c>
      <c r="F122" s="2">
        <v>16384</v>
      </c>
      <c r="G122" s="2">
        <v>0</v>
      </c>
      <c r="H122" s="2">
        <v>49152</v>
      </c>
      <c r="I122" s="2">
        <v>0</v>
      </c>
      <c r="J122" s="2">
        <v>1</v>
      </c>
      <c r="K122" s="275">
        <v>44294.709027777775</v>
      </c>
      <c r="M122" s="2" t="s">
        <v>9278</v>
      </c>
      <c r="N122" s="2" t="s">
        <v>9470</v>
      </c>
    </row>
    <row r="123" spans="1:14" ht="15.75" customHeight="1">
      <c r="A123" s="2" t="s">
        <v>9275</v>
      </c>
      <c r="B123" s="2" t="s">
        <v>9471</v>
      </c>
      <c r="C123" s="2" t="s">
        <v>9277</v>
      </c>
      <c r="D123" s="2">
        <v>194958</v>
      </c>
      <c r="E123" s="2">
        <v>121</v>
      </c>
      <c r="F123" s="2">
        <v>23642112</v>
      </c>
      <c r="G123" s="2">
        <v>0</v>
      </c>
      <c r="H123" s="2">
        <v>24690688</v>
      </c>
      <c r="I123" s="2">
        <v>5242880</v>
      </c>
      <c r="K123" s="275">
        <v>44294.709027777775</v>
      </c>
      <c r="L123" s="275">
        <v>44448.442361111112</v>
      </c>
      <c r="M123" s="2" t="s">
        <v>9278</v>
      </c>
      <c r="N123" s="2" t="s">
        <v>9472</v>
      </c>
    </row>
    <row r="124" spans="1:14" ht="15.75" customHeight="1">
      <c r="A124" s="2" t="s">
        <v>9275</v>
      </c>
      <c r="B124" s="2" t="s">
        <v>9473</v>
      </c>
      <c r="C124" s="2" t="s">
        <v>9277</v>
      </c>
      <c r="D124" s="2">
        <v>0</v>
      </c>
      <c r="E124" s="2">
        <v>0</v>
      </c>
      <c r="F124" s="2">
        <v>16384</v>
      </c>
      <c r="G124" s="2">
        <v>0</v>
      </c>
      <c r="H124" s="2">
        <v>49152</v>
      </c>
      <c r="I124" s="2">
        <v>0</v>
      </c>
      <c r="K124" s="275">
        <v>44294.709027777775</v>
      </c>
      <c r="M124" s="2" t="s">
        <v>9278</v>
      </c>
      <c r="N124" s="2" t="s">
        <v>9474</v>
      </c>
    </row>
    <row r="125" spans="1:14" ht="15.75" customHeight="1">
      <c r="A125" s="2" t="s">
        <v>9275</v>
      </c>
      <c r="B125" s="2" t="s">
        <v>9475</v>
      </c>
      <c r="C125" s="2" t="s">
        <v>9277</v>
      </c>
      <c r="D125" s="2">
        <v>0</v>
      </c>
      <c r="E125" s="2">
        <v>0</v>
      </c>
      <c r="F125" s="2">
        <v>16384</v>
      </c>
      <c r="G125" s="2">
        <v>0</v>
      </c>
      <c r="H125" s="2">
        <v>49152</v>
      </c>
      <c r="I125" s="2">
        <v>0</v>
      </c>
      <c r="K125" s="275">
        <v>44294.709027777775</v>
      </c>
      <c r="M125" s="2" t="s">
        <v>9278</v>
      </c>
      <c r="N125" s="2" t="s">
        <v>9476</v>
      </c>
    </row>
    <row r="126" spans="1:14" ht="15.75" customHeight="1">
      <c r="A126" s="2" t="s">
        <v>9275</v>
      </c>
      <c r="B126" s="2" t="s">
        <v>9477</v>
      </c>
      <c r="C126" s="2" t="s">
        <v>9277</v>
      </c>
      <c r="D126" s="2">
        <v>0</v>
      </c>
      <c r="E126" s="2">
        <v>0</v>
      </c>
      <c r="F126" s="2">
        <v>16384</v>
      </c>
      <c r="G126" s="2">
        <v>0</v>
      </c>
      <c r="H126" s="2">
        <v>49152</v>
      </c>
      <c r="I126" s="2">
        <v>0</v>
      </c>
      <c r="K126" s="275">
        <v>44294.709027777775</v>
      </c>
      <c r="M126" s="2" t="s">
        <v>9278</v>
      </c>
      <c r="N126" s="2" t="s">
        <v>9474</v>
      </c>
    </row>
    <row r="127" spans="1:14" ht="15.75" customHeight="1">
      <c r="A127" s="2" t="s">
        <v>9275</v>
      </c>
      <c r="B127" s="2" t="s">
        <v>9478</v>
      </c>
      <c r="C127" s="2" t="s">
        <v>9277</v>
      </c>
      <c r="D127" s="2">
        <v>0</v>
      </c>
      <c r="E127" s="2">
        <v>0</v>
      </c>
      <c r="F127" s="2">
        <v>16384</v>
      </c>
      <c r="G127" s="2">
        <v>0</v>
      </c>
      <c r="H127" s="2">
        <v>49152</v>
      </c>
      <c r="I127" s="2">
        <v>0</v>
      </c>
      <c r="K127" s="275">
        <v>44294.709027777775</v>
      </c>
      <c r="M127" s="2" t="s">
        <v>9278</v>
      </c>
      <c r="N127" s="2" t="s">
        <v>9479</v>
      </c>
    </row>
    <row r="128" spans="1:14" ht="15.75" customHeight="1">
      <c r="A128" s="2" t="s">
        <v>9275</v>
      </c>
      <c r="B128" s="2" t="s">
        <v>9480</v>
      </c>
      <c r="C128" s="2" t="s">
        <v>9277</v>
      </c>
      <c r="D128" s="2">
        <v>0</v>
      </c>
      <c r="E128" s="2">
        <v>0</v>
      </c>
      <c r="F128" s="2">
        <v>16384</v>
      </c>
      <c r="G128" s="2">
        <v>0</v>
      </c>
      <c r="H128" s="2">
        <v>49152</v>
      </c>
      <c r="I128" s="2">
        <v>0</v>
      </c>
      <c r="K128" s="275">
        <v>44294.709027777775</v>
      </c>
      <c r="M128" s="2" t="s">
        <v>9278</v>
      </c>
      <c r="N128" s="2" t="s">
        <v>9481</v>
      </c>
    </row>
    <row r="129" spans="1:14" ht="15.75" customHeight="1">
      <c r="A129" s="2" t="s">
        <v>9275</v>
      </c>
      <c r="B129" s="2" t="s">
        <v>9482</v>
      </c>
      <c r="C129" s="2" t="s">
        <v>9277</v>
      </c>
      <c r="D129" s="2">
        <v>287012</v>
      </c>
      <c r="E129" s="2">
        <v>78</v>
      </c>
      <c r="F129" s="2">
        <v>22609920</v>
      </c>
      <c r="G129" s="2">
        <v>0</v>
      </c>
      <c r="H129" s="2">
        <v>23642112</v>
      </c>
      <c r="I129" s="2">
        <v>4194304</v>
      </c>
      <c r="K129" s="275">
        <v>44294.709027777775</v>
      </c>
      <c r="L129" s="275">
        <v>44432.140972222223</v>
      </c>
      <c r="M129" s="2" t="s">
        <v>9278</v>
      </c>
      <c r="N129" s="2" t="s">
        <v>9472</v>
      </c>
    </row>
    <row r="130" spans="1:14" ht="15.75" customHeight="1">
      <c r="A130" s="2" t="s">
        <v>9275</v>
      </c>
      <c r="B130" s="2" t="s">
        <v>9483</v>
      </c>
      <c r="C130" s="2" t="s">
        <v>9277</v>
      </c>
      <c r="D130" s="2">
        <v>0</v>
      </c>
      <c r="E130" s="2">
        <v>0</v>
      </c>
      <c r="F130" s="2">
        <v>16384</v>
      </c>
      <c r="G130" s="2">
        <v>0</v>
      </c>
      <c r="H130" s="2">
        <v>49152</v>
      </c>
      <c r="I130" s="2">
        <v>0</v>
      </c>
      <c r="K130" s="275">
        <v>44294.709027777775</v>
      </c>
      <c r="M130" s="2" t="s">
        <v>9278</v>
      </c>
      <c r="N130" s="2" t="s">
        <v>9484</v>
      </c>
    </row>
    <row r="131" spans="1:14" ht="15.75" customHeight="1">
      <c r="A131" s="2" t="s">
        <v>9275</v>
      </c>
      <c r="B131" s="2" t="s">
        <v>9485</v>
      </c>
      <c r="C131" s="2" t="s">
        <v>9277</v>
      </c>
      <c r="D131" s="2">
        <v>186792</v>
      </c>
      <c r="E131" s="2">
        <v>81</v>
      </c>
      <c r="F131" s="2">
        <v>15253504</v>
      </c>
      <c r="G131" s="2">
        <v>0</v>
      </c>
      <c r="H131" s="2">
        <v>23642112</v>
      </c>
      <c r="I131" s="2">
        <v>5242880</v>
      </c>
      <c r="K131" s="275">
        <v>44294.709027777775</v>
      </c>
      <c r="L131" s="275">
        <v>44448.451388888891</v>
      </c>
      <c r="M131" s="2" t="s">
        <v>9278</v>
      </c>
      <c r="N131" s="2" t="s">
        <v>9486</v>
      </c>
    </row>
    <row r="132" spans="1:14" ht="15.75" customHeight="1">
      <c r="A132" s="2" t="s">
        <v>9275</v>
      </c>
      <c r="B132" s="2" t="s">
        <v>9487</v>
      </c>
      <c r="C132" s="2" t="s">
        <v>9277</v>
      </c>
      <c r="D132" s="2">
        <v>0</v>
      </c>
      <c r="E132" s="2">
        <v>0</v>
      </c>
      <c r="F132" s="2">
        <v>16384</v>
      </c>
      <c r="G132" s="2">
        <v>0</v>
      </c>
      <c r="H132" s="2">
        <v>0</v>
      </c>
      <c r="I132" s="2">
        <v>0</v>
      </c>
      <c r="K132" s="275">
        <v>44294.709027777775</v>
      </c>
      <c r="M132" s="2" t="s">
        <v>9278</v>
      </c>
      <c r="N132" s="2" t="s">
        <v>9488</v>
      </c>
    </row>
    <row r="133" spans="1:14" ht="15.75" customHeight="1">
      <c r="A133" s="2" t="s">
        <v>9275</v>
      </c>
      <c r="B133" s="2" t="s">
        <v>9489</v>
      </c>
      <c r="C133" s="2" t="s">
        <v>9277</v>
      </c>
      <c r="D133" s="2">
        <v>0</v>
      </c>
      <c r="E133" s="2">
        <v>0</v>
      </c>
      <c r="F133" s="2">
        <v>16384</v>
      </c>
      <c r="G133" s="2">
        <v>0</v>
      </c>
      <c r="H133" s="2">
        <v>0</v>
      </c>
      <c r="I133" s="2">
        <v>0</v>
      </c>
      <c r="K133" s="275">
        <v>44294.709027777775</v>
      </c>
      <c r="M133" s="2" t="s">
        <v>9278</v>
      </c>
      <c r="N133" s="2" t="s">
        <v>9490</v>
      </c>
    </row>
    <row r="134" spans="1:14" ht="15.75" customHeight="1">
      <c r="A134" s="2" t="s">
        <v>9275</v>
      </c>
      <c r="B134" s="2" t="s">
        <v>9491</v>
      </c>
      <c r="C134" s="2" t="s">
        <v>9277</v>
      </c>
      <c r="D134" s="2">
        <v>0</v>
      </c>
      <c r="E134" s="2">
        <v>0</v>
      </c>
      <c r="F134" s="2">
        <v>16384</v>
      </c>
      <c r="G134" s="2">
        <v>0</v>
      </c>
      <c r="H134" s="2">
        <v>0</v>
      </c>
      <c r="I134" s="2">
        <v>0</v>
      </c>
      <c r="K134" s="275">
        <v>44294.709027777775</v>
      </c>
      <c r="M134" s="2" t="s">
        <v>9278</v>
      </c>
      <c r="N134" s="2" t="s">
        <v>9492</v>
      </c>
    </row>
    <row r="135" spans="1:14" ht="15.75" customHeight="1">
      <c r="A135" s="2" t="s">
        <v>9275</v>
      </c>
      <c r="B135" s="2" t="s">
        <v>9493</v>
      </c>
      <c r="C135" s="2" t="s">
        <v>9277</v>
      </c>
      <c r="D135" s="2">
        <v>0</v>
      </c>
      <c r="E135" s="2">
        <v>0</v>
      </c>
      <c r="F135" s="2">
        <v>16384</v>
      </c>
      <c r="G135" s="2">
        <v>0</v>
      </c>
      <c r="H135" s="2">
        <v>0</v>
      </c>
      <c r="I135" s="2">
        <v>0</v>
      </c>
      <c r="K135" s="275">
        <v>44294.709027777775</v>
      </c>
      <c r="M135" s="2" t="s">
        <v>9278</v>
      </c>
      <c r="N135" s="2" t="s">
        <v>9494</v>
      </c>
    </row>
    <row r="136" spans="1:14" ht="15.75" customHeight="1">
      <c r="A136" s="2" t="s">
        <v>9275</v>
      </c>
      <c r="B136" s="2" t="s">
        <v>9495</v>
      </c>
      <c r="C136" s="2" t="s">
        <v>9277</v>
      </c>
      <c r="D136" s="2">
        <v>0</v>
      </c>
      <c r="E136" s="2">
        <v>0</v>
      </c>
      <c r="F136" s="2">
        <v>16384</v>
      </c>
      <c r="G136" s="2">
        <v>0</v>
      </c>
      <c r="H136" s="2">
        <v>0</v>
      </c>
      <c r="I136" s="2">
        <v>0</v>
      </c>
      <c r="K136" s="275">
        <v>44294.709027777775</v>
      </c>
      <c r="M136" s="2" t="s">
        <v>9278</v>
      </c>
      <c r="N136" s="2" t="s">
        <v>9496</v>
      </c>
    </row>
    <row r="137" spans="1:14" ht="15.75" customHeight="1">
      <c r="A137" s="2" t="s">
        <v>9275</v>
      </c>
      <c r="B137" s="2" t="s">
        <v>9497</v>
      </c>
      <c r="C137" s="2" t="s">
        <v>9277</v>
      </c>
      <c r="D137" s="2">
        <v>0</v>
      </c>
      <c r="E137" s="2">
        <v>0</v>
      </c>
      <c r="F137" s="2">
        <v>16384</v>
      </c>
      <c r="G137" s="2">
        <v>0</v>
      </c>
      <c r="H137" s="2">
        <v>0</v>
      </c>
      <c r="I137" s="2">
        <v>0</v>
      </c>
      <c r="K137" s="275">
        <v>44294.709027777775</v>
      </c>
      <c r="M137" s="2" t="s">
        <v>9278</v>
      </c>
      <c r="N137" s="2" t="s">
        <v>9498</v>
      </c>
    </row>
    <row r="138" spans="1:14" ht="15.75" customHeight="1">
      <c r="A138" s="2" t="s">
        <v>9275</v>
      </c>
      <c r="B138" s="2" t="s">
        <v>9499</v>
      </c>
      <c r="C138" s="2" t="s">
        <v>9277</v>
      </c>
      <c r="D138" s="2">
        <v>0</v>
      </c>
      <c r="E138" s="2">
        <v>0</v>
      </c>
      <c r="F138" s="2">
        <v>16384</v>
      </c>
      <c r="G138" s="2">
        <v>0</v>
      </c>
      <c r="H138" s="2">
        <v>0</v>
      </c>
      <c r="I138" s="2">
        <v>0</v>
      </c>
      <c r="K138" s="275">
        <v>44294.709027777775</v>
      </c>
      <c r="M138" s="2" t="s">
        <v>9278</v>
      </c>
      <c r="N138" s="2" t="s">
        <v>9500</v>
      </c>
    </row>
    <row r="139" spans="1:14" ht="15.75" customHeight="1">
      <c r="A139" s="2" t="s">
        <v>9275</v>
      </c>
      <c r="B139" s="2" t="s">
        <v>9501</v>
      </c>
      <c r="C139" s="2" t="s">
        <v>9277</v>
      </c>
      <c r="D139" s="2">
        <v>0</v>
      </c>
      <c r="E139" s="2">
        <v>0</v>
      </c>
      <c r="F139" s="2">
        <v>16384</v>
      </c>
      <c r="G139" s="2">
        <v>0</v>
      </c>
      <c r="H139" s="2">
        <v>0</v>
      </c>
      <c r="I139" s="2">
        <v>0</v>
      </c>
      <c r="K139" s="275">
        <v>44294.709027777775</v>
      </c>
      <c r="M139" s="2" t="s">
        <v>9278</v>
      </c>
      <c r="N139" s="2" t="s">
        <v>9502</v>
      </c>
    </row>
    <row r="140" spans="1:14" ht="15.75" customHeight="1">
      <c r="A140" s="2" t="s">
        <v>9275</v>
      </c>
      <c r="B140" s="2" t="s">
        <v>9503</v>
      </c>
      <c r="C140" s="2" t="s">
        <v>9277</v>
      </c>
      <c r="D140" s="2">
        <v>0</v>
      </c>
      <c r="E140" s="2">
        <v>0</v>
      </c>
      <c r="F140" s="2">
        <v>16384</v>
      </c>
      <c r="G140" s="2">
        <v>0</v>
      </c>
      <c r="H140" s="2">
        <v>0</v>
      </c>
      <c r="I140" s="2">
        <v>0</v>
      </c>
      <c r="K140" s="275">
        <v>44294.709027777775</v>
      </c>
      <c r="M140" s="2" t="s">
        <v>9278</v>
      </c>
      <c r="N140" s="2" t="s">
        <v>9504</v>
      </c>
    </row>
    <row r="141" spans="1:14" ht="15.75" customHeight="1">
      <c r="A141" s="2" t="s">
        <v>9275</v>
      </c>
      <c r="B141" s="2" t="s">
        <v>9505</v>
      </c>
      <c r="C141" s="2" t="s">
        <v>9277</v>
      </c>
      <c r="D141" s="2">
        <v>0</v>
      </c>
      <c r="E141" s="2">
        <v>0</v>
      </c>
      <c r="F141" s="2">
        <v>16384</v>
      </c>
      <c r="G141" s="2">
        <v>0</v>
      </c>
      <c r="H141" s="2">
        <v>0</v>
      </c>
      <c r="I141" s="2">
        <v>0</v>
      </c>
      <c r="K141" s="275">
        <v>44294.709027777775</v>
      </c>
      <c r="M141" s="2" t="s">
        <v>9278</v>
      </c>
      <c r="N141" s="2" t="s">
        <v>9506</v>
      </c>
    </row>
    <row r="142" spans="1:14" ht="15.75" customHeight="1">
      <c r="A142" s="2" t="s">
        <v>9275</v>
      </c>
      <c r="B142" s="2" t="s">
        <v>9507</v>
      </c>
      <c r="C142" s="2" t="s">
        <v>9277</v>
      </c>
      <c r="D142" s="2">
        <v>0</v>
      </c>
      <c r="E142" s="2">
        <v>0</v>
      </c>
      <c r="F142" s="2">
        <v>16384</v>
      </c>
      <c r="G142" s="2">
        <v>0</v>
      </c>
      <c r="H142" s="2">
        <v>0</v>
      </c>
      <c r="I142" s="2">
        <v>0</v>
      </c>
      <c r="K142" s="275">
        <v>44294.709027777775</v>
      </c>
      <c r="M142" s="2" t="s">
        <v>9278</v>
      </c>
      <c r="N142" s="2" t="s">
        <v>9508</v>
      </c>
    </row>
    <row r="143" spans="1:14" ht="15.75" customHeight="1">
      <c r="A143" s="2" t="s">
        <v>9275</v>
      </c>
      <c r="B143" s="2" t="s">
        <v>9509</v>
      </c>
      <c r="C143" s="2" t="s">
        <v>9277</v>
      </c>
      <c r="D143" s="2">
        <v>0</v>
      </c>
      <c r="E143" s="2">
        <v>0</v>
      </c>
      <c r="F143" s="2">
        <v>16384</v>
      </c>
      <c r="G143" s="2">
        <v>0</v>
      </c>
      <c r="H143" s="2">
        <v>0</v>
      </c>
      <c r="I143" s="2">
        <v>0</v>
      </c>
      <c r="K143" s="275">
        <v>44294.709027777775</v>
      </c>
      <c r="M143" s="2" t="s">
        <v>9278</v>
      </c>
      <c r="N143" s="2" t="s">
        <v>9510</v>
      </c>
    </row>
    <row r="144" spans="1:14" ht="15.75" customHeight="1">
      <c r="A144" s="2" t="s">
        <v>9275</v>
      </c>
      <c r="B144" s="2" t="s">
        <v>9511</v>
      </c>
      <c r="C144" s="2" t="s">
        <v>9277</v>
      </c>
      <c r="D144" s="2">
        <v>0</v>
      </c>
      <c r="E144" s="2">
        <v>0</v>
      </c>
      <c r="F144" s="2">
        <v>16384</v>
      </c>
      <c r="G144" s="2">
        <v>0</v>
      </c>
      <c r="H144" s="2">
        <v>0</v>
      </c>
      <c r="I144" s="2">
        <v>0</v>
      </c>
      <c r="K144" s="275">
        <v>44294.709027777775</v>
      </c>
      <c r="M144" s="2" t="s">
        <v>9278</v>
      </c>
      <c r="N144" s="2" t="s">
        <v>9512</v>
      </c>
    </row>
    <row r="145" spans="1:14" ht="15.75" customHeight="1">
      <c r="A145" s="2" t="s">
        <v>9275</v>
      </c>
      <c r="B145" s="2" t="s">
        <v>9513</v>
      </c>
      <c r="C145" s="2" t="s">
        <v>9277</v>
      </c>
      <c r="D145" s="2">
        <v>0</v>
      </c>
      <c r="E145" s="2">
        <v>0</v>
      </c>
      <c r="F145" s="2">
        <v>16384</v>
      </c>
      <c r="G145" s="2">
        <v>0</v>
      </c>
      <c r="H145" s="2">
        <v>0</v>
      </c>
      <c r="I145" s="2">
        <v>0</v>
      </c>
      <c r="K145" s="275">
        <v>44294.709027777775</v>
      </c>
      <c r="M145" s="2" t="s">
        <v>9278</v>
      </c>
      <c r="N145" s="2" t="s">
        <v>9514</v>
      </c>
    </row>
    <row r="146" spans="1:14" ht="15.75" customHeight="1">
      <c r="A146" s="2" t="s">
        <v>9275</v>
      </c>
      <c r="B146" s="2" t="s">
        <v>9515</v>
      </c>
      <c r="C146" s="2" t="s">
        <v>9277</v>
      </c>
      <c r="D146" s="2">
        <v>0</v>
      </c>
      <c r="E146" s="2">
        <v>0</v>
      </c>
      <c r="F146" s="2">
        <v>16384</v>
      </c>
      <c r="G146" s="2">
        <v>0</v>
      </c>
      <c r="H146" s="2">
        <v>49152</v>
      </c>
      <c r="I146" s="2">
        <v>0</v>
      </c>
      <c r="K146" s="275">
        <v>44294.709027777775</v>
      </c>
      <c r="M146" s="2" t="s">
        <v>9278</v>
      </c>
      <c r="N146" s="2" t="s">
        <v>9516</v>
      </c>
    </row>
    <row r="147" spans="1:14" ht="15.75" customHeight="1">
      <c r="A147" s="2" t="s">
        <v>9275</v>
      </c>
      <c r="B147" s="2" t="s">
        <v>9517</v>
      </c>
      <c r="C147" s="2" t="s">
        <v>9277</v>
      </c>
      <c r="D147" s="2">
        <v>0</v>
      </c>
      <c r="E147" s="2">
        <v>0</v>
      </c>
      <c r="F147" s="2">
        <v>16384</v>
      </c>
      <c r="G147" s="2">
        <v>0</v>
      </c>
      <c r="H147" s="2">
        <v>0</v>
      </c>
      <c r="I147" s="2">
        <v>0</v>
      </c>
      <c r="K147" s="275">
        <v>44294.709027777775</v>
      </c>
      <c r="M147" s="2" t="s">
        <v>9278</v>
      </c>
      <c r="N147" s="2" t="s">
        <v>9518</v>
      </c>
    </row>
    <row r="148" spans="1:14" ht="15.75" customHeight="1">
      <c r="A148" s="2" t="s">
        <v>9275</v>
      </c>
      <c r="B148" s="2" t="s">
        <v>9519</v>
      </c>
      <c r="C148" s="2" t="s">
        <v>9277</v>
      </c>
      <c r="D148" s="2">
        <v>0</v>
      </c>
      <c r="E148" s="2">
        <v>0</v>
      </c>
      <c r="F148" s="2">
        <v>16384</v>
      </c>
      <c r="G148" s="2">
        <v>0</v>
      </c>
      <c r="H148" s="2">
        <v>0</v>
      </c>
      <c r="I148" s="2">
        <v>0</v>
      </c>
      <c r="K148" s="275">
        <v>44294.709027777775</v>
      </c>
      <c r="M148" s="2" t="s">
        <v>9278</v>
      </c>
      <c r="N148" s="2" t="s">
        <v>9520</v>
      </c>
    </row>
    <row r="149" spans="1:14" ht="15.75" customHeight="1">
      <c r="A149" s="2" t="s">
        <v>9275</v>
      </c>
      <c r="B149" s="2" t="s">
        <v>9521</v>
      </c>
      <c r="C149" s="2" t="s">
        <v>9277</v>
      </c>
      <c r="D149" s="2">
        <v>0</v>
      </c>
      <c r="E149" s="2">
        <v>0</v>
      </c>
      <c r="F149" s="2">
        <v>16384</v>
      </c>
      <c r="G149" s="2">
        <v>0</v>
      </c>
      <c r="H149" s="2">
        <v>0</v>
      </c>
      <c r="I149" s="2">
        <v>0</v>
      </c>
      <c r="K149" s="275">
        <v>44294.709027777775</v>
      </c>
      <c r="M149" s="2" t="s">
        <v>9278</v>
      </c>
      <c r="N149" s="2" t="s">
        <v>9522</v>
      </c>
    </row>
    <row r="150" spans="1:14" ht="15.75" customHeight="1">
      <c r="A150" s="2" t="s">
        <v>9275</v>
      </c>
      <c r="B150" s="2" t="s">
        <v>9523</v>
      </c>
      <c r="C150" s="2" t="s">
        <v>9277</v>
      </c>
      <c r="D150" s="2">
        <v>0</v>
      </c>
      <c r="E150" s="2">
        <v>0</v>
      </c>
      <c r="F150" s="2">
        <v>16384</v>
      </c>
      <c r="G150" s="2">
        <v>0</v>
      </c>
      <c r="H150" s="2">
        <v>0</v>
      </c>
      <c r="I150" s="2">
        <v>0</v>
      </c>
      <c r="K150" s="275">
        <v>44294.709027777775</v>
      </c>
      <c r="M150" s="2" t="s">
        <v>9278</v>
      </c>
      <c r="N150" s="2" t="s">
        <v>9524</v>
      </c>
    </row>
    <row r="151" spans="1:14" ht="15.75" customHeight="1">
      <c r="A151" s="2" t="s">
        <v>9275</v>
      </c>
      <c r="B151" s="2" t="s">
        <v>9525</v>
      </c>
      <c r="C151" s="2" t="s">
        <v>9277</v>
      </c>
      <c r="D151" s="2">
        <v>186946</v>
      </c>
      <c r="E151" s="2">
        <v>81</v>
      </c>
      <c r="F151" s="2">
        <v>15253504</v>
      </c>
      <c r="G151" s="2">
        <v>0</v>
      </c>
      <c r="H151" s="2">
        <v>25395200</v>
      </c>
      <c r="I151" s="2">
        <v>5242880</v>
      </c>
      <c r="K151" s="275">
        <v>44294.709027777775</v>
      </c>
      <c r="L151" s="275">
        <v>44448.28125</v>
      </c>
      <c r="M151" s="2" t="s">
        <v>9278</v>
      </c>
      <c r="N151" s="2" t="s">
        <v>9486</v>
      </c>
    </row>
    <row r="152" spans="1:14" ht="15.75" customHeight="1">
      <c r="A152" s="2" t="s">
        <v>9275</v>
      </c>
      <c r="B152" s="2" t="s">
        <v>9526</v>
      </c>
      <c r="C152" s="2" t="s">
        <v>9277</v>
      </c>
      <c r="D152" s="2">
        <v>0</v>
      </c>
      <c r="E152" s="2">
        <v>0</v>
      </c>
      <c r="F152" s="2">
        <v>16384</v>
      </c>
      <c r="G152" s="2">
        <v>0</v>
      </c>
      <c r="H152" s="2">
        <v>49152</v>
      </c>
      <c r="I152" s="2">
        <v>0</v>
      </c>
      <c r="K152" s="275">
        <v>44294.709027777775</v>
      </c>
      <c r="M152" s="2" t="s">
        <v>9278</v>
      </c>
      <c r="N152" s="2" t="s">
        <v>9527</v>
      </c>
    </row>
    <row r="153" spans="1:14" ht="15.75" customHeight="1">
      <c r="A153" s="2" t="s">
        <v>9275</v>
      </c>
      <c r="B153" s="2" t="s">
        <v>9528</v>
      </c>
      <c r="C153" s="2" t="s">
        <v>9277</v>
      </c>
      <c r="D153" s="2">
        <v>0</v>
      </c>
      <c r="E153" s="2">
        <v>0</v>
      </c>
      <c r="F153" s="2">
        <v>16384</v>
      </c>
      <c r="G153" s="2">
        <v>0</v>
      </c>
      <c r="H153" s="2">
        <v>32768</v>
      </c>
      <c r="I153" s="2">
        <v>0</v>
      </c>
      <c r="K153" s="275">
        <v>44294.709027777775</v>
      </c>
      <c r="M153" s="2" t="s">
        <v>9278</v>
      </c>
      <c r="N153" s="2" t="s">
        <v>9529</v>
      </c>
    </row>
    <row r="154" spans="1:14" ht="15.75" customHeight="1">
      <c r="A154" s="2" t="s">
        <v>9275</v>
      </c>
      <c r="B154" s="2" t="s">
        <v>9530</v>
      </c>
      <c r="C154" s="2" t="s">
        <v>9277</v>
      </c>
      <c r="D154" s="2">
        <v>1</v>
      </c>
      <c r="E154" s="2">
        <v>16384</v>
      </c>
      <c r="F154" s="2">
        <v>16384</v>
      </c>
      <c r="G154" s="2">
        <v>0</v>
      </c>
      <c r="H154" s="2">
        <v>16384</v>
      </c>
      <c r="I154" s="2">
        <v>0</v>
      </c>
      <c r="K154" s="275">
        <v>44294.709027777775</v>
      </c>
      <c r="L154" s="275">
        <v>44448.451388888891</v>
      </c>
      <c r="M154" s="2" t="s">
        <v>9278</v>
      </c>
      <c r="N154" s="2" t="s">
        <v>9531</v>
      </c>
    </row>
    <row r="155" spans="1:14" ht="15.75" customHeight="1">
      <c r="A155" s="2" t="s">
        <v>9275</v>
      </c>
      <c r="B155" s="2" t="s">
        <v>9532</v>
      </c>
      <c r="C155" s="2" t="s">
        <v>9277</v>
      </c>
      <c r="D155" s="2">
        <v>75</v>
      </c>
      <c r="E155" s="2">
        <v>218</v>
      </c>
      <c r="F155" s="2">
        <v>16384</v>
      </c>
      <c r="G155" s="2">
        <v>0</v>
      </c>
      <c r="H155" s="2">
        <v>49152</v>
      </c>
      <c r="I155" s="2">
        <v>0</v>
      </c>
      <c r="J155" s="2">
        <v>2715</v>
      </c>
      <c r="K155" s="275">
        <v>44294.709027777775</v>
      </c>
      <c r="L155" s="275">
        <v>44435.338194444441</v>
      </c>
      <c r="M155" s="2" t="s">
        <v>9278</v>
      </c>
      <c r="N155" s="2" t="s">
        <v>9533</v>
      </c>
    </row>
    <row r="156" spans="1:14" ht="15.75" customHeight="1">
      <c r="A156" s="2" t="s">
        <v>9275</v>
      </c>
      <c r="B156" s="2" t="s">
        <v>9534</v>
      </c>
      <c r="C156" s="2" t="s">
        <v>9277</v>
      </c>
      <c r="D156" s="2">
        <v>5</v>
      </c>
      <c r="E156" s="2">
        <v>3276</v>
      </c>
      <c r="F156" s="2">
        <v>16384</v>
      </c>
      <c r="G156" s="2">
        <v>0</v>
      </c>
      <c r="H156" s="2">
        <v>16384</v>
      </c>
      <c r="I156" s="2">
        <v>0</v>
      </c>
      <c r="J156" s="2">
        <v>6</v>
      </c>
      <c r="K156" s="275">
        <v>44294.709027777775</v>
      </c>
      <c r="M156" s="2" t="s">
        <v>9278</v>
      </c>
      <c r="N156" s="2" t="s">
        <v>9535</v>
      </c>
    </row>
    <row r="157" spans="1:14" ht="15.75" customHeight="1">
      <c r="A157" s="2" t="s">
        <v>9275</v>
      </c>
      <c r="B157" s="2" t="s">
        <v>9536</v>
      </c>
      <c r="C157" s="2" t="s">
        <v>9277</v>
      </c>
      <c r="D157" s="2">
        <v>0</v>
      </c>
      <c r="E157" s="2">
        <v>0</v>
      </c>
      <c r="F157" s="2">
        <v>16384</v>
      </c>
      <c r="G157" s="2">
        <v>0</v>
      </c>
      <c r="H157" s="2">
        <v>32768</v>
      </c>
      <c r="I157" s="2">
        <v>0</v>
      </c>
      <c r="J157" s="2">
        <v>1</v>
      </c>
      <c r="K157" s="275">
        <v>44294.709027777775</v>
      </c>
      <c r="M157" s="2" t="s">
        <v>9278</v>
      </c>
      <c r="N157" s="2" t="s">
        <v>9537</v>
      </c>
    </row>
    <row r="158" spans="1:14" ht="15.75" customHeight="1">
      <c r="A158" s="2" t="s">
        <v>9275</v>
      </c>
      <c r="B158" s="2" t="s">
        <v>9538</v>
      </c>
      <c r="C158" s="2" t="s">
        <v>9277</v>
      </c>
      <c r="D158" s="2">
        <v>75</v>
      </c>
      <c r="E158" s="2">
        <v>218</v>
      </c>
      <c r="F158" s="2">
        <v>16384</v>
      </c>
      <c r="G158" s="2">
        <v>0</v>
      </c>
      <c r="H158" s="2">
        <v>32768</v>
      </c>
      <c r="I158" s="2">
        <v>0</v>
      </c>
      <c r="J158" s="2">
        <v>3105</v>
      </c>
      <c r="K158" s="275">
        <v>44294.709027777775</v>
      </c>
      <c r="L158" s="275">
        <v>44435.338194444441</v>
      </c>
      <c r="M158" s="2" t="s">
        <v>9278</v>
      </c>
      <c r="N158" s="2" t="s">
        <v>9539</v>
      </c>
    </row>
    <row r="159" spans="1:14" ht="15.75" customHeight="1">
      <c r="A159" s="2" t="s">
        <v>9275</v>
      </c>
      <c r="B159" s="2" t="s">
        <v>9540</v>
      </c>
      <c r="C159" s="2" t="s">
        <v>9277</v>
      </c>
      <c r="D159" s="2">
        <v>0</v>
      </c>
      <c r="E159" s="2">
        <v>0</v>
      </c>
      <c r="F159" s="2">
        <v>16384</v>
      </c>
      <c r="G159" s="2">
        <v>0</v>
      </c>
      <c r="H159" s="2">
        <v>32768</v>
      </c>
      <c r="I159" s="2">
        <v>0</v>
      </c>
      <c r="J159" s="2">
        <v>1</v>
      </c>
      <c r="K159" s="275">
        <v>44294.709027777775</v>
      </c>
      <c r="M159" s="2" t="s">
        <v>9278</v>
      </c>
      <c r="N159" s="2" t="s">
        <v>9541</v>
      </c>
    </row>
    <row r="160" spans="1:14" ht="15.75" customHeight="1">
      <c r="A160" s="2" t="s">
        <v>9275</v>
      </c>
      <c r="B160" s="2" t="s">
        <v>9542</v>
      </c>
      <c r="C160" s="2" t="s">
        <v>9277</v>
      </c>
      <c r="D160" s="2">
        <v>4</v>
      </c>
      <c r="E160" s="2">
        <v>4096</v>
      </c>
      <c r="F160" s="2">
        <v>16384</v>
      </c>
      <c r="G160" s="2">
        <v>0</v>
      </c>
      <c r="H160" s="2">
        <v>0</v>
      </c>
      <c r="I160" s="2">
        <v>0</v>
      </c>
      <c r="J160" s="2">
        <v>6</v>
      </c>
      <c r="K160" s="275">
        <v>44294.709027777775</v>
      </c>
      <c r="M160" s="2" t="s">
        <v>9278</v>
      </c>
      <c r="N160" s="2" t="s">
        <v>9543</v>
      </c>
    </row>
    <row r="161" spans="1:14" ht="15.75" customHeight="1">
      <c r="A161" s="2" t="s">
        <v>9275</v>
      </c>
      <c r="B161" s="2" t="s">
        <v>9544</v>
      </c>
      <c r="C161" s="2" t="s">
        <v>9277</v>
      </c>
      <c r="D161" s="2">
        <v>0</v>
      </c>
      <c r="E161" s="2">
        <v>0</v>
      </c>
      <c r="F161" s="2">
        <v>16384</v>
      </c>
      <c r="G161" s="2">
        <v>0</v>
      </c>
      <c r="H161" s="2">
        <v>16384</v>
      </c>
      <c r="I161" s="2">
        <v>0</v>
      </c>
      <c r="J161" s="2">
        <v>1</v>
      </c>
      <c r="K161" s="275">
        <v>44294.709027777775</v>
      </c>
      <c r="M161" s="2" t="s">
        <v>9278</v>
      </c>
      <c r="N161" s="2" t="s">
        <v>9545</v>
      </c>
    </row>
    <row r="162" spans="1:14" ht="15.75" customHeight="1">
      <c r="A162" s="2" t="s">
        <v>9275</v>
      </c>
      <c r="B162" s="2" t="s">
        <v>9546</v>
      </c>
      <c r="C162" s="2" t="s">
        <v>9277</v>
      </c>
      <c r="D162" s="2">
        <v>0</v>
      </c>
      <c r="E162" s="2">
        <v>0</v>
      </c>
      <c r="F162" s="2">
        <v>16384</v>
      </c>
      <c r="G162" s="2">
        <v>0</v>
      </c>
      <c r="H162" s="2">
        <v>32768</v>
      </c>
      <c r="I162" s="2">
        <v>0</v>
      </c>
      <c r="J162" s="2">
        <v>1</v>
      </c>
      <c r="K162" s="275">
        <v>44294.709027777775</v>
      </c>
      <c r="M162" s="2" t="s">
        <v>9278</v>
      </c>
      <c r="N162" s="2" t="s">
        <v>9547</v>
      </c>
    </row>
    <row r="163" spans="1:14" ht="15.75" customHeight="1">
      <c r="A163" s="2" t="s">
        <v>9275</v>
      </c>
      <c r="B163" s="2" t="s">
        <v>9548</v>
      </c>
      <c r="C163" s="2" t="s">
        <v>9277</v>
      </c>
      <c r="D163" s="2">
        <v>0</v>
      </c>
      <c r="E163" s="2">
        <v>0</v>
      </c>
      <c r="F163" s="2">
        <v>16384</v>
      </c>
      <c r="G163" s="2">
        <v>0</v>
      </c>
      <c r="H163" s="2">
        <v>32768</v>
      </c>
      <c r="I163" s="2">
        <v>0</v>
      </c>
      <c r="J163" s="2">
        <v>1</v>
      </c>
      <c r="K163" s="275">
        <v>44294.709027777775</v>
      </c>
      <c r="M163" s="2" t="s">
        <v>9278</v>
      </c>
      <c r="N163" s="2" t="s">
        <v>9549</v>
      </c>
    </row>
    <row r="164" spans="1:14" ht="15.75" customHeight="1">
      <c r="A164" s="2" t="s">
        <v>9275</v>
      </c>
      <c r="B164" s="2" t="s">
        <v>9550</v>
      </c>
      <c r="C164" s="2" t="s">
        <v>9277</v>
      </c>
      <c r="D164" s="2">
        <v>0</v>
      </c>
      <c r="E164" s="2">
        <v>0</v>
      </c>
      <c r="F164" s="2">
        <v>16384</v>
      </c>
      <c r="G164" s="2">
        <v>0</v>
      </c>
      <c r="H164" s="2">
        <v>32768</v>
      </c>
      <c r="I164" s="2">
        <v>0</v>
      </c>
      <c r="J164" s="2">
        <v>1</v>
      </c>
      <c r="K164" s="275">
        <v>44294.709027777775</v>
      </c>
      <c r="M164" s="2" t="s">
        <v>9278</v>
      </c>
      <c r="N164" s="2" t="s">
        <v>9551</v>
      </c>
    </row>
    <row r="165" spans="1:14" ht="15.75" customHeight="1">
      <c r="A165" s="2" t="s">
        <v>9275</v>
      </c>
      <c r="B165" s="2" t="s">
        <v>9552</v>
      </c>
      <c r="C165" s="2" t="s">
        <v>9277</v>
      </c>
      <c r="D165" s="2">
        <v>0</v>
      </c>
      <c r="E165" s="2">
        <v>0</v>
      </c>
      <c r="F165" s="2">
        <v>16384</v>
      </c>
      <c r="G165" s="2">
        <v>0</v>
      </c>
      <c r="H165" s="2">
        <v>32768</v>
      </c>
      <c r="I165" s="2">
        <v>0</v>
      </c>
      <c r="J165" s="2">
        <v>1</v>
      </c>
      <c r="K165" s="275">
        <v>44294.709027777775</v>
      </c>
      <c r="M165" s="2" t="s">
        <v>9278</v>
      </c>
      <c r="N165" s="2" t="s">
        <v>9553</v>
      </c>
    </row>
    <row r="166" spans="1:14" ht="15.75" customHeight="1">
      <c r="A166" s="2" t="s">
        <v>9275</v>
      </c>
      <c r="B166" s="2" t="s">
        <v>9554</v>
      </c>
      <c r="C166" s="2" t="s">
        <v>9277</v>
      </c>
      <c r="D166" s="2">
        <v>0</v>
      </c>
      <c r="E166" s="2">
        <v>0</v>
      </c>
      <c r="F166" s="2">
        <v>16384</v>
      </c>
      <c r="G166" s="2">
        <v>0</v>
      </c>
      <c r="H166" s="2">
        <v>16384</v>
      </c>
      <c r="I166" s="2">
        <v>0</v>
      </c>
      <c r="J166" s="2">
        <v>1</v>
      </c>
      <c r="K166" s="275">
        <v>44294.709027777775</v>
      </c>
      <c r="M166" s="2" t="s">
        <v>9278</v>
      </c>
      <c r="N166" s="2" t="s">
        <v>9555</v>
      </c>
    </row>
    <row r="167" spans="1:14" ht="15.75" customHeight="1">
      <c r="A167" s="2" t="s">
        <v>9275</v>
      </c>
      <c r="B167" s="2" t="s">
        <v>9556</v>
      </c>
      <c r="C167" s="2" t="s">
        <v>9277</v>
      </c>
      <c r="D167" s="2">
        <v>219</v>
      </c>
      <c r="E167" s="2">
        <v>74</v>
      </c>
      <c r="F167" s="2">
        <v>16384</v>
      </c>
      <c r="G167" s="2">
        <v>0</v>
      </c>
      <c r="H167" s="2">
        <v>0</v>
      </c>
      <c r="I167" s="2">
        <v>5242880</v>
      </c>
      <c r="J167" s="2">
        <v>1403738</v>
      </c>
      <c r="K167" s="275">
        <v>44294.709027777775</v>
      </c>
      <c r="L167" s="275">
        <v>44448.451388888891</v>
      </c>
      <c r="M167" s="2" t="s">
        <v>9278</v>
      </c>
      <c r="N167" s="2" t="s">
        <v>9556</v>
      </c>
    </row>
    <row r="168" spans="1:14" ht="15.75" customHeight="1">
      <c r="A168" s="2" t="s">
        <v>9275</v>
      </c>
      <c r="B168" s="2" t="s">
        <v>9557</v>
      </c>
      <c r="C168" s="2" t="s">
        <v>9277</v>
      </c>
      <c r="D168" s="2">
        <v>0</v>
      </c>
      <c r="E168" s="2">
        <v>0</v>
      </c>
      <c r="F168" s="2">
        <v>16384</v>
      </c>
      <c r="G168" s="2">
        <v>0</v>
      </c>
      <c r="H168" s="2">
        <v>16384</v>
      </c>
      <c r="I168" s="2">
        <v>0</v>
      </c>
      <c r="K168" s="275">
        <v>44294.709027777775</v>
      </c>
      <c r="M168" s="2" t="s">
        <v>9278</v>
      </c>
      <c r="N168" s="2" t="s">
        <v>9558</v>
      </c>
    </row>
    <row r="169" spans="1:14" ht="15.75" customHeight="1">
      <c r="A169" s="2" t="s">
        <v>9275</v>
      </c>
      <c r="B169" s="2" t="s">
        <v>9559</v>
      </c>
      <c r="C169" s="2" t="s">
        <v>9277</v>
      </c>
      <c r="D169" s="2">
        <v>0</v>
      </c>
      <c r="E169" s="2">
        <v>0</v>
      </c>
      <c r="F169" s="2">
        <v>16384</v>
      </c>
      <c r="G169" s="2">
        <v>0</v>
      </c>
      <c r="H169" s="2">
        <v>16384</v>
      </c>
      <c r="I169" s="2">
        <v>0</v>
      </c>
      <c r="J169" s="2">
        <v>1</v>
      </c>
      <c r="K169" s="275">
        <v>44294.709027777775</v>
      </c>
      <c r="M169" s="2" t="s">
        <v>9278</v>
      </c>
      <c r="N169" s="2" t="s">
        <v>9560</v>
      </c>
    </row>
    <row r="170" spans="1:14" ht="15.75" customHeight="1">
      <c r="A170" s="2" t="s">
        <v>9275</v>
      </c>
      <c r="B170" s="2" t="s">
        <v>9561</v>
      </c>
      <c r="C170" s="2" t="s">
        <v>9277</v>
      </c>
      <c r="D170" s="2">
        <v>0</v>
      </c>
      <c r="E170" s="2">
        <v>0</v>
      </c>
      <c r="F170" s="2">
        <v>16384</v>
      </c>
      <c r="G170" s="2">
        <v>0</v>
      </c>
      <c r="H170" s="2">
        <v>32768</v>
      </c>
      <c r="I170" s="2">
        <v>0</v>
      </c>
      <c r="J170" s="2">
        <v>1</v>
      </c>
      <c r="K170" s="275">
        <v>44294.709027777775</v>
      </c>
      <c r="M170" s="2" t="s">
        <v>9278</v>
      </c>
      <c r="N170" s="2" t="s">
        <v>9562</v>
      </c>
    </row>
    <row r="171" spans="1:14" ht="15.75" customHeight="1">
      <c r="A171" s="2" t="s">
        <v>9275</v>
      </c>
      <c r="B171" s="2" t="s">
        <v>9563</v>
      </c>
      <c r="C171" s="2" t="s">
        <v>9277</v>
      </c>
      <c r="D171" s="2">
        <v>0</v>
      </c>
      <c r="E171" s="2">
        <v>0</v>
      </c>
      <c r="F171" s="2">
        <v>16384</v>
      </c>
      <c r="G171" s="2">
        <v>0</v>
      </c>
      <c r="H171" s="2">
        <v>32768</v>
      </c>
      <c r="I171" s="2">
        <v>0</v>
      </c>
      <c r="J171" s="2">
        <v>1</v>
      </c>
      <c r="K171" s="275">
        <v>44294.709027777775</v>
      </c>
      <c r="M171" s="2" t="s">
        <v>9278</v>
      </c>
      <c r="N171" s="2" t="s">
        <v>9564</v>
      </c>
    </row>
    <row r="172" spans="1:14" ht="15.75" customHeight="1">
      <c r="A172" s="2" t="s">
        <v>9275</v>
      </c>
      <c r="B172" s="2" t="s">
        <v>9565</v>
      </c>
      <c r="C172" s="2" t="s">
        <v>9277</v>
      </c>
      <c r="D172" s="2">
        <v>34040</v>
      </c>
      <c r="E172" s="2">
        <v>46</v>
      </c>
      <c r="F172" s="2">
        <v>1589248</v>
      </c>
      <c r="G172" s="2">
        <v>0</v>
      </c>
      <c r="H172" s="2">
        <v>491520</v>
      </c>
      <c r="I172" s="2">
        <v>4194304</v>
      </c>
      <c r="K172" s="275">
        <v>44294.709027777775</v>
      </c>
      <c r="L172" s="275">
        <v>44448.229861111111</v>
      </c>
      <c r="M172" s="2" t="s">
        <v>9278</v>
      </c>
      <c r="N172" s="2" t="s">
        <v>9566</v>
      </c>
    </row>
    <row r="173" spans="1:14" ht="15.75" customHeight="1">
      <c r="A173" s="2" t="s">
        <v>9275</v>
      </c>
      <c r="B173" s="2" t="s">
        <v>9567</v>
      </c>
      <c r="C173" s="2" t="s">
        <v>9277</v>
      </c>
      <c r="D173" s="2">
        <v>220414</v>
      </c>
      <c r="E173" s="2">
        <v>62</v>
      </c>
      <c r="F173" s="2">
        <v>13828096</v>
      </c>
      <c r="G173" s="2">
        <v>0</v>
      </c>
      <c r="H173" s="2">
        <v>20332544</v>
      </c>
      <c r="I173" s="2">
        <v>5242880</v>
      </c>
      <c r="K173" s="275">
        <v>44294.709027777775</v>
      </c>
      <c r="L173" s="275">
        <v>44448.441666666666</v>
      </c>
      <c r="M173" s="2" t="s">
        <v>9278</v>
      </c>
      <c r="N173" s="2" t="s">
        <v>9568</v>
      </c>
    </row>
    <row r="174" spans="1:14" ht="15.75" customHeight="1">
      <c r="A174" s="2" t="s">
        <v>9275</v>
      </c>
      <c r="B174" s="2" t="s">
        <v>9569</v>
      </c>
      <c r="C174" s="2" t="s">
        <v>9277</v>
      </c>
      <c r="D174" s="2">
        <v>1</v>
      </c>
      <c r="E174" s="2">
        <v>16384</v>
      </c>
      <c r="F174" s="2">
        <v>16384</v>
      </c>
      <c r="G174" s="2">
        <v>0</v>
      </c>
      <c r="H174" s="2">
        <v>16384</v>
      </c>
      <c r="I174" s="2">
        <v>0</v>
      </c>
      <c r="J174" s="2">
        <v>2</v>
      </c>
      <c r="K174" s="275">
        <v>44294.709027777775</v>
      </c>
      <c r="M174" s="2" t="s">
        <v>9278</v>
      </c>
      <c r="N174" s="2" t="s">
        <v>9570</v>
      </c>
    </row>
    <row r="175" spans="1:14" ht="15.75" customHeight="1">
      <c r="A175" s="2" t="s">
        <v>9275</v>
      </c>
      <c r="B175" s="2" t="s">
        <v>9571</v>
      </c>
      <c r="C175" s="2" t="s">
        <v>9277</v>
      </c>
      <c r="D175" s="2">
        <v>218</v>
      </c>
      <c r="E175" s="2">
        <v>75</v>
      </c>
      <c r="F175" s="2">
        <v>16384</v>
      </c>
      <c r="G175" s="2">
        <v>0</v>
      </c>
      <c r="H175" s="2">
        <v>0</v>
      </c>
      <c r="I175" s="2">
        <v>5242880</v>
      </c>
      <c r="J175" s="2">
        <v>626600</v>
      </c>
      <c r="K175" s="275">
        <v>44294.709027777775</v>
      </c>
      <c r="L175" s="275">
        <v>44448.451388888891</v>
      </c>
      <c r="M175" s="2" t="s">
        <v>9278</v>
      </c>
      <c r="N175" s="2" t="s">
        <v>9571</v>
      </c>
    </row>
    <row r="176" spans="1:14" ht="15.75" customHeight="1">
      <c r="A176" s="2" t="s">
        <v>9275</v>
      </c>
      <c r="B176" s="2" t="s">
        <v>9572</v>
      </c>
      <c r="C176" s="2" t="s">
        <v>9277</v>
      </c>
      <c r="D176" s="2">
        <v>35140</v>
      </c>
      <c r="E176" s="2">
        <v>134</v>
      </c>
      <c r="F176" s="2">
        <v>4734976</v>
      </c>
      <c r="G176" s="2">
        <v>0</v>
      </c>
      <c r="H176" s="2">
        <v>3964928</v>
      </c>
      <c r="I176" s="2">
        <v>4194304</v>
      </c>
      <c r="J176" s="2">
        <v>1157376</v>
      </c>
      <c r="K176" s="275">
        <v>44294.709027777775</v>
      </c>
      <c r="L176" s="275">
        <v>44448.451388888891</v>
      </c>
      <c r="M176" s="2" t="s">
        <v>9278</v>
      </c>
      <c r="N176" s="2" t="s">
        <v>9573</v>
      </c>
    </row>
    <row r="177" spans="1:14" ht="15.75" customHeight="1">
      <c r="A177" s="2" t="s">
        <v>9275</v>
      </c>
      <c r="B177" s="2" t="s">
        <v>9574</v>
      </c>
      <c r="C177" s="2" t="s">
        <v>9277</v>
      </c>
      <c r="D177" s="2">
        <v>32635</v>
      </c>
      <c r="E177" s="2">
        <v>48</v>
      </c>
      <c r="F177" s="2">
        <v>1589248</v>
      </c>
      <c r="G177" s="2">
        <v>0</v>
      </c>
      <c r="H177" s="2">
        <v>2572288</v>
      </c>
      <c r="I177" s="2">
        <v>4194304</v>
      </c>
      <c r="K177" s="275">
        <v>44294.709027777775</v>
      </c>
      <c r="L177" s="275">
        <v>44448.451388888891</v>
      </c>
      <c r="M177" s="2" t="s">
        <v>9278</v>
      </c>
      <c r="N177" s="2" t="s">
        <v>9575</v>
      </c>
    </row>
    <row r="178" spans="1:14" ht="15.75" customHeight="1">
      <c r="A178" s="2" t="s">
        <v>9275</v>
      </c>
      <c r="B178" s="2" t="s">
        <v>9576</v>
      </c>
      <c r="C178" s="2" t="s">
        <v>9277</v>
      </c>
      <c r="D178" s="2">
        <v>0</v>
      </c>
      <c r="E178" s="2">
        <v>0</v>
      </c>
      <c r="F178" s="2">
        <v>16384</v>
      </c>
      <c r="G178" s="2">
        <v>0</v>
      </c>
      <c r="H178" s="2">
        <v>32768</v>
      </c>
      <c r="I178" s="2">
        <v>0</v>
      </c>
      <c r="K178" s="275">
        <v>44294.709027777775</v>
      </c>
      <c r="M178" s="2" t="s">
        <v>9278</v>
      </c>
      <c r="N178" s="2" t="s">
        <v>9577</v>
      </c>
    </row>
    <row r="179" spans="1:14" ht="15.75" customHeight="1">
      <c r="A179" s="2" t="s">
        <v>9275</v>
      </c>
      <c r="B179" s="2" t="s">
        <v>9578</v>
      </c>
      <c r="C179" s="2" t="s">
        <v>9277</v>
      </c>
      <c r="D179" s="2">
        <v>32600</v>
      </c>
      <c r="E179" s="2">
        <v>48</v>
      </c>
      <c r="F179" s="2">
        <v>1589248</v>
      </c>
      <c r="G179" s="2">
        <v>0</v>
      </c>
      <c r="H179" s="2">
        <v>4030464</v>
      </c>
      <c r="I179" s="2">
        <v>4194304</v>
      </c>
      <c r="K179" s="275">
        <v>44294.709027777775</v>
      </c>
      <c r="L179" s="275">
        <v>44448.281944444447</v>
      </c>
      <c r="M179" s="2" t="s">
        <v>9278</v>
      </c>
      <c r="N179" s="2" t="s">
        <v>9575</v>
      </c>
    </row>
    <row r="180" spans="1:14" ht="15.75" customHeight="1">
      <c r="A180" s="2" t="s">
        <v>9275</v>
      </c>
      <c r="B180" s="2" t="s">
        <v>9579</v>
      </c>
      <c r="C180" s="2" t="s">
        <v>9277</v>
      </c>
      <c r="D180" s="2">
        <v>0</v>
      </c>
      <c r="E180" s="2">
        <v>0</v>
      </c>
      <c r="F180" s="2">
        <v>16384</v>
      </c>
      <c r="G180" s="2">
        <v>0</v>
      </c>
      <c r="H180" s="2">
        <v>32768</v>
      </c>
      <c r="I180" s="2">
        <v>4194304</v>
      </c>
      <c r="K180" s="275">
        <v>44294.709027777775</v>
      </c>
      <c r="L180" s="275">
        <v>44448.281944444447</v>
      </c>
      <c r="M180" s="2" t="s">
        <v>9278</v>
      </c>
      <c r="N180" s="2" t="s">
        <v>9580</v>
      </c>
    </row>
    <row r="181" spans="1:14" ht="15.75" customHeight="1">
      <c r="A181" s="2" t="s">
        <v>9275</v>
      </c>
      <c r="B181" s="2" t="s">
        <v>9581</v>
      </c>
      <c r="C181" s="2" t="s">
        <v>9277</v>
      </c>
      <c r="D181" s="2">
        <v>12</v>
      </c>
      <c r="E181" s="2">
        <v>1365</v>
      </c>
      <c r="F181" s="2">
        <v>16384</v>
      </c>
      <c r="G181" s="2">
        <v>0</v>
      </c>
      <c r="H181" s="2">
        <v>16384</v>
      </c>
      <c r="I181" s="2">
        <v>0</v>
      </c>
      <c r="J181" s="2">
        <v>13</v>
      </c>
      <c r="K181" s="275">
        <v>44294.709027777775</v>
      </c>
      <c r="M181" s="2" t="s">
        <v>9278</v>
      </c>
      <c r="N181" s="2" t="s">
        <v>9582</v>
      </c>
    </row>
    <row r="182" spans="1:14" ht="15.75" customHeight="1">
      <c r="A182" s="2" t="s">
        <v>9275</v>
      </c>
      <c r="B182" s="2" t="s">
        <v>9583</v>
      </c>
      <c r="C182" s="2" t="s">
        <v>9277</v>
      </c>
      <c r="D182" s="2">
        <v>60</v>
      </c>
      <c r="E182" s="2">
        <v>273</v>
      </c>
      <c r="F182" s="2">
        <v>16384</v>
      </c>
      <c r="G182" s="2">
        <v>0</v>
      </c>
      <c r="H182" s="2">
        <v>16384</v>
      </c>
      <c r="I182" s="2">
        <v>0</v>
      </c>
      <c r="K182" s="275">
        <v>44294.709027777775</v>
      </c>
      <c r="M182" s="2" t="s">
        <v>9278</v>
      </c>
      <c r="N182" s="2" t="s">
        <v>9584</v>
      </c>
    </row>
    <row r="183" spans="1:14" ht="15.75" customHeight="1">
      <c r="A183" s="2" t="s">
        <v>9275</v>
      </c>
      <c r="B183" s="2" t="s">
        <v>9585</v>
      </c>
      <c r="C183" s="2" t="s">
        <v>9277</v>
      </c>
      <c r="D183" s="2">
        <v>0</v>
      </c>
      <c r="E183" s="2">
        <v>0</v>
      </c>
      <c r="F183" s="2">
        <v>16384</v>
      </c>
      <c r="G183" s="2">
        <v>0</v>
      </c>
      <c r="H183" s="2">
        <v>32768</v>
      </c>
      <c r="I183" s="2">
        <v>0</v>
      </c>
      <c r="K183" s="275">
        <v>44448.281944444447</v>
      </c>
      <c r="M183" s="2" t="s">
        <v>9278</v>
      </c>
      <c r="N183" s="2" t="s">
        <v>9586</v>
      </c>
    </row>
    <row r="184" spans="1:14" ht="15.75" customHeight="1">
      <c r="A184" s="2" t="s">
        <v>9275</v>
      </c>
      <c r="B184" s="2" t="s">
        <v>9587</v>
      </c>
      <c r="C184" s="2" t="s">
        <v>9277</v>
      </c>
      <c r="D184" s="2">
        <v>0</v>
      </c>
      <c r="E184" s="2">
        <v>0</v>
      </c>
      <c r="F184" s="2">
        <v>16384</v>
      </c>
      <c r="G184" s="2">
        <v>0</v>
      </c>
      <c r="H184" s="2">
        <v>32768</v>
      </c>
      <c r="I184" s="2">
        <v>0</v>
      </c>
      <c r="K184" s="275">
        <v>44294.709027777775</v>
      </c>
      <c r="M184" s="2" t="s">
        <v>9278</v>
      </c>
      <c r="N184" s="2" t="s">
        <v>9586</v>
      </c>
    </row>
    <row r="185" spans="1:14" ht="15.75" customHeight="1">
      <c r="A185" s="2" t="s">
        <v>9275</v>
      </c>
      <c r="B185" s="2" t="s">
        <v>9588</v>
      </c>
      <c r="C185" s="2" t="s">
        <v>9277</v>
      </c>
      <c r="D185" s="2">
        <v>331</v>
      </c>
      <c r="E185" s="2">
        <v>197</v>
      </c>
      <c r="F185" s="2">
        <v>65536</v>
      </c>
      <c r="G185" s="2">
        <v>0</v>
      </c>
      <c r="H185" s="2">
        <v>98304</v>
      </c>
      <c r="I185" s="2">
        <v>0</v>
      </c>
      <c r="J185" s="2">
        <v>332</v>
      </c>
      <c r="K185" s="275">
        <v>44448.281944444447</v>
      </c>
      <c r="L185" s="275">
        <v>44448.281944444447</v>
      </c>
      <c r="M185" s="2" t="s">
        <v>9278</v>
      </c>
      <c r="N185" s="2" t="s">
        <v>9589</v>
      </c>
    </row>
    <row r="186" spans="1:14" ht="15.75" customHeight="1">
      <c r="A186" s="2" t="s">
        <v>9275</v>
      </c>
      <c r="B186" s="2" t="s">
        <v>9590</v>
      </c>
      <c r="C186" s="2" t="s">
        <v>9277</v>
      </c>
      <c r="D186" s="2">
        <v>4</v>
      </c>
      <c r="E186" s="2">
        <v>4096</v>
      </c>
      <c r="F186" s="2">
        <v>16384</v>
      </c>
      <c r="G186" s="2">
        <v>0</v>
      </c>
      <c r="H186" s="2">
        <v>0</v>
      </c>
      <c r="I186" s="2">
        <v>7340032</v>
      </c>
      <c r="J186" s="2">
        <v>1591149</v>
      </c>
      <c r="K186" s="275">
        <v>44294.709027777775</v>
      </c>
      <c r="L186" s="275">
        <v>44448.441666666666</v>
      </c>
      <c r="M186" s="2" t="s">
        <v>9278</v>
      </c>
      <c r="N186" s="2" t="s">
        <v>9590</v>
      </c>
    </row>
    <row r="187" spans="1:14" ht="15.75" customHeight="1">
      <c r="A187" s="2" t="s">
        <v>9275</v>
      </c>
      <c r="B187" s="2" t="s">
        <v>9591</v>
      </c>
      <c r="C187" s="2" t="s">
        <v>9277</v>
      </c>
      <c r="D187" s="2">
        <v>0</v>
      </c>
      <c r="E187" s="2">
        <v>0</v>
      </c>
      <c r="F187" s="2">
        <v>16384</v>
      </c>
      <c r="G187" s="2">
        <v>0</v>
      </c>
      <c r="H187" s="2">
        <v>65536</v>
      </c>
      <c r="I187" s="2">
        <v>0</v>
      </c>
      <c r="J187" s="2">
        <v>1</v>
      </c>
      <c r="K187" s="275">
        <v>44448.281944444447</v>
      </c>
      <c r="M187" s="2" t="s">
        <v>9278</v>
      </c>
      <c r="N187" s="2" t="s">
        <v>9592</v>
      </c>
    </row>
    <row r="188" spans="1:14" ht="15.75" customHeight="1">
      <c r="A188" s="2" t="s">
        <v>9275</v>
      </c>
      <c r="B188" s="2" t="s">
        <v>9593</v>
      </c>
      <c r="C188" s="2" t="s">
        <v>9277</v>
      </c>
      <c r="D188" s="2">
        <v>0</v>
      </c>
      <c r="E188" s="2">
        <v>0</v>
      </c>
      <c r="F188" s="2">
        <v>16384</v>
      </c>
      <c r="G188" s="2">
        <v>0</v>
      </c>
      <c r="H188" s="2">
        <v>65536</v>
      </c>
      <c r="I188" s="2">
        <v>0</v>
      </c>
      <c r="J188" s="2">
        <v>1</v>
      </c>
      <c r="K188" s="275">
        <v>44294.709027777775</v>
      </c>
      <c r="M188" s="2" t="s">
        <v>9278</v>
      </c>
      <c r="N188" s="2" t="s">
        <v>9592</v>
      </c>
    </row>
    <row r="189" spans="1:14" ht="15.75" customHeight="1">
      <c r="A189" s="2" t="s">
        <v>9275</v>
      </c>
      <c r="B189" s="2" t="s">
        <v>9594</v>
      </c>
      <c r="C189" s="2" t="s">
        <v>9277</v>
      </c>
      <c r="D189" s="2">
        <v>0</v>
      </c>
      <c r="E189" s="2">
        <v>0</v>
      </c>
      <c r="F189" s="2">
        <v>16384</v>
      </c>
      <c r="G189" s="2">
        <v>0</v>
      </c>
      <c r="H189" s="2">
        <v>98304</v>
      </c>
      <c r="I189" s="2">
        <v>0</v>
      </c>
      <c r="J189" s="2">
        <v>1</v>
      </c>
      <c r="K189" s="275">
        <v>44294.709027777775</v>
      </c>
      <c r="M189" s="2" t="s">
        <v>9278</v>
      </c>
      <c r="N189" s="2" t="s">
        <v>9589</v>
      </c>
    </row>
    <row r="190" spans="1:14" ht="15.75" customHeight="1">
      <c r="A190" s="2" t="s">
        <v>9275</v>
      </c>
      <c r="B190" s="2" t="s">
        <v>9595</v>
      </c>
      <c r="C190" s="2" t="s">
        <v>9277</v>
      </c>
      <c r="D190" s="2">
        <v>0</v>
      </c>
      <c r="E190" s="2">
        <v>0</v>
      </c>
      <c r="F190" s="2">
        <v>16384</v>
      </c>
      <c r="G190" s="2">
        <v>0</v>
      </c>
      <c r="H190" s="2">
        <v>0</v>
      </c>
      <c r="I190" s="2">
        <v>0</v>
      </c>
      <c r="J190" s="2">
        <v>1</v>
      </c>
      <c r="K190" s="275">
        <v>44294.709027777775</v>
      </c>
      <c r="M190" s="2" t="s">
        <v>9278</v>
      </c>
      <c r="N190" s="2" t="s">
        <v>9595</v>
      </c>
    </row>
    <row r="191" spans="1:14" ht="15.75" customHeight="1">
      <c r="A191" s="2" t="s">
        <v>9275</v>
      </c>
      <c r="B191" s="2" t="s">
        <v>9596</v>
      </c>
      <c r="C191" s="2" t="s">
        <v>9277</v>
      </c>
      <c r="D191" s="2">
        <v>12</v>
      </c>
      <c r="E191" s="2">
        <v>1365</v>
      </c>
      <c r="F191" s="2">
        <v>16384</v>
      </c>
      <c r="G191" s="2">
        <v>0</v>
      </c>
      <c r="H191" s="2">
        <v>16384</v>
      </c>
      <c r="I191" s="2">
        <v>0</v>
      </c>
      <c r="K191" s="275">
        <v>44294.709027777775</v>
      </c>
      <c r="M191" s="2" t="s">
        <v>9278</v>
      </c>
      <c r="N191" s="2" t="s">
        <v>9597</v>
      </c>
    </row>
    <row r="192" spans="1:14" ht="15.75" customHeight="1">
      <c r="A192" s="2" t="s">
        <v>9275</v>
      </c>
      <c r="B192" s="2" t="s">
        <v>9598</v>
      </c>
      <c r="C192" s="2" t="s">
        <v>9277</v>
      </c>
      <c r="D192" s="2">
        <v>221</v>
      </c>
      <c r="E192" s="2">
        <v>74</v>
      </c>
      <c r="F192" s="2">
        <v>16384</v>
      </c>
      <c r="G192" s="2">
        <v>0</v>
      </c>
      <c r="H192" s="2">
        <v>0</v>
      </c>
      <c r="I192" s="2">
        <v>7340032</v>
      </c>
      <c r="J192" s="2">
        <v>1965986</v>
      </c>
      <c r="K192" s="275">
        <v>44294.709027777775</v>
      </c>
      <c r="L192" s="275">
        <v>44448.451388888891</v>
      </c>
      <c r="M192" s="2" t="s">
        <v>9278</v>
      </c>
      <c r="N192" s="2" t="s">
        <v>9598</v>
      </c>
    </row>
    <row r="193" spans="1:14" ht="15.75" customHeight="1">
      <c r="A193" s="2" t="s">
        <v>9275</v>
      </c>
      <c r="B193" s="2" t="s">
        <v>9599</v>
      </c>
      <c r="C193" s="2" t="s">
        <v>9277</v>
      </c>
      <c r="D193" s="2">
        <v>0</v>
      </c>
      <c r="E193" s="2">
        <v>0</v>
      </c>
      <c r="F193" s="2">
        <v>16384</v>
      </c>
      <c r="G193" s="2">
        <v>0</v>
      </c>
      <c r="H193" s="2">
        <v>32768</v>
      </c>
      <c r="I193" s="2">
        <v>0</v>
      </c>
      <c r="J193" s="2">
        <v>1</v>
      </c>
      <c r="K193" s="275">
        <v>44294.709027777775</v>
      </c>
      <c r="M193" s="2" t="s">
        <v>9278</v>
      </c>
      <c r="N193" s="2" t="s">
        <v>9600</v>
      </c>
    </row>
    <row r="194" spans="1:14" ht="15.75" customHeight="1">
      <c r="A194" s="2" t="s">
        <v>9275</v>
      </c>
      <c r="B194" s="2" t="s">
        <v>9601</v>
      </c>
      <c r="C194" s="2" t="s">
        <v>9277</v>
      </c>
      <c r="D194" s="2">
        <v>0</v>
      </c>
      <c r="E194" s="2">
        <v>0</v>
      </c>
      <c r="F194" s="2">
        <v>16384</v>
      </c>
      <c r="G194" s="2">
        <v>0</v>
      </c>
      <c r="H194" s="2">
        <v>0</v>
      </c>
      <c r="I194" s="2">
        <v>0</v>
      </c>
      <c r="J194" s="2">
        <v>1</v>
      </c>
      <c r="K194" s="275">
        <v>44294.709027777775</v>
      </c>
      <c r="M194" s="2" t="s">
        <v>9278</v>
      </c>
      <c r="N194" s="2" t="s">
        <v>9602</v>
      </c>
    </row>
    <row r="195" spans="1:14" ht="15.75" customHeight="1">
      <c r="A195" s="2" t="s">
        <v>9275</v>
      </c>
      <c r="B195" s="2" t="s">
        <v>9603</v>
      </c>
      <c r="C195" s="2" t="s">
        <v>9277</v>
      </c>
      <c r="D195" s="2">
        <v>0</v>
      </c>
      <c r="E195" s="2">
        <v>0</v>
      </c>
      <c r="F195" s="2">
        <v>16384</v>
      </c>
      <c r="G195" s="2">
        <v>0</v>
      </c>
      <c r="H195" s="2">
        <v>16384</v>
      </c>
      <c r="I195" s="2">
        <v>0</v>
      </c>
      <c r="K195" s="275">
        <v>44294.709027777775</v>
      </c>
      <c r="M195" s="2" t="s">
        <v>9278</v>
      </c>
      <c r="N195" s="2" t="s">
        <v>9604</v>
      </c>
    </row>
    <row r="196" spans="1:14" ht="15.75" customHeight="1">
      <c r="A196" s="2" t="s">
        <v>9275</v>
      </c>
      <c r="B196" s="2" t="s">
        <v>9605</v>
      </c>
      <c r="C196" s="2" t="s">
        <v>9277</v>
      </c>
      <c r="D196" s="2">
        <v>52</v>
      </c>
      <c r="E196" s="2">
        <v>2205</v>
      </c>
      <c r="F196" s="2">
        <v>114688</v>
      </c>
      <c r="G196" s="2">
        <v>0</v>
      </c>
      <c r="H196" s="2">
        <v>16384</v>
      </c>
      <c r="I196" s="2">
        <v>0</v>
      </c>
      <c r="J196" s="2">
        <v>77</v>
      </c>
      <c r="K196" s="275">
        <v>44294.709027777775</v>
      </c>
      <c r="L196" s="275">
        <v>44440.025000000001</v>
      </c>
      <c r="M196" s="2" t="s">
        <v>9278</v>
      </c>
      <c r="N196" s="2" t="s">
        <v>9606</v>
      </c>
    </row>
    <row r="197" spans="1:14" ht="15.75" customHeight="1">
      <c r="A197" s="2" t="s">
        <v>9275</v>
      </c>
      <c r="B197" s="2" t="s">
        <v>9607</v>
      </c>
      <c r="C197" s="2" t="s">
        <v>9277</v>
      </c>
      <c r="D197" s="2">
        <v>53</v>
      </c>
      <c r="E197" s="2">
        <v>309</v>
      </c>
      <c r="F197" s="2">
        <v>16384</v>
      </c>
      <c r="G197" s="2">
        <v>0</v>
      </c>
      <c r="H197" s="2">
        <v>16384</v>
      </c>
      <c r="I197" s="2">
        <v>0</v>
      </c>
      <c r="K197" s="275">
        <v>44294.709027777775</v>
      </c>
      <c r="M197" s="2" t="s">
        <v>9278</v>
      </c>
      <c r="N197" s="2" t="s">
        <v>9608</v>
      </c>
    </row>
    <row r="198" spans="1:14" ht="15.75" customHeight="1">
      <c r="A198" s="2" t="s">
        <v>9275</v>
      </c>
      <c r="B198" s="2" t="s">
        <v>9609</v>
      </c>
      <c r="C198" s="2" t="s">
        <v>9277</v>
      </c>
      <c r="D198" s="2">
        <v>103</v>
      </c>
      <c r="E198" s="2">
        <v>14157</v>
      </c>
      <c r="F198" s="2">
        <v>1458176</v>
      </c>
      <c r="G198" s="2">
        <v>0</v>
      </c>
      <c r="H198" s="2">
        <v>32768</v>
      </c>
      <c r="I198" s="2">
        <v>4194304</v>
      </c>
      <c r="J198" s="2">
        <v>146</v>
      </c>
      <c r="K198" s="275">
        <v>44294.709027777775</v>
      </c>
      <c r="L198" s="275">
        <v>44442.20416666667</v>
      </c>
      <c r="M198" s="2" t="s">
        <v>9278</v>
      </c>
      <c r="N198" s="2" t="s">
        <v>9610</v>
      </c>
    </row>
    <row r="199" spans="1:14" ht="15.75" customHeight="1">
      <c r="A199" s="2" t="s">
        <v>9275</v>
      </c>
      <c r="B199" s="2" t="s">
        <v>9611</v>
      </c>
      <c r="C199" s="2" t="s">
        <v>9277</v>
      </c>
      <c r="D199" s="2">
        <v>129</v>
      </c>
      <c r="E199" s="2">
        <v>127</v>
      </c>
      <c r="F199" s="2">
        <v>16384</v>
      </c>
      <c r="G199" s="2">
        <v>0</v>
      </c>
      <c r="H199" s="2">
        <v>16384</v>
      </c>
      <c r="I199" s="2">
        <v>0</v>
      </c>
      <c r="K199" s="275">
        <v>44294.709027777775</v>
      </c>
      <c r="L199" s="275">
        <v>44442.1</v>
      </c>
      <c r="M199" s="2" t="s">
        <v>9278</v>
      </c>
      <c r="N199" s="2" t="s">
        <v>9612</v>
      </c>
    </row>
    <row r="200" spans="1:14" ht="15.75" customHeight="1">
      <c r="A200" s="2" t="s">
        <v>9275</v>
      </c>
      <c r="B200" s="2" t="s">
        <v>9613</v>
      </c>
      <c r="C200" s="2" t="s">
        <v>9277</v>
      </c>
      <c r="D200" s="2">
        <v>743</v>
      </c>
      <c r="E200" s="2">
        <v>154</v>
      </c>
      <c r="F200" s="2">
        <v>114688</v>
      </c>
      <c r="G200" s="2">
        <v>0</v>
      </c>
      <c r="H200" s="2">
        <v>98304</v>
      </c>
      <c r="I200" s="2">
        <v>0</v>
      </c>
      <c r="J200" s="2">
        <v>756</v>
      </c>
      <c r="K200" s="275">
        <v>44294.709027777775</v>
      </c>
      <c r="L200" s="275">
        <v>44448.234722222223</v>
      </c>
      <c r="M200" s="2" t="s">
        <v>9278</v>
      </c>
      <c r="N200" s="2" t="s">
        <v>9614</v>
      </c>
    </row>
    <row r="201" spans="1:14" ht="15.75" customHeight="1">
      <c r="A201" s="2" t="s">
        <v>9275</v>
      </c>
      <c r="B201" s="2" t="s">
        <v>9615</v>
      </c>
      <c r="C201" s="2" t="s">
        <v>9277</v>
      </c>
      <c r="D201" s="2">
        <v>3605</v>
      </c>
      <c r="E201" s="2">
        <v>295</v>
      </c>
      <c r="F201" s="2">
        <v>1064960</v>
      </c>
      <c r="G201" s="2">
        <v>0</v>
      </c>
      <c r="H201" s="2">
        <v>393216</v>
      </c>
      <c r="I201" s="2">
        <v>4194304</v>
      </c>
      <c r="J201" s="2">
        <v>5850635</v>
      </c>
      <c r="K201" s="275">
        <v>44336.703472222223</v>
      </c>
      <c r="L201" s="275">
        <v>44448.451388888891</v>
      </c>
      <c r="M201" s="2" t="s">
        <v>9278</v>
      </c>
      <c r="N201" s="2" t="s">
        <v>9616</v>
      </c>
    </row>
    <row r="202" spans="1:14" ht="15.75" customHeight="1">
      <c r="A202" s="2" t="s">
        <v>9275</v>
      </c>
      <c r="B202" s="2" t="s">
        <v>9617</v>
      </c>
      <c r="C202" s="2" t="s">
        <v>9277</v>
      </c>
      <c r="D202" s="2">
        <v>2511</v>
      </c>
      <c r="E202" s="2">
        <v>632</v>
      </c>
      <c r="F202" s="2">
        <v>1589248</v>
      </c>
      <c r="G202" s="2">
        <v>0</v>
      </c>
      <c r="H202" s="2">
        <v>65536</v>
      </c>
      <c r="I202" s="2">
        <v>5242880</v>
      </c>
      <c r="J202" s="2">
        <v>9389</v>
      </c>
      <c r="K202" s="275">
        <v>44413.683333333334</v>
      </c>
      <c r="L202" s="275">
        <v>44448.445138888892</v>
      </c>
      <c r="M202" s="2" t="s">
        <v>9278</v>
      </c>
      <c r="N202" s="2" t="s">
        <v>9618</v>
      </c>
    </row>
    <row r="203" spans="1:14" ht="15.75" customHeight="1">
      <c r="A203" s="2" t="s">
        <v>9275</v>
      </c>
      <c r="B203" s="2" t="s">
        <v>9619</v>
      </c>
      <c r="C203" s="2" t="s">
        <v>9277</v>
      </c>
      <c r="D203" s="2">
        <v>0</v>
      </c>
      <c r="E203" s="2">
        <v>0</v>
      </c>
      <c r="F203" s="2">
        <v>16384</v>
      </c>
      <c r="G203" s="2">
        <v>0</v>
      </c>
      <c r="H203" s="2">
        <v>49152</v>
      </c>
      <c r="I203" s="2">
        <v>0</v>
      </c>
      <c r="J203" s="2">
        <v>1</v>
      </c>
      <c r="K203" s="275">
        <v>44294.709027777775</v>
      </c>
      <c r="M203" s="2" t="s">
        <v>9278</v>
      </c>
      <c r="N203" s="2" t="s">
        <v>9620</v>
      </c>
    </row>
    <row r="204" spans="1:14" ht="15.75" customHeight="1">
      <c r="A204" s="2" t="s">
        <v>9275</v>
      </c>
      <c r="B204" s="2" t="s">
        <v>9621</v>
      </c>
      <c r="C204" s="2" t="s">
        <v>9277</v>
      </c>
      <c r="D204" s="2">
        <v>0</v>
      </c>
      <c r="E204" s="2">
        <v>0</v>
      </c>
      <c r="F204" s="2">
        <v>16384</v>
      </c>
      <c r="G204" s="2">
        <v>0</v>
      </c>
      <c r="H204" s="2">
        <v>49152</v>
      </c>
      <c r="I204" s="2">
        <v>0</v>
      </c>
      <c r="J204" s="2">
        <v>1</v>
      </c>
      <c r="K204" s="275">
        <v>44294.709027777775</v>
      </c>
      <c r="M204" s="2" t="s">
        <v>9278</v>
      </c>
      <c r="N204" s="2" t="s">
        <v>9622</v>
      </c>
    </row>
    <row r="205" spans="1:14" ht="15.75" customHeight="1">
      <c r="A205" s="2" t="s">
        <v>9275</v>
      </c>
      <c r="B205" s="2" t="s">
        <v>9623</v>
      </c>
      <c r="C205" s="2" t="s">
        <v>9277</v>
      </c>
      <c r="D205" s="2">
        <v>0</v>
      </c>
      <c r="E205" s="2">
        <v>0</v>
      </c>
      <c r="F205" s="2">
        <v>16384</v>
      </c>
      <c r="G205" s="2">
        <v>0</v>
      </c>
      <c r="H205" s="2">
        <v>49152</v>
      </c>
      <c r="I205" s="2">
        <v>0</v>
      </c>
      <c r="J205" s="2">
        <v>1</v>
      </c>
      <c r="K205" s="275">
        <v>44294.709027777775</v>
      </c>
      <c r="M205" s="2" t="s">
        <v>9278</v>
      </c>
      <c r="N205" s="2" t="s">
        <v>9624</v>
      </c>
    </row>
    <row r="206" spans="1:14" ht="15.75" customHeight="1">
      <c r="A206" s="2" t="s">
        <v>9275</v>
      </c>
      <c r="B206" s="2" t="s">
        <v>9625</v>
      </c>
      <c r="C206" s="2" t="s">
        <v>9277</v>
      </c>
      <c r="D206" s="2">
        <v>0</v>
      </c>
      <c r="E206" s="2">
        <v>0</v>
      </c>
      <c r="F206" s="2">
        <v>16384</v>
      </c>
      <c r="G206" s="2">
        <v>0</v>
      </c>
      <c r="H206" s="2">
        <v>32768</v>
      </c>
      <c r="I206" s="2">
        <v>0</v>
      </c>
      <c r="J206" s="2">
        <v>1</v>
      </c>
      <c r="K206" s="275">
        <v>44294.709027777775</v>
      </c>
      <c r="M206" s="2" t="s">
        <v>9278</v>
      </c>
      <c r="N206" s="2" t="s">
        <v>9626</v>
      </c>
    </row>
    <row r="207" spans="1:14" ht="15.75" customHeight="1">
      <c r="A207" s="2" t="s">
        <v>9275</v>
      </c>
      <c r="B207" s="2" t="s">
        <v>9627</v>
      </c>
      <c r="C207" s="2" t="s">
        <v>9277</v>
      </c>
      <c r="D207" s="2">
        <v>0</v>
      </c>
      <c r="E207" s="2">
        <v>0</v>
      </c>
      <c r="F207" s="2">
        <v>16384</v>
      </c>
      <c r="G207" s="2">
        <v>0</v>
      </c>
      <c r="H207" s="2">
        <v>49152</v>
      </c>
      <c r="I207" s="2">
        <v>0</v>
      </c>
      <c r="J207" s="2">
        <v>1</v>
      </c>
      <c r="K207" s="275">
        <v>44294.709027777775</v>
      </c>
      <c r="M207" s="2" t="s">
        <v>9278</v>
      </c>
      <c r="N207" s="2" t="s">
        <v>9628</v>
      </c>
    </row>
    <row r="208" spans="1:14" ht="15.75" customHeight="1">
      <c r="A208" s="2" t="s">
        <v>9275</v>
      </c>
      <c r="B208" s="2" t="s">
        <v>9629</v>
      </c>
      <c r="C208" s="2" t="s">
        <v>9277</v>
      </c>
      <c r="D208" s="2">
        <v>0</v>
      </c>
      <c r="E208" s="2">
        <v>0</v>
      </c>
      <c r="F208" s="2">
        <v>16384</v>
      </c>
      <c r="G208" s="2">
        <v>0</v>
      </c>
      <c r="H208" s="2">
        <v>0</v>
      </c>
      <c r="I208" s="2">
        <v>0</v>
      </c>
      <c r="J208" s="2">
        <v>1</v>
      </c>
      <c r="K208" s="275">
        <v>44294.709027777775</v>
      </c>
      <c r="M208" s="2" t="s">
        <v>9278</v>
      </c>
      <c r="N208" s="2" t="s">
        <v>9629</v>
      </c>
    </row>
    <row r="209" spans="1:14" ht="15.75" customHeight="1">
      <c r="A209" s="2" t="s">
        <v>9275</v>
      </c>
      <c r="B209" s="2" t="s">
        <v>9630</v>
      </c>
      <c r="C209" s="2" t="s">
        <v>9277</v>
      </c>
      <c r="D209" s="2">
        <v>53</v>
      </c>
      <c r="E209" s="2">
        <v>309</v>
      </c>
      <c r="F209" s="2">
        <v>16384</v>
      </c>
      <c r="G209" s="2">
        <v>0</v>
      </c>
      <c r="H209" s="2">
        <v>16384</v>
      </c>
      <c r="I209" s="2">
        <v>0</v>
      </c>
      <c r="K209" s="275">
        <v>44294.709027777775</v>
      </c>
      <c r="L209" s="275">
        <v>44413.684027777781</v>
      </c>
      <c r="M209" s="2" t="s">
        <v>9278</v>
      </c>
      <c r="N209" s="2" t="s">
        <v>9631</v>
      </c>
    </row>
    <row r="210" spans="1:14" ht="15.75" customHeight="1">
      <c r="A210" s="2" t="s">
        <v>9275</v>
      </c>
      <c r="B210" s="2" t="s">
        <v>9632</v>
      </c>
      <c r="C210" s="2" t="s">
        <v>9277</v>
      </c>
      <c r="D210" s="2">
        <v>7</v>
      </c>
      <c r="E210" s="2">
        <v>2340</v>
      </c>
      <c r="F210" s="2">
        <v>16384</v>
      </c>
      <c r="G210" s="2">
        <v>0</v>
      </c>
      <c r="H210" s="2">
        <v>16384</v>
      </c>
      <c r="I210" s="2">
        <v>0</v>
      </c>
      <c r="K210" s="275">
        <v>44294.709027777775</v>
      </c>
      <c r="L210" s="275">
        <v>44413.684027777781</v>
      </c>
      <c r="M210" s="2" t="s">
        <v>9278</v>
      </c>
      <c r="N210" s="2" t="s">
        <v>9633</v>
      </c>
    </row>
    <row r="211" spans="1:14" ht="15.75" customHeight="1">
      <c r="A211" s="2" t="s">
        <v>9275</v>
      </c>
      <c r="B211" s="2" t="s">
        <v>9634</v>
      </c>
      <c r="C211" s="2" t="s">
        <v>9277</v>
      </c>
      <c r="D211" s="2">
        <v>64899</v>
      </c>
      <c r="E211" s="2">
        <v>396</v>
      </c>
      <c r="F211" s="2">
        <v>25739264</v>
      </c>
      <c r="G211" s="2">
        <v>0</v>
      </c>
      <c r="H211" s="2">
        <v>21610496</v>
      </c>
      <c r="I211" s="2">
        <v>6291456</v>
      </c>
      <c r="J211" s="2">
        <v>153227</v>
      </c>
      <c r="K211" s="275">
        <v>44294.709027777775</v>
      </c>
      <c r="L211" s="275">
        <v>44448.45</v>
      </c>
      <c r="M211" s="2" t="s">
        <v>9278</v>
      </c>
      <c r="N211" s="2" t="s">
        <v>9635</v>
      </c>
    </row>
    <row r="212" spans="1:14" ht="15.75" customHeight="1">
      <c r="A212" s="2" t="s">
        <v>9275</v>
      </c>
      <c r="B212" s="2" t="s">
        <v>9636</v>
      </c>
      <c r="C212" s="2" t="s">
        <v>9277</v>
      </c>
      <c r="D212" s="2">
        <v>0</v>
      </c>
      <c r="E212" s="2">
        <v>0</v>
      </c>
      <c r="F212" s="2">
        <v>16384</v>
      </c>
      <c r="G212" s="2">
        <v>0</v>
      </c>
      <c r="H212" s="2">
        <v>49152</v>
      </c>
      <c r="I212" s="2">
        <v>0</v>
      </c>
      <c r="J212" s="2">
        <v>1</v>
      </c>
      <c r="K212" s="275">
        <v>44294.709027777775</v>
      </c>
      <c r="M212" s="2" t="s">
        <v>9278</v>
      </c>
      <c r="N212" s="2" t="s">
        <v>9637</v>
      </c>
    </row>
    <row r="213" spans="1:14" ht="15.75" customHeight="1">
      <c r="A213" s="2" t="s">
        <v>9275</v>
      </c>
      <c r="B213" s="2" t="s">
        <v>9638</v>
      </c>
      <c r="C213" s="2" t="s">
        <v>9277</v>
      </c>
      <c r="D213" s="2">
        <v>0</v>
      </c>
      <c r="E213" s="2">
        <v>0</v>
      </c>
      <c r="F213" s="2">
        <v>16384</v>
      </c>
      <c r="G213" s="2">
        <v>0</v>
      </c>
      <c r="H213" s="2">
        <v>49152</v>
      </c>
      <c r="I213" s="2">
        <v>0</v>
      </c>
      <c r="J213" s="2">
        <v>1</v>
      </c>
      <c r="K213" s="275">
        <v>44294.709027777775</v>
      </c>
      <c r="M213" s="2" t="s">
        <v>9278</v>
      </c>
      <c r="N213" s="2" t="s">
        <v>9639</v>
      </c>
    </row>
    <row r="214" spans="1:14" ht="15.75" customHeight="1">
      <c r="A214" s="2" t="s">
        <v>9275</v>
      </c>
      <c r="B214" s="2" t="s">
        <v>9640</v>
      </c>
      <c r="C214" s="2" t="s">
        <v>9277</v>
      </c>
      <c r="D214" s="2">
        <v>0</v>
      </c>
      <c r="E214" s="2">
        <v>0</v>
      </c>
      <c r="F214" s="2">
        <v>16384</v>
      </c>
      <c r="G214" s="2">
        <v>0</v>
      </c>
      <c r="H214" s="2">
        <v>49152</v>
      </c>
      <c r="I214" s="2">
        <v>0</v>
      </c>
      <c r="J214" s="2">
        <v>1</v>
      </c>
      <c r="K214" s="275">
        <v>44294.709027777775</v>
      </c>
      <c r="M214" s="2" t="s">
        <v>9278</v>
      </c>
      <c r="N214" s="2" t="s">
        <v>9641</v>
      </c>
    </row>
    <row r="215" spans="1:14" ht="15.75" customHeight="1">
      <c r="A215" s="2" t="s">
        <v>9275</v>
      </c>
      <c r="B215" s="2" t="s">
        <v>9642</v>
      </c>
      <c r="C215" s="2" t="s">
        <v>9277</v>
      </c>
      <c r="D215" s="2">
        <v>0</v>
      </c>
      <c r="E215" s="2">
        <v>0</v>
      </c>
      <c r="F215" s="2">
        <v>16384</v>
      </c>
      <c r="G215" s="2">
        <v>0</v>
      </c>
      <c r="H215" s="2">
        <v>32768</v>
      </c>
      <c r="I215" s="2">
        <v>0</v>
      </c>
      <c r="J215" s="2">
        <v>1</v>
      </c>
      <c r="K215" s="275">
        <v>44294.709027777775</v>
      </c>
      <c r="M215" s="2" t="s">
        <v>9278</v>
      </c>
      <c r="N215" s="2" t="s">
        <v>9643</v>
      </c>
    </row>
    <row r="216" spans="1:14" ht="15.75" customHeight="1">
      <c r="A216" s="2" t="s">
        <v>9275</v>
      </c>
      <c r="B216" s="2" t="s">
        <v>9644</v>
      </c>
      <c r="C216" s="2" t="s">
        <v>9277</v>
      </c>
      <c r="D216" s="2">
        <v>0</v>
      </c>
      <c r="E216" s="2">
        <v>0</v>
      </c>
      <c r="F216" s="2">
        <v>16384</v>
      </c>
      <c r="G216" s="2">
        <v>0</v>
      </c>
      <c r="H216" s="2">
        <v>49152</v>
      </c>
      <c r="I216" s="2">
        <v>0</v>
      </c>
      <c r="J216" s="2">
        <v>1</v>
      </c>
      <c r="K216" s="275">
        <v>44294.709027777775</v>
      </c>
      <c r="M216" s="2" t="s">
        <v>9278</v>
      </c>
      <c r="N216" s="2" t="s">
        <v>9645</v>
      </c>
    </row>
    <row r="217" spans="1:14" ht="15.75" customHeight="1">
      <c r="A217" s="2" t="s">
        <v>9275</v>
      </c>
      <c r="B217" s="2" t="s">
        <v>9646</v>
      </c>
      <c r="C217" s="2" t="s">
        <v>9277</v>
      </c>
      <c r="D217" s="2">
        <v>116</v>
      </c>
      <c r="E217" s="2">
        <v>141</v>
      </c>
      <c r="F217" s="2">
        <v>16384</v>
      </c>
      <c r="G217" s="2">
        <v>0</v>
      </c>
      <c r="H217" s="2">
        <v>16384</v>
      </c>
      <c r="I217" s="2">
        <v>0</v>
      </c>
      <c r="K217" s="275">
        <v>44294.709027777775</v>
      </c>
      <c r="L217" s="275">
        <v>44413.684027777781</v>
      </c>
      <c r="M217" s="2" t="s">
        <v>9278</v>
      </c>
      <c r="N217" s="2" t="s">
        <v>9647</v>
      </c>
    </row>
    <row r="218" spans="1:14" ht="15.75" customHeight="1">
      <c r="A218" s="2" t="s">
        <v>9275</v>
      </c>
      <c r="B218" s="2" t="s">
        <v>9648</v>
      </c>
      <c r="C218" s="2" t="s">
        <v>9277</v>
      </c>
      <c r="D218" s="2">
        <v>66185</v>
      </c>
      <c r="E218" s="2">
        <v>245</v>
      </c>
      <c r="F218" s="2">
        <v>16269312</v>
      </c>
      <c r="G218" s="2">
        <v>0</v>
      </c>
      <c r="H218" s="2">
        <v>11780096</v>
      </c>
      <c r="I218" s="2">
        <v>5242880</v>
      </c>
      <c r="K218" s="275">
        <v>44432.144444444442</v>
      </c>
      <c r="L218" s="275">
        <v>44448.45</v>
      </c>
      <c r="M218" s="2" t="s">
        <v>9278</v>
      </c>
      <c r="N218" s="2" t="s">
        <v>9648</v>
      </c>
    </row>
    <row r="219" spans="1:14" ht="15.75" customHeight="1">
      <c r="A219" s="2" t="s">
        <v>9275</v>
      </c>
      <c r="B219" s="2" t="s">
        <v>9649</v>
      </c>
      <c r="C219" s="2" t="s">
        <v>9277</v>
      </c>
      <c r="D219" s="2">
        <v>7</v>
      </c>
      <c r="E219" s="2">
        <v>2340</v>
      </c>
      <c r="F219" s="2">
        <v>16384</v>
      </c>
      <c r="G219" s="2">
        <v>0</v>
      </c>
      <c r="H219" s="2">
        <v>0</v>
      </c>
      <c r="I219" s="2">
        <v>0</v>
      </c>
      <c r="J219" s="2">
        <v>9</v>
      </c>
      <c r="K219" s="275">
        <v>44294.709027777775</v>
      </c>
      <c r="M219" s="2" t="s">
        <v>9278</v>
      </c>
      <c r="N219" s="2" t="s">
        <v>9650</v>
      </c>
    </row>
    <row r="220" spans="1:14" ht="15.75" customHeight="1">
      <c r="A220" s="2" t="s">
        <v>9275</v>
      </c>
      <c r="B220" s="2" t="s">
        <v>9651</v>
      </c>
      <c r="C220" s="2" t="s">
        <v>9277</v>
      </c>
      <c r="D220" s="2">
        <v>67855</v>
      </c>
      <c r="E220" s="2">
        <v>38</v>
      </c>
      <c r="F220" s="2">
        <v>2637824</v>
      </c>
      <c r="G220" s="2">
        <v>0</v>
      </c>
      <c r="H220" s="2">
        <v>1589248</v>
      </c>
      <c r="I220" s="2">
        <v>4194304</v>
      </c>
      <c r="J220" s="2">
        <v>111948</v>
      </c>
      <c r="K220" s="275">
        <v>44294.709027777775</v>
      </c>
      <c r="L220" s="275">
        <v>44448.451388888891</v>
      </c>
      <c r="M220" s="2" t="s">
        <v>9278</v>
      </c>
      <c r="N220" s="2" t="s">
        <v>9652</v>
      </c>
    </row>
    <row r="221" spans="1:14" ht="15.75" customHeight="1">
      <c r="A221" s="2" t="s">
        <v>9275</v>
      </c>
      <c r="B221" s="2" t="s">
        <v>9653</v>
      </c>
      <c r="C221" s="2" t="s">
        <v>9277</v>
      </c>
      <c r="D221" s="2">
        <v>4965</v>
      </c>
      <c r="E221" s="2">
        <v>214</v>
      </c>
      <c r="F221" s="2">
        <v>1064960</v>
      </c>
      <c r="G221" s="2">
        <v>0</v>
      </c>
      <c r="H221" s="2">
        <v>2129920</v>
      </c>
      <c r="I221" s="2">
        <v>6291456</v>
      </c>
      <c r="J221" s="2">
        <v>288106</v>
      </c>
      <c r="K221" s="275">
        <v>44294.709027777775</v>
      </c>
      <c r="L221" s="275">
        <v>44448.451388888891</v>
      </c>
      <c r="M221" s="2" t="s">
        <v>9278</v>
      </c>
      <c r="N221" s="2" t="s">
        <v>9654</v>
      </c>
    </row>
    <row r="222" spans="1:14" ht="15.75" customHeight="1">
      <c r="A222" s="2" t="s">
        <v>9275</v>
      </c>
      <c r="B222" s="2" t="s">
        <v>9655</v>
      </c>
      <c r="C222" s="2" t="s">
        <v>9277</v>
      </c>
      <c r="D222" s="2">
        <v>0</v>
      </c>
      <c r="E222" s="2">
        <v>0</v>
      </c>
      <c r="F222" s="2">
        <v>16384</v>
      </c>
      <c r="G222" s="2">
        <v>0</v>
      </c>
      <c r="H222" s="2">
        <v>16384</v>
      </c>
      <c r="I222" s="2">
        <v>0</v>
      </c>
      <c r="J222" s="2">
        <v>1</v>
      </c>
      <c r="K222" s="275">
        <v>44294.709027777775</v>
      </c>
      <c r="M222" s="2" t="s">
        <v>9278</v>
      </c>
      <c r="N222" s="2" t="s">
        <v>9656</v>
      </c>
    </row>
    <row r="223" spans="1:14" ht="15.75" customHeight="1">
      <c r="A223" s="2" t="s">
        <v>9275</v>
      </c>
      <c r="B223" s="2" t="s">
        <v>9657</v>
      </c>
      <c r="C223" s="2" t="s">
        <v>9277</v>
      </c>
      <c r="D223" s="2">
        <v>0</v>
      </c>
      <c r="E223" s="2">
        <v>0</v>
      </c>
      <c r="F223" s="2">
        <v>16384</v>
      </c>
      <c r="G223" s="2">
        <v>0</v>
      </c>
      <c r="H223" s="2">
        <v>0</v>
      </c>
      <c r="I223" s="2">
        <v>0</v>
      </c>
      <c r="J223" s="2">
        <v>1</v>
      </c>
      <c r="K223" s="275">
        <v>44294.709027777775</v>
      </c>
      <c r="M223" s="2" t="s">
        <v>9278</v>
      </c>
      <c r="N223" s="2" t="s">
        <v>9657</v>
      </c>
    </row>
    <row r="224" spans="1:14" ht="15.75" customHeight="1">
      <c r="A224" s="2" t="s">
        <v>9275</v>
      </c>
      <c r="B224" s="2" t="s">
        <v>9658</v>
      </c>
      <c r="C224" s="2" t="s">
        <v>9277</v>
      </c>
      <c r="D224" s="2">
        <v>4</v>
      </c>
      <c r="E224" s="2">
        <v>4096</v>
      </c>
      <c r="F224" s="2">
        <v>16384</v>
      </c>
      <c r="G224" s="2">
        <v>0</v>
      </c>
      <c r="H224" s="2">
        <v>65536</v>
      </c>
      <c r="I224" s="2">
        <v>0</v>
      </c>
      <c r="K224" s="275">
        <v>44333.786111111112</v>
      </c>
      <c r="L224" s="275">
        <v>44440.703472222223</v>
      </c>
      <c r="M224" s="2" t="s">
        <v>9278</v>
      </c>
      <c r="N224" s="2" t="s">
        <v>9658</v>
      </c>
    </row>
    <row r="225" spans="1:14" ht="15.75" customHeight="1">
      <c r="A225" s="2" t="s">
        <v>9275</v>
      </c>
      <c r="B225" s="2" t="s">
        <v>9659</v>
      </c>
      <c r="C225" s="2" t="s">
        <v>9277</v>
      </c>
      <c r="D225" s="2">
        <v>7480</v>
      </c>
      <c r="E225" s="2">
        <v>212</v>
      </c>
      <c r="F225" s="2">
        <v>1589248</v>
      </c>
      <c r="G225" s="2">
        <v>0</v>
      </c>
      <c r="H225" s="2">
        <v>98304</v>
      </c>
      <c r="I225" s="2">
        <v>4194304</v>
      </c>
      <c r="J225" s="2">
        <v>7493</v>
      </c>
      <c r="K225" s="275">
        <v>44413.683333333334</v>
      </c>
      <c r="L225" s="275">
        <v>44422.669444444444</v>
      </c>
      <c r="M225" s="2" t="s">
        <v>9278</v>
      </c>
      <c r="N225" s="2" t="s">
        <v>9660</v>
      </c>
    </row>
    <row r="226" spans="1:14" ht="15.75" customHeight="1">
      <c r="A226" s="2" t="s">
        <v>9275</v>
      </c>
      <c r="B226" s="2" t="s">
        <v>9661</v>
      </c>
      <c r="C226" s="2" t="s">
        <v>9277</v>
      </c>
      <c r="D226" s="2">
        <v>7492</v>
      </c>
      <c r="E226" s="2">
        <v>45</v>
      </c>
      <c r="F226" s="2">
        <v>344064</v>
      </c>
      <c r="G226" s="2">
        <v>0</v>
      </c>
      <c r="H226" s="2">
        <v>147456</v>
      </c>
      <c r="I226" s="2">
        <v>0</v>
      </c>
      <c r="K226" s="275">
        <v>44413.683333333334</v>
      </c>
      <c r="L226" s="275">
        <v>44422.669444444444</v>
      </c>
      <c r="M226" s="2" t="s">
        <v>9278</v>
      </c>
      <c r="N226" s="2" t="s">
        <v>9662</v>
      </c>
    </row>
    <row r="227" spans="1:14" ht="15.75" customHeight="1">
      <c r="A227" s="2" t="s">
        <v>9275</v>
      </c>
      <c r="B227" s="2" t="s">
        <v>9663</v>
      </c>
      <c r="C227" s="2" t="s">
        <v>9277</v>
      </c>
      <c r="D227" s="2">
        <v>246</v>
      </c>
      <c r="E227" s="2">
        <v>66</v>
      </c>
      <c r="F227" s="2">
        <v>16384</v>
      </c>
      <c r="G227" s="2">
        <v>0</v>
      </c>
      <c r="H227" s="2">
        <v>0</v>
      </c>
      <c r="I227" s="2">
        <v>0</v>
      </c>
      <c r="K227" s="275">
        <v>44294.709027777775</v>
      </c>
      <c r="M227" s="2" t="s">
        <v>9278</v>
      </c>
      <c r="N227" s="2" t="s">
        <v>9664</v>
      </c>
    </row>
    <row r="228" spans="1:14" ht="15.75" customHeight="1">
      <c r="A228" s="2" t="s">
        <v>9275</v>
      </c>
      <c r="B228" s="2" t="s">
        <v>9665</v>
      </c>
      <c r="C228" s="2" t="s">
        <v>9277</v>
      </c>
      <c r="D228" s="2">
        <v>0</v>
      </c>
      <c r="E228" s="2">
        <v>0</v>
      </c>
      <c r="F228" s="2">
        <v>16384</v>
      </c>
      <c r="G228" s="2">
        <v>0</v>
      </c>
      <c r="H228" s="2">
        <v>16384</v>
      </c>
      <c r="I228" s="2">
        <v>0</v>
      </c>
      <c r="J228" s="2">
        <v>1</v>
      </c>
      <c r="K228" s="275">
        <v>44294.709027777775</v>
      </c>
      <c r="M228" s="2" t="s">
        <v>9278</v>
      </c>
      <c r="N228" s="2" t="s">
        <v>9666</v>
      </c>
    </row>
    <row r="229" spans="1:14" ht="15.75" customHeight="1">
      <c r="A229" s="2" t="s">
        <v>9275</v>
      </c>
      <c r="B229" s="2" t="s">
        <v>9667</v>
      </c>
      <c r="C229" s="2" t="s">
        <v>9277</v>
      </c>
      <c r="D229" s="2">
        <v>608</v>
      </c>
      <c r="E229" s="2">
        <v>107</v>
      </c>
      <c r="F229" s="2">
        <v>65536</v>
      </c>
      <c r="G229" s="2">
        <v>0</v>
      </c>
      <c r="H229" s="2">
        <v>16384</v>
      </c>
      <c r="I229" s="2">
        <v>0</v>
      </c>
      <c r="J229" s="2">
        <v>609</v>
      </c>
      <c r="K229" s="275">
        <v>44294.709027777775</v>
      </c>
      <c r="M229" s="2" t="s">
        <v>9278</v>
      </c>
      <c r="N229" s="2" t="s">
        <v>9668</v>
      </c>
    </row>
    <row r="230" spans="1:14" ht="15.75" customHeight="1">
      <c r="A230" s="2" t="s">
        <v>9275</v>
      </c>
      <c r="B230" s="2" t="s">
        <v>9669</v>
      </c>
      <c r="C230" s="2" t="s">
        <v>9277</v>
      </c>
      <c r="D230" s="2">
        <v>443</v>
      </c>
      <c r="E230" s="2">
        <v>110</v>
      </c>
      <c r="F230" s="2">
        <v>49152</v>
      </c>
      <c r="G230" s="2">
        <v>0</v>
      </c>
      <c r="H230" s="2">
        <v>16384</v>
      </c>
      <c r="I230" s="2">
        <v>0</v>
      </c>
      <c r="K230" s="275">
        <v>44294.709027777775</v>
      </c>
      <c r="M230" s="2" t="s">
        <v>9278</v>
      </c>
      <c r="N230" s="2" t="s">
        <v>9670</v>
      </c>
    </row>
    <row r="231" spans="1:14" ht="15.75" customHeight="1">
      <c r="A231" s="2" t="s">
        <v>9275</v>
      </c>
      <c r="B231" s="2" t="s">
        <v>9671</v>
      </c>
      <c r="C231" s="2" t="s">
        <v>9277</v>
      </c>
      <c r="D231" s="2">
        <v>4</v>
      </c>
      <c r="E231" s="2">
        <v>4096</v>
      </c>
      <c r="F231" s="2">
        <v>16384</v>
      </c>
      <c r="G231" s="2">
        <v>0</v>
      </c>
      <c r="H231" s="2">
        <v>16384</v>
      </c>
      <c r="I231" s="2">
        <v>0</v>
      </c>
      <c r="K231" s="275">
        <v>44294.709027777775</v>
      </c>
      <c r="M231" s="2" t="s">
        <v>9278</v>
      </c>
      <c r="N231" s="2" t="s">
        <v>9672</v>
      </c>
    </row>
    <row r="232" spans="1:14" ht="15.75" customHeight="1">
      <c r="A232" s="2" t="s">
        <v>9275</v>
      </c>
      <c r="B232" s="2" t="s">
        <v>9673</v>
      </c>
      <c r="C232" s="2" t="s">
        <v>9277</v>
      </c>
      <c r="D232" s="2">
        <v>922</v>
      </c>
      <c r="E232" s="2">
        <v>106</v>
      </c>
      <c r="F232" s="2">
        <v>98304</v>
      </c>
      <c r="G232" s="2">
        <v>0</v>
      </c>
      <c r="H232" s="2">
        <v>16384</v>
      </c>
      <c r="I232" s="2">
        <v>0</v>
      </c>
      <c r="J232" s="2">
        <v>923</v>
      </c>
      <c r="K232" s="275">
        <v>44413.683333333334</v>
      </c>
      <c r="L232" s="275">
        <v>44422.669444444444</v>
      </c>
      <c r="M232" s="2" t="s">
        <v>9278</v>
      </c>
      <c r="N232" s="2" t="s">
        <v>9674</v>
      </c>
    </row>
    <row r="233" spans="1:14" ht="15.75" customHeight="1">
      <c r="A233" s="2" t="s">
        <v>9275</v>
      </c>
      <c r="B233" s="2" t="s">
        <v>9675</v>
      </c>
      <c r="C233" s="2" t="s">
        <v>9277</v>
      </c>
      <c r="D233" s="2">
        <v>922</v>
      </c>
      <c r="E233" s="2">
        <v>71</v>
      </c>
      <c r="F233" s="2">
        <v>65536</v>
      </c>
      <c r="G233" s="2">
        <v>0</v>
      </c>
      <c r="H233" s="2">
        <v>16384</v>
      </c>
      <c r="I233" s="2">
        <v>0</v>
      </c>
      <c r="K233" s="275">
        <v>44413.683333333334</v>
      </c>
      <c r="L233" s="275">
        <v>44422.669444444444</v>
      </c>
      <c r="M233" s="2" t="s">
        <v>9278</v>
      </c>
      <c r="N233" s="2" t="s">
        <v>9676</v>
      </c>
    </row>
    <row r="234" spans="1:14" ht="15.75" customHeight="1">
      <c r="A234" s="2" t="s">
        <v>9275</v>
      </c>
      <c r="B234" s="2" t="s">
        <v>9677</v>
      </c>
      <c r="C234" s="2" t="s">
        <v>9277</v>
      </c>
      <c r="D234" s="2">
        <v>0</v>
      </c>
      <c r="E234" s="2">
        <v>0</v>
      </c>
      <c r="F234" s="2">
        <v>16384</v>
      </c>
      <c r="G234" s="2">
        <v>0</v>
      </c>
      <c r="H234" s="2">
        <v>16384</v>
      </c>
      <c r="I234" s="2">
        <v>0</v>
      </c>
      <c r="J234" s="2">
        <v>1</v>
      </c>
      <c r="K234" s="275">
        <v>44294.709027777775</v>
      </c>
      <c r="M234" s="2" t="s">
        <v>9278</v>
      </c>
      <c r="N234" s="2" t="s">
        <v>9678</v>
      </c>
    </row>
    <row r="235" spans="1:14" ht="15.75" customHeight="1">
      <c r="A235" s="2" t="s">
        <v>9275</v>
      </c>
      <c r="B235" s="2" t="s">
        <v>9679</v>
      </c>
      <c r="C235" s="2" t="s">
        <v>9277</v>
      </c>
      <c r="D235" s="2">
        <v>0</v>
      </c>
      <c r="E235" s="2">
        <v>0</v>
      </c>
      <c r="F235" s="2">
        <v>16384</v>
      </c>
      <c r="G235" s="2">
        <v>0</v>
      </c>
      <c r="H235" s="2">
        <v>32768</v>
      </c>
      <c r="I235" s="2">
        <v>0</v>
      </c>
      <c r="J235" s="2">
        <v>1</v>
      </c>
      <c r="K235" s="275">
        <v>44294.709027777775</v>
      </c>
      <c r="M235" s="2" t="s">
        <v>9278</v>
      </c>
      <c r="N235" s="2" t="s">
        <v>9680</v>
      </c>
    </row>
    <row r="236" spans="1:14" ht="15.75" customHeight="1">
      <c r="A236" s="2" t="s">
        <v>9275</v>
      </c>
      <c r="B236" s="2" t="s">
        <v>9681</v>
      </c>
      <c r="C236" s="2" t="s">
        <v>9277</v>
      </c>
      <c r="D236" s="2">
        <v>1</v>
      </c>
      <c r="E236" s="2">
        <v>16384</v>
      </c>
      <c r="F236" s="2">
        <v>16384</v>
      </c>
      <c r="G236" s="2">
        <v>0</v>
      </c>
      <c r="H236" s="2">
        <v>49152</v>
      </c>
      <c r="I236" s="2">
        <v>0</v>
      </c>
      <c r="J236" s="2">
        <v>2</v>
      </c>
      <c r="K236" s="275">
        <v>44294.709027777775</v>
      </c>
      <c r="M236" s="2" t="s">
        <v>9278</v>
      </c>
      <c r="N236" s="2" t="s">
        <v>9682</v>
      </c>
    </row>
    <row r="237" spans="1:14" ht="15.75" customHeight="1">
      <c r="A237" s="2" t="s">
        <v>9275</v>
      </c>
      <c r="B237" s="2" t="s">
        <v>9683</v>
      </c>
      <c r="C237" s="2" t="s">
        <v>9277</v>
      </c>
      <c r="D237" s="2">
        <v>1</v>
      </c>
      <c r="E237" s="2">
        <v>16384</v>
      </c>
      <c r="F237" s="2">
        <v>16384</v>
      </c>
      <c r="G237" s="2">
        <v>0</v>
      </c>
      <c r="H237" s="2">
        <v>49152</v>
      </c>
      <c r="I237" s="2">
        <v>0</v>
      </c>
      <c r="J237" s="2">
        <v>2</v>
      </c>
      <c r="K237" s="275">
        <v>44294.709027777775</v>
      </c>
      <c r="M237" s="2" t="s">
        <v>9278</v>
      </c>
      <c r="N237" s="2" t="s">
        <v>9684</v>
      </c>
    </row>
    <row r="238" spans="1:14" ht="15.75" customHeight="1">
      <c r="A238" s="2" t="s">
        <v>9275</v>
      </c>
      <c r="B238" s="2" t="s">
        <v>9685</v>
      </c>
      <c r="C238" s="2" t="s">
        <v>9277</v>
      </c>
      <c r="D238" s="2">
        <v>0</v>
      </c>
      <c r="E238" s="2">
        <v>0</v>
      </c>
      <c r="F238" s="2">
        <v>16384</v>
      </c>
      <c r="G238" s="2">
        <v>0</v>
      </c>
      <c r="H238" s="2">
        <v>32768</v>
      </c>
      <c r="I238" s="2">
        <v>0</v>
      </c>
      <c r="J238" s="2">
        <v>1</v>
      </c>
      <c r="K238" s="275">
        <v>44294.709027777775</v>
      </c>
      <c r="M238" s="2" t="s">
        <v>9278</v>
      </c>
      <c r="N238" s="2" t="s">
        <v>9686</v>
      </c>
    </row>
    <row r="239" spans="1:14" ht="15.75" customHeight="1">
      <c r="A239" s="2" t="s">
        <v>9275</v>
      </c>
      <c r="B239" s="2" t="s">
        <v>9687</v>
      </c>
      <c r="C239" s="2" t="s">
        <v>9277</v>
      </c>
      <c r="D239" s="2">
        <v>0</v>
      </c>
      <c r="E239" s="2">
        <v>0</v>
      </c>
      <c r="F239" s="2">
        <v>16384</v>
      </c>
      <c r="G239" s="2">
        <v>0</v>
      </c>
      <c r="H239" s="2">
        <v>16384</v>
      </c>
      <c r="I239" s="2">
        <v>0</v>
      </c>
      <c r="J239" s="2">
        <v>1</v>
      </c>
      <c r="K239" s="275">
        <v>44294.709027777775</v>
      </c>
      <c r="M239" s="2" t="s">
        <v>9278</v>
      </c>
      <c r="N239" s="2" t="s">
        <v>9688</v>
      </c>
    </row>
    <row r="240" spans="1:14" ht="15.75" customHeight="1">
      <c r="A240" s="2" t="s">
        <v>9275</v>
      </c>
      <c r="B240" s="2" t="s">
        <v>9689</v>
      </c>
      <c r="C240" s="2" t="s">
        <v>9277</v>
      </c>
      <c r="D240" s="2">
        <v>0</v>
      </c>
      <c r="E240" s="2">
        <v>0</v>
      </c>
      <c r="F240" s="2">
        <v>16384</v>
      </c>
      <c r="G240" s="2">
        <v>0</v>
      </c>
      <c r="H240" s="2">
        <v>32768</v>
      </c>
      <c r="I240" s="2">
        <v>0</v>
      </c>
      <c r="J240" s="2">
        <v>1</v>
      </c>
      <c r="K240" s="275">
        <v>44294.709027777775</v>
      </c>
      <c r="M240" s="2" t="s">
        <v>9278</v>
      </c>
      <c r="N240" s="2" t="s">
        <v>9690</v>
      </c>
    </row>
    <row r="241" spans="1:14" ht="15.75" customHeight="1">
      <c r="A241" s="2" t="s">
        <v>9275</v>
      </c>
      <c r="B241" s="2" t="s">
        <v>9691</v>
      </c>
      <c r="C241" s="2" t="s">
        <v>9277</v>
      </c>
      <c r="D241" s="2">
        <v>280</v>
      </c>
      <c r="E241" s="2">
        <v>234</v>
      </c>
      <c r="F241" s="2">
        <v>65536</v>
      </c>
      <c r="G241" s="2">
        <v>0</v>
      </c>
      <c r="H241" s="2">
        <v>32768</v>
      </c>
      <c r="I241" s="2">
        <v>0</v>
      </c>
      <c r="J241" s="2">
        <v>546</v>
      </c>
      <c r="K241" s="275">
        <v>44294.709027777775</v>
      </c>
      <c r="L241" s="275">
        <v>44447.43472222222</v>
      </c>
      <c r="M241" s="2" t="s">
        <v>9278</v>
      </c>
      <c r="N241" s="2" t="s">
        <v>9692</v>
      </c>
    </row>
    <row r="242" spans="1:14" ht="15.75" customHeight="1">
      <c r="A242" s="2" t="s">
        <v>9275</v>
      </c>
      <c r="B242" s="2" t="s">
        <v>9693</v>
      </c>
      <c r="C242" s="2" t="s">
        <v>9277</v>
      </c>
      <c r="D242" s="2">
        <v>193</v>
      </c>
      <c r="E242" s="2">
        <v>84</v>
      </c>
      <c r="F242" s="2">
        <v>16384</v>
      </c>
      <c r="G242" s="2">
        <v>0</v>
      </c>
      <c r="H242" s="2">
        <v>49152</v>
      </c>
      <c r="I242" s="2">
        <v>0</v>
      </c>
      <c r="J242" s="2">
        <v>194</v>
      </c>
      <c r="K242" s="275">
        <v>44294.709027777775</v>
      </c>
      <c r="M242" s="2" t="s">
        <v>9278</v>
      </c>
      <c r="N242" s="2" t="s">
        <v>9694</v>
      </c>
    </row>
    <row r="243" spans="1:14" ht="15.75" customHeight="1">
      <c r="A243" s="2" t="s">
        <v>9275</v>
      </c>
      <c r="B243" s="2" t="s">
        <v>9695</v>
      </c>
      <c r="C243" s="2" t="s">
        <v>9277</v>
      </c>
      <c r="D243" s="2">
        <v>94</v>
      </c>
      <c r="E243" s="2">
        <v>174</v>
      </c>
      <c r="F243" s="2">
        <v>16384</v>
      </c>
      <c r="G243" s="2">
        <v>0</v>
      </c>
      <c r="H243" s="2">
        <v>32768</v>
      </c>
      <c r="I243" s="2">
        <v>0</v>
      </c>
      <c r="J243" s="2">
        <v>1608</v>
      </c>
      <c r="K243" s="275">
        <v>44294.709027777775</v>
      </c>
      <c r="M243" s="2" t="s">
        <v>9278</v>
      </c>
      <c r="N243" s="2" t="s">
        <v>9696</v>
      </c>
    </row>
    <row r="244" spans="1:14" ht="15.75" customHeight="1">
      <c r="A244" s="2" t="s">
        <v>9275</v>
      </c>
      <c r="B244" s="2" t="s">
        <v>9697</v>
      </c>
      <c r="C244" s="2" t="s">
        <v>9277</v>
      </c>
      <c r="D244" s="2">
        <v>7728</v>
      </c>
      <c r="E244" s="2">
        <v>31</v>
      </c>
      <c r="F244" s="2">
        <v>245760</v>
      </c>
      <c r="G244" s="2">
        <v>0</v>
      </c>
      <c r="H244" s="2">
        <v>131072</v>
      </c>
      <c r="I244" s="2">
        <v>0</v>
      </c>
      <c r="J244" s="2">
        <v>7763</v>
      </c>
      <c r="K244" s="275">
        <v>44294.709027777775</v>
      </c>
      <c r="L244" s="275">
        <v>44447.43472222222</v>
      </c>
      <c r="M244" s="2" t="s">
        <v>9278</v>
      </c>
      <c r="N244" s="2" t="s">
        <v>9698</v>
      </c>
    </row>
    <row r="245" spans="1:14" ht="15.75" customHeight="1">
      <c r="A245" s="2" t="s">
        <v>9275</v>
      </c>
      <c r="B245" s="2" t="s">
        <v>9699</v>
      </c>
      <c r="C245" s="2" t="s">
        <v>9277</v>
      </c>
      <c r="D245" s="2">
        <v>0</v>
      </c>
      <c r="E245" s="2">
        <v>0</v>
      </c>
      <c r="F245" s="2">
        <v>16384</v>
      </c>
      <c r="G245" s="2">
        <v>0</v>
      </c>
      <c r="H245" s="2">
        <v>49152</v>
      </c>
      <c r="I245" s="2">
        <v>0</v>
      </c>
      <c r="J245" s="2">
        <v>1</v>
      </c>
      <c r="K245" s="275">
        <v>44294.709027777775</v>
      </c>
      <c r="M245" s="2" t="s">
        <v>9278</v>
      </c>
      <c r="N245" s="2" t="s">
        <v>9700</v>
      </c>
    </row>
    <row r="246" spans="1:14" ht="15.75" customHeight="1">
      <c r="A246" s="2" t="s">
        <v>9275</v>
      </c>
      <c r="B246" s="2" t="s">
        <v>9701</v>
      </c>
      <c r="C246" s="2" t="s">
        <v>9277</v>
      </c>
      <c r="D246" s="2">
        <v>7733</v>
      </c>
      <c r="E246" s="2">
        <v>197</v>
      </c>
      <c r="F246" s="2">
        <v>1523712</v>
      </c>
      <c r="G246" s="2">
        <v>0</v>
      </c>
      <c r="H246" s="2">
        <v>262144</v>
      </c>
      <c r="I246" s="2">
        <v>4194304</v>
      </c>
      <c r="J246" s="2">
        <v>57449</v>
      </c>
      <c r="K246" s="275">
        <v>44294.709027777775</v>
      </c>
      <c r="L246" s="275">
        <v>44447.43472222222</v>
      </c>
      <c r="M246" s="2" t="s">
        <v>9278</v>
      </c>
      <c r="N246" s="2" t="s">
        <v>9702</v>
      </c>
    </row>
    <row r="247" spans="1:14" ht="15.75" customHeight="1">
      <c r="A247" s="2" t="s">
        <v>9275</v>
      </c>
      <c r="B247" s="2" t="s">
        <v>9703</v>
      </c>
      <c r="C247" s="2" t="s">
        <v>9277</v>
      </c>
      <c r="D247" s="2">
        <v>22</v>
      </c>
      <c r="E247" s="2">
        <v>744</v>
      </c>
      <c r="F247" s="2">
        <v>16384</v>
      </c>
      <c r="G247" s="2">
        <v>0</v>
      </c>
      <c r="H247" s="2">
        <v>32768</v>
      </c>
      <c r="I247" s="2">
        <v>0</v>
      </c>
      <c r="J247" s="2">
        <v>23</v>
      </c>
      <c r="K247" s="275">
        <v>44294.709027777775</v>
      </c>
      <c r="M247" s="2" t="s">
        <v>9278</v>
      </c>
      <c r="N247" s="2" t="s">
        <v>9704</v>
      </c>
    </row>
    <row r="248" spans="1:14" ht="15.75" customHeight="1">
      <c r="A248" s="2" t="s">
        <v>9275</v>
      </c>
      <c r="B248" s="2" t="s">
        <v>9705</v>
      </c>
      <c r="C248" s="2" t="s">
        <v>9277</v>
      </c>
      <c r="D248" s="2">
        <v>0</v>
      </c>
      <c r="E248" s="2">
        <v>0</v>
      </c>
      <c r="F248" s="2">
        <v>16384</v>
      </c>
      <c r="G248" s="2">
        <v>0</v>
      </c>
      <c r="H248" s="2">
        <v>32768</v>
      </c>
      <c r="I248" s="2">
        <v>0</v>
      </c>
      <c r="J248" s="2">
        <v>1</v>
      </c>
      <c r="K248" s="275">
        <v>44294.709027777775</v>
      </c>
      <c r="M248" s="2" t="s">
        <v>9278</v>
      </c>
      <c r="N248" s="2" t="s">
        <v>9706</v>
      </c>
    </row>
    <row r="249" spans="1:14" ht="15.75" customHeight="1">
      <c r="A249" s="2" t="s">
        <v>9275</v>
      </c>
      <c r="B249" s="2" t="s">
        <v>9707</v>
      </c>
      <c r="C249" s="2" t="s">
        <v>9277</v>
      </c>
      <c r="D249" s="2">
        <v>1311</v>
      </c>
      <c r="E249" s="2">
        <v>62</v>
      </c>
      <c r="F249" s="2">
        <v>81920</v>
      </c>
      <c r="G249" s="2">
        <v>0</v>
      </c>
      <c r="H249" s="2">
        <v>163840</v>
      </c>
      <c r="I249" s="2">
        <v>0</v>
      </c>
      <c r="J249" s="2">
        <v>1314</v>
      </c>
      <c r="K249" s="275">
        <v>44294.709027777775</v>
      </c>
      <c r="L249" s="275">
        <v>44413.684027777781</v>
      </c>
      <c r="M249" s="2" t="s">
        <v>9278</v>
      </c>
      <c r="N249" s="2" t="s">
        <v>9708</v>
      </c>
    </row>
    <row r="250" spans="1:14" ht="15.75" customHeight="1">
      <c r="A250" s="2" t="s">
        <v>9275</v>
      </c>
      <c r="B250" s="2" t="s">
        <v>9709</v>
      </c>
      <c r="C250" s="2" t="s">
        <v>9277</v>
      </c>
      <c r="D250" s="2">
        <v>0</v>
      </c>
      <c r="E250" s="2">
        <v>0</v>
      </c>
      <c r="F250" s="2">
        <v>16384</v>
      </c>
      <c r="G250" s="2">
        <v>0</v>
      </c>
      <c r="H250" s="2">
        <v>65536</v>
      </c>
      <c r="I250" s="2">
        <v>0</v>
      </c>
      <c r="J250" s="2">
        <v>1</v>
      </c>
      <c r="K250" s="275">
        <v>44294.709027777775</v>
      </c>
      <c r="M250" s="2" t="s">
        <v>9278</v>
      </c>
      <c r="N250" s="2" t="s">
        <v>9710</v>
      </c>
    </row>
    <row r="251" spans="1:14" ht="15.75" customHeight="1">
      <c r="A251" s="2" t="s">
        <v>9275</v>
      </c>
      <c r="B251" s="2" t="s">
        <v>9711</v>
      </c>
      <c r="C251" s="2" t="s">
        <v>9277</v>
      </c>
      <c r="D251" s="2">
        <v>0</v>
      </c>
      <c r="E251" s="2">
        <v>0</v>
      </c>
      <c r="F251" s="2">
        <v>16384</v>
      </c>
      <c r="G251" s="2">
        <v>0</v>
      </c>
      <c r="H251" s="2">
        <v>65536</v>
      </c>
      <c r="I251" s="2">
        <v>0</v>
      </c>
      <c r="J251" s="2">
        <v>1</v>
      </c>
      <c r="K251" s="275">
        <v>44294.709027777775</v>
      </c>
      <c r="M251" s="2" t="s">
        <v>9278</v>
      </c>
      <c r="N251" s="2" t="s">
        <v>9710</v>
      </c>
    </row>
    <row r="252" spans="1:14" ht="15.75" customHeight="1">
      <c r="A252" s="2" t="s">
        <v>9275</v>
      </c>
      <c r="B252" s="2" t="s">
        <v>9712</v>
      </c>
      <c r="C252" s="2" t="s">
        <v>9277</v>
      </c>
      <c r="D252" s="2">
        <v>0</v>
      </c>
      <c r="E252" s="2">
        <v>0</v>
      </c>
      <c r="F252" s="2">
        <v>16384</v>
      </c>
      <c r="G252" s="2">
        <v>0</v>
      </c>
      <c r="H252" s="2">
        <v>65536</v>
      </c>
      <c r="I252" s="2">
        <v>0</v>
      </c>
      <c r="J252" s="2">
        <v>1</v>
      </c>
      <c r="K252" s="275">
        <v>44294.709027777775</v>
      </c>
      <c r="M252" s="2" t="s">
        <v>9278</v>
      </c>
      <c r="N252" s="2" t="s">
        <v>9710</v>
      </c>
    </row>
    <row r="253" spans="1:14" ht="15.75" customHeight="1">
      <c r="A253" s="2" t="s">
        <v>9275</v>
      </c>
      <c r="B253" s="2" t="s">
        <v>9713</v>
      </c>
      <c r="C253" s="2" t="s">
        <v>9277</v>
      </c>
      <c r="D253" s="2">
        <v>7</v>
      </c>
      <c r="E253" s="2">
        <v>2340</v>
      </c>
      <c r="F253" s="2">
        <v>16384</v>
      </c>
      <c r="G253" s="2">
        <v>0</v>
      </c>
      <c r="H253" s="2">
        <v>32768</v>
      </c>
      <c r="I253" s="2">
        <v>0</v>
      </c>
      <c r="J253" s="2">
        <v>8</v>
      </c>
      <c r="K253" s="275">
        <v>44294.709027777775</v>
      </c>
      <c r="M253" s="2" t="s">
        <v>9278</v>
      </c>
      <c r="N253" s="2" t="s">
        <v>9714</v>
      </c>
    </row>
    <row r="254" spans="1:14" ht="15.75" customHeight="1">
      <c r="A254" s="2" t="s">
        <v>9275</v>
      </c>
      <c r="B254" s="2" t="s">
        <v>9715</v>
      </c>
      <c r="C254" s="2" t="s">
        <v>9277</v>
      </c>
      <c r="D254" s="2">
        <v>0</v>
      </c>
      <c r="E254" s="2">
        <v>0</v>
      </c>
      <c r="F254" s="2">
        <v>16384</v>
      </c>
      <c r="G254" s="2">
        <v>0</v>
      </c>
      <c r="H254" s="2">
        <v>65536</v>
      </c>
      <c r="I254" s="2">
        <v>0</v>
      </c>
      <c r="J254" s="2">
        <v>1</v>
      </c>
      <c r="K254" s="275">
        <v>44294.709027777775</v>
      </c>
      <c r="M254" s="2" t="s">
        <v>9278</v>
      </c>
      <c r="N254" s="2" t="s">
        <v>9710</v>
      </c>
    </row>
    <row r="255" spans="1:14" ht="15.75" customHeight="1">
      <c r="A255" s="2" t="s">
        <v>9275</v>
      </c>
      <c r="B255" s="2" t="s">
        <v>9716</v>
      </c>
      <c r="C255" s="2" t="s">
        <v>9277</v>
      </c>
      <c r="D255" s="2">
        <v>10</v>
      </c>
      <c r="E255" s="2">
        <v>1638</v>
      </c>
      <c r="F255" s="2">
        <v>16384</v>
      </c>
      <c r="G255" s="2">
        <v>0</v>
      </c>
      <c r="H255" s="2">
        <v>16384</v>
      </c>
      <c r="I255" s="2">
        <v>0</v>
      </c>
      <c r="J255" s="2">
        <v>11</v>
      </c>
      <c r="K255" s="275">
        <v>44294.709027777775</v>
      </c>
      <c r="M255" s="2" t="s">
        <v>9278</v>
      </c>
      <c r="N255" s="2" t="s">
        <v>9717</v>
      </c>
    </row>
    <row r="256" spans="1:14" ht="15.75" customHeight="1">
      <c r="A256" s="2" t="s">
        <v>9275</v>
      </c>
      <c r="B256" s="2" t="s">
        <v>9718</v>
      </c>
      <c r="C256" s="2" t="s">
        <v>9277</v>
      </c>
      <c r="D256" s="2">
        <v>0</v>
      </c>
      <c r="E256" s="2">
        <v>0</v>
      </c>
      <c r="F256" s="2">
        <v>16384</v>
      </c>
      <c r="G256" s="2">
        <v>0</v>
      </c>
      <c r="H256" s="2">
        <v>65536</v>
      </c>
      <c r="I256" s="2">
        <v>0</v>
      </c>
      <c r="J256" s="2">
        <v>1</v>
      </c>
      <c r="K256" s="275">
        <v>44294.709027777775</v>
      </c>
      <c r="M256" s="2" t="s">
        <v>9278</v>
      </c>
      <c r="N256" s="2" t="s">
        <v>9710</v>
      </c>
    </row>
    <row r="257" spans="1:14" ht="15.75" customHeight="1">
      <c r="A257" s="2" t="s">
        <v>9275</v>
      </c>
      <c r="B257" s="2" t="s">
        <v>9719</v>
      </c>
      <c r="C257" s="2" t="s">
        <v>9277</v>
      </c>
      <c r="D257" s="2">
        <v>57</v>
      </c>
      <c r="E257" s="2">
        <v>287</v>
      </c>
      <c r="F257" s="2">
        <v>16384</v>
      </c>
      <c r="G257" s="2">
        <v>0</v>
      </c>
      <c r="H257" s="2">
        <v>49152</v>
      </c>
      <c r="I257" s="2">
        <v>0</v>
      </c>
      <c r="J257" s="2">
        <v>58</v>
      </c>
      <c r="K257" s="275">
        <v>44294.709027777775</v>
      </c>
      <c r="M257" s="2" t="s">
        <v>9278</v>
      </c>
      <c r="N257" s="2" t="s">
        <v>9720</v>
      </c>
    </row>
    <row r="258" spans="1:14" ht="15.75" customHeight="1">
      <c r="A258" s="2" t="s">
        <v>9275</v>
      </c>
      <c r="B258" s="2" t="s">
        <v>9721</v>
      </c>
      <c r="C258" s="2" t="s">
        <v>9277</v>
      </c>
      <c r="D258" s="2">
        <v>2</v>
      </c>
      <c r="E258" s="2">
        <v>8192</v>
      </c>
      <c r="F258" s="2">
        <v>16384</v>
      </c>
      <c r="G258" s="2">
        <v>0</v>
      </c>
      <c r="H258" s="2">
        <v>16384</v>
      </c>
      <c r="I258" s="2">
        <v>0</v>
      </c>
      <c r="J258" s="2">
        <v>3</v>
      </c>
      <c r="K258" s="275">
        <v>44294.709027777775</v>
      </c>
      <c r="M258" s="2" t="s">
        <v>9278</v>
      </c>
      <c r="N258" s="2" t="s">
        <v>9722</v>
      </c>
    </row>
    <row r="259" spans="1:14" ht="15.75" customHeight="1">
      <c r="A259" s="2" t="s">
        <v>9275</v>
      </c>
      <c r="B259" s="2" t="s">
        <v>9723</v>
      </c>
      <c r="C259" s="2" t="s">
        <v>9277</v>
      </c>
      <c r="D259" s="2">
        <v>2</v>
      </c>
      <c r="E259" s="2">
        <v>8192</v>
      </c>
      <c r="F259" s="2">
        <v>16384</v>
      </c>
      <c r="G259" s="2">
        <v>0</v>
      </c>
      <c r="H259" s="2">
        <v>16384</v>
      </c>
      <c r="I259" s="2">
        <v>0</v>
      </c>
      <c r="K259" s="275">
        <v>44294.709027777775</v>
      </c>
      <c r="M259" s="2" t="s">
        <v>9278</v>
      </c>
      <c r="N259" s="2" t="s">
        <v>9724</v>
      </c>
    </row>
    <row r="260" spans="1:14" ht="15.75" customHeight="1">
      <c r="A260" s="2" t="s">
        <v>9275</v>
      </c>
      <c r="B260" s="2" t="s">
        <v>9725</v>
      </c>
      <c r="C260" s="2" t="s">
        <v>9277</v>
      </c>
      <c r="D260" s="2">
        <v>5</v>
      </c>
      <c r="E260" s="2">
        <v>3276</v>
      </c>
      <c r="F260" s="2">
        <v>16384</v>
      </c>
      <c r="G260" s="2">
        <v>0</v>
      </c>
      <c r="H260" s="2">
        <v>32768</v>
      </c>
      <c r="I260" s="2">
        <v>0</v>
      </c>
      <c r="J260" s="2">
        <v>6</v>
      </c>
      <c r="K260" s="275">
        <v>44294.709027777775</v>
      </c>
      <c r="M260" s="2" t="s">
        <v>9278</v>
      </c>
      <c r="N260" s="2" t="s">
        <v>9726</v>
      </c>
    </row>
    <row r="261" spans="1:14" ht="15.75" customHeight="1">
      <c r="A261" s="2" t="s">
        <v>9275</v>
      </c>
      <c r="B261" s="2" t="s">
        <v>9727</v>
      </c>
      <c r="C261" s="2" t="s">
        <v>9277</v>
      </c>
      <c r="D261" s="2">
        <v>8</v>
      </c>
      <c r="E261" s="2">
        <v>2048</v>
      </c>
      <c r="F261" s="2">
        <v>16384</v>
      </c>
      <c r="G261" s="2">
        <v>0</v>
      </c>
      <c r="H261" s="2">
        <v>16384</v>
      </c>
      <c r="I261" s="2">
        <v>0</v>
      </c>
      <c r="K261" s="275">
        <v>44294.709027777775</v>
      </c>
      <c r="M261" s="2" t="s">
        <v>9278</v>
      </c>
      <c r="N261" s="2" t="s">
        <v>9728</v>
      </c>
    </row>
    <row r="262" spans="1:14" ht="15.75" customHeight="1">
      <c r="A262" s="2" t="s">
        <v>9275</v>
      </c>
      <c r="B262" s="2" t="s">
        <v>9729</v>
      </c>
      <c r="C262" s="2" t="s">
        <v>9277</v>
      </c>
      <c r="D262" s="2">
        <v>0</v>
      </c>
      <c r="E262" s="2">
        <v>0</v>
      </c>
      <c r="F262" s="2">
        <v>16384</v>
      </c>
      <c r="G262" s="2">
        <v>0</v>
      </c>
      <c r="H262" s="2">
        <v>65536</v>
      </c>
      <c r="I262" s="2">
        <v>0</v>
      </c>
      <c r="J262" s="2">
        <v>1</v>
      </c>
      <c r="K262" s="275">
        <v>44294.709027777775</v>
      </c>
      <c r="M262" s="2" t="s">
        <v>9278</v>
      </c>
      <c r="N262" s="2" t="s">
        <v>9730</v>
      </c>
    </row>
    <row r="263" spans="1:14" ht="15.75" customHeight="1">
      <c r="A263" s="2" t="s">
        <v>9275</v>
      </c>
      <c r="B263" s="2" t="s">
        <v>9731</v>
      </c>
      <c r="C263" s="2" t="s">
        <v>9277</v>
      </c>
      <c r="D263" s="2">
        <v>0</v>
      </c>
      <c r="E263" s="2">
        <v>0</v>
      </c>
      <c r="F263" s="2">
        <v>16384</v>
      </c>
      <c r="G263" s="2">
        <v>0</v>
      </c>
      <c r="H263" s="2">
        <v>131072</v>
      </c>
      <c r="I263" s="2">
        <v>0</v>
      </c>
      <c r="J263" s="2">
        <v>1</v>
      </c>
      <c r="K263" s="275">
        <v>44294.709027777775</v>
      </c>
      <c r="M263" s="2" t="s">
        <v>9278</v>
      </c>
      <c r="N263" s="2" t="s">
        <v>9732</v>
      </c>
    </row>
    <row r="264" spans="1:14" ht="15.75" customHeight="1">
      <c r="A264" s="2" t="s">
        <v>9275</v>
      </c>
      <c r="B264" s="2" t="s">
        <v>9733</v>
      </c>
      <c r="C264" s="2" t="s">
        <v>9277</v>
      </c>
      <c r="D264" s="2">
        <v>0</v>
      </c>
      <c r="E264" s="2">
        <v>0</v>
      </c>
      <c r="F264" s="2">
        <v>16384</v>
      </c>
      <c r="G264" s="2">
        <v>0</v>
      </c>
      <c r="H264" s="2">
        <v>196608</v>
      </c>
      <c r="I264" s="2">
        <v>0</v>
      </c>
      <c r="J264" s="2">
        <v>1</v>
      </c>
      <c r="K264" s="275">
        <v>44294.709027777775</v>
      </c>
      <c r="M264" s="2" t="s">
        <v>9278</v>
      </c>
      <c r="N264" s="2" t="s">
        <v>9734</v>
      </c>
    </row>
    <row r="265" spans="1:14" ht="15.75" customHeight="1">
      <c r="A265" s="2" t="s">
        <v>9275</v>
      </c>
      <c r="B265" s="2" t="s">
        <v>9735</v>
      </c>
      <c r="C265" s="2" t="s">
        <v>9277</v>
      </c>
      <c r="D265" s="2">
        <v>33880</v>
      </c>
      <c r="E265" s="2">
        <v>77</v>
      </c>
      <c r="F265" s="2">
        <v>2637824</v>
      </c>
      <c r="G265" s="2">
        <v>0</v>
      </c>
      <c r="H265" s="2">
        <v>4030464</v>
      </c>
      <c r="I265" s="2">
        <v>4194304</v>
      </c>
      <c r="J265" s="2">
        <v>35311</v>
      </c>
      <c r="K265" s="275">
        <v>44294.709027777775</v>
      </c>
      <c r="L265" s="275">
        <v>44448.441666666666</v>
      </c>
      <c r="M265" s="2" t="s">
        <v>9278</v>
      </c>
      <c r="N265" s="2" t="s">
        <v>9736</v>
      </c>
    </row>
    <row r="266" spans="1:14" ht="15.75" customHeight="1">
      <c r="A266" s="2" t="s">
        <v>9275</v>
      </c>
      <c r="B266" s="2" t="s">
        <v>2271</v>
      </c>
      <c r="C266" s="2" t="s">
        <v>9277</v>
      </c>
      <c r="D266" s="2">
        <v>3</v>
      </c>
      <c r="E266" s="2">
        <v>5461</v>
      </c>
      <c r="F266" s="2">
        <v>16384</v>
      </c>
      <c r="G266" s="2">
        <v>0</v>
      </c>
      <c r="H266" s="2">
        <v>180224</v>
      </c>
      <c r="I266" s="2">
        <v>0</v>
      </c>
      <c r="J266" s="2">
        <v>4</v>
      </c>
      <c r="K266" s="275">
        <v>44294.709027777775</v>
      </c>
      <c r="M266" s="2" t="s">
        <v>9278</v>
      </c>
      <c r="N266" s="2" t="s">
        <v>9737</v>
      </c>
    </row>
    <row r="267" spans="1:14" ht="15.75" customHeight="1">
      <c r="A267" s="2" t="s">
        <v>9275</v>
      </c>
      <c r="B267" s="2" t="s">
        <v>9738</v>
      </c>
      <c r="C267" s="2" t="s">
        <v>9277</v>
      </c>
      <c r="D267" s="2">
        <v>0</v>
      </c>
      <c r="E267" s="2">
        <v>0</v>
      </c>
      <c r="F267" s="2">
        <v>16384</v>
      </c>
      <c r="G267" s="2">
        <v>0</v>
      </c>
      <c r="H267" s="2">
        <v>16384</v>
      </c>
      <c r="I267" s="2">
        <v>0</v>
      </c>
      <c r="J267" s="2">
        <v>1</v>
      </c>
      <c r="K267" s="275">
        <v>44294.709027777775</v>
      </c>
      <c r="M267" s="2" t="s">
        <v>9278</v>
      </c>
      <c r="N267" s="2" t="s">
        <v>9739</v>
      </c>
    </row>
    <row r="268" spans="1:14" ht="15.75" customHeight="1">
      <c r="A268" s="2" t="s">
        <v>9275</v>
      </c>
      <c r="B268" s="2" t="s">
        <v>9740</v>
      </c>
      <c r="C268" s="2" t="s">
        <v>9277</v>
      </c>
      <c r="D268" s="2">
        <v>0</v>
      </c>
      <c r="E268" s="2">
        <v>0</v>
      </c>
      <c r="F268" s="2">
        <v>16384</v>
      </c>
      <c r="G268" s="2">
        <v>0</v>
      </c>
      <c r="H268" s="2">
        <v>32768</v>
      </c>
      <c r="I268" s="2">
        <v>0</v>
      </c>
      <c r="J268" s="2">
        <v>1</v>
      </c>
      <c r="K268" s="275">
        <v>44294.709027777775</v>
      </c>
      <c r="M268" s="2" t="s">
        <v>9278</v>
      </c>
      <c r="N268" s="2" t="s">
        <v>9741</v>
      </c>
    </row>
    <row r="269" spans="1:14" ht="15.75" customHeight="1">
      <c r="A269" s="2" t="s">
        <v>9275</v>
      </c>
      <c r="B269" s="2" t="s">
        <v>9742</v>
      </c>
      <c r="C269" s="2" t="s">
        <v>9277</v>
      </c>
      <c r="D269" s="2">
        <v>0</v>
      </c>
      <c r="E269" s="2">
        <v>0</v>
      </c>
      <c r="F269" s="2">
        <v>16384</v>
      </c>
      <c r="G269" s="2">
        <v>0</v>
      </c>
      <c r="H269" s="2">
        <v>16384</v>
      </c>
      <c r="I269" s="2">
        <v>0</v>
      </c>
      <c r="J269" s="2">
        <v>1</v>
      </c>
      <c r="K269" s="275">
        <v>44294.709027777775</v>
      </c>
      <c r="M269" s="2" t="s">
        <v>9278</v>
      </c>
      <c r="N269" s="2" t="s">
        <v>9743</v>
      </c>
    </row>
    <row r="270" spans="1:14" ht="15.75" customHeight="1">
      <c r="A270" s="2" t="s">
        <v>9275</v>
      </c>
      <c r="B270" s="2" t="s">
        <v>9744</v>
      </c>
      <c r="C270" s="2" t="s">
        <v>9277</v>
      </c>
      <c r="D270" s="2">
        <v>0</v>
      </c>
      <c r="E270" s="2">
        <v>0</v>
      </c>
      <c r="F270" s="2">
        <v>16384</v>
      </c>
      <c r="G270" s="2">
        <v>0</v>
      </c>
      <c r="H270" s="2">
        <v>147456</v>
      </c>
      <c r="I270" s="2">
        <v>0</v>
      </c>
      <c r="J270" s="2">
        <v>1</v>
      </c>
      <c r="K270" s="275">
        <v>44294.709027777775</v>
      </c>
      <c r="M270" s="2" t="s">
        <v>9278</v>
      </c>
      <c r="N270" s="2" t="s">
        <v>9745</v>
      </c>
    </row>
    <row r="271" spans="1:14" ht="15.75" customHeight="1">
      <c r="A271" s="2" t="s">
        <v>9275</v>
      </c>
      <c r="B271" s="2" t="s">
        <v>9746</v>
      </c>
      <c r="C271" s="2" t="s">
        <v>9277</v>
      </c>
      <c r="D271" s="2">
        <v>0</v>
      </c>
      <c r="E271" s="2">
        <v>0</v>
      </c>
      <c r="F271" s="2">
        <v>16384</v>
      </c>
      <c r="G271" s="2">
        <v>0</v>
      </c>
      <c r="H271" s="2">
        <v>131072</v>
      </c>
      <c r="I271" s="2">
        <v>0</v>
      </c>
      <c r="J271" s="2">
        <v>1</v>
      </c>
      <c r="K271" s="275">
        <v>44294.709027777775</v>
      </c>
      <c r="M271" s="2" t="s">
        <v>9278</v>
      </c>
      <c r="N271" s="2" t="s">
        <v>9747</v>
      </c>
    </row>
    <row r="272" spans="1:14" ht="15.75" customHeight="1">
      <c r="A272" s="2" t="s">
        <v>9275</v>
      </c>
      <c r="B272" s="2" t="s">
        <v>9748</v>
      </c>
      <c r="C272" s="2" t="s">
        <v>9277</v>
      </c>
      <c r="D272" s="2">
        <v>3</v>
      </c>
      <c r="E272" s="2">
        <v>5461</v>
      </c>
      <c r="F272" s="2">
        <v>16384</v>
      </c>
      <c r="G272" s="2">
        <v>0</v>
      </c>
      <c r="H272" s="2">
        <v>98304</v>
      </c>
      <c r="I272" s="2">
        <v>0</v>
      </c>
      <c r="J272" s="2">
        <v>4</v>
      </c>
      <c r="K272" s="275">
        <v>44294.709027777775</v>
      </c>
      <c r="M272" s="2" t="s">
        <v>9278</v>
      </c>
      <c r="N272" s="2" t="s">
        <v>9749</v>
      </c>
    </row>
    <row r="273" spans="1:14" ht="15.75" customHeight="1">
      <c r="A273" s="2" t="s">
        <v>9275</v>
      </c>
      <c r="B273" s="2" t="s">
        <v>9750</v>
      </c>
      <c r="C273" s="2" t="s">
        <v>9277</v>
      </c>
      <c r="D273" s="2">
        <v>0</v>
      </c>
      <c r="E273" s="2">
        <v>0</v>
      </c>
      <c r="F273" s="2">
        <v>16384</v>
      </c>
      <c r="G273" s="2">
        <v>0</v>
      </c>
      <c r="H273" s="2">
        <v>0</v>
      </c>
      <c r="I273" s="2">
        <v>0</v>
      </c>
      <c r="J273" s="2">
        <v>1</v>
      </c>
      <c r="K273" s="275">
        <v>44294.709027777775</v>
      </c>
      <c r="M273" s="2" t="s">
        <v>9278</v>
      </c>
      <c r="N273" s="2" t="s">
        <v>9751</v>
      </c>
    </row>
    <row r="274" spans="1:14" ht="15.75" customHeight="1">
      <c r="A274" s="2" t="s">
        <v>9275</v>
      </c>
      <c r="B274" s="2" t="s">
        <v>9752</v>
      </c>
      <c r="C274" s="2" t="s">
        <v>9277</v>
      </c>
      <c r="D274" s="2">
        <v>0</v>
      </c>
      <c r="E274" s="2">
        <v>0</v>
      </c>
      <c r="F274" s="2">
        <v>16384</v>
      </c>
      <c r="G274" s="2">
        <v>0</v>
      </c>
      <c r="H274" s="2">
        <v>32768</v>
      </c>
      <c r="I274" s="2">
        <v>0</v>
      </c>
      <c r="J274" s="2">
        <v>1</v>
      </c>
      <c r="K274" s="275">
        <v>44336.703472222223</v>
      </c>
      <c r="M274" s="2" t="s">
        <v>9278</v>
      </c>
      <c r="N274" s="2" t="s">
        <v>9753</v>
      </c>
    </row>
    <row r="275" spans="1:14" ht="15.75" customHeight="1">
      <c r="A275" s="2" t="s">
        <v>9275</v>
      </c>
      <c r="B275" s="2" t="s">
        <v>9754</v>
      </c>
      <c r="C275" s="2" t="s">
        <v>9277</v>
      </c>
      <c r="D275" s="2">
        <v>4</v>
      </c>
      <c r="E275" s="2">
        <v>4096</v>
      </c>
      <c r="F275" s="2">
        <v>16384</v>
      </c>
      <c r="G275" s="2">
        <v>0</v>
      </c>
      <c r="H275" s="2">
        <v>49152</v>
      </c>
      <c r="I275" s="2">
        <v>0</v>
      </c>
      <c r="J275" s="2">
        <v>5</v>
      </c>
      <c r="K275" s="275">
        <v>44294.709027777775</v>
      </c>
      <c r="M275" s="2" t="s">
        <v>9278</v>
      </c>
      <c r="N275" s="2" t="s">
        <v>9755</v>
      </c>
    </row>
    <row r="276" spans="1:14" ht="15.75" customHeight="1">
      <c r="A276" s="2" t="s">
        <v>9275</v>
      </c>
      <c r="B276" s="2" t="s">
        <v>9756</v>
      </c>
      <c r="C276" s="2" t="s">
        <v>9277</v>
      </c>
      <c r="D276" s="2">
        <v>0</v>
      </c>
      <c r="E276" s="2">
        <v>0</v>
      </c>
      <c r="F276" s="2">
        <v>16384</v>
      </c>
      <c r="G276" s="2">
        <v>0</v>
      </c>
      <c r="H276" s="2">
        <v>131072</v>
      </c>
      <c r="I276" s="2">
        <v>0</v>
      </c>
      <c r="J276" s="2">
        <v>1</v>
      </c>
      <c r="K276" s="275">
        <v>44294.709027777775</v>
      </c>
      <c r="M276" s="2" t="s">
        <v>9278</v>
      </c>
      <c r="N276" s="2" t="s">
        <v>9757</v>
      </c>
    </row>
    <row r="277" spans="1:14" ht="15.75" customHeight="1">
      <c r="A277" s="2" t="s">
        <v>9275</v>
      </c>
      <c r="B277" s="2" t="s">
        <v>9758</v>
      </c>
      <c r="C277" s="2" t="s">
        <v>9277</v>
      </c>
      <c r="D277" s="2">
        <v>1476</v>
      </c>
      <c r="E277" s="2">
        <v>255</v>
      </c>
      <c r="F277" s="2">
        <v>376832</v>
      </c>
      <c r="G277" s="2">
        <v>0</v>
      </c>
      <c r="H277" s="2">
        <v>65536</v>
      </c>
      <c r="I277" s="2">
        <v>0</v>
      </c>
      <c r="J277" s="2">
        <v>1741</v>
      </c>
      <c r="K277" s="275">
        <v>44294.709027777775</v>
      </c>
      <c r="L277" s="275">
        <v>44448.420138888891</v>
      </c>
      <c r="M277" s="2" t="s">
        <v>9278</v>
      </c>
      <c r="N277" s="2" t="s">
        <v>9759</v>
      </c>
    </row>
    <row r="278" spans="1:14" ht="15.75" customHeight="1">
      <c r="A278" s="2" t="s">
        <v>9275</v>
      </c>
      <c r="B278" s="2" t="s">
        <v>9760</v>
      </c>
      <c r="C278" s="2" t="s">
        <v>9277</v>
      </c>
      <c r="D278" s="2">
        <v>9</v>
      </c>
      <c r="E278" s="2">
        <v>7281</v>
      </c>
      <c r="F278" s="2">
        <v>65536</v>
      </c>
      <c r="G278" s="2">
        <v>0</v>
      </c>
      <c r="H278" s="2">
        <v>0</v>
      </c>
      <c r="I278" s="2">
        <v>0</v>
      </c>
      <c r="J278" s="2">
        <v>16</v>
      </c>
      <c r="K278" s="275">
        <v>44294.709027777775</v>
      </c>
      <c r="L278" s="275">
        <v>44448.420138888891</v>
      </c>
      <c r="M278" s="2" t="s">
        <v>9278</v>
      </c>
      <c r="N278" s="2" t="s">
        <v>9761</v>
      </c>
    </row>
    <row r="279" spans="1:14" ht="15.75" customHeight="1">
      <c r="A279" s="2" t="s">
        <v>9275</v>
      </c>
      <c r="B279" s="2" t="s">
        <v>9762</v>
      </c>
      <c r="C279" s="2" t="s">
        <v>9277</v>
      </c>
      <c r="D279" s="2">
        <v>0</v>
      </c>
      <c r="E279" s="2">
        <v>0</v>
      </c>
      <c r="F279" s="2">
        <v>16384</v>
      </c>
      <c r="G279" s="2">
        <v>0</v>
      </c>
      <c r="H279" s="2">
        <v>16384</v>
      </c>
      <c r="I279" s="2">
        <v>0</v>
      </c>
      <c r="K279" s="275">
        <v>44294.709027777775</v>
      </c>
      <c r="M279" s="2" t="s">
        <v>9278</v>
      </c>
      <c r="N279" s="2" t="s">
        <v>9763</v>
      </c>
    </row>
    <row r="280" spans="1:14" ht="15.75" customHeight="1">
      <c r="A280" s="2" t="s">
        <v>9275</v>
      </c>
      <c r="B280" s="2" t="s">
        <v>9764</v>
      </c>
      <c r="C280" s="2" t="s">
        <v>9277</v>
      </c>
      <c r="D280" s="2">
        <v>3327</v>
      </c>
      <c r="E280" s="2">
        <v>64</v>
      </c>
      <c r="F280" s="2">
        <v>212992</v>
      </c>
      <c r="G280" s="2">
        <v>0</v>
      </c>
      <c r="H280" s="2">
        <v>147456</v>
      </c>
      <c r="I280" s="2">
        <v>0</v>
      </c>
      <c r="J280" s="2">
        <v>3334</v>
      </c>
      <c r="K280" s="275">
        <v>44294.709027777775</v>
      </c>
      <c r="L280" s="275">
        <v>44448.449305555558</v>
      </c>
      <c r="M280" s="2" t="s">
        <v>9278</v>
      </c>
      <c r="N280" s="2" t="s">
        <v>9759</v>
      </c>
    </row>
    <row r="281" spans="1:14" ht="15.75" customHeight="1">
      <c r="A281" s="2" t="s">
        <v>9275</v>
      </c>
      <c r="B281" s="2" t="s">
        <v>9765</v>
      </c>
      <c r="C281" s="2" t="s">
        <v>9277</v>
      </c>
      <c r="D281" s="2">
        <v>0</v>
      </c>
      <c r="E281" s="2">
        <v>0</v>
      </c>
      <c r="F281" s="2">
        <v>16384</v>
      </c>
      <c r="G281" s="2">
        <v>0</v>
      </c>
      <c r="H281" s="2">
        <v>49152</v>
      </c>
      <c r="I281" s="2">
        <v>0</v>
      </c>
      <c r="J281" s="2">
        <v>1</v>
      </c>
      <c r="K281" s="275">
        <v>44294.709027777775</v>
      </c>
      <c r="M281" s="2" t="s">
        <v>9278</v>
      </c>
      <c r="N281" s="2" t="s">
        <v>9766</v>
      </c>
    </row>
    <row r="282" spans="1:14" ht="15.75" customHeight="1">
      <c r="A282" s="2" t="s">
        <v>9275</v>
      </c>
      <c r="B282" s="2" t="s">
        <v>9767</v>
      </c>
      <c r="C282" s="2" t="s">
        <v>9277</v>
      </c>
      <c r="D282" s="2">
        <v>0</v>
      </c>
      <c r="E282" s="2">
        <v>0</v>
      </c>
      <c r="F282" s="2">
        <v>16384</v>
      </c>
      <c r="G282" s="2">
        <v>0</v>
      </c>
      <c r="H282" s="2">
        <v>65536</v>
      </c>
      <c r="I282" s="2">
        <v>0</v>
      </c>
      <c r="J282" s="2">
        <v>1</v>
      </c>
      <c r="K282" s="275">
        <v>44294.709027777775</v>
      </c>
      <c r="M282" s="2" t="s">
        <v>9278</v>
      </c>
      <c r="N282" s="2" t="s">
        <v>9768</v>
      </c>
    </row>
    <row r="283" spans="1:14" ht="15.75" customHeight="1">
      <c r="A283" s="2" t="s">
        <v>9275</v>
      </c>
      <c r="B283" s="2" t="s">
        <v>9769</v>
      </c>
      <c r="C283" s="2" t="s">
        <v>9277</v>
      </c>
      <c r="D283" s="2">
        <v>9</v>
      </c>
      <c r="E283" s="2">
        <v>5461</v>
      </c>
      <c r="F283" s="2">
        <v>49152</v>
      </c>
      <c r="G283" s="2">
        <v>0</v>
      </c>
      <c r="H283" s="2">
        <v>0</v>
      </c>
      <c r="I283" s="2">
        <v>0</v>
      </c>
      <c r="J283" s="2">
        <v>16</v>
      </c>
      <c r="K283" s="275">
        <v>44294.709027777775</v>
      </c>
      <c r="L283" s="275">
        <v>44448.176388888889</v>
      </c>
      <c r="M283" s="2" t="s">
        <v>9278</v>
      </c>
      <c r="N283" s="2" t="s">
        <v>9761</v>
      </c>
    </row>
    <row r="284" spans="1:14" ht="15.75" customHeight="1">
      <c r="A284" s="2" t="s">
        <v>9275</v>
      </c>
      <c r="B284" s="2" t="s">
        <v>9770</v>
      </c>
      <c r="C284" s="2" t="s">
        <v>9277</v>
      </c>
      <c r="D284" s="2">
        <v>1</v>
      </c>
      <c r="E284" s="2">
        <v>114688</v>
      </c>
      <c r="F284" s="2">
        <v>114688</v>
      </c>
      <c r="G284" s="2">
        <v>0</v>
      </c>
      <c r="H284" s="2">
        <v>16384</v>
      </c>
      <c r="I284" s="2">
        <v>33554432</v>
      </c>
      <c r="J284" s="2">
        <v>10145</v>
      </c>
      <c r="K284" s="275">
        <v>44294.709027777775</v>
      </c>
      <c r="L284" s="275">
        <v>44448.176388888889</v>
      </c>
      <c r="M284" s="2" t="s">
        <v>9278</v>
      </c>
      <c r="N284" s="2" t="s">
        <v>9771</v>
      </c>
    </row>
    <row r="285" spans="1:14" ht="15.75" customHeight="1">
      <c r="A285" s="2" t="s">
        <v>9275</v>
      </c>
      <c r="B285" s="2" t="s">
        <v>9772</v>
      </c>
      <c r="C285" s="2" t="s">
        <v>9277</v>
      </c>
      <c r="D285" s="2">
        <v>10</v>
      </c>
      <c r="E285" s="2">
        <v>1638</v>
      </c>
      <c r="F285" s="2">
        <v>16384</v>
      </c>
      <c r="G285" s="2">
        <v>0</v>
      </c>
      <c r="H285" s="2">
        <v>16384</v>
      </c>
      <c r="I285" s="2">
        <v>0</v>
      </c>
      <c r="J285" s="2">
        <v>13</v>
      </c>
      <c r="K285" s="275">
        <v>44294.709027777775</v>
      </c>
      <c r="L285" s="275">
        <v>44447.708333333336</v>
      </c>
      <c r="M285" s="2" t="s">
        <v>9278</v>
      </c>
      <c r="N285" s="2" t="s">
        <v>9773</v>
      </c>
    </row>
    <row r="286" spans="1:14" ht="15.75" customHeight="1">
      <c r="A286" s="2" t="s">
        <v>9275</v>
      </c>
      <c r="B286" s="2" t="s">
        <v>9774</v>
      </c>
      <c r="C286" s="2" t="s">
        <v>9277</v>
      </c>
      <c r="D286" s="2">
        <v>0</v>
      </c>
      <c r="E286" s="2">
        <v>0</v>
      </c>
      <c r="F286" s="2">
        <v>16384</v>
      </c>
      <c r="G286" s="2">
        <v>0</v>
      </c>
      <c r="H286" s="2">
        <v>0</v>
      </c>
      <c r="I286" s="2">
        <v>0</v>
      </c>
      <c r="J286" s="2">
        <v>1</v>
      </c>
      <c r="K286" s="275">
        <v>44294.709027777775</v>
      </c>
      <c r="M286" s="2" t="s">
        <v>9278</v>
      </c>
      <c r="N286" s="2" t="s">
        <v>9775</v>
      </c>
    </row>
    <row r="287" spans="1:14" ht="15.75" customHeight="1">
      <c r="A287" s="2" t="s">
        <v>9275</v>
      </c>
      <c r="B287" s="2" t="s">
        <v>9776</v>
      </c>
      <c r="C287" s="2" t="s">
        <v>9277</v>
      </c>
      <c r="D287" s="2">
        <v>1699</v>
      </c>
      <c r="E287" s="2">
        <v>67</v>
      </c>
      <c r="F287" s="2">
        <v>114688</v>
      </c>
      <c r="G287" s="2">
        <v>0</v>
      </c>
      <c r="H287" s="2">
        <v>65536</v>
      </c>
      <c r="I287" s="2">
        <v>0</v>
      </c>
      <c r="J287" s="2">
        <v>4888</v>
      </c>
      <c r="K287" s="275">
        <v>44294.709027777775</v>
      </c>
      <c r="L287" s="275">
        <v>44448.138888888891</v>
      </c>
      <c r="M287" s="2" t="s">
        <v>9278</v>
      </c>
      <c r="N287" s="2" t="s">
        <v>9777</v>
      </c>
    </row>
    <row r="288" spans="1:14" ht="15.75" customHeight="1">
      <c r="A288" s="2" t="s">
        <v>9275</v>
      </c>
      <c r="B288" s="2" t="s">
        <v>9778</v>
      </c>
      <c r="C288" s="2" t="s">
        <v>9277</v>
      </c>
      <c r="D288" s="2">
        <v>2700</v>
      </c>
      <c r="E288" s="2">
        <v>188</v>
      </c>
      <c r="F288" s="2">
        <v>507904</v>
      </c>
      <c r="G288" s="2">
        <v>0</v>
      </c>
      <c r="H288" s="2">
        <v>0</v>
      </c>
      <c r="I288" s="2">
        <v>0</v>
      </c>
      <c r="J288" s="2">
        <v>2746</v>
      </c>
      <c r="K288" s="275">
        <v>44294.709027777775</v>
      </c>
      <c r="L288" s="275">
        <v>44448.449305555558</v>
      </c>
      <c r="M288" s="2" t="s">
        <v>9278</v>
      </c>
      <c r="N288" s="2" t="s">
        <v>9779</v>
      </c>
    </row>
    <row r="289" spans="1:14" ht="15.75" customHeight="1">
      <c r="A289" s="2" t="s">
        <v>9275</v>
      </c>
      <c r="B289" s="2" t="s">
        <v>9780</v>
      </c>
      <c r="C289" s="2" t="s">
        <v>9277</v>
      </c>
      <c r="D289" s="2">
        <v>1</v>
      </c>
      <c r="E289" s="2">
        <v>16384</v>
      </c>
      <c r="F289" s="2">
        <v>16384</v>
      </c>
      <c r="G289" s="2">
        <v>0</v>
      </c>
      <c r="H289" s="2">
        <v>0</v>
      </c>
      <c r="I289" s="2">
        <v>6291456</v>
      </c>
      <c r="J289" s="2">
        <v>10137</v>
      </c>
      <c r="K289" s="275">
        <v>44294.709027777775</v>
      </c>
      <c r="L289" s="275">
        <v>44400.38958333333</v>
      </c>
      <c r="M289" s="2" t="s">
        <v>9278</v>
      </c>
      <c r="N289" s="2" t="s">
        <v>9781</v>
      </c>
    </row>
    <row r="290" spans="1:14" ht="15.75" customHeight="1">
      <c r="A290" s="2" t="s">
        <v>9275</v>
      </c>
      <c r="B290" s="2" t="s">
        <v>9782</v>
      </c>
      <c r="C290" s="2" t="s">
        <v>9277</v>
      </c>
      <c r="D290" s="2">
        <v>23</v>
      </c>
      <c r="E290" s="2">
        <v>712</v>
      </c>
      <c r="F290" s="2">
        <v>16384</v>
      </c>
      <c r="G290" s="2">
        <v>0</v>
      </c>
      <c r="H290" s="2">
        <v>16384</v>
      </c>
      <c r="I290" s="2">
        <v>0</v>
      </c>
      <c r="J290" s="2">
        <v>24</v>
      </c>
      <c r="K290" s="275">
        <v>44294.709027777775</v>
      </c>
      <c r="L290" s="275">
        <v>44448.451388888891</v>
      </c>
      <c r="M290" s="2" t="s">
        <v>9278</v>
      </c>
      <c r="N290" s="2" t="s">
        <v>9783</v>
      </c>
    </row>
    <row r="291" spans="1:14" ht="15.75" customHeight="1">
      <c r="A291" s="2" t="s">
        <v>9275</v>
      </c>
      <c r="B291" s="2" t="s">
        <v>9784</v>
      </c>
      <c r="C291" s="2" t="s">
        <v>9277</v>
      </c>
      <c r="D291" s="2">
        <v>4</v>
      </c>
      <c r="E291" s="2">
        <v>4096</v>
      </c>
      <c r="F291" s="2">
        <v>16384</v>
      </c>
      <c r="G291" s="2">
        <v>0</v>
      </c>
      <c r="H291" s="2">
        <v>32768</v>
      </c>
      <c r="I291" s="2">
        <v>0</v>
      </c>
      <c r="J291" s="2">
        <v>6</v>
      </c>
      <c r="K291" s="275">
        <v>44294.709027777775</v>
      </c>
      <c r="L291" s="275">
        <v>44420.314583333333</v>
      </c>
      <c r="M291" s="2" t="s">
        <v>9278</v>
      </c>
      <c r="N291" s="2" t="s">
        <v>9784</v>
      </c>
    </row>
    <row r="292" spans="1:14" ht="15.75" customHeight="1">
      <c r="A292" s="2" t="s">
        <v>9275</v>
      </c>
      <c r="B292" s="2" t="s">
        <v>9785</v>
      </c>
      <c r="C292" s="2" t="s">
        <v>9277</v>
      </c>
      <c r="D292" s="2">
        <v>219</v>
      </c>
      <c r="E292" s="2">
        <v>74</v>
      </c>
      <c r="F292" s="2">
        <v>16384</v>
      </c>
      <c r="G292" s="2">
        <v>0</v>
      </c>
      <c r="H292" s="2">
        <v>0</v>
      </c>
      <c r="I292" s="2">
        <v>0</v>
      </c>
      <c r="J292" s="2">
        <v>249657</v>
      </c>
      <c r="K292" s="275">
        <v>44294.709027777775</v>
      </c>
      <c r="L292" s="275">
        <v>44448.451388888891</v>
      </c>
      <c r="M292" s="2" t="s">
        <v>9278</v>
      </c>
      <c r="N292" s="2" t="s">
        <v>9785</v>
      </c>
    </row>
    <row r="293" spans="1:14" ht="15.75" customHeight="1">
      <c r="A293" s="2" t="s">
        <v>9275</v>
      </c>
      <c r="B293" s="2" t="s">
        <v>9786</v>
      </c>
      <c r="C293" s="2" t="s">
        <v>9277</v>
      </c>
      <c r="D293" s="2">
        <v>0</v>
      </c>
      <c r="E293" s="2">
        <v>0</v>
      </c>
      <c r="F293" s="2">
        <v>16384</v>
      </c>
      <c r="G293" s="2">
        <v>0</v>
      </c>
      <c r="H293" s="2">
        <v>0</v>
      </c>
      <c r="I293" s="2">
        <v>0</v>
      </c>
      <c r="K293" s="275">
        <v>44294.709027777775</v>
      </c>
      <c r="M293" s="2" t="s">
        <v>9278</v>
      </c>
    </row>
    <row r="294" spans="1:14" ht="15.75" customHeight="1">
      <c r="A294" s="2" t="s">
        <v>9275</v>
      </c>
      <c r="B294" s="2" t="s">
        <v>9787</v>
      </c>
      <c r="C294" s="2" t="s">
        <v>9277</v>
      </c>
      <c r="D294" s="2">
        <v>14203</v>
      </c>
      <c r="E294" s="2">
        <v>93</v>
      </c>
      <c r="F294" s="2">
        <v>1327104</v>
      </c>
      <c r="G294" s="2">
        <v>0</v>
      </c>
      <c r="H294" s="2">
        <v>0</v>
      </c>
      <c r="I294" s="2">
        <v>4194304</v>
      </c>
      <c r="K294" s="275">
        <v>44294.709027777775</v>
      </c>
      <c r="L294" s="275">
        <v>44448.441666666666</v>
      </c>
      <c r="M294" s="2" t="s">
        <v>9278</v>
      </c>
    </row>
    <row r="295" spans="1:14" ht="15.75" customHeight="1">
      <c r="A295" s="2" t="s">
        <v>9275</v>
      </c>
      <c r="B295" s="2" t="s">
        <v>9788</v>
      </c>
      <c r="C295" s="2" t="s">
        <v>9277</v>
      </c>
      <c r="D295" s="2">
        <v>0</v>
      </c>
      <c r="E295" s="2">
        <v>0</v>
      </c>
      <c r="F295" s="2">
        <v>16384</v>
      </c>
      <c r="G295" s="2">
        <v>0</v>
      </c>
      <c r="H295" s="2">
        <v>0</v>
      </c>
      <c r="I295" s="2">
        <v>0</v>
      </c>
      <c r="J295" s="2">
        <v>1</v>
      </c>
      <c r="K295" s="275">
        <v>44294.709027777775</v>
      </c>
      <c r="M295" s="2" t="s">
        <v>9278</v>
      </c>
    </row>
    <row r="296" spans="1:14" ht="15.75" customHeight="1">
      <c r="A296" s="2" t="s">
        <v>9275</v>
      </c>
      <c r="B296" s="2" t="s">
        <v>9789</v>
      </c>
      <c r="C296" s="2" t="s">
        <v>9277</v>
      </c>
      <c r="D296" s="2">
        <v>0</v>
      </c>
      <c r="E296" s="2">
        <v>0</v>
      </c>
      <c r="F296" s="2">
        <v>16384</v>
      </c>
      <c r="G296" s="2">
        <v>0</v>
      </c>
      <c r="H296" s="2">
        <v>0</v>
      </c>
      <c r="I296" s="2">
        <v>0</v>
      </c>
      <c r="J296" s="2">
        <v>1</v>
      </c>
      <c r="K296" s="275">
        <v>44294.709027777775</v>
      </c>
      <c r="M296" s="2" t="s">
        <v>9278</v>
      </c>
    </row>
    <row r="297" spans="1:14" ht="15.75" customHeight="1">
      <c r="A297" s="2" t="s">
        <v>9275</v>
      </c>
      <c r="B297" s="2" t="s">
        <v>9790</v>
      </c>
      <c r="C297" s="2" t="s">
        <v>9277</v>
      </c>
      <c r="D297" s="2">
        <v>0</v>
      </c>
      <c r="E297" s="2">
        <v>0</v>
      </c>
      <c r="F297" s="2">
        <v>16384</v>
      </c>
      <c r="G297" s="2">
        <v>0</v>
      </c>
      <c r="H297" s="2">
        <v>0</v>
      </c>
      <c r="I297" s="2">
        <v>0</v>
      </c>
      <c r="J297" s="2">
        <v>1</v>
      </c>
      <c r="K297" s="275">
        <v>44294.709027777775</v>
      </c>
      <c r="M297" s="2" t="s">
        <v>9278</v>
      </c>
    </row>
    <row r="298" spans="1:14" ht="15.75" customHeight="1">
      <c r="A298" s="2" t="s">
        <v>9275</v>
      </c>
      <c r="B298" s="2" t="s">
        <v>9791</v>
      </c>
      <c r="C298" s="2" t="s">
        <v>9277</v>
      </c>
      <c r="D298" s="2">
        <v>6398</v>
      </c>
      <c r="E298" s="2">
        <v>330</v>
      </c>
      <c r="F298" s="2">
        <v>2113536</v>
      </c>
      <c r="G298" s="2">
        <v>0</v>
      </c>
      <c r="H298" s="2">
        <v>262144</v>
      </c>
      <c r="I298" s="2">
        <v>4194304</v>
      </c>
      <c r="J298" s="2">
        <v>135793</v>
      </c>
      <c r="K298" s="275">
        <v>44294.709027777775</v>
      </c>
      <c r="L298" s="275">
        <v>44448.451388888891</v>
      </c>
      <c r="M298" s="2" t="s">
        <v>9278</v>
      </c>
    </row>
    <row r="299" spans="1:14" ht="15.75" customHeight="1">
      <c r="A299" s="2" t="s">
        <v>9275</v>
      </c>
      <c r="B299" s="2" t="s">
        <v>9792</v>
      </c>
      <c r="C299" s="2" t="s">
        <v>9277</v>
      </c>
      <c r="D299" s="2">
        <v>23912</v>
      </c>
      <c r="E299" s="2">
        <v>66</v>
      </c>
      <c r="F299" s="2">
        <v>1589248</v>
      </c>
      <c r="G299" s="2">
        <v>0</v>
      </c>
      <c r="H299" s="2">
        <v>0</v>
      </c>
      <c r="I299" s="2">
        <v>4194304</v>
      </c>
      <c r="K299" s="275">
        <v>44294.709027777775</v>
      </c>
      <c r="L299" s="275">
        <v>44448.451388888891</v>
      </c>
      <c r="M299" s="2" t="s">
        <v>9278</v>
      </c>
    </row>
    <row r="300" spans="1:14" ht="15.75" customHeight="1">
      <c r="A300" s="2" t="s">
        <v>9275</v>
      </c>
      <c r="B300" s="2" t="s">
        <v>9793</v>
      </c>
      <c r="C300" s="2" t="s">
        <v>9277</v>
      </c>
      <c r="D300" s="2">
        <v>1</v>
      </c>
      <c r="E300" s="2">
        <v>16384</v>
      </c>
      <c r="F300" s="2">
        <v>16384</v>
      </c>
      <c r="G300" s="2">
        <v>0</v>
      </c>
      <c r="H300" s="2">
        <v>0</v>
      </c>
      <c r="I300" s="2">
        <v>0</v>
      </c>
      <c r="K300" s="275">
        <v>44294.709027777775</v>
      </c>
      <c r="M300" s="2" t="s">
        <v>9278</v>
      </c>
    </row>
    <row r="301" spans="1:14" ht="15.75" customHeight="1">
      <c r="A301" s="2" t="s">
        <v>9275</v>
      </c>
      <c r="B301" s="2" t="s">
        <v>9794</v>
      </c>
      <c r="C301" s="2" t="s">
        <v>9277</v>
      </c>
      <c r="D301" s="2">
        <v>0</v>
      </c>
      <c r="E301" s="2">
        <v>0</v>
      </c>
      <c r="F301" s="2">
        <v>16384</v>
      </c>
      <c r="G301" s="2">
        <v>0</v>
      </c>
      <c r="H301" s="2">
        <v>16384</v>
      </c>
      <c r="I301" s="2">
        <v>0</v>
      </c>
      <c r="J301" s="2">
        <v>1</v>
      </c>
      <c r="K301" s="275">
        <v>44294.709027777775</v>
      </c>
      <c r="M301" s="2" t="s">
        <v>9278</v>
      </c>
    </row>
    <row r="302" spans="1:14" ht="15.75" customHeight="1">
      <c r="A302" s="2" t="s">
        <v>9275</v>
      </c>
      <c r="B302" s="2" t="s">
        <v>9795</v>
      </c>
      <c r="C302" s="2" t="s">
        <v>9277</v>
      </c>
      <c r="D302" s="2">
        <v>43392</v>
      </c>
      <c r="E302" s="2">
        <v>60</v>
      </c>
      <c r="F302" s="2">
        <v>2637824</v>
      </c>
      <c r="G302" s="2">
        <v>0</v>
      </c>
      <c r="H302" s="2">
        <v>4849664</v>
      </c>
      <c r="I302" s="2">
        <v>4194304</v>
      </c>
      <c r="J302" s="2">
        <v>1916815</v>
      </c>
      <c r="K302" s="275">
        <v>44294.709027777775</v>
      </c>
      <c r="L302" s="275">
        <v>44448.451388888891</v>
      </c>
      <c r="M302" s="2" t="s">
        <v>9278</v>
      </c>
    </row>
    <row r="303" spans="1:14" ht="15.75" customHeight="1">
      <c r="A303" s="2" t="s">
        <v>9275</v>
      </c>
      <c r="B303" s="2" t="s">
        <v>9796</v>
      </c>
      <c r="C303" s="2" t="s">
        <v>9277</v>
      </c>
      <c r="D303" s="2">
        <v>1</v>
      </c>
      <c r="E303" s="2">
        <v>16384</v>
      </c>
      <c r="F303" s="2">
        <v>16384</v>
      </c>
      <c r="G303" s="2">
        <v>0</v>
      </c>
      <c r="H303" s="2">
        <v>49152</v>
      </c>
      <c r="I303" s="2">
        <v>0</v>
      </c>
      <c r="J303" s="2">
        <v>2</v>
      </c>
      <c r="K303" s="275">
        <v>44294.709027777775</v>
      </c>
      <c r="M303" s="2" t="s">
        <v>9278</v>
      </c>
    </row>
    <row r="304" spans="1:14" ht="15.75" customHeight="1">
      <c r="A304" s="2" t="s">
        <v>9275</v>
      </c>
      <c r="B304" s="2" t="s">
        <v>9797</v>
      </c>
      <c r="C304" s="2" t="s">
        <v>9277</v>
      </c>
      <c r="D304" s="2">
        <v>1</v>
      </c>
      <c r="E304" s="2">
        <v>16384</v>
      </c>
      <c r="F304" s="2">
        <v>16384</v>
      </c>
      <c r="G304" s="2">
        <v>0</v>
      </c>
      <c r="H304" s="2">
        <v>0</v>
      </c>
      <c r="I304" s="2">
        <v>0</v>
      </c>
      <c r="J304" s="2">
        <v>2</v>
      </c>
      <c r="K304" s="275">
        <v>44294.709027777775</v>
      </c>
      <c r="M304" s="2" t="s">
        <v>9278</v>
      </c>
    </row>
    <row r="305" spans="1:14" ht="15.75" customHeight="1">
      <c r="A305" s="2" t="s">
        <v>9275</v>
      </c>
      <c r="B305" s="2" t="s">
        <v>9798</v>
      </c>
      <c r="C305" s="2" t="s">
        <v>9799</v>
      </c>
      <c r="K305" s="275">
        <v>44294.711111111108</v>
      </c>
      <c r="N305" s="2" t="s">
        <v>9799</v>
      </c>
    </row>
    <row r="306" spans="1:14" ht="15.75" customHeight="1">
      <c r="A306" s="2" t="s">
        <v>9275</v>
      </c>
      <c r="B306" s="2" t="s">
        <v>9800</v>
      </c>
      <c r="C306" s="2" t="s">
        <v>9277</v>
      </c>
      <c r="D306" s="2">
        <v>1</v>
      </c>
      <c r="E306" s="2">
        <v>16384</v>
      </c>
      <c r="F306" s="2">
        <v>16384</v>
      </c>
      <c r="G306" s="2">
        <v>0</v>
      </c>
      <c r="H306" s="2">
        <v>16384</v>
      </c>
      <c r="I306" s="2">
        <v>0</v>
      </c>
      <c r="K306" s="275">
        <v>44294.709027777775</v>
      </c>
      <c r="M306" s="2" t="s">
        <v>9278</v>
      </c>
    </row>
    <row r="307" spans="1:14" ht="15.75" customHeight="1">
      <c r="A307" s="2" t="s">
        <v>9275</v>
      </c>
      <c r="B307" s="2" t="s">
        <v>9801</v>
      </c>
      <c r="C307" s="2" t="s">
        <v>9277</v>
      </c>
      <c r="D307" s="2">
        <v>0</v>
      </c>
      <c r="E307" s="2">
        <v>0</v>
      </c>
      <c r="F307" s="2">
        <v>16384</v>
      </c>
      <c r="G307" s="2">
        <v>0</v>
      </c>
      <c r="H307" s="2">
        <v>32768</v>
      </c>
      <c r="I307" s="2">
        <v>0</v>
      </c>
      <c r="J307" s="2">
        <v>1</v>
      </c>
      <c r="K307" s="275">
        <v>44294.709027777775</v>
      </c>
      <c r="M307" s="2" t="s">
        <v>9278</v>
      </c>
      <c r="N307" s="2" t="s">
        <v>9802</v>
      </c>
    </row>
    <row r="308" spans="1:14" ht="15.75" customHeight="1">
      <c r="A308" s="2" t="s">
        <v>9275</v>
      </c>
      <c r="B308" s="2" t="s">
        <v>9803</v>
      </c>
      <c r="C308" s="2" t="s">
        <v>9277</v>
      </c>
      <c r="D308" s="2">
        <v>0</v>
      </c>
      <c r="E308" s="2">
        <v>0</v>
      </c>
      <c r="F308" s="2">
        <v>16384</v>
      </c>
      <c r="G308" s="2">
        <v>0</v>
      </c>
      <c r="H308" s="2">
        <v>16384</v>
      </c>
      <c r="I308" s="2">
        <v>0</v>
      </c>
      <c r="J308" s="2">
        <v>1</v>
      </c>
      <c r="K308" s="275">
        <v>44294.709027777775</v>
      </c>
      <c r="M308" s="2" t="s">
        <v>9278</v>
      </c>
      <c r="N308" s="2" t="s">
        <v>9804</v>
      </c>
    </row>
    <row r="309" spans="1:14" ht="15.75" customHeight="1">
      <c r="A309" s="2" t="s">
        <v>9275</v>
      </c>
      <c r="B309" s="2" t="s">
        <v>9805</v>
      </c>
      <c r="C309" s="2" t="s">
        <v>9277</v>
      </c>
      <c r="D309" s="2">
        <v>0</v>
      </c>
      <c r="E309" s="2">
        <v>0</v>
      </c>
      <c r="F309" s="2">
        <v>16384</v>
      </c>
      <c r="G309" s="2">
        <v>0</v>
      </c>
      <c r="H309" s="2">
        <v>49152</v>
      </c>
      <c r="I309" s="2">
        <v>0</v>
      </c>
      <c r="J309" s="2">
        <v>1</v>
      </c>
      <c r="K309" s="275">
        <v>44294.709027777775</v>
      </c>
      <c r="M309" s="2" t="s">
        <v>9278</v>
      </c>
      <c r="N309" s="2" t="s">
        <v>9806</v>
      </c>
    </row>
    <row r="310" spans="1:14" ht="15.75" customHeight="1">
      <c r="A310" s="2" t="s">
        <v>9275</v>
      </c>
      <c r="B310" s="2" t="s">
        <v>9807</v>
      </c>
      <c r="C310" s="2" t="s">
        <v>9277</v>
      </c>
      <c r="D310" s="2">
        <v>0</v>
      </c>
      <c r="E310" s="2">
        <v>0</v>
      </c>
      <c r="F310" s="2">
        <v>16384</v>
      </c>
      <c r="G310" s="2">
        <v>0</v>
      </c>
      <c r="H310" s="2">
        <v>16384</v>
      </c>
      <c r="I310" s="2">
        <v>0</v>
      </c>
      <c r="J310" s="2">
        <v>1</v>
      </c>
      <c r="K310" s="275">
        <v>44294.709027777775</v>
      </c>
      <c r="M310" s="2" t="s">
        <v>9278</v>
      </c>
      <c r="N310" s="2" t="s">
        <v>9808</v>
      </c>
    </row>
    <row r="311" spans="1:14" ht="15.75" customHeight="1">
      <c r="A311" s="2" t="s">
        <v>9275</v>
      </c>
      <c r="B311" s="2" t="s">
        <v>9809</v>
      </c>
      <c r="C311" s="2" t="s">
        <v>9277</v>
      </c>
      <c r="D311" s="2">
        <v>0</v>
      </c>
      <c r="E311" s="2">
        <v>0</v>
      </c>
      <c r="F311" s="2">
        <v>16384</v>
      </c>
      <c r="G311" s="2">
        <v>0</v>
      </c>
      <c r="H311" s="2">
        <v>16384</v>
      </c>
      <c r="I311" s="2">
        <v>0</v>
      </c>
      <c r="K311" s="275">
        <v>44294.709027777775</v>
      </c>
      <c r="M311" s="2" t="s">
        <v>9278</v>
      </c>
      <c r="N311" s="2" t="s">
        <v>9810</v>
      </c>
    </row>
    <row r="312" spans="1:14" ht="15.75" customHeight="1">
      <c r="A312" s="2" t="s">
        <v>9275</v>
      </c>
      <c r="B312" s="2" t="s">
        <v>9811</v>
      </c>
      <c r="C312" s="2" t="s">
        <v>9277</v>
      </c>
      <c r="D312" s="2">
        <v>0</v>
      </c>
      <c r="E312" s="2">
        <v>0</v>
      </c>
      <c r="F312" s="2">
        <v>16384</v>
      </c>
      <c r="G312" s="2">
        <v>0</v>
      </c>
      <c r="H312" s="2">
        <v>0</v>
      </c>
      <c r="I312" s="2">
        <v>0</v>
      </c>
      <c r="K312" s="275">
        <v>44336.703472222223</v>
      </c>
      <c r="M312" s="2" t="s">
        <v>9278</v>
      </c>
      <c r="N312" s="2" t="s">
        <v>9812</v>
      </c>
    </row>
    <row r="313" spans="1:14" ht="15.75" customHeight="1">
      <c r="A313" s="2" t="s">
        <v>9275</v>
      </c>
      <c r="B313" s="2" t="s">
        <v>9813</v>
      </c>
      <c r="C313" s="2" t="s">
        <v>9277</v>
      </c>
      <c r="D313" s="2">
        <v>0</v>
      </c>
      <c r="E313" s="2">
        <v>0</v>
      </c>
      <c r="F313" s="2">
        <v>16384</v>
      </c>
      <c r="G313" s="2">
        <v>0</v>
      </c>
      <c r="H313" s="2">
        <v>16384</v>
      </c>
      <c r="I313" s="2">
        <v>0</v>
      </c>
      <c r="J313" s="2">
        <v>1</v>
      </c>
      <c r="K313" s="275">
        <v>44294.709027777775</v>
      </c>
      <c r="M313" s="2" t="s">
        <v>9278</v>
      </c>
      <c r="N313" s="2" t="s">
        <v>9814</v>
      </c>
    </row>
    <row r="314" spans="1:14" ht="15.75" customHeight="1">
      <c r="A314" s="2" t="s">
        <v>9275</v>
      </c>
      <c r="B314" s="2" t="s">
        <v>9815</v>
      </c>
      <c r="C314" s="2" t="s">
        <v>9277</v>
      </c>
      <c r="D314" s="2">
        <v>0</v>
      </c>
      <c r="E314" s="2">
        <v>0</v>
      </c>
      <c r="F314" s="2">
        <v>16384</v>
      </c>
      <c r="G314" s="2">
        <v>0</v>
      </c>
      <c r="H314" s="2">
        <v>49152</v>
      </c>
      <c r="I314" s="2">
        <v>0</v>
      </c>
      <c r="J314" s="2">
        <v>1</v>
      </c>
      <c r="K314" s="275">
        <v>44336.703472222223</v>
      </c>
      <c r="M314" s="2" t="s">
        <v>9278</v>
      </c>
      <c r="N314" s="2" t="s">
        <v>9816</v>
      </c>
    </row>
    <row r="315" spans="1:14" ht="15.75" customHeight="1">
      <c r="A315" s="2" t="s">
        <v>9275</v>
      </c>
      <c r="B315" s="2" t="s">
        <v>9817</v>
      </c>
      <c r="C315" s="2" t="s">
        <v>9277</v>
      </c>
      <c r="D315" s="2">
        <v>0</v>
      </c>
      <c r="E315" s="2">
        <v>0</v>
      </c>
      <c r="F315" s="2">
        <v>16384</v>
      </c>
      <c r="G315" s="2">
        <v>0</v>
      </c>
      <c r="H315" s="2">
        <v>16384</v>
      </c>
      <c r="I315" s="2">
        <v>0</v>
      </c>
      <c r="J315" s="2">
        <v>1</v>
      </c>
      <c r="K315" s="275">
        <v>44294.709027777775</v>
      </c>
      <c r="M315" s="2" t="s">
        <v>9278</v>
      </c>
      <c r="N315" s="2" t="s">
        <v>9818</v>
      </c>
    </row>
    <row r="316" spans="1:14" ht="15.75" customHeight="1">
      <c r="A316" s="2" t="s">
        <v>9275</v>
      </c>
      <c r="B316" s="2" t="s">
        <v>9819</v>
      </c>
      <c r="C316" s="2" t="s">
        <v>9277</v>
      </c>
      <c r="D316" s="2">
        <v>0</v>
      </c>
      <c r="E316" s="2">
        <v>0</v>
      </c>
      <c r="F316" s="2">
        <v>16384</v>
      </c>
      <c r="G316" s="2">
        <v>0</v>
      </c>
      <c r="H316" s="2">
        <v>16384</v>
      </c>
      <c r="I316" s="2">
        <v>0</v>
      </c>
      <c r="J316" s="2">
        <v>1</v>
      </c>
      <c r="K316" s="275">
        <v>44336.703472222223</v>
      </c>
      <c r="M316" s="2" t="s">
        <v>9278</v>
      </c>
      <c r="N316" s="2" t="s">
        <v>9820</v>
      </c>
    </row>
    <row r="317" spans="1:14" ht="15.75" customHeight="1">
      <c r="A317" s="2" t="s">
        <v>9275</v>
      </c>
      <c r="B317" s="2" t="s">
        <v>9821</v>
      </c>
      <c r="C317" s="2" t="s">
        <v>9277</v>
      </c>
      <c r="D317" s="2">
        <v>0</v>
      </c>
      <c r="E317" s="2">
        <v>0</v>
      </c>
      <c r="F317" s="2">
        <v>16384</v>
      </c>
      <c r="G317" s="2">
        <v>0</v>
      </c>
      <c r="H317" s="2">
        <v>16384</v>
      </c>
      <c r="I317" s="2">
        <v>0</v>
      </c>
      <c r="J317" s="2">
        <v>1</v>
      </c>
      <c r="K317" s="275">
        <v>44294.709027777775</v>
      </c>
      <c r="M317" s="2" t="s">
        <v>9278</v>
      </c>
      <c r="N317" s="2" t="s">
        <v>9822</v>
      </c>
    </row>
    <row r="318" spans="1:14" ht="15.75" customHeight="1">
      <c r="A318" s="2" t="s">
        <v>9275</v>
      </c>
      <c r="B318" s="2" t="s">
        <v>9823</v>
      </c>
      <c r="C318" s="2" t="s">
        <v>9277</v>
      </c>
      <c r="D318" s="2">
        <v>8653</v>
      </c>
      <c r="E318" s="2">
        <v>244</v>
      </c>
      <c r="F318" s="2">
        <v>2113536</v>
      </c>
      <c r="G318" s="2">
        <v>0</v>
      </c>
      <c r="H318" s="2">
        <v>1064960</v>
      </c>
      <c r="I318" s="2">
        <v>20971520</v>
      </c>
      <c r="J318" s="2">
        <v>180698</v>
      </c>
      <c r="K318" s="275">
        <v>44294.709027777775</v>
      </c>
      <c r="L318" s="275">
        <v>44448.45</v>
      </c>
      <c r="M318" s="2" t="s">
        <v>9278</v>
      </c>
      <c r="N318" s="2" t="s">
        <v>9823</v>
      </c>
    </row>
    <row r="319" spans="1:14" ht="15.75" customHeight="1">
      <c r="A319" s="2" t="s">
        <v>9275</v>
      </c>
      <c r="B319" s="2" t="s">
        <v>9824</v>
      </c>
      <c r="C319" s="2" t="s">
        <v>9277</v>
      </c>
      <c r="D319" s="2">
        <v>4106</v>
      </c>
      <c r="E319" s="2">
        <v>75</v>
      </c>
      <c r="F319" s="2">
        <v>311296</v>
      </c>
      <c r="G319" s="2">
        <v>0</v>
      </c>
      <c r="H319" s="2">
        <v>212992</v>
      </c>
      <c r="I319" s="2">
        <v>0</v>
      </c>
      <c r="J319" s="2">
        <v>4107</v>
      </c>
      <c r="K319" s="275">
        <v>44294.709027777775</v>
      </c>
      <c r="M319" s="2" t="s">
        <v>9278</v>
      </c>
      <c r="N319" s="2" t="s">
        <v>9825</v>
      </c>
    </row>
    <row r="320" spans="1:14" ht="15.75" customHeight="1">
      <c r="A320" s="2" t="s">
        <v>9275</v>
      </c>
      <c r="B320" s="2" t="s">
        <v>9826</v>
      </c>
      <c r="C320" s="2" t="s">
        <v>9277</v>
      </c>
      <c r="D320" s="2">
        <v>0</v>
      </c>
      <c r="E320" s="2">
        <v>0</v>
      </c>
      <c r="F320" s="2">
        <v>16384</v>
      </c>
      <c r="G320" s="2">
        <v>0</v>
      </c>
      <c r="H320" s="2">
        <v>49152</v>
      </c>
      <c r="I320" s="2">
        <v>0</v>
      </c>
      <c r="J320" s="2">
        <v>1</v>
      </c>
      <c r="K320" s="275">
        <v>44294.709027777775</v>
      </c>
      <c r="M320" s="2" t="s">
        <v>9278</v>
      </c>
      <c r="N320" s="2" t="s">
        <v>9827</v>
      </c>
    </row>
    <row r="321" spans="1:14" ht="15.75" customHeight="1">
      <c r="A321" s="2" t="s">
        <v>9275</v>
      </c>
      <c r="B321" s="2" t="s">
        <v>9828</v>
      </c>
      <c r="C321" s="2" t="s">
        <v>9277</v>
      </c>
      <c r="D321" s="2">
        <v>190</v>
      </c>
      <c r="E321" s="2">
        <v>86</v>
      </c>
      <c r="F321" s="2">
        <v>16384</v>
      </c>
      <c r="G321" s="2">
        <v>0</v>
      </c>
      <c r="H321" s="2">
        <v>16384</v>
      </c>
      <c r="I321" s="2">
        <v>0</v>
      </c>
      <c r="K321" s="275">
        <v>44294.709027777775</v>
      </c>
      <c r="M321" s="2" t="s">
        <v>9278</v>
      </c>
      <c r="N321" s="2" t="s">
        <v>9829</v>
      </c>
    </row>
    <row r="322" spans="1:14" ht="15.75" customHeight="1">
      <c r="A322" s="2" t="s">
        <v>9275</v>
      </c>
      <c r="B322" s="2" t="s">
        <v>9830</v>
      </c>
      <c r="C322" s="2" t="s">
        <v>9277</v>
      </c>
      <c r="D322" s="2">
        <v>408</v>
      </c>
      <c r="E322" s="2">
        <v>240</v>
      </c>
      <c r="F322" s="2">
        <v>98304</v>
      </c>
      <c r="G322" s="2">
        <v>0</v>
      </c>
      <c r="H322" s="2">
        <v>32768</v>
      </c>
      <c r="I322" s="2">
        <v>0</v>
      </c>
      <c r="J322" s="2">
        <v>570</v>
      </c>
      <c r="K322" s="275">
        <v>44336.703472222223</v>
      </c>
      <c r="M322" s="2" t="s">
        <v>9278</v>
      </c>
      <c r="N322" s="2" t="s">
        <v>9831</v>
      </c>
    </row>
    <row r="323" spans="1:14" ht="15.75" customHeight="1">
      <c r="A323" s="2" t="s">
        <v>9275</v>
      </c>
      <c r="B323" s="2" t="s">
        <v>9832</v>
      </c>
      <c r="C323" s="2" t="s">
        <v>9277</v>
      </c>
      <c r="D323" s="2">
        <v>0</v>
      </c>
      <c r="E323" s="2">
        <v>0</v>
      </c>
      <c r="F323" s="2">
        <v>16384</v>
      </c>
      <c r="G323" s="2">
        <v>0</v>
      </c>
      <c r="H323" s="2">
        <v>32768</v>
      </c>
      <c r="I323" s="2">
        <v>0</v>
      </c>
      <c r="K323" s="275">
        <v>44294.709027777775</v>
      </c>
      <c r="M323" s="2" t="s">
        <v>9278</v>
      </c>
      <c r="N323" s="2" t="s">
        <v>9833</v>
      </c>
    </row>
    <row r="324" spans="1:14" ht="15.75" customHeight="1">
      <c r="A324" s="2" t="s">
        <v>9275</v>
      </c>
      <c r="B324" s="2" t="s">
        <v>9834</v>
      </c>
      <c r="C324" s="2" t="s">
        <v>9277</v>
      </c>
      <c r="D324" s="2">
        <v>0</v>
      </c>
      <c r="E324" s="2">
        <v>0</v>
      </c>
      <c r="F324" s="2">
        <v>16384</v>
      </c>
      <c r="G324" s="2">
        <v>0</v>
      </c>
      <c r="H324" s="2">
        <v>32768</v>
      </c>
      <c r="I324" s="2">
        <v>0</v>
      </c>
      <c r="J324" s="2">
        <v>1</v>
      </c>
      <c r="K324" s="275">
        <v>44294.709027777775</v>
      </c>
      <c r="M324" s="2" t="s">
        <v>9278</v>
      </c>
      <c r="N324" s="2" t="s">
        <v>9835</v>
      </c>
    </row>
    <row r="325" spans="1:14" ht="15.75" customHeight="1">
      <c r="A325" s="2" t="s">
        <v>9275</v>
      </c>
      <c r="B325" s="2" t="s">
        <v>9836</v>
      </c>
      <c r="C325" s="2" t="s">
        <v>9277</v>
      </c>
      <c r="D325" s="2">
        <v>23</v>
      </c>
      <c r="E325" s="2">
        <v>712</v>
      </c>
      <c r="F325" s="2">
        <v>16384</v>
      </c>
      <c r="G325" s="2">
        <v>0</v>
      </c>
      <c r="H325" s="2">
        <v>32768</v>
      </c>
      <c r="I325" s="2">
        <v>0</v>
      </c>
      <c r="J325" s="2">
        <v>24</v>
      </c>
      <c r="K325" s="275">
        <v>44294.709027777775</v>
      </c>
      <c r="L325" s="275">
        <v>44448.451388888891</v>
      </c>
      <c r="M325" s="2" t="s">
        <v>9278</v>
      </c>
      <c r="N325" s="2" t="s">
        <v>9837</v>
      </c>
    </row>
    <row r="326" spans="1:14" ht="15.75" customHeight="1">
      <c r="A326" s="2" t="s">
        <v>9275</v>
      </c>
      <c r="B326" s="2" t="s">
        <v>9838</v>
      </c>
      <c r="C326" s="2" t="s">
        <v>9277</v>
      </c>
      <c r="D326" s="2">
        <v>0</v>
      </c>
      <c r="E326" s="2">
        <v>0</v>
      </c>
      <c r="F326" s="2">
        <v>16384</v>
      </c>
      <c r="G326" s="2">
        <v>0</v>
      </c>
      <c r="H326" s="2">
        <v>32768</v>
      </c>
      <c r="I326" s="2">
        <v>0</v>
      </c>
      <c r="J326" s="2">
        <v>1</v>
      </c>
      <c r="K326" s="275">
        <v>44294.709027777775</v>
      </c>
      <c r="M326" s="2" t="s">
        <v>9278</v>
      </c>
      <c r="N326" s="2" t="s">
        <v>9839</v>
      </c>
    </row>
    <row r="327" spans="1:14" ht="15.75" customHeight="1">
      <c r="A327" s="2" t="s">
        <v>9275</v>
      </c>
      <c r="B327" s="2" t="s">
        <v>9840</v>
      </c>
      <c r="C327" s="2" t="s">
        <v>9277</v>
      </c>
      <c r="D327" s="2">
        <v>0</v>
      </c>
      <c r="E327" s="2">
        <v>0</v>
      </c>
      <c r="F327" s="2">
        <v>16384</v>
      </c>
      <c r="G327" s="2">
        <v>0</v>
      </c>
      <c r="H327" s="2">
        <v>16384</v>
      </c>
      <c r="I327" s="2">
        <v>0</v>
      </c>
      <c r="J327" s="2">
        <v>1</v>
      </c>
      <c r="K327" s="275">
        <v>44294.709027777775</v>
      </c>
      <c r="M327" s="2" t="s">
        <v>9278</v>
      </c>
      <c r="N327" s="2" t="s">
        <v>9841</v>
      </c>
    </row>
    <row r="328" spans="1:14" ht="15.75" customHeight="1">
      <c r="A328" s="2" t="s">
        <v>9275</v>
      </c>
      <c r="B328" s="2" t="s">
        <v>9842</v>
      </c>
      <c r="C328" s="2" t="s">
        <v>9277</v>
      </c>
      <c r="D328" s="2">
        <v>0</v>
      </c>
      <c r="E328" s="2">
        <v>0</v>
      </c>
      <c r="F328" s="2">
        <v>16384</v>
      </c>
      <c r="G328" s="2">
        <v>0</v>
      </c>
      <c r="H328" s="2">
        <v>32768</v>
      </c>
      <c r="I328" s="2">
        <v>0</v>
      </c>
      <c r="J328" s="2">
        <v>1</v>
      </c>
      <c r="K328" s="275">
        <v>44294.709027777775</v>
      </c>
      <c r="M328" s="2" t="s">
        <v>9278</v>
      </c>
      <c r="N328" s="2" t="s">
        <v>9843</v>
      </c>
    </row>
    <row r="329" spans="1:14" ht="15.75" customHeight="1">
      <c r="A329" s="2" t="s">
        <v>9275</v>
      </c>
      <c r="B329" s="2" t="s">
        <v>9844</v>
      </c>
      <c r="C329" s="2" t="s">
        <v>9277</v>
      </c>
      <c r="D329" s="2">
        <v>0</v>
      </c>
      <c r="E329" s="2">
        <v>0</v>
      </c>
      <c r="F329" s="2">
        <v>16384</v>
      </c>
      <c r="G329" s="2">
        <v>0</v>
      </c>
      <c r="H329" s="2">
        <v>16384</v>
      </c>
      <c r="I329" s="2">
        <v>0</v>
      </c>
      <c r="K329" s="275">
        <v>44294.709027777775</v>
      </c>
      <c r="M329" s="2" t="s">
        <v>9278</v>
      </c>
      <c r="N329" s="2" t="s">
        <v>9845</v>
      </c>
    </row>
    <row r="330" spans="1:14" ht="15.75" customHeight="1">
      <c r="A330" s="2" t="s">
        <v>9275</v>
      </c>
      <c r="B330" s="2" t="s">
        <v>9846</v>
      </c>
      <c r="C330" s="2" t="s">
        <v>9277</v>
      </c>
      <c r="D330" s="2">
        <v>91029</v>
      </c>
      <c r="E330" s="2">
        <v>109</v>
      </c>
      <c r="F330" s="2">
        <v>9977856</v>
      </c>
      <c r="G330" s="2">
        <v>0</v>
      </c>
      <c r="H330" s="2">
        <v>10649600</v>
      </c>
      <c r="I330" s="2">
        <v>4194304</v>
      </c>
      <c r="J330" s="2">
        <v>91475</v>
      </c>
      <c r="K330" s="275">
        <v>44294.709027777775</v>
      </c>
      <c r="L330" s="275">
        <v>44448.45</v>
      </c>
      <c r="M330" s="2" t="s">
        <v>9278</v>
      </c>
      <c r="N330" s="2" t="s">
        <v>9847</v>
      </c>
    </row>
    <row r="331" spans="1:14" ht="15.75" customHeight="1">
      <c r="A331" s="2" t="s">
        <v>9275</v>
      </c>
      <c r="B331" s="2" t="s">
        <v>9848</v>
      </c>
      <c r="C331" s="2" t="s">
        <v>9277</v>
      </c>
      <c r="D331" s="2">
        <v>1</v>
      </c>
      <c r="E331" s="2">
        <v>32768</v>
      </c>
      <c r="F331" s="2">
        <v>32768</v>
      </c>
      <c r="G331" s="2">
        <v>0</v>
      </c>
      <c r="H331" s="2">
        <v>49152</v>
      </c>
      <c r="I331" s="2">
        <v>0</v>
      </c>
      <c r="J331" s="2">
        <v>2</v>
      </c>
      <c r="K331" s="275">
        <v>44294.709027777775</v>
      </c>
      <c r="M331" s="2" t="s">
        <v>9278</v>
      </c>
      <c r="N331" s="2" t="s">
        <v>9849</v>
      </c>
    </row>
    <row r="332" spans="1:14" ht="15.75" customHeight="1">
      <c r="A332" s="2" t="s">
        <v>9275</v>
      </c>
      <c r="B332" s="2" t="s">
        <v>9850</v>
      </c>
      <c r="C332" s="2" t="s">
        <v>9277</v>
      </c>
      <c r="D332" s="2">
        <v>4</v>
      </c>
      <c r="E332" s="2">
        <v>4096</v>
      </c>
      <c r="F332" s="2">
        <v>16384</v>
      </c>
      <c r="G332" s="2">
        <v>0</v>
      </c>
      <c r="H332" s="2">
        <v>65536</v>
      </c>
      <c r="I332" s="2">
        <v>0</v>
      </c>
      <c r="J332" s="2">
        <v>6</v>
      </c>
      <c r="K332" s="275">
        <v>44294.709027777775</v>
      </c>
      <c r="L332" s="275">
        <v>44420.314583333333</v>
      </c>
      <c r="M332" s="2" t="s">
        <v>9278</v>
      </c>
      <c r="N332" s="2" t="s">
        <v>9851</v>
      </c>
    </row>
    <row r="333" spans="1:14" ht="15.75" customHeight="1">
      <c r="A333" s="2" t="s">
        <v>9275</v>
      </c>
      <c r="B333" s="2" t="s">
        <v>9852</v>
      </c>
      <c r="C333" s="2" t="s">
        <v>9277</v>
      </c>
      <c r="D333" s="2">
        <v>0</v>
      </c>
      <c r="E333" s="2">
        <v>0</v>
      </c>
      <c r="F333" s="2">
        <v>16384</v>
      </c>
      <c r="G333" s="2">
        <v>0</v>
      </c>
      <c r="H333" s="2">
        <v>32768</v>
      </c>
      <c r="I333" s="2">
        <v>0</v>
      </c>
      <c r="K333" s="275">
        <v>44294.709027777775</v>
      </c>
      <c r="M333" s="2" t="s">
        <v>9278</v>
      </c>
      <c r="N333" s="2" t="s">
        <v>9853</v>
      </c>
    </row>
    <row r="334" spans="1:14" ht="15.75" customHeight="1">
      <c r="A334" s="2" t="s">
        <v>9275</v>
      </c>
      <c r="B334" s="2" t="s">
        <v>9854</v>
      </c>
      <c r="C334" s="2" t="s">
        <v>9277</v>
      </c>
      <c r="D334" s="2">
        <v>3</v>
      </c>
      <c r="E334" s="2">
        <v>5461</v>
      </c>
      <c r="F334" s="2">
        <v>16384</v>
      </c>
      <c r="G334" s="2">
        <v>0</v>
      </c>
      <c r="H334" s="2">
        <v>65536</v>
      </c>
      <c r="I334" s="2">
        <v>0</v>
      </c>
      <c r="J334" s="2">
        <v>7</v>
      </c>
      <c r="K334" s="275">
        <v>44294.709027777775</v>
      </c>
      <c r="M334" s="2" t="s">
        <v>9278</v>
      </c>
      <c r="N334" s="2" t="s">
        <v>9855</v>
      </c>
    </row>
    <row r="335" spans="1:14" ht="15.75" customHeight="1">
      <c r="A335" s="2" t="s">
        <v>9275</v>
      </c>
      <c r="B335" s="2" t="s">
        <v>9856</v>
      </c>
      <c r="C335" s="2" t="s">
        <v>9277</v>
      </c>
      <c r="D335" s="2">
        <v>0</v>
      </c>
      <c r="E335" s="2">
        <v>0</v>
      </c>
      <c r="F335" s="2">
        <v>16384</v>
      </c>
      <c r="G335" s="2">
        <v>0</v>
      </c>
      <c r="H335" s="2">
        <v>16384</v>
      </c>
      <c r="I335" s="2">
        <v>0</v>
      </c>
      <c r="J335" s="2">
        <v>1</v>
      </c>
      <c r="K335" s="275">
        <v>44294.709027777775</v>
      </c>
      <c r="M335" s="2" t="s">
        <v>9278</v>
      </c>
      <c r="N335" s="2" t="s">
        <v>9857</v>
      </c>
    </row>
    <row r="336" spans="1:14" ht="15.75" customHeight="1">
      <c r="A336" s="2" t="s">
        <v>9275</v>
      </c>
      <c r="B336" s="2" t="s">
        <v>9858</v>
      </c>
      <c r="C336" s="2" t="s">
        <v>9277</v>
      </c>
      <c r="D336" s="2">
        <v>177</v>
      </c>
      <c r="E336" s="2">
        <v>92</v>
      </c>
      <c r="F336" s="2">
        <v>16384</v>
      </c>
      <c r="G336" s="2">
        <v>0</v>
      </c>
      <c r="H336" s="2">
        <v>32768</v>
      </c>
      <c r="I336" s="2">
        <v>0</v>
      </c>
      <c r="J336" s="2">
        <v>8265</v>
      </c>
      <c r="K336" s="275">
        <v>44294.709027777775</v>
      </c>
      <c r="L336" s="275">
        <v>44448.447222222225</v>
      </c>
      <c r="M336" s="2" t="s">
        <v>9278</v>
      </c>
      <c r="N336" s="2" t="s">
        <v>9859</v>
      </c>
    </row>
    <row r="337" spans="1:14" ht="15.75" customHeight="1">
      <c r="A337" s="2" t="s">
        <v>9275</v>
      </c>
      <c r="B337" s="2" t="s">
        <v>9860</v>
      </c>
      <c r="C337" s="2" t="s">
        <v>9277</v>
      </c>
      <c r="D337" s="2">
        <v>283</v>
      </c>
      <c r="E337" s="2">
        <v>231</v>
      </c>
      <c r="F337" s="2">
        <v>65536</v>
      </c>
      <c r="G337" s="2">
        <v>0</v>
      </c>
      <c r="H337" s="2">
        <v>0</v>
      </c>
      <c r="I337" s="2">
        <v>0</v>
      </c>
      <c r="J337" s="2">
        <v>294</v>
      </c>
      <c r="K337" s="275">
        <v>44294.709027777775</v>
      </c>
      <c r="L337" s="275">
        <v>44431.681250000001</v>
      </c>
      <c r="M337" s="2" t="s">
        <v>9278</v>
      </c>
      <c r="N337" s="2" t="s">
        <v>9861</v>
      </c>
    </row>
    <row r="338" spans="1:14" ht="15.75" customHeight="1">
      <c r="A338" s="2" t="s">
        <v>9275</v>
      </c>
      <c r="B338" s="2" t="s">
        <v>9862</v>
      </c>
      <c r="C338" s="2" t="s">
        <v>9277</v>
      </c>
      <c r="D338" s="2">
        <v>41547</v>
      </c>
      <c r="E338" s="2">
        <v>240</v>
      </c>
      <c r="F338" s="2">
        <v>9977856</v>
      </c>
      <c r="G338" s="2">
        <v>0</v>
      </c>
      <c r="H338" s="2">
        <v>425984</v>
      </c>
      <c r="I338" s="2">
        <v>4194304</v>
      </c>
      <c r="J338" s="2">
        <v>42353</v>
      </c>
      <c r="K338" s="275">
        <v>44294.709027777775</v>
      </c>
      <c r="L338" s="275">
        <v>44448.442361111112</v>
      </c>
      <c r="M338" s="2" t="s">
        <v>9278</v>
      </c>
      <c r="N338" s="2" t="s">
        <v>9863</v>
      </c>
    </row>
    <row r="339" spans="1:14" ht="15.75" customHeight="1">
      <c r="A339" s="2" t="s">
        <v>9275</v>
      </c>
      <c r="B339" s="2" t="s">
        <v>9864</v>
      </c>
      <c r="C339" s="2" t="s">
        <v>9277</v>
      </c>
      <c r="D339" s="2">
        <v>0</v>
      </c>
      <c r="E339" s="2">
        <v>0</v>
      </c>
      <c r="F339" s="2">
        <v>16384</v>
      </c>
      <c r="G339" s="2">
        <v>0</v>
      </c>
      <c r="H339" s="2">
        <v>32768</v>
      </c>
      <c r="I339" s="2">
        <v>0</v>
      </c>
      <c r="J339" s="2">
        <v>1</v>
      </c>
      <c r="K339" s="275">
        <v>44294.709027777775</v>
      </c>
      <c r="M339" s="2" t="s">
        <v>9278</v>
      </c>
      <c r="N339" s="2" t="s">
        <v>9865</v>
      </c>
    </row>
    <row r="340" spans="1:14" ht="15.75" customHeight="1">
      <c r="A340" s="2" t="s">
        <v>9275</v>
      </c>
      <c r="B340" s="2" t="s">
        <v>9866</v>
      </c>
      <c r="C340" s="2" t="s">
        <v>9277</v>
      </c>
      <c r="D340" s="2">
        <v>0</v>
      </c>
      <c r="E340" s="2">
        <v>0</v>
      </c>
      <c r="F340" s="2">
        <v>16384</v>
      </c>
      <c r="G340" s="2">
        <v>0</v>
      </c>
      <c r="H340" s="2">
        <v>16384</v>
      </c>
      <c r="I340" s="2">
        <v>0</v>
      </c>
      <c r="K340" s="275">
        <v>44294.709027777775</v>
      </c>
      <c r="M340" s="2" t="s">
        <v>9278</v>
      </c>
      <c r="N340" s="2" t="s">
        <v>9867</v>
      </c>
    </row>
    <row r="341" spans="1:14" ht="15.75" customHeight="1">
      <c r="A341" s="2" t="s">
        <v>9275</v>
      </c>
      <c r="B341" s="2" t="s">
        <v>9868</v>
      </c>
      <c r="C341" s="2" t="s">
        <v>9277</v>
      </c>
      <c r="D341" s="2">
        <v>0</v>
      </c>
      <c r="E341" s="2">
        <v>0</v>
      </c>
      <c r="F341" s="2">
        <v>16384</v>
      </c>
      <c r="G341" s="2">
        <v>0</v>
      </c>
      <c r="H341" s="2">
        <v>16384</v>
      </c>
      <c r="I341" s="2">
        <v>0</v>
      </c>
      <c r="J341" s="2">
        <v>1</v>
      </c>
      <c r="K341" s="275">
        <v>44294.709027777775</v>
      </c>
      <c r="M341" s="2" t="s">
        <v>9278</v>
      </c>
      <c r="N341" s="2" t="s">
        <v>9869</v>
      </c>
    </row>
    <row r="342" spans="1:14" ht="15.75" customHeight="1">
      <c r="A342" s="2" t="s">
        <v>9275</v>
      </c>
      <c r="B342" s="2" t="s">
        <v>9870</v>
      </c>
      <c r="C342" s="2" t="s">
        <v>9277</v>
      </c>
      <c r="D342" s="2">
        <v>0</v>
      </c>
      <c r="E342" s="2">
        <v>0</v>
      </c>
      <c r="F342" s="2">
        <v>16384</v>
      </c>
      <c r="G342" s="2">
        <v>0</v>
      </c>
      <c r="H342" s="2">
        <v>16384</v>
      </c>
      <c r="I342" s="2">
        <v>0</v>
      </c>
      <c r="J342" s="2">
        <v>1</v>
      </c>
      <c r="K342" s="275">
        <v>44294.709027777775</v>
      </c>
      <c r="M342" s="2" t="s">
        <v>9278</v>
      </c>
      <c r="N342" s="2" t="s">
        <v>9871</v>
      </c>
    </row>
    <row r="343" spans="1:14" ht="15.75" customHeight="1">
      <c r="A343" s="2" t="s">
        <v>9275</v>
      </c>
      <c r="B343" s="2" t="s">
        <v>9872</v>
      </c>
      <c r="C343" s="2" t="s">
        <v>9277</v>
      </c>
      <c r="D343" s="2">
        <v>0</v>
      </c>
      <c r="E343" s="2">
        <v>0</v>
      </c>
      <c r="F343" s="2">
        <v>16384</v>
      </c>
      <c r="G343" s="2">
        <v>0</v>
      </c>
      <c r="H343" s="2">
        <v>16384</v>
      </c>
      <c r="I343" s="2">
        <v>0</v>
      </c>
      <c r="J343" s="2">
        <v>1</v>
      </c>
      <c r="K343" s="275">
        <v>44294.709027777775</v>
      </c>
      <c r="M343" s="2" t="s">
        <v>9278</v>
      </c>
      <c r="N343" s="2" t="s">
        <v>9873</v>
      </c>
    </row>
    <row r="344" spans="1:14" ht="15.75" customHeight="1">
      <c r="A344" s="2" t="s">
        <v>9275</v>
      </c>
      <c r="B344" s="2" t="s">
        <v>9874</v>
      </c>
      <c r="C344" s="2" t="s">
        <v>9277</v>
      </c>
      <c r="D344" s="2">
        <v>0</v>
      </c>
      <c r="E344" s="2">
        <v>0</v>
      </c>
      <c r="F344" s="2">
        <v>16384</v>
      </c>
      <c r="G344" s="2">
        <v>0</v>
      </c>
      <c r="H344" s="2">
        <v>16384</v>
      </c>
      <c r="I344" s="2">
        <v>0</v>
      </c>
      <c r="J344" s="2">
        <v>1</v>
      </c>
      <c r="K344" s="275">
        <v>44294.709027777775</v>
      </c>
      <c r="M344" s="2" t="s">
        <v>9278</v>
      </c>
      <c r="N344" s="2" t="s">
        <v>9875</v>
      </c>
    </row>
    <row r="345" spans="1:14" ht="15.75" customHeight="1">
      <c r="A345" s="2" t="s">
        <v>9275</v>
      </c>
      <c r="B345" s="2" t="s">
        <v>9876</v>
      </c>
      <c r="C345" s="2" t="s">
        <v>9277</v>
      </c>
      <c r="D345" s="2">
        <v>0</v>
      </c>
      <c r="E345" s="2">
        <v>0</v>
      </c>
      <c r="F345" s="2">
        <v>16384</v>
      </c>
      <c r="G345" s="2">
        <v>0</v>
      </c>
      <c r="H345" s="2">
        <v>65536</v>
      </c>
      <c r="I345" s="2">
        <v>0</v>
      </c>
      <c r="J345" s="2">
        <v>1</v>
      </c>
      <c r="K345" s="275">
        <v>44294.709027777775</v>
      </c>
      <c r="M345" s="2" t="s">
        <v>9278</v>
      </c>
      <c r="N345" s="2" t="s">
        <v>9877</v>
      </c>
    </row>
    <row r="346" spans="1:14" ht="15.75" customHeight="1">
      <c r="A346" s="2" t="s">
        <v>9275</v>
      </c>
      <c r="B346" s="2" t="s">
        <v>9878</v>
      </c>
      <c r="C346" s="2" t="s">
        <v>9277</v>
      </c>
      <c r="D346" s="2">
        <v>0</v>
      </c>
      <c r="E346" s="2">
        <v>0</v>
      </c>
      <c r="F346" s="2">
        <v>16384</v>
      </c>
      <c r="G346" s="2">
        <v>0</v>
      </c>
      <c r="H346" s="2">
        <v>65536</v>
      </c>
      <c r="I346" s="2">
        <v>0</v>
      </c>
      <c r="J346" s="2">
        <v>1</v>
      </c>
      <c r="K346" s="275">
        <v>44294.709027777775</v>
      </c>
      <c r="M346" s="2" t="s">
        <v>9278</v>
      </c>
      <c r="N346" s="2" t="s">
        <v>9879</v>
      </c>
    </row>
    <row r="347" spans="1:14" ht="15.75" customHeight="1">
      <c r="A347" s="2" t="s">
        <v>9275</v>
      </c>
      <c r="B347" s="2" t="s">
        <v>9880</v>
      </c>
      <c r="C347" s="2" t="s">
        <v>9277</v>
      </c>
      <c r="D347" s="2">
        <v>0</v>
      </c>
      <c r="E347" s="2">
        <v>0</v>
      </c>
      <c r="F347" s="2">
        <v>16384</v>
      </c>
      <c r="G347" s="2">
        <v>0</v>
      </c>
      <c r="H347" s="2">
        <v>65536</v>
      </c>
      <c r="I347" s="2">
        <v>0</v>
      </c>
      <c r="J347" s="2">
        <v>1</v>
      </c>
      <c r="K347" s="275">
        <v>44294.709027777775</v>
      </c>
      <c r="M347" s="2" t="s">
        <v>9278</v>
      </c>
      <c r="N347" s="2" t="s">
        <v>9881</v>
      </c>
    </row>
    <row r="348" spans="1:14" ht="15.75" customHeight="1">
      <c r="A348" s="2" t="s">
        <v>9275</v>
      </c>
      <c r="B348" s="2" t="s">
        <v>9882</v>
      </c>
      <c r="C348" s="2" t="s">
        <v>9277</v>
      </c>
      <c r="D348" s="2">
        <v>19</v>
      </c>
      <c r="E348" s="2">
        <v>862</v>
      </c>
      <c r="F348" s="2">
        <v>16384</v>
      </c>
      <c r="G348" s="2">
        <v>0</v>
      </c>
      <c r="H348" s="2">
        <v>16384</v>
      </c>
      <c r="I348" s="2">
        <v>0</v>
      </c>
      <c r="J348" s="2">
        <v>20</v>
      </c>
      <c r="K348" s="275">
        <v>44294.709027777775</v>
      </c>
      <c r="M348" s="2" t="s">
        <v>9278</v>
      </c>
      <c r="N348" s="2" t="s">
        <v>9883</v>
      </c>
    </row>
    <row r="349" spans="1:14" ht="15.75" customHeight="1">
      <c r="A349" s="2" t="s">
        <v>9275</v>
      </c>
      <c r="B349" s="2" t="s">
        <v>9884</v>
      </c>
      <c r="C349" s="2" t="s">
        <v>9277</v>
      </c>
      <c r="D349" s="2">
        <v>0</v>
      </c>
      <c r="E349" s="2">
        <v>0</v>
      </c>
      <c r="F349" s="2">
        <v>16384</v>
      </c>
      <c r="G349" s="2">
        <v>0</v>
      </c>
      <c r="H349" s="2">
        <v>16384</v>
      </c>
      <c r="I349" s="2">
        <v>0</v>
      </c>
      <c r="J349" s="2">
        <v>20056</v>
      </c>
      <c r="K349" s="275">
        <v>44294.709027777775</v>
      </c>
      <c r="L349" s="275">
        <v>44448.416666666664</v>
      </c>
      <c r="M349" s="2" t="s">
        <v>9278</v>
      </c>
      <c r="N349" s="2" t="s">
        <v>9885</v>
      </c>
    </row>
    <row r="350" spans="1:14" ht="15.75" customHeight="1">
      <c r="A350" s="2" t="s">
        <v>9275</v>
      </c>
      <c r="B350" s="2" t="s">
        <v>9886</v>
      </c>
      <c r="C350" s="2" t="s">
        <v>9277</v>
      </c>
      <c r="D350" s="2">
        <v>4522</v>
      </c>
      <c r="E350" s="2">
        <v>467</v>
      </c>
      <c r="F350" s="2">
        <v>2113536</v>
      </c>
      <c r="G350" s="2">
        <v>0</v>
      </c>
      <c r="H350" s="2">
        <v>0</v>
      </c>
      <c r="I350" s="2">
        <v>4194304</v>
      </c>
      <c r="J350" s="2">
        <v>62896</v>
      </c>
      <c r="K350" s="275">
        <v>44294.709027777775</v>
      </c>
      <c r="L350" s="275">
        <v>44448.451388888891</v>
      </c>
      <c r="M350" s="2" t="s">
        <v>9278</v>
      </c>
      <c r="N350" s="2" t="s">
        <v>9887</v>
      </c>
    </row>
    <row r="351" spans="1:14" ht="15.75" customHeight="1">
      <c r="A351" s="2" t="s">
        <v>9275</v>
      </c>
      <c r="B351" s="2" t="s">
        <v>9888</v>
      </c>
      <c r="C351" s="2" t="s">
        <v>9277</v>
      </c>
      <c r="D351" s="2">
        <v>4566</v>
      </c>
      <c r="E351" s="2">
        <v>236</v>
      </c>
      <c r="F351" s="2">
        <v>1081344</v>
      </c>
      <c r="G351" s="2">
        <v>0</v>
      </c>
      <c r="H351" s="2">
        <v>393216</v>
      </c>
      <c r="I351" s="2">
        <v>4194304</v>
      </c>
      <c r="J351" s="2">
        <v>62882</v>
      </c>
      <c r="K351" s="275">
        <v>44294.709027777775</v>
      </c>
      <c r="L351" s="275">
        <v>44448.451388888891</v>
      </c>
      <c r="M351" s="2" t="s">
        <v>9278</v>
      </c>
      <c r="N351" s="2" t="s">
        <v>9889</v>
      </c>
    </row>
    <row r="352" spans="1:14" ht="15.75" customHeight="1">
      <c r="A352" s="2" t="s">
        <v>9275</v>
      </c>
      <c r="B352" s="2" t="s">
        <v>9890</v>
      </c>
      <c r="C352" s="2" t="s">
        <v>9277</v>
      </c>
      <c r="D352" s="2">
        <v>1</v>
      </c>
      <c r="E352" s="2">
        <v>16384</v>
      </c>
      <c r="F352" s="2">
        <v>16384</v>
      </c>
      <c r="G352" s="2">
        <v>0</v>
      </c>
      <c r="H352" s="2">
        <v>0</v>
      </c>
      <c r="I352" s="2">
        <v>0</v>
      </c>
      <c r="K352" s="275">
        <v>44294.709027777775</v>
      </c>
      <c r="L352" s="275">
        <v>44440.126388888886</v>
      </c>
      <c r="M352" s="2" t="s">
        <v>9278</v>
      </c>
      <c r="N352" s="2" t="s">
        <v>9891</v>
      </c>
    </row>
    <row r="353" spans="1:14" ht="15.75" customHeight="1">
      <c r="A353" s="2" t="s">
        <v>9275</v>
      </c>
      <c r="B353" s="2" t="s">
        <v>9892</v>
      </c>
      <c r="C353" s="2" t="s">
        <v>9277</v>
      </c>
      <c r="D353" s="2">
        <v>4648</v>
      </c>
      <c r="E353" s="2">
        <v>454</v>
      </c>
      <c r="F353" s="2">
        <v>2113536</v>
      </c>
      <c r="G353" s="2">
        <v>0</v>
      </c>
      <c r="H353" s="2">
        <v>1163264</v>
      </c>
      <c r="I353" s="2">
        <v>16777216</v>
      </c>
      <c r="J353" s="2">
        <v>678108</v>
      </c>
      <c r="K353" s="275">
        <v>44369.688194444447</v>
      </c>
      <c r="L353" s="275">
        <v>44448.451388888891</v>
      </c>
      <c r="M353" s="2" t="s">
        <v>9278</v>
      </c>
      <c r="N353" s="2" t="s">
        <v>9893</v>
      </c>
    </row>
    <row r="354" spans="1:14" ht="15.75" customHeight="1">
      <c r="A354" s="2" t="s">
        <v>9275</v>
      </c>
      <c r="B354" s="2" t="s">
        <v>9894</v>
      </c>
      <c r="C354" s="2" t="s">
        <v>9277</v>
      </c>
      <c r="D354" s="2">
        <v>8648</v>
      </c>
      <c r="E354" s="2">
        <v>729</v>
      </c>
      <c r="F354" s="2">
        <v>6307840</v>
      </c>
      <c r="G354" s="2">
        <v>0</v>
      </c>
      <c r="H354" s="2">
        <v>1064960</v>
      </c>
      <c r="I354" s="2">
        <v>258998272</v>
      </c>
      <c r="J354" s="2">
        <v>1208226</v>
      </c>
      <c r="K354" s="275">
        <v>44413.683333333334</v>
      </c>
      <c r="L354" s="275">
        <v>44448.451388888891</v>
      </c>
      <c r="M354" s="2" t="s">
        <v>9278</v>
      </c>
      <c r="N354" s="2" t="s">
        <v>9895</v>
      </c>
    </row>
    <row r="355" spans="1:14" ht="15.75" customHeight="1">
      <c r="A355" s="2" t="s">
        <v>9275</v>
      </c>
      <c r="B355" s="2" t="s">
        <v>9896</v>
      </c>
      <c r="C355" s="2" t="s">
        <v>9277</v>
      </c>
      <c r="D355" s="2">
        <v>0</v>
      </c>
      <c r="E355" s="2">
        <v>0</v>
      </c>
      <c r="F355" s="2">
        <v>16384</v>
      </c>
      <c r="G355" s="2">
        <v>0</v>
      </c>
      <c r="H355" s="2">
        <v>65536</v>
      </c>
      <c r="I355" s="2">
        <v>0</v>
      </c>
      <c r="J355" s="2">
        <v>1</v>
      </c>
      <c r="K355" s="275">
        <v>44294.709722222222</v>
      </c>
      <c r="M355" s="2" t="s">
        <v>9278</v>
      </c>
      <c r="N355" s="2" t="s">
        <v>9897</v>
      </c>
    </row>
    <row r="356" spans="1:14" ht="15.75" customHeight="1">
      <c r="A356" s="2" t="s">
        <v>9275</v>
      </c>
      <c r="B356" s="2" t="s">
        <v>9898</v>
      </c>
      <c r="C356" s="2" t="s">
        <v>9277</v>
      </c>
      <c r="D356" s="2">
        <v>3733</v>
      </c>
      <c r="E356" s="2">
        <v>285</v>
      </c>
      <c r="F356" s="2">
        <v>1064960</v>
      </c>
      <c r="G356" s="2">
        <v>0</v>
      </c>
      <c r="H356" s="2">
        <v>1146880</v>
      </c>
      <c r="I356" s="2">
        <v>7340032</v>
      </c>
      <c r="J356" s="2">
        <v>115430</v>
      </c>
      <c r="K356" s="275">
        <v>44294.709722222222</v>
      </c>
      <c r="L356" s="275">
        <v>44448.451388888891</v>
      </c>
      <c r="M356" s="2" t="s">
        <v>9278</v>
      </c>
      <c r="N356" s="2" t="s">
        <v>9899</v>
      </c>
    </row>
    <row r="357" spans="1:14" ht="15.75" customHeight="1">
      <c r="A357" s="2" t="s">
        <v>9275</v>
      </c>
      <c r="B357" s="2" t="s">
        <v>9900</v>
      </c>
      <c r="C357" s="2" t="s">
        <v>9277</v>
      </c>
      <c r="D357" s="2">
        <v>8619</v>
      </c>
      <c r="E357" s="2">
        <v>488</v>
      </c>
      <c r="F357" s="2">
        <v>4210688</v>
      </c>
      <c r="G357" s="2">
        <v>0</v>
      </c>
      <c r="H357" s="2">
        <v>1507328</v>
      </c>
      <c r="I357" s="2">
        <v>78643200</v>
      </c>
      <c r="J357" s="2">
        <v>899404</v>
      </c>
      <c r="K357" s="275">
        <v>44294.709722222222</v>
      </c>
      <c r="L357" s="275">
        <v>44448.451388888891</v>
      </c>
      <c r="M357" s="2" t="s">
        <v>9278</v>
      </c>
      <c r="N357" s="2" t="s">
        <v>9901</v>
      </c>
    </row>
    <row r="358" spans="1:14" ht="15.75" customHeight="1">
      <c r="A358" s="2" t="s">
        <v>9275</v>
      </c>
      <c r="B358" s="2" t="s">
        <v>9902</v>
      </c>
      <c r="C358" s="2" t="s">
        <v>9277</v>
      </c>
      <c r="D358" s="2">
        <v>8330</v>
      </c>
      <c r="E358" s="2">
        <v>379</v>
      </c>
      <c r="F358" s="2">
        <v>3162112</v>
      </c>
      <c r="G358" s="2">
        <v>0</v>
      </c>
      <c r="H358" s="2">
        <v>147456</v>
      </c>
      <c r="I358" s="2">
        <v>47185920</v>
      </c>
      <c r="J358" s="2">
        <v>899599</v>
      </c>
      <c r="K358" s="275">
        <v>44294.709722222222</v>
      </c>
      <c r="L358" s="275">
        <v>44448.451388888891</v>
      </c>
      <c r="M358" s="2" t="s">
        <v>9278</v>
      </c>
      <c r="N358" s="2" t="s">
        <v>9903</v>
      </c>
    </row>
    <row r="359" spans="1:14" ht="15.75" customHeight="1">
      <c r="A359" s="2" t="s">
        <v>9275</v>
      </c>
      <c r="B359" s="2" t="s">
        <v>9904</v>
      </c>
      <c r="C359" s="2" t="s">
        <v>9277</v>
      </c>
      <c r="D359" s="2">
        <v>1059</v>
      </c>
      <c r="E359" s="2">
        <v>247</v>
      </c>
      <c r="F359" s="2">
        <v>262144</v>
      </c>
      <c r="G359" s="2">
        <v>0</v>
      </c>
      <c r="H359" s="2">
        <v>16384</v>
      </c>
      <c r="I359" s="2">
        <v>15728640</v>
      </c>
      <c r="J359" s="2">
        <v>217511</v>
      </c>
      <c r="K359" s="275">
        <v>44294.709722222222</v>
      </c>
      <c r="L359" s="275">
        <v>44448.450694444444</v>
      </c>
      <c r="M359" s="2" t="s">
        <v>9278</v>
      </c>
      <c r="N359" s="2" t="s">
        <v>9905</v>
      </c>
    </row>
    <row r="360" spans="1:14" ht="15.75" customHeight="1">
      <c r="A360" s="2" t="s">
        <v>9275</v>
      </c>
      <c r="B360" s="2" t="s">
        <v>9906</v>
      </c>
      <c r="C360" s="2" t="s">
        <v>9277</v>
      </c>
      <c r="D360" s="2">
        <v>1483</v>
      </c>
      <c r="E360" s="2">
        <v>718</v>
      </c>
      <c r="F360" s="2">
        <v>1064960</v>
      </c>
      <c r="G360" s="2">
        <v>0</v>
      </c>
      <c r="H360" s="2">
        <v>49152</v>
      </c>
      <c r="I360" s="2">
        <v>25165824</v>
      </c>
      <c r="J360" s="2">
        <v>1505315</v>
      </c>
      <c r="K360" s="275">
        <v>44294.709722222222</v>
      </c>
      <c r="L360" s="275">
        <v>44448.450694444444</v>
      </c>
      <c r="M360" s="2" t="s">
        <v>9278</v>
      </c>
      <c r="N360" s="2" t="s">
        <v>9907</v>
      </c>
    </row>
    <row r="361" spans="1:14" ht="15.75" customHeight="1">
      <c r="A361" s="2" t="s">
        <v>9275</v>
      </c>
      <c r="B361" s="2" t="s">
        <v>9908</v>
      </c>
      <c r="C361" s="2" t="s">
        <v>9277</v>
      </c>
      <c r="D361" s="2">
        <v>4</v>
      </c>
      <c r="E361" s="2">
        <v>4096</v>
      </c>
      <c r="F361" s="2">
        <v>16384</v>
      </c>
      <c r="G361" s="2">
        <v>0</v>
      </c>
      <c r="H361" s="2">
        <v>32768</v>
      </c>
      <c r="I361" s="2">
        <v>0</v>
      </c>
      <c r="J361" s="2">
        <v>5</v>
      </c>
      <c r="K361" s="275">
        <v>44294.709722222222</v>
      </c>
      <c r="M361" s="2" t="s">
        <v>9278</v>
      </c>
      <c r="N361" s="2" t="s">
        <v>9909</v>
      </c>
    </row>
    <row r="362" spans="1:14" ht="15.75" customHeight="1">
      <c r="A362" s="2" t="s">
        <v>9275</v>
      </c>
      <c r="B362" s="2" t="s">
        <v>9910</v>
      </c>
      <c r="C362" s="2" t="s">
        <v>9277</v>
      </c>
      <c r="D362" s="2">
        <v>3</v>
      </c>
      <c r="E362" s="2">
        <v>5461</v>
      </c>
      <c r="F362" s="2">
        <v>16384</v>
      </c>
      <c r="G362" s="2">
        <v>0</v>
      </c>
      <c r="H362" s="2">
        <v>16384</v>
      </c>
      <c r="I362" s="2">
        <v>0</v>
      </c>
      <c r="J362" s="2">
        <v>4</v>
      </c>
      <c r="K362" s="275">
        <v>44294.709722222222</v>
      </c>
      <c r="M362" s="2" t="s">
        <v>9278</v>
      </c>
      <c r="N362" s="2" t="s">
        <v>9911</v>
      </c>
    </row>
    <row r="363" spans="1:14" ht="15.75" customHeight="1">
      <c r="A363" s="2" t="s">
        <v>9275</v>
      </c>
      <c r="B363" s="2" t="s">
        <v>9912</v>
      </c>
      <c r="C363" s="2" t="s">
        <v>9277</v>
      </c>
      <c r="D363" s="2">
        <v>20</v>
      </c>
      <c r="E363" s="2">
        <v>819</v>
      </c>
      <c r="F363" s="2">
        <v>16384</v>
      </c>
      <c r="G363" s="2">
        <v>0</v>
      </c>
      <c r="H363" s="2">
        <v>16384</v>
      </c>
      <c r="I363" s="2">
        <v>0</v>
      </c>
      <c r="J363" s="2">
        <v>21</v>
      </c>
      <c r="K363" s="275">
        <v>44294.709722222222</v>
      </c>
      <c r="M363" s="2" t="s">
        <v>9278</v>
      </c>
      <c r="N363" s="2" t="s">
        <v>9913</v>
      </c>
    </row>
    <row r="364" spans="1:14" ht="15.75" customHeight="1">
      <c r="A364" s="2" t="s">
        <v>9275</v>
      </c>
      <c r="B364" s="2" t="s">
        <v>9914</v>
      </c>
      <c r="C364" s="2" t="s">
        <v>9277</v>
      </c>
      <c r="D364" s="2">
        <v>377</v>
      </c>
      <c r="E364" s="2">
        <v>173</v>
      </c>
      <c r="F364" s="2">
        <v>65536</v>
      </c>
      <c r="G364" s="2">
        <v>0</v>
      </c>
      <c r="H364" s="2">
        <v>32768</v>
      </c>
      <c r="I364" s="2">
        <v>0</v>
      </c>
      <c r="J364" s="2">
        <v>1117</v>
      </c>
      <c r="K364" s="275">
        <v>44294.709722222222</v>
      </c>
      <c r="L364" s="275">
        <v>44447.469444444447</v>
      </c>
      <c r="M364" s="2" t="s">
        <v>9278</v>
      </c>
      <c r="N364" s="2" t="s">
        <v>9915</v>
      </c>
    </row>
    <row r="365" spans="1:14" ht="15.75" customHeight="1">
      <c r="A365" s="2" t="s">
        <v>9275</v>
      </c>
      <c r="B365" s="2" t="s">
        <v>9916</v>
      </c>
      <c r="C365" s="2" t="s">
        <v>9277</v>
      </c>
      <c r="D365" s="2">
        <v>345</v>
      </c>
      <c r="E365" s="2">
        <v>142</v>
      </c>
      <c r="F365" s="2">
        <v>49152</v>
      </c>
      <c r="G365" s="2">
        <v>0</v>
      </c>
      <c r="H365" s="2">
        <v>32768</v>
      </c>
      <c r="I365" s="2">
        <v>0</v>
      </c>
      <c r="J365" s="2">
        <v>1347</v>
      </c>
      <c r="K365" s="275">
        <v>44294.709722222222</v>
      </c>
      <c r="L365" s="275">
        <v>44447.469444444447</v>
      </c>
      <c r="M365" s="2" t="s">
        <v>9278</v>
      </c>
      <c r="N365" s="2" t="s">
        <v>9917</v>
      </c>
    </row>
    <row r="366" spans="1:14" ht="15.75" customHeight="1">
      <c r="A366" s="2" t="s">
        <v>9275</v>
      </c>
      <c r="B366" s="2" t="s">
        <v>9918</v>
      </c>
      <c r="C366" s="2" t="s">
        <v>9277</v>
      </c>
      <c r="D366" s="2">
        <v>12</v>
      </c>
      <c r="E366" s="2">
        <v>1365</v>
      </c>
      <c r="F366" s="2">
        <v>16384</v>
      </c>
      <c r="G366" s="2">
        <v>0</v>
      </c>
      <c r="H366" s="2">
        <v>16384</v>
      </c>
      <c r="I366" s="2">
        <v>0</v>
      </c>
      <c r="K366" s="275">
        <v>44294.709722222222</v>
      </c>
      <c r="M366" s="2" t="s">
        <v>9278</v>
      </c>
      <c r="N366" s="2" t="s">
        <v>9919</v>
      </c>
    </row>
    <row r="367" spans="1:14" ht="15.75" customHeight="1">
      <c r="A367" s="2" t="s">
        <v>9275</v>
      </c>
      <c r="B367" s="2" t="s">
        <v>9920</v>
      </c>
      <c r="C367" s="2" t="s">
        <v>9277</v>
      </c>
      <c r="D367" s="2">
        <v>2</v>
      </c>
      <c r="E367" s="2">
        <v>8192</v>
      </c>
      <c r="F367" s="2">
        <v>16384</v>
      </c>
      <c r="G367" s="2">
        <v>0</v>
      </c>
      <c r="H367" s="2">
        <v>16384</v>
      </c>
      <c r="I367" s="2">
        <v>0</v>
      </c>
      <c r="K367" s="275">
        <v>44294.709722222222</v>
      </c>
      <c r="M367" s="2" t="s">
        <v>9278</v>
      </c>
      <c r="N367" s="2" t="s">
        <v>9921</v>
      </c>
    </row>
    <row r="368" spans="1:14" ht="15.75" customHeight="1">
      <c r="A368" s="2" t="s">
        <v>9275</v>
      </c>
      <c r="B368" s="2" t="s">
        <v>9922</v>
      </c>
      <c r="C368" s="2" t="s">
        <v>9277</v>
      </c>
      <c r="D368" s="2">
        <v>0</v>
      </c>
      <c r="E368" s="2">
        <v>0</v>
      </c>
      <c r="F368" s="2">
        <v>16384</v>
      </c>
      <c r="G368" s="2">
        <v>0</v>
      </c>
      <c r="H368" s="2">
        <v>16384</v>
      </c>
      <c r="I368" s="2">
        <v>0</v>
      </c>
      <c r="J368" s="2">
        <v>1</v>
      </c>
      <c r="K368" s="275">
        <v>44294.709722222222</v>
      </c>
      <c r="M368" s="2" t="s">
        <v>9278</v>
      </c>
      <c r="N368" s="2" t="s">
        <v>9923</v>
      </c>
    </row>
    <row r="369" spans="1:14" ht="15.75" customHeight="1">
      <c r="A369" s="2" t="s">
        <v>9275</v>
      </c>
      <c r="B369" s="2" t="s">
        <v>9924</v>
      </c>
      <c r="C369" s="2" t="s">
        <v>9277</v>
      </c>
      <c r="D369" s="2">
        <v>1554</v>
      </c>
      <c r="E369" s="2">
        <v>63</v>
      </c>
      <c r="F369" s="2">
        <v>98304</v>
      </c>
      <c r="G369" s="2">
        <v>0</v>
      </c>
      <c r="H369" s="2">
        <v>311296</v>
      </c>
      <c r="I369" s="2">
        <v>0</v>
      </c>
      <c r="J369" s="2">
        <v>8479</v>
      </c>
      <c r="K369" s="275">
        <v>44294.709722222222</v>
      </c>
      <c r="L369" s="275">
        <v>44406.405555555553</v>
      </c>
      <c r="M369" s="2" t="s">
        <v>9278</v>
      </c>
      <c r="N369" s="2" t="s">
        <v>9925</v>
      </c>
    </row>
    <row r="370" spans="1:14" ht="15.75" customHeight="1">
      <c r="A370" s="2" t="s">
        <v>9275</v>
      </c>
      <c r="B370" s="2" t="s">
        <v>9926</v>
      </c>
      <c r="C370" s="2" t="s">
        <v>9277</v>
      </c>
      <c r="D370" s="2">
        <v>534933</v>
      </c>
      <c r="E370" s="2">
        <v>63</v>
      </c>
      <c r="F370" s="2">
        <v>34144256</v>
      </c>
      <c r="G370" s="2">
        <v>0</v>
      </c>
      <c r="H370" s="2">
        <v>68796416</v>
      </c>
      <c r="I370" s="2">
        <v>5242880</v>
      </c>
      <c r="J370" s="2">
        <v>27291148</v>
      </c>
      <c r="K370" s="275">
        <v>44294.709722222222</v>
      </c>
      <c r="L370" s="275">
        <v>44448.451388888891</v>
      </c>
      <c r="M370" s="2" t="s">
        <v>9278</v>
      </c>
      <c r="N370" s="2" t="s">
        <v>9927</v>
      </c>
    </row>
    <row r="371" spans="1:14" ht="15.75" customHeight="1">
      <c r="A371" s="2" t="s">
        <v>9275</v>
      </c>
      <c r="B371" s="2" t="s">
        <v>9928</v>
      </c>
      <c r="C371" s="2" t="s">
        <v>9277</v>
      </c>
      <c r="D371" s="2">
        <v>6</v>
      </c>
      <c r="E371" s="2">
        <v>2730</v>
      </c>
      <c r="F371" s="2">
        <v>16384</v>
      </c>
      <c r="G371" s="2">
        <v>0</v>
      </c>
      <c r="H371" s="2">
        <v>0</v>
      </c>
      <c r="I371" s="2">
        <v>0</v>
      </c>
      <c r="J371" s="2">
        <v>7</v>
      </c>
      <c r="K371" s="275">
        <v>44294.709722222222</v>
      </c>
      <c r="M371" s="2" t="s">
        <v>9278</v>
      </c>
      <c r="N371" s="2" t="s">
        <v>9929</v>
      </c>
    </row>
    <row r="372" spans="1:14" ht="15.75" customHeight="1">
      <c r="A372" s="2" t="s">
        <v>9275</v>
      </c>
      <c r="B372" s="2" t="s">
        <v>9930</v>
      </c>
      <c r="C372" s="2" t="s">
        <v>9277</v>
      </c>
      <c r="D372" s="2">
        <v>99192</v>
      </c>
      <c r="E372" s="2">
        <v>142</v>
      </c>
      <c r="F372" s="2">
        <v>14172160</v>
      </c>
      <c r="G372" s="2">
        <v>0</v>
      </c>
      <c r="H372" s="2">
        <v>8962048</v>
      </c>
      <c r="I372" s="2">
        <v>4194304</v>
      </c>
      <c r="J372" s="2">
        <v>99404</v>
      </c>
      <c r="K372" s="275">
        <v>44294.709722222222</v>
      </c>
      <c r="L372" s="275">
        <v>44432.715277777781</v>
      </c>
      <c r="M372" s="2" t="s">
        <v>9278</v>
      </c>
      <c r="N372" s="2" t="s">
        <v>9931</v>
      </c>
    </row>
    <row r="373" spans="1:14" ht="15.75" customHeight="1">
      <c r="A373" s="2" t="s">
        <v>9275</v>
      </c>
      <c r="B373" s="2" t="s">
        <v>9932</v>
      </c>
      <c r="C373" s="2" t="s">
        <v>9277</v>
      </c>
      <c r="D373" s="2">
        <v>152000</v>
      </c>
      <c r="E373" s="2">
        <v>148</v>
      </c>
      <c r="F373" s="2">
        <v>22593536</v>
      </c>
      <c r="G373" s="2">
        <v>0</v>
      </c>
      <c r="H373" s="2">
        <v>13156352</v>
      </c>
      <c r="I373" s="2">
        <v>6291456</v>
      </c>
      <c r="J373" s="2">
        <v>265520</v>
      </c>
      <c r="K373" s="275">
        <v>44294.709722222222</v>
      </c>
      <c r="L373" s="275">
        <v>44432.715277777781</v>
      </c>
      <c r="M373" s="2" t="s">
        <v>9278</v>
      </c>
      <c r="N373" s="2" t="s">
        <v>9933</v>
      </c>
    </row>
    <row r="374" spans="1:14" ht="15.75" customHeight="1">
      <c r="A374" s="2" t="s">
        <v>9275</v>
      </c>
      <c r="B374" s="2" t="s">
        <v>9934</v>
      </c>
      <c r="C374" s="2" t="s">
        <v>9277</v>
      </c>
      <c r="D374" s="2">
        <v>42275</v>
      </c>
      <c r="E374" s="2">
        <v>161</v>
      </c>
      <c r="F374" s="2">
        <v>6832128</v>
      </c>
      <c r="G374" s="2">
        <v>0</v>
      </c>
      <c r="H374" s="2">
        <v>4767744</v>
      </c>
      <c r="I374" s="2">
        <v>4194304</v>
      </c>
      <c r="J374" s="2">
        <v>67598</v>
      </c>
      <c r="K374" s="275">
        <v>44294.709722222222</v>
      </c>
      <c r="L374" s="275">
        <v>44432.715277777781</v>
      </c>
      <c r="M374" s="2" t="s">
        <v>9278</v>
      </c>
      <c r="N374" s="2" t="s">
        <v>9935</v>
      </c>
    </row>
    <row r="375" spans="1:14" ht="15.75" customHeight="1">
      <c r="A375" s="2" t="s">
        <v>9275</v>
      </c>
      <c r="B375" s="2" t="s">
        <v>9936</v>
      </c>
      <c r="C375" s="2" t="s">
        <v>9277</v>
      </c>
      <c r="D375" s="2">
        <v>8117845</v>
      </c>
      <c r="E375" s="2">
        <v>68</v>
      </c>
      <c r="F375" s="2">
        <v>553648128</v>
      </c>
      <c r="G375" s="2">
        <v>0</v>
      </c>
      <c r="H375" s="2">
        <v>1031667712</v>
      </c>
      <c r="I375" s="2">
        <v>5242880</v>
      </c>
      <c r="J375" s="2">
        <v>8703668</v>
      </c>
      <c r="K375" s="275">
        <v>44294.709722222222</v>
      </c>
      <c r="L375" s="275">
        <v>44448.451388888891</v>
      </c>
      <c r="M375" s="2" t="s">
        <v>9278</v>
      </c>
      <c r="N375" s="2" t="s">
        <v>9937</v>
      </c>
    </row>
    <row r="376" spans="1:14" ht="15.75" customHeight="1">
      <c r="A376" s="2" t="s">
        <v>9275</v>
      </c>
      <c r="B376" s="2" t="s">
        <v>9938</v>
      </c>
      <c r="C376" s="2" t="s">
        <v>9277</v>
      </c>
      <c r="D376" s="2">
        <v>0</v>
      </c>
      <c r="E376" s="2">
        <v>0</v>
      </c>
      <c r="F376" s="2">
        <v>16384</v>
      </c>
      <c r="G376" s="2">
        <v>0</v>
      </c>
      <c r="H376" s="2">
        <v>0</v>
      </c>
      <c r="I376" s="2">
        <v>0</v>
      </c>
      <c r="J376" s="2">
        <v>1</v>
      </c>
      <c r="K376" s="275">
        <v>44294.710416666669</v>
      </c>
      <c r="M376" s="2" t="s">
        <v>9278</v>
      </c>
      <c r="N376" s="2" t="s">
        <v>9939</v>
      </c>
    </row>
    <row r="377" spans="1:14" ht="15.75" customHeight="1">
      <c r="A377" s="2" t="s">
        <v>9275</v>
      </c>
      <c r="B377" s="2" t="s">
        <v>9940</v>
      </c>
      <c r="C377" s="2" t="s">
        <v>9277</v>
      </c>
      <c r="D377" s="2">
        <v>0</v>
      </c>
      <c r="E377" s="2">
        <v>0</v>
      </c>
      <c r="F377" s="2">
        <v>16384</v>
      </c>
      <c r="G377" s="2">
        <v>0</v>
      </c>
      <c r="H377" s="2">
        <v>0</v>
      </c>
      <c r="I377" s="2">
        <v>0</v>
      </c>
      <c r="J377" s="2">
        <v>1</v>
      </c>
      <c r="K377" s="275">
        <v>44294.710416666669</v>
      </c>
      <c r="M377" s="2" t="s">
        <v>9278</v>
      </c>
      <c r="N377" s="2" t="s">
        <v>9941</v>
      </c>
    </row>
    <row r="378" spans="1:14" ht="15.75" customHeight="1">
      <c r="A378" s="2" t="s">
        <v>9275</v>
      </c>
      <c r="B378" s="2" t="s">
        <v>9942</v>
      </c>
      <c r="C378" s="2" t="s">
        <v>9277</v>
      </c>
      <c r="D378" s="2">
        <v>0</v>
      </c>
      <c r="E378" s="2">
        <v>0</v>
      </c>
      <c r="F378" s="2">
        <v>16384</v>
      </c>
      <c r="G378" s="2">
        <v>0</v>
      </c>
      <c r="H378" s="2">
        <v>0</v>
      </c>
      <c r="I378" s="2">
        <v>0</v>
      </c>
      <c r="J378" s="2">
        <v>1</v>
      </c>
      <c r="K378" s="275">
        <v>44294.710416666669</v>
      </c>
      <c r="M378" s="2" t="s">
        <v>9278</v>
      </c>
      <c r="N378" s="2" t="s">
        <v>9943</v>
      </c>
    </row>
    <row r="379" spans="1:14" ht="15.75" customHeight="1">
      <c r="A379" s="2" t="s">
        <v>9275</v>
      </c>
      <c r="B379" s="2" t="s">
        <v>9944</v>
      </c>
      <c r="C379" s="2" t="s">
        <v>9277</v>
      </c>
      <c r="D379" s="2">
        <v>0</v>
      </c>
      <c r="E379" s="2">
        <v>0</v>
      </c>
      <c r="F379" s="2">
        <v>16384</v>
      </c>
      <c r="G379" s="2">
        <v>0</v>
      </c>
      <c r="H379" s="2">
        <v>0</v>
      </c>
      <c r="I379" s="2">
        <v>0</v>
      </c>
      <c r="J379" s="2">
        <v>1</v>
      </c>
      <c r="K379" s="275">
        <v>44294.710416666669</v>
      </c>
      <c r="M379" s="2" t="s">
        <v>9278</v>
      </c>
      <c r="N379" s="2" t="s">
        <v>9945</v>
      </c>
    </row>
    <row r="380" spans="1:14" ht="15.75" customHeight="1">
      <c r="A380" s="2" t="s">
        <v>9275</v>
      </c>
      <c r="B380" s="2" t="s">
        <v>9946</v>
      </c>
      <c r="C380" s="2" t="s">
        <v>9277</v>
      </c>
      <c r="D380" s="2">
        <v>0</v>
      </c>
      <c r="E380" s="2">
        <v>0</v>
      </c>
      <c r="F380" s="2">
        <v>16384</v>
      </c>
      <c r="G380" s="2">
        <v>0</v>
      </c>
      <c r="H380" s="2">
        <v>0</v>
      </c>
      <c r="I380" s="2">
        <v>0</v>
      </c>
      <c r="J380" s="2">
        <v>1</v>
      </c>
      <c r="K380" s="275">
        <v>44294.710416666669</v>
      </c>
      <c r="M380" s="2" t="s">
        <v>9278</v>
      </c>
      <c r="N380" s="2" t="s">
        <v>9947</v>
      </c>
    </row>
    <row r="381" spans="1:14" ht="15.75" customHeight="1">
      <c r="A381" s="2" t="s">
        <v>9275</v>
      </c>
      <c r="B381" s="2" t="s">
        <v>9948</v>
      </c>
      <c r="C381" s="2" t="s">
        <v>9277</v>
      </c>
      <c r="D381" s="2">
        <v>512</v>
      </c>
      <c r="E381" s="2">
        <v>96</v>
      </c>
      <c r="F381" s="2">
        <v>49152</v>
      </c>
      <c r="G381" s="2">
        <v>0</v>
      </c>
      <c r="H381" s="2">
        <v>49152</v>
      </c>
      <c r="I381" s="2">
        <v>0</v>
      </c>
      <c r="J381" s="2">
        <v>766</v>
      </c>
      <c r="K381" s="275">
        <v>44294.710416666669</v>
      </c>
      <c r="L381" s="275">
        <v>44447.469444444447</v>
      </c>
      <c r="M381" s="2" t="s">
        <v>9278</v>
      </c>
      <c r="N381" s="2" t="s">
        <v>9949</v>
      </c>
    </row>
    <row r="382" spans="1:14" ht="15.75" customHeight="1">
      <c r="A382" s="2" t="s">
        <v>9275</v>
      </c>
      <c r="B382" s="2" t="s">
        <v>9950</v>
      </c>
      <c r="C382" s="2" t="s">
        <v>9277</v>
      </c>
      <c r="D382" s="2">
        <v>494</v>
      </c>
      <c r="E382" s="2">
        <v>696</v>
      </c>
      <c r="F382" s="2">
        <v>344064</v>
      </c>
      <c r="G382" s="2">
        <v>0</v>
      </c>
      <c r="H382" s="2">
        <v>49152</v>
      </c>
      <c r="I382" s="2">
        <v>0</v>
      </c>
      <c r="J382" s="2">
        <v>766</v>
      </c>
      <c r="K382" s="275">
        <v>44294.710416666669</v>
      </c>
      <c r="L382" s="275">
        <v>44447.469444444447</v>
      </c>
      <c r="M382" s="2" t="s">
        <v>9278</v>
      </c>
      <c r="N382" s="2" t="s">
        <v>9951</v>
      </c>
    </row>
    <row r="383" spans="1:14" ht="15.75" customHeight="1">
      <c r="A383" s="2" t="s">
        <v>9275</v>
      </c>
      <c r="B383" s="2" t="s">
        <v>9952</v>
      </c>
      <c r="C383" s="2" t="s">
        <v>9277</v>
      </c>
      <c r="D383" s="2">
        <v>3</v>
      </c>
      <c r="E383" s="2">
        <v>5461</v>
      </c>
      <c r="F383" s="2">
        <v>16384</v>
      </c>
      <c r="G383" s="2">
        <v>0</v>
      </c>
      <c r="H383" s="2">
        <v>0</v>
      </c>
      <c r="I383" s="2">
        <v>0</v>
      </c>
      <c r="J383" s="2">
        <v>4</v>
      </c>
      <c r="K383" s="275">
        <v>44294.710416666669</v>
      </c>
      <c r="M383" s="2" t="s">
        <v>9278</v>
      </c>
      <c r="N383" s="2" t="s">
        <v>9953</v>
      </c>
    </row>
    <row r="384" spans="1:14" ht="15.75" customHeight="1">
      <c r="A384" s="2" t="s">
        <v>9275</v>
      </c>
      <c r="B384" s="2" t="s">
        <v>9954</v>
      </c>
      <c r="C384" s="2" t="s">
        <v>9277</v>
      </c>
      <c r="D384" s="2">
        <v>321</v>
      </c>
      <c r="E384" s="2">
        <v>51</v>
      </c>
      <c r="F384" s="2">
        <v>16384</v>
      </c>
      <c r="G384" s="2">
        <v>0</v>
      </c>
      <c r="H384" s="2">
        <v>49152</v>
      </c>
      <c r="I384" s="2">
        <v>0</v>
      </c>
      <c r="J384" s="2">
        <v>790</v>
      </c>
      <c r="K384" s="275">
        <v>44294.710416666669</v>
      </c>
      <c r="L384" s="275">
        <v>44447.469444444447</v>
      </c>
      <c r="M384" s="2" t="s">
        <v>9278</v>
      </c>
      <c r="N384" s="2" t="s">
        <v>9955</v>
      </c>
    </row>
    <row r="385" spans="1:14" ht="15.75" customHeight="1">
      <c r="A385" s="2" t="s">
        <v>9275</v>
      </c>
      <c r="B385" s="2" t="s">
        <v>9956</v>
      </c>
      <c r="C385" s="2" t="s">
        <v>9277</v>
      </c>
      <c r="D385" s="2">
        <v>3</v>
      </c>
      <c r="E385" s="2">
        <v>5461</v>
      </c>
      <c r="F385" s="2">
        <v>16384</v>
      </c>
      <c r="G385" s="2">
        <v>0</v>
      </c>
      <c r="H385" s="2">
        <v>0</v>
      </c>
      <c r="I385" s="2">
        <v>0</v>
      </c>
      <c r="J385" s="2">
        <v>4</v>
      </c>
      <c r="K385" s="275">
        <v>44294.710416666669</v>
      </c>
      <c r="M385" s="2" t="s">
        <v>9278</v>
      </c>
      <c r="N385" s="2" t="s">
        <v>9957</v>
      </c>
    </row>
    <row r="386" spans="1:14" ht="15.75" customHeight="1">
      <c r="A386" s="2" t="s">
        <v>9275</v>
      </c>
      <c r="B386" s="2" t="s">
        <v>9958</v>
      </c>
      <c r="C386" s="2" t="s">
        <v>9277</v>
      </c>
      <c r="D386" s="2">
        <v>1024</v>
      </c>
      <c r="E386" s="2">
        <v>64</v>
      </c>
      <c r="F386" s="2">
        <v>65536</v>
      </c>
      <c r="G386" s="2">
        <v>0</v>
      </c>
      <c r="H386" s="2">
        <v>16384</v>
      </c>
      <c r="I386" s="2">
        <v>0</v>
      </c>
      <c r="K386" s="275">
        <v>44294.710416666669</v>
      </c>
      <c r="L386" s="275">
        <v>44447.469444444447</v>
      </c>
      <c r="M386" s="2" t="s">
        <v>9278</v>
      </c>
      <c r="N386" s="2" t="s">
        <v>9959</v>
      </c>
    </row>
    <row r="387" spans="1:14" ht="15.75" customHeight="1">
      <c r="A387" s="2" t="s">
        <v>9275</v>
      </c>
      <c r="B387" s="2" t="s">
        <v>9960</v>
      </c>
      <c r="C387" s="2" t="s">
        <v>9277</v>
      </c>
      <c r="D387" s="2">
        <v>132394</v>
      </c>
      <c r="E387" s="2">
        <v>178</v>
      </c>
      <c r="F387" s="2">
        <v>23642112</v>
      </c>
      <c r="G387" s="2">
        <v>0</v>
      </c>
      <c r="H387" s="2">
        <v>12025856</v>
      </c>
      <c r="I387" s="2">
        <v>6291456</v>
      </c>
      <c r="J387" s="2">
        <v>318032</v>
      </c>
      <c r="K387" s="275">
        <v>44294.710416666669</v>
      </c>
      <c r="L387" s="275">
        <v>44447.708333333336</v>
      </c>
      <c r="M387" s="2" t="s">
        <v>9278</v>
      </c>
      <c r="N387" s="2" t="s">
        <v>9961</v>
      </c>
    </row>
    <row r="388" spans="1:14" ht="15.75" customHeight="1">
      <c r="A388" s="2" t="s">
        <v>9275</v>
      </c>
      <c r="B388" s="2" t="s">
        <v>9962</v>
      </c>
      <c r="C388" s="2" t="s">
        <v>9277</v>
      </c>
      <c r="D388" s="2">
        <v>82078</v>
      </c>
      <c r="E388" s="2">
        <v>147</v>
      </c>
      <c r="F388" s="2">
        <v>12075008</v>
      </c>
      <c r="G388" s="2">
        <v>0</v>
      </c>
      <c r="H388" s="2">
        <v>6864896</v>
      </c>
      <c r="I388" s="2">
        <v>3145728</v>
      </c>
      <c r="J388" s="2">
        <v>144398</v>
      </c>
      <c r="K388" s="275">
        <v>44294.710416666669</v>
      </c>
      <c r="L388" s="275">
        <v>44447.708333333336</v>
      </c>
      <c r="M388" s="2" t="s">
        <v>9278</v>
      </c>
      <c r="N388" s="2" t="s">
        <v>9963</v>
      </c>
    </row>
    <row r="389" spans="1:14" ht="15.75" customHeight="1">
      <c r="A389" s="2" t="s">
        <v>9275</v>
      </c>
      <c r="B389" s="2" t="s">
        <v>9964</v>
      </c>
      <c r="C389" s="2" t="s">
        <v>9277</v>
      </c>
      <c r="D389" s="2">
        <v>42053</v>
      </c>
      <c r="E389" s="2">
        <v>162</v>
      </c>
      <c r="F389" s="2">
        <v>6832128</v>
      </c>
      <c r="G389" s="2">
        <v>0</v>
      </c>
      <c r="H389" s="2">
        <v>4767744</v>
      </c>
      <c r="I389" s="2">
        <v>4194304</v>
      </c>
      <c r="J389" s="2">
        <v>82735</v>
      </c>
      <c r="K389" s="275">
        <v>44294.710416666669</v>
      </c>
      <c r="L389" s="275">
        <v>44447.708333333336</v>
      </c>
      <c r="M389" s="2" t="s">
        <v>9278</v>
      </c>
      <c r="N389" s="2" t="s">
        <v>9965</v>
      </c>
    </row>
    <row r="390" spans="1:14" ht="15.75" customHeight="1">
      <c r="A390" s="2" t="s">
        <v>9275</v>
      </c>
      <c r="B390" s="2" t="s">
        <v>9966</v>
      </c>
      <c r="C390" s="2" t="s">
        <v>9277</v>
      </c>
      <c r="D390" s="2">
        <v>129</v>
      </c>
      <c r="E390" s="2">
        <v>635</v>
      </c>
      <c r="F390" s="2">
        <v>81920</v>
      </c>
      <c r="G390" s="2">
        <v>0</v>
      </c>
      <c r="H390" s="2">
        <v>147456</v>
      </c>
      <c r="I390" s="2">
        <v>0</v>
      </c>
      <c r="J390" s="2">
        <v>130</v>
      </c>
      <c r="K390" s="275">
        <v>44294.710416666669</v>
      </c>
      <c r="L390" s="275">
        <v>44448.392361111109</v>
      </c>
      <c r="M390" s="2" t="s">
        <v>9278</v>
      </c>
      <c r="N390" s="2" t="s">
        <v>9967</v>
      </c>
    </row>
    <row r="391" spans="1:14" ht="15.75" customHeight="1">
      <c r="A391" s="2" t="s">
        <v>9275</v>
      </c>
      <c r="B391" s="2" t="s">
        <v>9968</v>
      </c>
      <c r="C391" s="2" t="s">
        <v>9277</v>
      </c>
      <c r="D391" s="2">
        <v>0</v>
      </c>
      <c r="E391" s="2">
        <v>0</v>
      </c>
      <c r="F391" s="2">
        <v>16384</v>
      </c>
      <c r="G391" s="2">
        <v>0</v>
      </c>
      <c r="H391" s="2">
        <v>32768</v>
      </c>
      <c r="I391" s="2">
        <v>0</v>
      </c>
      <c r="J391" s="2">
        <v>1</v>
      </c>
      <c r="K391" s="275">
        <v>44294.710416666669</v>
      </c>
      <c r="M391" s="2" t="s">
        <v>9278</v>
      </c>
      <c r="N391" s="2" t="s">
        <v>9969</v>
      </c>
    </row>
    <row r="392" spans="1:14" ht="15.75" customHeight="1">
      <c r="A392" s="2" t="s">
        <v>9275</v>
      </c>
      <c r="B392" s="2" t="s">
        <v>9970</v>
      </c>
      <c r="C392" s="2" t="s">
        <v>9277</v>
      </c>
      <c r="D392" s="2">
        <v>129</v>
      </c>
      <c r="E392" s="2">
        <v>889</v>
      </c>
      <c r="F392" s="2">
        <v>114688</v>
      </c>
      <c r="G392" s="2">
        <v>0</v>
      </c>
      <c r="H392" s="2">
        <v>212992</v>
      </c>
      <c r="I392" s="2">
        <v>0</v>
      </c>
      <c r="K392" s="275">
        <v>44294.710416666669</v>
      </c>
      <c r="L392" s="275">
        <v>44448.392361111109</v>
      </c>
      <c r="M392" s="2" t="s">
        <v>9278</v>
      </c>
      <c r="N392" s="2" t="s">
        <v>9971</v>
      </c>
    </row>
    <row r="393" spans="1:14" ht="15.75" customHeight="1">
      <c r="A393" s="2" t="s">
        <v>9275</v>
      </c>
      <c r="B393" s="2" t="s">
        <v>9972</v>
      </c>
      <c r="C393" s="2" t="s">
        <v>9277</v>
      </c>
      <c r="D393" s="2">
        <v>184</v>
      </c>
      <c r="E393" s="2">
        <v>445</v>
      </c>
      <c r="F393" s="2">
        <v>81920</v>
      </c>
      <c r="G393" s="2">
        <v>0</v>
      </c>
      <c r="H393" s="2">
        <v>16384</v>
      </c>
      <c r="I393" s="2">
        <v>0</v>
      </c>
      <c r="J393" s="2">
        <v>185</v>
      </c>
      <c r="K393" s="275">
        <v>44294.710416666669</v>
      </c>
      <c r="L393" s="275">
        <v>44448.392361111109</v>
      </c>
      <c r="M393" s="2" t="s">
        <v>9278</v>
      </c>
      <c r="N393" s="2" t="s">
        <v>9973</v>
      </c>
    </row>
    <row r="394" spans="1:14" ht="15.75" customHeight="1">
      <c r="A394" s="2" t="s">
        <v>9275</v>
      </c>
      <c r="B394" s="2" t="s">
        <v>9974</v>
      </c>
      <c r="C394" s="2" t="s">
        <v>9277</v>
      </c>
      <c r="D394" s="2">
        <v>22498</v>
      </c>
      <c r="E394" s="2">
        <v>396</v>
      </c>
      <c r="F394" s="2">
        <v>8929280</v>
      </c>
      <c r="G394" s="2">
        <v>0</v>
      </c>
      <c r="H394" s="2">
        <v>5718016</v>
      </c>
      <c r="I394" s="2">
        <v>4194304</v>
      </c>
      <c r="J394" s="2">
        <v>23062</v>
      </c>
      <c r="K394" s="275">
        <v>44294.710416666669</v>
      </c>
      <c r="L394" s="275">
        <v>44448.447916666664</v>
      </c>
      <c r="M394" s="2" t="s">
        <v>9278</v>
      </c>
      <c r="N394" s="2" t="s">
        <v>9975</v>
      </c>
    </row>
    <row r="395" spans="1:14" ht="15.75" customHeight="1">
      <c r="A395" s="2" t="s">
        <v>9275</v>
      </c>
      <c r="B395" s="2" t="s">
        <v>9976</v>
      </c>
      <c r="C395" s="2" t="s">
        <v>9277</v>
      </c>
      <c r="D395" s="2">
        <v>42</v>
      </c>
      <c r="E395" s="2">
        <v>390</v>
      </c>
      <c r="F395" s="2">
        <v>16384</v>
      </c>
      <c r="G395" s="2">
        <v>0</v>
      </c>
      <c r="H395" s="2">
        <v>32768</v>
      </c>
      <c r="I395" s="2">
        <v>0</v>
      </c>
      <c r="J395" s="2">
        <v>43</v>
      </c>
      <c r="K395" s="275">
        <v>44294.710416666669</v>
      </c>
      <c r="M395" s="2" t="s">
        <v>9278</v>
      </c>
      <c r="N395" s="2" t="s">
        <v>9977</v>
      </c>
    </row>
    <row r="396" spans="1:14" ht="15.75" customHeight="1">
      <c r="A396" s="2" t="s">
        <v>9275</v>
      </c>
      <c r="B396" s="2" t="s">
        <v>9978</v>
      </c>
      <c r="C396" s="2" t="s">
        <v>9277</v>
      </c>
      <c r="D396" s="2">
        <v>22297</v>
      </c>
      <c r="E396" s="2">
        <v>635</v>
      </c>
      <c r="F396" s="2">
        <v>14172160</v>
      </c>
      <c r="G396" s="2">
        <v>0</v>
      </c>
      <c r="H396" s="2">
        <v>11812864</v>
      </c>
      <c r="I396" s="2">
        <v>5242880</v>
      </c>
      <c r="K396" s="275">
        <v>44294.710416666669</v>
      </c>
      <c r="L396" s="275">
        <v>44448.448611111111</v>
      </c>
      <c r="M396" s="2" t="s">
        <v>9278</v>
      </c>
      <c r="N396" s="2" t="s">
        <v>9979</v>
      </c>
    </row>
    <row r="397" spans="1:14" ht="15.75" customHeight="1">
      <c r="A397" s="2" t="s">
        <v>9275</v>
      </c>
      <c r="B397" s="2" t="s">
        <v>9980</v>
      </c>
      <c r="C397" s="2" t="s">
        <v>9277</v>
      </c>
      <c r="D397" s="2">
        <v>57178</v>
      </c>
      <c r="E397" s="2">
        <v>247</v>
      </c>
      <c r="F397" s="2">
        <v>14172160</v>
      </c>
      <c r="G397" s="2">
        <v>0</v>
      </c>
      <c r="H397" s="2">
        <v>1589248</v>
      </c>
      <c r="I397" s="2">
        <v>4194304</v>
      </c>
      <c r="J397" s="2">
        <v>56917</v>
      </c>
      <c r="K397" s="275">
        <v>44294.710416666669</v>
      </c>
      <c r="L397" s="275">
        <v>44448.447916666664</v>
      </c>
      <c r="M397" s="2" t="s">
        <v>9278</v>
      </c>
      <c r="N397" s="2" t="s">
        <v>9981</v>
      </c>
    </row>
    <row r="398" spans="1:14" ht="15.75" customHeight="1">
      <c r="A398" s="2" t="s">
        <v>9275</v>
      </c>
      <c r="B398" s="2" t="s">
        <v>9982</v>
      </c>
      <c r="C398" s="2" t="s">
        <v>9277</v>
      </c>
      <c r="D398" s="2">
        <v>1707</v>
      </c>
      <c r="E398" s="2">
        <v>95</v>
      </c>
      <c r="F398" s="2">
        <v>163840</v>
      </c>
      <c r="G398" s="2">
        <v>0</v>
      </c>
      <c r="H398" s="2">
        <v>114688</v>
      </c>
      <c r="I398" s="2">
        <v>0</v>
      </c>
      <c r="J398" s="2">
        <v>2057387</v>
      </c>
      <c r="K398" s="275">
        <v>44294.710416666669</v>
      </c>
      <c r="L398" s="275">
        <v>44447.708333333336</v>
      </c>
      <c r="M398" s="2" t="s">
        <v>9278</v>
      </c>
      <c r="N398" s="2" t="s">
        <v>9983</v>
      </c>
    </row>
    <row r="399" spans="1:14" ht="15.75" customHeight="1">
      <c r="A399" s="2" t="s">
        <v>9275</v>
      </c>
      <c r="B399" s="2" t="s">
        <v>9984</v>
      </c>
      <c r="C399" s="2" t="s">
        <v>9277</v>
      </c>
      <c r="D399" s="2">
        <v>1827</v>
      </c>
      <c r="E399" s="2">
        <v>89</v>
      </c>
      <c r="F399" s="2">
        <v>163840</v>
      </c>
      <c r="G399" s="2">
        <v>0</v>
      </c>
      <c r="H399" s="2">
        <v>131072</v>
      </c>
      <c r="I399" s="2">
        <v>0</v>
      </c>
      <c r="J399" s="2">
        <v>3609</v>
      </c>
      <c r="K399" s="275">
        <v>44294.710416666669</v>
      </c>
      <c r="L399" s="275">
        <v>44447.708333333336</v>
      </c>
      <c r="M399" s="2" t="s">
        <v>9278</v>
      </c>
      <c r="N399" s="2" t="s">
        <v>9985</v>
      </c>
    </row>
    <row r="400" spans="1:14" ht="15.75" customHeight="1">
      <c r="A400" s="2" t="s">
        <v>9275</v>
      </c>
      <c r="B400" s="2" t="s">
        <v>9986</v>
      </c>
      <c r="C400" s="2" t="s">
        <v>9277</v>
      </c>
      <c r="D400" s="2">
        <v>94930</v>
      </c>
      <c r="E400" s="2">
        <v>1068</v>
      </c>
      <c r="F400" s="2">
        <v>101416960</v>
      </c>
      <c r="G400" s="2">
        <v>0</v>
      </c>
      <c r="H400" s="2">
        <v>24772608</v>
      </c>
      <c r="I400" s="2">
        <v>7340032</v>
      </c>
      <c r="J400" s="2">
        <v>100687</v>
      </c>
      <c r="K400" s="275">
        <v>44369.688194444447</v>
      </c>
      <c r="L400" s="275">
        <v>44448.451388888891</v>
      </c>
      <c r="M400" s="2" t="s">
        <v>9278</v>
      </c>
      <c r="N400" s="2" t="s">
        <v>9987</v>
      </c>
    </row>
    <row r="401" spans="1:14" ht="15.75" customHeight="1">
      <c r="A401" s="2" t="s">
        <v>9275</v>
      </c>
      <c r="B401" s="2" t="s">
        <v>9988</v>
      </c>
      <c r="C401" s="2" t="s">
        <v>9277</v>
      </c>
      <c r="D401" s="2">
        <v>198409</v>
      </c>
      <c r="E401" s="2">
        <v>304</v>
      </c>
      <c r="F401" s="2">
        <v>60391424</v>
      </c>
      <c r="G401" s="2">
        <v>0</v>
      </c>
      <c r="H401" s="2">
        <v>3686400</v>
      </c>
      <c r="I401" s="2">
        <v>6291456</v>
      </c>
      <c r="J401" s="2">
        <v>201373</v>
      </c>
      <c r="K401" s="275">
        <v>44413.683333333334</v>
      </c>
      <c r="L401" s="275">
        <v>44448.449305555558</v>
      </c>
      <c r="M401" s="2" t="s">
        <v>9278</v>
      </c>
      <c r="N401" s="2" t="s">
        <v>9989</v>
      </c>
    </row>
    <row r="402" spans="1:14" ht="15.75" customHeight="1">
      <c r="A402" s="2" t="s">
        <v>9275</v>
      </c>
      <c r="B402" s="2" t="s">
        <v>9990</v>
      </c>
      <c r="C402" s="2" t="s">
        <v>9277</v>
      </c>
      <c r="D402" s="2">
        <v>5337</v>
      </c>
      <c r="E402" s="2">
        <v>396</v>
      </c>
      <c r="F402" s="2">
        <v>2113536</v>
      </c>
      <c r="G402" s="2">
        <v>0</v>
      </c>
      <c r="H402" s="2">
        <v>278528</v>
      </c>
      <c r="I402" s="2">
        <v>5242880</v>
      </c>
      <c r="J402" s="2">
        <v>4960517</v>
      </c>
      <c r="K402" s="275">
        <v>44294.710416666669</v>
      </c>
      <c r="L402" s="275">
        <v>44447.708333333336</v>
      </c>
      <c r="M402" s="2" t="s">
        <v>9278</v>
      </c>
      <c r="N402" s="2" t="s">
        <v>9991</v>
      </c>
    </row>
    <row r="403" spans="1:14" ht="15.75" customHeight="1">
      <c r="A403" s="2" t="s">
        <v>9275</v>
      </c>
      <c r="B403" s="2" t="s">
        <v>9992</v>
      </c>
      <c r="C403" s="2" t="s">
        <v>9277</v>
      </c>
      <c r="D403" s="2">
        <v>4502</v>
      </c>
      <c r="E403" s="2">
        <v>469</v>
      </c>
      <c r="F403" s="2">
        <v>2113536</v>
      </c>
      <c r="G403" s="2">
        <v>0</v>
      </c>
      <c r="H403" s="2">
        <v>245760</v>
      </c>
      <c r="I403" s="2">
        <v>4194304</v>
      </c>
      <c r="J403" s="2">
        <v>3865491</v>
      </c>
      <c r="K403" s="275">
        <v>44294.710416666669</v>
      </c>
      <c r="L403" s="275">
        <v>44447.708333333336</v>
      </c>
      <c r="M403" s="2" t="s">
        <v>9278</v>
      </c>
      <c r="N403" s="2" t="s">
        <v>9993</v>
      </c>
    </row>
    <row r="404" spans="1:14" ht="15.75" customHeight="1">
      <c r="A404" s="2" t="s">
        <v>9275</v>
      </c>
      <c r="B404" s="2" t="s">
        <v>9994</v>
      </c>
      <c r="C404" s="2" t="s">
        <v>9277</v>
      </c>
      <c r="D404" s="2">
        <v>87758</v>
      </c>
      <c r="E404" s="2">
        <v>939</v>
      </c>
      <c r="F404" s="2">
        <v>82427904</v>
      </c>
      <c r="G404" s="2">
        <v>0</v>
      </c>
      <c r="H404" s="2">
        <v>54706176</v>
      </c>
      <c r="I404" s="2">
        <v>6291456</v>
      </c>
      <c r="K404" s="275">
        <v>44294.710416666669</v>
      </c>
      <c r="L404" s="275">
        <v>44448.451388888891</v>
      </c>
      <c r="M404" s="2" t="s">
        <v>9278</v>
      </c>
      <c r="N404" s="2" t="s">
        <v>9995</v>
      </c>
    </row>
    <row r="405" spans="1:14" ht="15.75" customHeight="1">
      <c r="A405" s="2" t="s">
        <v>9275</v>
      </c>
      <c r="B405" s="2" t="s">
        <v>9996</v>
      </c>
      <c r="C405" s="2" t="s">
        <v>9277</v>
      </c>
      <c r="D405" s="2">
        <v>155452</v>
      </c>
      <c r="E405" s="2">
        <v>902</v>
      </c>
      <c r="F405" s="2">
        <v>140247040</v>
      </c>
      <c r="G405" s="2">
        <v>0</v>
      </c>
      <c r="H405" s="2">
        <v>5275648</v>
      </c>
      <c r="I405" s="2">
        <v>4194304</v>
      </c>
      <c r="J405" s="2">
        <v>166407</v>
      </c>
      <c r="K405" s="275">
        <v>44294.710416666669</v>
      </c>
      <c r="L405" s="275">
        <v>44448.451388888891</v>
      </c>
      <c r="M405" s="2" t="s">
        <v>9278</v>
      </c>
      <c r="N405" s="2" t="s">
        <v>9997</v>
      </c>
    </row>
    <row r="406" spans="1:14" ht="15.75" customHeight="1">
      <c r="A406" s="2" t="s">
        <v>9275</v>
      </c>
      <c r="B406" s="2" t="s">
        <v>9998</v>
      </c>
      <c r="C406" s="2" t="s">
        <v>9277</v>
      </c>
      <c r="D406" s="2">
        <v>101647</v>
      </c>
      <c r="E406" s="2">
        <v>170</v>
      </c>
      <c r="F406" s="2">
        <v>17350656</v>
      </c>
      <c r="G406" s="2">
        <v>0</v>
      </c>
      <c r="H406" s="2">
        <v>1589248</v>
      </c>
      <c r="I406" s="2">
        <v>4194304</v>
      </c>
      <c r="J406" s="2">
        <v>100687</v>
      </c>
      <c r="K406" s="275">
        <v>44294.710416666669</v>
      </c>
      <c r="L406" s="275">
        <v>44448.451388888891</v>
      </c>
      <c r="M406" s="2" t="s">
        <v>9278</v>
      </c>
      <c r="N406" s="2" t="s">
        <v>9999</v>
      </c>
    </row>
    <row r="407" spans="1:14" ht="15.75" customHeight="1">
      <c r="A407" s="2" t="s">
        <v>9275</v>
      </c>
      <c r="B407" s="2" t="s">
        <v>10000</v>
      </c>
      <c r="C407" s="2" t="s">
        <v>9277</v>
      </c>
      <c r="D407" s="2">
        <v>15</v>
      </c>
      <c r="E407" s="2">
        <v>1092</v>
      </c>
      <c r="F407" s="2">
        <v>16384</v>
      </c>
      <c r="G407" s="2">
        <v>0</v>
      </c>
      <c r="H407" s="2">
        <v>0</v>
      </c>
      <c r="I407" s="2">
        <v>0</v>
      </c>
      <c r="K407" s="275">
        <v>44294.710416666669</v>
      </c>
      <c r="M407" s="2" t="s">
        <v>9278</v>
      </c>
      <c r="N407" s="2" t="s">
        <v>10001</v>
      </c>
    </row>
    <row r="408" spans="1:14" ht="15.75" customHeight="1">
      <c r="A408" s="2" t="s">
        <v>9275</v>
      </c>
      <c r="B408" s="2" t="s">
        <v>10002</v>
      </c>
      <c r="C408" s="2" t="s">
        <v>9277</v>
      </c>
      <c r="D408" s="2">
        <v>299572</v>
      </c>
      <c r="E408" s="2">
        <v>551</v>
      </c>
      <c r="F408" s="2">
        <v>165330944</v>
      </c>
      <c r="G408" s="2">
        <v>0</v>
      </c>
      <c r="H408" s="2">
        <v>16809984</v>
      </c>
      <c r="I408" s="2">
        <v>6291456</v>
      </c>
      <c r="J408" s="2">
        <v>410782</v>
      </c>
      <c r="K408" s="275">
        <v>44294.710416666669</v>
      </c>
      <c r="L408" s="275">
        <v>44448.449305555558</v>
      </c>
      <c r="M408" s="2" t="s">
        <v>9278</v>
      </c>
      <c r="N408" s="2" t="s">
        <v>10003</v>
      </c>
    </row>
    <row r="409" spans="1:14" ht="15.75" customHeight="1">
      <c r="A409" s="2" t="s">
        <v>9275</v>
      </c>
      <c r="B409" s="2" t="s">
        <v>10004</v>
      </c>
      <c r="C409" s="2" t="s">
        <v>9277</v>
      </c>
      <c r="D409" s="2">
        <v>0</v>
      </c>
      <c r="E409" s="2">
        <v>0</v>
      </c>
      <c r="F409" s="2">
        <v>16384</v>
      </c>
      <c r="G409" s="2">
        <v>0</v>
      </c>
      <c r="H409" s="2">
        <v>16384</v>
      </c>
      <c r="I409" s="2">
        <v>0</v>
      </c>
      <c r="K409" s="275">
        <v>44294.710416666669</v>
      </c>
      <c r="M409" s="2" t="s">
        <v>9278</v>
      </c>
      <c r="N409" s="2" t="s">
        <v>10005</v>
      </c>
    </row>
    <row r="410" spans="1:14" ht="15.75" customHeight="1">
      <c r="A410" s="2" t="s">
        <v>9275</v>
      </c>
      <c r="B410" s="2" t="s">
        <v>10006</v>
      </c>
      <c r="C410" s="2" t="s">
        <v>9277</v>
      </c>
      <c r="D410" s="2">
        <v>12</v>
      </c>
      <c r="E410" s="2">
        <v>1365</v>
      </c>
      <c r="F410" s="2">
        <v>16384</v>
      </c>
      <c r="G410" s="2">
        <v>0</v>
      </c>
      <c r="H410" s="2">
        <v>0</v>
      </c>
      <c r="I410" s="2">
        <v>0</v>
      </c>
      <c r="K410" s="275">
        <v>44294.710416666669</v>
      </c>
      <c r="M410" s="2" t="s">
        <v>9278</v>
      </c>
      <c r="N410" s="2" t="s">
        <v>10001</v>
      </c>
    </row>
    <row r="411" spans="1:14" ht="15.75" customHeight="1">
      <c r="A411" s="2" t="s">
        <v>9275</v>
      </c>
      <c r="B411" s="2" t="s">
        <v>10007</v>
      </c>
      <c r="C411" s="2" t="s">
        <v>9277</v>
      </c>
      <c r="D411" s="2">
        <v>0</v>
      </c>
      <c r="E411" s="2">
        <v>0</v>
      </c>
      <c r="F411" s="2">
        <v>16384</v>
      </c>
      <c r="G411" s="2">
        <v>0</v>
      </c>
      <c r="H411" s="2">
        <v>16384</v>
      </c>
      <c r="I411" s="2">
        <v>0</v>
      </c>
      <c r="J411" s="2">
        <v>1</v>
      </c>
      <c r="K411" s="275">
        <v>44294.710416666669</v>
      </c>
      <c r="M411" s="2" t="s">
        <v>9278</v>
      </c>
      <c r="N411" s="2" t="s">
        <v>10008</v>
      </c>
    </row>
    <row r="412" spans="1:14" ht="15.75" customHeight="1">
      <c r="A412" s="2" t="s">
        <v>9275</v>
      </c>
      <c r="B412" s="2" t="s">
        <v>10009</v>
      </c>
      <c r="C412" s="2" t="s">
        <v>9277</v>
      </c>
      <c r="D412" s="2">
        <v>0</v>
      </c>
      <c r="E412" s="2">
        <v>0</v>
      </c>
      <c r="F412" s="2">
        <v>16384</v>
      </c>
      <c r="G412" s="2">
        <v>0</v>
      </c>
      <c r="H412" s="2">
        <v>49152</v>
      </c>
      <c r="I412" s="2">
        <v>0</v>
      </c>
      <c r="J412" s="2">
        <v>1</v>
      </c>
      <c r="K412" s="275">
        <v>44294.710416666669</v>
      </c>
      <c r="M412" s="2" t="s">
        <v>9278</v>
      </c>
      <c r="N412" s="2" t="s">
        <v>10010</v>
      </c>
    </row>
    <row r="413" spans="1:14" ht="15.75" customHeight="1">
      <c r="A413" s="2" t="s">
        <v>9275</v>
      </c>
      <c r="B413" s="2" t="s">
        <v>10011</v>
      </c>
      <c r="C413" s="2" t="s">
        <v>9277</v>
      </c>
      <c r="D413" s="2">
        <v>0</v>
      </c>
      <c r="E413" s="2">
        <v>0</v>
      </c>
      <c r="F413" s="2">
        <v>16384</v>
      </c>
      <c r="G413" s="2">
        <v>0</v>
      </c>
      <c r="H413" s="2">
        <v>49152</v>
      </c>
      <c r="I413" s="2">
        <v>0</v>
      </c>
      <c r="J413" s="2">
        <v>1</v>
      </c>
      <c r="K413" s="275">
        <v>44294.710416666669</v>
      </c>
      <c r="M413" s="2" t="s">
        <v>9278</v>
      </c>
      <c r="N413" s="2" t="s">
        <v>10012</v>
      </c>
    </row>
    <row r="414" spans="1:14" ht="15.75" customHeight="1">
      <c r="A414" s="2" t="s">
        <v>9275</v>
      </c>
      <c r="B414" s="2" t="s">
        <v>10013</v>
      </c>
      <c r="C414" s="2" t="s">
        <v>9277</v>
      </c>
      <c r="D414" s="2">
        <v>108</v>
      </c>
      <c r="E414" s="2">
        <v>151</v>
      </c>
      <c r="F414" s="2">
        <v>16384</v>
      </c>
      <c r="G414" s="2">
        <v>0</v>
      </c>
      <c r="H414" s="2">
        <v>32768</v>
      </c>
      <c r="I414" s="2">
        <v>0</v>
      </c>
      <c r="J414" s="2">
        <v>340</v>
      </c>
      <c r="K414" s="275">
        <v>44294.710416666669</v>
      </c>
      <c r="L414" s="275">
        <v>44447.708333333336</v>
      </c>
      <c r="M414" s="2" t="s">
        <v>9278</v>
      </c>
      <c r="N414" s="2" t="s">
        <v>10014</v>
      </c>
    </row>
    <row r="415" spans="1:14" ht="15.75" customHeight="1">
      <c r="A415" s="2" t="s">
        <v>9275</v>
      </c>
      <c r="B415" s="2" t="s">
        <v>10015</v>
      </c>
      <c r="C415" s="2" t="s">
        <v>9277</v>
      </c>
      <c r="D415" s="2">
        <v>136</v>
      </c>
      <c r="E415" s="2">
        <v>120</v>
      </c>
      <c r="F415" s="2">
        <v>16384</v>
      </c>
      <c r="G415" s="2">
        <v>0</v>
      </c>
      <c r="H415" s="2">
        <v>32768</v>
      </c>
      <c r="I415" s="2">
        <v>0</v>
      </c>
      <c r="J415" s="2">
        <v>958</v>
      </c>
      <c r="K415" s="275">
        <v>44294.710416666669</v>
      </c>
      <c r="L415" s="275">
        <v>44447.708333333336</v>
      </c>
      <c r="M415" s="2" t="s">
        <v>9278</v>
      </c>
      <c r="N415" s="2" t="s">
        <v>10016</v>
      </c>
    </row>
    <row r="416" spans="1:14" ht="15.75" customHeight="1">
      <c r="A416" s="2" t="s">
        <v>9275</v>
      </c>
      <c r="B416" s="2" t="s">
        <v>10017</v>
      </c>
      <c r="C416" s="2" t="s">
        <v>9277</v>
      </c>
      <c r="D416" s="2">
        <v>15</v>
      </c>
      <c r="E416" s="2">
        <v>1092</v>
      </c>
      <c r="F416" s="2">
        <v>16384</v>
      </c>
      <c r="G416" s="2">
        <v>0</v>
      </c>
      <c r="H416" s="2">
        <v>16384</v>
      </c>
      <c r="I416" s="2">
        <v>0</v>
      </c>
      <c r="J416" s="2">
        <v>32</v>
      </c>
      <c r="K416" s="275">
        <v>44294.710416666669</v>
      </c>
      <c r="M416" s="2" t="s">
        <v>9278</v>
      </c>
      <c r="N416" s="2" t="s">
        <v>10017</v>
      </c>
    </row>
    <row r="417" spans="1:14" ht="15.75" customHeight="1">
      <c r="A417" s="2" t="s">
        <v>9275</v>
      </c>
      <c r="B417" s="2" t="s">
        <v>10018</v>
      </c>
      <c r="C417" s="2" t="s">
        <v>9277</v>
      </c>
      <c r="D417" s="2">
        <v>15</v>
      </c>
      <c r="E417" s="2">
        <v>1092</v>
      </c>
      <c r="F417" s="2">
        <v>16384</v>
      </c>
      <c r="G417" s="2">
        <v>0</v>
      </c>
      <c r="H417" s="2">
        <v>16384</v>
      </c>
      <c r="I417" s="2">
        <v>0</v>
      </c>
      <c r="J417" s="2">
        <v>16</v>
      </c>
      <c r="K417" s="275">
        <v>44294.710416666669</v>
      </c>
      <c r="M417" s="2" t="s">
        <v>9278</v>
      </c>
      <c r="N417" s="2" t="s">
        <v>10018</v>
      </c>
    </row>
    <row r="418" spans="1:14" ht="15.75" customHeight="1">
      <c r="A418" s="2" t="s">
        <v>9275</v>
      </c>
      <c r="B418" s="2" t="s">
        <v>10019</v>
      </c>
      <c r="C418" s="2" t="s">
        <v>9277</v>
      </c>
      <c r="D418" s="2">
        <v>24223</v>
      </c>
      <c r="E418" s="2">
        <v>108</v>
      </c>
      <c r="F418" s="2">
        <v>2637824</v>
      </c>
      <c r="G418" s="2">
        <v>0</v>
      </c>
      <c r="H418" s="2">
        <v>5308416</v>
      </c>
      <c r="I418" s="2">
        <v>4194304</v>
      </c>
      <c r="J418" s="2">
        <v>28578</v>
      </c>
      <c r="K418" s="275">
        <v>44294.710416666669</v>
      </c>
      <c r="L418" s="275">
        <v>44448.451388888891</v>
      </c>
      <c r="M418" s="2" t="s">
        <v>9278</v>
      </c>
      <c r="N418" s="2" t="s">
        <v>10020</v>
      </c>
    </row>
    <row r="419" spans="1:14" ht="15.75" customHeight="1">
      <c r="A419" s="2" t="s">
        <v>9275</v>
      </c>
      <c r="B419" s="2" t="s">
        <v>10021</v>
      </c>
      <c r="C419" s="2" t="s">
        <v>9277</v>
      </c>
      <c r="D419" s="2">
        <v>8291</v>
      </c>
      <c r="E419" s="2">
        <v>43</v>
      </c>
      <c r="F419" s="2">
        <v>360448</v>
      </c>
      <c r="G419" s="2">
        <v>0</v>
      </c>
      <c r="H419" s="2">
        <v>294912</v>
      </c>
      <c r="I419" s="2">
        <v>0</v>
      </c>
      <c r="J419" s="2">
        <v>8144</v>
      </c>
      <c r="K419" s="275">
        <v>44294.710416666669</v>
      </c>
      <c r="M419" s="2" t="s">
        <v>9278</v>
      </c>
      <c r="N419" s="2" t="s">
        <v>10022</v>
      </c>
    </row>
    <row r="420" spans="1:14" ht="15.75" customHeight="1">
      <c r="A420" s="2" t="s">
        <v>9275</v>
      </c>
      <c r="B420" s="2" t="s">
        <v>10023</v>
      </c>
      <c r="C420" s="2" t="s">
        <v>9277</v>
      </c>
      <c r="D420" s="2">
        <v>23698</v>
      </c>
      <c r="E420" s="2">
        <v>686</v>
      </c>
      <c r="F420" s="2">
        <v>16269312</v>
      </c>
      <c r="G420" s="2">
        <v>0</v>
      </c>
      <c r="H420" s="2">
        <v>14516224</v>
      </c>
      <c r="I420" s="2">
        <v>6291456</v>
      </c>
      <c r="K420" s="275">
        <v>44336.703472222223</v>
      </c>
      <c r="L420" s="275">
        <v>44448.451388888891</v>
      </c>
      <c r="M420" s="2" t="s">
        <v>9278</v>
      </c>
      <c r="N420" s="2" t="s">
        <v>10024</v>
      </c>
    </row>
    <row r="421" spans="1:14" ht="15.75" customHeight="1">
      <c r="A421" s="2" t="s">
        <v>9275</v>
      </c>
      <c r="B421" s="2" t="s">
        <v>10025</v>
      </c>
      <c r="C421" s="2" t="s">
        <v>9277</v>
      </c>
      <c r="D421" s="2">
        <v>54058</v>
      </c>
      <c r="E421" s="2">
        <v>165</v>
      </c>
      <c r="F421" s="2">
        <v>8929280</v>
      </c>
      <c r="G421" s="2">
        <v>0</v>
      </c>
      <c r="H421" s="2">
        <v>1589248</v>
      </c>
      <c r="I421" s="2">
        <v>4194304</v>
      </c>
      <c r="J421" s="2">
        <v>55722</v>
      </c>
      <c r="K421" s="275">
        <v>44294.710416666669</v>
      </c>
      <c r="L421" s="275">
        <v>44448.451388888891</v>
      </c>
      <c r="M421" s="2" t="s">
        <v>9278</v>
      </c>
      <c r="N421" s="2" t="s">
        <v>10026</v>
      </c>
    </row>
    <row r="422" spans="1:14" ht="15.75" customHeight="1">
      <c r="A422" s="2" t="s">
        <v>9275</v>
      </c>
      <c r="B422" s="2" t="s">
        <v>10027</v>
      </c>
      <c r="C422" s="2" t="s">
        <v>9277</v>
      </c>
      <c r="D422" s="2">
        <v>13160</v>
      </c>
      <c r="E422" s="2">
        <v>120</v>
      </c>
      <c r="F422" s="2">
        <v>1589248</v>
      </c>
      <c r="G422" s="2">
        <v>0</v>
      </c>
      <c r="H422" s="2">
        <v>835584</v>
      </c>
      <c r="I422" s="2">
        <v>4194304</v>
      </c>
      <c r="J422" s="2">
        <v>13436</v>
      </c>
      <c r="K422" s="275">
        <v>44294.710416666669</v>
      </c>
      <c r="L422" s="275">
        <v>44438.081250000003</v>
      </c>
      <c r="M422" s="2" t="s">
        <v>9278</v>
      </c>
      <c r="N422" s="2" t="s">
        <v>10028</v>
      </c>
    </row>
    <row r="423" spans="1:14" ht="15.75" customHeight="1">
      <c r="A423" s="2" t="s">
        <v>9275</v>
      </c>
      <c r="B423" s="2" t="s">
        <v>10029</v>
      </c>
      <c r="C423" s="2" t="s">
        <v>9277</v>
      </c>
      <c r="D423" s="2">
        <v>2802</v>
      </c>
      <c r="E423" s="2">
        <v>116</v>
      </c>
      <c r="F423" s="2">
        <v>327680</v>
      </c>
      <c r="G423" s="2">
        <v>0</v>
      </c>
      <c r="H423" s="2">
        <v>311296</v>
      </c>
      <c r="I423" s="2">
        <v>4194304</v>
      </c>
      <c r="J423" s="2">
        <v>3291426</v>
      </c>
      <c r="K423" s="275">
        <v>44294.710416666669</v>
      </c>
      <c r="L423" s="275">
        <v>44447.708333333336</v>
      </c>
      <c r="M423" s="2" t="s">
        <v>9278</v>
      </c>
      <c r="N423" s="2" t="s">
        <v>10030</v>
      </c>
    </row>
    <row r="424" spans="1:14" ht="15.75" customHeight="1">
      <c r="A424" s="2" t="s">
        <v>9275</v>
      </c>
      <c r="B424" s="2" t="s">
        <v>10031</v>
      </c>
      <c r="C424" s="2" t="s">
        <v>9277</v>
      </c>
      <c r="D424" s="2">
        <v>8961</v>
      </c>
      <c r="E424" s="2">
        <v>352</v>
      </c>
      <c r="F424" s="2">
        <v>3162112</v>
      </c>
      <c r="G424" s="2">
        <v>0</v>
      </c>
      <c r="H424" s="2">
        <v>2392064</v>
      </c>
      <c r="I424" s="2">
        <v>4194304</v>
      </c>
      <c r="J424" s="2">
        <v>8396466</v>
      </c>
      <c r="K424" s="275">
        <v>44294.710416666669</v>
      </c>
      <c r="L424" s="275">
        <v>44447.708333333336</v>
      </c>
      <c r="M424" s="2" t="s">
        <v>9278</v>
      </c>
      <c r="N424" s="2" t="s">
        <v>10032</v>
      </c>
    </row>
    <row r="425" spans="1:14" ht="15.75" customHeight="1">
      <c r="A425" s="2" t="s">
        <v>9275</v>
      </c>
      <c r="B425" s="2" t="s">
        <v>10033</v>
      </c>
      <c r="C425" s="2" t="s">
        <v>9277</v>
      </c>
      <c r="D425" s="2">
        <v>474</v>
      </c>
      <c r="E425" s="2">
        <v>3180</v>
      </c>
      <c r="F425" s="2">
        <v>1507328</v>
      </c>
      <c r="G425" s="2">
        <v>0</v>
      </c>
      <c r="H425" s="2">
        <v>16384</v>
      </c>
      <c r="I425" s="2">
        <v>4194304</v>
      </c>
      <c r="J425" s="2">
        <v>628</v>
      </c>
      <c r="K425" s="275">
        <v>44294.710416666669</v>
      </c>
      <c r="L425" s="275">
        <v>44448.448611111111</v>
      </c>
      <c r="M425" s="2" t="s">
        <v>9278</v>
      </c>
      <c r="N425" s="2" t="s">
        <v>10034</v>
      </c>
    </row>
    <row r="426" spans="1:14" ht="15.75" customHeight="1">
      <c r="A426" s="2" t="s">
        <v>9275</v>
      </c>
      <c r="B426" s="2" t="s">
        <v>10035</v>
      </c>
      <c r="C426" s="2" t="s">
        <v>9277</v>
      </c>
      <c r="D426" s="2">
        <v>27419</v>
      </c>
      <c r="E426" s="2">
        <v>57</v>
      </c>
      <c r="F426" s="2">
        <v>1589248</v>
      </c>
      <c r="G426" s="2">
        <v>0</v>
      </c>
      <c r="H426" s="2">
        <v>2359296</v>
      </c>
      <c r="I426" s="2">
        <v>4194304</v>
      </c>
      <c r="J426" s="2">
        <v>31018</v>
      </c>
      <c r="K426" s="275">
        <v>44294.710416666669</v>
      </c>
      <c r="L426" s="275">
        <v>44448.448611111111</v>
      </c>
      <c r="M426" s="2" t="s">
        <v>9278</v>
      </c>
      <c r="N426" s="2" t="s">
        <v>10036</v>
      </c>
    </row>
    <row r="427" spans="1:14" ht="15.75" customHeight="1">
      <c r="A427" s="2" t="s">
        <v>9275</v>
      </c>
      <c r="B427" s="2" t="s">
        <v>10037</v>
      </c>
      <c r="C427" s="2" t="s">
        <v>9277</v>
      </c>
      <c r="D427" s="2">
        <v>3326</v>
      </c>
      <c r="E427" s="2">
        <v>635</v>
      </c>
      <c r="F427" s="2">
        <v>2113536</v>
      </c>
      <c r="G427" s="2">
        <v>0</v>
      </c>
      <c r="H427" s="2">
        <v>1409024</v>
      </c>
      <c r="I427" s="2">
        <v>4194304</v>
      </c>
      <c r="J427" s="2">
        <v>1027336</v>
      </c>
      <c r="K427" s="275">
        <v>44294.710416666669</v>
      </c>
      <c r="L427" s="275">
        <v>44447.708333333336</v>
      </c>
      <c r="M427" s="2" t="s">
        <v>9278</v>
      </c>
      <c r="N427" s="2" t="s">
        <v>10038</v>
      </c>
    </row>
    <row r="428" spans="1:14" ht="15.75" customHeight="1">
      <c r="A428" s="2" t="s">
        <v>9275</v>
      </c>
      <c r="B428" s="2" t="s">
        <v>10039</v>
      </c>
      <c r="C428" s="2" t="s">
        <v>9277</v>
      </c>
      <c r="D428" s="2">
        <v>0</v>
      </c>
      <c r="E428" s="2">
        <v>0</v>
      </c>
      <c r="F428" s="2">
        <v>16384</v>
      </c>
      <c r="G428" s="2">
        <v>0</v>
      </c>
      <c r="H428" s="2">
        <v>49152</v>
      </c>
      <c r="I428" s="2">
        <v>0</v>
      </c>
      <c r="J428" s="2">
        <v>1</v>
      </c>
      <c r="K428" s="275">
        <v>44294.710416666669</v>
      </c>
      <c r="M428" s="2" t="s">
        <v>9278</v>
      </c>
      <c r="N428" s="2" t="s">
        <v>10040</v>
      </c>
    </row>
    <row r="429" spans="1:14" ht="15.75" customHeight="1">
      <c r="A429" s="2" t="s">
        <v>9275</v>
      </c>
      <c r="B429" s="2" t="s">
        <v>10041</v>
      </c>
      <c r="C429" s="2" t="s">
        <v>9277</v>
      </c>
      <c r="D429" s="2">
        <v>3129</v>
      </c>
      <c r="E429" s="2">
        <v>675</v>
      </c>
      <c r="F429" s="2">
        <v>2113536</v>
      </c>
      <c r="G429" s="2">
        <v>0</v>
      </c>
      <c r="H429" s="2">
        <v>1392640</v>
      </c>
      <c r="I429" s="2">
        <v>4194304</v>
      </c>
      <c r="J429" s="2">
        <v>1000221</v>
      </c>
      <c r="K429" s="275">
        <v>44294.710416666669</v>
      </c>
      <c r="L429" s="275">
        <v>44447.708333333336</v>
      </c>
      <c r="M429" s="2" t="s">
        <v>9278</v>
      </c>
      <c r="N429" s="2" t="s">
        <v>10042</v>
      </c>
    </row>
    <row r="430" spans="1:14" ht="15.75" customHeight="1">
      <c r="A430" s="2" t="s">
        <v>9275</v>
      </c>
      <c r="B430" s="2" t="s">
        <v>10043</v>
      </c>
      <c r="C430" s="2" t="s">
        <v>9277</v>
      </c>
      <c r="D430" s="2">
        <v>3244</v>
      </c>
      <c r="E430" s="2">
        <v>75</v>
      </c>
      <c r="F430" s="2">
        <v>245760</v>
      </c>
      <c r="G430" s="2">
        <v>0</v>
      </c>
      <c r="H430" s="2">
        <v>98304</v>
      </c>
      <c r="I430" s="2">
        <v>0</v>
      </c>
      <c r="K430" s="275">
        <v>44294.710416666669</v>
      </c>
      <c r="L430" s="275">
        <v>44448.445138888892</v>
      </c>
      <c r="M430" s="2" t="s">
        <v>9278</v>
      </c>
      <c r="N430" s="2" t="s">
        <v>10044</v>
      </c>
    </row>
    <row r="431" spans="1:14" ht="15.75" customHeight="1">
      <c r="A431" s="2" t="s">
        <v>9275</v>
      </c>
      <c r="B431" s="2" t="s">
        <v>10045</v>
      </c>
      <c r="C431" s="2" t="s">
        <v>9277</v>
      </c>
      <c r="D431" s="2">
        <v>15396</v>
      </c>
      <c r="E431" s="2">
        <v>35</v>
      </c>
      <c r="F431" s="2">
        <v>540672</v>
      </c>
      <c r="G431" s="2">
        <v>0</v>
      </c>
      <c r="H431" s="2">
        <v>966656</v>
      </c>
      <c r="I431" s="2">
        <v>4194304</v>
      </c>
      <c r="J431" s="2">
        <v>15846</v>
      </c>
      <c r="K431" s="275">
        <v>44294.711111111108</v>
      </c>
      <c r="L431" s="275">
        <v>44448.445138888892</v>
      </c>
      <c r="M431" s="2" t="s">
        <v>9278</v>
      </c>
      <c r="N431" s="2" t="s">
        <v>10046</v>
      </c>
    </row>
    <row r="432" spans="1:14" ht="15.75" customHeight="1">
      <c r="A432" s="2" t="s">
        <v>9275</v>
      </c>
      <c r="B432" s="2" t="s">
        <v>10047</v>
      </c>
      <c r="C432" s="2" t="s">
        <v>9277</v>
      </c>
      <c r="D432" s="2">
        <v>3175</v>
      </c>
      <c r="E432" s="2">
        <v>46</v>
      </c>
      <c r="F432" s="2">
        <v>147456</v>
      </c>
      <c r="G432" s="2">
        <v>0</v>
      </c>
      <c r="H432" s="2">
        <v>65536</v>
      </c>
      <c r="I432" s="2">
        <v>0</v>
      </c>
      <c r="K432" s="275">
        <v>44294.711111111108</v>
      </c>
      <c r="L432" s="275">
        <v>44448.390277777777</v>
      </c>
      <c r="M432" s="2" t="s">
        <v>9278</v>
      </c>
      <c r="N432" s="2" t="s">
        <v>10048</v>
      </c>
    </row>
    <row r="433" spans="1:14" ht="15.75" customHeight="1">
      <c r="A433" s="2" t="s">
        <v>9275</v>
      </c>
      <c r="B433" s="2" t="s">
        <v>10049</v>
      </c>
      <c r="C433" s="2" t="s">
        <v>9277</v>
      </c>
      <c r="D433" s="2">
        <v>138</v>
      </c>
      <c r="E433" s="2">
        <v>118</v>
      </c>
      <c r="F433" s="2">
        <v>16384</v>
      </c>
      <c r="G433" s="2">
        <v>0</v>
      </c>
      <c r="H433" s="2">
        <v>32768</v>
      </c>
      <c r="I433" s="2">
        <v>0</v>
      </c>
      <c r="J433" s="2">
        <v>625</v>
      </c>
      <c r="K433" s="275">
        <v>44294.711111111108</v>
      </c>
      <c r="M433" s="2" t="s">
        <v>9278</v>
      </c>
      <c r="N433" s="2" t="s">
        <v>10050</v>
      </c>
    </row>
    <row r="434" spans="1:14" ht="15.75" customHeight="1">
      <c r="A434" s="2" t="s">
        <v>9275</v>
      </c>
      <c r="B434" s="2" t="s">
        <v>10051</v>
      </c>
      <c r="C434" s="2" t="s">
        <v>9277</v>
      </c>
      <c r="D434" s="2">
        <v>2824</v>
      </c>
      <c r="E434" s="2">
        <v>46</v>
      </c>
      <c r="F434" s="2">
        <v>131072</v>
      </c>
      <c r="G434" s="2">
        <v>0</v>
      </c>
      <c r="H434" s="2">
        <v>262144</v>
      </c>
      <c r="I434" s="2">
        <v>0</v>
      </c>
      <c r="K434" s="275">
        <v>44294.711111111108</v>
      </c>
      <c r="L434" s="275">
        <v>44448.448611111111</v>
      </c>
      <c r="M434" s="2" t="s">
        <v>9278</v>
      </c>
      <c r="N434" s="2" t="s">
        <v>10052</v>
      </c>
    </row>
    <row r="435" spans="1:14" ht="15.75" customHeight="1">
      <c r="A435" s="2" t="s">
        <v>9275</v>
      </c>
      <c r="B435" s="2" t="s">
        <v>10053</v>
      </c>
      <c r="C435" s="2" t="s">
        <v>9277</v>
      </c>
      <c r="D435" s="2">
        <v>526</v>
      </c>
      <c r="E435" s="2">
        <v>31</v>
      </c>
      <c r="F435" s="2">
        <v>16384</v>
      </c>
      <c r="G435" s="2">
        <v>0</v>
      </c>
      <c r="H435" s="2">
        <v>16384</v>
      </c>
      <c r="I435" s="2">
        <v>0</v>
      </c>
      <c r="K435" s="275">
        <v>44294.711111111108</v>
      </c>
      <c r="L435" s="275">
        <v>44448.390277777777</v>
      </c>
      <c r="M435" s="2" t="s">
        <v>9278</v>
      </c>
      <c r="N435" s="2" t="s">
        <v>10054</v>
      </c>
    </row>
    <row r="436" spans="1:14" ht="15.75" customHeight="1">
      <c r="A436" s="2" t="s">
        <v>9275</v>
      </c>
      <c r="B436" s="2" t="s">
        <v>10055</v>
      </c>
      <c r="C436" s="2" t="s">
        <v>9277</v>
      </c>
      <c r="D436" s="2">
        <v>521305</v>
      </c>
      <c r="E436" s="2">
        <v>85</v>
      </c>
      <c r="F436" s="2">
        <v>44630016</v>
      </c>
      <c r="G436" s="2">
        <v>0</v>
      </c>
      <c r="H436" s="2">
        <v>113836032</v>
      </c>
      <c r="I436" s="2">
        <v>6291456</v>
      </c>
      <c r="J436" s="2">
        <v>2453939</v>
      </c>
      <c r="K436" s="275">
        <v>44294.711111111108</v>
      </c>
      <c r="L436" s="275">
        <v>44448.451388888891</v>
      </c>
      <c r="M436" s="2" t="s">
        <v>9278</v>
      </c>
      <c r="N436" s="2" t="s">
        <v>10056</v>
      </c>
    </row>
    <row r="437" spans="1:14" ht="15.75" customHeight="1">
      <c r="A437" s="2" t="s">
        <v>9275</v>
      </c>
      <c r="B437" s="2" t="s">
        <v>10057</v>
      </c>
      <c r="C437" s="2" t="s">
        <v>9277</v>
      </c>
      <c r="D437" s="2">
        <v>0</v>
      </c>
      <c r="E437" s="2">
        <v>0</v>
      </c>
      <c r="F437" s="2">
        <v>16384</v>
      </c>
      <c r="G437" s="2">
        <v>0</v>
      </c>
      <c r="H437" s="2">
        <v>49152</v>
      </c>
      <c r="I437" s="2">
        <v>0</v>
      </c>
      <c r="J437" s="2">
        <v>1</v>
      </c>
      <c r="K437" s="275">
        <v>44294.711111111108</v>
      </c>
      <c r="M437" s="2" t="s">
        <v>9278</v>
      </c>
      <c r="N437" s="2" t="s">
        <v>10058</v>
      </c>
    </row>
    <row r="438" spans="1:14" ht="15.75" customHeight="1">
      <c r="A438" s="2" t="s">
        <v>9275</v>
      </c>
      <c r="B438" s="2" t="s">
        <v>10059</v>
      </c>
      <c r="C438" s="2" t="s">
        <v>9277</v>
      </c>
      <c r="D438" s="2">
        <v>0</v>
      </c>
      <c r="E438" s="2">
        <v>0</v>
      </c>
      <c r="F438" s="2">
        <v>16384</v>
      </c>
      <c r="G438" s="2">
        <v>0</v>
      </c>
      <c r="H438" s="2">
        <v>32768</v>
      </c>
      <c r="I438" s="2">
        <v>0</v>
      </c>
      <c r="J438" s="2">
        <v>1</v>
      </c>
      <c r="K438" s="275">
        <v>44294.711111111108</v>
      </c>
      <c r="M438" s="2" t="s">
        <v>9278</v>
      </c>
      <c r="N438" s="2" t="s">
        <v>10060</v>
      </c>
    </row>
    <row r="439" spans="1:14" ht="15.75" customHeight="1">
      <c r="A439" s="2" t="s">
        <v>9275</v>
      </c>
      <c r="B439" s="2" t="s">
        <v>10061</v>
      </c>
      <c r="C439" s="2" t="s">
        <v>9277</v>
      </c>
      <c r="D439" s="2">
        <v>129</v>
      </c>
      <c r="E439" s="2">
        <v>127</v>
      </c>
      <c r="F439" s="2">
        <v>16384</v>
      </c>
      <c r="G439" s="2">
        <v>0</v>
      </c>
      <c r="H439" s="2">
        <v>0</v>
      </c>
      <c r="I439" s="2">
        <v>0</v>
      </c>
      <c r="J439" s="2">
        <v>130</v>
      </c>
      <c r="K439" s="275">
        <v>44294.711111111108</v>
      </c>
      <c r="L439" s="275">
        <v>44448.392361111109</v>
      </c>
      <c r="M439" s="2" t="s">
        <v>9278</v>
      </c>
      <c r="N439" s="2" t="s">
        <v>10061</v>
      </c>
    </row>
    <row r="440" spans="1:14" ht="15.75" customHeight="1">
      <c r="A440" s="2" t="s">
        <v>9275</v>
      </c>
      <c r="B440" s="2" t="s">
        <v>10062</v>
      </c>
      <c r="C440" s="2" t="s">
        <v>9277</v>
      </c>
      <c r="D440" s="2">
        <v>0</v>
      </c>
      <c r="E440" s="2">
        <v>0</v>
      </c>
      <c r="F440" s="2">
        <v>16384</v>
      </c>
      <c r="G440" s="2">
        <v>0</v>
      </c>
      <c r="H440" s="2">
        <v>0</v>
      </c>
      <c r="I440" s="2">
        <v>0</v>
      </c>
      <c r="J440" s="2">
        <v>1</v>
      </c>
      <c r="K440" s="275">
        <v>44294.711111111108</v>
      </c>
      <c r="M440" s="2" t="s">
        <v>9278</v>
      </c>
      <c r="N440" s="2" t="s">
        <v>10062</v>
      </c>
    </row>
    <row r="441" spans="1:14" ht="15.75" customHeight="1">
      <c r="A441" s="2" t="s">
        <v>9275</v>
      </c>
      <c r="B441" s="2" t="s">
        <v>10063</v>
      </c>
      <c r="C441" s="2" t="s">
        <v>9277</v>
      </c>
      <c r="D441" s="2">
        <v>1</v>
      </c>
      <c r="E441" s="2">
        <v>16384</v>
      </c>
      <c r="F441" s="2">
        <v>16384</v>
      </c>
      <c r="G441" s="2">
        <v>0</v>
      </c>
      <c r="H441" s="2">
        <v>0</v>
      </c>
      <c r="I441" s="2">
        <v>0</v>
      </c>
      <c r="J441" s="2">
        <v>3</v>
      </c>
      <c r="K441" s="275">
        <v>44294.711111111108</v>
      </c>
      <c r="M441" s="2" t="s">
        <v>9278</v>
      </c>
      <c r="N441" s="2" t="s">
        <v>10063</v>
      </c>
    </row>
    <row r="442" spans="1:14" ht="15.75" customHeight="1">
      <c r="A442" s="2" t="s">
        <v>9275</v>
      </c>
      <c r="B442" s="2" t="s">
        <v>10064</v>
      </c>
      <c r="C442" s="2" t="s">
        <v>9277</v>
      </c>
      <c r="D442" s="2">
        <v>17516</v>
      </c>
      <c r="E442" s="2">
        <v>23</v>
      </c>
      <c r="F442" s="2">
        <v>409600</v>
      </c>
      <c r="G442" s="2">
        <v>0</v>
      </c>
      <c r="H442" s="2">
        <v>0</v>
      </c>
      <c r="I442" s="2">
        <v>0</v>
      </c>
      <c r="J442" s="2">
        <v>17308</v>
      </c>
      <c r="K442" s="275">
        <v>44294.711111111108</v>
      </c>
      <c r="L442" s="275">
        <v>44448.447916666664</v>
      </c>
      <c r="M442" s="2" t="s">
        <v>9278</v>
      </c>
      <c r="N442" s="2" t="s">
        <v>10064</v>
      </c>
    </row>
    <row r="443" spans="1:14" ht="15.75" customHeight="1">
      <c r="A443" s="2" t="s">
        <v>9275</v>
      </c>
      <c r="B443" s="2" t="s">
        <v>10065</v>
      </c>
      <c r="C443" s="2" t="s">
        <v>9277</v>
      </c>
      <c r="D443" s="2">
        <v>1</v>
      </c>
      <c r="E443" s="2">
        <v>16384</v>
      </c>
      <c r="F443" s="2">
        <v>16384</v>
      </c>
      <c r="G443" s="2">
        <v>0</v>
      </c>
      <c r="H443" s="2">
        <v>0</v>
      </c>
      <c r="I443" s="2">
        <v>0</v>
      </c>
      <c r="J443" s="2">
        <v>104</v>
      </c>
      <c r="K443" s="275">
        <v>44294.711111111108</v>
      </c>
      <c r="M443" s="2" t="s">
        <v>9278</v>
      </c>
      <c r="N443" s="2" t="s">
        <v>10065</v>
      </c>
    </row>
    <row r="444" spans="1:14" ht="15.75" customHeight="1">
      <c r="A444" s="2" t="s">
        <v>9275</v>
      </c>
      <c r="B444" s="2" t="s">
        <v>10066</v>
      </c>
      <c r="C444" s="2" t="s">
        <v>9277</v>
      </c>
      <c r="D444" s="2">
        <v>1</v>
      </c>
      <c r="E444" s="2">
        <v>16384</v>
      </c>
      <c r="F444" s="2">
        <v>16384</v>
      </c>
      <c r="G444" s="2">
        <v>0</v>
      </c>
      <c r="H444" s="2">
        <v>0</v>
      </c>
      <c r="I444" s="2">
        <v>0</v>
      </c>
      <c r="J444" s="2">
        <v>5677</v>
      </c>
      <c r="K444" s="275">
        <v>44294.711111111108</v>
      </c>
      <c r="M444" s="2" t="s">
        <v>9278</v>
      </c>
      <c r="N444" s="2" t="s">
        <v>10066</v>
      </c>
    </row>
    <row r="445" spans="1:14" ht="15.75" customHeight="1">
      <c r="A445" s="2" t="s">
        <v>9275</v>
      </c>
      <c r="B445" s="2" t="s">
        <v>10067</v>
      </c>
      <c r="C445" s="2" t="s">
        <v>9277</v>
      </c>
      <c r="D445" s="2">
        <v>27263</v>
      </c>
      <c r="E445" s="2">
        <v>58</v>
      </c>
      <c r="F445" s="2">
        <v>1589248</v>
      </c>
      <c r="G445" s="2">
        <v>0</v>
      </c>
      <c r="H445" s="2">
        <v>0</v>
      </c>
      <c r="I445" s="2">
        <v>4194304</v>
      </c>
      <c r="J445" s="2">
        <v>27348</v>
      </c>
      <c r="K445" s="275">
        <v>44294.711111111108</v>
      </c>
      <c r="L445" s="275">
        <v>44448.449305555558</v>
      </c>
      <c r="M445" s="2" t="s">
        <v>9278</v>
      </c>
      <c r="N445" s="2" t="s">
        <v>10067</v>
      </c>
    </row>
    <row r="446" spans="1:14" ht="15.75" customHeight="1">
      <c r="A446" s="2" t="s">
        <v>9275</v>
      </c>
      <c r="B446" s="2" t="s">
        <v>10068</v>
      </c>
      <c r="C446" s="2" t="s">
        <v>9277</v>
      </c>
      <c r="D446" s="2">
        <v>1</v>
      </c>
      <c r="E446" s="2">
        <v>16384</v>
      </c>
      <c r="F446" s="2">
        <v>16384</v>
      </c>
      <c r="G446" s="2">
        <v>0</v>
      </c>
      <c r="H446" s="2">
        <v>0</v>
      </c>
      <c r="I446" s="2">
        <v>0</v>
      </c>
      <c r="J446" s="2">
        <v>2475</v>
      </c>
      <c r="K446" s="275">
        <v>44294.711111111108</v>
      </c>
      <c r="M446" s="2" t="s">
        <v>9278</v>
      </c>
      <c r="N446" s="2" t="s">
        <v>10068</v>
      </c>
    </row>
    <row r="447" spans="1:14" ht="15.75" customHeight="1">
      <c r="A447" s="2" t="s">
        <v>9275</v>
      </c>
      <c r="B447" s="2" t="s">
        <v>10069</v>
      </c>
      <c r="C447" s="2" t="s">
        <v>9277</v>
      </c>
      <c r="D447" s="2">
        <v>1</v>
      </c>
      <c r="E447" s="2">
        <v>16384</v>
      </c>
      <c r="F447" s="2">
        <v>16384</v>
      </c>
      <c r="G447" s="2">
        <v>0</v>
      </c>
      <c r="H447" s="2">
        <v>0</v>
      </c>
      <c r="I447" s="2">
        <v>0</v>
      </c>
      <c r="J447" s="2">
        <v>71148</v>
      </c>
      <c r="K447" s="275">
        <v>44294.711111111108</v>
      </c>
      <c r="M447" s="2" t="s">
        <v>9278</v>
      </c>
      <c r="N447" s="2" t="s">
        <v>10069</v>
      </c>
    </row>
    <row r="448" spans="1:14" ht="15.75" customHeight="1">
      <c r="A448" s="2" t="s">
        <v>9275</v>
      </c>
      <c r="B448" s="2" t="s">
        <v>10070</v>
      </c>
      <c r="C448" s="2" t="s">
        <v>9277</v>
      </c>
      <c r="D448" s="2">
        <v>0</v>
      </c>
      <c r="E448" s="2">
        <v>0</v>
      </c>
      <c r="F448" s="2">
        <v>16384</v>
      </c>
      <c r="G448" s="2">
        <v>0</v>
      </c>
      <c r="H448" s="2">
        <v>0</v>
      </c>
      <c r="I448" s="2">
        <v>0</v>
      </c>
      <c r="J448" s="2">
        <v>1</v>
      </c>
      <c r="K448" s="275">
        <v>44294.711111111108</v>
      </c>
      <c r="M448" s="2" t="s">
        <v>9278</v>
      </c>
      <c r="N448" s="2" t="s">
        <v>10070</v>
      </c>
    </row>
    <row r="449" spans="1:14" ht="15.75" customHeight="1">
      <c r="A449" s="2" t="s">
        <v>9275</v>
      </c>
      <c r="B449" s="2" t="s">
        <v>10071</v>
      </c>
      <c r="C449" s="2" t="s">
        <v>9277</v>
      </c>
      <c r="D449" s="2">
        <v>0</v>
      </c>
      <c r="E449" s="2">
        <v>0</v>
      </c>
      <c r="F449" s="2">
        <v>16384</v>
      </c>
      <c r="G449" s="2">
        <v>0</v>
      </c>
      <c r="H449" s="2">
        <v>0</v>
      </c>
      <c r="I449" s="2">
        <v>0</v>
      </c>
      <c r="J449" s="2">
        <v>1</v>
      </c>
      <c r="K449" s="275">
        <v>44294.711111111108</v>
      </c>
      <c r="M449" s="2" t="s">
        <v>9278</v>
      </c>
      <c r="N449" s="2" t="s">
        <v>10071</v>
      </c>
    </row>
    <row r="450" spans="1:14" ht="15.75" customHeight="1">
      <c r="A450" s="2" t="s">
        <v>9275</v>
      </c>
      <c r="B450" s="2" t="s">
        <v>10072</v>
      </c>
      <c r="C450" s="2" t="s">
        <v>9277</v>
      </c>
      <c r="D450" s="2">
        <v>0</v>
      </c>
      <c r="E450" s="2">
        <v>0</v>
      </c>
      <c r="F450" s="2">
        <v>16384</v>
      </c>
      <c r="G450" s="2">
        <v>0</v>
      </c>
      <c r="H450" s="2">
        <v>0</v>
      </c>
      <c r="I450" s="2">
        <v>0</v>
      </c>
      <c r="J450" s="2">
        <v>1</v>
      </c>
      <c r="K450" s="275">
        <v>44294.711111111108</v>
      </c>
      <c r="M450" s="2" t="s">
        <v>9278</v>
      </c>
      <c r="N450" s="2" t="s">
        <v>10072</v>
      </c>
    </row>
    <row r="451" spans="1:14" ht="15.75" customHeight="1">
      <c r="A451" s="2" t="s">
        <v>9275</v>
      </c>
      <c r="B451" s="2" t="s">
        <v>10073</v>
      </c>
      <c r="C451" s="2" t="s">
        <v>9277</v>
      </c>
      <c r="D451" s="2">
        <v>14052</v>
      </c>
      <c r="E451" s="2">
        <v>25</v>
      </c>
      <c r="F451" s="2">
        <v>360448</v>
      </c>
      <c r="G451" s="2">
        <v>0</v>
      </c>
      <c r="H451" s="2">
        <v>0</v>
      </c>
      <c r="I451" s="2">
        <v>0</v>
      </c>
      <c r="J451" s="2">
        <v>18082</v>
      </c>
      <c r="K451" s="275">
        <v>44294.711111111108</v>
      </c>
      <c r="L451" s="275">
        <v>44448.451388888891</v>
      </c>
      <c r="M451" s="2" t="s">
        <v>9278</v>
      </c>
      <c r="N451" s="2" t="s">
        <v>10073</v>
      </c>
    </row>
    <row r="452" spans="1:14" ht="15.75" customHeight="1">
      <c r="A452" s="2" t="s">
        <v>9275</v>
      </c>
      <c r="B452" s="2" t="s">
        <v>10074</v>
      </c>
      <c r="C452" s="2" t="s">
        <v>9277</v>
      </c>
      <c r="D452" s="2">
        <v>1</v>
      </c>
      <c r="E452" s="2">
        <v>16384</v>
      </c>
      <c r="F452" s="2">
        <v>16384</v>
      </c>
      <c r="G452" s="2">
        <v>0</v>
      </c>
      <c r="H452" s="2">
        <v>0</v>
      </c>
      <c r="I452" s="2">
        <v>0</v>
      </c>
      <c r="J452" s="2">
        <v>287</v>
      </c>
      <c r="K452" s="275">
        <v>44294.711111111108</v>
      </c>
      <c r="M452" s="2" t="s">
        <v>9278</v>
      </c>
      <c r="N452" s="2" t="s">
        <v>10074</v>
      </c>
    </row>
    <row r="453" spans="1:14" ht="15.75" customHeight="1">
      <c r="A453" s="2" t="s">
        <v>9275</v>
      </c>
      <c r="B453" s="2" t="s">
        <v>10075</v>
      </c>
      <c r="C453" s="2" t="s">
        <v>9277</v>
      </c>
      <c r="D453" s="2">
        <v>1</v>
      </c>
      <c r="E453" s="2">
        <v>16384</v>
      </c>
      <c r="F453" s="2">
        <v>16384</v>
      </c>
      <c r="G453" s="2">
        <v>0</v>
      </c>
      <c r="H453" s="2">
        <v>0</v>
      </c>
      <c r="I453" s="2">
        <v>0</v>
      </c>
      <c r="J453" s="2">
        <v>10224</v>
      </c>
      <c r="K453" s="275">
        <v>44294.711111111108</v>
      </c>
      <c r="M453" s="2" t="s">
        <v>9278</v>
      </c>
      <c r="N453" s="2" t="s">
        <v>10075</v>
      </c>
    </row>
    <row r="454" spans="1:14" ht="15.75" customHeight="1">
      <c r="A454" s="2" t="s">
        <v>9275</v>
      </c>
      <c r="B454" s="2" t="s">
        <v>10076</v>
      </c>
      <c r="C454" s="2" t="s">
        <v>9277</v>
      </c>
      <c r="D454" s="2">
        <v>137120</v>
      </c>
      <c r="E454" s="2">
        <v>4794</v>
      </c>
      <c r="F454" s="2">
        <v>657457152</v>
      </c>
      <c r="G454" s="2">
        <v>0</v>
      </c>
      <c r="H454" s="2">
        <v>0</v>
      </c>
      <c r="I454" s="2">
        <v>7340032</v>
      </c>
      <c r="K454" s="275">
        <v>44294.711111111108</v>
      </c>
      <c r="M454" s="2" t="s">
        <v>9278</v>
      </c>
      <c r="N454" s="2" t="s">
        <v>10077</v>
      </c>
    </row>
    <row r="455" spans="1:14" ht="15.75" customHeight="1">
      <c r="A455" s="2" t="s">
        <v>9275</v>
      </c>
      <c r="B455" s="2" t="s">
        <v>10078</v>
      </c>
      <c r="C455" s="2" t="s">
        <v>9277</v>
      </c>
      <c r="D455" s="2">
        <v>56</v>
      </c>
      <c r="E455" s="2">
        <v>292</v>
      </c>
      <c r="F455" s="2">
        <v>16384</v>
      </c>
      <c r="G455" s="2">
        <v>0</v>
      </c>
      <c r="H455" s="2">
        <v>0</v>
      </c>
      <c r="I455" s="2">
        <v>0</v>
      </c>
      <c r="K455" s="275">
        <v>44294.711111111108</v>
      </c>
      <c r="L455" s="275">
        <v>44440.703472222223</v>
      </c>
      <c r="M455" s="2" t="s">
        <v>9278</v>
      </c>
      <c r="N455" s="2" t="s">
        <v>10079</v>
      </c>
    </row>
    <row r="456" spans="1:14" ht="15.75" customHeight="1">
      <c r="A456" s="2" t="s">
        <v>9275</v>
      </c>
      <c r="B456" s="2" t="s">
        <v>10080</v>
      </c>
      <c r="C456" s="2" t="s">
        <v>9277</v>
      </c>
      <c r="D456" s="2">
        <v>0</v>
      </c>
      <c r="E456" s="2">
        <v>0</v>
      </c>
      <c r="F456" s="2">
        <v>16384</v>
      </c>
      <c r="G456" s="2">
        <v>0</v>
      </c>
      <c r="H456" s="2">
        <v>16384</v>
      </c>
      <c r="I456" s="2">
        <v>0</v>
      </c>
      <c r="J456" s="2">
        <v>1</v>
      </c>
      <c r="K456" s="275">
        <v>44294.711111111108</v>
      </c>
      <c r="M456" s="2" t="s">
        <v>9278</v>
      </c>
      <c r="N456" s="2" t="s">
        <v>10081</v>
      </c>
    </row>
    <row r="457" spans="1:14" ht="15.75" customHeight="1">
      <c r="A457" s="2" t="s">
        <v>9275</v>
      </c>
      <c r="B457" s="2" t="s">
        <v>10082</v>
      </c>
      <c r="C457" s="2" t="s">
        <v>9277</v>
      </c>
      <c r="D457" s="2">
        <v>0</v>
      </c>
      <c r="E457" s="2">
        <v>0</v>
      </c>
      <c r="F457" s="2">
        <v>16384</v>
      </c>
      <c r="G457" s="2">
        <v>0</v>
      </c>
      <c r="H457" s="2">
        <v>16384</v>
      </c>
      <c r="I457" s="2">
        <v>0</v>
      </c>
      <c r="J457" s="2">
        <v>1</v>
      </c>
      <c r="K457" s="275">
        <v>44294.711111111108</v>
      </c>
      <c r="M457" s="2" t="s">
        <v>9278</v>
      </c>
      <c r="N457" s="2" t="s">
        <v>10083</v>
      </c>
    </row>
    <row r="458" spans="1:14" ht="15.75" customHeight="1">
      <c r="A458" s="2" t="s">
        <v>9275</v>
      </c>
      <c r="B458" s="2" t="s">
        <v>10084</v>
      </c>
      <c r="C458" s="2" t="s">
        <v>9277</v>
      </c>
      <c r="D458" s="2">
        <v>3</v>
      </c>
      <c r="E458" s="2">
        <v>5461</v>
      </c>
      <c r="F458" s="2">
        <v>16384</v>
      </c>
      <c r="G458" s="2">
        <v>0</v>
      </c>
      <c r="H458" s="2">
        <v>65536</v>
      </c>
      <c r="I458" s="2">
        <v>0</v>
      </c>
      <c r="J458" s="2">
        <v>6</v>
      </c>
      <c r="K458" s="275">
        <v>44294.711111111108</v>
      </c>
      <c r="M458" s="2" t="s">
        <v>9278</v>
      </c>
      <c r="N458" s="2" t="s">
        <v>10085</v>
      </c>
    </row>
    <row r="459" spans="1:14" ht="15.75" customHeight="1">
      <c r="A459" s="2" t="s">
        <v>9275</v>
      </c>
      <c r="B459" s="2" t="s">
        <v>10086</v>
      </c>
      <c r="C459" s="2" t="s">
        <v>9277</v>
      </c>
      <c r="D459" s="2">
        <v>2</v>
      </c>
      <c r="E459" s="2">
        <v>8192</v>
      </c>
      <c r="F459" s="2">
        <v>16384</v>
      </c>
      <c r="G459" s="2">
        <v>0</v>
      </c>
      <c r="H459" s="2">
        <v>49152</v>
      </c>
      <c r="I459" s="2">
        <v>0</v>
      </c>
      <c r="J459" s="2">
        <v>2</v>
      </c>
      <c r="K459" s="275">
        <v>44294.711111111108</v>
      </c>
      <c r="M459" s="2" t="s">
        <v>9278</v>
      </c>
      <c r="N459" s="2" t="s">
        <v>10087</v>
      </c>
    </row>
    <row r="460" spans="1:14" ht="15.75" customHeight="1">
      <c r="A460" s="2" t="s">
        <v>9275</v>
      </c>
      <c r="B460" s="2" t="s">
        <v>10088</v>
      </c>
      <c r="C460" s="2" t="s">
        <v>9277</v>
      </c>
      <c r="D460" s="2">
        <v>2</v>
      </c>
      <c r="E460" s="2">
        <v>8192</v>
      </c>
      <c r="F460" s="2">
        <v>16384</v>
      </c>
      <c r="G460" s="2">
        <v>0</v>
      </c>
      <c r="H460" s="2">
        <v>49152</v>
      </c>
      <c r="I460" s="2">
        <v>0</v>
      </c>
      <c r="J460" s="2">
        <v>2</v>
      </c>
      <c r="K460" s="275">
        <v>44294.711111111108</v>
      </c>
      <c r="M460" s="2" t="s">
        <v>9278</v>
      </c>
      <c r="N460" s="2" t="s">
        <v>10089</v>
      </c>
    </row>
    <row r="461" spans="1:14" ht="15.75" customHeight="1">
      <c r="A461" s="2" t="s">
        <v>9275</v>
      </c>
      <c r="B461" s="2" t="s">
        <v>10090</v>
      </c>
      <c r="C461" s="2" t="s">
        <v>9277</v>
      </c>
      <c r="D461" s="2">
        <v>113</v>
      </c>
      <c r="E461" s="2">
        <v>869</v>
      </c>
      <c r="F461" s="2">
        <v>98304</v>
      </c>
      <c r="G461" s="2">
        <v>0</v>
      </c>
      <c r="H461" s="2">
        <v>0</v>
      </c>
      <c r="I461" s="2">
        <v>0</v>
      </c>
      <c r="J461" s="2">
        <v>121</v>
      </c>
      <c r="K461" s="275">
        <v>44294.711111111108</v>
      </c>
      <c r="M461" s="2" t="s">
        <v>9278</v>
      </c>
      <c r="N461" s="2" t="s">
        <v>10091</v>
      </c>
    </row>
    <row r="462" spans="1:14" ht="15.75" customHeight="1">
      <c r="A462" s="2" t="s">
        <v>9275</v>
      </c>
      <c r="B462" s="2" t="s">
        <v>10092</v>
      </c>
      <c r="C462" s="2" t="s">
        <v>9277</v>
      </c>
      <c r="D462" s="2">
        <v>113</v>
      </c>
      <c r="E462" s="2">
        <v>144</v>
      </c>
      <c r="F462" s="2">
        <v>16384</v>
      </c>
      <c r="G462" s="2">
        <v>0</v>
      </c>
      <c r="H462" s="2">
        <v>16384</v>
      </c>
      <c r="I462" s="2">
        <v>0</v>
      </c>
      <c r="K462" s="275">
        <v>44294.711111111108</v>
      </c>
      <c r="M462" s="2" t="s">
        <v>9278</v>
      </c>
      <c r="N462" s="2" t="s">
        <v>10091</v>
      </c>
    </row>
    <row r="463" spans="1:14" ht="15.75" customHeight="1">
      <c r="A463" s="2" t="s">
        <v>9275</v>
      </c>
      <c r="B463" s="2" t="s">
        <v>10093</v>
      </c>
      <c r="C463" s="2" t="s">
        <v>9277</v>
      </c>
      <c r="D463" s="2">
        <v>3</v>
      </c>
      <c r="E463" s="2">
        <v>5461</v>
      </c>
      <c r="F463" s="2">
        <v>16384</v>
      </c>
      <c r="G463" s="2">
        <v>0</v>
      </c>
      <c r="H463" s="2">
        <v>65536</v>
      </c>
      <c r="I463" s="2">
        <v>0</v>
      </c>
      <c r="J463" s="2">
        <v>4</v>
      </c>
      <c r="K463" s="275">
        <v>44294.711111111108</v>
      </c>
      <c r="M463" s="2" t="s">
        <v>9278</v>
      </c>
      <c r="N463" s="2" t="s">
        <v>10094</v>
      </c>
    </row>
    <row r="464" spans="1:14" ht="15.75" customHeight="1">
      <c r="A464" s="2" t="s">
        <v>9275</v>
      </c>
      <c r="B464" s="2" t="s">
        <v>10095</v>
      </c>
      <c r="C464" s="2" t="s">
        <v>9277</v>
      </c>
      <c r="D464" s="2">
        <v>3</v>
      </c>
      <c r="E464" s="2">
        <v>5461</v>
      </c>
      <c r="F464" s="2">
        <v>16384</v>
      </c>
      <c r="G464" s="2">
        <v>0</v>
      </c>
      <c r="H464" s="2">
        <v>49152</v>
      </c>
      <c r="I464" s="2">
        <v>0</v>
      </c>
      <c r="J464" s="2">
        <v>4</v>
      </c>
      <c r="K464" s="275">
        <v>44294.711111111108</v>
      </c>
      <c r="M464" s="2" t="s">
        <v>9278</v>
      </c>
      <c r="N464" s="2" t="s">
        <v>10096</v>
      </c>
    </row>
    <row r="465" spans="1:14" ht="15.75" customHeight="1">
      <c r="A465" s="2" t="s">
        <v>9275</v>
      </c>
      <c r="B465" s="2" t="s">
        <v>10097</v>
      </c>
      <c r="C465" s="2" t="s">
        <v>9277</v>
      </c>
      <c r="D465" s="2">
        <v>0</v>
      </c>
      <c r="E465" s="2">
        <v>0</v>
      </c>
      <c r="F465" s="2">
        <v>16384</v>
      </c>
      <c r="G465" s="2">
        <v>0</v>
      </c>
      <c r="H465" s="2">
        <v>32768</v>
      </c>
      <c r="I465" s="2">
        <v>0</v>
      </c>
      <c r="J465" s="2">
        <v>1</v>
      </c>
      <c r="K465" s="275">
        <v>44294.711111111108</v>
      </c>
      <c r="M465" s="2" t="s">
        <v>9278</v>
      </c>
      <c r="N465" s="2" t="s">
        <v>10098</v>
      </c>
    </row>
    <row r="466" spans="1:14" ht="15.75" customHeight="1">
      <c r="A466" s="2" t="s">
        <v>9275</v>
      </c>
      <c r="B466" s="2" t="s">
        <v>10099</v>
      </c>
      <c r="C466" s="2" t="s">
        <v>9277</v>
      </c>
      <c r="D466" s="2">
        <v>2</v>
      </c>
      <c r="E466" s="2">
        <v>8192</v>
      </c>
      <c r="F466" s="2">
        <v>16384</v>
      </c>
      <c r="G466" s="2">
        <v>0</v>
      </c>
      <c r="H466" s="2">
        <v>32768</v>
      </c>
      <c r="I466" s="2">
        <v>0</v>
      </c>
      <c r="J466" s="2">
        <v>3</v>
      </c>
      <c r="K466" s="275">
        <v>44294.711111111108</v>
      </c>
      <c r="M466" s="2" t="s">
        <v>9278</v>
      </c>
      <c r="N466" s="2" t="s">
        <v>10100</v>
      </c>
    </row>
    <row r="467" spans="1:14" ht="15.75" customHeight="1">
      <c r="A467" s="2" t="s">
        <v>9275</v>
      </c>
      <c r="B467" s="2" t="s">
        <v>10101</v>
      </c>
      <c r="C467" s="2" t="s">
        <v>9277</v>
      </c>
      <c r="D467" s="2">
        <v>5</v>
      </c>
      <c r="E467" s="2">
        <v>3276</v>
      </c>
      <c r="F467" s="2">
        <v>16384</v>
      </c>
      <c r="G467" s="2">
        <v>0</v>
      </c>
      <c r="H467" s="2">
        <v>0</v>
      </c>
      <c r="I467" s="2">
        <v>0</v>
      </c>
      <c r="J467" s="2">
        <v>7</v>
      </c>
      <c r="K467" s="275">
        <v>44294.711111111108</v>
      </c>
      <c r="M467" s="2" t="s">
        <v>9278</v>
      </c>
      <c r="N467" s="2" t="s">
        <v>10102</v>
      </c>
    </row>
    <row r="468" spans="1:14" ht="15.75" customHeight="1">
      <c r="A468" s="2" t="s">
        <v>9275</v>
      </c>
      <c r="B468" s="2" t="s">
        <v>10103</v>
      </c>
      <c r="C468" s="2" t="s">
        <v>9277</v>
      </c>
      <c r="D468" s="2">
        <v>0</v>
      </c>
      <c r="E468" s="2">
        <v>0</v>
      </c>
      <c r="F468" s="2">
        <v>16384</v>
      </c>
      <c r="G468" s="2">
        <v>0</v>
      </c>
      <c r="H468" s="2">
        <v>32768</v>
      </c>
      <c r="I468" s="2">
        <v>0</v>
      </c>
      <c r="J468" s="2">
        <v>1</v>
      </c>
      <c r="K468" s="275">
        <v>44294.711111111108</v>
      </c>
      <c r="M468" s="2" t="s">
        <v>9278</v>
      </c>
      <c r="N468" s="2" t="s">
        <v>10104</v>
      </c>
    </row>
    <row r="469" spans="1:14" ht="15.75" customHeight="1">
      <c r="A469" s="2" t="s">
        <v>9275</v>
      </c>
      <c r="B469" s="2" t="s">
        <v>10105</v>
      </c>
      <c r="C469" s="2" t="s">
        <v>9277</v>
      </c>
      <c r="D469" s="2">
        <v>0</v>
      </c>
      <c r="E469" s="2">
        <v>0</v>
      </c>
      <c r="F469" s="2">
        <v>16384</v>
      </c>
      <c r="G469" s="2">
        <v>0</v>
      </c>
      <c r="H469" s="2">
        <v>32768</v>
      </c>
      <c r="I469" s="2">
        <v>0</v>
      </c>
      <c r="J469" s="2">
        <v>1</v>
      </c>
      <c r="K469" s="275">
        <v>44294.711111111108</v>
      </c>
      <c r="M469" s="2" t="s">
        <v>9278</v>
      </c>
      <c r="N469" s="2" t="s">
        <v>10106</v>
      </c>
    </row>
    <row r="470" spans="1:14" ht="15.75" customHeight="1">
      <c r="A470" s="2" t="s">
        <v>9275</v>
      </c>
      <c r="B470" s="2" t="s">
        <v>10107</v>
      </c>
      <c r="C470" s="2" t="s">
        <v>9277</v>
      </c>
      <c r="D470" s="2">
        <v>5</v>
      </c>
      <c r="E470" s="2">
        <v>3276</v>
      </c>
      <c r="F470" s="2">
        <v>16384</v>
      </c>
      <c r="G470" s="2">
        <v>0</v>
      </c>
      <c r="H470" s="2">
        <v>0</v>
      </c>
      <c r="I470" s="2">
        <v>0</v>
      </c>
      <c r="J470" s="2">
        <v>6</v>
      </c>
      <c r="K470" s="275">
        <v>44294.711111111108</v>
      </c>
      <c r="M470" s="2" t="s">
        <v>9278</v>
      </c>
      <c r="N470" s="2" t="s">
        <v>10108</v>
      </c>
    </row>
    <row r="471" spans="1:14" ht="15.75" customHeight="1">
      <c r="A471" s="2" t="s">
        <v>9275</v>
      </c>
      <c r="B471" s="2" t="s">
        <v>10109</v>
      </c>
      <c r="C471" s="2" t="s">
        <v>9277</v>
      </c>
      <c r="D471" s="2">
        <v>0</v>
      </c>
      <c r="E471" s="2">
        <v>0</v>
      </c>
      <c r="F471" s="2">
        <v>16384</v>
      </c>
      <c r="G471" s="2">
        <v>0</v>
      </c>
      <c r="H471" s="2">
        <v>16384</v>
      </c>
      <c r="I471" s="2">
        <v>0</v>
      </c>
      <c r="J471" s="2">
        <v>1</v>
      </c>
      <c r="K471" s="275">
        <v>44294.711111111108</v>
      </c>
      <c r="M471" s="2" t="s">
        <v>9278</v>
      </c>
      <c r="N471" s="2" t="s">
        <v>10110</v>
      </c>
    </row>
    <row r="472" spans="1:14" ht="15.75" customHeight="1">
      <c r="A472" s="2" t="s">
        <v>9275</v>
      </c>
      <c r="B472" s="2" t="s">
        <v>10111</v>
      </c>
      <c r="C472" s="2" t="s">
        <v>9277</v>
      </c>
      <c r="D472" s="2">
        <v>19</v>
      </c>
      <c r="E472" s="2">
        <v>862</v>
      </c>
      <c r="F472" s="2">
        <v>16384</v>
      </c>
      <c r="G472" s="2">
        <v>0</v>
      </c>
      <c r="H472" s="2">
        <v>16384</v>
      </c>
      <c r="I472" s="2">
        <v>0</v>
      </c>
      <c r="J472" s="2">
        <v>22</v>
      </c>
      <c r="K472" s="275">
        <v>44294.711111111108</v>
      </c>
      <c r="M472" s="2" t="s">
        <v>9278</v>
      </c>
      <c r="N472" s="2" t="s">
        <v>475</v>
      </c>
    </row>
    <row r="473" spans="1:14" ht="15.75" customHeight="1">
      <c r="A473" s="2" t="s">
        <v>9275</v>
      </c>
      <c r="B473" s="2" t="s">
        <v>10112</v>
      </c>
      <c r="C473" s="2" t="s">
        <v>9277</v>
      </c>
      <c r="D473" s="2">
        <v>520</v>
      </c>
      <c r="E473" s="2">
        <v>3056</v>
      </c>
      <c r="F473" s="2">
        <v>1589248</v>
      </c>
      <c r="G473" s="2">
        <v>0</v>
      </c>
      <c r="H473" s="2">
        <v>49152</v>
      </c>
      <c r="I473" s="2">
        <v>4194304</v>
      </c>
      <c r="J473" s="2">
        <v>591</v>
      </c>
      <c r="K473" s="275">
        <v>44294.711111111108</v>
      </c>
      <c r="L473" s="275">
        <v>44448.450694444444</v>
      </c>
      <c r="M473" s="2" t="s">
        <v>9278</v>
      </c>
      <c r="N473" s="2" t="s">
        <v>10113</v>
      </c>
    </row>
    <row r="474" spans="1:14" ht="15.75" customHeight="1">
      <c r="A474" s="2" t="s">
        <v>9275</v>
      </c>
      <c r="B474" s="2" t="s">
        <v>10114</v>
      </c>
      <c r="C474" s="2" t="s">
        <v>9277</v>
      </c>
      <c r="D474" s="2">
        <v>361918</v>
      </c>
      <c r="E474" s="2">
        <v>200</v>
      </c>
      <c r="F474" s="2">
        <v>72712192</v>
      </c>
      <c r="G474" s="2">
        <v>0</v>
      </c>
      <c r="H474" s="2">
        <v>80412672</v>
      </c>
      <c r="I474" s="2">
        <v>6291456</v>
      </c>
      <c r="J474" s="2">
        <v>37462143</v>
      </c>
      <c r="K474" s="275">
        <v>44294.711111111108</v>
      </c>
      <c r="L474" s="275">
        <v>44448.441666666666</v>
      </c>
      <c r="M474" s="2" t="s">
        <v>9278</v>
      </c>
      <c r="N474" s="2" t="s">
        <v>10115</v>
      </c>
    </row>
    <row r="475" spans="1:14" ht="15.75" customHeight="1">
      <c r="A475" s="2" t="s">
        <v>9275</v>
      </c>
      <c r="B475" s="2" t="s">
        <v>10116</v>
      </c>
      <c r="C475" s="2" t="s">
        <v>9277</v>
      </c>
      <c r="D475" s="2">
        <v>3</v>
      </c>
      <c r="E475" s="2">
        <v>5461</v>
      </c>
      <c r="F475" s="2">
        <v>16384</v>
      </c>
      <c r="G475" s="2">
        <v>0</v>
      </c>
      <c r="H475" s="2">
        <v>16384</v>
      </c>
      <c r="I475" s="2">
        <v>0</v>
      </c>
      <c r="J475" s="2">
        <v>4</v>
      </c>
      <c r="K475" s="275">
        <v>44294.711111111108</v>
      </c>
      <c r="M475" s="2" t="s">
        <v>9278</v>
      </c>
      <c r="N475" s="2" t="s">
        <v>10117</v>
      </c>
    </row>
    <row r="476" spans="1:14" ht="15.75" customHeight="1">
      <c r="A476" s="2" t="s">
        <v>9275</v>
      </c>
      <c r="B476" s="2" t="s">
        <v>10118</v>
      </c>
      <c r="C476" s="2" t="s">
        <v>9277</v>
      </c>
      <c r="D476" s="2">
        <v>3</v>
      </c>
      <c r="E476" s="2">
        <v>5461</v>
      </c>
      <c r="F476" s="2">
        <v>16384</v>
      </c>
      <c r="G476" s="2">
        <v>0</v>
      </c>
      <c r="H476" s="2">
        <v>32768</v>
      </c>
      <c r="I476" s="2">
        <v>0</v>
      </c>
      <c r="J476" s="2">
        <v>4</v>
      </c>
      <c r="K476" s="275">
        <v>44294.711111111108</v>
      </c>
      <c r="M476" s="2" t="s">
        <v>9278</v>
      </c>
      <c r="N476" s="2" t="s">
        <v>10119</v>
      </c>
    </row>
    <row r="477" spans="1:14" ht="15.75" customHeight="1">
      <c r="A477" s="2" t="s">
        <v>9275</v>
      </c>
      <c r="B477" s="2" t="s">
        <v>10120</v>
      </c>
      <c r="C477" s="2" t="s">
        <v>9277</v>
      </c>
      <c r="D477" s="2">
        <v>0</v>
      </c>
      <c r="E477" s="2">
        <v>0</v>
      </c>
      <c r="F477" s="2">
        <v>16384</v>
      </c>
      <c r="G477" s="2">
        <v>0</v>
      </c>
      <c r="H477" s="2">
        <v>49152</v>
      </c>
      <c r="I477" s="2">
        <v>0</v>
      </c>
      <c r="J477" s="2">
        <v>1</v>
      </c>
      <c r="K477" s="275">
        <v>44294.711111111108</v>
      </c>
      <c r="M477" s="2" t="s">
        <v>9278</v>
      </c>
      <c r="N477" s="2" t="s">
        <v>10121</v>
      </c>
    </row>
    <row r="478" spans="1:14" ht="15.75" customHeight="1">
      <c r="A478" s="2" t="s">
        <v>9275</v>
      </c>
      <c r="B478" s="2" t="s">
        <v>10122</v>
      </c>
      <c r="C478" s="2" t="s">
        <v>9277</v>
      </c>
      <c r="D478" s="2">
        <v>0</v>
      </c>
      <c r="E478" s="2">
        <v>0</v>
      </c>
      <c r="F478" s="2">
        <v>16384</v>
      </c>
      <c r="G478" s="2">
        <v>0</v>
      </c>
      <c r="H478" s="2">
        <v>16384</v>
      </c>
      <c r="I478" s="2">
        <v>0</v>
      </c>
      <c r="K478" s="275">
        <v>44294.711111111108</v>
      </c>
      <c r="M478" s="2" t="s">
        <v>9278</v>
      </c>
      <c r="N478" s="2" t="s">
        <v>10123</v>
      </c>
    </row>
    <row r="479" spans="1:14" ht="15.75" customHeight="1">
      <c r="A479" s="2" t="s">
        <v>9275</v>
      </c>
      <c r="B479" s="2" t="s">
        <v>10124</v>
      </c>
      <c r="C479" s="2" t="s">
        <v>9277</v>
      </c>
      <c r="D479" s="2">
        <v>0</v>
      </c>
      <c r="E479" s="2">
        <v>0</v>
      </c>
      <c r="F479" s="2">
        <v>16384</v>
      </c>
      <c r="G479" s="2">
        <v>0</v>
      </c>
      <c r="H479" s="2">
        <v>0</v>
      </c>
      <c r="I479" s="2">
        <v>0</v>
      </c>
      <c r="K479" s="275">
        <v>44336.703472222223</v>
      </c>
      <c r="M479" s="2" t="s">
        <v>9278</v>
      </c>
      <c r="N479" s="2" t="s">
        <v>10125</v>
      </c>
    </row>
    <row r="480" spans="1:14" ht="15.75" customHeight="1">
      <c r="A480" s="2" t="s">
        <v>9275</v>
      </c>
      <c r="B480" s="2" t="s">
        <v>10126</v>
      </c>
      <c r="C480" s="2" t="s">
        <v>9277</v>
      </c>
      <c r="D480" s="2">
        <v>0</v>
      </c>
      <c r="E480" s="2">
        <v>0</v>
      </c>
      <c r="F480" s="2">
        <v>16384</v>
      </c>
      <c r="G480" s="2">
        <v>0</v>
      </c>
      <c r="H480" s="2">
        <v>0</v>
      </c>
      <c r="I480" s="2">
        <v>0</v>
      </c>
      <c r="K480" s="275">
        <v>44336.703472222223</v>
      </c>
      <c r="M480" s="2" t="s">
        <v>9278</v>
      </c>
      <c r="N480" s="2" t="s">
        <v>10125</v>
      </c>
    </row>
    <row r="481" spans="1:14" ht="15.75" customHeight="1">
      <c r="A481" s="2" t="s">
        <v>9275</v>
      </c>
      <c r="B481" s="2" t="s">
        <v>10127</v>
      </c>
      <c r="C481" s="2" t="s">
        <v>9277</v>
      </c>
      <c r="D481" s="2">
        <v>0</v>
      </c>
      <c r="E481" s="2">
        <v>0</v>
      </c>
      <c r="F481" s="2">
        <v>16384</v>
      </c>
      <c r="G481" s="2">
        <v>0</v>
      </c>
      <c r="H481" s="2">
        <v>49152</v>
      </c>
      <c r="I481" s="2">
        <v>0</v>
      </c>
      <c r="J481" s="2">
        <v>1</v>
      </c>
      <c r="K481" s="275">
        <v>44294.711111111108</v>
      </c>
      <c r="M481" s="2" t="s">
        <v>9278</v>
      </c>
      <c r="N481" s="2" t="s">
        <v>10128</v>
      </c>
    </row>
    <row r="482" spans="1:14" ht="15.75" customHeight="1">
      <c r="A482" s="2" t="s">
        <v>9275</v>
      </c>
      <c r="B482" s="2" t="s">
        <v>10129</v>
      </c>
      <c r="C482" s="2" t="s">
        <v>9277</v>
      </c>
      <c r="D482" s="2">
        <v>0</v>
      </c>
      <c r="E482" s="2">
        <v>0</v>
      </c>
      <c r="F482" s="2">
        <v>16384</v>
      </c>
      <c r="G482" s="2">
        <v>0</v>
      </c>
      <c r="H482" s="2">
        <v>0</v>
      </c>
      <c r="I482" s="2">
        <v>0</v>
      </c>
      <c r="K482" s="275">
        <v>44294.711111111108</v>
      </c>
      <c r="M482" s="2" t="s">
        <v>9278</v>
      </c>
      <c r="N482" s="2" t="s">
        <v>10130</v>
      </c>
    </row>
    <row r="483" spans="1:14" ht="15.75" customHeight="1">
      <c r="A483" s="2" t="s">
        <v>9275</v>
      </c>
      <c r="B483" s="2" t="s">
        <v>10131</v>
      </c>
      <c r="C483" s="2" t="s">
        <v>9277</v>
      </c>
      <c r="D483" s="2">
        <v>0</v>
      </c>
      <c r="E483" s="2">
        <v>0</v>
      </c>
      <c r="F483" s="2">
        <v>16384</v>
      </c>
      <c r="G483" s="2">
        <v>0</v>
      </c>
      <c r="H483" s="2">
        <v>0</v>
      </c>
      <c r="I483" s="2">
        <v>0</v>
      </c>
      <c r="K483" s="275">
        <v>44336.703472222223</v>
      </c>
      <c r="M483" s="2" t="s">
        <v>9278</v>
      </c>
      <c r="N483" s="2" t="s">
        <v>10132</v>
      </c>
    </row>
    <row r="484" spans="1:14" ht="15.75" customHeight="1">
      <c r="A484" s="2" t="s">
        <v>9275</v>
      </c>
      <c r="B484" s="2" t="s">
        <v>10133</v>
      </c>
      <c r="C484" s="2" t="s">
        <v>9277</v>
      </c>
      <c r="D484" s="2">
        <v>0</v>
      </c>
      <c r="E484" s="2">
        <v>0</v>
      </c>
      <c r="F484" s="2">
        <v>16384</v>
      </c>
      <c r="G484" s="2">
        <v>0</v>
      </c>
      <c r="H484" s="2">
        <v>0</v>
      </c>
      <c r="I484" s="2">
        <v>0</v>
      </c>
      <c r="K484" s="275">
        <v>44294.711111111108</v>
      </c>
      <c r="M484" s="2" t="s">
        <v>9278</v>
      </c>
    </row>
    <row r="485" spans="1:14" ht="15.75" customHeight="1">
      <c r="A485" s="2" t="s">
        <v>9275</v>
      </c>
      <c r="B485" s="2" t="s">
        <v>10134</v>
      </c>
      <c r="C485" s="2" t="s">
        <v>9277</v>
      </c>
      <c r="D485" s="2">
        <v>0</v>
      </c>
      <c r="E485" s="2">
        <v>0</v>
      </c>
      <c r="F485" s="2">
        <v>16384</v>
      </c>
      <c r="G485" s="2">
        <v>0</v>
      </c>
      <c r="H485" s="2">
        <v>0</v>
      </c>
      <c r="I485" s="2">
        <v>0</v>
      </c>
      <c r="K485" s="275">
        <v>44294.711111111108</v>
      </c>
      <c r="M485" s="2" t="s">
        <v>9278</v>
      </c>
      <c r="N485" s="2" t="s">
        <v>10135</v>
      </c>
    </row>
    <row r="486" spans="1:14" ht="15.75" customHeight="1">
      <c r="A486" s="2" t="s">
        <v>9275</v>
      </c>
      <c r="B486" s="2" t="s">
        <v>10136</v>
      </c>
      <c r="C486" s="2" t="s">
        <v>9277</v>
      </c>
      <c r="D486" s="2">
        <v>0</v>
      </c>
      <c r="E486" s="2">
        <v>0</v>
      </c>
      <c r="F486" s="2">
        <v>16384</v>
      </c>
      <c r="G486" s="2">
        <v>0</v>
      </c>
      <c r="H486" s="2">
        <v>32768</v>
      </c>
      <c r="I486" s="2">
        <v>0</v>
      </c>
      <c r="K486" s="275">
        <v>44336.703472222223</v>
      </c>
      <c r="M486" s="2" t="s">
        <v>9278</v>
      </c>
      <c r="N486" s="2" t="s">
        <v>10137</v>
      </c>
    </row>
    <row r="487" spans="1:14" ht="15.75" customHeight="1">
      <c r="A487" s="2" t="s">
        <v>9275</v>
      </c>
      <c r="B487" s="2" t="s">
        <v>10138</v>
      </c>
      <c r="C487" s="2" t="s">
        <v>9277</v>
      </c>
      <c r="D487" s="2">
        <v>0</v>
      </c>
      <c r="E487" s="2">
        <v>0</v>
      </c>
      <c r="F487" s="2">
        <v>16384</v>
      </c>
      <c r="G487" s="2">
        <v>0</v>
      </c>
      <c r="H487" s="2">
        <v>32768</v>
      </c>
      <c r="I487" s="2">
        <v>0</v>
      </c>
      <c r="K487" s="275">
        <v>44336.703472222223</v>
      </c>
      <c r="M487" s="2" t="s">
        <v>9278</v>
      </c>
      <c r="N487" s="2" t="s">
        <v>10139</v>
      </c>
    </row>
    <row r="488" spans="1:14" ht="15.75" customHeight="1">
      <c r="A488" s="2" t="s">
        <v>9275</v>
      </c>
      <c r="B488" s="2" t="s">
        <v>10140</v>
      </c>
      <c r="C488" s="2" t="s">
        <v>9277</v>
      </c>
      <c r="D488" s="2">
        <v>0</v>
      </c>
      <c r="E488" s="2">
        <v>0</v>
      </c>
      <c r="F488" s="2">
        <v>16384</v>
      </c>
      <c r="G488" s="2">
        <v>0</v>
      </c>
      <c r="H488" s="2">
        <v>32768</v>
      </c>
      <c r="I488" s="2">
        <v>0</v>
      </c>
      <c r="K488" s="275">
        <v>44336.703472222223</v>
      </c>
      <c r="M488" s="2" t="s">
        <v>9278</v>
      </c>
      <c r="N488" s="2" t="s">
        <v>10141</v>
      </c>
    </row>
    <row r="489" spans="1:14" ht="15.75" customHeight="1">
      <c r="A489" s="2" t="s">
        <v>9275</v>
      </c>
      <c r="B489" s="2" t="s">
        <v>10142</v>
      </c>
      <c r="C489" s="2" t="s">
        <v>9277</v>
      </c>
      <c r="D489" s="2">
        <v>0</v>
      </c>
      <c r="E489" s="2">
        <v>0</v>
      </c>
      <c r="F489" s="2">
        <v>16384</v>
      </c>
      <c r="G489" s="2">
        <v>0</v>
      </c>
      <c r="H489" s="2">
        <v>32768</v>
      </c>
      <c r="I489" s="2">
        <v>0</v>
      </c>
      <c r="K489" s="275">
        <v>44294.711111111108</v>
      </c>
      <c r="M489" s="2" t="s">
        <v>9278</v>
      </c>
      <c r="N489" s="2" t="s">
        <v>10143</v>
      </c>
    </row>
    <row r="490" spans="1:14" ht="15.75" customHeight="1">
      <c r="A490" s="2" t="s">
        <v>9275</v>
      </c>
      <c r="B490" s="2" t="s">
        <v>10144</v>
      </c>
      <c r="C490" s="2" t="s">
        <v>9277</v>
      </c>
      <c r="D490" s="2">
        <v>0</v>
      </c>
      <c r="E490" s="2">
        <v>0</v>
      </c>
      <c r="F490" s="2">
        <v>16384</v>
      </c>
      <c r="G490" s="2">
        <v>0</v>
      </c>
      <c r="H490" s="2">
        <v>32768</v>
      </c>
      <c r="I490" s="2">
        <v>0</v>
      </c>
      <c r="K490" s="275">
        <v>44336.703472222223</v>
      </c>
      <c r="M490" s="2" t="s">
        <v>9278</v>
      </c>
      <c r="N490" s="2" t="s">
        <v>10145</v>
      </c>
    </row>
    <row r="491" spans="1:14" ht="15.75" customHeight="1">
      <c r="A491" s="2" t="s">
        <v>9275</v>
      </c>
      <c r="B491" s="2" t="s">
        <v>10146</v>
      </c>
      <c r="C491" s="2" t="s">
        <v>9277</v>
      </c>
      <c r="D491" s="2">
        <v>0</v>
      </c>
      <c r="E491" s="2">
        <v>0</v>
      </c>
      <c r="F491" s="2">
        <v>16384</v>
      </c>
      <c r="G491" s="2">
        <v>0</v>
      </c>
      <c r="H491" s="2">
        <v>32768</v>
      </c>
      <c r="I491" s="2">
        <v>0</v>
      </c>
      <c r="K491" s="275">
        <v>44336.703472222223</v>
      </c>
      <c r="M491" s="2" t="s">
        <v>9278</v>
      </c>
      <c r="N491" s="2" t="s">
        <v>10147</v>
      </c>
    </row>
    <row r="492" spans="1:14" ht="15.75" customHeight="1">
      <c r="A492" s="2" t="s">
        <v>9275</v>
      </c>
      <c r="B492" s="2" t="s">
        <v>10148</v>
      </c>
      <c r="C492" s="2" t="s">
        <v>9277</v>
      </c>
      <c r="D492" s="2">
        <v>0</v>
      </c>
      <c r="E492" s="2">
        <v>0</v>
      </c>
      <c r="F492" s="2">
        <v>16384</v>
      </c>
      <c r="G492" s="2">
        <v>0</v>
      </c>
      <c r="H492" s="2">
        <v>49152</v>
      </c>
      <c r="I492" s="2">
        <v>0</v>
      </c>
      <c r="J492" s="2">
        <v>1</v>
      </c>
      <c r="K492" s="275">
        <v>44294.711111111108</v>
      </c>
      <c r="M492" s="2" t="s">
        <v>9278</v>
      </c>
      <c r="N492" s="2" t="s">
        <v>10149</v>
      </c>
    </row>
    <row r="493" spans="1:14" ht="15.75" customHeight="1">
      <c r="A493" s="2" t="s">
        <v>9275</v>
      </c>
      <c r="B493" s="2" t="s">
        <v>10150</v>
      </c>
      <c r="C493" s="2" t="s">
        <v>9277</v>
      </c>
      <c r="D493" s="2">
        <v>0</v>
      </c>
      <c r="E493" s="2">
        <v>0</v>
      </c>
      <c r="F493" s="2">
        <v>16384</v>
      </c>
      <c r="G493" s="2">
        <v>0</v>
      </c>
      <c r="H493" s="2">
        <v>0</v>
      </c>
      <c r="I493" s="2">
        <v>0</v>
      </c>
      <c r="K493" s="275">
        <v>44336.703472222223</v>
      </c>
      <c r="M493" s="2" t="s">
        <v>9278</v>
      </c>
      <c r="N493" s="2" t="s">
        <v>10151</v>
      </c>
    </row>
    <row r="494" spans="1:14" ht="15.75" customHeight="1">
      <c r="A494" s="2" t="s">
        <v>9275</v>
      </c>
      <c r="B494" s="2" t="s">
        <v>10152</v>
      </c>
      <c r="C494" s="2" t="s">
        <v>9277</v>
      </c>
      <c r="D494" s="2">
        <v>0</v>
      </c>
      <c r="E494" s="2">
        <v>0</v>
      </c>
      <c r="F494" s="2">
        <v>16384</v>
      </c>
      <c r="G494" s="2">
        <v>0</v>
      </c>
      <c r="H494" s="2">
        <v>65536</v>
      </c>
      <c r="I494" s="2">
        <v>0</v>
      </c>
      <c r="J494" s="2">
        <v>1</v>
      </c>
      <c r="K494" s="275">
        <v>44294.711111111108</v>
      </c>
      <c r="M494" s="2" t="s">
        <v>9278</v>
      </c>
      <c r="N494" s="2" t="s">
        <v>10153</v>
      </c>
    </row>
    <row r="495" spans="1:14" ht="15.75" customHeight="1">
      <c r="A495" s="2" t="s">
        <v>9275</v>
      </c>
      <c r="B495" s="2" t="s">
        <v>10154</v>
      </c>
      <c r="C495" s="2" t="s">
        <v>9277</v>
      </c>
      <c r="D495" s="2">
        <v>0</v>
      </c>
      <c r="E495" s="2">
        <v>0</v>
      </c>
      <c r="F495" s="2">
        <v>16384</v>
      </c>
      <c r="G495" s="2">
        <v>0</v>
      </c>
      <c r="H495" s="2">
        <v>16384</v>
      </c>
      <c r="I495" s="2">
        <v>0</v>
      </c>
      <c r="J495" s="2">
        <v>1</v>
      </c>
      <c r="K495" s="275">
        <v>44294.711111111108</v>
      </c>
      <c r="M495" s="2" t="s">
        <v>9278</v>
      </c>
      <c r="N495" s="2" t="s">
        <v>10155</v>
      </c>
    </row>
    <row r="496" spans="1:14" ht="15.75" customHeight="1">
      <c r="A496" s="2" t="s">
        <v>9275</v>
      </c>
      <c r="B496" s="2" t="s">
        <v>10156</v>
      </c>
      <c r="C496" s="2" t="s">
        <v>9277</v>
      </c>
      <c r="D496" s="2">
        <v>14</v>
      </c>
      <c r="E496" s="2">
        <v>1170</v>
      </c>
      <c r="F496" s="2">
        <v>16384</v>
      </c>
      <c r="G496" s="2">
        <v>0</v>
      </c>
      <c r="H496" s="2">
        <v>16384</v>
      </c>
      <c r="I496" s="2">
        <v>0</v>
      </c>
      <c r="J496" s="2">
        <v>24</v>
      </c>
      <c r="K496" s="275">
        <v>44294.711111111108</v>
      </c>
      <c r="M496" s="2" t="s">
        <v>9278</v>
      </c>
      <c r="N496" s="2" t="s">
        <v>10157</v>
      </c>
    </row>
    <row r="497" spans="1:14" ht="15.75" customHeight="1">
      <c r="A497" s="2" t="s">
        <v>9275</v>
      </c>
      <c r="B497" s="2" t="s">
        <v>10158</v>
      </c>
      <c r="C497" s="2" t="s">
        <v>9277</v>
      </c>
      <c r="D497" s="2">
        <v>13</v>
      </c>
      <c r="E497" s="2">
        <v>1260</v>
      </c>
      <c r="F497" s="2">
        <v>16384</v>
      </c>
      <c r="G497" s="2">
        <v>0</v>
      </c>
      <c r="H497" s="2">
        <v>16384</v>
      </c>
      <c r="I497" s="2">
        <v>0</v>
      </c>
      <c r="J497" s="2">
        <v>24</v>
      </c>
      <c r="K497" s="275">
        <v>44294.711111111108</v>
      </c>
      <c r="M497" s="2" t="s">
        <v>9278</v>
      </c>
      <c r="N497" s="2" t="s">
        <v>10159</v>
      </c>
    </row>
    <row r="498" spans="1:14" ht="15.75" customHeight="1">
      <c r="A498" s="2" t="s">
        <v>9275</v>
      </c>
      <c r="B498" s="2" t="s">
        <v>10160</v>
      </c>
      <c r="C498" s="2" t="s">
        <v>9277</v>
      </c>
      <c r="D498" s="2">
        <v>0</v>
      </c>
      <c r="E498" s="2">
        <v>0</v>
      </c>
      <c r="F498" s="2">
        <v>16384</v>
      </c>
      <c r="G498" s="2">
        <v>0</v>
      </c>
      <c r="H498" s="2">
        <v>16384</v>
      </c>
      <c r="I498" s="2">
        <v>0</v>
      </c>
      <c r="K498" s="275">
        <v>44294.711111111108</v>
      </c>
      <c r="M498" s="2" t="s">
        <v>9278</v>
      </c>
      <c r="N498" s="2" t="s">
        <v>10161</v>
      </c>
    </row>
    <row r="499" spans="1:14" ht="15.75" customHeight="1">
      <c r="A499" s="2" t="s">
        <v>9275</v>
      </c>
      <c r="B499" s="2" t="s">
        <v>10162</v>
      </c>
      <c r="C499" s="2" t="s">
        <v>9277</v>
      </c>
      <c r="D499" s="2">
        <v>83037</v>
      </c>
      <c r="E499" s="2">
        <v>82</v>
      </c>
      <c r="F499" s="2">
        <v>6832128</v>
      </c>
      <c r="G499" s="2">
        <v>0</v>
      </c>
      <c r="H499" s="2">
        <v>3178496</v>
      </c>
      <c r="I499" s="2">
        <v>4194304</v>
      </c>
      <c r="J499" s="2">
        <v>83258</v>
      </c>
      <c r="K499" s="275">
        <v>44294.711111111108</v>
      </c>
      <c r="L499" s="275">
        <v>44448.45</v>
      </c>
      <c r="M499" s="2" t="s">
        <v>9278</v>
      </c>
      <c r="N499" s="2" t="s">
        <v>10163</v>
      </c>
    </row>
    <row r="500" spans="1:14" ht="15.75" customHeight="1">
      <c r="A500" s="2" t="s">
        <v>9275</v>
      </c>
      <c r="B500" s="2" t="s">
        <v>10164</v>
      </c>
      <c r="C500" s="2" t="s">
        <v>9277</v>
      </c>
      <c r="D500" s="2">
        <v>20425</v>
      </c>
      <c r="E500" s="2">
        <v>77</v>
      </c>
      <c r="F500" s="2">
        <v>1589248</v>
      </c>
      <c r="G500" s="2">
        <v>0</v>
      </c>
      <c r="H500" s="2">
        <v>1130496</v>
      </c>
      <c r="I500" s="2">
        <v>4194304</v>
      </c>
      <c r="J500" s="2">
        <v>35848</v>
      </c>
      <c r="K500" s="275">
        <v>44294.711111111108</v>
      </c>
      <c r="L500" s="275">
        <v>44448.433333333334</v>
      </c>
      <c r="M500" s="2" t="s">
        <v>9278</v>
      </c>
      <c r="N500" s="2" t="s">
        <v>10165</v>
      </c>
    </row>
    <row r="501" spans="1:14" ht="15.75" customHeight="1">
      <c r="A501" s="2" t="s">
        <v>9275</v>
      </c>
      <c r="B501" s="2" t="s">
        <v>10166</v>
      </c>
      <c r="C501" s="2" t="s">
        <v>9277</v>
      </c>
      <c r="D501" s="2">
        <v>20273</v>
      </c>
      <c r="E501" s="2">
        <v>285</v>
      </c>
      <c r="F501" s="2">
        <v>5783552</v>
      </c>
      <c r="G501" s="2">
        <v>0</v>
      </c>
      <c r="H501" s="2">
        <v>311296</v>
      </c>
      <c r="I501" s="2">
        <v>4194304</v>
      </c>
      <c r="J501" s="2">
        <v>35848</v>
      </c>
      <c r="K501" s="275">
        <v>44294.711111111108</v>
      </c>
      <c r="L501" s="275">
        <v>44448.433333333334</v>
      </c>
      <c r="M501" s="2" t="s">
        <v>9278</v>
      </c>
      <c r="N501" s="2" t="s">
        <v>10167</v>
      </c>
    </row>
    <row r="502" spans="1:14" ht="15.75" customHeight="1">
      <c r="A502" s="2" t="s">
        <v>9275</v>
      </c>
      <c r="B502" s="2" t="s">
        <v>10168</v>
      </c>
      <c r="C502" s="2" t="s">
        <v>9277</v>
      </c>
      <c r="D502" s="2">
        <v>0</v>
      </c>
      <c r="E502" s="2">
        <v>0</v>
      </c>
      <c r="F502" s="2">
        <v>16384</v>
      </c>
      <c r="G502" s="2">
        <v>0</v>
      </c>
      <c r="H502" s="2">
        <v>0</v>
      </c>
      <c r="I502" s="2">
        <v>0</v>
      </c>
      <c r="J502" s="2">
        <v>1</v>
      </c>
      <c r="K502" s="275">
        <v>44294.711111111108</v>
      </c>
      <c r="M502" s="2" t="s">
        <v>9278</v>
      </c>
      <c r="N502" s="2" t="s">
        <v>10168</v>
      </c>
    </row>
    <row r="503" spans="1:14" ht="15.75" customHeight="1">
      <c r="A503" s="2" t="s">
        <v>9275</v>
      </c>
      <c r="B503" s="2" t="s">
        <v>10169</v>
      </c>
      <c r="C503" s="2" t="s">
        <v>9277</v>
      </c>
      <c r="D503" s="2">
        <v>0</v>
      </c>
      <c r="E503" s="2">
        <v>0</v>
      </c>
      <c r="F503" s="2">
        <v>16384</v>
      </c>
      <c r="G503" s="2">
        <v>0</v>
      </c>
      <c r="H503" s="2">
        <v>0</v>
      </c>
      <c r="I503" s="2">
        <v>0</v>
      </c>
      <c r="J503" s="2">
        <v>1</v>
      </c>
      <c r="K503" s="275">
        <v>44294.711111111108</v>
      </c>
      <c r="M503" s="2" t="s">
        <v>9278</v>
      </c>
      <c r="N503" s="2" t="s">
        <v>10169</v>
      </c>
    </row>
    <row r="504" spans="1:14" ht="15.75" customHeight="1">
      <c r="A504" s="2" t="s">
        <v>9275</v>
      </c>
      <c r="B504" s="2" t="s">
        <v>10170</v>
      </c>
      <c r="C504" s="2" t="s">
        <v>9277</v>
      </c>
      <c r="D504" s="2">
        <v>0</v>
      </c>
      <c r="E504" s="2">
        <v>0</v>
      </c>
      <c r="F504" s="2">
        <v>16384</v>
      </c>
      <c r="G504" s="2">
        <v>0</v>
      </c>
      <c r="H504" s="2">
        <v>16384</v>
      </c>
      <c r="I504" s="2">
        <v>0</v>
      </c>
      <c r="J504" s="2">
        <v>1</v>
      </c>
      <c r="K504" s="275">
        <v>44294.711111111108</v>
      </c>
      <c r="M504" s="2" t="s">
        <v>9278</v>
      </c>
      <c r="N504" s="2" t="s">
        <v>10170</v>
      </c>
    </row>
    <row r="505" spans="1:14" ht="15.75" customHeight="1"/>
    <row r="506" spans="1:14" ht="15.75" customHeight="1"/>
    <row r="507" spans="1:14" ht="15.75" customHeight="1"/>
    <row r="508" spans="1:14" ht="15.75" customHeight="1"/>
    <row r="509" spans="1:14" ht="15.75" customHeight="1"/>
    <row r="510" spans="1:14" ht="15.75" customHeight="1"/>
    <row r="511" spans="1:14" ht="15.75" customHeight="1"/>
    <row r="512" spans="1:14"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Y1000"/>
  <sheetViews>
    <sheetView workbookViewId="0"/>
  </sheetViews>
  <sheetFormatPr baseColWidth="10" defaultColWidth="12.6640625" defaultRowHeight="15" customHeight="1"/>
  <cols>
    <col min="1" max="1" width="11.83203125" customWidth="1"/>
    <col min="2" max="2" width="20.6640625" customWidth="1"/>
    <col min="3" max="3" width="41.1640625" customWidth="1"/>
    <col min="4" max="4" width="7.6640625" customWidth="1"/>
    <col min="5" max="5" width="4.6640625" customWidth="1"/>
    <col min="6" max="6" width="9.5" customWidth="1"/>
    <col min="7" max="7" width="8.1640625" customWidth="1"/>
    <col min="8" max="8" width="5.6640625" customWidth="1"/>
    <col min="9" max="9" width="9.5" customWidth="1"/>
    <col min="10" max="10" width="12.33203125" customWidth="1"/>
    <col min="11" max="11" width="6.6640625" customWidth="1"/>
    <col min="12" max="12" width="17.5" customWidth="1"/>
    <col min="13" max="13" width="29.83203125" customWidth="1"/>
    <col min="14" max="14" width="26.83203125" customWidth="1"/>
    <col min="15" max="15" width="20.1640625" customWidth="1"/>
    <col min="16" max="25" width="7.6640625" customWidth="1"/>
  </cols>
  <sheetData>
    <row r="1" spans="1:25" ht="14">
      <c r="A1" s="99" t="s">
        <v>154</v>
      </c>
      <c r="B1" s="99" t="s">
        <v>155</v>
      </c>
      <c r="C1" s="99" t="s">
        <v>156</v>
      </c>
      <c r="D1" s="99" t="s">
        <v>157</v>
      </c>
      <c r="E1" s="99" t="s">
        <v>158</v>
      </c>
      <c r="F1" s="99" t="s">
        <v>159</v>
      </c>
      <c r="G1" s="99" t="s">
        <v>160</v>
      </c>
      <c r="H1" s="99" t="s">
        <v>161</v>
      </c>
      <c r="I1" s="99" t="s">
        <v>162</v>
      </c>
      <c r="J1" s="100" t="s">
        <v>163</v>
      </c>
      <c r="K1" s="101" t="s">
        <v>164</v>
      </c>
      <c r="L1" s="102" t="s">
        <v>165</v>
      </c>
      <c r="M1" s="103" t="s">
        <v>166</v>
      </c>
      <c r="N1" s="104" t="s">
        <v>167</v>
      </c>
      <c r="O1" s="105" t="s">
        <v>168</v>
      </c>
      <c r="P1" s="106"/>
      <c r="Q1" s="106"/>
      <c r="R1" s="106"/>
      <c r="S1" s="106"/>
      <c r="T1" s="106"/>
      <c r="U1" s="106"/>
      <c r="V1" s="106"/>
      <c r="W1" s="106"/>
      <c r="X1" s="106"/>
      <c r="Y1" s="106"/>
    </row>
    <row r="2" spans="1:25" ht="14">
      <c r="A2" s="107" t="s">
        <v>7</v>
      </c>
      <c r="B2" s="107" t="s">
        <v>169</v>
      </c>
      <c r="C2" s="108" t="s">
        <v>170</v>
      </c>
      <c r="D2" s="109">
        <v>1322523</v>
      </c>
      <c r="E2" s="107" t="s">
        <v>171</v>
      </c>
      <c r="F2" s="109">
        <v>300360</v>
      </c>
      <c r="G2" s="109">
        <v>298184</v>
      </c>
      <c r="H2" s="109">
        <v>1976</v>
      </c>
      <c r="I2" s="109">
        <v>200</v>
      </c>
      <c r="J2" s="110" t="s">
        <v>172</v>
      </c>
      <c r="K2" s="111"/>
      <c r="L2" s="108" t="s">
        <v>173</v>
      </c>
      <c r="M2" s="112" t="s">
        <v>174</v>
      </c>
      <c r="N2" s="113" t="s">
        <v>175</v>
      </c>
      <c r="O2" s="113" t="s">
        <v>176</v>
      </c>
      <c r="P2" s="106"/>
      <c r="Q2" s="113"/>
      <c r="R2" s="106"/>
      <c r="S2" s="106"/>
      <c r="T2" s="106"/>
      <c r="U2" s="106"/>
      <c r="V2" s="106"/>
      <c r="W2" s="106"/>
      <c r="X2" s="106"/>
      <c r="Y2" s="106"/>
    </row>
    <row r="3" spans="1:25" ht="14">
      <c r="A3" s="107" t="s">
        <v>7</v>
      </c>
      <c r="B3" s="107" t="s">
        <v>169</v>
      </c>
      <c r="C3" s="108" t="s">
        <v>177</v>
      </c>
      <c r="D3" s="109">
        <v>2043</v>
      </c>
      <c r="E3" s="107" t="s">
        <v>171</v>
      </c>
      <c r="F3" s="109">
        <v>664</v>
      </c>
      <c r="G3" s="109">
        <v>608</v>
      </c>
      <c r="H3" s="109">
        <v>32</v>
      </c>
      <c r="I3" s="109">
        <v>24</v>
      </c>
      <c r="J3" s="114">
        <v>241892.40694444443</v>
      </c>
      <c r="K3" s="115"/>
      <c r="L3" s="108" t="s">
        <v>173</v>
      </c>
      <c r="M3" s="112" t="s">
        <v>178</v>
      </c>
      <c r="N3" s="113" t="s">
        <v>175</v>
      </c>
      <c r="O3" s="113" t="s">
        <v>176</v>
      </c>
      <c r="P3" s="106"/>
      <c r="Q3" s="113"/>
      <c r="R3" s="106"/>
      <c r="S3" s="106"/>
      <c r="T3" s="106"/>
      <c r="U3" s="106"/>
      <c r="V3" s="106"/>
      <c r="W3" s="106"/>
      <c r="X3" s="106"/>
      <c r="Y3" s="106"/>
    </row>
    <row r="4" spans="1:25" ht="14">
      <c r="A4" s="107" t="s">
        <v>7</v>
      </c>
      <c r="B4" s="107" t="s">
        <v>169</v>
      </c>
      <c r="C4" s="108" t="s">
        <v>179</v>
      </c>
      <c r="D4" s="109">
        <v>36593</v>
      </c>
      <c r="E4" s="107" t="s">
        <v>171</v>
      </c>
      <c r="F4" s="109">
        <v>35584</v>
      </c>
      <c r="G4" s="109">
        <v>6976</v>
      </c>
      <c r="H4" s="109">
        <v>25552</v>
      </c>
      <c r="I4" s="109">
        <v>3056</v>
      </c>
      <c r="J4" s="110" t="s">
        <v>180</v>
      </c>
      <c r="K4" s="115"/>
      <c r="L4" s="108" t="s">
        <v>173</v>
      </c>
      <c r="M4" s="112" t="s">
        <v>174</v>
      </c>
      <c r="N4" s="113" t="s">
        <v>175</v>
      </c>
      <c r="O4" s="113" t="s">
        <v>176</v>
      </c>
      <c r="P4" s="106"/>
      <c r="R4" s="106"/>
      <c r="S4" s="106"/>
      <c r="T4" s="106"/>
      <c r="U4" s="106"/>
      <c r="V4" s="106"/>
      <c r="W4" s="106"/>
      <c r="X4" s="106"/>
      <c r="Y4" s="106"/>
    </row>
    <row r="5" spans="1:25" ht="14">
      <c r="A5" s="107" t="s">
        <v>7</v>
      </c>
      <c r="B5" s="107" t="s">
        <v>169</v>
      </c>
      <c r="C5" s="108" t="s">
        <v>181</v>
      </c>
      <c r="D5" s="109">
        <v>1137596</v>
      </c>
      <c r="E5" s="107" t="s">
        <v>171</v>
      </c>
      <c r="F5" s="109">
        <v>197976</v>
      </c>
      <c r="G5" s="109">
        <v>196312</v>
      </c>
      <c r="H5" s="109">
        <v>1456</v>
      </c>
      <c r="I5" s="109">
        <v>208</v>
      </c>
      <c r="J5" s="110" t="s">
        <v>182</v>
      </c>
      <c r="K5" s="115"/>
      <c r="L5" s="108" t="s">
        <v>173</v>
      </c>
      <c r="M5" s="112" t="s">
        <v>183</v>
      </c>
      <c r="N5" s="113" t="s">
        <v>184</v>
      </c>
      <c r="O5" s="113" t="s">
        <v>185</v>
      </c>
      <c r="P5" s="106"/>
      <c r="Q5" s="113"/>
      <c r="R5" s="106"/>
      <c r="S5" s="106"/>
      <c r="T5" s="106"/>
      <c r="U5" s="106"/>
      <c r="V5" s="106"/>
      <c r="W5" s="106"/>
      <c r="X5" s="106"/>
      <c r="Y5" s="106"/>
    </row>
    <row r="6" spans="1:25" ht="14">
      <c r="A6" s="107" t="s">
        <v>7</v>
      </c>
      <c r="B6" s="107" t="s">
        <v>169</v>
      </c>
      <c r="C6" s="108" t="s">
        <v>186</v>
      </c>
      <c r="D6" s="109">
        <v>6474740</v>
      </c>
      <c r="E6" s="107" t="s">
        <v>171</v>
      </c>
      <c r="F6" s="109">
        <v>1086352</v>
      </c>
      <c r="G6" s="109">
        <v>1079312</v>
      </c>
      <c r="H6" s="109">
        <v>6720</v>
      </c>
      <c r="I6" s="109">
        <v>320</v>
      </c>
      <c r="J6" s="110" t="s">
        <v>187</v>
      </c>
      <c r="K6" s="115"/>
      <c r="L6" s="108" t="s">
        <v>173</v>
      </c>
      <c r="M6" s="112" t="s">
        <v>188</v>
      </c>
      <c r="N6" s="113" t="s">
        <v>175</v>
      </c>
      <c r="O6" s="113" t="s">
        <v>176</v>
      </c>
      <c r="P6" s="106"/>
      <c r="Q6" s="106"/>
      <c r="R6" s="106"/>
      <c r="S6" s="106"/>
      <c r="T6" s="106"/>
      <c r="U6" s="106"/>
      <c r="V6" s="106"/>
      <c r="W6" s="106"/>
      <c r="X6" s="106"/>
      <c r="Y6" s="106"/>
    </row>
    <row r="7" spans="1:25" ht="14">
      <c r="A7" s="107" t="s">
        <v>7</v>
      </c>
      <c r="B7" s="107" t="s">
        <v>169</v>
      </c>
      <c r="C7" s="108" t="s">
        <v>189</v>
      </c>
      <c r="D7" s="109">
        <v>7491</v>
      </c>
      <c r="E7" s="107" t="s">
        <v>171</v>
      </c>
      <c r="F7" s="109">
        <v>2688</v>
      </c>
      <c r="G7" s="109">
        <v>1848</v>
      </c>
      <c r="H7" s="109">
        <v>136</v>
      </c>
      <c r="I7" s="109">
        <v>704</v>
      </c>
      <c r="J7" s="110" t="s">
        <v>190</v>
      </c>
      <c r="K7" s="115"/>
      <c r="L7" s="108" t="s">
        <v>173</v>
      </c>
      <c r="M7" s="112" t="s">
        <v>191</v>
      </c>
      <c r="N7" s="113" t="s">
        <v>175</v>
      </c>
      <c r="O7" s="113" t="s">
        <v>176</v>
      </c>
      <c r="P7" s="106"/>
      <c r="Q7" s="106"/>
      <c r="R7" s="106"/>
      <c r="S7" s="106"/>
      <c r="T7" s="106"/>
      <c r="U7" s="106"/>
      <c r="V7" s="106"/>
      <c r="W7" s="106"/>
      <c r="X7" s="106"/>
      <c r="Y7" s="106"/>
    </row>
    <row r="8" spans="1:25" ht="14">
      <c r="A8" s="107" t="s">
        <v>7</v>
      </c>
      <c r="B8" s="107" t="s">
        <v>169</v>
      </c>
      <c r="C8" s="108" t="s">
        <v>192</v>
      </c>
      <c r="D8" s="109">
        <v>18567</v>
      </c>
      <c r="E8" s="107" t="s">
        <v>171</v>
      </c>
      <c r="F8" s="109">
        <v>7288</v>
      </c>
      <c r="G8" s="109">
        <v>6936</v>
      </c>
      <c r="H8" s="109">
        <v>160</v>
      </c>
      <c r="I8" s="109">
        <v>192</v>
      </c>
      <c r="J8" s="110" t="s">
        <v>193</v>
      </c>
      <c r="K8" s="115"/>
      <c r="L8" s="108" t="s">
        <v>173</v>
      </c>
      <c r="M8" s="112" t="s">
        <v>194</v>
      </c>
      <c r="N8" s="113" t="s">
        <v>175</v>
      </c>
      <c r="O8" s="113" t="s">
        <v>176</v>
      </c>
      <c r="P8" s="106"/>
      <c r="Q8" s="106"/>
      <c r="R8" s="106"/>
      <c r="S8" s="106"/>
      <c r="T8" s="106"/>
      <c r="U8" s="106"/>
      <c r="V8" s="106"/>
      <c r="W8" s="106"/>
      <c r="X8" s="106"/>
      <c r="Y8" s="106"/>
    </row>
    <row r="9" spans="1:25" ht="14">
      <c r="A9" s="107" t="s">
        <v>7</v>
      </c>
      <c r="B9" s="107" t="s">
        <v>169</v>
      </c>
      <c r="C9" s="108" t="s">
        <v>195</v>
      </c>
      <c r="D9" s="109">
        <v>1322523</v>
      </c>
      <c r="E9" s="107" t="s">
        <v>171</v>
      </c>
      <c r="F9" s="109">
        <v>883304</v>
      </c>
      <c r="G9" s="109">
        <v>771472</v>
      </c>
      <c r="H9" s="109">
        <v>110064</v>
      </c>
      <c r="I9" s="109">
        <v>1768</v>
      </c>
      <c r="J9" s="110" t="s">
        <v>196</v>
      </c>
      <c r="K9" s="115"/>
      <c r="L9" s="108" t="s">
        <v>173</v>
      </c>
      <c r="M9" s="112" t="s">
        <v>174</v>
      </c>
      <c r="N9" s="113" t="s">
        <v>175</v>
      </c>
      <c r="O9" s="113" t="s">
        <v>176</v>
      </c>
      <c r="P9" s="106"/>
      <c r="Q9" s="106"/>
      <c r="R9" s="106"/>
      <c r="S9" s="106"/>
      <c r="T9" s="106"/>
      <c r="U9" s="106"/>
      <c r="V9" s="106"/>
      <c r="W9" s="106"/>
      <c r="X9" s="106"/>
      <c r="Y9" s="106"/>
    </row>
    <row r="10" spans="1:25" ht="14">
      <c r="A10" s="107" t="s">
        <v>7</v>
      </c>
      <c r="B10" s="107" t="s">
        <v>169</v>
      </c>
      <c r="C10" s="108" t="s">
        <v>197</v>
      </c>
      <c r="D10" s="109">
        <v>5</v>
      </c>
      <c r="E10" s="107" t="s">
        <v>171</v>
      </c>
      <c r="F10" s="109">
        <v>72</v>
      </c>
      <c r="G10" s="109">
        <v>8</v>
      </c>
      <c r="H10" s="109">
        <v>8</v>
      </c>
      <c r="I10" s="109">
        <v>56</v>
      </c>
      <c r="J10" s="110" t="s">
        <v>198</v>
      </c>
      <c r="K10" s="115"/>
      <c r="L10" s="108" t="s">
        <v>173</v>
      </c>
      <c r="M10" s="112" t="s">
        <v>199</v>
      </c>
      <c r="N10" s="113" t="s">
        <v>175</v>
      </c>
      <c r="O10" s="113" t="s">
        <v>176</v>
      </c>
      <c r="P10" s="106"/>
      <c r="Q10" s="106"/>
      <c r="R10" s="106"/>
      <c r="S10" s="106"/>
      <c r="T10" s="106"/>
      <c r="U10" s="106"/>
      <c r="V10" s="106"/>
      <c r="W10" s="106"/>
      <c r="X10" s="106"/>
      <c r="Y10" s="106"/>
    </row>
    <row r="11" spans="1:25" ht="14">
      <c r="A11" s="107" t="s">
        <v>7</v>
      </c>
      <c r="B11" s="107" t="s">
        <v>169</v>
      </c>
      <c r="C11" s="108" t="s">
        <v>200</v>
      </c>
      <c r="D11" s="109">
        <v>6426875</v>
      </c>
      <c r="E11" s="107" t="s">
        <v>171</v>
      </c>
      <c r="F11" s="109">
        <v>2561344</v>
      </c>
      <c r="G11" s="109">
        <v>908608</v>
      </c>
      <c r="H11" s="109">
        <v>1650736</v>
      </c>
      <c r="I11" s="109">
        <v>2000</v>
      </c>
      <c r="J11" s="110" t="s">
        <v>201</v>
      </c>
      <c r="K11" s="115"/>
      <c r="L11" s="108" t="s">
        <v>173</v>
      </c>
      <c r="M11" s="112" t="s">
        <v>202</v>
      </c>
      <c r="N11" s="113" t="s">
        <v>175</v>
      </c>
      <c r="O11" s="113" t="s">
        <v>176</v>
      </c>
      <c r="P11" s="106"/>
      <c r="Q11" s="106"/>
      <c r="R11" s="106"/>
      <c r="S11" s="106"/>
      <c r="T11" s="106"/>
      <c r="U11" s="106"/>
      <c r="V11" s="106"/>
      <c r="W11" s="106"/>
      <c r="X11" s="106"/>
      <c r="Y11" s="106"/>
    </row>
    <row r="12" spans="1:25" ht="14">
      <c r="A12" s="107" t="s">
        <v>7</v>
      </c>
      <c r="B12" s="107" t="s">
        <v>169</v>
      </c>
      <c r="C12" s="108" t="s">
        <v>203</v>
      </c>
      <c r="D12" s="109">
        <v>2050607</v>
      </c>
      <c r="E12" s="107" t="s">
        <v>171</v>
      </c>
      <c r="F12" s="109">
        <v>458728</v>
      </c>
      <c r="G12" s="109">
        <v>263448</v>
      </c>
      <c r="H12" s="109">
        <v>194024</v>
      </c>
      <c r="I12" s="109">
        <v>1256</v>
      </c>
      <c r="J12" s="110" t="s">
        <v>204</v>
      </c>
      <c r="K12" s="115"/>
      <c r="L12" s="108" t="s">
        <v>173</v>
      </c>
      <c r="M12" s="112" t="s">
        <v>205</v>
      </c>
      <c r="N12" s="113" t="s">
        <v>175</v>
      </c>
      <c r="O12" s="113" t="s">
        <v>176</v>
      </c>
      <c r="P12" s="106"/>
      <c r="Q12" s="106"/>
      <c r="R12" s="106"/>
      <c r="S12" s="106"/>
      <c r="T12" s="106"/>
      <c r="U12" s="106"/>
      <c r="V12" s="106"/>
      <c r="W12" s="106"/>
      <c r="X12" s="106"/>
      <c r="Y12" s="106"/>
    </row>
    <row r="13" spans="1:25" ht="14">
      <c r="A13" s="107" t="s">
        <v>7</v>
      </c>
      <c r="B13" s="107" t="s">
        <v>169</v>
      </c>
      <c r="C13" s="108" t="s">
        <v>206</v>
      </c>
      <c r="D13" s="109">
        <v>1996189</v>
      </c>
      <c r="E13" s="107" t="s">
        <v>171</v>
      </c>
      <c r="F13" s="109">
        <v>487376</v>
      </c>
      <c r="G13" s="109">
        <v>484624</v>
      </c>
      <c r="H13" s="109">
        <v>2512</v>
      </c>
      <c r="I13" s="109">
        <v>240</v>
      </c>
      <c r="J13" s="110" t="s">
        <v>207</v>
      </c>
      <c r="K13" s="115"/>
      <c r="L13" s="108" t="s">
        <v>173</v>
      </c>
      <c r="M13" s="112" t="s">
        <v>208</v>
      </c>
      <c r="N13" s="113" t="s">
        <v>175</v>
      </c>
      <c r="O13" s="113" t="s">
        <v>176</v>
      </c>
      <c r="P13" s="106"/>
      <c r="Q13" s="106"/>
      <c r="R13" s="106"/>
      <c r="S13" s="106"/>
      <c r="T13" s="106"/>
      <c r="U13" s="106"/>
      <c r="V13" s="106"/>
      <c r="W13" s="106"/>
      <c r="X13" s="106"/>
      <c r="Y13" s="106"/>
    </row>
    <row r="14" spans="1:25" ht="14">
      <c r="A14" s="107" t="s">
        <v>7</v>
      </c>
      <c r="B14" s="107" t="s">
        <v>169</v>
      </c>
      <c r="C14" s="108" t="s">
        <v>209</v>
      </c>
      <c r="D14" s="109">
        <v>1322524</v>
      </c>
      <c r="E14" s="107" t="s">
        <v>171</v>
      </c>
      <c r="F14" s="109">
        <v>557648</v>
      </c>
      <c r="G14" s="109">
        <v>488696</v>
      </c>
      <c r="H14" s="109">
        <v>68288</v>
      </c>
      <c r="I14" s="109">
        <v>664</v>
      </c>
      <c r="J14" s="110" t="s">
        <v>210</v>
      </c>
      <c r="K14" s="115"/>
      <c r="L14" s="108" t="s">
        <v>173</v>
      </c>
      <c r="M14" s="112" t="s">
        <v>174</v>
      </c>
      <c r="N14" s="113" t="s">
        <v>175</v>
      </c>
      <c r="O14" s="113" t="s">
        <v>176</v>
      </c>
      <c r="P14" s="106"/>
      <c r="Q14" s="106"/>
      <c r="R14" s="106"/>
      <c r="S14" s="106"/>
      <c r="T14" s="106"/>
      <c r="U14" s="106"/>
      <c r="V14" s="106"/>
      <c r="W14" s="106"/>
      <c r="X14" s="106"/>
      <c r="Y14" s="106"/>
    </row>
    <row r="15" spans="1:25" ht="14">
      <c r="A15" s="107" t="s">
        <v>7</v>
      </c>
      <c r="B15" s="107" t="s">
        <v>211</v>
      </c>
      <c r="C15" s="108" t="s">
        <v>212</v>
      </c>
      <c r="D15" s="109">
        <v>6212996</v>
      </c>
      <c r="E15" s="107" t="s">
        <v>171</v>
      </c>
      <c r="F15" s="109">
        <v>1660096</v>
      </c>
      <c r="G15" s="109">
        <v>1343624</v>
      </c>
      <c r="H15" s="109">
        <v>315376</v>
      </c>
      <c r="I15" s="109">
        <v>1096</v>
      </c>
      <c r="J15" s="114">
        <v>236687.38541666666</v>
      </c>
      <c r="K15" s="116" t="s">
        <v>213</v>
      </c>
      <c r="L15" s="108" t="s">
        <v>173</v>
      </c>
      <c r="M15" s="112" t="s">
        <v>214</v>
      </c>
      <c r="N15" s="113" t="s">
        <v>215</v>
      </c>
      <c r="O15" s="113" t="s">
        <v>176</v>
      </c>
      <c r="P15" s="106"/>
      <c r="Q15" s="106"/>
      <c r="R15" s="106"/>
      <c r="S15" s="106"/>
      <c r="T15" s="106"/>
      <c r="U15" s="106"/>
      <c r="V15" s="106"/>
      <c r="W15" s="106"/>
      <c r="X15" s="106"/>
      <c r="Y15" s="106"/>
    </row>
    <row r="16" spans="1:25" ht="14">
      <c r="A16" s="107" t="s">
        <v>7</v>
      </c>
      <c r="B16" s="107" t="s">
        <v>211</v>
      </c>
      <c r="C16" s="108" t="s">
        <v>216</v>
      </c>
      <c r="D16" s="109">
        <v>689643</v>
      </c>
      <c r="E16" s="107" t="s">
        <v>171</v>
      </c>
      <c r="F16" s="109">
        <v>165136</v>
      </c>
      <c r="G16" s="109">
        <v>95072</v>
      </c>
      <c r="H16" s="109">
        <v>68152</v>
      </c>
      <c r="I16" s="109">
        <v>1912</v>
      </c>
      <c r="J16" s="110" t="s">
        <v>217</v>
      </c>
      <c r="K16" s="116" t="s">
        <v>213</v>
      </c>
      <c r="L16" s="108" t="s">
        <v>173</v>
      </c>
      <c r="M16" s="112" t="s">
        <v>218</v>
      </c>
      <c r="N16" s="113" t="s">
        <v>215</v>
      </c>
      <c r="O16" s="113" t="s">
        <v>176</v>
      </c>
      <c r="P16" s="106"/>
      <c r="Q16" s="106"/>
      <c r="R16" s="106"/>
      <c r="S16" s="106"/>
      <c r="T16" s="106"/>
      <c r="U16" s="106"/>
      <c r="V16" s="106"/>
      <c r="W16" s="106"/>
      <c r="X16" s="106"/>
      <c r="Y16" s="106"/>
    </row>
    <row r="17" spans="1:25" ht="14">
      <c r="A17" s="107" t="s">
        <v>7</v>
      </c>
      <c r="B17" s="107" t="s">
        <v>211</v>
      </c>
      <c r="C17" s="108" t="s">
        <v>219</v>
      </c>
      <c r="D17" s="109">
        <v>489487</v>
      </c>
      <c r="E17" s="107" t="s">
        <v>171</v>
      </c>
      <c r="F17" s="109">
        <v>313544</v>
      </c>
      <c r="G17" s="109">
        <v>272352</v>
      </c>
      <c r="H17" s="109">
        <v>38360</v>
      </c>
      <c r="I17" s="109">
        <v>2832</v>
      </c>
      <c r="J17" s="110" t="s">
        <v>220</v>
      </c>
      <c r="K17" s="116" t="s">
        <v>213</v>
      </c>
      <c r="L17" s="108" t="s">
        <v>173</v>
      </c>
      <c r="M17" s="112" t="s">
        <v>221</v>
      </c>
      <c r="N17" s="113" t="s">
        <v>215</v>
      </c>
      <c r="O17" s="113" t="s">
        <v>176</v>
      </c>
      <c r="P17" s="106"/>
      <c r="Q17" s="106"/>
      <c r="R17" s="106"/>
      <c r="S17" s="106"/>
      <c r="T17" s="106"/>
      <c r="U17" s="106"/>
      <c r="V17" s="106"/>
      <c r="W17" s="106"/>
      <c r="X17" s="106"/>
      <c r="Y17" s="106"/>
    </row>
    <row r="18" spans="1:25" ht="14">
      <c r="A18" s="107" t="s">
        <v>7</v>
      </c>
      <c r="B18" s="107" t="s">
        <v>211</v>
      </c>
      <c r="C18" s="108" t="s">
        <v>222</v>
      </c>
      <c r="D18" s="109">
        <v>847646</v>
      </c>
      <c r="E18" s="107" t="s">
        <v>171</v>
      </c>
      <c r="F18" s="109">
        <v>379040</v>
      </c>
      <c r="G18" s="109">
        <v>268960</v>
      </c>
      <c r="H18" s="109">
        <v>105880</v>
      </c>
      <c r="I18" s="109">
        <v>4200</v>
      </c>
      <c r="J18" s="114">
        <v>240186.55694444446</v>
      </c>
      <c r="K18" s="116" t="s">
        <v>213</v>
      </c>
      <c r="L18" s="108" t="s">
        <v>173</v>
      </c>
      <c r="M18" s="112" t="s">
        <v>223</v>
      </c>
      <c r="N18" s="113" t="s">
        <v>215</v>
      </c>
      <c r="O18" s="113" t="s">
        <v>176</v>
      </c>
      <c r="P18" s="106"/>
      <c r="Q18" s="106"/>
      <c r="R18" s="106"/>
      <c r="S18" s="106"/>
      <c r="T18" s="106"/>
      <c r="U18" s="106"/>
      <c r="V18" s="106"/>
      <c r="W18" s="106"/>
      <c r="X18" s="106"/>
      <c r="Y18" s="106"/>
    </row>
    <row r="19" spans="1:25" ht="14">
      <c r="A19" s="107" t="s">
        <v>7</v>
      </c>
      <c r="B19" s="107" t="s">
        <v>211</v>
      </c>
      <c r="C19" s="108" t="s">
        <v>224</v>
      </c>
      <c r="D19" s="109">
        <v>2746916</v>
      </c>
      <c r="E19" s="107" t="s">
        <v>171</v>
      </c>
      <c r="F19" s="109">
        <v>1108304</v>
      </c>
      <c r="G19" s="109">
        <v>754136</v>
      </c>
      <c r="H19" s="109">
        <v>352504</v>
      </c>
      <c r="I19" s="109">
        <v>1664</v>
      </c>
      <c r="J19" s="114">
        <v>236687.38680555555</v>
      </c>
      <c r="K19" s="116" t="s">
        <v>213</v>
      </c>
      <c r="L19" s="108" t="s">
        <v>173</v>
      </c>
      <c r="M19" s="112" t="s">
        <v>225</v>
      </c>
      <c r="N19" s="113" t="s">
        <v>215</v>
      </c>
      <c r="O19" s="113" t="s">
        <v>176</v>
      </c>
      <c r="P19" s="106"/>
      <c r="Q19" s="106"/>
      <c r="R19" s="106"/>
      <c r="S19" s="106"/>
      <c r="T19" s="106"/>
      <c r="U19" s="106"/>
      <c r="V19" s="106"/>
      <c r="W19" s="106"/>
      <c r="X19" s="106"/>
      <c r="Y19" s="106"/>
    </row>
    <row r="20" spans="1:25" ht="14">
      <c r="A20" s="107" t="s">
        <v>7</v>
      </c>
      <c r="B20" s="107" t="s">
        <v>211</v>
      </c>
      <c r="C20" s="108" t="s">
        <v>226</v>
      </c>
      <c r="D20" s="109">
        <v>1420257</v>
      </c>
      <c r="E20" s="107" t="s">
        <v>171</v>
      </c>
      <c r="F20" s="109">
        <v>607192</v>
      </c>
      <c r="G20" s="109">
        <v>523064</v>
      </c>
      <c r="H20" s="109">
        <v>83472</v>
      </c>
      <c r="I20" s="109">
        <v>656</v>
      </c>
      <c r="J20" s="110" t="s">
        <v>227</v>
      </c>
      <c r="K20" s="116" t="s">
        <v>213</v>
      </c>
      <c r="L20" s="108" t="s">
        <v>173</v>
      </c>
      <c r="M20" s="112" t="s">
        <v>228</v>
      </c>
      <c r="N20" s="113" t="s">
        <v>229</v>
      </c>
      <c r="O20" s="113" t="s">
        <v>176</v>
      </c>
      <c r="P20" s="106"/>
      <c r="Q20" s="106"/>
      <c r="R20" s="106"/>
      <c r="S20" s="106"/>
      <c r="T20" s="106"/>
      <c r="U20" s="106"/>
      <c r="V20" s="106"/>
      <c r="W20" s="106"/>
      <c r="X20" s="106"/>
      <c r="Y20" s="106"/>
    </row>
    <row r="21" spans="1:25" ht="15.75" customHeight="1">
      <c r="A21" s="107" t="s">
        <v>7</v>
      </c>
      <c r="B21" s="107" t="s">
        <v>211</v>
      </c>
      <c r="C21" s="108" t="s">
        <v>230</v>
      </c>
      <c r="D21" s="109">
        <v>1416749</v>
      </c>
      <c r="E21" s="107" t="s">
        <v>171</v>
      </c>
      <c r="F21" s="109">
        <v>301336</v>
      </c>
      <c r="G21" s="109">
        <v>297176</v>
      </c>
      <c r="H21" s="109">
        <v>2968</v>
      </c>
      <c r="I21" s="109">
        <v>1192</v>
      </c>
      <c r="J21" s="114">
        <v>235617.76041666666</v>
      </c>
      <c r="K21" s="116" t="s">
        <v>213</v>
      </c>
      <c r="L21" s="108" t="s">
        <v>173</v>
      </c>
      <c r="M21" s="112" t="s">
        <v>231</v>
      </c>
      <c r="N21" s="113" t="s">
        <v>229</v>
      </c>
      <c r="O21" s="113" t="s">
        <v>176</v>
      </c>
      <c r="P21" s="106"/>
      <c r="Q21" s="106"/>
      <c r="R21" s="106"/>
      <c r="S21" s="106"/>
      <c r="T21" s="106"/>
      <c r="U21" s="106"/>
      <c r="V21" s="106"/>
      <c r="W21" s="106"/>
      <c r="X21" s="106"/>
      <c r="Y21" s="106"/>
    </row>
    <row r="22" spans="1:25" ht="15.75" customHeight="1">
      <c r="A22" s="107" t="s">
        <v>7</v>
      </c>
      <c r="B22" s="107" t="s">
        <v>211</v>
      </c>
      <c r="C22" s="108" t="s">
        <v>232</v>
      </c>
      <c r="D22" s="109">
        <v>256</v>
      </c>
      <c r="E22" s="107" t="s">
        <v>171</v>
      </c>
      <c r="F22" s="109">
        <v>200</v>
      </c>
      <c r="G22" s="109">
        <v>48</v>
      </c>
      <c r="H22" s="109">
        <v>16</v>
      </c>
      <c r="I22" s="109">
        <v>136</v>
      </c>
      <c r="J22" s="114">
        <v>235617.76041666666</v>
      </c>
      <c r="K22" s="115"/>
      <c r="L22" s="108" t="s">
        <v>173</v>
      </c>
      <c r="M22" s="112" t="s">
        <v>233</v>
      </c>
      <c r="N22" s="113" t="s">
        <v>215</v>
      </c>
      <c r="O22" s="113" t="s">
        <v>176</v>
      </c>
      <c r="P22" s="106"/>
      <c r="Q22" s="106"/>
      <c r="R22" s="106"/>
      <c r="S22" s="106"/>
      <c r="T22" s="106"/>
      <c r="U22" s="106"/>
      <c r="V22" s="106"/>
      <c r="W22" s="106"/>
      <c r="X22" s="106"/>
      <c r="Y22" s="106"/>
    </row>
    <row r="23" spans="1:25" ht="15.75" customHeight="1">
      <c r="A23" s="107" t="s">
        <v>7</v>
      </c>
      <c r="B23" s="107" t="s">
        <v>211</v>
      </c>
      <c r="C23" s="108" t="s">
        <v>234</v>
      </c>
      <c r="D23" s="109">
        <v>199</v>
      </c>
      <c r="E23" s="107" t="s">
        <v>171</v>
      </c>
      <c r="F23" s="109">
        <v>88</v>
      </c>
      <c r="G23" s="109">
        <v>32</v>
      </c>
      <c r="H23" s="109">
        <v>16</v>
      </c>
      <c r="I23" s="109">
        <v>40</v>
      </c>
      <c r="J23" s="110" t="s">
        <v>235</v>
      </c>
      <c r="K23" s="115"/>
      <c r="L23" s="108" t="s">
        <v>173</v>
      </c>
      <c r="M23" s="112"/>
      <c r="N23" s="113"/>
      <c r="O23" s="117" t="s">
        <v>236</v>
      </c>
      <c r="P23" s="106"/>
      <c r="Q23" s="106"/>
      <c r="R23" s="106"/>
      <c r="S23" s="106"/>
      <c r="T23" s="106"/>
      <c r="U23" s="106"/>
      <c r="V23" s="106"/>
      <c r="W23" s="106"/>
      <c r="X23" s="106"/>
      <c r="Y23" s="106"/>
    </row>
    <row r="24" spans="1:25" ht="15.75" customHeight="1">
      <c r="A24" s="107" t="s">
        <v>7</v>
      </c>
      <c r="B24" s="107" t="s">
        <v>211</v>
      </c>
      <c r="C24" s="108" t="s">
        <v>237</v>
      </c>
      <c r="D24" s="109">
        <v>37</v>
      </c>
      <c r="E24" s="107" t="s">
        <v>171</v>
      </c>
      <c r="F24" s="109">
        <v>72</v>
      </c>
      <c r="G24" s="109">
        <v>8</v>
      </c>
      <c r="H24" s="109">
        <v>8</v>
      </c>
      <c r="I24" s="109">
        <v>56</v>
      </c>
      <c r="J24" s="114">
        <v>237842.54027777776</v>
      </c>
      <c r="K24" s="115"/>
      <c r="L24" s="108" t="s">
        <v>173</v>
      </c>
      <c r="M24" s="112" t="s">
        <v>238</v>
      </c>
      <c r="N24" s="113" t="s">
        <v>215</v>
      </c>
      <c r="O24" s="113" t="s">
        <v>176</v>
      </c>
      <c r="P24" s="106"/>
      <c r="Q24" s="106"/>
      <c r="R24" s="106"/>
      <c r="S24" s="106"/>
      <c r="T24" s="106"/>
      <c r="U24" s="106"/>
      <c r="V24" s="106"/>
      <c r="W24" s="106"/>
      <c r="X24" s="106"/>
      <c r="Y24" s="106"/>
    </row>
    <row r="25" spans="1:25" ht="15.75" customHeight="1">
      <c r="A25" s="107" t="s">
        <v>7</v>
      </c>
      <c r="B25" s="107" t="s">
        <v>211</v>
      </c>
      <c r="C25" s="108" t="s">
        <v>239</v>
      </c>
      <c r="D25" s="109">
        <v>12</v>
      </c>
      <c r="E25" s="107" t="s">
        <v>171</v>
      </c>
      <c r="F25" s="109">
        <v>72</v>
      </c>
      <c r="G25" s="109">
        <v>8</v>
      </c>
      <c r="H25" s="109">
        <v>8</v>
      </c>
      <c r="I25" s="109">
        <v>56</v>
      </c>
      <c r="J25" s="114">
        <v>235617.76041666666</v>
      </c>
      <c r="K25" s="115"/>
      <c r="L25" s="108" t="s">
        <v>173</v>
      </c>
      <c r="M25" s="112" t="s">
        <v>240</v>
      </c>
      <c r="N25" s="113" t="s">
        <v>215</v>
      </c>
      <c r="O25" s="113" t="s">
        <v>176</v>
      </c>
      <c r="P25" s="106"/>
      <c r="Q25" s="106"/>
      <c r="R25" s="106"/>
      <c r="S25" s="106"/>
      <c r="T25" s="106"/>
      <c r="U25" s="106"/>
      <c r="V25" s="106"/>
      <c r="W25" s="106"/>
      <c r="X25" s="106"/>
      <c r="Y25" s="106"/>
    </row>
    <row r="26" spans="1:25" ht="15.75" customHeight="1">
      <c r="A26" s="107" t="s">
        <v>7</v>
      </c>
      <c r="B26" s="107" t="s">
        <v>211</v>
      </c>
      <c r="C26" s="108" t="s">
        <v>241</v>
      </c>
      <c r="D26" s="109">
        <v>11</v>
      </c>
      <c r="E26" s="107" t="s">
        <v>171</v>
      </c>
      <c r="F26" s="109">
        <v>72</v>
      </c>
      <c r="G26" s="109">
        <v>8</v>
      </c>
      <c r="H26" s="109">
        <v>8</v>
      </c>
      <c r="I26" s="109">
        <v>56</v>
      </c>
      <c r="J26" s="110" t="s">
        <v>242</v>
      </c>
      <c r="K26" s="115"/>
      <c r="L26" s="108" t="s">
        <v>173</v>
      </c>
      <c r="M26" s="112" t="s">
        <v>243</v>
      </c>
      <c r="N26" s="113" t="s">
        <v>215</v>
      </c>
      <c r="O26" s="113" t="s">
        <v>176</v>
      </c>
      <c r="P26" s="106"/>
      <c r="Q26" s="106"/>
      <c r="R26" s="106"/>
      <c r="S26" s="106"/>
      <c r="T26" s="106"/>
      <c r="U26" s="106"/>
      <c r="V26" s="106"/>
      <c r="W26" s="106"/>
      <c r="X26" s="106"/>
      <c r="Y26" s="106"/>
    </row>
    <row r="27" spans="1:25" ht="15.75" customHeight="1">
      <c r="A27" s="107" t="s">
        <v>7</v>
      </c>
      <c r="B27" s="107" t="s">
        <v>211</v>
      </c>
      <c r="C27" s="108" t="s">
        <v>244</v>
      </c>
      <c r="D27" s="109">
        <v>101254</v>
      </c>
      <c r="E27" s="107" t="s">
        <v>171</v>
      </c>
      <c r="F27" s="109">
        <v>22856</v>
      </c>
      <c r="G27" s="109">
        <v>22360</v>
      </c>
      <c r="H27" s="109">
        <v>328</v>
      </c>
      <c r="I27" s="109">
        <v>168</v>
      </c>
      <c r="J27" s="114">
        <v>242129.59166666667</v>
      </c>
      <c r="K27" s="115"/>
      <c r="L27" s="108" t="s">
        <v>173</v>
      </c>
      <c r="M27" s="112" t="s">
        <v>245</v>
      </c>
      <c r="N27" s="113"/>
      <c r="O27" s="113" t="s">
        <v>176</v>
      </c>
      <c r="P27" s="106"/>
      <c r="Q27" s="106"/>
      <c r="R27" s="106"/>
      <c r="S27" s="106"/>
      <c r="T27" s="106"/>
      <c r="U27" s="106"/>
      <c r="V27" s="106"/>
      <c r="W27" s="106"/>
      <c r="X27" s="106"/>
      <c r="Y27" s="106"/>
    </row>
    <row r="28" spans="1:25" ht="15.75" customHeight="1">
      <c r="A28" s="107" t="s">
        <v>7</v>
      </c>
      <c r="B28" s="107" t="s">
        <v>211</v>
      </c>
      <c r="C28" s="108" t="s">
        <v>246</v>
      </c>
      <c r="D28" s="109">
        <v>1326659</v>
      </c>
      <c r="E28" s="107" t="s">
        <v>171</v>
      </c>
      <c r="F28" s="109">
        <v>322024</v>
      </c>
      <c r="G28" s="109">
        <v>161136</v>
      </c>
      <c r="H28" s="109">
        <v>158464</v>
      </c>
      <c r="I28" s="109">
        <v>2424</v>
      </c>
      <c r="J28" s="110" t="s">
        <v>247</v>
      </c>
      <c r="K28" s="115"/>
      <c r="L28" s="108" t="s">
        <v>173</v>
      </c>
      <c r="M28" s="112" t="s">
        <v>248</v>
      </c>
      <c r="N28" s="113" t="s">
        <v>215</v>
      </c>
      <c r="O28" s="113" t="s">
        <v>176</v>
      </c>
      <c r="P28" s="106"/>
      <c r="Q28" s="106"/>
      <c r="R28" s="106"/>
      <c r="S28" s="106"/>
      <c r="T28" s="106"/>
      <c r="U28" s="106"/>
      <c r="V28" s="106"/>
      <c r="W28" s="106"/>
      <c r="X28" s="106"/>
      <c r="Y28" s="106"/>
    </row>
    <row r="29" spans="1:25" ht="15.75" customHeight="1">
      <c r="A29" s="107" t="s">
        <v>7</v>
      </c>
      <c r="B29" s="107" t="s">
        <v>211</v>
      </c>
      <c r="C29" s="108" t="s">
        <v>249</v>
      </c>
      <c r="D29" s="109">
        <v>39</v>
      </c>
      <c r="E29" s="107" t="s">
        <v>171</v>
      </c>
      <c r="F29" s="109">
        <v>72</v>
      </c>
      <c r="G29" s="109">
        <v>8</v>
      </c>
      <c r="H29" s="109">
        <v>8</v>
      </c>
      <c r="I29" s="109">
        <v>56</v>
      </c>
      <c r="J29" s="114">
        <v>239635.44583333333</v>
      </c>
      <c r="K29" s="115"/>
      <c r="L29" s="108" t="s">
        <v>173</v>
      </c>
      <c r="M29" s="112" t="s">
        <v>250</v>
      </c>
      <c r="N29" s="113"/>
      <c r="O29" s="117" t="s">
        <v>236</v>
      </c>
      <c r="P29" s="106"/>
      <c r="Q29" s="106"/>
      <c r="R29" s="106"/>
      <c r="S29" s="106"/>
      <c r="T29" s="106"/>
      <c r="U29" s="106"/>
      <c r="V29" s="106"/>
      <c r="W29" s="106"/>
      <c r="X29" s="106"/>
      <c r="Y29" s="106"/>
    </row>
    <row r="30" spans="1:25" ht="15.75" customHeight="1">
      <c r="A30" s="107" t="s">
        <v>7</v>
      </c>
      <c r="B30" s="107" t="s">
        <v>251</v>
      </c>
      <c r="C30" s="108" t="s">
        <v>252</v>
      </c>
      <c r="D30" s="118"/>
      <c r="E30" s="118"/>
      <c r="F30" s="118"/>
      <c r="G30" s="118"/>
      <c r="H30" s="118"/>
      <c r="I30" s="118"/>
      <c r="J30" s="119"/>
      <c r="K30" s="115"/>
      <c r="L30" s="108" t="s">
        <v>173</v>
      </c>
      <c r="M30" s="112" t="s">
        <v>253</v>
      </c>
      <c r="N30" s="113" t="s">
        <v>215</v>
      </c>
      <c r="O30" s="113" t="s">
        <v>176</v>
      </c>
      <c r="P30" s="106"/>
      <c r="Q30" s="106"/>
      <c r="R30" s="106"/>
      <c r="S30" s="106"/>
      <c r="T30" s="106"/>
      <c r="U30" s="106"/>
      <c r="V30" s="106"/>
      <c r="W30" s="106"/>
      <c r="X30" s="106"/>
      <c r="Y30" s="106"/>
    </row>
    <row r="31" spans="1:25" ht="15.75" customHeight="1">
      <c r="A31" s="107" t="s">
        <v>7</v>
      </c>
      <c r="B31" s="107" t="s">
        <v>251</v>
      </c>
      <c r="C31" s="108" t="s">
        <v>254</v>
      </c>
      <c r="D31" s="118"/>
      <c r="E31" s="118"/>
      <c r="F31" s="118"/>
      <c r="G31" s="118"/>
      <c r="H31" s="118"/>
      <c r="I31" s="118"/>
      <c r="J31" s="120"/>
      <c r="K31" s="115"/>
      <c r="L31" s="108" t="s">
        <v>173</v>
      </c>
      <c r="M31" s="121"/>
      <c r="N31" s="113" t="s">
        <v>255</v>
      </c>
      <c r="O31" s="113" t="s">
        <v>176</v>
      </c>
      <c r="P31" s="106"/>
      <c r="Q31" s="106"/>
      <c r="R31" s="106"/>
      <c r="S31" s="106"/>
      <c r="T31" s="106"/>
      <c r="U31" s="106"/>
      <c r="V31" s="106"/>
      <c r="W31" s="106"/>
      <c r="X31" s="106"/>
      <c r="Y31" s="106"/>
    </row>
    <row r="32" spans="1:25" ht="15.75" customHeight="1">
      <c r="A32" s="108" t="s">
        <v>7</v>
      </c>
      <c r="B32" s="108" t="s">
        <v>251</v>
      </c>
      <c r="C32" s="108" t="s">
        <v>256</v>
      </c>
      <c r="D32" s="122">
        <v>18251982</v>
      </c>
      <c r="E32" s="123"/>
      <c r="F32" s="123"/>
      <c r="G32" s="123"/>
      <c r="H32" s="123"/>
      <c r="I32" s="123"/>
      <c r="J32" s="124"/>
      <c r="K32" s="125"/>
      <c r="L32" s="108" t="s">
        <v>173</v>
      </c>
      <c r="M32" s="112" t="s">
        <v>257</v>
      </c>
      <c r="N32" s="113" t="s">
        <v>215</v>
      </c>
      <c r="O32" s="113" t="s">
        <v>176</v>
      </c>
      <c r="P32" s="121"/>
      <c r="Q32" s="121"/>
      <c r="R32" s="121"/>
      <c r="S32" s="121"/>
      <c r="T32" s="121"/>
      <c r="U32" s="121"/>
      <c r="V32" s="121"/>
      <c r="W32" s="121"/>
      <c r="X32" s="121"/>
      <c r="Y32" s="121"/>
    </row>
    <row r="33" spans="1:25" ht="15.75" customHeight="1">
      <c r="A33" s="107" t="s">
        <v>7</v>
      </c>
      <c r="B33" s="107" t="s">
        <v>251</v>
      </c>
      <c r="C33" s="108" t="s">
        <v>258</v>
      </c>
      <c r="D33" s="126">
        <v>3035015</v>
      </c>
      <c r="E33" s="118"/>
      <c r="F33" s="118"/>
      <c r="G33" s="118"/>
      <c r="H33" s="118"/>
      <c r="I33" s="118"/>
      <c r="J33" s="120"/>
      <c r="K33" s="115"/>
      <c r="L33" s="108" t="s">
        <v>173</v>
      </c>
      <c r="M33" s="112" t="s">
        <v>259</v>
      </c>
      <c r="N33" s="113" t="s">
        <v>215</v>
      </c>
      <c r="O33" s="113" t="s">
        <v>176</v>
      </c>
      <c r="P33" s="106"/>
      <c r="Q33" s="106"/>
      <c r="R33" s="106"/>
      <c r="S33" s="106"/>
      <c r="T33" s="106"/>
      <c r="U33" s="106"/>
      <c r="V33" s="106"/>
      <c r="W33" s="106"/>
      <c r="X33" s="106"/>
      <c r="Y33" s="106"/>
    </row>
    <row r="34" spans="1:25" ht="15.75" customHeight="1">
      <c r="A34" s="107" t="s">
        <v>7</v>
      </c>
      <c r="B34" s="127" t="s">
        <v>251</v>
      </c>
      <c r="C34" s="128" t="s">
        <v>260</v>
      </c>
      <c r="D34" s="128">
        <v>2471919</v>
      </c>
      <c r="E34" s="129"/>
      <c r="F34" s="129"/>
      <c r="G34" s="129"/>
      <c r="H34" s="129"/>
      <c r="I34" s="129"/>
      <c r="J34" s="130"/>
      <c r="K34" s="131"/>
      <c r="L34" s="132" t="s">
        <v>173</v>
      </c>
      <c r="M34" s="112" t="s">
        <v>259</v>
      </c>
      <c r="N34" s="113" t="s">
        <v>215</v>
      </c>
      <c r="O34" s="113" t="s">
        <v>176</v>
      </c>
      <c r="P34" s="106"/>
      <c r="Q34" s="106"/>
      <c r="R34" s="106"/>
      <c r="S34" s="106"/>
      <c r="T34" s="106"/>
      <c r="U34" s="106"/>
      <c r="V34" s="106"/>
      <c r="W34" s="106"/>
      <c r="X34" s="106"/>
      <c r="Y34" s="106"/>
    </row>
    <row r="35" spans="1:25" ht="15.75" customHeight="1">
      <c r="A35" s="107" t="s">
        <v>7</v>
      </c>
      <c r="B35" s="107" t="s">
        <v>251</v>
      </c>
      <c r="C35" s="133" t="s">
        <v>261</v>
      </c>
      <c r="D35" s="126">
        <v>13182197</v>
      </c>
      <c r="E35" s="118"/>
      <c r="F35" s="118"/>
      <c r="G35" s="118"/>
      <c r="H35" s="118"/>
      <c r="I35" s="118"/>
      <c r="J35" s="120"/>
      <c r="K35" s="115"/>
      <c r="L35" s="108" t="s">
        <v>262</v>
      </c>
      <c r="M35" s="112" t="s">
        <v>257</v>
      </c>
      <c r="N35" s="113" t="s">
        <v>215</v>
      </c>
      <c r="O35" s="113" t="s">
        <v>176</v>
      </c>
      <c r="P35" s="106"/>
      <c r="Q35" s="106"/>
      <c r="R35" s="106"/>
      <c r="S35" s="106"/>
      <c r="T35" s="106"/>
      <c r="U35" s="106"/>
      <c r="V35" s="106"/>
      <c r="W35" s="106"/>
      <c r="X35" s="106"/>
      <c r="Y35" s="106"/>
    </row>
    <row r="36" spans="1:25" ht="15.75" customHeight="1">
      <c r="A36" s="107" t="s">
        <v>7</v>
      </c>
      <c r="B36" s="107" t="s">
        <v>251</v>
      </c>
      <c r="C36" s="108" t="s">
        <v>263</v>
      </c>
      <c r="D36" s="126">
        <v>18575889</v>
      </c>
      <c r="E36" s="118"/>
      <c r="F36" s="118"/>
      <c r="G36" s="118"/>
      <c r="H36" s="118"/>
      <c r="I36" s="118"/>
      <c r="J36" s="120"/>
      <c r="K36" s="115"/>
      <c r="L36" s="108" t="s">
        <v>173</v>
      </c>
      <c r="M36" s="112" t="s">
        <v>264</v>
      </c>
      <c r="N36" s="113" t="s">
        <v>215</v>
      </c>
      <c r="O36" s="113" t="s">
        <v>176</v>
      </c>
      <c r="P36" s="106"/>
      <c r="Q36" s="106"/>
      <c r="R36" s="106"/>
      <c r="S36" s="106"/>
      <c r="T36" s="106"/>
      <c r="U36" s="106"/>
      <c r="V36" s="106"/>
      <c r="W36" s="106"/>
      <c r="X36" s="106"/>
      <c r="Y36" s="106"/>
    </row>
    <row r="37" spans="1:25" ht="15.75" customHeight="1">
      <c r="A37" s="107" t="s">
        <v>7</v>
      </c>
      <c r="B37" s="107" t="s">
        <v>251</v>
      </c>
      <c r="C37" s="108" t="s">
        <v>265</v>
      </c>
      <c r="D37" s="126">
        <v>17728446</v>
      </c>
      <c r="E37" s="118"/>
      <c r="F37" s="118"/>
      <c r="G37" s="118"/>
      <c r="H37" s="118"/>
      <c r="I37" s="134"/>
      <c r="J37" s="120"/>
      <c r="K37" s="115"/>
      <c r="L37" s="108" t="s">
        <v>173</v>
      </c>
      <c r="M37" s="121"/>
      <c r="N37" s="113" t="s">
        <v>215</v>
      </c>
      <c r="O37" s="113" t="s">
        <v>176</v>
      </c>
      <c r="P37" s="106"/>
      <c r="Q37" s="106"/>
      <c r="R37" s="106"/>
      <c r="S37" s="106"/>
      <c r="T37" s="106"/>
      <c r="U37" s="106"/>
      <c r="V37" s="106"/>
      <c r="W37" s="106"/>
      <c r="X37" s="106"/>
      <c r="Y37" s="106"/>
    </row>
    <row r="38" spans="1:25" ht="15.75" customHeight="1">
      <c r="A38" s="107" t="s">
        <v>7</v>
      </c>
      <c r="B38" s="107" t="s">
        <v>266</v>
      </c>
      <c r="C38" s="108" t="s">
        <v>267</v>
      </c>
      <c r="D38" s="109">
        <v>169</v>
      </c>
      <c r="E38" s="107" t="s">
        <v>171</v>
      </c>
      <c r="F38" s="109">
        <v>200</v>
      </c>
      <c r="G38" s="109">
        <v>24</v>
      </c>
      <c r="H38" s="109">
        <v>16</v>
      </c>
      <c r="I38" s="109">
        <v>160</v>
      </c>
      <c r="J38" s="110" t="s">
        <v>268</v>
      </c>
      <c r="K38" s="115"/>
      <c r="L38" s="108" t="s">
        <v>173</v>
      </c>
      <c r="M38" s="112" t="s">
        <v>269</v>
      </c>
      <c r="N38" s="113" t="s">
        <v>215</v>
      </c>
      <c r="O38" s="113" t="s">
        <v>176</v>
      </c>
      <c r="P38" s="106"/>
      <c r="Q38" s="106"/>
      <c r="R38" s="106"/>
      <c r="S38" s="106"/>
      <c r="T38" s="106"/>
      <c r="U38" s="106"/>
      <c r="V38" s="106"/>
      <c r="W38" s="106"/>
      <c r="X38" s="106"/>
      <c r="Y38" s="106"/>
    </row>
    <row r="39" spans="1:25" ht="15.75" customHeight="1">
      <c r="A39" s="107" t="s">
        <v>7</v>
      </c>
      <c r="B39" s="107" t="s">
        <v>266</v>
      </c>
      <c r="C39" s="108" t="s">
        <v>270</v>
      </c>
      <c r="D39" s="109">
        <v>8723</v>
      </c>
      <c r="E39" s="107" t="s">
        <v>171</v>
      </c>
      <c r="F39" s="109">
        <v>4560</v>
      </c>
      <c r="G39" s="109">
        <v>4072</v>
      </c>
      <c r="H39" s="109">
        <v>296</v>
      </c>
      <c r="I39" s="109">
        <v>192</v>
      </c>
      <c r="J39" s="114">
        <v>240548.71597222221</v>
      </c>
      <c r="K39" s="115"/>
      <c r="L39" s="108" t="s">
        <v>173</v>
      </c>
      <c r="M39" s="112" t="s">
        <v>271</v>
      </c>
      <c r="N39" s="113" t="s">
        <v>215</v>
      </c>
      <c r="O39" s="113" t="s">
        <v>176</v>
      </c>
      <c r="P39" s="106"/>
      <c r="Q39" s="106"/>
      <c r="R39" s="106"/>
      <c r="S39" s="106"/>
      <c r="T39" s="106"/>
      <c r="U39" s="106"/>
      <c r="V39" s="106"/>
      <c r="W39" s="106"/>
      <c r="X39" s="106"/>
      <c r="Y39" s="106"/>
    </row>
    <row r="40" spans="1:25" ht="15.75" customHeight="1">
      <c r="A40" s="107" t="s">
        <v>7</v>
      </c>
      <c r="B40" s="107" t="s">
        <v>266</v>
      </c>
      <c r="C40" s="108" t="s">
        <v>272</v>
      </c>
      <c r="D40" s="109">
        <v>36</v>
      </c>
      <c r="E40" s="107" t="s">
        <v>171</v>
      </c>
      <c r="F40" s="109">
        <v>72</v>
      </c>
      <c r="G40" s="109">
        <v>16</v>
      </c>
      <c r="H40" s="109">
        <v>16</v>
      </c>
      <c r="I40" s="109">
        <v>40</v>
      </c>
      <c r="J40" s="110" t="s">
        <v>273</v>
      </c>
      <c r="K40" s="115"/>
      <c r="L40" s="108" t="s">
        <v>173</v>
      </c>
      <c r="M40" s="112" t="s">
        <v>274</v>
      </c>
      <c r="N40" s="113" t="s">
        <v>215</v>
      </c>
      <c r="O40" s="113" t="s">
        <v>176</v>
      </c>
      <c r="P40" s="106"/>
      <c r="Q40" s="106"/>
      <c r="R40" s="106"/>
      <c r="S40" s="106"/>
      <c r="T40" s="106"/>
      <c r="U40" s="106"/>
      <c r="V40" s="106"/>
      <c r="W40" s="106"/>
      <c r="X40" s="106"/>
      <c r="Y40" s="106"/>
    </row>
    <row r="41" spans="1:25" ht="15.75" customHeight="1">
      <c r="A41" s="107" t="s">
        <v>7</v>
      </c>
      <c r="B41" s="107" t="s">
        <v>266</v>
      </c>
      <c r="C41" s="108" t="s">
        <v>275</v>
      </c>
      <c r="D41" s="109">
        <v>77</v>
      </c>
      <c r="E41" s="107" t="s">
        <v>171</v>
      </c>
      <c r="F41" s="109">
        <v>72</v>
      </c>
      <c r="G41" s="109">
        <v>8</v>
      </c>
      <c r="H41" s="109">
        <v>8</v>
      </c>
      <c r="I41" s="109">
        <v>56</v>
      </c>
      <c r="J41" s="114">
        <v>238818.84652777779</v>
      </c>
      <c r="K41" s="115"/>
      <c r="L41" s="108" t="s">
        <v>173</v>
      </c>
      <c r="M41" s="112" t="s">
        <v>276</v>
      </c>
      <c r="N41" s="113" t="s">
        <v>215</v>
      </c>
      <c r="O41" s="113" t="s">
        <v>176</v>
      </c>
      <c r="P41" s="106"/>
      <c r="Q41" s="106"/>
      <c r="R41" s="106"/>
      <c r="S41" s="106"/>
      <c r="T41" s="106"/>
      <c r="U41" s="106"/>
      <c r="V41" s="106"/>
      <c r="W41" s="106"/>
      <c r="X41" s="106"/>
      <c r="Y41" s="106"/>
    </row>
    <row r="42" spans="1:25" ht="15.75" customHeight="1">
      <c r="A42" s="107" t="s">
        <v>7</v>
      </c>
      <c r="B42" s="107" t="s">
        <v>266</v>
      </c>
      <c r="C42" s="108" t="s">
        <v>277</v>
      </c>
      <c r="D42" s="109">
        <v>797</v>
      </c>
      <c r="E42" s="107" t="s">
        <v>171</v>
      </c>
      <c r="F42" s="109">
        <v>672</v>
      </c>
      <c r="G42" s="109">
        <v>384</v>
      </c>
      <c r="H42" s="109">
        <v>64</v>
      </c>
      <c r="I42" s="109">
        <v>224</v>
      </c>
      <c r="J42" s="110" t="s">
        <v>278</v>
      </c>
      <c r="K42" s="115"/>
      <c r="L42" s="108" t="s">
        <v>173</v>
      </c>
      <c r="M42" s="112" t="s">
        <v>279</v>
      </c>
      <c r="N42" s="113" t="s">
        <v>215</v>
      </c>
      <c r="O42" s="113" t="s">
        <v>176</v>
      </c>
      <c r="P42" s="106"/>
      <c r="Q42" s="106"/>
      <c r="R42" s="106"/>
      <c r="S42" s="106"/>
      <c r="T42" s="106"/>
      <c r="U42" s="106"/>
      <c r="V42" s="106"/>
      <c r="W42" s="106"/>
      <c r="X42" s="106"/>
      <c r="Y42" s="106"/>
    </row>
    <row r="43" spans="1:25" ht="15.75" customHeight="1">
      <c r="A43" s="107" t="s">
        <v>7</v>
      </c>
      <c r="B43" s="107" t="s">
        <v>266</v>
      </c>
      <c r="C43" s="108" t="s">
        <v>280</v>
      </c>
      <c r="D43" s="109">
        <v>16</v>
      </c>
      <c r="E43" s="107" t="s">
        <v>171</v>
      </c>
      <c r="F43" s="109">
        <v>72</v>
      </c>
      <c r="G43" s="109">
        <v>8</v>
      </c>
      <c r="H43" s="109">
        <v>8</v>
      </c>
      <c r="I43" s="109">
        <v>56</v>
      </c>
      <c r="J43" s="110" t="s">
        <v>281</v>
      </c>
      <c r="K43" s="115"/>
      <c r="L43" s="108" t="s">
        <v>173</v>
      </c>
      <c r="M43" s="112" t="s">
        <v>282</v>
      </c>
      <c r="N43" s="113" t="s">
        <v>215</v>
      </c>
      <c r="O43" s="113" t="s">
        <v>176</v>
      </c>
      <c r="P43" s="106"/>
      <c r="Q43" s="106"/>
      <c r="R43" s="106"/>
      <c r="S43" s="106"/>
      <c r="T43" s="106"/>
      <c r="U43" s="106"/>
      <c r="V43" s="106"/>
      <c r="W43" s="106"/>
      <c r="X43" s="106"/>
      <c r="Y43" s="106"/>
    </row>
    <row r="44" spans="1:25" ht="15.75" customHeight="1">
      <c r="A44" s="107" t="s">
        <v>7</v>
      </c>
      <c r="B44" s="107" t="s">
        <v>266</v>
      </c>
      <c r="C44" s="108" t="s">
        <v>283</v>
      </c>
      <c r="D44" s="109">
        <v>6375</v>
      </c>
      <c r="E44" s="107" t="s">
        <v>171</v>
      </c>
      <c r="F44" s="109">
        <v>2144</v>
      </c>
      <c r="G44" s="109">
        <v>1232</v>
      </c>
      <c r="H44" s="109">
        <v>296</v>
      </c>
      <c r="I44" s="109">
        <v>616</v>
      </c>
      <c r="J44" s="110" t="s">
        <v>284</v>
      </c>
      <c r="K44" s="115"/>
      <c r="L44" s="108" t="s">
        <v>173</v>
      </c>
      <c r="M44" s="112" t="s">
        <v>285</v>
      </c>
      <c r="N44" s="113" t="s">
        <v>215</v>
      </c>
      <c r="O44" s="113" t="s">
        <v>176</v>
      </c>
      <c r="P44" s="106"/>
      <c r="Q44" s="106"/>
      <c r="R44" s="106"/>
      <c r="S44" s="106"/>
      <c r="T44" s="106"/>
      <c r="U44" s="106"/>
      <c r="V44" s="106"/>
      <c r="W44" s="106"/>
      <c r="X44" s="106"/>
      <c r="Y44" s="106"/>
    </row>
    <row r="45" spans="1:25" ht="15.75" customHeight="1">
      <c r="A45" s="107" t="s">
        <v>7</v>
      </c>
      <c r="B45" s="107" t="s">
        <v>266</v>
      </c>
      <c r="C45" s="108" t="s">
        <v>286</v>
      </c>
      <c r="D45" s="109">
        <v>4719</v>
      </c>
      <c r="E45" s="107" t="s">
        <v>171</v>
      </c>
      <c r="F45" s="109">
        <v>4992</v>
      </c>
      <c r="G45" s="109">
        <v>3656</v>
      </c>
      <c r="H45" s="109">
        <v>416</v>
      </c>
      <c r="I45" s="109">
        <v>920</v>
      </c>
      <c r="J45" s="114">
        <v>239816.62430555557</v>
      </c>
      <c r="K45" s="115"/>
      <c r="L45" s="108" t="s">
        <v>173</v>
      </c>
      <c r="M45" s="112" t="s">
        <v>287</v>
      </c>
      <c r="N45" s="113" t="s">
        <v>215</v>
      </c>
      <c r="O45" s="113" t="s">
        <v>176</v>
      </c>
      <c r="P45" s="106"/>
      <c r="Q45" s="106"/>
      <c r="R45" s="106"/>
      <c r="S45" s="106"/>
      <c r="T45" s="106"/>
      <c r="U45" s="106"/>
      <c r="V45" s="106"/>
      <c r="W45" s="106"/>
      <c r="X45" s="106"/>
      <c r="Y45" s="106"/>
    </row>
    <row r="46" spans="1:25" ht="15.75" customHeight="1">
      <c r="A46" s="107" t="s">
        <v>7</v>
      </c>
      <c r="B46" s="107" t="s">
        <v>266</v>
      </c>
      <c r="C46" s="108" t="s">
        <v>288</v>
      </c>
      <c r="D46" s="109">
        <v>30</v>
      </c>
      <c r="E46" s="107" t="s">
        <v>171</v>
      </c>
      <c r="F46" s="109">
        <v>72</v>
      </c>
      <c r="G46" s="109">
        <v>8</v>
      </c>
      <c r="H46" s="109">
        <v>8</v>
      </c>
      <c r="I46" s="109">
        <v>56</v>
      </c>
      <c r="J46" s="110" t="s">
        <v>289</v>
      </c>
      <c r="K46" s="115"/>
      <c r="L46" s="108" t="s">
        <v>173</v>
      </c>
      <c r="M46" s="112" t="s">
        <v>290</v>
      </c>
      <c r="N46" s="113" t="s">
        <v>215</v>
      </c>
      <c r="O46" s="113" t="s">
        <v>176</v>
      </c>
      <c r="P46" s="106"/>
      <c r="Q46" s="106"/>
      <c r="R46" s="106"/>
      <c r="S46" s="106"/>
      <c r="T46" s="106"/>
      <c r="U46" s="106"/>
      <c r="V46" s="106"/>
      <c r="W46" s="106"/>
      <c r="X46" s="106"/>
      <c r="Y46" s="106"/>
    </row>
    <row r="47" spans="1:25" ht="15.75" customHeight="1">
      <c r="A47" s="107" t="s">
        <v>7</v>
      </c>
      <c r="B47" s="107" t="s">
        <v>266</v>
      </c>
      <c r="C47" s="108" t="s">
        <v>291</v>
      </c>
      <c r="D47" s="109">
        <v>20</v>
      </c>
      <c r="E47" s="107" t="s">
        <v>171</v>
      </c>
      <c r="F47" s="109">
        <v>72</v>
      </c>
      <c r="G47" s="109">
        <v>8</v>
      </c>
      <c r="H47" s="109">
        <v>8</v>
      </c>
      <c r="I47" s="109">
        <v>56</v>
      </c>
      <c r="J47" s="114">
        <v>198329</v>
      </c>
      <c r="K47" s="115"/>
      <c r="L47" s="108" t="s">
        <v>173</v>
      </c>
      <c r="M47" s="112" t="s">
        <v>292</v>
      </c>
      <c r="N47" s="113" t="s">
        <v>215</v>
      </c>
      <c r="O47" s="113" t="s">
        <v>176</v>
      </c>
      <c r="P47" s="106"/>
      <c r="Q47" s="106"/>
      <c r="R47" s="106"/>
      <c r="S47" s="106"/>
      <c r="T47" s="106"/>
      <c r="U47" s="106"/>
      <c r="V47" s="106"/>
      <c r="W47" s="106"/>
      <c r="X47" s="106"/>
      <c r="Y47" s="106"/>
    </row>
    <row r="48" spans="1:25" ht="15.75" customHeight="1">
      <c r="A48" s="107" t="s">
        <v>7</v>
      </c>
      <c r="B48" s="107" t="s">
        <v>266</v>
      </c>
      <c r="C48" s="108" t="s">
        <v>293</v>
      </c>
      <c r="D48" s="109">
        <v>7606</v>
      </c>
      <c r="E48" s="107" t="s">
        <v>171</v>
      </c>
      <c r="F48" s="109">
        <v>1248</v>
      </c>
      <c r="G48" s="109">
        <v>1064</v>
      </c>
      <c r="H48" s="109">
        <v>40</v>
      </c>
      <c r="I48" s="109">
        <v>144</v>
      </c>
      <c r="J48" s="114">
        <v>238818.84583333333</v>
      </c>
      <c r="K48" s="115"/>
      <c r="L48" s="108" t="s">
        <v>173</v>
      </c>
      <c r="M48" s="112" t="s">
        <v>294</v>
      </c>
      <c r="N48" s="113" t="s">
        <v>215</v>
      </c>
      <c r="O48" s="113" t="s">
        <v>176</v>
      </c>
      <c r="P48" s="106"/>
      <c r="Q48" s="106"/>
      <c r="R48" s="106"/>
      <c r="S48" s="106"/>
      <c r="T48" s="106"/>
      <c r="U48" s="106"/>
      <c r="V48" s="106"/>
      <c r="W48" s="106"/>
      <c r="X48" s="106"/>
      <c r="Y48" s="106"/>
    </row>
    <row r="49" spans="1:25" ht="15.75" customHeight="1">
      <c r="A49" s="107" t="s">
        <v>7</v>
      </c>
      <c r="B49" s="107" t="s">
        <v>266</v>
      </c>
      <c r="C49" s="108" t="s">
        <v>295</v>
      </c>
      <c r="D49" s="109">
        <v>33</v>
      </c>
      <c r="E49" s="107" t="s">
        <v>171</v>
      </c>
      <c r="F49" s="109">
        <v>72</v>
      </c>
      <c r="G49" s="109">
        <v>8</v>
      </c>
      <c r="H49" s="109">
        <v>8</v>
      </c>
      <c r="I49" s="109">
        <v>56</v>
      </c>
      <c r="J49" s="110" t="s">
        <v>296</v>
      </c>
      <c r="K49" s="115"/>
      <c r="L49" s="108" t="s">
        <v>173</v>
      </c>
      <c r="M49" s="112" t="s">
        <v>297</v>
      </c>
      <c r="N49" s="113" t="s">
        <v>215</v>
      </c>
      <c r="O49" s="113" t="s">
        <v>176</v>
      </c>
      <c r="P49" s="106"/>
      <c r="Q49" s="106"/>
      <c r="R49" s="106"/>
      <c r="S49" s="106"/>
      <c r="T49" s="106"/>
      <c r="U49" s="106"/>
      <c r="V49" s="106"/>
      <c r="W49" s="106"/>
      <c r="X49" s="106"/>
      <c r="Y49" s="106"/>
    </row>
    <row r="50" spans="1:25" ht="15.75" customHeight="1">
      <c r="A50" s="107" t="s">
        <v>7</v>
      </c>
      <c r="B50" s="107" t="s">
        <v>266</v>
      </c>
      <c r="C50" s="108" t="s">
        <v>298</v>
      </c>
      <c r="D50" s="109">
        <v>599858</v>
      </c>
      <c r="E50" s="107" t="s">
        <v>171</v>
      </c>
      <c r="F50" s="109">
        <v>43848</v>
      </c>
      <c r="G50" s="109">
        <v>43608</v>
      </c>
      <c r="H50" s="109">
        <v>200</v>
      </c>
      <c r="I50" s="109">
        <v>40</v>
      </c>
      <c r="J50" s="110" t="s">
        <v>299</v>
      </c>
      <c r="K50" s="115"/>
      <c r="L50" s="108" t="s">
        <v>173</v>
      </c>
      <c r="M50" s="112" t="s">
        <v>300</v>
      </c>
      <c r="N50" s="113" t="s">
        <v>215</v>
      </c>
      <c r="O50" s="113" t="s">
        <v>176</v>
      </c>
      <c r="P50" s="106"/>
      <c r="Q50" s="106"/>
      <c r="R50" s="106"/>
      <c r="S50" s="106"/>
      <c r="T50" s="106"/>
      <c r="U50" s="106"/>
      <c r="V50" s="106"/>
      <c r="W50" s="106"/>
      <c r="X50" s="106"/>
      <c r="Y50" s="106"/>
    </row>
    <row r="51" spans="1:25" ht="15.75" customHeight="1">
      <c r="A51" s="107" t="s">
        <v>7</v>
      </c>
      <c r="B51" s="107" t="s">
        <v>266</v>
      </c>
      <c r="C51" s="128" t="s">
        <v>301</v>
      </c>
      <c r="D51" s="109">
        <v>58</v>
      </c>
      <c r="E51" s="107" t="s">
        <v>171</v>
      </c>
      <c r="F51" s="109">
        <v>72</v>
      </c>
      <c r="G51" s="109">
        <v>8</v>
      </c>
      <c r="H51" s="109">
        <v>8</v>
      </c>
      <c r="I51" s="109">
        <v>56</v>
      </c>
      <c r="J51" s="110" t="s">
        <v>302</v>
      </c>
      <c r="K51" s="115"/>
      <c r="L51" s="108" t="s">
        <v>173</v>
      </c>
      <c r="M51" s="112" t="s">
        <v>303</v>
      </c>
      <c r="N51" s="113"/>
      <c r="O51" s="117" t="s">
        <v>236</v>
      </c>
      <c r="P51" s="106"/>
      <c r="Q51" s="106"/>
      <c r="R51" s="106"/>
      <c r="S51" s="106"/>
      <c r="T51" s="106"/>
      <c r="U51" s="106"/>
      <c r="V51" s="106"/>
      <c r="W51" s="106"/>
      <c r="X51" s="106"/>
      <c r="Y51" s="106"/>
    </row>
    <row r="52" spans="1:25" ht="15.75" customHeight="1">
      <c r="A52" s="107" t="s">
        <v>7</v>
      </c>
      <c r="B52" s="107" t="s">
        <v>266</v>
      </c>
      <c r="C52" s="108" t="s">
        <v>304</v>
      </c>
      <c r="D52" s="109">
        <v>6</v>
      </c>
      <c r="E52" s="107" t="s">
        <v>171</v>
      </c>
      <c r="F52" s="109">
        <v>72</v>
      </c>
      <c r="G52" s="109">
        <v>8</v>
      </c>
      <c r="H52" s="109">
        <v>8</v>
      </c>
      <c r="I52" s="109">
        <v>56</v>
      </c>
      <c r="J52" s="110" t="s">
        <v>305</v>
      </c>
      <c r="K52" s="115"/>
      <c r="L52" s="108" t="s">
        <v>173</v>
      </c>
      <c r="M52" s="112" t="s">
        <v>306</v>
      </c>
      <c r="N52" s="113" t="s">
        <v>215</v>
      </c>
      <c r="O52" s="113" t="s">
        <v>176</v>
      </c>
      <c r="P52" s="106"/>
      <c r="Q52" s="106"/>
      <c r="R52" s="106"/>
      <c r="S52" s="106"/>
      <c r="T52" s="106"/>
      <c r="U52" s="106"/>
      <c r="V52" s="106"/>
      <c r="W52" s="106"/>
      <c r="X52" s="106"/>
      <c r="Y52" s="106"/>
    </row>
    <row r="53" spans="1:25" ht="15.75" customHeight="1">
      <c r="A53" s="107" t="s">
        <v>7</v>
      </c>
      <c r="B53" s="107" t="s">
        <v>266</v>
      </c>
      <c r="C53" s="108" t="s">
        <v>307</v>
      </c>
      <c r="D53" s="109">
        <v>10</v>
      </c>
      <c r="E53" s="107" t="s">
        <v>171</v>
      </c>
      <c r="F53" s="109">
        <v>72</v>
      </c>
      <c r="G53" s="109">
        <v>8</v>
      </c>
      <c r="H53" s="109">
        <v>8</v>
      </c>
      <c r="I53" s="109">
        <v>56</v>
      </c>
      <c r="J53" s="110" t="s">
        <v>308</v>
      </c>
      <c r="K53" s="115"/>
      <c r="L53" s="108" t="s">
        <v>173</v>
      </c>
      <c r="M53" s="112" t="s">
        <v>309</v>
      </c>
      <c r="N53" s="113" t="s">
        <v>310</v>
      </c>
      <c r="O53" s="113" t="s">
        <v>185</v>
      </c>
      <c r="P53" s="106"/>
      <c r="Q53" s="106"/>
      <c r="R53" s="106"/>
      <c r="S53" s="106"/>
      <c r="T53" s="106"/>
      <c r="U53" s="106"/>
      <c r="V53" s="106"/>
      <c r="W53" s="106"/>
      <c r="X53" s="106"/>
      <c r="Y53" s="106"/>
    </row>
    <row r="54" spans="1:25" ht="15.75" customHeight="1">
      <c r="A54" s="107" t="s">
        <v>7</v>
      </c>
      <c r="B54" s="107" t="s">
        <v>266</v>
      </c>
      <c r="C54" s="108" t="s">
        <v>311</v>
      </c>
      <c r="D54" s="109">
        <v>98</v>
      </c>
      <c r="E54" s="107" t="s">
        <v>171</v>
      </c>
      <c r="F54" s="109">
        <v>72</v>
      </c>
      <c r="G54" s="109">
        <v>32</v>
      </c>
      <c r="H54" s="109">
        <v>16</v>
      </c>
      <c r="I54" s="109">
        <v>24</v>
      </c>
      <c r="J54" s="110" t="s">
        <v>312</v>
      </c>
      <c r="K54" s="115"/>
      <c r="L54" s="108" t="s">
        <v>173</v>
      </c>
      <c r="M54" s="112" t="s">
        <v>313</v>
      </c>
      <c r="N54" s="113" t="s">
        <v>215</v>
      </c>
      <c r="O54" s="113" t="s">
        <v>176</v>
      </c>
      <c r="P54" s="106"/>
      <c r="Q54" s="106"/>
      <c r="R54" s="106"/>
      <c r="S54" s="106"/>
      <c r="T54" s="106"/>
      <c r="U54" s="106"/>
      <c r="V54" s="106"/>
      <c r="W54" s="106"/>
      <c r="X54" s="106"/>
      <c r="Y54" s="106"/>
    </row>
    <row r="55" spans="1:25" ht="15.75" customHeight="1">
      <c r="A55" s="107" t="s">
        <v>7</v>
      </c>
      <c r="B55" s="107" t="s">
        <v>266</v>
      </c>
      <c r="C55" s="108" t="s">
        <v>314</v>
      </c>
      <c r="D55" s="109">
        <v>45</v>
      </c>
      <c r="E55" s="107" t="s">
        <v>171</v>
      </c>
      <c r="F55" s="109">
        <v>72</v>
      </c>
      <c r="G55" s="109">
        <v>8</v>
      </c>
      <c r="H55" s="109">
        <v>8</v>
      </c>
      <c r="I55" s="109">
        <v>56</v>
      </c>
      <c r="J55" s="110" t="s">
        <v>315</v>
      </c>
      <c r="K55" s="115"/>
      <c r="L55" s="108" t="s">
        <v>173</v>
      </c>
      <c r="M55" s="112" t="s">
        <v>316</v>
      </c>
      <c r="N55" s="113" t="s">
        <v>215</v>
      </c>
      <c r="O55" s="113" t="s">
        <v>176</v>
      </c>
      <c r="P55" s="106"/>
      <c r="Q55" s="106"/>
      <c r="R55" s="106"/>
      <c r="S55" s="106"/>
      <c r="T55" s="106"/>
      <c r="U55" s="106"/>
      <c r="V55" s="106"/>
      <c r="W55" s="106"/>
      <c r="X55" s="106"/>
      <c r="Y55" s="106"/>
    </row>
    <row r="56" spans="1:25" ht="15.75" customHeight="1">
      <c r="A56" s="107" t="s">
        <v>7</v>
      </c>
      <c r="B56" s="107" t="s">
        <v>266</v>
      </c>
      <c r="C56" s="108" t="s">
        <v>317</v>
      </c>
      <c r="D56" s="109">
        <v>452</v>
      </c>
      <c r="E56" s="107" t="s">
        <v>171</v>
      </c>
      <c r="F56" s="109">
        <v>208</v>
      </c>
      <c r="G56" s="109">
        <v>128</v>
      </c>
      <c r="H56" s="109">
        <v>24</v>
      </c>
      <c r="I56" s="109">
        <v>56</v>
      </c>
      <c r="J56" s="110" t="s">
        <v>318</v>
      </c>
      <c r="K56" s="115"/>
      <c r="L56" s="108" t="s">
        <v>173</v>
      </c>
      <c r="M56" s="112" t="s">
        <v>319</v>
      </c>
      <c r="N56" s="113" t="s">
        <v>215</v>
      </c>
      <c r="O56" s="113" t="s">
        <v>176</v>
      </c>
      <c r="P56" s="106"/>
      <c r="Q56" s="106"/>
      <c r="R56" s="106"/>
      <c r="S56" s="106"/>
      <c r="T56" s="106"/>
      <c r="U56" s="106"/>
      <c r="V56" s="106"/>
      <c r="W56" s="106"/>
      <c r="X56" s="106"/>
      <c r="Y56" s="106"/>
    </row>
    <row r="57" spans="1:25" ht="15.75" customHeight="1">
      <c r="A57" s="107" t="s">
        <v>7</v>
      </c>
      <c r="B57" s="107" t="s">
        <v>266</v>
      </c>
      <c r="C57" s="108" t="s">
        <v>320</v>
      </c>
      <c r="D57" s="109">
        <v>5179</v>
      </c>
      <c r="E57" s="107" t="s">
        <v>171</v>
      </c>
      <c r="F57" s="109">
        <v>1352</v>
      </c>
      <c r="G57" s="109">
        <v>1296</v>
      </c>
      <c r="H57" s="109">
        <v>8</v>
      </c>
      <c r="I57" s="109">
        <v>48</v>
      </c>
      <c r="J57" s="114">
        <v>198329</v>
      </c>
      <c r="K57" s="115"/>
      <c r="L57" s="108" t="s">
        <v>173</v>
      </c>
      <c r="M57" s="112"/>
      <c r="N57" s="113"/>
      <c r="O57" s="117" t="s">
        <v>236</v>
      </c>
      <c r="P57" s="106"/>
      <c r="Q57" s="106"/>
      <c r="R57" s="106"/>
      <c r="S57" s="106"/>
      <c r="T57" s="106"/>
      <c r="U57" s="106"/>
      <c r="V57" s="106"/>
      <c r="W57" s="106"/>
      <c r="X57" s="106"/>
      <c r="Y57" s="106"/>
    </row>
    <row r="58" spans="1:25" ht="15.75" customHeight="1">
      <c r="A58" s="107" t="s">
        <v>7</v>
      </c>
      <c r="B58" s="107" t="s">
        <v>266</v>
      </c>
      <c r="C58" s="108" t="s">
        <v>321</v>
      </c>
      <c r="D58" s="109">
        <v>9237</v>
      </c>
      <c r="E58" s="107" t="s">
        <v>171</v>
      </c>
      <c r="F58" s="109">
        <v>2504</v>
      </c>
      <c r="G58" s="109">
        <v>2288</v>
      </c>
      <c r="H58" s="109">
        <v>80</v>
      </c>
      <c r="I58" s="109">
        <v>136</v>
      </c>
      <c r="J58" s="110" t="s">
        <v>322</v>
      </c>
      <c r="K58" s="115"/>
      <c r="L58" s="108" t="s">
        <v>173</v>
      </c>
      <c r="M58" s="112" t="s">
        <v>323</v>
      </c>
      <c r="N58" s="113" t="s">
        <v>215</v>
      </c>
      <c r="O58" s="113" t="s">
        <v>176</v>
      </c>
      <c r="P58" s="106"/>
      <c r="Q58" s="106"/>
      <c r="R58" s="106"/>
      <c r="S58" s="106"/>
      <c r="T58" s="106"/>
      <c r="U58" s="106"/>
      <c r="V58" s="106"/>
      <c r="W58" s="106"/>
      <c r="X58" s="106"/>
      <c r="Y58" s="106"/>
    </row>
    <row r="59" spans="1:25" ht="15.75" customHeight="1">
      <c r="A59" s="107" t="s">
        <v>7</v>
      </c>
      <c r="B59" s="107" t="s">
        <v>266</v>
      </c>
      <c r="C59" s="108" t="s">
        <v>324</v>
      </c>
      <c r="D59" s="109">
        <v>16</v>
      </c>
      <c r="E59" s="107" t="s">
        <v>171</v>
      </c>
      <c r="F59" s="109">
        <v>72</v>
      </c>
      <c r="G59" s="109">
        <v>8</v>
      </c>
      <c r="H59" s="109">
        <v>8</v>
      </c>
      <c r="I59" s="109">
        <v>56</v>
      </c>
      <c r="J59" s="114">
        <v>240429.46805555557</v>
      </c>
      <c r="K59" s="115"/>
      <c r="L59" s="108" t="s">
        <v>173</v>
      </c>
      <c r="M59" s="112" t="s">
        <v>325</v>
      </c>
      <c r="N59" s="113" t="s">
        <v>215</v>
      </c>
      <c r="O59" s="113" t="s">
        <v>176</v>
      </c>
      <c r="P59" s="106"/>
      <c r="Q59" s="106"/>
      <c r="R59" s="106"/>
      <c r="S59" s="106"/>
      <c r="T59" s="106"/>
      <c r="U59" s="106"/>
      <c r="V59" s="106"/>
      <c r="W59" s="106"/>
      <c r="X59" s="106"/>
      <c r="Y59" s="106"/>
    </row>
    <row r="60" spans="1:25" ht="15.75" customHeight="1">
      <c r="A60" s="107" t="s">
        <v>7</v>
      </c>
      <c r="B60" s="107" t="s">
        <v>266</v>
      </c>
      <c r="C60" s="108" t="s">
        <v>326</v>
      </c>
      <c r="D60" s="109">
        <v>7677</v>
      </c>
      <c r="E60" s="107" t="s">
        <v>171</v>
      </c>
      <c r="F60" s="109">
        <v>1232</v>
      </c>
      <c r="G60" s="109">
        <v>1064</v>
      </c>
      <c r="H60" s="109">
        <v>24</v>
      </c>
      <c r="I60" s="109">
        <v>144</v>
      </c>
      <c r="J60" s="110" t="s">
        <v>327</v>
      </c>
      <c r="K60" s="115"/>
      <c r="L60" s="108" t="s">
        <v>173</v>
      </c>
      <c r="M60" s="112" t="s">
        <v>292</v>
      </c>
      <c r="N60" s="113" t="s">
        <v>215</v>
      </c>
      <c r="O60" s="113" t="s">
        <v>176</v>
      </c>
      <c r="P60" s="106"/>
      <c r="Q60" s="106"/>
      <c r="R60" s="106"/>
      <c r="S60" s="106"/>
      <c r="T60" s="106"/>
      <c r="U60" s="106"/>
      <c r="V60" s="106"/>
      <c r="W60" s="106"/>
      <c r="X60" s="106"/>
      <c r="Y60" s="106"/>
    </row>
    <row r="61" spans="1:25" ht="15.75" customHeight="1">
      <c r="A61" s="107" t="s">
        <v>7</v>
      </c>
      <c r="B61" s="107" t="s">
        <v>266</v>
      </c>
      <c r="C61" s="108" t="s">
        <v>328</v>
      </c>
      <c r="D61" s="109">
        <v>425469</v>
      </c>
      <c r="E61" s="107" t="s">
        <v>171</v>
      </c>
      <c r="F61" s="109">
        <v>99168</v>
      </c>
      <c r="G61" s="109">
        <v>98480</v>
      </c>
      <c r="H61" s="109">
        <v>504</v>
      </c>
      <c r="I61" s="109">
        <v>184</v>
      </c>
      <c r="J61" s="114">
        <v>198329</v>
      </c>
      <c r="K61" s="115"/>
      <c r="L61" s="108" t="s">
        <v>173</v>
      </c>
      <c r="M61" s="112" t="s">
        <v>325</v>
      </c>
      <c r="N61" s="113" t="s">
        <v>215</v>
      </c>
      <c r="O61" s="113" t="s">
        <v>176</v>
      </c>
      <c r="P61" s="106"/>
      <c r="Q61" s="106"/>
      <c r="R61" s="106"/>
      <c r="S61" s="106"/>
      <c r="T61" s="106"/>
      <c r="U61" s="106"/>
      <c r="V61" s="106"/>
      <c r="W61" s="106"/>
      <c r="X61" s="106"/>
      <c r="Y61" s="106"/>
    </row>
    <row r="62" spans="1:25" ht="15.75" customHeight="1">
      <c r="A62" s="107" t="s">
        <v>7</v>
      </c>
      <c r="B62" s="107" t="s">
        <v>266</v>
      </c>
      <c r="C62" s="108" t="s">
        <v>329</v>
      </c>
      <c r="D62" s="109">
        <v>430722</v>
      </c>
      <c r="E62" s="107" t="s">
        <v>171</v>
      </c>
      <c r="F62" s="109">
        <v>49368</v>
      </c>
      <c r="G62" s="109">
        <v>48936</v>
      </c>
      <c r="H62" s="109">
        <v>320</v>
      </c>
      <c r="I62" s="109">
        <v>112</v>
      </c>
      <c r="J62" s="114">
        <v>198329</v>
      </c>
      <c r="K62" s="115"/>
      <c r="L62" s="108" t="s">
        <v>173</v>
      </c>
      <c r="M62" s="112" t="s">
        <v>330</v>
      </c>
      <c r="N62" s="113" t="s">
        <v>215</v>
      </c>
      <c r="O62" s="113" t="s">
        <v>176</v>
      </c>
      <c r="P62" s="106"/>
      <c r="Q62" s="106"/>
      <c r="R62" s="106"/>
      <c r="S62" s="106"/>
      <c r="T62" s="106"/>
      <c r="U62" s="106"/>
      <c r="V62" s="106"/>
      <c r="W62" s="106"/>
      <c r="X62" s="106"/>
      <c r="Y62" s="106"/>
    </row>
    <row r="63" spans="1:25" ht="15.75" customHeight="1">
      <c r="A63" s="135" t="s">
        <v>7</v>
      </c>
      <c r="B63" s="135" t="s">
        <v>266</v>
      </c>
      <c r="C63" s="132" t="s">
        <v>331</v>
      </c>
      <c r="D63" s="136">
        <v>567460</v>
      </c>
      <c r="E63" s="135" t="s">
        <v>171</v>
      </c>
      <c r="F63" s="136">
        <v>138264</v>
      </c>
      <c r="G63" s="136">
        <v>108728</v>
      </c>
      <c r="H63" s="136">
        <v>25328</v>
      </c>
      <c r="I63" s="136">
        <v>4208</v>
      </c>
      <c r="J63" s="137">
        <v>198329</v>
      </c>
      <c r="K63" s="138" t="s">
        <v>213</v>
      </c>
      <c r="L63" s="132" t="s">
        <v>262</v>
      </c>
      <c r="M63" s="139" t="s">
        <v>257</v>
      </c>
      <c r="N63" s="117" t="s">
        <v>215</v>
      </c>
      <c r="O63" s="117" t="s">
        <v>176</v>
      </c>
      <c r="P63" s="140"/>
      <c r="Q63" s="140"/>
      <c r="R63" s="140"/>
      <c r="S63" s="140"/>
      <c r="T63" s="140"/>
      <c r="U63" s="140"/>
      <c r="V63" s="140"/>
      <c r="W63" s="140"/>
      <c r="X63" s="140"/>
      <c r="Y63" s="140"/>
    </row>
    <row r="64" spans="1:25" ht="15.75" customHeight="1">
      <c r="A64" s="107" t="s">
        <v>7</v>
      </c>
      <c r="B64" s="107" t="s">
        <v>266</v>
      </c>
      <c r="C64" s="108" t="s">
        <v>332</v>
      </c>
      <c r="D64" s="109">
        <v>367193</v>
      </c>
      <c r="E64" s="107" t="s">
        <v>171</v>
      </c>
      <c r="F64" s="109">
        <v>167152</v>
      </c>
      <c r="G64" s="109">
        <v>95880</v>
      </c>
      <c r="H64" s="109">
        <v>62192</v>
      </c>
      <c r="I64" s="109">
        <v>9080</v>
      </c>
      <c r="J64" s="114">
        <v>198329</v>
      </c>
      <c r="K64" s="115"/>
      <c r="L64" s="108" t="s">
        <v>173</v>
      </c>
      <c r="M64" s="112" t="s">
        <v>253</v>
      </c>
      <c r="N64" s="113" t="s">
        <v>215</v>
      </c>
      <c r="O64" s="113" t="s">
        <v>176</v>
      </c>
      <c r="P64" s="106"/>
      <c r="Q64" s="106"/>
      <c r="R64" s="106"/>
      <c r="S64" s="106"/>
      <c r="T64" s="106"/>
      <c r="U64" s="106"/>
      <c r="V64" s="106"/>
      <c r="W64" s="106"/>
      <c r="X64" s="106"/>
      <c r="Y64" s="106"/>
    </row>
    <row r="65" spans="1:25" ht="15.75" customHeight="1">
      <c r="A65" s="107" t="s">
        <v>7</v>
      </c>
      <c r="B65" s="107" t="s">
        <v>266</v>
      </c>
      <c r="C65" s="108" t="s">
        <v>333</v>
      </c>
      <c r="D65" s="109">
        <v>567460</v>
      </c>
      <c r="E65" s="107" t="s">
        <v>171</v>
      </c>
      <c r="F65" s="109">
        <v>827232</v>
      </c>
      <c r="G65" s="109">
        <v>673784</v>
      </c>
      <c r="H65" s="109">
        <v>132016</v>
      </c>
      <c r="I65" s="109">
        <v>21432</v>
      </c>
      <c r="J65" s="110" t="s">
        <v>334</v>
      </c>
      <c r="K65" s="115"/>
      <c r="L65" s="108" t="s">
        <v>262</v>
      </c>
      <c r="M65" s="112" t="s">
        <v>335</v>
      </c>
      <c r="N65" s="113" t="s">
        <v>215</v>
      </c>
      <c r="O65" s="113" t="s">
        <v>176</v>
      </c>
      <c r="P65" s="106"/>
      <c r="Q65" s="106"/>
      <c r="R65" s="106"/>
      <c r="S65" s="106"/>
      <c r="T65" s="106"/>
      <c r="U65" s="106"/>
      <c r="V65" s="106"/>
      <c r="W65" s="106"/>
      <c r="X65" s="106"/>
      <c r="Y65" s="106"/>
    </row>
    <row r="66" spans="1:25" ht="15.75" customHeight="1">
      <c r="A66" s="107" t="s">
        <v>7</v>
      </c>
      <c r="B66" s="107" t="s">
        <v>266</v>
      </c>
      <c r="C66" s="108" t="s">
        <v>336</v>
      </c>
      <c r="D66" s="109">
        <v>358111</v>
      </c>
      <c r="E66" s="107" t="s">
        <v>171</v>
      </c>
      <c r="F66" s="109">
        <v>36576</v>
      </c>
      <c r="G66" s="109">
        <v>36064</v>
      </c>
      <c r="H66" s="109">
        <v>264</v>
      </c>
      <c r="I66" s="109">
        <v>248</v>
      </c>
      <c r="J66" s="114">
        <v>198329</v>
      </c>
      <c r="K66" s="115"/>
      <c r="L66" s="108" t="s">
        <v>173</v>
      </c>
      <c r="M66" s="112" t="s">
        <v>337</v>
      </c>
      <c r="N66" s="113" t="s">
        <v>215</v>
      </c>
      <c r="O66" s="113" t="s">
        <v>176</v>
      </c>
      <c r="P66" s="106"/>
      <c r="Q66" s="106"/>
      <c r="R66" s="106"/>
      <c r="S66" s="106"/>
      <c r="T66" s="106"/>
      <c r="U66" s="106"/>
      <c r="V66" s="106"/>
      <c r="W66" s="106"/>
      <c r="X66" s="106"/>
      <c r="Y66" s="106"/>
    </row>
    <row r="67" spans="1:25" ht="15.75" customHeight="1">
      <c r="A67" s="107" t="s">
        <v>7</v>
      </c>
      <c r="B67" s="107" t="s">
        <v>266</v>
      </c>
      <c r="C67" s="108" t="s">
        <v>338</v>
      </c>
      <c r="D67" s="109">
        <v>575646</v>
      </c>
      <c r="E67" s="107" t="s">
        <v>171</v>
      </c>
      <c r="F67" s="109">
        <v>214816</v>
      </c>
      <c r="G67" s="109">
        <v>157520</v>
      </c>
      <c r="H67" s="109">
        <v>52736</v>
      </c>
      <c r="I67" s="109">
        <v>4560</v>
      </c>
      <c r="J67" s="110" t="s">
        <v>339</v>
      </c>
      <c r="K67" s="115"/>
      <c r="L67" s="108" t="s">
        <v>262</v>
      </c>
      <c r="M67" s="112" t="s">
        <v>264</v>
      </c>
      <c r="N67" s="113" t="s">
        <v>215</v>
      </c>
      <c r="O67" s="113" t="s">
        <v>176</v>
      </c>
      <c r="P67" s="106"/>
      <c r="Q67" s="106"/>
      <c r="R67" s="106"/>
      <c r="S67" s="106"/>
      <c r="T67" s="106"/>
      <c r="U67" s="106"/>
      <c r="V67" s="106"/>
      <c r="W67" s="106"/>
      <c r="X67" s="106"/>
      <c r="Y67" s="106"/>
    </row>
    <row r="68" spans="1:25" ht="15.75" customHeight="1">
      <c r="A68" s="107" t="s">
        <v>7</v>
      </c>
      <c r="B68" s="107" t="s">
        <v>266</v>
      </c>
      <c r="C68" s="108" t="s">
        <v>340</v>
      </c>
      <c r="D68" s="109">
        <v>169465</v>
      </c>
      <c r="E68" s="107" t="s">
        <v>171</v>
      </c>
      <c r="F68" s="109">
        <v>94456</v>
      </c>
      <c r="G68" s="109">
        <v>42440</v>
      </c>
      <c r="H68" s="109">
        <v>49952</v>
      </c>
      <c r="I68" s="109">
        <v>2064</v>
      </c>
      <c r="J68" s="110" t="s">
        <v>341</v>
      </c>
      <c r="K68" s="115"/>
      <c r="L68" s="108" t="s">
        <v>342</v>
      </c>
      <c r="M68" s="112" t="s">
        <v>259</v>
      </c>
      <c r="N68" s="113" t="s">
        <v>215</v>
      </c>
      <c r="O68" s="113" t="s">
        <v>176</v>
      </c>
      <c r="P68" s="106"/>
      <c r="Q68" s="106"/>
      <c r="R68" s="106"/>
      <c r="S68" s="106"/>
      <c r="T68" s="106"/>
      <c r="U68" s="106"/>
      <c r="V68" s="106"/>
      <c r="W68" s="106"/>
      <c r="X68" s="106"/>
      <c r="Y68" s="106"/>
    </row>
    <row r="69" spans="1:25" ht="15.75" customHeight="1">
      <c r="A69" s="107" t="s">
        <v>7</v>
      </c>
      <c r="B69" s="107" t="s">
        <v>266</v>
      </c>
      <c r="C69" s="108" t="s">
        <v>343</v>
      </c>
      <c r="D69" s="109">
        <v>20</v>
      </c>
      <c r="E69" s="107" t="s">
        <v>171</v>
      </c>
      <c r="F69" s="109">
        <v>72</v>
      </c>
      <c r="G69" s="109">
        <v>8</v>
      </c>
      <c r="H69" s="109">
        <v>8</v>
      </c>
      <c r="I69" s="109">
        <v>56</v>
      </c>
      <c r="J69" s="114">
        <v>241892.43819444443</v>
      </c>
      <c r="K69" s="115"/>
      <c r="L69" s="108" t="s">
        <v>173</v>
      </c>
      <c r="M69" s="112" t="s">
        <v>344</v>
      </c>
      <c r="N69" s="113" t="s">
        <v>345</v>
      </c>
      <c r="O69" s="113" t="s">
        <v>176</v>
      </c>
      <c r="P69" s="106"/>
      <c r="Q69" s="106"/>
      <c r="R69" s="106"/>
      <c r="S69" s="106"/>
      <c r="T69" s="106"/>
      <c r="U69" s="106"/>
      <c r="V69" s="106"/>
      <c r="W69" s="106"/>
      <c r="X69" s="106"/>
      <c r="Y69" s="106"/>
    </row>
    <row r="70" spans="1:25" ht="15.75" customHeight="1">
      <c r="A70" s="107" t="s">
        <v>7</v>
      </c>
      <c r="B70" s="107" t="s">
        <v>266</v>
      </c>
      <c r="C70" s="108" t="s">
        <v>346</v>
      </c>
      <c r="D70" s="109">
        <v>15</v>
      </c>
      <c r="E70" s="107" t="s">
        <v>171</v>
      </c>
      <c r="F70" s="109">
        <v>16</v>
      </c>
      <c r="G70" s="109">
        <v>8</v>
      </c>
      <c r="H70" s="109">
        <v>8</v>
      </c>
      <c r="I70" s="109">
        <v>0</v>
      </c>
      <c r="J70" s="110" t="s">
        <v>347</v>
      </c>
      <c r="K70" s="115"/>
      <c r="L70" s="108" t="s">
        <v>173</v>
      </c>
      <c r="M70" s="112" t="s">
        <v>164</v>
      </c>
      <c r="N70" s="113" t="s">
        <v>215</v>
      </c>
      <c r="O70" s="113" t="s">
        <v>176</v>
      </c>
      <c r="P70" s="106"/>
      <c r="Q70" s="106"/>
      <c r="R70" s="106"/>
      <c r="S70" s="106"/>
      <c r="T70" s="106"/>
      <c r="U70" s="106"/>
      <c r="V70" s="106"/>
      <c r="W70" s="106"/>
      <c r="X70" s="106"/>
      <c r="Y70" s="106"/>
    </row>
    <row r="71" spans="1:25" ht="15.75" customHeight="1">
      <c r="A71" s="107" t="s">
        <v>7</v>
      </c>
      <c r="B71" s="107" t="s">
        <v>266</v>
      </c>
      <c r="C71" s="108" t="s">
        <v>348</v>
      </c>
      <c r="D71" s="109">
        <v>62</v>
      </c>
      <c r="E71" s="107" t="s">
        <v>171</v>
      </c>
      <c r="F71" s="109">
        <v>72</v>
      </c>
      <c r="G71" s="109">
        <v>24</v>
      </c>
      <c r="H71" s="109">
        <v>16</v>
      </c>
      <c r="I71" s="109">
        <v>32</v>
      </c>
      <c r="J71" s="110" t="s">
        <v>349</v>
      </c>
      <c r="K71" s="115"/>
      <c r="L71" s="108" t="s">
        <v>173</v>
      </c>
      <c r="M71" s="112" t="s">
        <v>350</v>
      </c>
      <c r="N71" s="113" t="s">
        <v>345</v>
      </c>
      <c r="O71" s="113" t="s">
        <v>176</v>
      </c>
      <c r="P71" s="106"/>
      <c r="Q71" s="106"/>
      <c r="R71" s="106"/>
      <c r="S71" s="106"/>
      <c r="T71" s="106"/>
      <c r="U71" s="106"/>
      <c r="V71" s="106"/>
      <c r="W71" s="106"/>
      <c r="X71" s="106"/>
      <c r="Y71" s="106"/>
    </row>
    <row r="72" spans="1:25" ht="15.75" customHeight="1">
      <c r="A72" s="141" t="s">
        <v>7</v>
      </c>
      <c r="B72" s="141" t="s">
        <v>266</v>
      </c>
      <c r="C72" s="141" t="s">
        <v>351</v>
      </c>
      <c r="D72" s="142">
        <v>168784</v>
      </c>
      <c r="E72" s="141" t="s">
        <v>171</v>
      </c>
      <c r="F72" s="142">
        <v>30056</v>
      </c>
      <c r="G72" s="142">
        <v>27728</v>
      </c>
      <c r="H72" s="142">
        <v>408</v>
      </c>
      <c r="I72" s="142">
        <v>1920</v>
      </c>
      <c r="J72" s="143" t="s">
        <v>352</v>
      </c>
      <c r="K72" s="144"/>
      <c r="L72" s="141" t="s">
        <v>173</v>
      </c>
      <c r="M72" s="145" t="s">
        <v>292</v>
      </c>
      <c r="N72" s="145" t="s">
        <v>215</v>
      </c>
      <c r="O72" s="145" t="s">
        <v>176</v>
      </c>
      <c r="P72" s="106"/>
      <c r="Q72" s="106"/>
      <c r="R72" s="106"/>
      <c r="S72" s="106"/>
      <c r="T72" s="106"/>
      <c r="U72" s="106"/>
      <c r="V72" s="106"/>
      <c r="W72" s="106"/>
      <c r="X72" s="106"/>
      <c r="Y72" s="106"/>
    </row>
    <row r="73" spans="1:25" ht="15.75" customHeight="1">
      <c r="A73" s="107" t="s">
        <v>7</v>
      </c>
      <c r="B73" s="107" t="s">
        <v>266</v>
      </c>
      <c r="C73" s="108" t="s">
        <v>353</v>
      </c>
      <c r="D73" s="109">
        <v>2164984</v>
      </c>
      <c r="E73" s="107" t="s">
        <v>171</v>
      </c>
      <c r="F73" s="109">
        <v>1134888</v>
      </c>
      <c r="G73" s="109">
        <v>897120</v>
      </c>
      <c r="H73" s="109">
        <v>235304</v>
      </c>
      <c r="I73" s="109">
        <v>2464</v>
      </c>
      <c r="J73" s="110" t="s">
        <v>354</v>
      </c>
      <c r="K73" s="115"/>
      <c r="L73" s="108" t="s">
        <v>173</v>
      </c>
      <c r="M73" s="112" t="s">
        <v>355</v>
      </c>
      <c r="N73" s="113" t="s">
        <v>175</v>
      </c>
      <c r="O73" s="113" t="s">
        <v>176</v>
      </c>
      <c r="P73" s="106"/>
      <c r="Q73" s="106"/>
      <c r="R73" s="106"/>
      <c r="S73" s="106"/>
      <c r="T73" s="106"/>
      <c r="U73" s="106"/>
      <c r="V73" s="106"/>
      <c r="W73" s="106"/>
      <c r="X73" s="106"/>
      <c r="Y73" s="106"/>
    </row>
    <row r="74" spans="1:25" ht="15.75" customHeight="1">
      <c r="A74" s="107" t="s">
        <v>7</v>
      </c>
      <c r="B74" s="107" t="s">
        <v>266</v>
      </c>
      <c r="C74" s="108" t="s">
        <v>356</v>
      </c>
      <c r="D74" s="109">
        <v>236</v>
      </c>
      <c r="E74" s="107" t="s">
        <v>171</v>
      </c>
      <c r="F74" s="109">
        <v>144</v>
      </c>
      <c r="G74" s="109">
        <v>64</v>
      </c>
      <c r="H74" s="109">
        <v>24</v>
      </c>
      <c r="I74" s="109">
        <v>56</v>
      </c>
      <c r="J74" s="114">
        <v>242376.76666666666</v>
      </c>
      <c r="K74" s="115"/>
      <c r="L74" s="108" t="s">
        <v>173</v>
      </c>
      <c r="M74" s="112" t="s">
        <v>357</v>
      </c>
      <c r="N74" s="113" t="s">
        <v>175</v>
      </c>
      <c r="O74" s="113" t="s">
        <v>176</v>
      </c>
      <c r="P74" s="106"/>
      <c r="Q74" s="106"/>
      <c r="R74" s="106"/>
      <c r="S74" s="106"/>
      <c r="T74" s="106"/>
      <c r="U74" s="106"/>
      <c r="V74" s="106"/>
      <c r="W74" s="106"/>
      <c r="X74" s="106"/>
      <c r="Y74" s="106"/>
    </row>
    <row r="75" spans="1:25" ht="15.75" customHeight="1">
      <c r="A75" s="107" t="s">
        <v>7</v>
      </c>
      <c r="B75" s="107" t="s">
        <v>266</v>
      </c>
      <c r="C75" s="108" t="s">
        <v>51</v>
      </c>
      <c r="D75" s="109">
        <v>239</v>
      </c>
      <c r="E75" s="107" t="s">
        <v>171</v>
      </c>
      <c r="F75" s="109">
        <v>352</v>
      </c>
      <c r="G75" s="109">
        <v>248</v>
      </c>
      <c r="H75" s="109">
        <v>40</v>
      </c>
      <c r="I75" s="109">
        <v>64</v>
      </c>
      <c r="J75" s="110" t="s">
        <v>358</v>
      </c>
      <c r="K75" s="115"/>
      <c r="L75" s="108" t="s">
        <v>173</v>
      </c>
      <c r="M75" s="112" t="s">
        <v>359</v>
      </c>
      <c r="N75" s="113" t="s">
        <v>175</v>
      </c>
      <c r="O75" s="113" t="s">
        <v>176</v>
      </c>
      <c r="P75" s="106"/>
      <c r="Q75" s="106"/>
      <c r="R75" s="106"/>
      <c r="S75" s="106"/>
      <c r="T75" s="106"/>
      <c r="U75" s="106"/>
      <c r="V75" s="106"/>
      <c r="W75" s="106"/>
      <c r="X75" s="106"/>
      <c r="Y75" s="106"/>
    </row>
    <row r="76" spans="1:25" ht="15.75" customHeight="1">
      <c r="A76" s="107" t="s">
        <v>7</v>
      </c>
      <c r="B76" s="107" t="s">
        <v>266</v>
      </c>
      <c r="C76" s="108" t="s">
        <v>360</v>
      </c>
      <c r="D76" s="109">
        <v>101</v>
      </c>
      <c r="E76" s="107" t="s">
        <v>171</v>
      </c>
      <c r="F76" s="109">
        <v>216</v>
      </c>
      <c r="G76" s="109">
        <v>8</v>
      </c>
      <c r="H76" s="109">
        <v>40</v>
      </c>
      <c r="I76" s="109">
        <v>168</v>
      </c>
      <c r="J76" s="114">
        <v>241892.43819444443</v>
      </c>
      <c r="K76" s="115"/>
      <c r="L76" s="108" t="s">
        <v>173</v>
      </c>
      <c r="M76" s="112" t="s">
        <v>361</v>
      </c>
      <c r="N76" s="113" t="s">
        <v>175</v>
      </c>
      <c r="O76" s="113" t="s">
        <v>176</v>
      </c>
      <c r="P76" s="106"/>
      <c r="Q76" s="106"/>
      <c r="R76" s="106"/>
      <c r="S76" s="106"/>
      <c r="T76" s="106"/>
      <c r="U76" s="106"/>
      <c r="V76" s="106"/>
      <c r="W76" s="106"/>
      <c r="X76" s="106"/>
      <c r="Y76" s="106"/>
    </row>
    <row r="77" spans="1:25" ht="15.75" customHeight="1">
      <c r="A77" s="107" t="s">
        <v>7</v>
      </c>
      <c r="B77" s="107" t="s">
        <v>266</v>
      </c>
      <c r="C77" s="108" t="s">
        <v>362</v>
      </c>
      <c r="D77" s="109">
        <v>20</v>
      </c>
      <c r="E77" s="107" t="s">
        <v>171</v>
      </c>
      <c r="F77" s="109">
        <v>16</v>
      </c>
      <c r="G77" s="109">
        <v>8</v>
      </c>
      <c r="H77" s="109">
        <v>8</v>
      </c>
      <c r="I77" s="109">
        <v>0</v>
      </c>
      <c r="J77" s="110" t="s">
        <v>363</v>
      </c>
      <c r="K77" s="115"/>
      <c r="L77" s="108" t="s">
        <v>173</v>
      </c>
      <c r="M77" s="112" t="s">
        <v>364</v>
      </c>
      <c r="N77" s="113" t="s">
        <v>215</v>
      </c>
      <c r="O77" s="113" t="s">
        <v>176</v>
      </c>
      <c r="P77" s="106"/>
      <c r="Q77" s="106"/>
      <c r="R77" s="106"/>
      <c r="S77" s="106"/>
      <c r="T77" s="106"/>
      <c r="U77" s="106"/>
      <c r="V77" s="106"/>
      <c r="W77" s="106"/>
      <c r="X77" s="106"/>
      <c r="Y77" s="106"/>
    </row>
    <row r="78" spans="1:25" ht="15.75" customHeight="1">
      <c r="A78" s="107" t="s">
        <v>7</v>
      </c>
      <c r="B78" s="107" t="s">
        <v>266</v>
      </c>
      <c r="C78" s="108" t="s">
        <v>365</v>
      </c>
      <c r="D78" s="109">
        <v>1098</v>
      </c>
      <c r="E78" s="107" t="s">
        <v>171</v>
      </c>
      <c r="F78" s="109">
        <v>136</v>
      </c>
      <c r="G78" s="109">
        <v>72</v>
      </c>
      <c r="H78" s="109">
        <v>8</v>
      </c>
      <c r="I78" s="109">
        <v>56</v>
      </c>
      <c r="J78" s="114">
        <v>241802.70416666666</v>
      </c>
      <c r="K78" s="115"/>
      <c r="L78" s="108" t="s">
        <v>173</v>
      </c>
      <c r="M78" s="121"/>
      <c r="N78" s="113"/>
      <c r="O78" s="117" t="s">
        <v>236</v>
      </c>
      <c r="P78" s="106"/>
      <c r="Q78" s="106"/>
      <c r="R78" s="106"/>
      <c r="S78" s="106"/>
      <c r="T78" s="106"/>
      <c r="U78" s="106"/>
      <c r="V78" s="106"/>
      <c r="W78" s="106"/>
      <c r="X78" s="106"/>
      <c r="Y78" s="106"/>
    </row>
    <row r="79" spans="1:25" ht="15.75" customHeight="1">
      <c r="A79" s="107" t="s">
        <v>7</v>
      </c>
      <c r="B79" s="107" t="s">
        <v>266</v>
      </c>
      <c r="C79" s="108" t="s">
        <v>366</v>
      </c>
      <c r="D79" s="109">
        <v>6376</v>
      </c>
      <c r="E79" s="107" t="s">
        <v>171</v>
      </c>
      <c r="F79" s="109">
        <v>464</v>
      </c>
      <c r="G79" s="109">
        <v>304</v>
      </c>
      <c r="H79" s="109">
        <v>24</v>
      </c>
      <c r="I79" s="109">
        <v>136</v>
      </c>
      <c r="J79" s="114">
        <v>198329</v>
      </c>
      <c r="K79" s="115"/>
      <c r="L79" s="108" t="s">
        <v>173</v>
      </c>
      <c r="M79" s="112" t="s">
        <v>367</v>
      </c>
      <c r="N79" s="113" t="s">
        <v>310</v>
      </c>
      <c r="O79" s="113" t="s">
        <v>185</v>
      </c>
      <c r="P79" s="106"/>
      <c r="Q79" s="106"/>
      <c r="R79" s="106"/>
      <c r="S79" s="106"/>
      <c r="T79" s="106"/>
      <c r="U79" s="106"/>
      <c r="V79" s="106"/>
      <c r="W79" s="106"/>
      <c r="X79" s="106"/>
      <c r="Y79" s="106"/>
    </row>
    <row r="80" spans="1:25" ht="15.75" customHeight="1">
      <c r="A80" s="107" t="s">
        <v>7</v>
      </c>
      <c r="B80" s="107" t="s">
        <v>266</v>
      </c>
      <c r="C80" s="108" t="s">
        <v>368</v>
      </c>
      <c r="D80" s="109">
        <v>4</v>
      </c>
      <c r="E80" s="107" t="s">
        <v>171</v>
      </c>
      <c r="F80" s="109">
        <v>72</v>
      </c>
      <c r="G80" s="109">
        <v>8</v>
      </c>
      <c r="H80" s="109">
        <v>8</v>
      </c>
      <c r="I80" s="109">
        <v>56</v>
      </c>
      <c r="J80" s="114">
        <v>198329</v>
      </c>
      <c r="K80" s="115"/>
      <c r="L80" s="108" t="s">
        <v>173</v>
      </c>
      <c r="M80" s="112" t="s">
        <v>369</v>
      </c>
      <c r="N80" s="113" t="s">
        <v>310</v>
      </c>
      <c r="O80" s="113" t="s">
        <v>185</v>
      </c>
      <c r="P80" s="106"/>
      <c r="Q80" s="106"/>
      <c r="R80" s="106"/>
      <c r="S80" s="106"/>
      <c r="T80" s="106"/>
      <c r="U80" s="106"/>
      <c r="V80" s="106"/>
      <c r="W80" s="106"/>
      <c r="X80" s="106"/>
      <c r="Y80" s="106"/>
    </row>
    <row r="81" spans="1:25" ht="15.75" customHeight="1">
      <c r="A81" s="107" t="s">
        <v>7</v>
      </c>
      <c r="B81" s="107" t="s">
        <v>266</v>
      </c>
      <c r="C81" s="108" t="s">
        <v>370</v>
      </c>
      <c r="D81" s="118"/>
      <c r="E81" s="118"/>
      <c r="F81" s="118"/>
      <c r="G81" s="118"/>
      <c r="H81" s="118"/>
      <c r="I81" s="134"/>
      <c r="J81" s="120"/>
      <c r="K81" s="115"/>
      <c r="L81" s="108" t="s">
        <v>342</v>
      </c>
      <c r="M81" s="112" t="s">
        <v>371</v>
      </c>
      <c r="N81" s="113" t="s">
        <v>215</v>
      </c>
      <c r="O81" s="113" t="s">
        <v>176</v>
      </c>
      <c r="P81" s="106"/>
      <c r="Q81" s="106"/>
      <c r="R81" s="106"/>
      <c r="S81" s="106"/>
      <c r="T81" s="106"/>
      <c r="U81" s="106"/>
      <c r="V81" s="106"/>
      <c r="W81" s="106"/>
      <c r="X81" s="106"/>
      <c r="Y81" s="106"/>
    </row>
    <row r="82" spans="1:25" ht="15.75" customHeight="1">
      <c r="A82" s="107" t="s">
        <v>7</v>
      </c>
      <c r="B82" s="107" t="s">
        <v>266</v>
      </c>
      <c r="C82" s="108" t="s">
        <v>372</v>
      </c>
      <c r="D82" s="118"/>
      <c r="E82" s="118"/>
      <c r="F82" s="118"/>
      <c r="G82" s="118"/>
      <c r="H82" s="118"/>
      <c r="I82" s="134"/>
      <c r="J82" s="120"/>
      <c r="K82" s="115"/>
      <c r="L82" s="108" t="s">
        <v>342</v>
      </c>
      <c r="M82" s="112" t="s">
        <v>373</v>
      </c>
      <c r="N82" s="113" t="s">
        <v>345</v>
      </c>
      <c r="O82" s="113" t="s">
        <v>176</v>
      </c>
      <c r="P82" s="106"/>
      <c r="Q82" s="106"/>
      <c r="R82" s="106"/>
      <c r="S82" s="106"/>
      <c r="T82" s="106"/>
      <c r="U82" s="106"/>
      <c r="V82" s="106"/>
      <c r="W82" s="106"/>
      <c r="X82" s="106"/>
      <c r="Y82" s="106"/>
    </row>
    <row r="83" spans="1:25" ht="15.75" customHeight="1">
      <c r="A83" s="107" t="s">
        <v>7</v>
      </c>
      <c r="B83" s="107" t="s">
        <v>266</v>
      </c>
      <c r="C83" s="108" t="s">
        <v>374</v>
      </c>
      <c r="D83" s="118"/>
      <c r="E83" s="118"/>
      <c r="F83" s="118"/>
      <c r="G83" s="118"/>
      <c r="H83" s="118"/>
      <c r="I83" s="134"/>
      <c r="J83" s="120"/>
      <c r="K83" s="115"/>
      <c r="L83" s="108" t="s">
        <v>342</v>
      </c>
      <c r="M83" s="121"/>
      <c r="N83" s="113" t="s">
        <v>215</v>
      </c>
      <c r="O83" s="113" t="s">
        <v>176</v>
      </c>
      <c r="P83" s="106"/>
      <c r="Q83" s="106"/>
      <c r="R83" s="106"/>
      <c r="S83" s="106"/>
      <c r="T83" s="106"/>
      <c r="U83" s="106"/>
      <c r="V83" s="106"/>
      <c r="W83" s="106"/>
      <c r="X83" s="106"/>
      <c r="Y83" s="106"/>
    </row>
    <row r="84" spans="1:25" ht="15.75" customHeight="1">
      <c r="A84" s="108" t="s">
        <v>7</v>
      </c>
      <c r="B84" s="108" t="s">
        <v>266</v>
      </c>
      <c r="C84" s="108" t="s">
        <v>375</v>
      </c>
      <c r="D84" s="123"/>
      <c r="E84" s="123"/>
      <c r="F84" s="123"/>
      <c r="G84" s="123"/>
      <c r="H84" s="123"/>
      <c r="I84" s="146"/>
      <c r="J84" s="124"/>
      <c r="K84" s="125"/>
      <c r="L84" s="108" t="s">
        <v>376</v>
      </c>
      <c r="M84" s="112" t="s">
        <v>377</v>
      </c>
      <c r="N84" s="113" t="s">
        <v>345</v>
      </c>
      <c r="O84" s="113" t="s">
        <v>176</v>
      </c>
      <c r="P84" s="121"/>
      <c r="Q84" s="121"/>
      <c r="R84" s="121"/>
      <c r="S84" s="121"/>
      <c r="T84" s="121"/>
      <c r="U84" s="121"/>
      <c r="V84" s="121"/>
      <c r="W84" s="121"/>
      <c r="X84" s="121"/>
      <c r="Y84" s="121"/>
    </row>
    <row r="85" spans="1:25" ht="15.75" customHeight="1">
      <c r="A85" s="108" t="s">
        <v>7</v>
      </c>
      <c r="B85" s="108" t="s">
        <v>266</v>
      </c>
      <c r="C85" s="108" t="s">
        <v>378</v>
      </c>
      <c r="D85" s="123"/>
      <c r="E85" s="123"/>
      <c r="F85" s="123"/>
      <c r="G85" s="123"/>
      <c r="H85" s="123"/>
      <c r="I85" s="123"/>
      <c r="J85" s="124"/>
      <c r="K85" s="125"/>
      <c r="L85" s="108" t="s">
        <v>342</v>
      </c>
      <c r="M85" s="112" t="s">
        <v>379</v>
      </c>
      <c r="N85" s="113" t="s">
        <v>215</v>
      </c>
      <c r="O85" s="113" t="s">
        <v>176</v>
      </c>
      <c r="P85" s="121"/>
      <c r="Q85" s="121"/>
      <c r="R85" s="121"/>
      <c r="S85" s="121"/>
      <c r="T85" s="121"/>
      <c r="U85" s="121"/>
      <c r="V85" s="121"/>
      <c r="W85" s="121"/>
      <c r="X85" s="121"/>
      <c r="Y85" s="121"/>
    </row>
    <row r="86" spans="1:25" ht="15.75" customHeight="1">
      <c r="A86" s="108" t="s">
        <v>7</v>
      </c>
      <c r="B86" s="108" t="s">
        <v>266</v>
      </c>
      <c r="C86" s="108" t="s">
        <v>380</v>
      </c>
      <c r="D86" s="123"/>
      <c r="E86" s="123"/>
      <c r="F86" s="123"/>
      <c r="G86" s="123"/>
      <c r="H86" s="123"/>
      <c r="I86" s="146"/>
      <c r="J86" s="124"/>
      <c r="K86" s="125"/>
      <c r="L86" s="108" t="s">
        <v>376</v>
      </c>
      <c r="M86" s="112" t="s">
        <v>381</v>
      </c>
      <c r="N86" s="113" t="s">
        <v>345</v>
      </c>
      <c r="O86" s="113" t="s">
        <v>176</v>
      </c>
      <c r="P86" s="121"/>
      <c r="Q86" s="121"/>
      <c r="R86" s="121"/>
      <c r="S86" s="121"/>
      <c r="T86" s="121"/>
      <c r="U86" s="121"/>
      <c r="V86" s="121"/>
      <c r="W86" s="121"/>
      <c r="X86" s="121"/>
      <c r="Y86" s="121"/>
    </row>
    <row r="87" spans="1:25" ht="15.75" customHeight="1">
      <c r="A87" s="108" t="s">
        <v>7</v>
      </c>
      <c r="B87" s="108" t="s">
        <v>266</v>
      </c>
      <c r="C87" s="108" t="s">
        <v>382</v>
      </c>
      <c r="D87" s="123"/>
      <c r="E87" s="123"/>
      <c r="F87" s="123"/>
      <c r="G87" s="123"/>
      <c r="H87" s="123"/>
      <c r="I87" s="146"/>
      <c r="J87" s="124"/>
      <c r="K87" s="125"/>
      <c r="L87" s="108" t="s">
        <v>342</v>
      </c>
      <c r="M87" s="112" t="s">
        <v>383</v>
      </c>
      <c r="N87" s="113" t="s">
        <v>215</v>
      </c>
      <c r="O87" s="113" t="s">
        <v>176</v>
      </c>
      <c r="P87" s="121"/>
      <c r="Q87" s="121"/>
      <c r="R87" s="121"/>
      <c r="S87" s="121"/>
      <c r="T87" s="121"/>
      <c r="U87" s="121"/>
      <c r="V87" s="121"/>
      <c r="W87" s="121"/>
      <c r="X87" s="121"/>
      <c r="Y87" s="121"/>
    </row>
    <row r="88" spans="1:25" ht="15.75" customHeight="1">
      <c r="A88" s="107" t="s">
        <v>7</v>
      </c>
      <c r="B88" s="107" t="s">
        <v>266</v>
      </c>
      <c r="C88" s="108" t="s">
        <v>384</v>
      </c>
      <c r="D88" s="118"/>
      <c r="E88" s="118"/>
      <c r="F88" s="118"/>
      <c r="G88" s="118"/>
      <c r="H88" s="118"/>
      <c r="I88" s="134"/>
      <c r="J88" s="120"/>
      <c r="K88" s="115"/>
      <c r="L88" s="108" t="s">
        <v>342</v>
      </c>
      <c r="M88" s="112" t="s">
        <v>253</v>
      </c>
      <c r="N88" s="113" t="s">
        <v>215</v>
      </c>
      <c r="O88" s="113" t="s">
        <v>176</v>
      </c>
      <c r="P88" s="106"/>
      <c r="Q88" s="106"/>
      <c r="R88" s="106"/>
      <c r="S88" s="106"/>
      <c r="T88" s="106"/>
      <c r="U88" s="106"/>
      <c r="V88" s="106"/>
      <c r="W88" s="106"/>
      <c r="X88" s="106"/>
      <c r="Y88" s="106"/>
    </row>
    <row r="89" spans="1:25" ht="15.75" customHeight="1">
      <c r="A89" s="107" t="s">
        <v>7</v>
      </c>
      <c r="B89" s="107" t="s">
        <v>266</v>
      </c>
      <c r="C89" s="108" t="s">
        <v>385</v>
      </c>
      <c r="D89" s="118"/>
      <c r="E89" s="118"/>
      <c r="F89" s="118"/>
      <c r="G89" s="118"/>
      <c r="H89" s="118"/>
      <c r="I89" s="134"/>
      <c r="J89" s="119"/>
      <c r="K89" s="115"/>
      <c r="L89" s="108" t="s">
        <v>173</v>
      </c>
      <c r="M89" s="112" t="s">
        <v>386</v>
      </c>
      <c r="N89" s="113"/>
      <c r="O89" s="117" t="s">
        <v>236</v>
      </c>
      <c r="P89" s="106"/>
      <c r="Q89" s="106"/>
      <c r="R89" s="106"/>
      <c r="S89" s="106"/>
      <c r="T89" s="106"/>
      <c r="U89" s="106"/>
      <c r="V89" s="106"/>
      <c r="W89" s="106"/>
      <c r="X89" s="106"/>
      <c r="Y89" s="106"/>
    </row>
    <row r="90" spans="1:25" ht="15.75" customHeight="1">
      <c r="A90" s="107" t="s">
        <v>7</v>
      </c>
      <c r="B90" s="107" t="s">
        <v>266</v>
      </c>
      <c r="C90" s="108" t="s">
        <v>387</v>
      </c>
      <c r="D90" s="118"/>
      <c r="E90" s="118"/>
      <c r="F90" s="118"/>
      <c r="G90" s="118"/>
      <c r="H90" s="118"/>
      <c r="I90" s="134"/>
      <c r="J90" s="120"/>
      <c r="K90" s="115"/>
      <c r="L90" s="108" t="s">
        <v>173</v>
      </c>
      <c r="M90" s="112" t="s">
        <v>388</v>
      </c>
      <c r="N90" s="113" t="s">
        <v>215</v>
      </c>
      <c r="O90" s="113" t="s">
        <v>176</v>
      </c>
      <c r="P90" s="106"/>
      <c r="Q90" s="106"/>
      <c r="R90" s="106"/>
      <c r="S90" s="106"/>
      <c r="T90" s="106"/>
      <c r="U90" s="106"/>
      <c r="V90" s="106"/>
      <c r="W90" s="106"/>
      <c r="X90" s="106"/>
      <c r="Y90" s="106"/>
    </row>
    <row r="91" spans="1:25" ht="15.75" customHeight="1">
      <c r="A91" s="107" t="s">
        <v>7</v>
      </c>
      <c r="B91" s="107" t="s">
        <v>389</v>
      </c>
      <c r="C91" s="108" t="s">
        <v>390</v>
      </c>
      <c r="D91" s="109">
        <v>3101</v>
      </c>
      <c r="E91" s="107" t="s">
        <v>171</v>
      </c>
      <c r="F91" s="109">
        <v>360</v>
      </c>
      <c r="G91" s="109">
        <v>176</v>
      </c>
      <c r="H91" s="109">
        <v>48</v>
      </c>
      <c r="I91" s="109">
        <v>136</v>
      </c>
      <c r="J91" s="114">
        <v>241892.4298611111</v>
      </c>
      <c r="K91" s="116" t="s">
        <v>213</v>
      </c>
      <c r="L91" s="108" t="s">
        <v>173</v>
      </c>
      <c r="M91" s="112" t="s">
        <v>391</v>
      </c>
      <c r="N91" s="113"/>
      <c r="O91" s="117" t="s">
        <v>236</v>
      </c>
      <c r="P91" s="106"/>
      <c r="Q91" s="106"/>
      <c r="R91" s="106"/>
      <c r="S91" s="106"/>
      <c r="T91" s="106"/>
      <c r="U91" s="106"/>
      <c r="V91" s="106"/>
      <c r="W91" s="106"/>
      <c r="X91" s="106"/>
      <c r="Y91" s="106"/>
    </row>
    <row r="92" spans="1:25" ht="15.75" customHeight="1">
      <c r="A92" s="107" t="s">
        <v>7</v>
      </c>
      <c r="B92" s="107" t="s">
        <v>389</v>
      </c>
      <c r="C92" s="108" t="s">
        <v>392</v>
      </c>
      <c r="D92" s="109">
        <v>105886</v>
      </c>
      <c r="E92" s="107" t="s">
        <v>171</v>
      </c>
      <c r="F92" s="109">
        <v>8160</v>
      </c>
      <c r="G92" s="109">
        <v>7768</v>
      </c>
      <c r="H92" s="109">
        <v>272</v>
      </c>
      <c r="I92" s="109">
        <v>120</v>
      </c>
      <c r="J92" s="114">
        <v>241892.4298611111</v>
      </c>
      <c r="K92" s="116" t="s">
        <v>213</v>
      </c>
      <c r="L92" s="108" t="s">
        <v>173</v>
      </c>
      <c r="M92" s="112" t="s">
        <v>393</v>
      </c>
      <c r="N92" s="113"/>
      <c r="O92" s="117" t="s">
        <v>236</v>
      </c>
      <c r="P92" s="106"/>
      <c r="Q92" s="106"/>
      <c r="R92" s="106"/>
      <c r="S92" s="106"/>
      <c r="T92" s="106"/>
      <c r="U92" s="106"/>
      <c r="V92" s="106"/>
      <c r="W92" s="106"/>
      <c r="X92" s="106"/>
      <c r="Y92" s="106"/>
    </row>
    <row r="93" spans="1:25" ht="15.75" customHeight="1">
      <c r="A93" s="107" t="s">
        <v>7</v>
      </c>
      <c r="B93" s="107" t="s">
        <v>389</v>
      </c>
      <c r="C93" s="108" t="s">
        <v>394</v>
      </c>
      <c r="D93" s="109">
        <v>3101</v>
      </c>
      <c r="E93" s="107" t="s">
        <v>171</v>
      </c>
      <c r="F93" s="109">
        <v>2960</v>
      </c>
      <c r="G93" s="109">
        <v>2656</v>
      </c>
      <c r="H93" s="109">
        <v>232</v>
      </c>
      <c r="I93" s="109">
        <v>72</v>
      </c>
      <c r="J93" s="110" t="s">
        <v>395</v>
      </c>
      <c r="K93" s="116" t="s">
        <v>213</v>
      </c>
      <c r="L93" s="108" t="s">
        <v>173</v>
      </c>
      <c r="M93" s="112" t="s">
        <v>396</v>
      </c>
      <c r="N93" s="113" t="s">
        <v>175</v>
      </c>
      <c r="O93" s="113" t="s">
        <v>176</v>
      </c>
      <c r="P93" s="106"/>
      <c r="Q93" s="106"/>
      <c r="R93" s="106"/>
      <c r="S93" s="106"/>
      <c r="T93" s="106"/>
      <c r="U93" s="106"/>
      <c r="V93" s="106"/>
      <c r="W93" s="106"/>
      <c r="X93" s="106"/>
      <c r="Y93" s="106"/>
    </row>
    <row r="94" spans="1:25" ht="15.75" customHeight="1">
      <c r="A94" s="107" t="s">
        <v>7</v>
      </c>
      <c r="B94" s="107" t="s">
        <v>389</v>
      </c>
      <c r="C94" s="108" t="s">
        <v>397</v>
      </c>
      <c r="D94" s="109">
        <v>18686</v>
      </c>
      <c r="E94" s="107" t="s">
        <v>171</v>
      </c>
      <c r="F94" s="109">
        <v>1728</v>
      </c>
      <c r="G94" s="109">
        <v>1416</v>
      </c>
      <c r="H94" s="109">
        <v>136</v>
      </c>
      <c r="I94" s="109">
        <v>176</v>
      </c>
      <c r="J94" s="114">
        <v>241892.4298611111</v>
      </c>
      <c r="K94" s="116" t="s">
        <v>213</v>
      </c>
      <c r="L94" s="108" t="s">
        <v>173</v>
      </c>
      <c r="M94" s="112" t="s">
        <v>398</v>
      </c>
      <c r="N94" s="113"/>
      <c r="O94" s="117" t="s">
        <v>236</v>
      </c>
      <c r="P94" s="106"/>
      <c r="Q94" s="106"/>
      <c r="R94" s="106"/>
      <c r="S94" s="106"/>
      <c r="T94" s="106"/>
      <c r="U94" s="106"/>
      <c r="V94" s="106"/>
      <c r="W94" s="106"/>
      <c r="X94" s="106"/>
      <c r="Y94" s="106"/>
    </row>
    <row r="95" spans="1:25" ht="15.75" customHeight="1">
      <c r="A95" s="107" t="s">
        <v>7</v>
      </c>
      <c r="B95" s="107" t="s">
        <v>389</v>
      </c>
      <c r="C95" s="108" t="s">
        <v>399</v>
      </c>
      <c r="D95" s="109">
        <v>4125</v>
      </c>
      <c r="E95" s="107" t="s">
        <v>171</v>
      </c>
      <c r="F95" s="109">
        <v>1048</v>
      </c>
      <c r="G95" s="109">
        <v>728</v>
      </c>
      <c r="H95" s="109">
        <v>96</v>
      </c>
      <c r="I95" s="109">
        <v>224</v>
      </c>
      <c r="J95" s="114">
        <v>241892.4298611111</v>
      </c>
      <c r="K95" s="116" t="s">
        <v>213</v>
      </c>
      <c r="L95" s="108" t="s">
        <v>173</v>
      </c>
      <c r="M95" s="112" t="s">
        <v>400</v>
      </c>
      <c r="N95" s="113" t="s">
        <v>175</v>
      </c>
      <c r="O95" s="113" t="s">
        <v>176</v>
      </c>
      <c r="P95" s="106"/>
      <c r="Q95" s="106"/>
      <c r="R95" s="106"/>
      <c r="S95" s="106"/>
      <c r="T95" s="106"/>
      <c r="U95" s="106"/>
      <c r="V95" s="106"/>
      <c r="W95" s="106"/>
      <c r="X95" s="106"/>
      <c r="Y95" s="106"/>
    </row>
    <row r="96" spans="1:25" ht="15.75" customHeight="1">
      <c r="A96" s="107" t="s">
        <v>7</v>
      </c>
      <c r="B96" s="107" t="s">
        <v>389</v>
      </c>
      <c r="C96" s="108" t="s">
        <v>401</v>
      </c>
      <c r="D96" s="109">
        <v>52239</v>
      </c>
      <c r="E96" s="107" t="s">
        <v>171</v>
      </c>
      <c r="F96" s="109">
        <v>9568</v>
      </c>
      <c r="G96" s="109">
        <v>8456</v>
      </c>
      <c r="H96" s="109">
        <v>384</v>
      </c>
      <c r="I96" s="109">
        <v>728</v>
      </c>
      <c r="J96" s="114">
        <v>241892.4298611111</v>
      </c>
      <c r="K96" s="116" t="s">
        <v>213</v>
      </c>
      <c r="L96" s="108" t="s">
        <v>173</v>
      </c>
      <c r="M96" s="112" t="s">
        <v>402</v>
      </c>
      <c r="N96" s="113" t="s">
        <v>175</v>
      </c>
      <c r="O96" s="113" t="s">
        <v>176</v>
      </c>
      <c r="P96" s="106"/>
      <c r="Q96" s="106"/>
      <c r="R96" s="106"/>
      <c r="S96" s="106"/>
      <c r="T96" s="106"/>
      <c r="U96" s="106"/>
      <c r="V96" s="106"/>
      <c r="W96" s="106"/>
      <c r="X96" s="106"/>
      <c r="Y96" s="106"/>
    </row>
    <row r="97" spans="1:25" ht="15.75" customHeight="1">
      <c r="A97" s="107" t="s">
        <v>7</v>
      </c>
      <c r="B97" s="107" t="s">
        <v>389</v>
      </c>
      <c r="C97" s="108" t="s">
        <v>403</v>
      </c>
      <c r="D97" s="109">
        <v>13</v>
      </c>
      <c r="E97" s="107" t="s">
        <v>171</v>
      </c>
      <c r="F97" s="109">
        <v>72</v>
      </c>
      <c r="G97" s="109">
        <v>8</v>
      </c>
      <c r="H97" s="109">
        <v>8</v>
      </c>
      <c r="I97" s="109">
        <v>56</v>
      </c>
      <c r="J97" s="114">
        <v>242168.74444444446</v>
      </c>
      <c r="K97" s="116" t="s">
        <v>213</v>
      </c>
      <c r="L97" s="108" t="s">
        <v>173</v>
      </c>
      <c r="M97" s="112" t="s">
        <v>404</v>
      </c>
      <c r="N97" s="113"/>
      <c r="O97" s="117" t="s">
        <v>236</v>
      </c>
      <c r="P97" s="106"/>
      <c r="Q97" s="106"/>
      <c r="R97" s="106"/>
      <c r="S97" s="106"/>
      <c r="T97" s="106"/>
      <c r="U97" s="106"/>
      <c r="V97" s="106"/>
      <c r="W97" s="106"/>
      <c r="X97" s="106"/>
      <c r="Y97" s="106"/>
    </row>
    <row r="98" spans="1:25" ht="15.75" customHeight="1">
      <c r="A98" s="107" t="s">
        <v>7</v>
      </c>
      <c r="B98" s="107" t="s">
        <v>389</v>
      </c>
      <c r="C98" s="108" t="s">
        <v>405</v>
      </c>
      <c r="D98" s="109">
        <v>14</v>
      </c>
      <c r="E98" s="107" t="s">
        <v>171</v>
      </c>
      <c r="F98" s="109">
        <v>72</v>
      </c>
      <c r="G98" s="109">
        <v>8</v>
      </c>
      <c r="H98" s="109">
        <v>8</v>
      </c>
      <c r="I98" s="109">
        <v>56</v>
      </c>
      <c r="J98" s="114">
        <v>242194.50833333333</v>
      </c>
      <c r="K98" s="116" t="s">
        <v>213</v>
      </c>
      <c r="L98" s="108" t="s">
        <v>173</v>
      </c>
      <c r="M98" s="112" t="s">
        <v>406</v>
      </c>
      <c r="N98" s="113" t="s">
        <v>175</v>
      </c>
      <c r="O98" s="113" t="s">
        <v>176</v>
      </c>
      <c r="P98" s="106"/>
      <c r="Q98" s="106"/>
      <c r="R98" s="106"/>
      <c r="S98" s="106"/>
      <c r="T98" s="106"/>
      <c r="U98" s="106"/>
      <c r="V98" s="106"/>
      <c r="W98" s="106"/>
      <c r="X98" s="106"/>
      <c r="Y98" s="106"/>
    </row>
    <row r="99" spans="1:25" ht="15.75" customHeight="1">
      <c r="A99" s="107" t="s">
        <v>7</v>
      </c>
      <c r="B99" s="107" t="s">
        <v>389</v>
      </c>
      <c r="C99" s="108" t="s">
        <v>407</v>
      </c>
      <c r="D99" s="109">
        <v>1806</v>
      </c>
      <c r="E99" s="107" t="s">
        <v>171</v>
      </c>
      <c r="F99" s="109">
        <v>288</v>
      </c>
      <c r="G99" s="109">
        <v>160</v>
      </c>
      <c r="H99" s="109">
        <v>40</v>
      </c>
      <c r="I99" s="109">
        <v>88</v>
      </c>
      <c r="J99" s="114">
        <v>241892.4298611111</v>
      </c>
      <c r="K99" s="116" t="s">
        <v>213</v>
      </c>
      <c r="L99" s="108" t="s">
        <v>173</v>
      </c>
      <c r="M99" s="112" t="s">
        <v>408</v>
      </c>
      <c r="N99" s="113"/>
      <c r="O99" s="117" t="s">
        <v>236</v>
      </c>
      <c r="P99" s="106"/>
      <c r="Q99" s="106"/>
      <c r="R99" s="106"/>
      <c r="S99" s="106"/>
      <c r="T99" s="106"/>
      <c r="U99" s="106"/>
      <c r="V99" s="106"/>
      <c r="W99" s="106"/>
      <c r="X99" s="106"/>
      <c r="Y99" s="106"/>
    </row>
    <row r="100" spans="1:25" ht="15" customHeight="1">
      <c r="A100" s="107" t="s">
        <v>7</v>
      </c>
      <c r="B100" s="107" t="s">
        <v>389</v>
      </c>
      <c r="C100" s="108" t="s">
        <v>409</v>
      </c>
      <c r="D100" s="109">
        <v>846050</v>
      </c>
      <c r="E100" s="107" t="s">
        <v>171</v>
      </c>
      <c r="F100" s="109">
        <v>60544</v>
      </c>
      <c r="G100" s="109">
        <v>59384</v>
      </c>
      <c r="H100" s="109">
        <v>968</v>
      </c>
      <c r="I100" s="109">
        <v>192</v>
      </c>
      <c r="J100" s="114">
        <v>241892.4298611111</v>
      </c>
      <c r="K100" s="116" t="s">
        <v>213</v>
      </c>
      <c r="L100" s="108" t="s">
        <v>173</v>
      </c>
      <c r="M100" s="112" t="s">
        <v>410</v>
      </c>
      <c r="N100" s="113"/>
      <c r="O100" s="117" t="s">
        <v>236</v>
      </c>
      <c r="P100" s="106"/>
      <c r="Q100" s="106"/>
      <c r="R100" s="106"/>
      <c r="S100" s="106"/>
      <c r="T100" s="106"/>
      <c r="U100" s="106"/>
      <c r="V100" s="106"/>
      <c r="W100" s="106"/>
      <c r="X100" s="106"/>
      <c r="Y100" s="106"/>
    </row>
    <row r="101" spans="1:25" ht="15.75" customHeight="1">
      <c r="A101" s="107" t="s">
        <v>7</v>
      </c>
      <c r="B101" s="107" t="s">
        <v>389</v>
      </c>
      <c r="C101" s="108" t="s">
        <v>411</v>
      </c>
      <c r="D101" s="109">
        <v>2420</v>
      </c>
      <c r="E101" s="107" t="s">
        <v>171</v>
      </c>
      <c r="F101" s="109">
        <v>592</v>
      </c>
      <c r="G101" s="109">
        <v>440</v>
      </c>
      <c r="H101" s="109">
        <v>24</v>
      </c>
      <c r="I101" s="109">
        <v>128</v>
      </c>
      <c r="J101" s="114">
        <v>242708.74652777778</v>
      </c>
      <c r="K101" s="116" t="s">
        <v>213</v>
      </c>
      <c r="L101" s="108" t="s">
        <v>173</v>
      </c>
      <c r="M101" s="112" t="s">
        <v>412</v>
      </c>
      <c r="N101" s="113" t="s">
        <v>175</v>
      </c>
      <c r="O101" s="113" t="s">
        <v>176</v>
      </c>
      <c r="P101" s="106"/>
      <c r="Q101" s="106"/>
      <c r="R101" s="106"/>
      <c r="S101" s="106"/>
      <c r="T101" s="106"/>
      <c r="U101" s="106"/>
      <c r="V101" s="106"/>
      <c r="W101" s="106"/>
      <c r="X101" s="106"/>
      <c r="Y101" s="106"/>
    </row>
    <row r="102" spans="1:25" ht="15.75" customHeight="1">
      <c r="A102" s="107" t="s">
        <v>7</v>
      </c>
      <c r="B102" s="107" t="s">
        <v>389</v>
      </c>
      <c r="C102" s="108" t="s">
        <v>413</v>
      </c>
      <c r="D102" s="109">
        <v>623</v>
      </c>
      <c r="E102" s="107" t="s">
        <v>171</v>
      </c>
      <c r="F102" s="109">
        <v>288</v>
      </c>
      <c r="G102" s="109">
        <v>128</v>
      </c>
      <c r="H102" s="109">
        <v>40</v>
      </c>
      <c r="I102" s="109">
        <v>120</v>
      </c>
      <c r="J102" s="114">
        <v>242494.42499999999</v>
      </c>
      <c r="K102" s="116" t="s">
        <v>213</v>
      </c>
      <c r="L102" s="108" t="s">
        <v>173</v>
      </c>
      <c r="M102" s="112" t="s">
        <v>414</v>
      </c>
      <c r="N102" s="113" t="s">
        <v>215</v>
      </c>
      <c r="O102" s="113" t="s">
        <v>176</v>
      </c>
      <c r="P102" s="106"/>
      <c r="Q102" s="106"/>
      <c r="R102" s="106"/>
      <c r="S102" s="106"/>
      <c r="T102" s="106"/>
      <c r="U102" s="106"/>
      <c r="V102" s="106"/>
      <c r="W102" s="106"/>
      <c r="X102" s="106"/>
      <c r="Y102" s="106"/>
    </row>
    <row r="103" spans="1:25" ht="15.75" customHeight="1">
      <c r="A103" s="107" t="s">
        <v>7</v>
      </c>
      <c r="B103" s="107" t="s">
        <v>415</v>
      </c>
      <c r="C103" s="108" t="s">
        <v>416</v>
      </c>
      <c r="D103" s="109">
        <v>1206290</v>
      </c>
      <c r="E103" s="107" t="s">
        <v>171</v>
      </c>
      <c r="F103" s="109">
        <v>316168</v>
      </c>
      <c r="G103" s="109">
        <v>219304</v>
      </c>
      <c r="H103" s="109">
        <v>94328</v>
      </c>
      <c r="I103" s="109">
        <v>2536</v>
      </c>
      <c r="J103" s="110" t="s">
        <v>417</v>
      </c>
      <c r="K103" s="115"/>
      <c r="L103" s="108" t="s">
        <v>173</v>
      </c>
      <c r="M103" s="112" t="s">
        <v>418</v>
      </c>
      <c r="N103" s="113" t="s">
        <v>215</v>
      </c>
      <c r="O103" s="113" t="s">
        <v>176</v>
      </c>
      <c r="P103" s="106"/>
      <c r="Q103" s="106"/>
      <c r="R103" s="106"/>
      <c r="S103" s="106"/>
      <c r="T103" s="106"/>
      <c r="U103" s="106"/>
      <c r="V103" s="106"/>
      <c r="W103" s="106"/>
      <c r="X103" s="106"/>
      <c r="Y103" s="106"/>
    </row>
    <row r="104" spans="1:25" ht="15.75" customHeight="1">
      <c r="A104" s="107" t="s">
        <v>7</v>
      </c>
      <c r="B104" s="107" t="s">
        <v>415</v>
      </c>
      <c r="C104" s="108" t="s">
        <v>419</v>
      </c>
      <c r="D104" s="109">
        <v>483017</v>
      </c>
      <c r="E104" s="107" t="s">
        <v>171</v>
      </c>
      <c r="F104" s="109">
        <v>124448</v>
      </c>
      <c r="G104" s="109">
        <v>102248</v>
      </c>
      <c r="H104" s="109">
        <v>19104</v>
      </c>
      <c r="I104" s="109">
        <v>3096</v>
      </c>
      <c r="J104" s="110" t="s">
        <v>420</v>
      </c>
      <c r="K104" s="115"/>
      <c r="L104" s="108" t="s">
        <v>173</v>
      </c>
      <c r="M104" s="112" t="s">
        <v>418</v>
      </c>
      <c r="N104" s="113" t="s">
        <v>215</v>
      </c>
      <c r="O104" s="113" t="s">
        <v>176</v>
      </c>
      <c r="P104" s="106"/>
      <c r="Q104" s="106"/>
      <c r="R104" s="106"/>
      <c r="S104" s="106"/>
      <c r="T104" s="106"/>
      <c r="U104" s="106"/>
      <c r="V104" s="106"/>
      <c r="W104" s="106"/>
      <c r="X104" s="106"/>
      <c r="Y104" s="106"/>
    </row>
    <row r="105" spans="1:25" ht="15.75" customHeight="1">
      <c r="A105" s="107" t="s">
        <v>7</v>
      </c>
      <c r="B105" s="107" t="s">
        <v>415</v>
      </c>
      <c r="C105" s="108" t="s">
        <v>421</v>
      </c>
      <c r="D105" s="109">
        <v>721983</v>
      </c>
      <c r="E105" s="107" t="s">
        <v>171</v>
      </c>
      <c r="F105" s="109">
        <v>351672</v>
      </c>
      <c r="G105" s="109">
        <v>215264</v>
      </c>
      <c r="H105" s="109">
        <v>57352</v>
      </c>
      <c r="I105" s="109">
        <v>79056</v>
      </c>
      <c r="J105" s="110" t="s">
        <v>422</v>
      </c>
      <c r="K105" s="115"/>
      <c r="L105" s="108" t="s">
        <v>262</v>
      </c>
      <c r="M105" s="112" t="s">
        <v>423</v>
      </c>
      <c r="N105" s="113" t="s">
        <v>215</v>
      </c>
      <c r="O105" s="113" t="s">
        <v>176</v>
      </c>
      <c r="P105" s="106"/>
      <c r="Q105" s="106"/>
      <c r="R105" s="106"/>
      <c r="S105" s="106"/>
      <c r="T105" s="106"/>
      <c r="U105" s="106"/>
      <c r="V105" s="106"/>
      <c r="W105" s="106"/>
      <c r="X105" s="106"/>
      <c r="Y105" s="106"/>
    </row>
    <row r="106" spans="1:25" ht="15.75" customHeight="1">
      <c r="A106" s="107" t="s">
        <v>7</v>
      </c>
      <c r="B106" s="107" t="s">
        <v>415</v>
      </c>
      <c r="C106" s="108" t="s">
        <v>424</v>
      </c>
      <c r="D106" s="109">
        <v>221324</v>
      </c>
      <c r="E106" s="107" t="s">
        <v>171</v>
      </c>
      <c r="F106" s="109">
        <v>259368</v>
      </c>
      <c r="G106" s="109">
        <v>143632</v>
      </c>
      <c r="H106" s="109">
        <v>43016</v>
      </c>
      <c r="I106" s="109">
        <v>72720</v>
      </c>
      <c r="J106" s="110" t="s">
        <v>425</v>
      </c>
      <c r="K106" s="115"/>
      <c r="L106" s="108" t="s">
        <v>262</v>
      </c>
      <c r="M106" s="112" t="s">
        <v>426</v>
      </c>
      <c r="N106" s="113" t="s">
        <v>215</v>
      </c>
      <c r="O106" s="113" t="s">
        <v>176</v>
      </c>
      <c r="P106" s="106"/>
      <c r="Q106" s="106"/>
      <c r="R106" s="106"/>
      <c r="S106" s="106"/>
      <c r="T106" s="106"/>
      <c r="U106" s="106"/>
      <c r="V106" s="106"/>
      <c r="W106" s="106"/>
      <c r="X106" s="106"/>
      <c r="Y106" s="106"/>
    </row>
    <row r="107" spans="1:25" ht="15.75" customHeight="1">
      <c r="A107" s="107" t="s">
        <v>7</v>
      </c>
      <c r="B107" s="107" t="s">
        <v>415</v>
      </c>
      <c r="C107" s="108" t="s">
        <v>427</v>
      </c>
      <c r="D107" s="109">
        <v>592540</v>
      </c>
      <c r="E107" s="107" t="s">
        <v>171</v>
      </c>
      <c r="F107" s="109">
        <v>200728</v>
      </c>
      <c r="G107" s="109">
        <v>133312</v>
      </c>
      <c r="H107" s="109">
        <v>49416</v>
      </c>
      <c r="I107" s="109">
        <v>18000</v>
      </c>
      <c r="J107" s="110" t="s">
        <v>428</v>
      </c>
      <c r="K107" s="115"/>
      <c r="L107" s="108" t="s">
        <v>173</v>
      </c>
      <c r="M107" s="112" t="s">
        <v>429</v>
      </c>
      <c r="N107" s="113" t="s">
        <v>215</v>
      </c>
      <c r="O107" s="113" t="s">
        <v>176</v>
      </c>
      <c r="P107" s="106"/>
      <c r="Q107" s="106"/>
      <c r="R107" s="106"/>
      <c r="S107" s="106"/>
      <c r="T107" s="106"/>
      <c r="U107" s="106"/>
      <c r="V107" s="106"/>
      <c r="W107" s="106"/>
      <c r="X107" s="106"/>
      <c r="Y107" s="106"/>
    </row>
    <row r="108" spans="1:25" ht="15.75" customHeight="1">
      <c r="A108" s="107" t="s">
        <v>7</v>
      </c>
      <c r="B108" s="107" t="s">
        <v>415</v>
      </c>
      <c r="C108" s="108" t="s">
        <v>430</v>
      </c>
      <c r="D108" s="109">
        <v>210488</v>
      </c>
      <c r="E108" s="107" t="s">
        <v>171</v>
      </c>
      <c r="F108" s="109">
        <v>104328</v>
      </c>
      <c r="G108" s="109">
        <v>73248</v>
      </c>
      <c r="H108" s="109">
        <v>22912</v>
      </c>
      <c r="I108" s="109">
        <v>8168</v>
      </c>
      <c r="J108" s="110" t="s">
        <v>431</v>
      </c>
      <c r="K108" s="115"/>
      <c r="L108" s="108" t="s">
        <v>173</v>
      </c>
      <c r="M108" s="112" t="s">
        <v>432</v>
      </c>
      <c r="N108" s="113" t="s">
        <v>215</v>
      </c>
      <c r="O108" s="113" t="s">
        <v>176</v>
      </c>
      <c r="P108" s="106"/>
      <c r="Q108" s="106"/>
      <c r="R108" s="106"/>
      <c r="S108" s="106"/>
      <c r="T108" s="106"/>
      <c r="U108" s="106"/>
      <c r="V108" s="106"/>
      <c r="W108" s="106"/>
      <c r="X108" s="106"/>
      <c r="Y108" s="106"/>
    </row>
    <row r="109" spans="1:25" ht="15.75" customHeight="1">
      <c r="A109" s="107" t="s">
        <v>7</v>
      </c>
      <c r="B109" s="107" t="s">
        <v>415</v>
      </c>
      <c r="C109" s="108" t="s">
        <v>433</v>
      </c>
      <c r="D109" s="109">
        <v>6576212</v>
      </c>
      <c r="E109" s="107" t="s">
        <v>171</v>
      </c>
      <c r="F109" s="109">
        <v>2394312</v>
      </c>
      <c r="G109" s="109">
        <v>1877632</v>
      </c>
      <c r="H109" s="109">
        <v>513944</v>
      </c>
      <c r="I109" s="109">
        <v>2736</v>
      </c>
      <c r="J109" s="114">
        <v>239397.70902777778</v>
      </c>
      <c r="K109" s="115"/>
      <c r="L109" s="108" t="s">
        <v>342</v>
      </c>
      <c r="M109" s="112" t="s">
        <v>434</v>
      </c>
      <c r="N109" s="113" t="s">
        <v>215</v>
      </c>
      <c r="O109" s="113" t="s">
        <v>176</v>
      </c>
      <c r="P109" s="106"/>
      <c r="Q109" s="106"/>
      <c r="R109" s="106"/>
      <c r="S109" s="106"/>
      <c r="T109" s="106"/>
      <c r="U109" s="106"/>
      <c r="V109" s="106"/>
      <c r="W109" s="106"/>
      <c r="X109" s="106"/>
      <c r="Y109" s="106"/>
    </row>
    <row r="110" spans="1:25" ht="15.75" customHeight="1">
      <c r="A110" s="107" t="s">
        <v>7</v>
      </c>
      <c r="B110" s="107" t="s">
        <v>415</v>
      </c>
      <c r="C110" s="108" t="s">
        <v>435</v>
      </c>
      <c r="D110" s="109">
        <v>1404824</v>
      </c>
      <c r="E110" s="107" t="s">
        <v>171</v>
      </c>
      <c r="F110" s="109">
        <v>1829368</v>
      </c>
      <c r="G110" s="109">
        <v>1605504</v>
      </c>
      <c r="H110" s="109">
        <v>217416</v>
      </c>
      <c r="I110" s="109">
        <v>6448</v>
      </c>
      <c r="J110" s="110" t="s">
        <v>436</v>
      </c>
      <c r="K110" s="115"/>
      <c r="L110" s="108" t="s">
        <v>342</v>
      </c>
      <c r="M110" s="112" t="s">
        <v>437</v>
      </c>
      <c r="N110" s="113" t="s">
        <v>215</v>
      </c>
      <c r="O110" s="113" t="s">
        <v>176</v>
      </c>
      <c r="P110" s="106"/>
      <c r="Q110" s="106"/>
      <c r="R110" s="106"/>
      <c r="S110" s="106"/>
      <c r="T110" s="106"/>
      <c r="U110" s="106"/>
      <c r="V110" s="106"/>
      <c r="W110" s="106"/>
      <c r="X110" s="106"/>
      <c r="Y110" s="106"/>
    </row>
    <row r="111" spans="1:25" ht="15.75" customHeight="1">
      <c r="A111" s="107" t="s">
        <v>7</v>
      </c>
      <c r="B111" s="107" t="s">
        <v>415</v>
      </c>
      <c r="C111" s="108" t="s">
        <v>438</v>
      </c>
      <c r="D111" s="109">
        <v>6648381</v>
      </c>
      <c r="E111" s="107" t="s">
        <v>171</v>
      </c>
      <c r="F111" s="109">
        <v>2820552</v>
      </c>
      <c r="G111" s="109">
        <v>2295904</v>
      </c>
      <c r="H111" s="109">
        <v>522112</v>
      </c>
      <c r="I111" s="109">
        <v>2536</v>
      </c>
      <c r="J111" s="110" t="s">
        <v>439</v>
      </c>
      <c r="K111" s="115"/>
      <c r="L111" s="108" t="s">
        <v>342</v>
      </c>
      <c r="M111" s="112" t="s">
        <v>434</v>
      </c>
      <c r="N111" s="113" t="s">
        <v>215</v>
      </c>
      <c r="O111" s="113" t="s">
        <v>176</v>
      </c>
      <c r="P111" s="106"/>
      <c r="Q111" s="106"/>
      <c r="R111" s="106"/>
      <c r="S111" s="106"/>
      <c r="T111" s="106"/>
      <c r="U111" s="106"/>
      <c r="V111" s="106"/>
      <c r="W111" s="106"/>
      <c r="X111" s="106"/>
      <c r="Y111" s="106"/>
    </row>
    <row r="112" spans="1:25" ht="15.75" customHeight="1">
      <c r="A112" s="107" t="s">
        <v>7</v>
      </c>
      <c r="B112" s="107" t="s">
        <v>415</v>
      </c>
      <c r="C112" s="108" t="s">
        <v>440</v>
      </c>
      <c r="D112" s="109">
        <v>1417029</v>
      </c>
      <c r="E112" s="107" t="s">
        <v>171</v>
      </c>
      <c r="F112" s="109">
        <v>2447152</v>
      </c>
      <c r="G112" s="109">
        <v>1889536</v>
      </c>
      <c r="H112" s="109">
        <v>548728</v>
      </c>
      <c r="I112" s="109">
        <v>8888</v>
      </c>
      <c r="J112" s="110" t="s">
        <v>441</v>
      </c>
      <c r="K112" s="115"/>
      <c r="L112" s="108" t="s">
        <v>342</v>
      </c>
      <c r="M112" s="112" t="s">
        <v>437</v>
      </c>
      <c r="N112" s="113" t="s">
        <v>215</v>
      </c>
      <c r="O112" s="113" t="s">
        <v>176</v>
      </c>
      <c r="P112" s="106"/>
      <c r="Q112" s="106"/>
      <c r="R112" s="106"/>
      <c r="S112" s="106"/>
      <c r="T112" s="106"/>
      <c r="U112" s="106"/>
      <c r="V112" s="106"/>
      <c r="W112" s="106"/>
      <c r="X112" s="106"/>
      <c r="Y112" s="106"/>
    </row>
    <row r="113" spans="1:25" ht="15.75" customHeight="1">
      <c r="A113" s="107" t="s">
        <v>7</v>
      </c>
      <c r="B113" s="107" t="s">
        <v>415</v>
      </c>
      <c r="C113" s="108" t="s">
        <v>442</v>
      </c>
      <c r="D113" s="109">
        <v>21232</v>
      </c>
      <c r="E113" s="107" t="s">
        <v>171</v>
      </c>
      <c r="F113" s="109">
        <v>9424</v>
      </c>
      <c r="G113" s="109">
        <v>7088</v>
      </c>
      <c r="H113" s="109">
        <v>360</v>
      </c>
      <c r="I113" s="109">
        <v>1976</v>
      </c>
      <c r="J113" s="110" t="s">
        <v>443</v>
      </c>
      <c r="K113" s="115"/>
      <c r="L113" s="108" t="s">
        <v>342</v>
      </c>
      <c r="M113" s="112" t="s">
        <v>444</v>
      </c>
      <c r="N113" s="113"/>
      <c r="O113" s="113" t="s">
        <v>176</v>
      </c>
      <c r="P113" s="106"/>
      <c r="Q113" s="106"/>
      <c r="R113" s="106"/>
      <c r="S113" s="106"/>
      <c r="T113" s="106"/>
      <c r="U113" s="106"/>
      <c r="V113" s="106"/>
      <c r="W113" s="106"/>
      <c r="X113" s="106"/>
      <c r="Y113" s="106"/>
    </row>
    <row r="114" spans="1:25" ht="15.75" customHeight="1">
      <c r="A114" s="107" t="s">
        <v>7</v>
      </c>
      <c r="B114" s="107" t="s">
        <v>415</v>
      </c>
      <c r="C114" s="108" t="s">
        <v>445</v>
      </c>
      <c r="D114" s="109">
        <v>13419</v>
      </c>
      <c r="E114" s="107" t="s">
        <v>171</v>
      </c>
      <c r="F114" s="109">
        <v>26264</v>
      </c>
      <c r="G114" s="109">
        <v>22216</v>
      </c>
      <c r="H114" s="109">
        <v>640</v>
      </c>
      <c r="I114" s="109">
        <v>3408</v>
      </c>
      <c r="J114" s="110" t="s">
        <v>446</v>
      </c>
      <c r="K114" s="115"/>
      <c r="L114" s="108" t="s">
        <v>342</v>
      </c>
      <c r="M114" s="112" t="s">
        <v>447</v>
      </c>
      <c r="N114" s="113" t="s">
        <v>345</v>
      </c>
      <c r="O114" s="113" t="s">
        <v>176</v>
      </c>
      <c r="P114" s="106"/>
      <c r="Q114" s="106"/>
      <c r="R114" s="106"/>
      <c r="S114" s="106"/>
      <c r="T114" s="106"/>
      <c r="U114" s="106"/>
      <c r="V114" s="106"/>
      <c r="W114" s="106"/>
      <c r="X114" s="106"/>
      <c r="Y114" s="106"/>
    </row>
    <row r="115" spans="1:25" ht="15.75" customHeight="1">
      <c r="A115" s="107" t="s">
        <v>7</v>
      </c>
      <c r="B115" s="107" t="s">
        <v>415</v>
      </c>
      <c r="C115" s="108" t="s">
        <v>448</v>
      </c>
      <c r="D115" s="109">
        <v>1992</v>
      </c>
      <c r="E115" s="107" t="s">
        <v>171</v>
      </c>
      <c r="F115" s="109">
        <v>776</v>
      </c>
      <c r="G115" s="109">
        <v>480</v>
      </c>
      <c r="H115" s="109">
        <v>80</v>
      </c>
      <c r="I115" s="109">
        <v>216</v>
      </c>
      <c r="J115" s="110" t="s">
        <v>449</v>
      </c>
      <c r="K115" s="115"/>
      <c r="L115" s="108" t="s">
        <v>450</v>
      </c>
      <c r="M115" s="112" t="s">
        <v>451</v>
      </c>
      <c r="N115" s="113" t="s">
        <v>345</v>
      </c>
      <c r="O115" s="113" t="s">
        <v>176</v>
      </c>
      <c r="P115" s="106"/>
      <c r="Q115" s="106"/>
      <c r="R115" s="106"/>
      <c r="S115" s="106"/>
      <c r="T115" s="106"/>
      <c r="U115" s="106"/>
      <c r="V115" s="106"/>
      <c r="W115" s="106"/>
      <c r="X115" s="106"/>
      <c r="Y115" s="106"/>
    </row>
    <row r="116" spans="1:25" ht="15.75" customHeight="1">
      <c r="A116" s="107" t="s">
        <v>7</v>
      </c>
      <c r="B116" s="107" t="s">
        <v>415</v>
      </c>
      <c r="C116" s="108" t="s">
        <v>452</v>
      </c>
      <c r="D116" s="109">
        <v>2141651</v>
      </c>
      <c r="E116" s="107" t="s">
        <v>171</v>
      </c>
      <c r="F116" s="109">
        <v>1058880</v>
      </c>
      <c r="G116" s="109">
        <v>974360</v>
      </c>
      <c r="H116" s="109">
        <v>83776</v>
      </c>
      <c r="I116" s="109">
        <v>744</v>
      </c>
      <c r="J116" s="114">
        <v>242497.48333333334</v>
      </c>
      <c r="K116" s="115"/>
      <c r="L116" s="108" t="s">
        <v>342</v>
      </c>
      <c r="M116" s="112" t="s">
        <v>453</v>
      </c>
      <c r="N116" s="113"/>
      <c r="O116" s="113" t="s">
        <v>176</v>
      </c>
      <c r="P116" s="106"/>
      <c r="Q116" s="106"/>
      <c r="R116" s="106"/>
      <c r="S116" s="106"/>
      <c r="T116" s="106"/>
      <c r="U116" s="106"/>
      <c r="V116" s="106"/>
      <c r="W116" s="106"/>
      <c r="X116" s="106"/>
      <c r="Y116" s="106"/>
    </row>
    <row r="117" spans="1:25" ht="15.75" customHeight="1">
      <c r="A117" s="107" t="s">
        <v>7</v>
      </c>
      <c r="B117" s="107" t="s">
        <v>415</v>
      </c>
      <c r="C117" s="108" t="s">
        <v>454</v>
      </c>
      <c r="D117" s="109">
        <v>466297</v>
      </c>
      <c r="E117" s="107" t="s">
        <v>171</v>
      </c>
      <c r="F117" s="109">
        <v>1163920</v>
      </c>
      <c r="G117" s="109">
        <v>1009912</v>
      </c>
      <c r="H117" s="109">
        <v>145880</v>
      </c>
      <c r="I117" s="109">
        <v>8128</v>
      </c>
      <c r="J117" s="110" t="s">
        <v>455</v>
      </c>
      <c r="K117" s="115"/>
      <c r="L117" s="108" t="s">
        <v>342</v>
      </c>
      <c r="M117" s="112" t="s">
        <v>456</v>
      </c>
      <c r="N117" s="113" t="s">
        <v>345</v>
      </c>
      <c r="O117" s="113" t="s">
        <v>176</v>
      </c>
      <c r="P117" s="106"/>
      <c r="Q117" s="106"/>
      <c r="R117" s="106"/>
      <c r="S117" s="106"/>
      <c r="T117" s="106"/>
      <c r="U117" s="106"/>
      <c r="V117" s="106"/>
      <c r="W117" s="106"/>
      <c r="X117" s="106"/>
      <c r="Y117" s="106"/>
    </row>
    <row r="118" spans="1:25" ht="15.75" customHeight="1">
      <c r="A118" s="107" t="s">
        <v>7</v>
      </c>
      <c r="B118" s="107" t="s">
        <v>415</v>
      </c>
      <c r="C118" s="108" t="s">
        <v>457</v>
      </c>
      <c r="D118" s="118"/>
      <c r="E118" s="118"/>
      <c r="F118" s="118"/>
      <c r="G118" s="118"/>
      <c r="H118" s="118"/>
      <c r="I118" s="118"/>
      <c r="J118" s="120"/>
      <c r="K118" s="115"/>
      <c r="L118" s="108" t="s">
        <v>173</v>
      </c>
      <c r="M118" s="112" t="s">
        <v>458</v>
      </c>
      <c r="N118" s="113" t="s">
        <v>345</v>
      </c>
      <c r="O118" s="113" t="s">
        <v>176</v>
      </c>
      <c r="P118" s="106"/>
      <c r="Q118" s="106"/>
      <c r="R118" s="106"/>
      <c r="S118" s="106"/>
      <c r="T118" s="106"/>
      <c r="U118" s="106"/>
      <c r="V118" s="106"/>
      <c r="W118" s="106"/>
      <c r="X118" s="106"/>
      <c r="Y118" s="106"/>
    </row>
    <row r="119" spans="1:25" ht="15.75" customHeight="1">
      <c r="A119" s="107" t="s">
        <v>7</v>
      </c>
      <c r="B119" s="107" t="s">
        <v>415</v>
      </c>
      <c r="C119" s="108" t="s">
        <v>459</v>
      </c>
      <c r="D119" s="118"/>
      <c r="E119" s="118"/>
      <c r="F119" s="118"/>
      <c r="G119" s="118"/>
      <c r="H119" s="118"/>
      <c r="I119" s="134"/>
      <c r="J119" s="120"/>
      <c r="K119" s="115"/>
      <c r="L119" s="108" t="s">
        <v>173</v>
      </c>
      <c r="M119" s="112" t="s">
        <v>460</v>
      </c>
      <c r="N119" s="113"/>
      <c r="O119" s="117" t="s">
        <v>236</v>
      </c>
      <c r="P119" s="106"/>
      <c r="Q119" s="106"/>
      <c r="R119" s="106"/>
      <c r="S119" s="106"/>
      <c r="T119" s="106"/>
      <c r="U119" s="106"/>
      <c r="V119" s="106"/>
      <c r="W119" s="106"/>
      <c r="X119" s="106"/>
      <c r="Y119" s="106"/>
    </row>
    <row r="120" spans="1:25" ht="15.75" customHeight="1">
      <c r="A120" s="107" t="s">
        <v>7</v>
      </c>
      <c r="B120" s="147" t="s">
        <v>266</v>
      </c>
      <c r="C120" s="148" t="s">
        <v>461</v>
      </c>
      <c r="D120" s="149"/>
      <c r="E120" s="149"/>
      <c r="F120" s="149"/>
      <c r="G120" s="149"/>
      <c r="H120" s="149"/>
      <c r="I120" s="149"/>
      <c r="J120" s="150"/>
      <c r="K120" s="106"/>
      <c r="L120" s="108" t="s">
        <v>173</v>
      </c>
      <c r="M120" s="112" t="s">
        <v>462</v>
      </c>
      <c r="N120" s="113"/>
      <c r="O120" s="117" t="s">
        <v>236</v>
      </c>
      <c r="P120" s="106"/>
      <c r="Q120" s="106"/>
      <c r="R120" s="106"/>
      <c r="S120" s="106"/>
      <c r="T120" s="106"/>
      <c r="U120" s="106"/>
      <c r="V120" s="106"/>
      <c r="W120" s="106"/>
      <c r="X120" s="106"/>
      <c r="Y120" s="106"/>
    </row>
    <row r="121" spans="1:25" ht="15.75" customHeight="1">
      <c r="A121" s="107" t="s">
        <v>7</v>
      </c>
      <c r="B121" s="147" t="s">
        <v>266</v>
      </c>
      <c r="C121" s="151" t="s">
        <v>463</v>
      </c>
      <c r="D121" s="149"/>
      <c r="E121" s="149"/>
      <c r="F121" s="149"/>
      <c r="G121" s="149"/>
      <c r="H121" s="149"/>
      <c r="I121" s="149"/>
      <c r="J121" s="150"/>
      <c r="K121" s="106"/>
      <c r="L121" s="108" t="s">
        <v>173</v>
      </c>
      <c r="M121" s="112" t="s">
        <v>464</v>
      </c>
      <c r="N121" s="113" t="s">
        <v>465</v>
      </c>
      <c r="O121" s="113" t="s">
        <v>176</v>
      </c>
      <c r="P121" s="106"/>
      <c r="Q121" s="106"/>
      <c r="R121" s="106"/>
      <c r="S121" s="106"/>
      <c r="T121" s="106"/>
      <c r="U121" s="106"/>
      <c r="V121" s="106"/>
      <c r="W121" s="106"/>
      <c r="X121" s="106"/>
      <c r="Y121" s="106"/>
    </row>
    <row r="122" spans="1:25" ht="15.75" customHeight="1">
      <c r="A122" s="149"/>
      <c r="B122" s="149"/>
      <c r="C122" s="152"/>
      <c r="D122" s="149"/>
      <c r="E122" s="149"/>
      <c r="F122" s="149"/>
      <c r="G122" s="149"/>
      <c r="H122" s="149"/>
      <c r="I122" s="149"/>
      <c r="J122" s="150"/>
      <c r="K122" s="106"/>
      <c r="L122" s="121"/>
      <c r="M122" s="121"/>
      <c r="N122" s="106"/>
      <c r="O122" s="106"/>
      <c r="P122" s="106"/>
      <c r="Q122" s="106"/>
      <c r="R122" s="106"/>
      <c r="S122" s="106"/>
      <c r="T122" s="106"/>
      <c r="U122" s="106"/>
      <c r="V122" s="106"/>
      <c r="W122" s="106"/>
      <c r="X122" s="106"/>
      <c r="Y122" s="106"/>
    </row>
    <row r="123" spans="1:25" ht="15.75" customHeight="1">
      <c r="A123" s="149"/>
      <c r="B123" s="149"/>
      <c r="C123" s="149"/>
      <c r="D123" s="149"/>
      <c r="E123" s="149"/>
      <c r="F123" s="149"/>
      <c r="G123" s="149"/>
      <c r="H123" s="149"/>
      <c r="I123" s="149"/>
      <c r="J123" s="153"/>
      <c r="K123" s="106"/>
      <c r="L123" s="121"/>
      <c r="M123" s="121"/>
      <c r="N123" s="106"/>
      <c r="O123" s="106"/>
      <c r="P123" s="106"/>
      <c r="Q123" s="106"/>
      <c r="R123" s="106"/>
      <c r="S123" s="106"/>
      <c r="T123" s="106"/>
      <c r="U123" s="106"/>
      <c r="V123" s="106"/>
      <c r="W123" s="106"/>
      <c r="X123" s="106"/>
      <c r="Y123" s="106"/>
    </row>
    <row r="124" spans="1:25" ht="15.75" customHeight="1">
      <c r="A124" s="149"/>
      <c r="B124" s="149"/>
      <c r="C124" s="149"/>
      <c r="D124" s="149"/>
      <c r="E124" s="149"/>
      <c r="F124" s="149"/>
      <c r="G124" s="149"/>
      <c r="H124" s="149"/>
      <c r="I124" s="149"/>
      <c r="J124" s="150"/>
      <c r="K124" s="106"/>
      <c r="L124" s="121"/>
      <c r="M124" s="121"/>
      <c r="N124" s="106"/>
      <c r="O124" s="106"/>
      <c r="P124" s="106"/>
      <c r="Q124" s="106"/>
      <c r="R124" s="106"/>
      <c r="S124" s="106"/>
      <c r="T124" s="106"/>
      <c r="U124" s="106"/>
      <c r="V124" s="106"/>
      <c r="W124" s="106"/>
      <c r="X124" s="106"/>
      <c r="Y124" s="106"/>
    </row>
    <row r="125" spans="1:25" ht="15.75" customHeight="1">
      <c r="A125" s="149"/>
      <c r="B125" s="149"/>
      <c r="C125" s="149"/>
      <c r="D125" s="149"/>
      <c r="E125" s="149"/>
      <c r="F125" s="149"/>
      <c r="G125" s="149"/>
      <c r="H125" s="149"/>
      <c r="I125" s="149"/>
      <c r="J125" s="150"/>
      <c r="K125" s="106"/>
      <c r="L125" s="121"/>
      <c r="M125" s="121"/>
      <c r="N125" s="106"/>
      <c r="O125" s="106"/>
      <c r="P125" s="106"/>
      <c r="Q125" s="106"/>
      <c r="R125" s="106"/>
      <c r="S125" s="106"/>
      <c r="T125" s="106"/>
      <c r="U125" s="106"/>
      <c r="V125" s="106"/>
      <c r="W125" s="106"/>
      <c r="X125" s="106"/>
      <c r="Y125" s="106"/>
    </row>
    <row r="126" spans="1:25" ht="15.75" customHeight="1">
      <c r="A126" s="149"/>
      <c r="B126" s="149"/>
      <c r="C126" s="149"/>
      <c r="D126" s="149"/>
      <c r="E126" s="149"/>
      <c r="F126" s="149"/>
      <c r="G126" s="149"/>
      <c r="H126" s="149"/>
      <c r="I126" s="149"/>
      <c r="J126" s="153"/>
      <c r="K126" s="106"/>
      <c r="L126" s="121"/>
      <c r="M126" s="121"/>
      <c r="N126" s="106"/>
      <c r="O126" s="106"/>
      <c r="P126" s="106"/>
      <c r="Q126" s="106"/>
      <c r="R126" s="106"/>
      <c r="S126" s="106"/>
      <c r="T126" s="106"/>
      <c r="U126" s="106"/>
      <c r="V126" s="106"/>
      <c r="W126" s="106"/>
      <c r="X126" s="106"/>
      <c r="Y126" s="106"/>
    </row>
    <row r="127" spans="1:25" ht="15.75" customHeight="1">
      <c r="A127" s="149"/>
      <c r="B127" s="149"/>
      <c r="C127" s="149"/>
      <c r="D127" s="149"/>
      <c r="E127" s="149"/>
      <c r="F127" s="149"/>
      <c r="G127" s="149"/>
      <c r="H127" s="149"/>
      <c r="I127" s="149"/>
      <c r="J127" s="150"/>
      <c r="K127" s="106"/>
      <c r="L127" s="121"/>
      <c r="M127" s="121"/>
      <c r="N127" s="106"/>
      <c r="O127" s="106"/>
      <c r="P127" s="106"/>
      <c r="Q127" s="106"/>
      <c r="R127" s="106"/>
      <c r="S127" s="106"/>
      <c r="T127" s="106"/>
      <c r="U127" s="106"/>
      <c r="V127" s="106"/>
      <c r="W127" s="106"/>
      <c r="X127" s="106"/>
      <c r="Y127" s="106"/>
    </row>
    <row r="128" spans="1:25" ht="15.75" customHeight="1">
      <c r="A128" s="149"/>
      <c r="B128" s="149"/>
      <c r="C128" s="149"/>
      <c r="D128" s="149"/>
      <c r="E128" s="149"/>
      <c r="F128" s="149"/>
      <c r="G128" s="149"/>
      <c r="H128" s="149"/>
      <c r="I128" s="149"/>
      <c r="J128" s="153"/>
      <c r="K128" s="106"/>
      <c r="L128" s="121"/>
      <c r="M128" s="121"/>
      <c r="N128" s="106"/>
      <c r="O128" s="106"/>
      <c r="P128" s="106"/>
      <c r="Q128" s="106"/>
      <c r="R128" s="106"/>
      <c r="S128" s="106"/>
      <c r="T128" s="106"/>
      <c r="U128" s="106"/>
      <c r="V128" s="106"/>
      <c r="W128" s="106"/>
      <c r="X128" s="106"/>
      <c r="Y128" s="106"/>
    </row>
    <row r="129" spans="1:25" ht="15.75" customHeight="1">
      <c r="A129" s="149"/>
      <c r="B129" s="149"/>
      <c r="C129" s="149"/>
      <c r="D129" s="149"/>
      <c r="E129" s="149"/>
      <c r="F129" s="149"/>
      <c r="G129" s="149"/>
      <c r="H129" s="149"/>
      <c r="I129" s="149"/>
      <c r="J129" s="153"/>
      <c r="K129" s="106"/>
      <c r="L129" s="121"/>
      <c r="M129" s="121"/>
      <c r="N129" s="106"/>
      <c r="O129" s="106"/>
      <c r="P129" s="106"/>
      <c r="Q129" s="106"/>
      <c r="R129" s="106"/>
      <c r="S129" s="106"/>
      <c r="T129" s="106"/>
      <c r="U129" s="106"/>
      <c r="V129" s="106"/>
      <c r="W129" s="106"/>
      <c r="X129" s="106"/>
      <c r="Y129" s="106"/>
    </row>
    <row r="130" spans="1:25" ht="15.75" customHeight="1">
      <c r="A130" s="149"/>
      <c r="B130" s="149"/>
      <c r="C130" s="149"/>
      <c r="D130" s="149"/>
      <c r="E130" s="149"/>
      <c r="F130" s="149"/>
      <c r="G130" s="149"/>
      <c r="H130" s="149"/>
      <c r="I130" s="149"/>
      <c r="J130" s="153"/>
      <c r="K130" s="106"/>
      <c r="L130" s="121"/>
      <c r="M130" s="121"/>
      <c r="N130" s="106"/>
      <c r="O130" s="106"/>
      <c r="P130" s="106"/>
      <c r="Q130" s="106"/>
      <c r="R130" s="106"/>
      <c r="S130" s="106"/>
      <c r="T130" s="106"/>
      <c r="U130" s="106"/>
      <c r="V130" s="106"/>
      <c r="W130" s="106"/>
      <c r="X130" s="106"/>
      <c r="Y130" s="106"/>
    </row>
    <row r="131" spans="1:25" ht="15.75" customHeight="1">
      <c r="A131" s="149"/>
      <c r="B131" s="149"/>
      <c r="C131" s="149"/>
      <c r="D131" s="149"/>
      <c r="E131" s="149"/>
      <c r="F131" s="149"/>
      <c r="G131" s="149"/>
      <c r="H131" s="149"/>
      <c r="I131" s="149"/>
      <c r="J131" s="150"/>
      <c r="K131" s="106"/>
      <c r="L131" s="121"/>
      <c r="M131" s="121"/>
      <c r="N131" s="106"/>
      <c r="O131" s="106"/>
      <c r="P131" s="106"/>
      <c r="Q131" s="106"/>
      <c r="R131" s="106"/>
      <c r="S131" s="106"/>
      <c r="T131" s="106"/>
      <c r="U131" s="106"/>
      <c r="V131" s="106"/>
      <c r="W131" s="106"/>
      <c r="X131" s="106"/>
      <c r="Y131" s="106"/>
    </row>
    <row r="132" spans="1:25" ht="15.75" customHeight="1">
      <c r="A132" s="149"/>
      <c r="B132" s="149"/>
      <c r="C132" s="149"/>
      <c r="D132" s="149"/>
      <c r="E132" s="149"/>
      <c r="F132" s="149"/>
      <c r="G132" s="149"/>
      <c r="H132" s="149"/>
      <c r="I132" s="149"/>
      <c r="J132" s="153"/>
      <c r="K132" s="106"/>
      <c r="L132" s="121"/>
      <c r="M132" s="121"/>
      <c r="N132" s="106"/>
      <c r="O132" s="106"/>
      <c r="P132" s="106"/>
      <c r="Q132" s="106"/>
      <c r="R132" s="106"/>
      <c r="S132" s="106"/>
      <c r="T132" s="106"/>
      <c r="U132" s="106"/>
      <c r="V132" s="106"/>
      <c r="W132" s="106"/>
      <c r="X132" s="106"/>
      <c r="Y132" s="106"/>
    </row>
    <row r="133" spans="1:25" ht="15.75" customHeight="1">
      <c r="A133" s="149"/>
      <c r="B133" s="149"/>
      <c r="C133" s="149"/>
      <c r="D133" s="149"/>
      <c r="E133" s="149"/>
      <c r="F133" s="149"/>
      <c r="G133" s="149"/>
      <c r="H133" s="149"/>
      <c r="I133" s="149"/>
      <c r="J133" s="153"/>
      <c r="K133" s="106"/>
      <c r="L133" s="121"/>
      <c r="M133" s="121"/>
      <c r="N133" s="106"/>
      <c r="O133" s="106"/>
      <c r="P133" s="106"/>
      <c r="Q133" s="106"/>
      <c r="R133" s="106"/>
      <c r="S133" s="106"/>
      <c r="T133" s="106"/>
      <c r="U133" s="106"/>
      <c r="V133" s="106"/>
      <c r="W133" s="106"/>
      <c r="X133" s="106"/>
      <c r="Y133" s="106"/>
    </row>
    <row r="134" spans="1:25" ht="15.75" customHeight="1">
      <c r="A134" s="149"/>
      <c r="B134" s="149"/>
      <c r="C134" s="149"/>
      <c r="D134" s="149"/>
      <c r="E134" s="149"/>
      <c r="F134" s="149"/>
      <c r="G134" s="149"/>
      <c r="H134" s="149"/>
      <c r="I134" s="149"/>
      <c r="J134" s="153"/>
      <c r="K134" s="106"/>
      <c r="L134" s="121"/>
      <c r="M134" s="121"/>
      <c r="N134" s="106"/>
      <c r="O134" s="106"/>
      <c r="P134" s="106"/>
      <c r="Q134" s="106"/>
      <c r="R134" s="106"/>
      <c r="S134" s="106"/>
      <c r="T134" s="106"/>
      <c r="U134" s="106"/>
      <c r="V134" s="106"/>
      <c r="W134" s="106"/>
      <c r="X134" s="106"/>
      <c r="Y134" s="106"/>
    </row>
    <row r="135" spans="1:25" ht="15.75" customHeight="1">
      <c r="A135" s="149"/>
      <c r="B135" s="149"/>
      <c r="C135" s="149"/>
      <c r="D135" s="149"/>
      <c r="E135" s="149"/>
      <c r="F135" s="149"/>
      <c r="G135" s="149"/>
      <c r="H135" s="149"/>
      <c r="I135" s="149"/>
      <c r="J135" s="153"/>
      <c r="K135" s="106"/>
      <c r="L135" s="121"/>
      <c r="M135" s="121"/>
      <c r="N135" s="106"/>
      <c r="O135" s="106"/>
      <c r="P135" s="106"/>
      <c r="Q135" s="106"/>
      <c r="R135" s="106"/>
      <c r="S135" s="106"/>
      <c r="T135" s="106"/>
      <c r="U135" s="106"/>
      <c r="V135" s="106"/>
      <c r="W135" s="106"/>
      <c r="X135" s="106"/>
      <c r="Y135" s="106"/>
    </row>
    <row r="136" spans="1:25" ht="15.75" customHeight="1">
      <c r="A136" s="149"/>
      <c r="B136" s="149"/>
      <c r="C136" s="149"/>
      <c r="D136" s="149"/>
      <c r="E136" s="149"/>
      <c r="F136" s="149"/>
      <c r="G136" s="149"/>
      <c r="H136" s="149"/>
      <c r="I136" s="149"/>
      <c r="J136" s="150"/>
      <c r="K136" s="106"/>
      <c r="L136" s="121"/>
      <c r="M136" s="121"/>
      <c r="N136" s="106"/>
      <c r="O136" s="106"/>
      <c r="P136" s="106"/>
      <c r="Q136" s="106"/>
      <c r="R136" s="106"/>
      <c r="S136" s="106"/>
      <c r="T136" s="106"/>
      <c r="U136" s="106"/>
      <c r="V136" s="106"/>
      <c r="W136" s="106"/>
      <c r="X136" s="106"/>
      <c r="Y136" s="106"/>
    </row>
    <row r="137" spans="1:25" ht="15.75" customHeight="1">
      <c r="A137" s="149"/>
      <c r="B137" s="149"/>
      <c r="C137" s="149"/>
      <c r="D137" s="149"/>
      <c r="E137" s="149"/>
      <c r="F137" s="149"/>
      <c r="G137" s="149"/>
      <c r="H137" s="149"/>
      <c r="I137" s="149"/>
      <c r="J137" s="150"/>
      <c r="K137" s="106"/>
      <c r="L137" s="121"/>
      <c r="M137" s="121"/>
      <c r="N137" s="106"/>
      <c r="O137" s="106"/>
      <c r="P137" s="106"/>
      <c r="Q137" s="106"/>
      <c r="R137" s="106"/>
      <c r="S137" s="106"/>
      <c r="T137" s="106"/>
      <c r="U137" s="106"/>
      <c r="V137" s="106"/>
      <c r="W137" s="106"/>
      <c r="X137" s="106"/>
      <c r="Y137" s="106"/>
    </row>
    <row r="138" spans="1:25" ht="15.75" customHeight="1">
      <c r="A138" s="149"/>
      <c r="B138" s="149"/>
      <c r="C138" s="149"/>
      <c r="D138" s="149"/>
      <c r="E138" s="149"/>
      <c r="F138" s="149"/>
      <c r="G138" s="149"/>
      <c r="H138" s="149"/>
      <c r="I138" s="149"/>
      <c r="J138" s="150"/>
      <c r="K138" s="106"/>
      <c r="L138" s="121"/>
      <c r="M138" s="121"/>
      <c r="N138" s="106"/>
      <c r="O138" s="106"/>
      <c r="P138" s="106"/>
      <c r="Q138" s="106"/>
      <c r="R138" s="106"/>
      <c r="S138" s="106"/>
      <c r="T138" s="106"/>
      <c r="U138" s="106"/>
      <c r="V138" s="106"/>
      <c r="W138" s="106"/>
      <c r="X138" s="106"/>
      <c r="Y138" s="106"/>
    </row>
    <row r="139" spans="1:25" ht="15.75" customHeight="1">
      <c r="A139" s="149"/>
      <c r="B139" s="149"/>
      <c r="C139" s="149"/>
      <c r="D139" s="149"/>
      <c r="E139" s="149"/>
      <c r="F139" s="149"/>
      <c r="G139" s="149"/>
      <c r="H139" s="149"/>
      <c r="I139" s="149"/>
      <c r="J139" s="150"/>
      <c r="K139" s="106"/>
      <c r="L139" s="121"/>
      <c r="M139" s="121"/>
      <c r="N139" s="106"/>
      <c r="O139" s="106"/>
      <c r="P139" s="106"/>
      <c r="Q139" s="106"/>
      <c r="R139" s="106"/>
      <c r="S139" s="106"/>
      <c r="T139" s="106"/>
      <c r="U139" s="106"/>
      <c r="V139" s="106"/>
      <c r="W139" s="106"/>
      <c r="X139" s="106"/>
      <c r="Y139" s="106"/>
    </row>
    <row r="140" spans="1:25" ht="15.75" customHeight="1">
      <c r="A140" s="149"/>
      <c r="B140" s="149"/>
      <c r="C140" s="149"/>
      <c r="D140" s="149"/>
      <c r="E140" s="149"/>
      <c r="F140" s="149"/>
      <c r="G140" s="149"/>
      <c r="H140" s="149"/>
      <c r="I140" s="149"/>
      <c r="J140" s="150"/>
      <c r="K140" s="106"/>
      <c r="L140" s="121"/>
      <c r="M140" s="121"/>
      <c r="N140" s="106"/>
      <c r="O140" s="106"/>
      <c r="P140" s="106"/>
      <c r="Q140" s="106"/>
      <c r="R140" s="106"/>
      <c r="S140" s="106"/>
      <c r="T140" s="106"/>
      <c r="U140" s="106"/>
      <c r="V140" s="106"/>
      <c r="W140" s="106"/>
      <c r="X140" s="106"/>
      <c r="Y140" s="106"/>
    </row>
    <row r="141" spans="1:25" ht="15.75" customHeight="1">
      <c r="A141" s="149"/>
      <c r="B141" s="149"/>
      <c r="C141" s="149"/>
      <c r="D141" s="149"/>
      <c r="E141" s="149"/>
      <c r="F141" s="149"/>
      <c r="G141" s="149"/>
      <c r="H141" s="149"/>
      <c r="I141" s="149"/>
      <c r="J141" s="150"/>
      <c r="K141" s="106"/>
      <c r="L141" s="121"/>
      <c r="M141" s="121"/>
      <c r="N141" s="106"/>
      <c r="O141" s="106"/>
      <c r="P141" s="106"/>
      <c r="Q141" s="106"/>
      <c r="R141" s="106"/>
      <c r="S141" s="106"/>
      <c r="T141" s="106"/>
      <c r="U141" s="106"/>
      <c r="V141" s="106"/>
      <c r="W141" s="106"/>
      <c r="X141" s="106"/>
      <c r="Y141" s="106"/>
    </row>
    <row r="142" spans="1:25" ht="15.75" customHeight="1">
      <c r="A142" s="149"/>
      <c r="B142" s="149"/>
      <c r="C142" s="149"/>
      <c r="D142" s="149"/>
      <c r="E142" s="149"/>
      <c r="F142" s="149"/>
      <c r="G142" s="149"/>
      <c r="H142" s="149"/>
      <c r="I142" s="149"/>
      <c r="J142" s="150"/>
      <c r="K142" s="106"/>
      <c r="L142" s="121"/>
      <c r="M142" s="121"/>
      <c r="N142" s="106"/>
      <c r="O142" s="106"/>
      <c r="P142" s="106"/>
      <c r="Q142" s="106"/>
      <c r="R142" s="106"/>
      <c r="S142" s="106"/>
      <c r="T142" s="106"/>
      <c r="U142" s="106"/>
      <c r="V142" s="106"/>
      <c r="W142" s="106"/>
      <c r="X142" s="106"/>
      <c r="Y142" s="106"/>
    </row>
    <row r="143" spans="1:25" ht="15.75" customHeight="1">
      <c r="A143" s="149"/>
      <c r="B143" s="149"/>
      <c r="C143" s="149"/>
      <c r="D143" s="149"/>
      <c r="E143" s="149"/>
      <c r="F143" s="149"/>
      <c r="G143" s="149"/>
      <c r="H143" s="149"/>
      <c r="I143" s="149"/>
      <c r="J143" s="150"/>
      <c r="K143" s="106"/>
      <c r="L143" s="121"/>
      <c r="M143" s="121"/>
      <c r="N143" s="106"/>
      <c r="O143" s="106"/>
      <c r="P143" s="106"/>
      <c r="Q143" s="106"/>
      <c r="R143" s="106"/>
      <c r="S143" s="106"/>
      <c r="T143" s="106"/>
      <c r="U143" s="106"/>
      <c r="V143" s="106"/>
      <c r="W143" s="106"/>
      <c r="X143" s="106"/>
      <c r="Y143" s="106"/>
    </row>
    <row r="144" spans="1:25" ht="15.75" customHeight="1">
      <c r="A144" s="149"/>
      <c r="B144" s="149"/>
      <c r="C144" s="149"/>
      <c r="D144" s="149"/>
      <c r="E144" s="149"/>
      <c r="F144" s="149"/>
      <c r="G144" s="149"/>
      <c r="H144" s="149"/>
      <c r="I144" s="149"/>
      <c r="J144" s="150"/>
      <c r="K144" s="106"/>
      <c r="L144" s="121"/>
      <c r="M144" s="121"/>
      <c r="N144" s="106"/>
      <c r="O144" s="106"/>
      <c r="P144" s="106"/>
      <c r="Q144" s="106"/>
      <c r="R144" s="106"/>
      <c r="S144" s="106"/>
      <c r="T144" s="106"/>
      <c r="U144" s="106"/>
      <c r="V144" s="106"/>
      <c r="W144" s="106"/>
      <c r="X144" s="106"/>
      <c r="Y144" s="106"/>
    </row>
    <row r="145" spans="1:25" ht="15.75" customHeight="1">
      <c r="A145" s="149"/>
      <c r="B145" s="149"/>
      <c r="C145" s="149"/>
      <c r="D145" s="149"/>
      <c r="E145" s="149"/>
      <c r="F145" s="149"/>
      <c r="G145" s="149"/>
      <c r="H145" s="149"/>
      <c r="I145" s="149"/>
      <c r="J145" s="150"/>
      <c r="K145" s="106"/>
      <c r="L145" s="121"/>
      <c r="M145" s="121"/>
      <c r="N145" s="106"/>
      <c r="O145" s="106"/>
      <c r="P145" s="106"/>
      <c r="Q145" s="106"/>
      <c r="R145" s="106"/>
      <c r="S145" s="106"/>
      <c r="T145" s="106"/>
      <c r="U145" s="106"/>
      <c r="V145" s="106"/>
      <c r="W145" s="106"/>
      <c r="X145" s="106"/>
      <c r="Y145" s="106"/>
    </row>
    <row r="146" spans="1:25" ht="15.75" customHeight="1">
      <c r="A146" s="149"/>
      <c r="B146" s="149"/>
      <c r="C146" s="149"/>
      <c r="D146" s="149"/>
      <c r="E146" s="149"/>
      <c r="F146" s="149"/>
      <c r="G146" s="149"/>
      <c r="H146" s="149"/>
      <c r="I146" s="149"/>
      <c r="J146" s="150"/>
      <c r="K146" s="106"/>
      <c r="L146" s="121"/>
      <c r="M146" s="121"/>
      <c r="N146" s="106"/>
      <c r="O146" s="106"/>
      <c r="P146" s="106"/>
      <c r="Q146" s="106"/>
      <c r="R146" s="106"/>
      <c r="S146" s="106"/>
      <c r="T146" s="106"/>
      <c r="U146" s="106"/>
      <c r="V146" s="106"/>
      <c r="W146" s="106"/>
      <c r="X146" s="106"/>
      <c r="Y146" s="106"/>
    </row>
    <row r="147" spans="1:25" ht="15.75" customHeight="1">
      <c r="A147" s="149"/>
      <c r="B147" s="149"/>
      <c r="C147" s="149"/>
      <c r="D147" s="149"/>
      <c r="E147" s="149"/>
      <c r="F147" s="149"/>
      <c r="G147" s="149"/>
      <c r="H147" s="149"/>
      <c r="I147" s="149"/>
      <c r="J147" s="150"/>
      <c r="K147" s="106"/>
      <c r="L147" s="121"/>
      <c r="M147" s="121"/>
      <c r="N147" s="106"/>
      <c r="O147" s="106"/>
      <c r="P147" s="106"/>
      <c r="Q147" s="106"/>
      <c r="R147" s="106"/>
      <c r="S147" s="106"/>
      <c r="T147" s="106"/>
      <c r="U147" s="106"/>
      <c r="V147" s="106"/>
      <c r="W147" s="106"/>
      <c r="X147" s="106"/>
      <c r="Y147" s="106"/>
    </row>
    <row r="148" spans="1:25" ht="15.75" customHeight="1">
      <c r="A148" s="149"/>
      <c r="B148" s="149"/>
      <c r="C148" s="149"/>
      <c r="D148" s="149"/>
      <c r="E148" s="149"/>
      <c r="F148" s="149"/>
      <c r="G148" s="149"/>
      <c r="H148" s="149"/>
      <c r="I148" s="149"/>
      <c r="J148" s="150"/>
      <c r="K148" s="106"/>
      <c r="L148" s="121"/>
      <c r="M148" s="121"/>
      <c r="N148" s="106"/>
      <c r="O148" s="106"/>
      <c r="P148" s="106"/>
      <c r="Q148" s="106"/>
      <c r="R148" s="106"/>
      <c r="S148" s="106"/>
      <c r="T148" s="106"/>
      <c r="U148" s="106"/>
      <c r="V148" s="106"/>
      <c r="W148" s="106"/>
      <c r="X148" s="106"/>
      <c r="Y148" s="106"/>
    </row>
    <row r="149" spans="1:25" ht="15.75" customHeight="1">
      <c r="A149" s="149"/>
      <c r="B149" s="149"/>
      <c r="C149" s="149"/>
      <c r="D149" s="149"/>
      <c r="E149" s="149"/>
      <c r="F149" s="149"/>
      <c r="G149" s="149"/>
      <c r="H149" s="149"/>
      <c r="I149" s="149"/>
      <c r="J149" s="150"/>
      <c r="K149" s="106"/>
      <c r="L149" s="121"/>
      <c r="M149" s="121"/>
      <c r="N149" s="106"/>
      <c r="O149" s="106"/>
      <c r="P149" s="106"/>
      <c r="Q149" s="106"/>
      <c r="R149" s="106"/>
      <c r="S149" s="106"/>
      <c r="T149" s="106"/>
      <c r="U149" s="106"/>
      <c r="V149" s="106"/>
      <c r="W149" s="106"/>
      <c r="X149" s="106"/>
      <c r="Y149" s="106"/>
    </row>
    <row r="150" spans="1:25" ht="15.75" customHeight="1">
      <c r="A150" s="149"/>
      <c r="B150" s="149"/>
      <c r="C150" s="149"/>
      <c r="D150" s="149"/>
      <c r="E150" s="149"/>
      <c r="F150" s="149"/>
      <c r="G150" s="149"/>
      <c r="H150" s="149"/>
      <c r="I150" s="149"/>
      <c r="J150" s="150"/>
      <c r="K150" s="106"/>
      <c r="L150" s="121"/>
      <c r="M150" s="121"/>
      <c r="N150" s="106"/>
      <c r="O150" s="106"/>
      <c r="P150" s="106"/>
      <c r="Q150" s="106"/>
      <c r="R150" s="106"/>
      <c r="S150" s="106"/>
      <c r="T150" s="106"/>
      <c r="U150" s="106"/>
      <c r="V150" s="106"/>
      <c r="W150" s="106"/>
      <c r="X150" s="106"/>
      <c r="Y150" s="106"/>
    </row>
    <row r="151" spans="1:25" ht="15.75" customHeight="1">
      <c r="A151" s="149"/>
      <c r="B151" s="149"/>
      <c r="C151" s="149"/>
      <c r="D151" s="149"/>
      <c r="E151" s="149"/>
      <c r="F151" s="149"/>
      <c r="G151" s="149"/>
      <c r="H151" s="149"/>
      <c r="I151" s="149"/>
      <c r="J151" s="150"/>
      <c r="K151" s="106"/>
      <c r="L151" s="121"/>
      <c r="M151" s="121"/>
      <c r="N151" s="106"/>
      <c r="O151" s="106"/>
      <c r="P151" s="106"/>
      <c r="Q151" s="106"/>
      <c r="R151" s="106"/>
      <c r="S151" s="106"/>
      <c r="T151" s="106"/>
      <c r="U151" s="106"/>
      <c r="V151" s="106"/>
      <c r="W151" s="106"/>
      <c r="X151" s="106"/>
      <c r="Y151" s="106"/>
    </row>
    <row r="152" spans="1:25" ht="15.75" customHeight="1">
      <c r="A152" s="149"/>
      <c r="B152" s="149"/>
      <c r="C152" s="149"/>
      <c r="D152" s="149"/>
      <c r="E152" s="149"/>
      <c r="F152" s="149"/>
      <c r="G152" s="149"/>
      <c r="H152" s="149"/>
      <c r="I152" s="149"/>
      <c r="J152" s="150"/>
      <c r="K152" s="106"/>
      <c r="L152" s="121"/>
      <c r="M152" s="121"/>
      <c r="N152" s="106"/>
      <c r="O152" s="106"/>
      <c r="P152" s="106"/>
      <c r="Q152" s="106"/>
      <c r="R152" s="106"/>
      <c r="S152" s="106"/>
      <c r="T152" s="106"/>
      <c r="U152" s="106"/>
      <c r="V152" s="106"/>
      <c r="W152" s="106"/>
      <c r="X152" s="106"/>
      <c r="Y152" s="106"/>
    </row>
    <row r="153" spans="1:25" ht="15.75" customHeight="1">
      <c r="A153" s="149"/>
      <c r="B153" s="149"/>
      <c r="C153" s="149"/>
      <c r="D153" s="149"/>
      <c r="E153" s="149"/>
      <c r="F153" s="149"/>
      <c r="G153" s="149"/>
      <c r="H153" s="149"/>
      <c r="I153" s="149"/>
      <c r="J153" s="150"/>
      <c r="K153" s="106"/>
      <c r="L153" s="121"/>
      <c r="M153" s="121"/>
      <c r="N153" s="106"/>
      <c r="O153" s="106"/>
      <c r="P153" s="106"/>
      <c r="Q153" s="106"/>
      <c r="R153" s="106"/>
      <c r="S153" s="106"/>
      <c r="T153" s="106"/>
      <c r="U153" s="106"/>
      <c r="V153" s="106"/>
      <c r="W153" s="106"/>
      <c r="X153" s="106"/>
      <c r="Y153" s="106"/>
    </row>
    <row r="154" spans="1:25" ht="15.75" customHeight="1">
      <c r="A154" s="149"/>
      <c r="B154" s="149"/>
      <c r="C154" s="149"/>
      <c r="D154" s="149"/>
      <c r="E154" s="149"/>
      <c r="F154" s="149"/>
      <c r="G154" s="149"/>
      <c r="H154" s="149"/>
      <c r="I154" s="149"/>
      <c r="J154" s="150"/>
      <c r="K154" s="106"/>
      <c r="L154" s="121"/>
      <c r="M154" s="121"/>
      <c r="N154" s="106"/>
      <c r="O154" s="106"/>
      <c r="P154" s="106"/>
      <c r="Q154" s="106"/>
      <c r="R154" s="106"/>
      <c r="S154" s="106"/>
      <c r="T154" s="106"/>
      <c r="U154" s="106"/>
      <c r="V154" s="106"/>
      <c r="W154" s="106"/>
      <c r="X154" s="106"/>
      <c r="Y154" s="106"/>
    </row>
    <row r="155" spans="1:25" ht="15.75" customHeight="1">
      <c r="A155" s="149"/>
      <c r="B155" s="149"/>
      <c r="C155" s="149"/>
      <c r="D155" s="149"/>
      <c r="E155" s="149"/>
      <c r="F155" s="149"/>
      <c r="G155" s="149"/>
      <c r="H155" s="149"/>
      <c r="I155" s="149"/>
      <c r="J155" s="150"/>
      <c r="K155" s="106"/>
      <c r="L155" s="121"/>
      <c r="M155" s="121"/>
      <c r="N155" s="106"/>
      <c r="O155" s="106"/>
      <c r="P155" s="106"/>
      <c r="Q155" s="106"/>
      <c r="R155" s="106"/>
      <c r="S155" s="106"/>
      <c r="T155" s="106"/>
      <c r="U155" s="106"/>
      <c r="V155" s="106"/>
      <c r="W155" s="106"/>
      <c r="X155" s="106"/>
      <c r="Y155" s="106"/>
    </row>
    <row r="156" spans="1:25" ht="15.75" customHeight="1">
      <c r="A156" s="149"/>
      <c r="B156" s="149"/>
      <c r="C156" s="149"/>
      <c r="D156" s="149"/>
      <c r="E156" s="149"/>
      <c r="F156" s="149"/>
      <c r="G156" s="149"/>
      <c r="H156" s="149"/>
      <c r="I156" s="149"/>
      <c r="J156" s="150"/>
      <c r="K156" s="106"/>
      <c r="L156" s="121"/>
      <c r="M156" s="121"/>
      <c r="N156" s="106"/>
      <c r="O156" s="106"/>
      <c r="P156" s="106"/>
      <c r="Q156" s="106"/>
      <c r="R156" s="106"/>
      <c r="S156" s="106"/>
      <c r="T156" s="106"/>
      <c r="U156" s="106"/>
      <c r="V156" s="106"/>
      <c r="W156" s="106"/>
      <c r="X156" s="106"/>
      <c r="Y156" s="106"/>
    </row>
    <row r="157" spans="1:25" ht="15.75" customHeight="1">
      <c r="A157" s="149"/>
      <c r="B157" s="149"/>
      <c r="C157" s="149"/>
      <c r="D157" s="149"/>
      <c r="E157" s="149"/>
      <c r="F157" s="149"/>
      <c r="G157" s="149"/>
      <c r="H157" s="149"/>
      <c r="I157" s="149"/>
      <c r="J157" s="150"/>
      <c r="K157" s="106"/>
      <c r="L157" s="121"/>
      <c r="M157" s="121"/>
      <c r="N157" s="106"/>
      <c r="O157" s="106"/>
      <c r="P157" s="106"/>
      <c r="Q157" s="106"/>
      <c r="R157" s="106"/>
      <c r="S157" s="106"/>
      <c r="T157" s="106"/>
      <c r="U157" s="106"/>
      <c r="V157" s="106"/>
      <c r="W157" s="106"/>
      <c r="X157" s="106"/>
      <c r="Y157" s="106"/>
    </row>
    <row r="158" spans="1:25" ht="15.75" customHeight="1">
      <c r="A158" s="149"/>
      <c r="B158" s="149"/>
      <c r="C158" s="149"/>
      <c r="D158" s="149"/>
      <c r="E158" s="149"/>
      <c r="F158" s="149"/>
      <c r="G158" s="149"/>
      <c r="H158" s="149"/>
      <c r="I158" s="149"/>
      <c r="J158" s="150"/>
      <c r="K158" s="106"/>
      <c r="L158" s="121"/>
      <c r="M158" s="121"/>
      <c r="N158" s="106"/>
      <c r="O158" s="106"/>
      <c r="P158" s="106"/>
      <c r="Q158" s="106"/>
      <c r="R158" s="106"/>
      <c r="S158" s="106"/>
      <c r="T158" s="106"/>
      <c r="U158" s="106"/>
      <c r="V158" s="106"/>
      <c r="W158" s="106"/>
      <c r="X158" s="106"/>
      <c r="Y158" s="106"/>
    </row>
    <row r="159" spans="1:25" ht="15.75" customHeight="1">
      <c r="A159" s="149"/>
      <c r="B159" s="149"/>
      <c r="C159" s="149"/>
      <c r="D159" s="149"/>
      <c r="E159" s="149"/>
      <c r="F159" s="149"/>
      <c r="G159" s="149"/>
      <c r="H159" s="149"/>
      <c r="I159" s="149"/>
      <c r="J159" s="150"/>
      <c r="K159" s="106"/>
      <c r="L159" s="121"/>
      <c r="M159" s="121"/>
      <c r="N159" s="106"/>
      <c r="O159" s="106"/>
      <c r="P159" s="106"/>
      <c r="Q159" s="106"/>
      <c r="R159" s="106"/>
      <c r="S159" s="106"/>
      <c r="T159" s="106"/>
      <c r="U159" s="106"/>
      <c r="V159" s="106"/>
      <c r="W159" s="106"/>
      <c r="X159" s="106"/>
      <c r="Y159" s="106"/>
    </row>
    <row r="160" spans="1:25" ht="15.75" customHeight="1">
      <c r="A160" s="149"/>
      <c r="B160" s="149"/>
      <c r="C160" s="149"/>
      <c r="D160" s="149"/>
      <c r="E160" s="149"/>
      <c r="F160" s="149"/>
      <c r="G160" s="149"/>
      <c r="H160" s="149"/>
      <c r="I160" s="149"/>
      <c r="J160" s="150"/>
      <c r="K160" s="106"/>
      <c r="L160" s="121"/>
      <c r="M160" s="121"/>
      <c r="N160" s="106"/>
      <c r="O160" s="106"/>
      <c r="P160" s="106"/>
      <c r="Q160" s="106"/>
      <c r="R160" s="106"/>
      <c r="S160" s="106"/>
      <c r="T160" s="106"/>
      <c r="U160" s="106"/>
      <c r="V160" s="106"/>
      <c r="W160" s="106"/>
      <c r="X160" s="106"/>
      <c r="Y160" s="106"/>
    </row>
    <row r="161" spans="1:25" ht="15.75" customHeight="1">
      <c r="A161" s="149"/>
      <c r="B161" s="149"/>
      <c r="C161" s="149"/>
      <c r="D161" s="149"/>
      <c r="E161" s="149"/>
      <c r="F161" s="149"/>
      <c r="G161" s="149"/>
      <c r="H161" s="149"/>
      <c r="I161" s="149"/>
      <c r="J161" s="150"/>
      <c r="K161" s="106"/>
      <c r="L161" s="121"/>
      <c r="M161" s="121"/>
      <c r="N161" s="106"/>
      <c r="O161" s="106"/>
      <c r="P161" s="106"/>
      <c r="Q161" s="106"/>
      <c r="R161" s="106"/>
      <c r="S161" s="106"/>
      <c r="T161" s="106"/>
      <c r="U161" s="106"/>
      <c r="V161" s="106"/>
      <c r="W161" s="106"/>
      <c r="X161" s="106"/>
      <c r="Y161" s="106"/>
    </row>
    <row r="162" spans="1:25" ht="15.75" customHeight="1">
      <c r="A162" s="149"/>
      <c r="B162" s="149"/>
      <c r="C162" s="149"/>
      <c r="D162" s="149"/>
      <c r="E162" s="149"/>
      <c r="F162" s="149"/>
      <c r="G162" s="149"/>
      <c r="H162" s="149"/>
      <c r="I162" s="149"/>
      <c r="J162" s="150"/>
      <c r="K162" s="106"/>
      <c r="L162" s="121"/>
      <c r="M162" s="121"/>
      <c r="N162" s="106"/>
      <c r="O162" s="106"/>
      <c r="P162" s="106"/>
      <c r="Q162" s="106"/>
      <c r="R162" s="106"/>
      <c r="S162" s="106"/>
      <c r="T162" s="106"/>
      <c r="U162" s="106"/>
      <c r="V162" s="106"/>
      <c r="W162" s="106"/>
      <c r="X162" s="106"/>
      <c r="Y162" s="106"/>
    </row>
    <row r="163" spans="1:25" ht="15.75" customHeight="1">
      <c r="A163" s="149"/>
      <c r="B163" s="149"/>
      <c r="C163" s="149"/>
      <c r="D163" s="149"/>
      <c r="E163" s="149"/>
      <c r="F163" s="149"/>
      <c r="G163" s="149"/>
      <c r="H163" s="149"/>
      <c r="I163" s="149"/>
      <c r="J163" s="150"/>
      <c r="K163" s="106"/>
      <c r="L163" s="121"/>
      <c r="M163" s="121"/>
      <c r="N163" s="106"/>
      <c r="O163" s="106"/>
      <c r="P163" s="106"/>
      <c r="Q163" s="106"/>
      <c r="R163" s="106"/>
      <c r="S163" s="106"/>
      <c r="T163" s="106"/>
      <c r="U163" s="106"/>
      <c r="V163" s="106"/>
      <c r="W163" s="106"/>
      <c r="X163" s="106"/>
      <c r="Y163" s="106"/>
    </row>
    <row r="164" spans="1:25" ht="15.75" customHeight="1">
      <c r="A164" s="149"/>
      <c r="B164" s="149"/>
      <c r="C164" s="149"/>
      <c r="D164" s="149"/>
      <c r="E164" s="149"/>
      <c r="F164" s="149"/>
      <c r="G164" s="149"/>
      <c r="H164" s="149"/>
      <c r="I164" s="149"/>
      <c r="J164" s="150"/>
      <c r="K164" s="106"/>
      <c r="L164" s="121"/>
      <c r="M164" s="121"/>
      <c r="N164" s="106"/>
      <c r="O164" s="106"/>
      <c r="P164" s="106"/>
      <c r="Q164" s="106"/>
      <c r="R164" s="106"/>
      <c r="S164" s="106"/>
      <c r="T164" s="106"/>
      <c r="U164" s="106"/>
      <c r="V164" s="106"/>
      <c r="W164" s="106"/>
      <c r="X164" s="106"/>
      <c r="Y164" s="106"/>
    </row>
    <row r="165" spans="1:25" ht="15.75" customHeight="1">
      <c r="A165" s="149"/>
      <c r="B165" s="149"/>
      <c r="C165" s="149"/>
      <c r="D165" s="149"/>
      <c r="E165" s="149"/>
      <c r="F165" s="149"/>
      <c r="G165" s="149"/>
      <c r="H165" s="149"/>
      <c r="I165" s="149"/>
      <c r="J165" s="150"/>
      <c r="K165" s="106"/>
      <c r="L165" s="121"/>
      <c r="M165" s="121"/>
      <c r="N165" s="106"/>
      <c r="O165" s="106"/>
      <c r="P165" s="106"/>
      <c r="Q165" s="106"/>
      <c r="R165" s="106"/>
      <c r="S165" s="106"/>
      <c r="T165" s="106"/>
      <c r="U165" s="106"/>
      <c r="V165" s="106"/>
      <c r="W165" s="106"/>
      <c r="X165" s="106"/>
      <c r="Y165" s="106"/>
    </row>
    <row r="166" spans="1:25" ht="15.75" customHeight="1">
      <c r="A166" s="149"/>
      <c r="B166" s="149"/>
      <c r="C166" s="149"/>
      <c r="D166" s="149"/>
      <c r="E166" s="149"/>
      <c r="F166" s="149"/>
      <c r="G166" s="149"/>
      <c r="H166" s="149"/>
      <c r="I166" s="149"/>
      <c r="J166" s="150"/>
      <c r="K166" s="106"/>
      <c r="L166" s="121"/>
      <c r="M166" s="121"/>
      <c r="N166" s="106"/>
      <c r="O166" s="106"/>
      <c r="P166" s="106"/>
      <c r="Q166" s="106"/>
      <c r="R166" s="106"/>
      <c r="S166" s="106"/>
      <c r="T166" s="106"/>
      <c r="U166" s="106"/>
      <c r="V166" s="106"/>
      <c r="W166" s="106"/>
      <c r="X166" s="106"/>
      <c r="Y166" s="106"/>
    </row>
    <row r="167" spans="1:25" ht="15.75" customHeight="1">
      <c r="A167" s="149"/>
      <c r="B167" s="149"/>
      <c r="C167" s="149"/>
      <c r="D167" s="149"/>
      <c r="E167" s="149"/>
      <c r="F167" s="149"/>
      <c r="G167" s="149"/>
      <c r="H167" s="149"/>
      <c r="I167" s="149"/>
      <c r="J167" s="150"/>
      <c r="K167" s="106"/>
      <c r="L167" s="121"/>
      <c r="M167" s="121"/>
      <c r="N167" s="106"/>
      <c r="O167" s="106"/>
      <c r="P167" s="106"/>
      <c r="Q167" s="106"/>
      <c r="R167" s="106"/>
      <c r="S167" s="106"/>
      <c r="T167" s="106"/>
      <c r="U167" s="106"/>
      <c r="V167" s="106"/>
      <c r="W167" s="106"/>
      <c r="X167" s="106"/>
      <c r="Y167" s="106"/>
    </row>
    <row r="168" spans="1:25" ht="15.75" customHeight="1">
      <c r="A168" s="149"/>
      <c r="B168" s="149"/>
      <c r="C168" s="149"/>
      <c r="D168" s="149"/>
      <c r="E168" s="149"/>
      <c r="F168" s="149"/>
      <c r="G168" s="149"/>
      <c r="H168" s="149"/>
      <c r="I168" s="149"/>
      <c r="J168" s="150"/>
      <c r="K168" s="106"/>
      <c r="L168" s="121"/>
      <c r="M168" s="121"/>
      <c r="N168" s="106"/>
      <c r="O168" s="106"/>
      <c r="P168" s="106"/>
      <c r="Q168" s="106"/>
      <c r="R168" s="106"/>
      <c r="S168" s="106"/>
      <c r="T168" s="106"/>
      <c r="U168" s="106"/>
      <c r="V168" s="106"/>
      <c r="W168" s="106"/>
      <c r="X168" s="106"/>
      <c r="Y168" s="106"/>
    </row>
    <row r="169" spans="1:25" ht="15.75" customHeight="1">
      <c r="A169" s="149"/>
      <c r="B169" s="149"/>
      <c r="C169" s="149"/>
      <c r="D169" s="149"/>
      <c r="E169" s="149"/>
      <c r="F169" s="149"/>
      <c r="G169" s="149"/>
      <c r="H169" s="149"/>
      <c r="I169" s="149"/>
      <c r="J169" s="150"/>
      <c r="K169" s="106"/>
      <c r="L169" s="121"/>
      <c r="M169" s="121"/>
      <c r="N169" s="106"/>
      <c r="O169" s="106"/>
      <c r="P169" s="106"/>
      <c r="Q169" s="106"/>
      <c r="R169" s="106"/>
      <c r="S169" s="106"/>
      <c r="T169" s="106"/>
      <c r="U169" s="106"/>
      <c r="V169" s="106"/>
      <c r="W169" s="106"/>
      <c r="X169" s="106"/>
      <c r="Y169" s="106"/>
    </row>
    <row r="170" spans="1:25" ht="15.75" customHeight="1">
      <c r="A170" s="149"/>
      <c r="B170" s="149"/>
      <c r="C170" s="149"/>
      <c r="D170" s="149"/>
      <c r="E170" s="149"/>
      <c r="F170" s="149"/>
      <c r="G170" s="149"/>
      <c r="H170" s="149"/>
      <c r="I170" s="149"/>
      <c r="J170" s="150"/>
      <c r="K170" s="106"/>
      <c r="L170" s="121"/>
      <c r="M170" s="121"/>
      <c r="N170" s="106"/>
      <c r="O170" s="106"/>
      <c r="P170" s="106"/>
      <c r="Q170" s="106"/>
      <c r="R170" s="106"/>
      <c r="S170" s="106"/>
      <c r="T170" s="106"/>
      <c r="U170" s="106"/>
      <c r="V170" s="106"/>
      <c r="W170" s="106"/>
      <c r="X170" s="106"/>
      <c r="Y170" s="106"/>
    </row>
    <row r="171" spans="1:25" ht="15.75" customHeight="1">
      <c r="A171" s="149"/>
      <c r="B171" s="149"/>
      <c r="C171" s="149"/>
      <c r="D171" s="149"/>
      <c r="E171" s="149"/>
      <c r="F171" s="149"/>
      <c r="G171" s="149"/>
      <c r="H171" s="149"/>
      <c r="I171" s="149"/>
      <c r="J171" s="150"/>
      <c r="K171" s="106"/>
      <c r="L171" s="121"/>
      <c r="M171" s="121"/>
      <c r="N171" s="106"/>
      <c r="O171" s="106"/>
      <c r="P171" s="106"/>
      <c r="Q171" s="106"/>
      <c r="R171" s="106"/>
      <c r="S171" s="106"/>
      <c r="T171" s="106"/>
      <c r="U171" s="106"/>
      <c r="V171" s="106"/>
      <c r="W171" s="106"/>
      <c r="X171" s="106"/>
      <c r="Y171" s="106"/>
    </row>
    <row r="172" spans="1:25" ht="15.75" customHeight="1">
      <c r="A172" s="149"/>
      <c r="B172" s="149"/>
      <c r="C172" s="149"/>
      <c r="D172" s="149"/>
      <c r="E172" s="149"/>
      <c r="F172" s="149"/>
      <c r="G172" s="149"/>
      <c r="H172" s="149"/>
      <c r="I172" s="149"/>
      <c r="J172" s="150"/>
      <c r="K172" s="106"/>
      <c r="L172" s="121"/>
      <c r="M172" s="121"/>
      <c r="N172" s="106"/>
      <c r="O172" s="106"/>
      <c r="P172" s="106"/>
      <c r="Q172" s="106"/>
      <c r="R172" s="106"/>
      <c r="S172" s="106"/>
      <c r="T172" s="106"/>
      <c r="U172" s="106"/>
      <c r="V172" s="106"/>
      <c r="W172" s="106"/>
      <c r="X172" s="106"/>
      <c r="Y172" s="106"/>
    </row>
    <row r="173" spans="1:25" ht="15.75" customHeight="1">
      <c r="A173" s="149"/>
      <c r="B173" s="149"/>
      <c r="C173" s="149"/>
      <c r="D173" s="149"/>
      <c r="E173" s="149"/>
      <c r="F173" s="149"/>
      <c r="G173" s="149"/>
      <c r="H173" s="149"/>
      <c r="I173" s="149"/>
      <c r="J173" s="150"/>
      <c r="K173" s="106"/>
      <c r="L173" s="121"/>
      <c r="M173" s="121"/>
      <c r="N173" s="106"/>
      <c r="O173" s="106"/>
      <c r="P173" s="106"/>
      <c r="Q173" s="106"/>
      <c r="R173" s="106"/>
      <c r="S173" s="106"/>
      <c r="T173" s="106"/>
      <c r="U173" s="106"/>
      <c r="V173" s="106"/>
      <c r="W173" s="106"/>
      <c r="X173" s="106"/>
      <c r="Y173" s="106"/>
    </row>
    <row r="174" spans="1:25" ht="15.75" customHeight="1">
      <c r="A174" s="149"/>
      <c r="B174" s="149"/>
      <c r="C174" s="149"/>
      <c r="D174" s="149"/>
      <c r="E174" s="149"/>
      <c r="F174" s="149"/>
      <c r="G174" s="149"/>
      <c r="H174" s="149"/>
      <c r="I174" s="149"/>
      <c r="J174" s="150"/>
      <c r="K174" s="106"/>
      <c r="L174" s="121"/>
      <c r="M174" s="121"/>
      <c r="N174" s="106"/>
      <c r="O174" s="106"/>
      <c r="P174" s="106"/>
      <c r="Q174" s="106"/>
      <c r="R174" s="106"/>
      <c r="S174" s="106"/>
      <c r="T174" s="106"/>
      <c r="U174" s="106"/>
      <c r="V174" s="106"/>
      <c r="W174" s="106"/>
      <c r="X174" s="106"/>
      <c r="Y174" s="106"/>
    </row>
    <row r="175" spans="1:25" ht="15.75" customHeight="1">
      <c r="A175" s="149"/>
      <c r="B175" s="149"/>
      <c r="C175" s="149"/>
      <c r="D175" s="149"/>
      <c r="E175" s="149"/>
      <c r="F175" s="149"/>
      <c r="G175" s="149"/>
      <c r="H175" s="149"/>
      <c r="I175" s="149"/>
      <c r="J175" s="150"/>
      <c r="K175" s="106"/>
      <c r="L175" s="121"/>
      <c r="M175" s="121"/>
      <c r="N175" s="106"/>
      <c r="O175" s="106"/>
      <c r="P175" s="106"/>
      <c r="Q175" s="106"/>
      <c r="R175" s="106"/>
      <c r="S175" s="106"/>
      <c r="T175" s="106"/>
      <c r="U175" s="106"/>
      <c r="V175" s="106"/>
      <c r="W175" s="106"/>
      <c r="X175" s="106"/>
      <c r="Y175" s="106"/>
    </row>
    <row r="176" spans="1:25" ht="15.75" customHeight="1">
      <c r="A176" s="149"/>
      <c r="B176" s="149"/>
      <c r="C176" s="149"/>
      <c r="D176" s="149"/>
      <c r="E176" s="149"/>
      <c r="F176" s="149"/>
      <c r="G176" s="149"/>
      <c r="H176" s="149"/>
      <c r="I176" s="149"/>
      <c r="J176" s="150"/>
      <c r="K176" s="106"/>
      <c r="L176" s="121"/>
      <c r="M176" s="121"/>
      <c r="N176" s="106"/>
      <c r="O176" s="106"/>
      <c r="P176" s="106"/>
      <c r="Q176" s="106"/>
      <c r="R176" s="106"/>
      <c r="S176" s="106"/>
      <c r="T176" s="106"/>
      <c r="U176" s="106"/>
      <c r="V176" s="106"/>
      <c r="W176" s="106"/>
      <c r="X176" s="106"/>
      <c r="Y176" s="106"/>
    </row>
    <row r="177" spans="1:25" ht="15.75" customHeight="1">
      <c r="A177" s="149"/>
      <c r="B177" s="149"/>
      <c r="C177" s="149"/>
      <c r="D177" s="149"/>
      <c r="E177" s="149"/>
      <c r="F177" s="149"/>
      <c r="G177" s="149"/>
      <c r="H177" s="149"/>
      <c r="I177" s="149"/>
      <c r="J177" s="150"/>
      <c r="K177" s="106"/>
      <c r="L177" s="121"/>
      <c r="M177" s="121"/>
      <c r="N177" s="106"/>
      <c r="O177" s="106"/>
      <c r="P177" s="106"/>
      <c r="Q177" s="106"/>
      <c r="R177" s="106"/>
      <c r="S177" s="106"/>
      <c r="T177" s="106"/>
      <c r="U177" s="106"/>
      <c r="V177" s="106"/>
      <c r="W177" s="106"/>
      <c r="X177" s="106"/>
      <c r="Y177" s="106"/>
    </row>
    <row r="178" spans="1:25" ht="15.75" customHeight="1">
      <c r="A178" s="149"/>
      <c r="B178" s="149"/>
      <c r="C178" s="149"/>
      <c r="D178" s="149"/>
      <c r="E178" s="149"/>
      <c r="F178" s="149"/>
      <c r="G178" s="149"/>
      <c r="H178" s="149"/>
      <c r="I178" s="149"/>
      <c r="J178" s="150"/>
      <c r="K178" s="106"/>
      <c r="L178" s="121"/>
      <c r="M178" s="121"/>
      <c r="N178" s="106"/>
      <c r="O178" s="106"/>
      <c r="P178" s="106"/>
      <c r="Q178" s="106"/>
      <c r="R178" s="106"/>
      <c r="S178" s="106"/>
      <c r="T178" s="106"/>
      <c r="U178" s="106"/>
      <c r="V178" s="106"/>
      <c r="W178" s="106"/>
      <c r="X178" s="106"/>
      <c r="Y178" s="106"/>
    </row>
    <row r="179" spans="1:25" ht="15.75" customHeight="1">
      <c r="A179" s="149"/>
      <c r="B179" s="149"/>
      <c r="C179" s="149"/>
      <c r="D179" s="149"/>
      <c r="E179" s="149"/>
      <c r="F179" s="149"/>
      <c r="G179" s="149"/>
      <c r="H179" s="149"/>
      <c r="I179" s="149"/>
      <c r="J179" s="150"/>
      <c r="K179" s="106"/>
      <c r="L179" s="121"/>
      <c r="M179" s="121"/>
      <c r="N179" s="106"/>
      <c r="O179" s="106"/>
      <c r="P179" s="106"/>
      <c r="Q179" s="106"/>
      <c r="R179" s="106"/>
      <c r="S179" s="106"/>
      <c r="T179" s="106"/>
      <c r="U179" s="106"/>
      <c r="V179" s="106"/>
      <c r="W179" s="106"/>
      <c r="X179" s="106"/>
      <c r="Y179" s="106"/>
    </row>
    <row r="180" spans="1:25" ht="15.75" customHeight="1">
      <c r="A180" s="149"/>
      <c r="B180" s="149"/>
      <c r="C180" s="149"/>
      <c r="D180" s="149"/>
      <c r="E180" s="149"/>
      <c r="F180" s="149"/>
      <c r="G180" s="149"/>
      <c r="H180" s="149"/>
      <c r="I180" s="149"/>
      <c r="J180" s="150"/>
      <c r="K180" s="106"/>
      <c r="L180" s="121"/>
      <c r="M180" s="121"/>
      <c r="N180" s="106"/>
      <c r="O180" s="106"/>
      <c r="P180" s="106"/>
      <c r="Q180" s="106"/>
      <c r="R180" s="106"/>
      <c r="S180" s="106"/>
      <c r="T180" s="106"/>
      <c r="U180" s="106"/>
      <c r="V180" s="106"/>
      <c r="W180" s="106"/>
      <c r="X180" s="106"/>
      <c r="Y180" s="106"/>
    </row>
    <row r="181" spans="1:25" ht="15.75" customHeight="1">
      <c r="A181" s="149"/>
      <c r="B181" s="149"/>
      <c r="C181" s="149"/>
      <c r="D181" s="149"/>
      <c r="E181" s="149"/>
      <c r="F181" s="149"/>
      <c r="G181" s="149"/>
      <c r="H181" s="149"/>
      <c r="I181" s="149"/>
      <c r="J181" s="150"/>
      <c r="K181" s="106"/>
      <c r="L181" s="121"/>
      <c r="M181" s="121"/>
      <c r="N181" s="106"/>
      <c r="O181" s="106"/>
      <c r="P181" s="106"/>
      <c r="Q181" s="106"/>
      <c r="R181" s="106"/>
      <c r="S181" s="106"/>
      <c r="T181" s="106"/>
      <c r="U181" s="106"/>
      <c r="V181" s="106"/>
      <c r="W181" s="106"/>
      <c r="X181" s="106"/>
      <c r="Y181" s="106"/>
    </row>
    <row r="182" spans="1:25" ht="15.75" customHeight="1">
      <c r="A182" s="149"/>
      <c r="B182" s="149"/>
      <c r="C182" s="149"/>
      <c r="D182" s="149"/>
      <c r="E182" s="149"/>
      <c r="F182" s="149"/>
      <c r="G182" s="149"/>
      <c r="H182" s="149"/>
      <c r="I182" s="149"/>
      <c r="J182" s="150"/>
      <c r="K182" s="106"/>
      <c r="L182" s="121"/>
      <c r="M182" s="121"/>
      <c r="N182" s="106"/>
      <c r="O182" s="106"/>
      <c r="P182" s="106"/>
      <c r="Q182" s="106"/>
      <c r="R182" s="106"/>
      <c r="S182" s="106"/>
      <c r="T182" s="106"/>
      <c r="U182" s="106"/>
      <c r="V182" s="106"/>
      <c r="W182" s="106"/>
      <c r="X182" s="106"/>
      <c r="Y182" s="106"/>
    </row>
    <row r="183" spans="1:25" ht="15.75" customHeight="1">
      <c r="A183" s="149"/>
      <c r="B183" s="149"/>
      <c r="C183" s="149"/>
      <c r="D183" s="149"/>
      <c r="E183" s="149"/>
      <c r="F183" s="149"/>
      <c r="G183" s="149"/>
      <c r="H183" s="149"/>
      <c r="I183" s="149"/>
      <c r="J183" s="150"/>
      <c r="K183" s="106"/>
      <c r="L183" s="121"/>
      <c r="M183" s="121"/>
      <c r="N183" s="106"/>
      <c r="O183" s="106"/>
      <c r="P183" s="106"/>
      <c r="Q183" s="106"/>
      <c r="R183" s="106"/>
      <c r="S183" s="106"/>
      <c r="T183" s="106"/>
      <c r="U183" s="106"/>
      <c r="V183" s="106"/>
      <c r="W183" s="106"/>
      <c r="X183" s="106"/>
      <c r="Y183" s="106"/>
    </row>
    <row r="184" spans="1:25" ht="15.75" customHeight="1">
      <c r="A184" s="149"/>
      <c r="B184" s="149"/>
      <c r="C184" s="149"/>
      <c r="D184" s="149"/>
      <c r="E184" s="149"/>
      <c r="F184" s="149"/>
      <c r="G184" s="149"/>
      <c r="H184" s="149"/>
      <c r="I184" s="149"/>
      <c r="J184" s="150"/>
      <c r="K184" s="106"/>
      <c r="L184" s="121"/>
      <c r="M184" s="121"/>
      <c r="N184" s="106"/>
      <c r="O184" s="106"/>
      <c r="P184" s="106"/>
      <c r="Q184" s="106"/>
      <c r="R184" s="106"/>
      <c r="S184" s="106"/>
      <c r="T184" s="106"/>
      <c r="U184" s="106"/>
      <c r="V184" s="106"/>
      <c r="W184" s="106"/>
      <c r="X184" s="106"/>
      <c r="Y184" s="106"/>
    </row>
    <row r="185" spans="1:25" ht="15.75" customHeight="1">
      <c r="A185" s="149"/>
      <c r="B185" s="149"/>
      <c r="C185" s="149"/>
      <c r="D185" s="149"/>
      <c r="E185" s="149"/>
      <c r="F185" s="149"/>
      <c r="G185" s="149"/>
      <c r="H185" s="149"/>
      <c r="I185" s="149"/>
      <c r="J185" s="150"/>
      <c r="K185" s="106"/>
      <c r="L185" s="121"/>
      <c r="M185" s="121"/>
      <c r="N185" s="106"/>
      <c r="O185" s="106"/>
      <c r="P185" s="106"/>
      <c r="Q185" s="106"/>
      <c r="R185" s="106"/>
      <c r="S185" s="106"/>
      <c r="T185" s="106"/>
      <c r="U185" s="106"/>
      <c r="V185" s="106"/>
      <c r="W185" s="106"/>
      <c r="X185" s="106"/>
      <c r="Y185" s="106"/>
    </row>
    <row r="186" spans="1:25" ht="15.75" customHeight="1">
      <c r="A186" s="149"/>
      <c r="B186" s="149"/>
      <c r="C186" s="149"/>
      <c r="D186" s="149"/>
      <c r="E186" s="149"/>
      <c r="F186" s="149"/>
      <c r="G186" s="149"/>
      <c r="H186" s="149"/>
      <c r="I186" s="149"/>
      <c r="J186" s="150"/>
      <c r="K186" s="106"/>
      <c r="L186" s="121"/>
      <c r="M186" s="121"/>
      <c r="N186" s="106"/>
      <c r="O186" s="106"/>
      <c r="P186" s="106"/>
      <c r="Q186" s="106"/>
      <c r="R186" s="106"/>
      <c r="S186" s="106"/>
      <c r="T186" s="106"/>
      <c r="U186" s="106"/>
      <c r="V186" s="106"/>
      <c r="W186" s="106"/>
      <c r="X186" s="106"/>
      <c r="Y186" s="106"/>
    </row>
    <row r="187" spans="1:25" ht="15.75" customHeight="1">
      <c r="A187" s="149"/>
      <c r="B187" s="149"/>
      <c r="C187" s="149"/>
      <c r="D187" s="149"/>
      <c r="E187" s="149"/>
      <c r="F187" s="149"/>
      <c r="G187" s="149"/>
      <c r="H187" s="149"/>
      <c r="I187" s="149"/>
      <c r="J187" s="150"/>
      <c r="K187" s="106"/>
      <c r="L187" s="121"/>
      <c r="M187" s="121"/>
      <c r="N187" s="106"/>
      <c r="O187" s="106"/>
      <c r="P187" s="106"/>
      <c r="Q187" s="106"/>
      <c r="R187" s="106"/>
      <c r="S187" s="106"/>
      <c r="T187" s="106"/>
      <c r="U187" s="106"/>
      <c r="V187" s="106"/>
      <c r="W187" s="106"/>
      <c r="X187" s="106"/>
      <c r="Y187" s="106"/>
    </row>
    <row r="188" spans="1:25" ht="15.75" customHeight="1">
      <c r="A188" s="149"/>
      <c r="B188" s="149"/>
      <c r="C188" s="149"/>
      <c r="D188" s="149"/>
      <c r="E188" s="149"/>
      <c r="F188" s="149"/>
      <c r="G188" s="149"/>
      <c r="H188" s="149"/>
      <c r="I188" s="149"/>
      <c r="J188" s="150"/>
      <c r="K188" s="106"/>
      <c r="L188" s="121"/>
      <c r="M188" s="121"/>
      <c r="N188" s="106"/>
      <c r="O188" s="106"/>
      <c r="P188" s="106"/>
      <c r="Q188" s="106"/>
      <c r="R188" s="106"/>
      <c r="S188" s="106"/>
      <c r="T188" s="106"/>
      <c r="U188" s="106"/>
      <c r="V188" s="106"/>
      <c r="W188" s="106"/>
      <c r="X188" s="106"/>
      <c r="Y188" s="106"/>
    </row>
    <row r="189" spans="1:25" ht="15.75" customHeight="1">
      <c r="A189" s="149"/>
      <c r="B189" s="149"/>
      <c r="C189" s="149"/>
      <c r="D189" s="149"/>
      <c r="E189" s="149"/>
      <c r="F189" s="149"/>
      <c r="G189" s="149"/>
      <c r="H189" s="149"/>
      <c r="I189" s="149"/>
      <c r="J189" s="150"/>
      <c r="K189" s="106"/>
      <c r="L189" s="121"/>
      <c r="M189" s="121"/>
      <c r="N189" s="106"/>
      <c r="O189" s="106"/>
      <c r="P189" s="106"/>
      <c r="Q189" s="106"/>
      <c r="R189" s="106"/>
      <c r="S189" s="106"/>
      <c r="T189" s="106"/>
      <c r="U189" s="106"/>
      <c r="V189" s="106"/>
      <c r="W189" s="106"/>
      <c r="X189" s="106"/>
      <c r="Y189" s="106"/>
    </row>
    <row r="190" spans="1:25" ht="15.75" customHeight="1">
      <c r="A190" s="149"/>
      <c r="B190" s="149"/>
      <c r="C190" s="149"/>
      <c r="D190" s="149"/>
      <c r="E190" s="149"/>
      <c r="F190" s="149"/>
      <c r="G190" s="149"/>
      <c r="H190" s="149"/>
      <c r="I190" s="149"/>
      <c r="J190" s="150"/>
      <c r="K190" s="106"/>
      <c r="L190" s="121"/>
      <c r="M190" s="121"/>
      <c r="N190" s="106"/>
      <c r="O190" s="106"/>
      <c r="P190" s="106"/>
      <c r="Q190" s="106"/>
      <c r="R190" s="106"/>
      <c r="S190" s="106"/>
      <c r="T190" s="106"/>
      <c r="U190" s="106"/>
      <c r="V190" s="106"/>
      <c r="W190" s="106"/>
      <c r="X190" s="106"/>
      <c r="Y190" s="106"/>
    </row>
    <row r="191" spans="1:25" ht="15.75" customHeight="1">
      <c r="A191" s="149"/>
      <c r="B191" s="149"/>
      <c r="C191" s="149"/>
      <c r="D191" s="149"/>
      <c r="E191" s="149"/>
      <c r="F191" s="149"/>
      <c r="G191" s="149"/>
      <c r="H191" s="149"/>
      <c r="I191" s="149"/>
      <c r="J191" s="150"/>
      <c r="K191" s="106"/>
      <c r="L191" s="121"/>
      <c r="M191" s="121"/>
      <c r="N191" s="106"/>
      <c r="O191" s="106"/>
      <c r="P191" s="106"/>
      <c r="Q191" s="106"/>
      <c r="R191" s="106"/>
      <c r="S191" s="106"/>
      <c r="T191" s="106"/>
      <c r="U191" s="106"/>
      <c r="V191" s="106"/>
      <c r="W191" s="106"/>
      <c r="X191" s="106"/>
      <c r="Y191" s="106"/>
    </row>
    <row r="192" spans="1:25" ht="15.75" customHeight="1">
      <c r="A192" s="149"/>
      <c r="B192" s="149"/>
      <c r="C192" s="149"/>
      <c r="D192" s="149"/>
      <c r="E192" s="149"/>
      <c r="F192" s="149"/>
      <c r="G192" s="149"/>
      <c r="H192" s="149"/>
      <c r="I192" s="149"/>
      <c r="J192" s="150"/>
      <c r="K192" s="106"/>
      <c r="L192" s="121"/>
      <c r="M192" s="121"/>
      <c r="N192" s="106"/>
      <c r="O192" s="106"/>
      <c r="P192" s="106"/>
      <c r="Q192" s="106"/>
      <c r="R192" s="106"/>
      <c r="S192" s="106"/>
      <c r="T192" s="106"/>
      <c r="U192" s="106"/>
      <c r="V192" s="106"/>
      <c r="W192" s="106"/>
      <c r="X192" s="106"/>
      <c r="Y192" s="106"/>
    </row>
    <row r="193" spans="1:25" ht="15.75" customHeight="1">
      <c r="A193" s="149"/>
      <c r="B193" s="149"/>
      <c r="C193" s="149"/>
      <c r="D193" s="149"/>
      <c r="E193" s="149"/>
      <c r="F193" s="149"/>
      <c r="G193" s="149"/>
      <c r="H193" s="149"/>
      <c r="I193" s="149"/>
      <c r="J193" s="150"/>
      <c r="K193" s="106"/>
      <c r="L193" s="121"/>
      <c r="M193" s="121"/>
      <c r="N193" s="106"/>
      <c r="O193" s="106"/>
      <c r="P193" s="106"/>
      <c r="Q193" s="106"/>
      <c r="R193" s="106"/>
      <c r="S193" s="106"/>
      <c r="T193" s="106"/>
      <c r="U193" s="106"/>
      <c r="V193" s="106"/>
      <c r="W193" s="106"/>
      <c r="X193" s="106"/>
      <c r="Y193" s="106"/>
    </row>
    <row r="194" spans="1:25" ht="15.75" customHeight="1">
      <c r="A194" s="149"/>
      <c r="B194" s="149"/>
      <c r="C194" s="149"/>
      <c r="D194" s="149"/>
      <c r="E194" s="149"/>
      <c r="F194" s="149"/>
      <c r="G194" s="149"/>
      <c r="H194" s="149"/>
      <c r="I194" s="149"/>
      <c r="J194" s="150"/>
      <c r="K194" s="106"/>
      <c r="L194" s="121"/>
      <c r="M194" s="121"/>
      <c r="N194" s="106"/>
      <c r="O194" s="106"/>
      <c r="P194" s="106"/>
      <c r="Q194" s="106"/>
      <c r="R194" s="106"/>
      <c r="S194" s="106"/>
      <c r="T194" s="106"/>
      <c r="U194" s="106"/>
      <c r="V194" s="106"/>
      <c r="W194" s="106"/>
      <c r="X194" s="106"/>
      <c r="Y194" s="106"/>
    </row>
    <row r="195" spans="1:25" ht="15.75" customHeight="1">
      <c r="A195" s="149"/>
      <c r="B195" s="149"/>
      <c r="C195" s="149"/>
      <c r="D195" s="149"/>
      <c r="E195" s="149"/>
      <c r="F195" s="149"/>
      <c r="G195" s="149"/>
      <c r="H195" s="149"/>
      <c r="I195" s="149"/>
      <c r="J195" s="150"/>
      <c r="K195" s="106"/>
      <c r="L195" s="121"/>
      <c r="M195" s="121"/>
      <c r="N195" s="106"/>
      <c r="O195" s="106"/>
      <c r="P195" s="106"/>
      <c r="Q195" s="106"/>
      <c r="R195" s="106"/>
      <c r="S195" s="106"/>
      <c r="T195" s="106"/>
      <c r="U195" s="106"/>
      <c r="V195" s="106"/>
      <c r="W195" s="106"/>
      <c r="X195" s="106"/>
      <c r="Y195" s="106"/>
    </row>
    <row r="196" spans="1:25" ht="15.75" customHeight="1">
      <c r="A196" s="149"/>
      <c r="B196" s="149"/>
      <c r="C196" s="149"/>
      <c r="D196" s="149"/>
      <c r="E196" s="149"/>
      <c r="F196" s="149"/>
      <c r="G196" s="149"/>
      <c r="H196" s="149"/>
      <c r="I196" s="149"/>
      <c r="J196" s="150"/>
      <c r="K196" s="106"/>
      <c r="L196" s="121"/>
      <c r="M196" s="121"/>
      <c r="N196" s="106"/>
      <c r="O196" s="106"/>
      <c r="P196" s="106"/>
      <c r="Q196" s="106"/>
      <c r="R196" s="106"/>
      <c r="S196" s="106"/>
      <c r="T196" s="106"/>
      <c r="U196" s="106"/>
      <c r="V196" s="106"/>
      <c r="W196" s="106"/>
      <c r="X196" s="106"/>
      <c r="Y196" s="106"/>
    </row>
    <row r="197" spans="1:25" ht="15.75" customHeight="1">
      <c r="A197" s="149"/>
      <c r="B197" s="149"/>
      <c r="C197" s="149"/>
      <c r="D197" s="149"/>
      <c r="E197" s="149"/>
      <c r="F197" s="149"/>
      <c r="G197" s="149"/>
      <c r="H197" s="149"/>
      <c r="I197" s="149"/>
      <c r="J197" s="150"/>
      <c r="K197" s="106"/>
      <c r="L197" s="121"/>
      <c r="M197" s="121"/>
      <c r="N197" s="106"/>
      <c r="O197" s="106"/>
      <c r="P197" s="106"/>
      <c r="Q197" s="106"/>
      <c r="R197" s="106"/>
      <c r="S197" s="106"/>
      <c r="T197" s="106"/>
      <c r="U197" s="106"/>
      <c r="V197" s="106"/>
      <c r="W197" s="106"/>
      <c r="X197" s="106"/>
      <c r="Y197" s="106"/>
    </row>
    <row r="198" spans="1:25" ht="15.75" customHeight="1">
      <c r="A198" s="149"/>
      <c r="B198" s="149"/>
      <c r="C198" s="149"/>
      <c r="D198" s="149"/>
      <c r="E198" s="149"/>
      <c r="F198" s="149"/>
      <c r="G198" s="149"/>
      <c r="H198" s="149"/>
      <c r="I198" s="149"/>
      <c r="J198" s="150"/>
      <c r="K198" s="106"/>
      <c r="L198" s="121"/>
      <c r="M198" s="121"/>
      <c r="N198" s="106"/>
      <c r="O198" s="106"/>
      <c r="P198" s="106"/>
      <c r="Q198" s="106"/>
      <c r="R198" s="106"/>
      <c r="S198" s="106"/>
      <c r="T198" s="106"/>
      <c r="U198" s="106"/>
      <c r="V198" s="106"/>
      <c r="W198" s="106"/>
      <c r="X198" s="106"/>
      <c r="Y198" s="106"/>
    </row>
    <row r="199" spans="1:25" ht="15.75" customHeight="1">
      <c r="A199" s="149"/>
      <c r="B199" s="149"/>
      <c r="C199" s="149"/>
      <c r="D199" s="149"/>
      <c r="E199" s="149"/>
      <c r="F199" s="149"/>
      <c r="G199" s="149"/>
      <c r="H199" s="149"/>
      <c r="I199" s="149"/>
      <c r="J199" s="150"/>
      <c r="K199" s="106"/>
      <c r="L199" s="121"/>
      <c r="M199" s="121"/>
      <c r="N199" s="106"/>
      <c r="O199" s="106"/>
      <c r="P199" s="106"/>
      <c r="Q199" s="106"/>
      <c r="R199" s="106"/>
      <c r="S199" s="106"/>
      <c r="T199" s="106"/>
      <c r="U199" s="106"/>
      <c r="V199" s="106"/>
      <c r="W199" s="106"/>
      <c r="X199" s="106"/>
      <c r="Y199" s="106"/>
    </row>
    <row r="200" spans="1:25" ht="15.75" customHeight="1">
      <c r="A200" s="149"/>
      <c r="B200" s="149"/>
      <c r="C200" s="149"/>
      <c r="D200" s="149"/>
      <c r="E200" s="149"/>
      <c r="F200" s="149"/>
      <c r="G200" s="149"/>
      <c r="H200" s="149"/>
      <c r="I200" s="149"/>
      <c r="J200" s="150"/>
      <c r="K200" s="106"/>
      <c r="L200" s="121"/>
      <c r="M200" s="121"/>
      <c r="N200" s="106"/>
      <c r="O200" s="106"/>
      <c r="P200" s="106"/>
      <c r="Q200" s="106"/>
      <c r="R200" s="106"/>
      <c r="S200" s="106"/>
      <c r="T200" s="106"/>
      <c r="U200" s="106"/>
      <c r="V200" s="106"/>
      <c r="W200" s="106"/>
      <c r="X200" s="106"/>
      <c r="Y200" s="106"/>
    </row>
    <row r="201" spans="1:25" ht="15.75" customHeight="1">
      <c r="A201" s="149"/>
      <c r="B201" s="149"/>
      <c r="C201" s="149"/>
      <c r="D201" s="149"/>
      <c r="E201" s="149"/>
      <c r="F201" s="149"/>
      <c r="G201" s="149"/>
      <c r="H201" s="149"/>
      <c r="I201" s="149"/>
      <c r="J201" s="150"/>
      <c r="K201" s="106"/>
      <c r="L201" s="121"/>
      <c r="M201" s="121"/>
      <c r="N201" s="106"/>
      <c r="O201" s="106"/>
      <c r="P201" s="106"/>
      <c r="Q201" s="106"/>
      <c r="R201" s="106"/>
      <c r="S201" s="106"/>
      <c r="T201" s="106"/>
      <c r="U201" s="106"/>
      <c r="V201" s="106"/>
      <c r="W201" s="106"/>
      <c r="X201" s="106"/>
      <c r="Y201" s="106"/>
    </row>
    <row r="202" spans="1:25" ht="15.75" customHeight="1">
      <c r="A202" s="149"/>
      <c r="B202" s="149"/>
      <c r="C202" s="149"/>
      <c r="D202" s="149"/>
      <c r="E202" s="149"/>
      <c r="F202" s="149"/>
      <c r="G202" s="149"/>
      <c r="H202" s="149"/>
      <c r="I202" s="149"/>
      <c r="J202" s="150"/>
      <c r="K202" s="106"/>
      <c r="L202" s="121"/>
      <c r="M202" s="121"/>
      <c r="N202" s="106"/>
      <c r="O202" s="106"/>
      <c r="P202" s="106"/>
      <c r="Q202" s="106"/>
      <c r="R202" s="106"/>
      <c r="S202" s="106"/>
      <c r="T202" s="106"/>
      <c r="U202" s="106"/>
      <c r="V202" s="106"/>
      <c r="W202" s="106"/>
      <c r="X202" s="106"/>
      <c r="Y202" s="106"/>
    </row>
    <row r="203" spans="1:25" ht="15.75" customHeight="1">
      <c r="A203" s="149"/>
      <c r="B203" s="149"/>
      <c r="C203" s="149"/>
      <c r="D203" s="149"/>
      <c r="E203" s="149"/>
      <c r="F203" s="149"/>
      <c r="G203" s="149"/>
      <c r="H203" s="149"/>
      <c r="I203" s="149"/>
      <c r="J203" s="150"/>
      <c r="K203" s="106"/>
      <c r="L203" s="121"/>
      <c r="M203" s="121"/>
      <c r="N203" s="106"/>
      <c r="O203" s="106"/>
      <c r="P203" s="106"/>
      <c r="Q203" s="106"/>
      <c r="R203" s="106"/>
      <c r="S203" s="106"/>
      <c r="T203" s="106"/>
      <c r="U203" s="106"/>
      <c r="V203" s="106"/>
      <c r="W203" s="106"/>
      <c r="X203" s="106"/>
      <c r="Y203" s="106"/>
    </row>
    <row r="204" spans="1:25" ht="15.75" customHeight="1">
      <c r="A204" s="149"/>
      <c r="B204" s="149"/>
      <c r="C204" s="149"/>
      <c r="D204" s="149"/>
      <c r="E204" s="149"/>
      <c r="F204" s="149"/>
      <c r="G204" s="149"/>
      <c r="H204" s="149"/>
      <c r="I204" s="149"/>
      <c r="J204" s="150"/>
      <c r="K204" s="106"/>
      <c r="L204" s="121"/>
      <c r="M204" s="121"/>
      <c r="N204" s="106"/>
      <c r="O204" s="106"/>
      <c r="P204" s="106"/>
      <c r="Q204" s="106"/>
      <c r="R204" s="106"/>
      <c r="S204" s="106"/>
      <c r="T204" s="106"/>
      <c r="U204" s="106"/>
      <c r="V204" s="106"/>
      <c r="W204" s="106"/>
      <c r="X204" s="106"/>
      <c r="Y204" s="106"/>
    </row>
    <row r="205" spans="1:25" ht="15.75" customHeight="1">
      <c r="A205" s="149"/>
      <c r="B205" s="149"/>
      <c r="C205" s="149"/>
      <c r="D205" s="149"/>
      <c r="E205" s="149"/>
      <c r="F205" s="149"/>
      <c r="G205" s="149"/>
      <c r="H205" s="149"/>
      <c r="I205" s="149"/>
      <c r="J205" s="150"/>
      <c r="K205" s="106"/>
      <c r="L205" s="121"/>
      <c r="M205" s="121"/>
      <c r="N205" s="106"/>
      <c r="O205" s="106"/>
      <c r="P205" s="106"/>
      <c r="Q205" s="106"/>
      <c r="R205" s="106"/>
      <c r="S205" s="106"/>
      <c r="T205" s="106"/>
      <c r="U205" s="106"/>
      <c r="V205" s="106"/>
      <c r="W205" s="106"/>
      <c r="X205" s="106"/>
      <c r="Y205" s="106"/>
    </row>
    <row r="206" spans="1:25" ht="15.75" customHeight="1">
      <c r="A206" s="149"/>
      <c r="B206" s="149"/>
      <c r="C206" s="149"/>
      <c r="D206" s="149"/>
      <c r="E206" s="149"/>
      <c r="F206" s="149"/>
      <c r="G206" s="149"/>
      <c r="H206" s="149"/>
      <c r="I206" s="149"/>
      <c r="J206" s="150"/>
      <c r="K206" s="106"/>
      <c r="L206" s="121"/>
      <c r="M206" s="121"/>
      <c r="N206" s="106"/>
      <c r="O206" s="106"/>
      <c r="P206" s="106"/>
      <c r="Q206" s="106"/>
      <c r="R206" s="106"/>
      <c r="S206" s="106"/>
      <c r="T206" s="106"/>
      <c r="U206" s="106"/>
      <c r="V206" s="106"/>
      <c r="W206" s="106"/>
      <c r="X206" s="106"/>
      <c r="Y206" s="106"/>
    </row>
    <row r="207" spans="1:25" ht="15.75" customHeight="1">
      <c r="A207" s="149"/>
      <c r="B207" s="149"/>
      <c r="C207" s="149"/>
      <c r="D207" s="149"/>
      <c r="E207" s="149"/>
      <c r="F207" s="149"/>
      <c r="G207" s="149"/>
      <c r="H207" s="149"/>
      <c r="I207" s="149"/>
      <c r="J207" s="150"/>
      <c r="K207" s="106"/>
      <c r="L207" s="121"/>
      <c r="M207" s="121"/>
      <c r="N207" s="106"/>
      <c r="O207" s="106"/>
      <c r="P207" s="106"/>
      <c r="Q207" s="106"/>
      <c r="R207" s="106"/>
      <c r="S207" s="106"/>
      <c r="T207" s="106"/>
      <c r="U207" s="106"/>
      <c r="V207" s="106"/>
      <c r="W207" s="106"/>
      <c r="X207" s="106"/>
      <c r="Y207" s="106"/>
    </row>
    <row r="208" spans="1:25" ht="15.75" customHeight="1">
      <c r="A208" s="149"/>
      <c r="B208" s="149"/>
      <c r="C208" s="149"/>
      <c r="D208" s="149"/>
      <c r="E208" s="149"/>
      <c r="F208" s="149"/>
      <c r="G208" s="149"/>
      <c r="H208" s="149"/>
      <c r="I208" s="149"/>
      <c r="J208" s="150"/>
      <c r="K208" s="106"/>
      <c r="L208" s="121"/>
      <c r="M208" s="121"/>
      <c r="N208" s="106"/>
      <c r="O208" s="106"/>
      <c r="P208" s="106"/>
      <c r="Q208" s="106"/>
      <c r="R208" s="106"/>
      <c r="S208" s="106"/>
      <c r="T208" s="106"/>
      <c r="U208" s="106"/>
      <c r="V208" s="106"/>
      <c r="W208" s="106"/>
      <c r="X208" s="106"/>
      <c r="Y208" s="106"/>
    </row>
    <row r="209" spans="1:25" ht="15.75" customHeight="1">
      <c r="A209" s="149"/>
      <c r="B209" s="149"/>
      <c r="C209" s="149"/>
      <c r="D209" s="149"/>
      <c r="E209" s="149"/>
      <c r="F209" s="149"/>
      <c r="G209" s="149"/>
      <c r="H209" s="149"/>
      <c r="I209" s="149"/>
      <c r="J209" s="150"/>
      <c r="K209" s="106"/>
      <c r="L209" s="121"/>
      <c r="M209" s="121"/>
      <c r="N209" s="106"/>
      <c r="O209" s="106"/>
      <c r="P209" s="106"/>
      <c r="Q209" s="106"/>
      <c r="R209" s="106"/>
      <c r="S209" s="106"/>
      <c r="T209" s="106"/>
      <c r="U209" s="106"/>
      <c r="V209" s="106"/>
      <c r="W209" s="106"/>
      <c r="X209" s="106"/>
      <c r="Y209" s="106"/>
    </row>
    <row r="210" spans="1:25" ht="15.75" customHeight="1">
      <c r="A210" s="149"/>
      <c r="B210" s="149"/>
      <c r="C210" s="149"/>
      <c r="D210" s="149"/>
      <c r="E210" s="149"/>
      <c r="F210" s="149"/>
      <c r="G210" s="149"/>
      <c r="H210" s="149"/>
      <c r="I210" s="149"/>
      <c r="J210" s="150"/>
      <c r="K210" s="106"/>
      <c r="L210" s="121"/>
      <c r="M210" s="121"/>
      <c r="N210" s="106"/>
      <c r="O210" s="106"/>
      <c r="P210" s="106"/>
      <c r="Q210" s="106"/>
      <c r="R210" s="106"/>
      <c r="S210" s="106"/>
      <c r="T210" s="106"/>
      <c r="U210" s="106"/>
      <c r="V210" s="106"/>
      <c r="W210" s="106"/>
      <c r="X210" s="106"/>
      <c r="Y210" s="106"/>
    </row>
    <row r="211" spans="1:25" ht="15.75" customHeight="1">
      <c r="A211" s="149"/>
      <c r="B211" s="149"/>
      <c r="C211" s="149"/>
      <c r="D211" s="149"/>
      <c r="E211" s="149"/>
      <c r="F211" s="149"/>
      <c r="G211" s="149"/>
      <c r="H211" s="149"/>
      <c r="I211" s="149"/>
      <c r="J211" s="150"/>
      <c r="K211" s="106"/>
      <c r="L211" s="121"/>
      <c r="M211" s="121"/>
      <c r="N211" s="106"/>
      <c r="O211" s="106"/>
      <c r="P211" s="106"/>
      <c r="Q211" s="106"/>
      <c r="R211" s="106"/>
      <c r="S211" s="106"/>
      <c r="T211" s="106"/>
      <c r="U211" s="106"/>
      <c r="V211" s="106"/>
      <c r="W211" s="106"/>
      <c r="X211" s="106"/>
      <c r="Y211" s="106"/>
    </row>
    <row r="212" spans="1:25" ht="15.75" customHeight="1">
      <c r="A212" s="149"/>
      <c r="B212" s="149"/>
      <c r="C212" s="149"/>
      <c r="D212" s="149"/>
      <c r="E212" s="149"/>
      <c r="F212" s="149"/>
      <c r="G212" s="149"/>
      <c r="H212" s="149"/>
      <c r="I212" s="149"/>
      <c r="J212" s="150"/>
      <c r="K212" s="106"/>
      <c r="L212" s="121"/>
      <c r="M212" s="121"/>
      <c r="N212" s="106"/>
      <c r="O212" s="106"/>
      <c r="P212" s="106"/>
      <c r="Q212" s="106"/>
      <c r="R212" s="106"/>
      <c r="S212" s="106"/>
      <c r="T212" s="106"/>
      <c r="U212" s="106"/>
      <c r="V212" s="106"/>
      <c r="W212" s="106"/>
      <c r="X212" s="106"/>
      <c r="Y212" s="106"/>
    </row>
    <row r="213" spans="1:25" ht="15.75" customHeight="1">
      <c r="A213" s="149"/>
      <c r="B213" s="149"/>
      <c r="C213" s="149"/>
      <c r="D213" s="149"/>
      <c r="E213" s="149"/>
      <c r="F213" s="149"/>
      <c r="G213" s="149"/>
      <c r="H213" s="149"/>
      <c r="I213" s="149"/>
      <c r="J213" s="150"/>
      <c r="K213" s="106"/>
      <c r="L213" s="121"/>
      <c r="M213" s="121"/>
      <c r="N213" s="106"/>
      <c r="O213" s="106"/>
      <c r="P213" s="106"/>
      <c r="Q213" s="106"/>
      <c r="R213" s="106"/>
      <c r="S213" s="106"/>
      <c r="T213" s="106"/>
      <c r="U213" s="106"/>
      <c r="V213" s="106"/>
      <c r="W213" s="106"/>
      <c r="X213" s="106"/>
      <c r="Y213" s="106"/>
    </row>
    <row r="214" spans="1:25" ht="15.75" customHeight="1">
      <c r="A214" s="149"/>
      <c r="B214" s="149"/>
      <c r="C214" s="149"/>
      <c r="D214" s="149"/>
      <c r="E214" s="149"/>
      <c r="F214" s="149"/>
      <c r="G214" s="149"/>
      <c r="H214" s="149"/>
      <c r="I214" s="149"/>
      <c r="J214" s="150"/>
      <c r="K214" s="106"/>
      <c r="L214" s="121"/>
      <c r="M214" s="121"/>
      <c r="N214" s="106"/>
      <c r="O214" s="106"/>
      <c r="P214" s="106"/>
      <c r="Q214" s="106"/>
      <c r="R214" s="106"/>
      <c r="S214" s="106"/>
      <c r="T214" s="106"/>
      <c r="U214" s="106"/>
      <c r="V214" s="106"/>
      <c r="W214" s="106"/>
      <c r="X214" s="106"/>
      <c r="Y214" s="106"/>
    </row>
    <row r="215" spans="1:25" ht="15.75" customHeight="1">
      <c r="A215" s="149"/>
      <c r="B215" s="149"/>
      <c r="C215" s="149"/>
      <c r="D215" s="149"/>
      <c r="E215" s="149"/>
      <c r="F215" s="149"/>
      <c r="G215" s="149"/>
      <c r="H215" s="149"/>
      <c r="I215" s="149"/>
      <c r="J215" s="150"/>
      <c r="K215" s="106"/>
      <c r="L215" s="121"/>
      <c r="M215" s="121"/>
      <c r="N215" s="106"/>
      <c r="O215" s="106"/>
      <c r="P215" s="106"/>
      <c r="Q215" s="106"/>
      <c r="R215" s="106"/>
      <c r="S215" s="106"/>
      <c r="T215" s="106"/>
      <c r="U215" s="106"/>
      <c r="V215" s="106"/>
      <c r="W215" s="106"/>
      <c r="X215" s="106"/>
      <c r="Y215" s="106"/>
    </row>
    <row r="216" spans="1:25" ht="15.75" customHeight="1">
      <c r="A216" s="149"/>
      <c r="B216" s="149"/>
      <c r="C216" s="149"/>
      <c r="D216" s="149"/>
      <c r="E216" s="149"/>
      <c r="F216" s="149"/>
      <c r="G216" s="149"/>
      <c r="H216" s="149"/>
      <c r="I216" s="149"/>
      <c r="J216" s="150"/>
      <c r="K216" s="106"/>
      <c r="L216" s="121"/>
      <c r="M216" s="121"/>
      <c r="N216" s="106"/>
      <c r="O216" s="106"/>
      <c r="P216" s="106"/>
      <c r="Q216" s="106"/>
      <c r="R216" s="106"/>
      <c r="S216" s="106"/>
      <c r="T216" s="106"/>
      <c r="U216" s="106"/>
      <c r="V216" s="106"/>
      <c r="W216" s="106"/>
      <c r="X216" s="106"/>
      <c r="Y216" s="106"/>
    </row>
    <row r="217" spans="1:25" ht="15.75" customHeight="1">
      <c r="A217" s="149"/>
      <c r="B217" s="149"/>
      <c r="C217" s="149"/>
      <c r="D217" s="149"/>
      <c r="E217" s="149"/>
      <c r="F217" s="149"/>
      <c r="G217" s="149"/>
      <c r="H217" s="149"/>
      <c r="I217" s="149"/>
      <c r="J217" s="150"/>
      <c r="K217" s="106"/>
      <c r="L217" s="121"/>
      <c r="M217" s="121"/>
      <c r="N217" s="106"/>
      <c r="O217" s="106"/>
      <c r="P217" s="106"/>
      <c r="Q217" s="106"/>
      <c r="R217" s="106"/>
      <c r="S217" s="106"/>
      <c r="T217" s="106"/>
      <c r="U217" s="106"/>
      <c r="V217" s="106"/>
      <c r="W217" s="106"/>
      <c r="X217" s="106"/>
      <c r="Y217" s="106"/>
    </row>
    <row r="218" spans="1:25" ht="15.75" customHeight="1">
      <c r="A218" s="149"/>
      <c r="B218" s="149"/>
      <c r="C218" s="149"/>
      <c r="D218" s="149"/>
      <c r="E218" s="149"/>
      <c r="F218" s="149"/>
      <c r="G218" s="149"/>
      <c r="H218" s="149"/>
      <c r="I218" s="149"/>
      <c r="J218" s="150"/>
      <c r="K218" s="106"/>
      <c r="L218" s="121"/>
      <c r="M218" s="121"/>
      <c r="N218" s="106"/>
      <c r="O218" s="106"/>
      <c r="P218" s="106"/>
      <c r="Q218" s="106"/>
      <c r="R218" s="106"/>
      <c r="S218" s="106"/>
      <c r="T218" s="106"/>
      <c r="U218" s="106"/>
      <c r="V218" s="106"/>
      <c r="W218" s="106"/>
      <c r="X218" s="106"/>
      <c r="Y218" s="106"/>
    </row>
    <row r="219" spans="1:25" ht="15.75" customHeight="1">
      <c r="A219" s="149"/>
      <c r="B219" s="149"/>
      <c r="C219" s="149"/>
      <c r="D219" s="149"/>
      <c r="E219" s="149"/>
      <c r="F219" s="149"/>
      <c r="G219" s="149"/>
      <c r="H219" s="149"/>
      <c r="I219" s="149"/>
      <c r="J219" s="150"/>
      <c r="K219" s="106"/>
      <c r="L219" s="121"/>
      <c r="M219" s="121"/>
      <c r="N219" s="106"/>
      <c r="O219" s="106"/>
      <c r="P219" s="106"/>
      <c r="Q219" s="106"/>
      <c r="R219" s="106"/>
      <c r="S219" s="106"/>
      <c r="T219" s="106"/>
      <c r="U219" s="106"/>
      <c r="V219" s="106"/>
      <c r="W219" s="106"/>
      <c r="X219" s="106"/>
      <c r="Y219" s="106"/>
    </row>
    <row r="220" spans="1:25" ht="15.75" customHeight="1">
      <c r="A220" s="149"/>
      <c r="B220" s="149"/>
      <c r="C220" s="149"/>
      <c r="D220" s="149"/>
      <c r="E220" s="149"/>
      <c r="F220" s="149"/>
      <c r="G220" s="149"/>
      <c r="H220" s="149"/>
      <c r="I220" s="149"/>
      <c r="J220" s="150"/>
      <c r="K220" s="106"/>
      <c r="L220" s="121"/>
      <c r="M220" s="121"/>
      <c r="N220" s="106"/>
      <c r="O220" s="106"/>
      <c r="P220" s="106"/>
      <c r="Q220" s="106"/>
      <c r="R220" s="106"/>
      <c r="S220" s="106"/>
      <c r="T220" s="106"/>
      <c r="U220" s="106"/>
      <c r="V220" s="106"/>
      <c r="W220" s="106"/>
      <c r="X220" s="106"/>
      <c r="Y220" s="106"/>
    </row>
    <row r="221" spans="1:25" ht="15.75" customHeight="1">
      <c r="A221" s="149"/>
      <c r="B221" s="149"/>
      <c r="C221" s="149"/>
      <c r="D221" s="149"/>
      <c r="E221" s="149"/>
      <c r="F221" s="149"/>
      <c r="G221" s="149"/>
      <c r="H221" s="149"/>
      <c r="I221" s="149"/>
      <c r="J221" s="150"/>
      <c r="K221" s="106"/>
      <c r="L221" s="121"/>
      <c r="M221" s="121"/>
      <c r="N221" s="106"/>
      <c r="O221" s="106"/>
      <c r="P221" s="106"/>
      <c r="Q221" s="106"/>
      <c r="R221" s="106"/>
      <c r="S221" s="106"/>
      <c r="T221" s="106"/>
      <c r="U221" s="106"/>
      <c r="V221" s="106"/>
      <c r="W221" s="106"/>
      <c r="X221" s="106"/>
      <c r="Y221" s="106"/>
    </row>
    <row r="222" spans="1:25" ht="15.75" customHeight="1">
      <c r="A222" s="149"/>
      <c r="B222" s="149"/>
      <c r="C222" s="149"/>
      <c r="D222" s="149"/>
      <c r="E222" s="149"/>
      <c r="F222" s="149"/>
      <c r="G222" s="149"/>
      <c r="H222" s="149"/>
      <c r="I222" s="149"/>
      <c r="J222" s="150"/>
      <c r="K222" s="106"/>
      <c r="L222" s="121"/>
      <c r="M222" s="121"/>
      <c r="N222" s="106"/>
      <c r="O222" s="106"/>
      <c r="P222" s="106"/>
      <c r="Q222" s="106"/>
      <c r="R222" s="106"/>
      <c r="S222" s="106"/>
      <c r="T222" s="106"/>
      <c r="U222" s="106"/>
      <c r="V222" s="106"/>
      <c r="W222" s="106"/>
      <c r="X222" s="106"/>
      <c r="Y222" s="106"/>
    </row>
    <row r="223" spans="1:25" ht="15.75" customHeight="1">
      <c r="A223" s="149"/>
      <c r="B223" s="149"/>
      <c r="C223" s="149"/>
      <c r="D223" s="149"/>
      <c r="E223" s="149"/>
      <c r="F223" s="149"/>
      <c r="G223" s="149"/>
      <c r="H223" s="149"/>
      <c r="I223" s="149"/>
      <c r="J223" s="150"/>
      <c r="K223" s="106"/>
      <c r="L223" s="121"/>
      <c r="M223" s="121"/>
      <c r="N223" s="106"/>
      <c r="O223" s="106"/>
      <c r="P223" s="106"/>
      <c r="Q223" s="106"/>
      <c r="R223" s="106"/>
      <c r="S223" s="106"/>
      <c r="T223" s="106"/>
      <c r="U223" s="106"/>
      <c r="V223" s="106"/>
      <c r="W223" s="106"/>
      <c r="X223" s="106"/>
      <c r="Y223" s="106"/>
    </row>
    <row r="224" spans="1:25" ht="15.75" customHeight="1">
      <c r="A224" s="149"/>
      <c r="B224" s="149"/>
      <c r="C224" s="149"/>
      <c r="D224" s="149"/>
      <c r="E224" s="149"/>
      <c r="F224" s="149"/>
      <c r="G224" s="149"/>
      <c r="H224" s="149"/>
      <c r="I224" s="149"/>
      <c r="J224" s="150"/>
      <c r="K224" s="106"/>
      <c r="L224" s="121"/>
      <c r="M224" s="121"/>
      <c r="N224" s="106"/>
      <c r="O224" s="106"/>
      <c r="P224" s="106"/>
      <c r="Q224" s="106"/>
      <c r="R224" s="106"/>
      <c r="S224" s="106"/>
      <c r="T224" s="106"/>
      <c r="U224" s="106"/>
      <c r="V224" s="106"/>
      <c r="W224" s="106"/>
      <c r="X224" s="106"/>
      <c r="Y224" s="106"/>
    </row>
    <row r="225" spans="1:25" ht="15.75" customHeight="1">
      <c r="A225" s="149"/>
      <c r="B225" s="149"/>
      <c r="C225" s="149"/>
      <c r="D225" s="149"/>
      <c r="E225" s="149"/>
      <c r="F225" s="149"/>
      <c r="G225" s="149"/>
      <c r="H225" s="149"/>
      <c r="I225" s="149"/>
      <c r="J225" s="150"/>
      <c r="K225" s="106"/>
      <c r="L225" s="121"/>
      <c r="M225" s="121"/>
      <c r="N225" s="106"/>
      <c r="O225" s="106"/>
      <c r="P225" s="106"/>
      <c r="Q225" s="106"/>
      <c r="R225" s="106"/>
      <c r="S225" s="106"/>
      <c r="T225" s="106"/>
      <c r="U225" s="106"/>
      <c r="V225" s="106"/>
      <c r="W225" s="106"/>
      <c r="X225" s="106"/>
      <c r="Y225" s="106"/>
    </row>
    <row r="226" spans="1:25" ht="15.75" customHeight="1">
      <c r="A226" s="149"/>
      <c r="B226" s="149"/>
      <c r="C226" s="149"/>
      <c r="D226" s="149"/>
      <c r="E226" s="149"/>
      <c r="F226" s="149"/>
      <c r="G226" s="149"/>
      <c r="H226" s="149"/>
      <c r="I226" s="149"/>
      <c r="J226" s="150"/>
      <c r="K226" s="106"/>
      <c r="L226" s="121"/>
      <c r="M226" s="121"/>
      <c r="N226" s="106"/>
      <c r="O226" s="106"/>
      <c r="P226" s="106"/>
      <c r="Q226" s="106"/>
      <c r="R226" s="106"/>
      <c r="S226" s="106"/>
      <c r="T226" s="106"/>
      <c r="U226" s="106"/>
      <c r="V226" s="106"/>
      <c r="W226" s="106"/>
      <c r="X226" s="106"/>
      <c r="Y226" s="106"/>
    </row>
    <row r="227" spans="1:25" ht="15.75" customHeight="1">
      <c r="A227" s="149"/>
      <c r="B227" s="149"/>
      <c r="C227" s="149"/>
      <c r="D227" s="149"/>
      <c r="E227" s="149"/>
      <c r="F227" s="149"/>
      <c r="G227" s="149"/>
      <c r="H227" s="149"/>
      <c r="I227" s="149"/>
      <c r="J227" s="150"/>
      <c r="K227" s="106"/>
      <c r="L227" s="121"/>
      <c r="M227" s="121"/>
      <c r="N227" s="106"/>
      <c r="O227" s="106"/>
      <c r="P227" s="106"/>
      <c r="Q227" s="106"/>
      <c r="R227" s="106"/>
      <c r="S227" s="106"/>
      <c r="T227" s="106"/>
      <c r="U227" s="106"/>
      <c r="V227" s="106"/>
      <c r="W227" s="106"/>
      <c r="X227" s="106"/>
      <c r="Y227" s="106"/>
    </row>
    <row r="228" spans="1:25" ht="15.75" customHeight="1">
      <c r="A228" s="149"/>
      <c r="B228" s="149"/>
      <c r="C228" s="149"/>
      <c r="D228" s="149"/>
      <c r="E228" s="149"/>
      <c r="F228" s="149"/>
      <c r="G228" s="149"/>
      <c r="H228" s="149"/>
      <c r="I228" s="149"/>
      <c r="J228" s="150"/>
      <c r="K228" s="106"/>
      <c r="L228" s="121"/>
      <c r="M228" s="121"/>
      <c r="N228" s="106"/>
      <c r="O228" s="106"/>
      <c r="P228" s="106"/>
      <c r="Q228" s="106"/>
      <c r="R228" s="106"/>
      <c r="S228" s="106"/>
      <c r="T228" s="106"/>
      <c r="U228" s="106"/>
      <c r="V228" s="106"/>
      <c r="W228" s="106"/>
      <c r="X228" s="106"/>
      <c r="Y228" s="106"/>
    </row>
    <row r="229" spans="1:25" ht="15.75" customHeight="1">
      <c r="A229" s="149"/>
      <c r="B229" s="149"/>
      <c r="C229" s="149"/>
      <c r="D229" s="149"/>
      <c r="E229" s="149"/>
      <c r="F229" s="149"/>
      <c r="G229" s="149"/>
      <c r="H229" s="149"/>
      <c r="I229" s="149"/>
      <c r="J229" s="150"/>
      <c r="K229" s="106"/>
      <c r="L229" s="121"/>
      <c r="M229" s="121"/>
      <c r="N229" s="106"/>
      <c r="O229" s="106"/>
      <c r="P229" s="106"/>
      <c r="Q229" s="106"/>
      <c r="R229" s="106"/>
      <c r="S229" s="106"/>
      <c r="T229" s="106"/>
      <c r="U229" s="106"/>
      <c r="V229" s="106"/>
      <c r="W229" s="106"/>
      <c r="X229" s="106"/>
      <c r="Y229" s="106"/>
    </row>
    <row r="230" spans="1:25" ht="15.75" customHeight="1">
      <c r="A230" s="149"/>
      <c r="B230" s="149"/>
      <c r="C230" s="149"/>
      <c r="D230" s="149"/>
      <c r="E230" s="149"/>
      <c r="F230" s="149"/>
      <c r="G230" s="149"/>
      <c r="H230" s="149"/>
      <c r="I230" s="149"/>
      <c r="J230" s="150"/>
      <c r="K230" s="106"/>
      <c r="L230" s="121"/>
      <c r="M230" s="121"/>
      <c r="N230" s="106"/>
      <c r="O230" s="106"/>
      <c r="P230" s="106"/>
      <c r="Q230" s="106"/>
      <c r="R230" s="106"/>
      <c r="S230" s="106"/>
      <c r="T230" s="106"/>
      <c r="U230" s="106"/>
      <c r="V230" s="106"/>
      <c r="W230" s="106"/>
      <c r="X230" s="106"/>
      <c r="Y230" s="106"/>
    </row>
    <row r="231" spans="1:25" ht="15.75" customHeight="1">
      <c r="A231" s="149"/>
      <c r="B231" s="149"/>
      <c r="C231" s="149"/>
      <c r="D231" s="149"/>
      <c r="E231" s="149"/>
      <c r="F231" s="149"/>
      <c r="G231" s="149"/>
      <c r="H231" s="149"/>
      <c r="I231" s="149"/>
      <c r="J231" s="150"/>
      <c r="K231" s="106"/>
      <c r="L231" s="121"/>
      <c r="M231" s="121"/>
      <c r="N231" s="106"/>
      <c r="O231" s="106"/>
      <c r="P231" s="106"/>
      <c r="Q231" s="106"/>
      <c r="R231" s="106"/>
      <c r="S231" s="106"/>
      <c r="T231" s="106"/>
      <c r="U231" s="106"/>
      <c r="V231" s="106"/>
      <c r="W231" s="106"/>
      <c r="X231" s="106"/>
      <c r="Y231" s="106"/>
    </row>
    <row r="232" spans="1:25" ht="15.75" customHeight="1">
      <c r="A232" s="149"/>
      <c r="B232" s="149"/>
      <c r="C232" s="149"/>
      <c r="D232" s="149"/>
      <c r="E232" s="149"/>
      <c r="F232" s="149"/>
      <c r="G232" s="149"/>
      <c r="H232" s="149"/>
      <c r="I232" s="149"/>
      <c r="J232" s="150"/>
      <c r="K232" s="106"/>
      <c r="L232" s="121"/>
      <c r="M232" s="121"/>
      <c r="N232" s="106"/>
      <c r="O232" s="106"/>
      <c r="P232" s="106"/>
      <c r="Q232" s="106"/>
      <c r="R232" s="106"/>
      <c r="S232" s="106"/>
      <c r="T232" s="106"/>
      <c r="U232" s="106"/>
      <c r="V232" s="106"/>
      <c r="W232" s="106"/>
      <c r="X232" s="106"/>
      <c r="Y232" s="106"/>
    </row>
    <row r="233" spans="1:25" ht="15.75" customHeight="1">
      <c r="A233" s="149"/>
      <c r="B233" s="149"/>
      <c r="C233" s="149"/>
      <c r="D233" s="149"/>
      <c r="E233" s="149"/>
      <c r="F233" s="149"/>
      <c r="G233" s="149"/>
      <c r="H233" s="149"/>
      <c r="I233" s="149"/>
      <c r="J233" s="150"/>
      <c r="K233" s="106"/>
      <c r="L233" s="121"/>
      <c r="M233" s="121"/>
      <c r="N233" s="106"/>
      <c r="O233" s="106"/>
      <c r="P233" s="106"/>
      <c r="Q233" s="106"/>
      <c r="R233" s="106"/>
      <c r="S233" s="106"/>
      <c r="T233" s="106"/>
      <c r="U233" s="106"/>
      <c r="V233" s="106"/>
      <c r="W233" s="106"/>
      <c r="X233" s="106"/>
      <c r="Y233" s="106"/>
    </row>
    <row r="234" spans="1:25" ht="15.75" customHeight="1">
      <c r="A234" s="149"/>
      <c r="B234" s="149"/>
      <c r="C234" s="149"/>
      <c r="D234" s="149"/>
      <c r="E234" s="149"/>
      <c r="F234" s="149"/>
      <c r="G234" s="149"/>
      <c r="H234" s="149"/>
      <c r="I234" s="149"/>
      <c r="J234" s="150"/>
      <c r="K234" s="106"/>
      <c r="L234" s="121"/>
      <c r="M234" s="121"/>
      <c r="N234" s="106"/>
      <c r="O234" s="106"/>
      <c r="P234" s="106"/>
      <c r="Q234" s="106"/>
      <c r="R234" s="106"/>
      <c r="S234" s="106"/>
      <c r="T234" s="106"/>
      <c r="U234" s="106"/>
      <c r="V234" s="106"/>
      <c r="W234" s="106"/>
      <c r="X234" s="106"/>
      <c r="Y234" s="106"/>
    </row>
    <row r="235" spans="1:25" ht="15.75" customHeight="1">
      <c r="A235" s="149"/>
      <c r="B235" s="149"/>
      <c r="C235" s="149"/>
      <c r="D235" s="149"/>
      <c r="E235" s="149"/>
      <c r="F235" s="149"/>
      <c r="G235" s="149"/>
      <c r="H235" s="149"/>
      <c r="I235" s="149"/>
      <c r="J235" s="150"/>
      <c r="K235" s="106"/>
      <c r="L235" s="121"/>
      <c r="M235" s="121"/>
      <c r="N235" s="106"/>
      <c r="O235" s="106"/>
      <c r="P235" s="106"/>
      <c r="Q235" s="106"/>
      <c r="R235" s="106"/>
      <c r="S235" s="106"/>
      <c r="T235" s="106"/>
      <c r="U235" s="106"/>
      <c r="V235" s="106"/>
      <c r="W235" s="106"/>
      <c r="X235" s="106"/>
      <c r="Y235" s="106"/>
    </row>
    <row r="236" spans="1:25" ht="15.75" customHeight="1">
      <c r="A236" s="149"/>
      <c r="B236" s="149"/>
      <c r="C236" s="149"/>
      <c r="D236" s="149"/>
      <c r="E236" s="149"/>
      <c r="F236" s="149"/>
      <c r="G236" s="149"/>
      <c r="H236" s="149"/>
      <c r="I236" s="149"/>
      <c r="J236" s="150"/>
      <c r="K236" s="106"/>
      <c r="L236" s="121"/>
      <c r="M236" s="121"/>
      <c r="N236" s="106"/>
      <c r="O236" s="106"/>
      <c r="P236" s="106"/>
      <c r="Q236" s="106"/>
      <c r="R236" s="106"/>
      <c r="S236" s="106"/>
      <c r="T236" s="106"/>
      <c r="U236" s="106"/>
      <c r="V236" s="106"/>
      <c r="W236" s="106"/>
      <c r="X236" s="106"/>
      <c r="Y236" s="106"/>
    </row>
    <row r="237" spans="1:25" ht="15.75" customHeight="1">
      <c r="A237" s="149"/>
      <c r="B237" s="149"/>
      <c r="C237" s="149"/>
      <c r="D237" s="149"/>
      <c r="E237" s="149"/>
      <c r="F237" s="149"/>
      <c r="G237" s="149"/>
      <c r="H237" s="149"/>
      <c r="I237" s="149"/>
      <c r="J237" s="150"/>
      <c r="K237" s="106"/>
      <c r="L237" s="121"/>
      <c r="M237" s="121"/>
      <c r="N237" s="106"/>
      <c r="O237" s="106"/>
      <c r="P237" s="106"/>
      <c r="Q237" s="106"/>
      <c r="R237" s="106"/>
      <c r="S237" s="106"/>
      <c r="T237" s="106"/>
      <c r="U237" s="106"/>
      <c r="V237" s="106"/>
      <c r="W237" s="106"/>
      <c r="X237" s="106"/>
      <c r="Y237" s="106"/>
    </row>
    <row r="238" spans="1:25" ht="15.75" customHeight="1">
      <c r="A238" s="149"/>
      <c r="B238" s="149"/>
      <c r="C238" s="149"/>
      <c r="D238" s="149"/>
      <c r="E238" s="149"/>
      <c r="F238" s="149"/>
      <c r="G238" s="149"/>
      <c r="H238" s="149"/>
      <c r="I238" s="149"/>
      <c r="J238" s="150"/>
      <c r="K238" s="106"/>
      <c r="L238" s="121"/>
      <c r="M238" s="121"/>
      <c r="N238" s="106"/>
      <c r="O238" s="106"/>
      <c r="P238" s="106"/>
      <c r="Q238" s="106"/>
      <c r="R238" s="106"/>
      <c r="S238" s="106"/>
      <c r="T238" s="106"/>
      <c r="U238" s="106"/>
      <c r="V238" s="106"/>
      <c r="W238" s="106"/>
      <c r="X238" s="106"/>
      <c r="Y238" s="106"/>
    </row>
    <row r="239" spans="1:25" ht="15.75" customHeight="1">
      <c r="A239" s="149"/>
      <c r="B239" s="149"/>
      <c r="C239" s="149"/>
      <c r="D239" s="149"/>
      <c r="E239" s="149"/>
      <c r="F239" s="149"/>
      <c r="G239" s="149"/>
      <c r="H239" s="149"/>
      <c r="I239" s="149"/>
      <c r="J239" s="150"/>
      <c r="K239" s="106"/>
      <c r="L239" s="121"/>
      <c r="M239" s="121"/>
      <c r="N239" s="106"/>
      <c r="O239" s="106"/>
      <c r="P239" s="106"/>
      <c r="Q239" s="106"/>
      <c r="R239" s="106"/>
      <c r="S239" s="106"/>
      <c r="T239" s="106"/>
      <c r="U239" s="106"/>
      <c r="V239" s="106"/>
      <c r="W239" s="106"/>
      <c r="X239" s="106"/>
      <c r="Y239" s="106"/>
    </row>
    <row r="240" spans="1:25" ht="15.75" customHeight="1">
      <c r="A240" s="149"/>
      <c r="B240" s="149"/>
      <c r="C240" s="149"/>
      <c r="D240" s="149"/>
      <c r="E240" s="149"/>
      <c r="F240" s="149"/>
      <c r="G240" s="149"/>
      <c r="H240" s="149"/>
      <c r="I240" s="149"/>
      <c r="J240" s="150"/>
      <c r="K240" s="106"/>
      <c r="L240" s="121"/>
      <c r="M240" s="121"/>
      <c r="N240" s="106"/>
      <c r="O240" s="106"/>
      <c r="P240" s="106"/>
      <c r="Q240" s="106"/>
      <c r="R240" s="106"/>
      <c r="S240" s="106"/>
      <c r="T240" s="106"/>
      <c r="U240" s="106"/>
      <c r="V240" s="106"/>
      <c r="W240" s="106"/>
      <c r="X240" s="106"/>
      <c r="Y240" s="106"/>
    </row>
    <row r="241" spans="1:25" ht="15.75" customHeight="1">
      <c r="A241" s="149"/>
      <c r="B241" s="149"/>
      <c r="C241" s="149"/>
      <c r="D241" s="149"/>
      <c r="E241" s="149"/>
      <c r="F241" s="149"/>
      <c r="G241" s="149"/>
      <c r="H241" s="149"/>
      <c r="I241" s="149"/>
      <c r="J241" s="150"/>
      <c r="K241" s="106"/>
      <c r="L241" s="121"/>
      <c r="M241" s="121"/>
      <c r="N241" s="106"/>
      <c r="O241" s="106"/>
      <c r="P241" s="106"/>
      <c r="Q241" s="106"/>
      <c r="R241" s="106"/>
      <c r="S241" s="106"/>
      <c r="T241" s="106"/>
      <c r="U241" s="106"/>
      <c r="V241" s="106"/>
      <c r="W241" s="106"/>
      <c r="X241" s="106"/>
      <c r="Y241" s="106"/>
    </row>
    <row r="242" spans="1:25" ht="15.75" customHeight="1">
      <c r="A242" s="149"/>
      <c r="B242" s="149"/>
      <c r="C242" s="149"/>
      <c r="D242" s="149"/>
      <c r="E242" s="149"/>
      <c r="F242" s="149"/>
      <c r="G242" s="149"/>
      <c r="H242" s="149"/>
      <c r="I242" s="149"/>
      <c r="J242" s="150"/>
      <c r="K242" s="106"/>
      <c r="L242" s="121"/>
      <c r="M242" s="121"/>
      <c r="N242" s="106"/>
      <c r="O242" s="106"/>
      <c r="P242" s="106"/>
      <c r="Q242" s="106"/>
      <c r="R242" s="106"/>
      <c r="S242" s="106"/>
      <c r="T242" s="106"/>
      <c r="U242" s="106"/>
      <c r="V242" s="106"/>
      <c r="W242" s="106"/>
      <c r="X242" s="106"/>
      <c r="Y242" s="106"/>
    </row>
    <row r="243" spans="1:25" ht="15.75" customHeight="1">
      <c r="A243" s="149"/>
      <c r="B243" s="149"/>
      <c r="C243" s="149"/>
      <c r="D243" s="149"/>
      <c r="E243" s="149"/>
      <c r="F243" s="149"/>
      <c r="G243" s="149"/>
      <c r="H243" s="149"/>
      <c r="I243" s="149"/>
      <c r="J243" s="150"/>
      <c r="K243" s="106"/>
      <c r="L243" s="121"/>
      <c r="M243" s="121"/>
      <c r="N243" s="106"/>
      <c r="O243" s="106"/>
      <c r="P243" s="106"/>
      <c r="Q243" s="106"/>
      <c r="R243" s="106"/>
      <c r="S243" s="106"/>
      <c r="T243" s="106"/>
      <c r="U243" s="106"/>
      <c r="V243" s="106"/>
      <c r="W243" s="106"/>
      <c r="X243" s="106"/>
      <c r="Y243" s="106"/>
    </row>
    <row r="244" spans="1:25" ht="15.75" customHeight="1">
      <c r="A244" s="149"/>
      <c r="B244" s="149"/>
      <c r="C244" s="149"/>
      <c r="D244" s="149"/>
      <c r="E244" s="149"/>
      <c r="F244" s="149"/>
      <c r="G244" s="149"/>
      <c r="H244" s="149"/>
      <c r="I244" s="149"/>
      <c r="J244" s="150"/>
      <c r="K244" s="106"/>
      <c r="L244" s="121"/>
      <c r="M244" s="121"/>
      <c r="N244" s="106"/>
      <c r="O244" s="106"/>
      <c r="P244" s="106"/>
      <c r="Q244" s="106"/>
      <c r="R244" s="106"/>
      <c r="S244" s="106"/>
      <c r="T244" s="106"/>
      <c r="U244" s="106"/>
      <c r="V244" s="106"/>
      <c r="W244" s="106"/>
      <c r="X244" s="106"/>
      <c r="Y244" s="106"/>
    </row>
    <row r="245" spans="1:25" ht="15.75" customHeight="1">
      <c r="A245" s="149"/>
      <c r="B245" s="149"/>
      <c r="C245" s="149"/>
      <c r="D245" s="149"/>
      <c r="E245" s="149"/>
      <c r="F245" s="149"/>
      <c r="G245" s="149"/>
      <c r="H245" s="149"/>
      <c r="I245" s="149"/>
      <c r="J245" s="150"/>
      <c r="K245" s="106"/>
      <c r="L245" s="121"/>
      <c r="M245" s="121"/>
      <c r="N245" s="106"/>
      <c r="O245" s="106"/>
      <c r="P245" s="106"/>
      <c r="Q245" s="106"/>
      <c r="R245" s="106"/>
      <c r="S245" s="106"/>
      <c r="T245" s="106"/>
      <c r="U245" s="106"/>
      <c r="V245" s="106"/>
      <c r="W245" s="106"/>
      <c r="X245" s="106"/>
      <c r="Y245" s="106"/>
    </row>
    <row r="246" spans="1:25" ht="15.75" customHeight="1">
      <c r="A246" s="149"/>
      <c r="B246" s="149"/>
      <c r="C246" s="149"/>
      <c r="D246" s="149"/>
      <c r="E246" s="149"/>
      <c r="F246" s="149"/>
      <c r="G246" s="149"/>
      <c r="H246" s="149"/>
      <c r="I246" s="149"/>
      <c r="J246" s="150"/>
      <c r="K246" s="106"/>
      <c r="L246" s="121"/>
      <c r="M246" s="121"/>
      <c r="N246" s="106"/>
      <c r="O246" s="106"/>
      <c r="P246" s="106"/>
      <c r="Q246" s="106"/>
      <c r="R246" s="106"/>
      <c r="S246" s="106"/>
      <c r="T246" s="106"/>
      <c r="U246" s="106"/>
      <c r="V246" s="106"/>
      <c r="W246" s="106"/>
      <c r="X246" s="106"/>
      <c r="Y246" s="106"/>
    </row>
    <row r="247" spans="1:25" ht="15.75" customHeight="1">
      <c r="A247" s="149"/>
      <c r="B247" s="149"/>
      <c r="C247" s="149"/>
      <c r="D247" s="149"/>
      <c r="E247" s="149"/>
      <c r="F247" s="149"/>
      <c r="G247" s="149"/>
      <c r="H247" s="149"/>
      <c r="I247" s="149"/>
      <c r="J247" s="150"/>
      <c r="K247" s="106"/>
      <c r="L247" s="121"/>
      <c r="M247" s="121"/>
      <c r="N247" s="106"/>
      <c r="O247" s="106"/>
      <c r="P247" s="106"/>
      <c r="Q247" s="106"/>
      <c r="R247" s="106"/>
      <c r="S247" s="106"/>
      <c r="T247" s="106"/>
      <c r="U247" s="106"/>
      <c r="V247" s="106"/>
      <c r="W247" s="106"/>
      <c r="X247" s="106"/>
      <c r="Y247" s="106"/>
    </row>
    <row r="248" spans="1:25" ht="15.75" customHeight="1">
      <c r="A248" s="149"/>
      <c r="B248" s="149"/>
      <c r="C248" s="149"/>
      <c r="D248" s="149"/>
      <c r="E248" s="149"/>
      <c r="F248" s="149"/>
      <c r="G248" s="149"/>
      <c r="H248" s="149"/>
      <c r="I248" s="149"/>
      <c r="J248" s="150"/>
      <c r="K248" s="106"/>
      <c r="L248" s="121"/>
      <c r="M248" s="121"/>
      <c r="N248" s="106"/>
      <c r="O248" s="106"/>
      <c r="P248" s="106"/>
      <c r="Q248" s="106"/>
      <c r="R248" s="106"/>
      <c r="S248" s="106"/>
      <c r="T248" s="106"/>
      <c r="U248" s="106"/>
      <c r="V248" s="106"/>
      <c r="W248" s="106"/>
      <c r="X248" s="106"/>
      <c r="Y248" s="106"/>
    </row>
    <row r="249" spans="1:25" ht="15.75" customHeight="1">
      <c r="A249" s="149"/>
      <c r="B249" s="149"/>
      <c r="C249" s="149"/>
      <c r="D249" s="149"/>
      <c r="E249" s="149"/>
      <c r="F249" s="149"/>
      <c r="G249" s="149"/>
      <c r="H249" s="149"/>
      <c r="I249" s="149"/>
      <c r="J249" s="150"/>
      <c r="K249" s="106"/>
      <c r="L249" s="121"/>
      <c r="M249" s="121"/>
      <c r="N249" s="106"/>
      <c r="O249" s="106"/>
      <c r="P249" s="106"/>
      <c r="Q249" s="106"/>
      <c r="R249" s="106"/>
      <c r="S249" s="106"/>
      <c r="T249" s="106"/>
      <c r="U249" s="106"/>
      <c r="V249" s="106"/>
      <c r="W249" s="106"/>
      <c r="X249" s="106"/>
      <c r="Y249" s="106"/>
    </row>
    <row r="250" spans="1:25" ht="15.75" customHeight="1">
      <c r="A250" s="149"/>
      <c r="B250" s="149"/>
      <c r="C250" s="149"/>
      <c r="D250" s="149"/>
      <c r="E250" s="149"/>
      <c r="F250" s="149"/>
      <c r="G250" s="149"/>
      <c r="H250" s="149"/>
      <c r="I250" s="149"/>
      <c r="J250" s="150"/>
      <c r="K250" s="106"/>
      <c r="L250" s="121"/>
      <c r="M250" s="121"/>
      <c r="N250" s="106"/>
      <c r="O250" s="106"/>
      <c r="P250" s="106"/>
      <c r="Q250" s="106"/>
      <c r="R250" s="106"/>
      <c r="S250" s="106"/>
      <c r="T250" s="106"/>
      <c r="U250" s="106"/>
      <c r="V250" s="106"/>
      <c r="W250" s="106"/>
      <c r="X250" s="106"/>
      <c r="Y250" s="106"/>
    </row>
    <row r="251" spans="1:25" ht="15.75" customHeight="1">
      <c r="A251" s="149"/>
      <c r="B251" s="149"/>
      <c r="C251" s="149"/>
      <c r="D251" s="149"/>
      <c r="E251" s="149"/>
      <c r="F251" s="149"/>
      <c r="G251" s="149"/>
      <c r="H251" s="149"/>
      <c r="I251" s="149"/>
      <c r="J251" s="150"/>
      <c r="K251" s="106"/>
      <c r="L251" s="121"/>
      <c r="M251" s="121"/>
      <c r="N251" s="106"/>
      <c r="O251" s="106"/>
      <c r="P251" s="106"/>
      <c r="Q251" s="106"/>
      <c r="R251" s="106"/>
      <c r="S251" s="106"/>
      <c r="T251" s="106"/>
      <c r="U251" s="106"/>
      <c r="V251" s="106"/>
      <c r="W251" s="106"/>
      <c r="X251" s="106"/>
      <c r="Y251" s="106"/>
    </row>
    <row r="252" spans="1:25" ht="15.75" customHeight="1">
      <c r="A252" s="149"/>
      <c r="B252" s="149"/>
      <c r="C252" s="149"/>
      <c r="D252" s="149"/>
      <c r="E252" s="149"/>
      <c r="F252" s="149"/>
      <c r="G252" s="149"/>
      <c r="H252" s="149"/>
      <c r="I252" s="149"/>
      <c r="J252" s="150"/>
      <c r="K252" s="106"/>
      <c r="L252" s="121"/>
      <c r="M252" s="121"/>
      <c r="N252" s="106"/>
      <c r="O252" s="106"/>
      <c r="P252" s="106"/>
      <c r="Q252" s="106"/>
      <c r="R252" s="106"/>
      <c r="S252" s="106"/>
      <c r="T252" s="106"/>
      <c r="U252" s="106"/>
      <c r="V252" s="106"/>
      <c r="W252" s="106"/>
      <c r="X252" s="106"/>
      <c r="Y252" s="106"/>
    </row>
    <row r="253" spans="1:25" ht="15.75" customHeight="1">
      <c r="A253" s="149"/>
      <c r="B253" s="149"/>
      <c r="C253" s="149"/>
      <c r="D253" s="149"/>
      <c r="E253" s="149"/>
      <c r="F253" s="149"/>
      <c r="G253" s="149"/>
      <c r="H253" s="149"/>
      <c r="I253" s="149"/>
      <c r="J253" s="150"/>
      <c r="K253" s="106"/>
      <c r="L253" s="121"/>
      <c r="M253" s="121"/>
      <c r="N253" s="106"/>
      <c r="O253" s="106"/>
      <c r="P253" s="106"/>
      <c r="Q253" s="106"/>
      <c r="R253" s="106"/>
      <c r="S253" s="106"/>
      <c r="T253" s="106"/>
      <c r="U253" s="106"/>
      <c r="V253" s="106"/>
      <c r="W253" s="106"/>
      <c r="X253" s="106"/>
      <c r="Y253" s="106"/>
    </row>
    <row r="254" spans="1:25" ht="15.75" customHeight="1">
      <c r="A254" s="149"/>
      <c r="B254" s="149"/>
      <c r="C254" s="149"/>
      <c r="D254" s="149"/>
      <c r="E254" s="149"/>
      <c r="F254" s="149"/>
      <c r="G254" s="149"/>
      <c r="H254" s="149"/>
      <c r="I254" s="149"/>
      <c r="J254" s="150"/>
      <c r="K254" s="106"/>
      <c r="L254" s="121"/>
      <c r="M254" s="121"/>
      <c r="N254" s="106"/>
      <c r="O254" s="106"/>
      <c r="P254" s="106"/>
      <c r="Q254" s="106"/>
      <c r="R254" s="106"/>
      <c r="S254" s="106"/>
      <c r="T254" s="106"/>
      <c r="U254" s="106"/>
      <c r="V254" s="106"/>
      <c r="W254" s="106"/>
      <c r="X254" s="106"/>
      <c r="Y254" s="106"/>
    </row>
    <row r="255" spans="1:25" ht="15.75" customHeight="1">
      <c r="A255" s="149"/>
      <c r="B255" s="149"/>
      <c r="C255" s="149"/>
      <c r="D255" s="149"/>
      <c r="E255" s="149"/>
      <c r="F255" s="149"/>
      <c r="G255" s="149"/>
      <c r="H255" s="149"/>
      <c r="I255" s="149"/>
      <c r="J255" s="150"/>
      <c r="K255" s="106"/>
      <c r="L255" s="121"/>
      <c r="M255" s="121"/>
      <c r="N255" s="106"/>
      <c r="O255" s="106"/>
      <c r="P255" s="106"/>
      <c r="Q255" s="106"/>
      <c r="R255" s="106"/>
      <c r="S255" s="106"/>
      <c r="T255" s="106"/>
      <c r="U255" s="106"/>
      <c r="V255" s="106"/>
      <c r="W255" s="106"/>
      <c r="X255" s="106"/>
      <c r="Y255" s="106"/>
    </row>
    <row r="256" spans="1:25" ht="15.75" customHeight="1">
      <c r="A256" s="149"/>
      <c r="B256" s="149"/>
      <c r="C256" s="149"/>
      <c r="D256" s="149"/>
      <c r="E256" s="149"/>
      <c r="F256" s="149"/>
      <c r="G256" s="149"/>
      <c r="H256" s="149"/>
      <c r="I256" s="149"/>
      <c r="J256" s="150"/>
      <c r="K256" s="106"/>
      <c r="L256" s="121"/>
      <c r="M256" s="121"/>
      <c r="N256" s="106"/>
      <c r="O256" s="106"/>
      <c r="P256" s="106"/>
      <c r="Q256" s="106"/>
      <c r="R256" s="106"/>
      <c r="S256" s="106"/>
      <c r="T256" s="106"/>
      <c r="U256" s="106"/>
      <c r="V256" s="106"/>
      <c r="W256" s="106"/>
      <c r="X256" s="106"/>
      <c r="Y256" s="106"/>
    </row>
    <row r="257" spans="1:25" ht="15.75" customHeight="1">
      <c r="A257" s="149"/>
      <c r="B257" s="149"/>
      <c r="C257" s="149"/>
      <c r="D257" s="149"/>
      <c r="E257" s="149"/>
      <c r="F257" s="149"/>
      <c r="G257" s="149"/>
      <c r="H257" s="149"/>
      <c r="I257" s="149"/>
      <c r="J257" s="150"/>
      <c r="K257" s="106"/>
      <c r="L257" s="121"/>
      <c r="M257" s="121"/>
      <c r="N257" s="106"/>
      <c r="O257" s="106"/>
      <c r="P257" s="106"/>
      <c r="Q257" s="106"/>
      <c r="R257" s="106"/>
      <c r="S257" s="106"/>
      <c r="T257" s="106"/>
      <c r="U257" s="106"/>
      <c r="V257" s="106"/>
      <c r="W257" s="106"/>
      <c r="X257" s="106"/>
      <c r="Y257" s="106"/>
    </row>
    <row r="258" spans="1:25" ht="15.75" customHeight="1">
      <c r="A258" s="149"/>
      <c r="B258" s="149"/>
      <c r="C258" s="149"/>
      <c r="D258" s="149"/>
      <c r="E258" s="149"/>
      <c r="F258" s="149"/>
      <c r="G258" s="149"/>
      <c r="H258" s="149"/>
      <c r="I258" s="149"/>
      <c r="J258" s="150"/>
      <c r="K258" s="106"/>
      <c r="L258" s="121"/>
      <c r="M258" s="121"/>
      <c r="N258" s="106"/>
      <c r="O258" s="106"/>
      <c r="P258" s="106"/>
      <c r="Q258" s="106"/>
      <c r="R258" s="106"/>
      <c r="S258" s="106"/>
      <c r="T258" s="106"/>
      <c r="U258" s="106"/>
      <c r="V258" s="106"/>
      <c r="W258" s="106"/>
      <c r="X258" s="106"/>
      <c r="Y258" s="106"/>
    </row>
    <row r="259" spans="1:25" ht="15.75" customHeight="1">
      <c r="A259" s="149"/>
      <c r="B259" s="149"/>
      <c r="C259" s="149"/>
      <c r="D259" s="149"/>
      <c r="E259" s="149"/>
      <c r="F259" s="149"/>
      <c r="G259" s="149"/>
      <c r="H259" s="149"/>
      <c r="I259" s="149"/>
      <c r="J259" s="150"/>
      <c r="K259" s="106"/>
      <c r="L259" s="121"/>
      <c r="M259" s="121"/>
      <c r="N259" s="106"/>
      <c r="O259" s="106"/>
      <c r="P259" s="106"/>
      <c r="Q259" s="106"/>
      <c r="R259" s="106"/>
      <c r="S259" s="106"/>
      <c r="T259" s="106"/>
      <c r="U259" s="106"/>
      <c r="V259" s="106"/>
      <c r="W259" s="106"/>
      <c r="X259" s="106"/>
      <c r="Y259" s="106"/>
    </row>
    <row r="260" spans="1:25" ht="15.75" customHeight="1">
      <c r="A260" s="149"/>
      <c r="B260" s="149"/>
      <c r="C260" s="149"/>
      <c r="D260" s="149"/>
      <c r="E260" s="149"/>
      <c r="F260" s="149"/>
      <c r="G260" s="149"/>
      <c r="H260" s="149"/>
      <c r="I260" s="149"/>
      <c r="J260" s="150"/>
      <c r="K260" s="106"/>
      <c r="L260" s="121"/>
      <c r="M260" s="121"/>
      <c r="N260" s="106"/>
      <c r="O260" s="106"/>
      <c r="P260" s="106"/>
      <c r="Q260" s="106"/>
      <c r="R260" s="106"/>
      <c r="S260" s="106"/>
      <c r="T260" s="106"/>
      <c r="U260" s="106"/>
      <c r="V260" s="106"/>
      <c r="W260" s="106"/>
      <c r="X260" s="106"/>
      <c r="Y260" s="106"/>
    </row>
    <row r="261" spans="1:25" ht="15.75" customHeight="1">
      <c r="A261" s="149"/>
      <c r="B261" s="149"/>
      <c r="C261" s="149"/>
      <c r="D261" s="149"/>
      <c r="E261" s="149"/>
      <c r="F261" s="149"/>
      <c r="G261" s="149"/>
      <c r="H261" s="149"/>
      <c r="I261" s="149"/>
      <c r="J261" s="150"/>
      <c r="K261" s="106"/>
      <c r="L261" s="121"/>
      <c r="M261" s="121"/>
      <c r="N261" s="106"/>
      <c r="O261" s="106"/>
      <c r="P261" s="106"/>
      <c r="Q261" s="106"/>
      <c r="R261" s="106"/>
      <c r="S261" s="106"/>
      <c r="T261" s="106"/>
      <c r="U261" s="106"/>
      <c r="V261" s="106"/>
      <c r="W261" s="106"/>
      <c r="X261" s="106"/>
      <c r="Y261" s="106"/>
    </row>
    <row r="262" spans="1:25" ht="15.75" customHeight="1">
      <c r="A262" s="149"/>
      <c r="B262" s="149"/>
      <c r="C262" s="149"/>
      <c r="D262" s="149"/>
      <c r="E262" s="149"/>
      <c r="F262" s="149"/>
      <c r="G262" s="149"/>
      <c r="H262" s="149"/>
      <c r="I262" s="149"/>
      <c r="J262" s="150"/>
      <c r="K262" s="106"/>
      <c r="L262" s="121"/>
      <c r="M262" s="121"/>
      <c r="N262" s="106"/>
      <c r="O262" s="106"/>
      <c r="P262" s="106"/>
      <c r="Q262" s="106"/>
      <c r="R262" s="106"/>
      <c r="S262" s="106"/>
      <c r="T262" s="106"/>
      <c r="U262" s="106"/>
      <c r="V262" s="106"/>
      <c r="W262" s="106"/>
      <c r="X262" s="106"/>
      <c r="Y262" s="106"/>
    </row>
    <row r="263" spans="1:25" ht="15.75" customHeight="1">
      <c r="A263" s="149"/>
      <c r="B263" s="149"/>
      <c r="C263" s="149"/>
      <c r="D263" s="149"/>
      <c r="E263" s="149"/>
      <c r="F263" s="149"/>
      <c r="G263" s="149"/>
      <c r="H263" s="149"/>
      <c r="I263" s="149"/>
      <c r="J263" s="150"/>
      <c r="K263" s="106"/>
      <c r="L263" s="121"/>
      <c r="M263" s="121"/>
      <c r="N263" s="106"/>
      <c r="O263" s="106"/>
      <c r="P263" s="106"/>
      <c r="Q263" s="106"/>
      <c r="R263" s="106"/>
      <c r="S263" s="106"/>
      <c r="T263" s="106"/>
      <c r="U263" s="106"/>
      <c r="V263" s="106"/>
      <c r="W263" s="106"/>
      <c r="X263" s="106"/>
      <c r="Y263" s="106"/>
    </row>
    <row r="264" spans="1:25" ht="15.75" customHeight="1">
      <c r="A264" s="149"/>
      <c r="B264" s="149"/>
      <c r="C264" s="149"/>
      <c r="D264" s="149"/>
      <c r="E264" s="149"/>
      <c r="F264" s="149"/>
      <c r="G264" s="149"/>
      <c r="H264" s="149"/>
      <c r="I264" s="149"/>
      <c r="J264" s="150"/>
      <c r="K264" s="106"/>
      <c r="L264" s="121"/>
      <c r="M264" s="121"/>
      <c r="N264" s="106"/>
      <c r="O264" s="106"/>
      <c r="P264" s="106"/>
      <c r="Q264" s="106"/>
      <c r="R264" s="106"/>
      <c r="S264" s="106"/>
      <c r="T264" s="106"/>
      <c r="U264" s="106"/>
      <c r="V264" s="106"/>
      <c r="W264" s="106"/>
      <c r="X264" s="106"/>
      <c r="Y264" s="106"/>
    </row>
    <row r="265" spans="1:25" ht="15.75" customHeight="1">
      <c r="A265" s="149"/>
      <c r="B265" s="149"/>
      <c r="C265" s="149"/>
      <c r="D265" s="149"/>
      <c r="E265" s="149"/>
      <c r="F265" s="149"/>
      <c r="G265" s="149"/>
      <c r="H265" s="149"/>
      <c r="I265" s="149"/>
      <c r="J265" s="150"/>
      <c r="K265" s="106"/>
      <c r="L265" s="121"/>
      <c r="M265" s="121"/>
      <c r="N265" s="106"/>
      <c r="O265" s="106"/>
      <c r="P265" s="106"/>
      <c r="Q265" s="106"/>
      <c r="R265" s="106"/>
      <c r="S265" s="106"/>
      <c r="T265" s="106"/>
      <c r="U265" s="106"/>
      <c r="V265" s="106"/>
      <c r="W265" s="106"/>
      <c r="X265" s="106"/>
      <c r="Y265" s="106"/>
    </row>
    <row r="266" spans="1:25" ht="15.75" customHeight="1">
      <c r="A266" s="149"/>
      <c r="B266" s="149"/>
      <c r="C266" s="149"/>
      <c r="D266" s="149"/>
      <c r="E266" s="149"/>
      <c r="F266" s="149"/>
      <c r="G266" s="149"/>
      <c r="H266" s="149"/>
      <c r="I266" s="149"/>
      <c r="J266" s="150"/>
      <c r="K266" s="106"/>
      <c r="L266" s="121"/>
      <c r="M266" s="121"/>
      <c r="N266" s="106"/>
      <c r="O266" s="106"/>
      <c r="P266" s="106"/>
      <c r="Q266" s="106"/>
      <c r="R266" s="106"/>
      <c r="S266" s="106"/>
      <c r="T266" s="106"/>
      <c r="U266" s="106"/>
      <c r="V266" s="106"/>
      <c r="W266" s="106"/>
      <c r="X266" s="106"/>
      <c r="Y266" s="106"/>
    </row>
    <row r="267" spans="1:25" ht="15.75" customHeight="1">
      <c r="A267" s="149"/>
      <c r="B267" s="149"/>
      <c r="C267" s="149"/>
      <c r="D267" s="149"/>
      <c r="E267" s="149"/>
      <c r="F267" s="149"/>
      <c r="G267" s="149"/>
      <c r="H267" s="149"/>
      <c r="I267" s="149"/>
      <c r="J267" s="150"/>
      <c r="K267" s="106"/>
      <c r="L267" s="121"/>
      <c r="M267" s="121"/>
      <c r="N267" s="106"/>
      <c r="O267" s="106"/>
      <c r="P267" s="106"/>
      <c r="Q267" s="106"/>
      <c r="R267" s="106"/>
      <c r="S267" s="106"/>
      <c r="T267" s="106"/>
      <c r="U267" s="106"/>
      <c r="V267" s="106"/>
      <c r="W267" s="106"/>
      <c r="X267" s="106"/>
      <c r="Y267" s="106"/>
    </row>
    <row r="268" spans="1:25" ht="15.75" customHeight="1">
      <c r="A268" s="149"/>
      <c r="B268" s="149"/>
      <c r="C268" s="149"/>
      <c r="D268" s="149"/>
      <c r="E268" s="149"/>
      <c r="F268" s="149"/>
      <c r="G268" s="149"/>
      <c r="H268" s="149"/>
      <c r="I268" s="149"/>
      <c r="J268" s="150"/>
      <c r="K268" s="106"/>
      <c r="L268" s="121"/>
      <c r="M268" s="121"/>
      <c r="N268" s="106"/>
      <c r="O268" s="106"/>
      <c r="P268" s="106"/>
      <c r="Q268" s="106"/>
      <c r="R268" s="106"/>
      <c r="S268" s="106"/>
      <c r="T268" s="106"/>
      <c r="U268" s="106"/>
      <c r="V268" s="106"/>
      <c r="W268" s="106"/>
      <c r="X268" s="106"/>
      <c r="Y268" s="106"/>
    </row>
    <row r="269" spans="1:25" ht="15.75" customHeight="1">
      <c r="A269" s="149"/>
      <c r="B269" s="149"/>
      <c r="C269" s="149"/>
      <c r="D269" s="149"/>
      <c r="E269" s="149"/>
      <c r="F269" s="149"/>
      <c r="G269" s="149"/>
      <c r="H269" s="149"/>
      <c r="I269" s="149"/>
      <c r="J269" s="150"/>
      <c r="K269" s="106"/>
      <c r="L269" s="121"/>
      <c r="M269" s="121"/>
      <c r="N269" s="106"/>
      <c r="O269" s="106"/>
      <c r="P269" s="106"/>
      <c r="Q269" s="106"/>
      <c r="R269" s="106"/>
      <c r="S269" s="106"/>
      <c r="T269" s="106"/>
      <c r="U269" s="106"/>
      <c r="V269" s="106"/>
      <c r="W269" s="106"/>
      <c r="X269" s="106"/>
      <c r="Y269" s="106"/>
    </row>
    <row r="270" spans="1:25" ht="15.75" customHeight="1">
      <c r="A270" s="149"/>
      <c r="B270" s="149"/>
      <c r="C270" s="149"/>
      <c r="D270" s="149"/>
      <c r="E270" s="149"/>
      <c r="F270" s="149"/>
      <c r="G270" s="149"/>
      <c r="H270" s="149"/>
      <c r="I270" s="149"/>
      <c r="J270" s="150"/>
      <c r="K270" s="106"/>
      <c r="L270" s="121"/>
      <c r="M270" s="121"/>
      <c r="N270" s="106"/>
      <c r="O270" s="106"/>
      <c r="P270" s="106"/>
      <c r="Q270" s="106"/>
      <c r="R270" s="106"/>
      <c r="S270" s="106"/>
      <c r="T270" s="106"/>
      <c r="U270" s="106"/>
      <c r="V270" s="106"/>
      <c r="W270" s="106"/>
      <c r="X270" s="106"/>
      <c r="Y270" s="106"/>
    </row>
    <row r="271" spans="1:25" ht="15.75" customHeight="1">
      <c r="A271" s="149"/>
      <c r="B271" s="149"/>
      <c r="C271" s="149"/>
      <c r="D271" s="149"/>
      <c r="E271" s="149"/>
      <c r="F271" s="149"/>
      <c r="G271" s="149"/>
      <c r="H271" s="149"/>
      <c r="I271" s="149"/>
      <c r="J271" s="150"/>
      <c r="K271" s="106"/>
      <c r="L271" s="121"/>
      <c r="M271" s="121"/>
      <c r="N271" s="106"/>
      <c r="O271" s="106"/>
      <c r="P271" s="106"/>
      <c r="Q271" s="106"/>
      <c r="R271" s="106"/>
      <c r="S271" s="106"/>
      <c r="T271" s="106"/>
      <c r="U271" s="106"/>
      <c r="V271" s="106"/>
      <c r="W271" s="106"/>
      <c r="X271" s="106"/>
      <c r="Y271" s="106"/>
    </row>
    <row r="272" spans="1:25" ht="15.75" customHeight="1">
      <c r="A272" s="149"/>
      <c r="B272" s="149"/>
      <c r="C272" s="149"/>
      <c r="D272" s="149"/>
      <c r="E272" s="149"/>
      <c r="F272" s="149"/>
      <c r="G272" s="149"/>
      <c r="H272" s="149"/>
      <c r="I272" s="149"/>
      <c r="J272" s="150"/>
      <c r="K272" s="106"/>
      <c r="L272" s="121"/>
      <c r="M272" s="121"/>
      <c r="N272" s="106"/>
      <c r="O272" s="106"/>
      <c r="P272" s="106"/>
      <c r="Q272" s="106"/>
      <c r="R272" s="106"/>
      <c r="S272" s="106"/>
      <c r="T272" s="106"/>
      <c r="U272" s="106"/>
      <c r="V272" s="106"/>
      <c r="W272" s="106"/>
      <c r="X272" s="106"/>
      <c r="Y272" s="106"/>
    </row>
    <row r="273" spans="1:25" ht="15.75" customHeight="1">
      <c r="A273" s="149"/>
      <c r="B273" s="149"/>
      <c r="C273" s="149"/>
      <c r="D273" s="149"/>
      <c r="E273" s="149"/>
      <c r="F273" s="149"/>
      <c r="G273" s="149"/>
      <c r="H273" s="149"/>
      <c r="I273" s="149"/>
      <c r="J273" s="150"/>
      <c r="K273" s="106"/>
      <c r="L273" s="121"/>
      <c r="M273" s="121"/>
      <c r="N273" s="106"/>
      <c r="O273" s="106"/>
      <c r="P273" s="106"/>
      <c r="Q273" s="106"/>
      <c r="R273" s="106"/>
      <c r="S273" s="106"/>
      <c r="T273" s="106"/>
      <c r="U273" s="106"/>
      <c r="V273" s="106"/>
      <c r="W273" s="106"/>
      <c r="X273" s="106"/>
      <c r="Y273" s="106"/>
    </row>
    <row r="274" spans="1:25" ht="15.75" customHeight="1">
      <c r="A274" s="149"/>
      <c r="B274" s="149"/>
      <c r="C274" s="149"/>
      <c r="D274" s="149"/>
      <c r="E274" s="149"/>
      <c r="F274" s="149"/>
      <c r="G274" s="149"/>
      <c r="H274" s="149"/>
      <c r="I274" s="149"/>
      <c r="J274" s="150"/>
      <c r="K274" s="106"/>
      <c r="L274" s="121"/>
      <c r="M274" s="121"/>
      <c r="N274" s="106"/>
      <c r="O274" s="106"/>
      <c r="P274" s="106"/>
      <c r="Q274" s="106"/>
      <c r="R274" s="106"/>
      <c r="S274" s="106"/>
      <c r="T274" s="106"/>
      <c r="U274" s="106"/>
      <c r="V274" s="106"/>
      <c r="W274" s="106"/>
      <c r="X274" s="106"/>
      <c r="Y274" s="106"/>
    </row>
    <row r="275" spans="1:25" ht="15.75" customHeight="1">
      <c r="A275" s="149"/>
      <c r="B275" s="149"/>
      <c r="C275" s="149"/>
      <c r="D275" s="149"/>
      <c r="E275" s="149"/>
      <c r="F275" s="149"/>
      <c r="G275" s="149"/>
      <c r="H275" s="149"/>
      <c r="I275" s="149"/>
      <c r="J275" s="150"/>
      <c r="K275" s="106"/>
      <c r="L275" s="121"/>
      <c r="M275" s="121"/>
      <c r="N275" s="106"/>
      <c r="O275" s="106"/>
      <c r="P275" s="106"/>
      <c r="Q275" s="106"/>
      <c r="R275" s="106"/>
      <c r="S275" s="106"/>
      <c r="T275" s="106"/>
      <c r="U275" s="106"/>
      <c r="V275" s="106"/>
      <c r="W275" s="106"/>
      <c r="X275" s="106"/>
      <c r="Y275" s="106"/>
    </row>
    <row r="276" spans="1:25" ht="15.75" customHeight="1">
      <c r="A276" s="149"/>
      <c r="B276" s="149"/>
      <c r="C276" s="149"/>
      <c r="D276" s="149"/>
      <c r="E276" s="149"/>
      <c r="F276" s="149"/>
      <c r="G276" s="149"/>
      <c r="H276" s="149"/>
      <c r="I276" s="149"/>
      <c r="J276" s="150"/>
      <c r="K276" s="106"/>
      <c r="L276" s="121"/>
      <c r="M276" s="121"/>
      <c r="N276" s="106"/>
      <c r="O276" s="106"/>
      <c r="P276" s="106"/>
      <c r="Q276" s="106"/>
      <c r="R276" s="106"/>
      <c r="S276" s="106"/>
      <c r="T276" s="106"/>
      <c r="U276" s="106"/>
      <c r="V276" s="106"/>
      <c r="W276" s="106"/>
      <c r="X276" s="106"/>
      <c r="Y276" s="106"/>
    </row>
    <row r="277" spans="1:25" ht="15.75" customHeight="1">
      <c r="A277" s="149"/>
      <c r="B277" s="149"/>
      <c r="C277" s="149"/>
      <c r="D277" s="149"/>
      <c r="E277" s="149"/>
      <c r="F277" s="149"/>
      <c r="G277" s="149"/>
      <c r="H277" s="149"/>
      <c r="I277" s="149"/>
      <c r="J277" s="150"/>
      <c r="K277" s="106"/>
      <c r="L277" s="121"/>
      <c r="M277" s="121"/>
      <c r="N277" s="106"/>
      <c r="O277" s="106"/>
      <c r="P277" s="106"/>
      <c r="Q277" s="106"/>
      <c r="R277" s="106"/>
      <c r="S277" s="106"/>
      <c r="T277" s="106"/>
      <c r="U277" s="106"/>
      <c r="V277" s="106"/>
      <c r="W277" s="106"/>
      <c r="X277" s="106"/>
      <c r="Y277" s="106"/>
    </row>
    <row r="278" spans="1:25" ht="15.75" customHeight="1">
      <c r="A278" s="149"/>
      <c r="B278" s="149"/>
      <c r="C278" s="149"/>
      <c r="D278" s="149"/>
      <c r="E278" s="149"/>
      <c r="F278" s="149"/>
      <c r="G278" s="149"/>
      <c r="H278" s="149"/>
      <c r="I278" s="149"/>
      <c r="J278" s="150"/>
      <c r="K278" s="106"/>
      <c r="L278" s="121"/>
      <c r="M278" s="121"/>
      <c r="N278" s="106"/>
      <c r="O278" s="106"/>
      <c r="P278" s="106"/>
      <c r="Q278" s="106"/>
      <c r="R278" s="106"/>
      <c r="S278" s="106"/>
      <c r="T278" s="106"/>
      <c r="U278" s="106"/>
      <c r="V278" s="106"/>
      <c r="W278" s="106"/>
      <c r="X278" s="106"/>
      <c r="Y278" s="106"/>
    </row>
    <row r="279" spans="1:25" ht="15.75" customHeight="1">
      <c r="A279" s="149"/>
      <c r="B279" s="149"/>
      <c r="C279" s="149"/>
      <c r="D279" s="149"/>
      <c r="E279" s="149"/>
      <c r="F279" s="149"/>
      <c r="G279" s="149"/>
      <c r="H279" s="149"/>
      <c r="I279" s="149"/>
      <c r="J279" s="150"/>
      <c r="K279" s="106"/>
      <c r="L279" s="121"/>
      <c r="M279" s="121"/>
      <c r="N279" s="106"/>
      <c r="O279" s="106"/>
      <c r="P279" s="106"/>
      <c r="Q279" s="106"/>
      <c r="R279" s="106"/>
      <c r="S279" s="106"/>
      <c r="T279" s="106"/>
      <c r="U279" s="106"/>
      <c r="V279" s="106"/>
      <c r="W279" s="106"/>
      <c r="X279" s="106"/>
      <c r="Y279" s="106"/>
    </row>
    <row r="280" spans="1:25" ht="15.75" customHeight="1">
      <c r="A280" s="149"/>
      <c r="B280" s="149"/>
      <c r="C280" s="149"/>
      <c r="D280" s="149"/>
      <c r="E280" s="149"/>
      <c r="F280" s="149"/>
      <c r="G280" s="149"/>
      <c r="H280" s="149"/>
      <c r="I280" s="149"/>
      <c r="J280" s="150"/>
      <c r="K280" s="106"/>
      <c r="L280" s="121"/>
      <c r="M280" s="121"/>
      <c r="N280" s="106"/>
      <c r="O280" s="106"/>
      <c r="P280" s="106"/>
      <c r="Q280" s="106"/>
      <c r="R280" s="106"/>
      <c r="S280" s="106"/>
      <c r="T280" s="106"/>
      <c r="U280" s="106"/>
      <c r="V280" s="106"/>
      <c r="W280" s="106"/>
      <c r="X280" s="106"/>
      <c r="Y280" s="106"/>
    </row>
    <row r="281" spans="1:25" ht="15.75" customHeight="1">
      <c r="A281" s="149"/>
      <c r="B281" s="149"/>
      <c r="C281" s="149"/>
      <c r="D281" s="149"/>
      <c r="E281" s="149"/>
      <c r="F281" s="149"/>
      <c r="G281" s="149"/>
      <c r="H281" s="149"/>
      <c r="I281" s="149"/>
      <c r="J281" s="150"/>
      <c r="K281" s="106"/>
      <c r="L281" s="121"/>
      <c r="M281" s="121"/>
      <c r="N281" s="106"/>
      <c r="O281" s="106"/>
      <c r="P281" s="106"/>
      <c r="Q281" s="106"/>
      <c r="R281" s="106"/>
      <c r="S281" s="106"/>
      <c r="T281" s="106"/>
      <c r="U281" s="106"/>
      <c r="V281" s="106"/>
      <c r="W281" s="106"/>
      <c r="X281" s="106"/>
      <c r="Y281" s="106"/>
    </row>
    <row r="282" spans="1:25" ht="15.75" customHeight="1">
      <c r="A282" s="149"/>
      <c r="B282" s="149"/>
      <c r="C282" s="149"/>
      <c r="D282" s="149"/>
      <c r="E282" s="149"/>
      <c r="F282" s="149"/>
      <c r="G282" s="149"/>
      <c r="H282" s="149"/>
      <c r="I282" s="149"/>
      <c r="J282" s="150"/>
      <c r="K282" s="106"/>
      <c r="L282" s="121"/>
      <c r="M282" s="121"/>
      <c r="N282" s="106"/>
      <c r="O282" s="106"/>
      <c r="P282" s="106"/>
      <c r="Q282" s="106"/>
      <c r="R282" s="106"/>
      <c r="S282" s="106"/>
      <c r="T282" s="106"/>
      <c r="U282" s="106"/>
      <c r="V282" s="106"/>
      <c r="W282" s="106"/>
      <c r="X282" s="106"/>
      <c r="Y282" s="106"/>
    </row>
    <row r="283" spans="1:25" ht="15.75" customHeight="1">
      <c r="A283" s="149"/>
      <c r="B283" s="149"/>
      <c r="C283" s="149"/>
      <c r="D283" s="149"/>
      <c r="E283" s="149"/>
      <c r="F283" s="149"/>
      <c r="G283" s="149"/>
      <c r="H283" s="149"/>
      <c r="I283" s="149"/>
      <c r="J283" s="150"/>
      <c r="K283" s="106"/>
      <c r="L283" s="121"/>
      <c r="M283" s="121"/>
      <c r="N283" s="106"/>
      <c r="O283" s="106"/>
      <c r="P283" s="106"/>
      <c r="Q283" s="106"/>
      <c r="R283" s="106"/>
      <c r="S283" s="106"/>
      <c r="T283" s="106"/>
      <c r="U283" s="106"/>
      <c r="V283" s="106"/>
      <c r="W283" s="106"/>
      <c r="X283" s="106"/>
      <c r="Y283" s="106"/>
    </row>
    <row r="284" spans="1:25" ht="15.75" customHeight="1">
      <c r="A284" s="149"/>
      <c r="B284" s="149"/>
      <c r="C284" s="149"/>
      <c r="D284" s="149"/>
      <c r="E284" s="149"/>
      <c r="F284" s="149"/>
      <c r="G284" s="149"/>
      <c r="H284" s="149"/>
      <c r="I284" s="149"/>
      <c r="J284" s="150"/>
      <c r="K284" s="106"/>
      <c r="L284" s="121"/>
      <c r="M284" s="121"/>
      <c r="N284" s="106"/>
      <c r="O284" s="106"/>
      <c r="P284" s="106"/>
      <c r="Q284" s="106"/>
      <c r="R284" s="106"/>
      <c r="S284" s="106"/>
      <c r="T284" s="106"/>
      <c r="U284" s="106"/>
      <c r="V284" s="106"/>
      <c r="W284" s="106"/>
      <c r="X284" s="106"/>
      <c r="Y284" s="106"/>
    </row>
    <row r="285" spans="1:25" ht="15.75" customHeight="1">
      <c r="A285" s="149"/>
      <c r="B285" s="149"/>
      <c r="C285" s="149"/>
      <c r="D285" s="149"/>
      <c r="E285" s="149"/>
      <c r="F285" s="149"/>
      <c r="G285" s="149"/>
      <c r="H285" s="149"/>
      <c r="I285" s="149"/>
      <c r="J285" s="150"/>
      <c r="K285" s="106"/>
      <c r="L285" s="121"/>
      <c r="M285" s="121"/>
      <c r="N285" s="106"/>
      <c r="O285" s="106"/>
      <c r="P285" s="106"/>
      <c r="Q285" s="106"/>
      <c r="R285" s="106"/>
      <c r="S285" s="106"/>
      <c r="T285" s="106"/>
      <c r="U285" s="106"/>
      <c r="V285" s="106"/>
      <c r="W285" s="106"/>
      <c r="X285" s="106"/>
      <c r="Y285" s="106"/>
    </row>
    <row r="286" spans="1:25" ht="15.75" customHeight="1">
      <c r="A286" s="149"/>
      <c r="B286" s="149"/>
      <c r="C286" s="149"/>
      <c r="D286" s="149"/>
      <c r="E286" s="149"/>
      <c r="F286" s="149"/>
      <c r="G286" s="149"/>
      <c r="H286" s="149"/>
      <c r="I286" s="149"/>
      <c r="J286" s="150"/>
      <c r="K286" s="106"/>
      <c r="L286" s="121"/>
      <c r="M286" s="121"/>
      <c r="N286" s="106"/>
      <c r="O286" s="106"/>
      <c r="P286" s="106"/>
      <c r="Q286" s="106"/>
      <c r="R286" s="106"/>
      <c r="S286" s="106"/>
      <c r="T286" s="106"/>
      <c r="U286" s="106"/>
      <c r="V286" s="106"/>
      <c r="W286" s="106"/>
      <c r="X286" s="106"/>
      <c r="Y286" s="106"/>
    </row>
    <row r="287" spans="1:25" ht="15.75" customHeight="1">
      <c r="A287" s="149"/>
      <c r="B287" s="149"/>
      <c r="C287" s="149"/>
      <c r="D287" s="149"/>
      <c r="E287" s="149"/>
      <c r="F287" s="149"/>
      <c r="G287" s="149"/>
      <c r="H287" s="149"/>
      <c r="I287" s="149"/>
      <c r="J287" s="150"/>
      <c r="K287" s="106"/>
      <c r="L287" s="121"/>
      <c r="M287" s="121"/>
      <c r="N287" s="106"/>
      <c r="O287" s="106"/>
      <c r="P287" s="106"/>
      <c r="Q287" s="106"/>
      <c r="R287" s="106"/>
      <c r="S287" s="106"/>
      <c r="T287" s="106"/>
      <c r="U287" s="106"/>
      <c r="V287" s="106"/>
      <c r="W287" s="106"/>
      <c r="X287" s="106"/>
      <c r="Y287" s="106"/>
    </row>
    <row r="288" spans="1:25" ht="15.75" customHeight="1">
      <c r="A288" s="149"/>
      <c r="B288" s="149"/>
      <c r="C288" s="149"/>
      <c r="D288" s="149"/>
      <c r="E288" s="149"/>
      <c r="F288" s="149"/>
      <c r="G288" s="149"/>
      <c r="H288" s="149"/>
      <c r="I288" s="149"/>
      <c r="J288" s="150"/>
      <c r="K288" s="106"/>
      <c r="L288" s="121"/>
      <c r="M288" s="121"/>
      <c r="N288" s="106"/>
      <c r="O288" s="106"/>
      <c r="P288" s="106"/>
      <c r="Q288" s="106"/>
      <c r="R288" s="106"/>
      <c r="S288" s="106"/>
      <c r="T288" s="106"/>
      <c r="U288" s="106"/>
      <c r="V288" s="106"/>
      <c r="W288" s="106"/>
      <c r="X288" s="106"/>
      <c r="Y288" s="106"/>
    </row>
    <row r="289" spans="1:25" ht="15.75" customHeight="1">
      <c r="A289" s="149"/>
      <c r="B289" s="149"/>
      <c r="C289" s="149"/>
      <c r="D289" s="149"/>
      <c r="E289" s="149"/>
      <c r="F289" s="149"/>
      <c r="G289" s="149"/>
      <c r="H289" s="149"/>
      <c r="I289" s="149"/>
      <c r="J289" s="150"/>
      <c r="K289" s="106"/>
      <c r="L289" s="121"/>
      <c r="M289" s="121"/>
      <c r="N289" s="106"/>
      <c r="O289" s="106"/>
      <c r="P289" s="106"/>
      <c r="Q289" s="106"/>
      <c r="R289" s="106"/>
      <c r="S289" s="106"/>
      <c r="T289" s="106"/>
      <c r="U289" s="106"/>
      <c r="V289" s="106"/>
      <c r="W289" s="106"/>
      <c r="X289" s="106"/>
      <c r="Y289" s="106"/>
    </row>
    <row r="290" spans="1:25" ht="15.75" customHeight="1">
      <c r="A290" s="149"/>
      <c r="B290" s="149"/>
      <c r="C290" s="149"/>
      <c r="D290" s="149"/>
      <c r="E290" s="149"/>
      <c r="F290" s="149"/>
      <c r="G290" s="149"/>
      <c r="H290" s="149"/>
      <c r="I290" s="149"/>
      <c r="J290" s="150"/>
      <c r="K290" s="106"/>
      <c r="L290" s="121"/>
      <c r="M290" s="121"/>
      <c r="N290" s="106"/>
      <c r="O290" s="106"/>
      <c r="P290" s="106"/>
      <c r="Q290" s="106"/>
      <c r="R290" s="106"/>
      <c r="S290" s="106"/>
      <c r="T290" s="106"/>
      <c r="U290" s="106"/>
      <c r="V290" s="106"/>
      <c r="W290" s="106"/>
      <c r="X290" s="106"/>
      <c r="Y290" s="106"/>
    </row>
    <row r="291" spans="1:25" ht="15.75" customHeight="1">
      <c r="A291" s="149"/>
      <c r="B291" s="149"/>
      <c r="C291" s="149"/>
      <c r="D291" s="149"/>
      <c r="E291" s="149"/>
      <c r="F291" s="149"/>
      <c r="G291" s="149"/>
      <c r="H291" s="149"/>
      <c r="I291" s="149"/>
      <c r="J291" s="150"/>
      <c r="K291" s="106"/>
      <c r="L291" s="121"/>
      <c r="M291" s="121"/>
      <c r="N291" s="106"/>
      <c r="O291" s="106"/>
      <c r="P291" s="106"/>
      <c r="Q291" s="106"/>
      <c r="R291" s="106"/>
      <c r="S291" s="106"/>
      <c r="T291" s="106"/>
      <c r="U291" s="106"/>
      <c r="V291" s="106"/>
      <c r="W291" s="106"/>
      <c r="X291" s="106"/>
      <c r="Y291" s="106"/>
    </row>
    <row r="292" spans="1:25" ht="15.75" customHeight="1">
      <c r="A292" s="149"/>
      <c r="B292" s="149"/>
      <c r="C292" s="149"/>
      <c r="D292" s="149"/>
      <c r="E292" s="149"/>
      <c r="F292" s="149"/>
      <c r="G292" s="149"/>
      <c r="H292" s="149"/>
      <c r="I292" s="149"/>
      <c r="J292" s="150"/>
      <c r="K292" s="106"/>
      <c r="L292" s="121"/>
      <c r="M292" s="121"/>
      <c r="N292" s="106"/>
      <c r="O292" s="106"/>
      <c r="P292" s="106"/>
      <c r="Q292" s="106"/>
      <c r="R292" s="106"/>
      <c r="S292" s="106"/>
      <c r="T292" s="106"/>
      <c r="U292" s="106"/>
      <c r="V292" s="106"/>
      <c r="W292" s="106"/>
      <c r="X292" s="106"/>
      <c r="Y292" s="106"/>
    </row>
    <row r="293" spans="1:25" ht="15.75" customHeight="1">
      <c r="A293" s="149"/>
      <c r="B293" s="149"/>
      <c r="C293" s="149"/>
      <c r="D293" s="149"/>
      <c r="E293" s="149"/>
      <c r="F293" s="149"/>
      <c r="G293" s="149"/>
      <c r="H293" s="149"/>
      <c r="I293" s="149"/>
      <c r="J293" s="150"/>
      <c r="K293" s="106"/>
      <c r="L293" s="121"/>
      <c r="M293" s="121"/>
      <c r="N293" s="106"/>
      <c r="O293" s="106"/>
      <c r="P293" s="106"/>
      <c r="Q293" s="106"/>
      <c r="R293" s="106"/>
      <c r="S293" s="106"/>
      <c r="T293" s="106"/>
      <c r="U293" s="106"/>
      <c r="V293" s="106"/>
      <c r="W293" s="106"/>
      <c r="X293" s="106"/>
      <c r="Y293" s="106"/>
    </row>
    <row r="294" spans="1:25" ht="15.75" customHeight="1">
      <c r="A294" s="149"/>
      <c r="B294" s="149"/>
      <c r="C294" s="149"/>
      <c r="D294" s="149"/>
      <c r="E294" s="149"/>
      <c r="F294" s="149"/>
      <c r="G294" s="149"/>
      <c r="H294" s="149"/>
      <c r="I294" s="149"/>
      <c r="J294" s="150"/>
      <c r="K294" s="106"/>
      <c r="L294" s="121"/>
      <c r="M294" s="121"/>
      <c r="N294" s="106"/>
      <c r="O294" s="106"/>
      <c r="P294" s="106"/>
      <c r="Q294" s="106"/>
      <c r="R294" s="106"/>
      <c r="S294" s="106"/>
      <c r="T294" s="106"/>
      <c r="U294" s="106"/>
      <c r="V294" s="106"/>
      <c r="W294" s="106"/>
      <c r="X294" s="106"/>
      <c r="Y294" s="106"/>
    </row>
    <row r="295" spans="1:25" ht="15.75" customHeight="1">
      <c r="A295" s="149"/>
      <c r="B295" s="149"/>
      <c r="C295" s="149"/>
      <c r="D295" s="149"/>
      <c r="E295" s="149"/>
      <c r="F295" s="149"/>
      <c r="G295" s="149"/>
      <c r="H295" s="149"/>
      <c r="I295" s="149"/>
      <c r="J295" s="150"/>
      <c r="K295" s="106"/>
      <c r="L295" s="121"/>
      <c r="M295" s="121"/>
      <c r="N295" s="106"/>
      <c r="O295" s="106"/>
      <c r="P295" s="106"/>
      <c r="Q295" s="106"/>
      <c r="R295" s="106"/>
      <c r="S295" s="106"/>
      <c r="T295" s="106"/>
      <c r="U295" s="106"/>
      <c r="V295" s="106"/>
      <c r="W295" s="106"/>
      <c r="X295" s="106"/>
      <c r="Y295" s="106"/>
    </row>
    <row r="296" spans="1:25" ht="15.75" customHeight="1">
      <c r="A296" s="149"/>
      <c r="B296" s="149"/>
      <c r="C296" s="149"/>
      <c r="D296" s="149"/>
      <c r="E296" s="149"/>
      <c r="F296" s="149"/>
      <c r="G296" s="149"/>
      <c r="H296" s="149"/>
      <c r="I296" s="149"/>
      <c r="J296" s="150"/>
      <c r="K296" s="106"/>
      <c r="L296" s="121"/>
      <c r="M296" s="121"/>
      <c r="N296" s="106"/>
      <c r="O296" s="106"/>
      <c r="P296" s="106"/>
      <c r="Q296" s="106"/>
      <c r="R296" s="106"/>
      <c r="S296" s="106"/>
      <c r="T296" s="106"/>
      <c r="U296" s="106"/>
      <c r="V296" s="106"/>
      <c r="W296" s="106"/>
      <c r="X296" s="106"/>
      <c r="Y296" s="106"/>
    </row>
    <row r="297" spans="1:25" ht="15.75" customHeight="1">
      <c r="A297" s="149"/>
      <c r="B297" s="149"/>
      <c r="C297" s="149"/>
      <c r="D297" s="149"/>
      <c r="E297" s="149"/>
      <c r="F297" s="149"/>
      <c r="G297" s="149"/>
      <c r="H297" s="149"/>
      <c r="I297" s="149"/>
      <c r="J297" s="150"/>
      <c r="K297" s="106"/>
      <c r="L297" s="121"/>
      <c r="M297" s="121"/>
      <c r="N297" s="106"/>
      <c r="O297" s="106"/>
      <c r="P297" s="106"/>
      <c r="Q297" s="106"/>
      <c r="R297" s="106"/>
      <c r="S297" s="106"/>
      <c r="T297" s="106"/>
      <c r="U297" s="106"/>
      <c r="V297" s="106"/>
      <c r="W297" s="106"/>
      <c r="X297" s="106"/>
      <c r="Y297" s="106"/>
    </row>
    <row r="298" spans="1:25" ht="15.75" customHeight="1">
      <c r="A298" s="149"/>
      <c r="B298" s="149"/>
      <c r="C298" s="149"/>
      <c r="D298" s="149"/>
      <c r="E298" s="149"/>
      <c r="F298" s="149"/>
      <c r="G298" s="149"/>
      <c r="H298" s="149"/>
      <c r="I298" s="149"/>
      <c r="J298" s="150"/>
      <c r="K298" s="106"/>
      <c r="L298" s="121"/>
      <c r="M298" s="121"/>
      <c r="N298" s="106"/>
      <c r="O298" s="106"/>
      <c r="P298" s="106"/>
      <c r="Q298" s="106"/>
      <c r="R298" s="106"/>
      <c r="S298" s="106"/>
      <c r="T298" s="106"/>
      <c r="U298" s="106"/>
      <c r="V298" s="106"/>
      <c r="W298" s="106"/>
      <c r="X298" s="106"/>
      <c r="Y298" s="106"/>
    </row>
    <row r="299" spans="1:25" ht="15.75" customHeight="1">
      <c r="A299" s="149"/>
      <c r="B299" s="149"/>
      <c r="C299" s="149"/>
      <c r="D299" s="149"/>
      <c r="E299" s="149"/>
      <c r="F299" s="149"/>
      <c r="G299" s="149"/>
      <c r="H299" s="149"/>
      <c r="I299" s="149"/>
      <c r="J299" s="150"/>
      <c r="K299" s="106"/>
      <c r="L299" s="121"/>
      <c r="M299" s="121"/>
      <c r="N299" s="106"/>
      <c r="O299" s="106"/>
      <c r="P299" s="106"/>
      <c r="Q299" s="106"/>
      <c r="R299" s="106"/>
      <c r="S299" s="106"/>
      <c r="T299" s="106"/>
      <c r="U299" s="106"/>
      <c r="V299" s="106"/>
      <c r="W299" s="106"/>
      <c r="X299" s="106"/>
      <c r="Y299" s="106"/>
    </row>
    <row r="300" spans="1:25" ht="15.75" customHeight="1">
      <c r="A300" s="149"/>
      <c r="B300" s="149"/>
      <c r="C300" s="149"/>
      <c r="D300" s="149"/>
      <c r="E300" s="149"/>
      <c r="F300" s="149"/>
      <c r="G300" s="149"/>
      <c r="H300" s="149"/>
      <c r="I300" s="149"/>
      <c r="J300" s="150"/>
      <c r="K300" s="106"/>
      <c r="L300" s="121"/>
      <c r="M300" s="121"/>
      <c r="N300" s="106"/>
      <c r="O300" s="106"/>
      <c r="P300" s="106"/>
      <c r="Q300" s="106"/>
      <c r="R300" s="106"/>
      <c r="S300" s="106"/>
      <c r="T300" s="106"/>
      <c r="U300" s="106"/>
      <c r="V300" s="106"/>
      <c r="W300" s="106"/>
      <c r="X300" s="106"/>
      <c r="Y300" s="106"/>
    </row>
    <row r="301" spans="1:25" ht="15.75" customHeight="1">
      <c r="A301" s="149"/>
      <c r="B301" s="149"/>
      <c r="C301" s="149"/>
      <c r="D301" s="149"/>
      <c r="E301" s="149"/>
      <c r="F301" s="149"/>
      <c r="G301" s="149"/>
      <c r="H301" s="149"/>
      <c r="I301" s="149"/>
      <c r="J301" s="150"/>
      <c r="K301" s="106"/>
      <c r="L301" s="121"/>
      <c r="M301" s="121"/>
      <c r="N301" s="106"/>
      <c r="O301" s="106"/>
      <c r="P301" s="106"/>
      <c r="Q301" s="106"/>
      <c r="R301" s="106"/>
      <c r="S301" s="106"/>
      <c r="T301" s="106"/>
      <c r="U301" s="106"/>
      <c r="V301" s="106"/>
      <c r="W301" s="106"/>
      <c r="X301" s="106"/>
      <c r="Y301" s="106"/>
    </row>
    <row r="302" spans="1:25" ht="15.75" customHeight="1">
      <c r="A302" s="149"/>
      <c r="B302" s="149"/>
      <c r="C302" s="149"/>
      <c r="D302" s="149"/>
      <c r="E302" s="149"/>
      <c r="F302" s="149"/>
      <c r="G302" s="149"/>
      <c r="H302" s="149"/>
      <c r="I302" s="149"/>
      <c r="J302" s="150"/>
      <c r="K302" s="106"/>
      <c r="L302" s="121"/>
      <c r="M302" s="121"/>
      <c r="N302" s="106"/>
      <c r="O302" s="106"/>
      <c r="P302" s="106"/>
      <c r="Q302" s="106"/>
      <c r="R302" s="106"/>
      <c r="S302" s="106"/>
      <c r="T302" s="106"/>
      <c r="U302" s="106"/>
      <c r="V302" s="106"/>
      <c r="W302" s="106"/>
      <c r="X302" s="106"/>
      <c r="Y302" s="106"/>
    </row>
    <row r="303" spans="1:25" ht="15.75" customHeight="1">
      <c r="A303" s="149"/>
      <c r="B303" s="149"/>
      <c r="C303" s="149"/>
      <c r="D303" s="149"/>
      <c r="E303" s="149"/>
      <c r="F303" s="149"/>
      <c r="G303" s="149"/>
      <c r="H303" s="149"/>
      <c r="I303" s="149"/>
      <c r="J303" s="150"/>
      <c r="K303" s="106"/>
      <c r="L303" s="121"/>
      <c r="M303" s="121"/>
      <c r="N303" s="106"/>
      <c r="O303" s="106"/>
      <c r="P303" s="106"/>
      <c r="Q303" s="106"/>
      <c r="R303" s="106"/>
      <c r="S303" s="106"/>
      <c r="T303" s="106"/>
      <c r="U303" s="106"/>
      <c r="V303" s="106"/>
      <c r="W303" s="106"/>
      <c r="X303" s="106"/>
      <c r="Y303" s="106"/>
    </row>
    <row r="304" spans="1:25" ht="15.75" customHeight="1">
      <c r="A304" s="149"/>
      <c r="B304" s="149"/>
      <c r="C304" s="149"/>
      <c r="D304" s="149"/>
      <c r="E304" s="149"/>
      <c r="F304" s="149"/>
      <c r="G304" s="149"/>
      <c r="H304" s="149"/>
      <c r="I304" s="149"/>
      <c r="J304" s="150"/>
      <c r="K304" s="106"/>
      <c r="L304" s="121"/>
      <c r="M304" s="121"/>
      <c r="N304" s="106"/>
      <c r="O304" s="106"/>
      <c r="P304" s="106"/>
      <c r="Q304" s="106"/>
      <c r="R304" s="106"/>
      <c r="S304" s="106"/>
      <c r="T304" s="106"/>
      <c r="U304" s="106"/>
      <c r="V304" s="106"/>
      <c r="W304" s="106"/>
      <c r="X304" s="106"/>
      <c r="Y304" s="106"/>
    </row>
    <row r="305" spans="1:25" ht="15.75" customHeight="1">
      <c r="A305" s="149"/>
      <c r="B305" s="149"/>
      <c r="C305" s="149"/>
      <c r="D305" s="149"/>
      <c r="E305" s="149"/>
      <c r="F305" s="149"/>
      <c r="G305" s="149"/>
      <c r="H305" s="149"/>
      <c r="I305" s="149"/>
      <c r="J305" s="150"/>
      <c r="K305" s="106"/>
      <c r="L305" s="121"/>
      <c r="M305" s="121"/>
      <c r="N305" s="106"/>
      <c r="O305" s="106"/>
      <c r="P305" s="106"/>
      <c r="Q305" s="106"/>
      <c r="R305" s="106"/>
      <c r="S305" s="106"/>
      <c r="T305" s="106"/>
      <c r="U305" s="106"/>
      <c r="V305" s="106"/>
      <c r="W305" s="106"/>
      <c r="X305" s="106"/>
      <c r="Y305" s="106"/>
    </row>
    <row r="306" spans="1:25" ht="15.75" customHeight="1">
      <c r="A306" s="149"/>
      <c r="B306" s="149"/>
      <c r="C306" s="149"/>
      <c r="D306" s="149"/>
      <c r="E306" s="149"/>
      <c r="F306" s="149"/>
      <c r="G306" s="149"/>
      <c r="H306" s="149"/>
      <c r="I306" s="149"/>
      <c r="J306" s="150"/>
      <c r="K306" s="106"/>
      <c r="L306" s="121"/>
      <c r="M306" s="121"/>
      <c r="N306" s="106"/>
      <c r="O306" s="106"/>
      <c r="P306" s="106"/>
      <c r="Q306" s="106"/>
      <c r="R306" s="106"/>
      <c r="S306" s="106"/>
      <c r="T306" s="106"/>
      <c r="U306" s="106"/>
      <c r="V306" s="106"/>
      <c r="W306" s="106"/>
      <c r="X306" s="106"/>
      <c r="Y306" s="106"/>
    </row>
    <row r="307" spans="1:25" ht="15.75" customHeight="1">
      <c r="A307" s="149"/>
      <c r="B307" s="149"/>
      <c r="C307" s="149"/>
      <c r="D307" s="149"/>
      <c r="E307" s="149"/>
      <c r="F307" s="149"/>
      <c r="G307" s="149"/>
      <c r="H307" s="149"/>
      <c r="I307" s="149"/>
      <c r="J307" s="150"/>
      <c r="K307" s="106"/>
      <c r="L307" s="121"/>
      <c r="M307" s="121"/>
      <c r="N307" s="106"/>
      <c r="O307" s="106"/>
      <c r="P307" s="106"/>
      <c r="Q307" s="106"/>
      <c r="R307" s="106"/>
      <c r="S307" s="106"/>
      <c r="T307" s="106"/>
      <c r="U307" s="106"/>
      <c r="V307" s="106"/>
      <c r="W307" s="106"/>
      <c r="X307" s="106"/>
      <c r="Y307" s="106"/>
    </row>
    <row r="308" spans="1:25" ht="15.75" customHeight="1">
      <c r="A308" s="149"/>
      <c r="B308" s="149"/>
      <c r="C308" s="149"/>
      <c r="D308" s="149"/>
      <c r="E308" s="149"/>
      <c r="F308" s="149"/>
      <c r="G308" s="149"/>
      <c r="H308" s="149"/>
      <c r="I308" s="149"/>
      <c r="J308" s="150"/>
      <c r="K308" s="106"/>
      <c r="L308" s="121"/>
      <c r="M308" s="121"/>
      <c r="N308" s="106"/>
      <c r="O308" s="106"/>
      <c r="P308" s="106"/>
      <c r="Q308" s="106"/>
      <c r="R308" s="106"/>
      <c r="S308" s="106"/>
      <c r="T308" s="106"/>
      <c r="U308" s="106"/>
      <c r="V308" s="106"/>
      <c r="W308" s="106"/>
      <c r="X308" s="106"/>
      <c r="Y308" s="106"/>
    </row>
    <row r="309" spans="1:25" ht="15.75" customHeight="1">
      <c r="A309" s="149"/>
      <c r="B309" s="149"/>
      <c r="C309" s="149"/>
      <c r="D309" s="149"/>
      <c r="E309" s="149"/>
      <c r="F309" s="149"/>
      <c r="G309" s="149"/>
      <c r="H309" s="149"/>
      <c r="I309" s="149"/>
      <c r="J309" s="150"/>
      <c r="K309" s="106"/>
      <c r="L309" s="121"/>
      <c r="M309" s="121"/>
      <c r="N309" s="106"/>
      <c r="O309" s="106"/>
      <c r="P309" s="106"/>
      <c r="Q309" s="106"/>
      <c r="R309" s="106"/>
      <c r="S309" s="106"/>
      <c r="T309" s="106"/>
      <c r="U309" s="106"/>
      <c r="V309" s="106"/>
      <c r="W309" s="106"/>
      <c r="X309" s="106"/>
      <c r="Y309" s="106"/>
    </row>
    <row r="310" spans="1:25" ht="15.75" customHeight="1">
      <c r="A310" s="149"/>
      <c r="B310" s="149"/>
      <c r="C310" s="149"/>
      <c r="D310" s="149"/>
      <c r="E310" s="149"/>
      <c r="F310" s="149"/>
      <c r="G310" s="149"/>
      <c r="H310" s="149"/>
      <c r="I310" s="149"/>
      <c r="J310" s="150"/>
      <c r="K310" s="106"/>
      <c r="L310" s="121"/>
      <c r="M310" s="121"/>
      <c r="N310" s="106"/>
      <c r="O310" s="106"/>
      <c r="P310" s="106"/>
      <c r="Q310" s="106"/>
      <c r="R310" s="106"/>
      <c r="S310" s="106"/>
      <c r="T310" s="106"/>
      <c r="U310" s="106"/>
      <c r="V310" s="106"/>
      <c r="W310" s="106"/>
      <c r="X310" s="106"/>
      <c r="Y310" s="106"/>
    </row>
    <row r="311" spans="1:25" ht="15.75" customHeight="1">
      <c r="A311" s="149"/>
      <c r="B311" s="149"/>
      <c r="C311" s="149"/>
      <c r="D311" s="149"/>
      <c r="E311" s="149"/>
      <c r="F311" s="149"/>
      <c r="G311" s="149"/>
      <c r="H311" s="149"/>
      <c r="I311" s="149"/>
      <c r="J311" s="150"/>
      <c r="K311" s="106"/>
      <c r="L311" s="121"/>
      <c r="M311" s="121"/>
      <c r="N311" s="106"/>
      <c r="O311" s="106"/>
      <c r="P311" s="106"/>
      <c r="Q311" s="106"/>
      <c r="R311" s="106"/>
      <c r="S311" s="106"/>
      <c r="T311" s="106"/>
      <c r="U311" s="106"/>
      <c r="V311" s="106"/>
      <c r="W311" s="106"/>
      <c r="X311" s="106"/>
      <c r="Y311" s="106"/>
    </row>
    <row r="312" spans="1:25" ht="15.75" customHeight="1">
      <c r="A312" s="149"/>
      <c r="B312" s="149"/>
      <c r="C312" s="149"/>
      <c r="D312" s="149"/>
      <c r="E312" s="149"/>
      <c r="F312" s="149"/>
      <c r="G312" s="149"/>
      <c r="H312" s="149"/>
      <c r="I312" s="149"/>
      <c r="J312" s="150"/>
      <c r="K312" s="106"/>
      <c r="L312" s="121"/>
      <c r="M312" s="121"/>
      <c r="N312" s="106"/>
      <c r="O312" s="106"/>
      <c r="P312" s="106"/>
      <c r="Q312" s="106"/>
      <c r="R312" s="106"/>
      <c r="S312" s="106"/>
      <c r="T312" s="106"/>
      <c r="U312" s="106"/>
      <c r="V312" s="106"/>
      <c r="W312" s="106"/>
      <c r="X312" s="106"/>
      <c r="Y312" s="106"/>
    </row>
    <row r="313" spans="1:25" ht="15.75" customHeight="1">
      <c r="A313" s="149"/>
      <c r="B313" s="149"/>
      <c r="C313" s="149"/>
      <c r="D313" s="149"/>
      <c r="E313" s="149"/>
      <c r="F313" s="149"/>
      <c r="G313" s="149"/>
      <c r="H313" s="149"/>
      <c r="I313" s="149"/>
      <c r="J313" s="150"/>
      <c r="K313" s="106"/>
      <c r="L313" s="121"/>
      <c r="M313" s="121"/>
      <c r="N313" s="106"/>
      <c r="O313" s="106"/>
      <c r="P313" s="106"/>
      <c r="Q313" s="106"/>
      <c r="R313" s="106"/>
      <c r="S313" s="106"/>
      <c r="T313" s="106"/>
      <c r="U313" s="106"/>
      <c r="V313" s="106"/>
      <c r="W313" s="106"/>
      <c r="X313" s="106"/>
      <c r="Y313" s="106"/>
    </row>
    <row r="314" spans="1:25" ht="15.75" customHeight="1">
      <c r="A314" s="149"/>
      <c r="B314" s="149"/>
      <c r="C314" s="149"/>
      <c r="D314" s="149"/>
      <c r="E314" s="149"/>
      <c r="F314" s="149"/>
      <c r="G314" s="149"/>
      <c r="H314" s="149"/>
      <c r="I314" s="149"/>
      <c r="J314" s="150"/>
      <c r="K314" s="106"/>
      <c r="L314" s="121"/>
      <c r="M314" s="121"/>
      <c r="N314" s="106"/>
      <c r="O314" s="106"/>
      <c r="P314" s="106"/>
      <c r="Q314" s="106"/>
      <c r="R314" s="106"/>
      <c r="S314" s="106"/>
      <c r="T314" s="106"/>
      <c r="U314" s="106"/>
      <c r="V314" s="106"/>
      <c r="W314" s="106"/>
      <c r="X314" s="106"/>
      <c r="Y314" s="106"/>
    </row>
    <row r="315" spans="1:25" ht="15.75" customHeight="1">
      <c r="A315" s="149"/>
      <c r="B315" s="149"/>
      <c r="C315" s="149"/>
      <c r="D315" s="149"/>
      <c r="E315" s="149"/>
      <c r="F315" s="149"/>
      <c r="G315" s="149"/>
      <c r="H315" s="149"/>
      <c r="I315" s="149"/>
      <c r="J315" s="150"/>
      <c r="K315" s="106"/>
      <c r="L315" s="121"/>
      <c r="M315" s="121"/>
      <c r="N315" s="106"/>
      <c r="O315" s="106"/>
      <c r="P315" s="106"/>
      <c r="Q315" s="106"/>
      <c r="R315" s="106"/>
      <c r="S315" s="106"/>
      <c r="T315" s="106"/>
      <c r="U315" s="106"/>
      <c r="V315" s="106"/>
      <c r="W315" s="106"/>
      <c r="X315" s="106"/>
      <c r="Y315" s="106"/>
    </row>
    <row r="316" spans="1:25" ht="15.75" customHeight="1">
      <c r="A316" s="149"/>
      <c r="B316" s="149"/>
      <c r="C316" s="149"/>
      <c r="D316" s="149"/>
      <c r="E316" s="149"/>
      <c r="F316" s="149"/>
      <c r="G316" s="149"/>
      <c r="H316" s="149"/>
      <c r="I316" s="149"/>
      <c r="J316" s="150"/>
      <c r="K316" s="106"/>
      <c r="L316" s="121"/>
      <c r="M316" s="121"/>
      <c r="N316" s="106"/>
      <c r="O316" s="106"/>
      <c r="P316" s="106"/>
      <c r="Q316" s="106"/>
      <c r="R316" s="106"/>
      <c r="S316" s="106"/>
      <c r="T316" s="106"/>
      <c r="U316" s="106"/>
      <c r="V316" s="106"/>
      <c r="W316" s="106"/>
      <c r="X316" s="106"/>
      <c r="Y316" s="106"/>
    </row>
    <row r="317" spans="1:25" ht="15.75" customHeight="1">
      <c r="A317" s="149"/>
      <c r="B317" s="149"/>
      <c r="C317" s="149"/>
      <c r="D317" s="149"/>
      <c r="E317" s="149"/>
      <c r="F317" s="149"/>
      <c r="G317" s="149"/>
      <c r="H317" s="149"/>
      <c r="I317" s="149"/>
      <c r="J317" s="150"/>
      <c r="K317" s="106"/>
      <c r="L317" s="121"/>
      <c r="M317" s="121"/>
      <c r="N317" s="106"/>
      <c r="O317" s="106"/>
      <c r="P317" s="106"/>
      <c r="Q317" s="106"/>
      <c r="R317" s="106"/>
      <c r="S317" s="106"/>
      <c r="T317" s="106"/>
      <c r="U317" s="106"/>
      <c r="V317" s="106"/>
      <c r="W317" s="106"/>
      <c r="X317" s="106"/>
      <c r="Y317" s="106"/>
    </row>
    <row r="318" spans="1:25" ht="15.75" customHeight="1">
      <c r="A318" s="149"/>
      <c r="B318" s="149"/>
      <c r="C318" s="149"/>
      <c r="D318" s="149"/>
      <c r="E318" s="149"/>
      <c r="F318" s="149"/>
      <c r="G318" s="149"/>
      <c r="H318" s="149"/>
      <c r="I318" s="149"/>
      <c r="J318" s="150"/>
      <c r="K318" s="106"/>
      <c r="L318" s="121"/>
      <c r="M318" s="121"/>
      <c r="N318" s="106"/>
      <c r="O318" s="106"/>
      <c r="P318" s="106"/>
      <c r="Q318" s="106"/>
      <c r="R318" s="106"/>
      <c r="S318" s="106"/>
      <c r="T318" s="106"/>
      <c r="U318" s="106"/>
      <c r="V318" s="106"/>
      <c r="W318" s="106"/>
      <c r="X318" s="106"/>
      <c r="Y318" s="106"/>
    </row>
    <row r="319" spans="1:25" ht="15.75" customHeight="1">
      <c r="A319" s="149"/>
      <c r="B319" s="149"/>
      <c r="C319" s="149"/>
      <c r="D319" s="149"/>
      <c r="E319" s="149"/>
      <c r="F319" s="149"/>
      <c r="G319" s="149"/>
      <c r="H319" s="149"/>
      <c r="I319" s="149"/>
      <c r="J319" s="150"/>
      <c r="K319" s="106"/>
      <c r="L319" s="121"/>
      <c r="M319" s="121"/>
      <c r="N319" s="106"/>
      <c r="O319" s="106"/>
      <c r="P319" s="106"/>
      <c r="Q319" s="106"/>
      <c r="R319" s="106"/>
      <c r="S319" s="106"/>
      <c r="T319" s="106"/>
      <c r="U319" s="106"/>
      <c r="V319" s="106"/>
      <c r="W319" s="106"/>
      <c r="X319" s="106"/>
      <c r="Y319" s="106"/>
    </row>
    <row r="320" spans="1:25" ht="15.75" customHeight="1">
      <c r="A320" s="149"/>
      <c r="B320" s="149"/>
      <c r="C320" s="149"/>
      <c r="D320" s="149"/>
      <c r="E320" s="149"/>
      <c r="F320" s="149"/>
      <c r="G320" s="149"/>
      <c r="H320" s="149"/>
      <c r="I320" s="149"/>
      <c r="J320" s="150"/>
      <c r="K320" s="106"/>
      <c r="L320" s="121"/>
      <c r="M320" s="121"/>
      <c r="N320" s="106"/>
      <c r="O320" s="106"/>
      <c r="P320" s="106"/>
      <c r="Q320" s="106"/>
      <c r="R320" s="106"/>
      <c r="S320" s="106"/>
      <c r="T320" s="106"/>
      <c r="U320" s="106"/>
      <c r="V320" s="106"/>
      <c r="W320" s="106"/>
      <c r="X320" s="106"/>
      <c r="Y320" s="106"/>
    </row>
    <row r="321" spans="1:25" ht="15.75" customHeight="1">
      <c r="A321" s="149"/>
      <c r="B321" s="149"/>
      <c r="C321" s="149"/>
      <c r="D321" s="149"/>
      <c r="E321" s="149"/>
      <c r="F321" s="149"/>
      <c r="G321" s="149"/>
      <c r="H321" s="149"/>
      <c r="I321" s="149"/>
      <c r="J321" s="150"/>
      <c r="K321" s="106"/>
      <c r="L321" s="121"/>
      <c r="M321" s="121"/>
      <c r="N321" s="106"/>
      <c r="O321" s="106"/>
      <c r="P321" s="106"/>
      <c r="Q321" s="106"/>
      <c r="R321" s="106"/>
      <c r="S321" s="106"/>
      <c r="T321" s="106"/>
      <c r="U321" s="106"/>
      <c r="V321" s="106"/>
      <c r="W321" s="106"/>
      <c r="X321" s="106"/>
      <c r="Y321" s="106"/>
    </row>
    <row r="322" spans="1:25" ht="15.75" customHeight="1">
      <c r="A322" s="149"/>
      <c r="B322" s="149"/>
      <c r="C322" s="149"/>
      <c r="D322" s="149"/>
      <c r="E322" s="149"/>
      <c r="F322" s="149"/>
      <c r="G322" s="149"/>
      <c r="H322" s="149"/>
      <c r="I322" s="149"/>
      <c r="J322" s="150"/>
      <c r="K322" s="106"/>
      <c r="L322" s="121"/>
      <c r="M322" s="121"/>
      <c r="N322" s="106"/>
      <c r="O322" s="106"/>
      <c r="P322" s="106"/>
      <c r="Q322" s="106"/>
      <c r="R322" s="106"/>
      <c r="S322" s="106"/>
      <c r="T322" s="106"/>
      <c r="U322" s="106"/>
      <c r="V322" s="106"/>
      <c r="W322" s="106"/>
      <c r="X322" s="106"/>
      <c r="Y322" s="106"/>
    </row>
    <row r="323" spans="1:25" ht="15.75" customHeight="1">
      <c r="A323" s="149"/>
      <c r="B323" s="149"/>
      <c r="C323" s="149"/>
      <c r="D323" s="149"/>
      <c r="E323" s="149"/>
      <c r="F323" s="149"/>
      <c r="G323" s="149"/>
      <c r="H323" s="149"/>
      <c r="I323" s="149"/>
      <c r="J323" s="150"/>
      <c r="K323" s="106"/>
      <c r="L323" s="121"/>
      <c r="M323" s="121"/>
      <c r="N323" s="106"/>
      <c r="O323" s="106"/>
      <c r="P323" s="106"/>
      <c r="Q323" s="106"/>
      <c r="R323" s="106"/>
      <c r="S323" s="106"/>
      <c r="T323" s="106"/>
      <c r="U323" s="106"/>
      <c r="V323" s="106"/>
      <c r="W323" s="106"/>
      <c r="X323" s="106"/>
      <c r="Y323" s="106"/>
    </row>
    <row r="324" spans="1:25" ht="15.75" customHeight="1">
      <c r="A324" s="149"/>
      <c r="B324" s="149"/>
      <c r="C324" s="149"/>
      <c r="D324" s="149"/>
      <c r="E324" s="149"/>
      <c r="F324" s="149"/>
      <c r="G324" s="149"/>
      <c r="H324" s="149"/>
      <c r="I324" s="149"/>
      <c r="J324" s="150"/>
      <c r="K324" s="106"/>
      <c r="L324" s="121"/>
      <c r="M324" s="121"/>
      <c r="N324" s="106"/>
      <c r="O324" s="106"/>
      <c r="P324" s="106"/>
      <c r="Q324" s="106"/>
      <c r="R324" s="106"/>
      <c r="S324" s="106"/>
      <c r="T324" s="106"/>
      <c r="U324" s="106"/>
      <c r="V324" s="106"/>
      <c r="W324" s="106"/>
      <c r="X324" s="106"/>
      <c r="Y324" s="106"/>
    </row>
    <row r="325" spans="1:25" ht="15.75" customHeight="1">
      <c r="A325" s="149"/>
      <c r="B325" s="149"/>
      <c r="C325" s="149"/>
      <c r="D325" s="149"/>
      <c r="E325" s="149"/>
      <c r="F325" s="149"/>
      <c r="G325" s="149"/>
      <c r="H325" s="149"/>
      <c r="I325" s="149"/>
      <c r="J325" s="150"/>
      <c r="K325" s="106"/>
      <c r="L325" s="121"/>
      <c r="M325" s="121"/>
      <c r="N325" s="106"/>
      <c r="O325" s="106"/>
      <c r="P325" s="106"/>
      <c r="Q325" s="106"/>
      <c r="R325" s="106"/>
      <c r="S325" s="106"/>
      <c r="T325" s="106"/>
      <c r="U325" s="106"/>
      <c r="V325" s="106"/>
      <c r="W325" s="106"/>
      <c r="X325" s="106"/>
      <c r="Y325" s="106"/>
    </row>
    <row r="326" spans="1:25" ht="15.75" customHeight="1">
      <c r="A326" s="149"/>
      <c r="B326" s="149"/>
      <c r="C326" s="149"/>
      <c r="D326" s="149"/>
      <c r="E326" s="149"/>
      <c r="F326" s="149"/>
      <c r="G326" s="149"/>
      <c r="H326" s="149"/>
      <c r="I326" s="149"/>
      <c r="J326" s="150"/>
      <c r="K326" s="106"/>
      <c r="L326" s="121"/>
      <c r="M326" s="121"/>
      <c r="N326" s="106"/>
      <c r="O326" s="106"/>
      <c r="P326" s="106"/>
      <c r="Q326" s="106"/>
      <c r="R326" s="106"/>
      <c r="S326" s="106"/>
      <c r="T326" s="106"/>
      <c r="U326" s="106"/>
      <c r="V326" s="106"/>
      <c r="W326" s="106"/>
      <c r="X326" s="106"/>
      <c r="Y326" s="106"/>
    </row>
    <row r="327" spans="1:25" ht="15.75" customHeight="1">
      <c r="A327" s="149"/>
      <c r="B327" s="149"/>
      <c r="C327" s="149"/>
      <c r="D327" s="149"/>
      <c r="E327" s="149"/>
      <c r="F327" s="149"/>
      <c r="G327" s="149"/>
      <c r="H327" s="149"/>
      <c r="I327" s="149"/>
      <c r="J327" s="150"/>
      <c r="K327" s="106"/>
      <c r="L327" s="121"/>
      <c r="M327" s="121"/>
      <c r="N327" s="106"/>
      <c r="O327" s="106"/>
      <c r="P327" s="106"/>
      <c r="Q327" s="106"/>
      <c r="R327" s="106"/>
      <c r="S327" s="106"/>
      <c r="T327" s="106"/>
      <c r="U327" s="106"/>
      <c r="V327" s="106"/>
      <c r="W327" s="106"/>
      <c r="X327" s="106"/>
      <c r="Y327" s="106"/>
    </row>
    <row r="328" spans="1:25" ht="15.75" customHeight="1">
      <c r="A328" s="149"/>
      <c r="B328" s="149"/>
      <c r="C328" s="149"/>
      <c r="D328" s="149"/>
      <c r="E328" s="149"/>
      <c r="F328" s="149"/>
      <c r="G328" s="149"/>
      <c r="H328" s="149"/>
      <c r="I328" s="149"/>
      <c r="J328" s="150"/>
      <c r="K328" s="106"/>
      <c r="L328" s="121"/>
      <c r="M328" s="121"/>
      <c r="N328" s="106"/>
      <c r="O328" s="106"/>
      <c r="P328" s="106"/>
      <c r="Q328" s="106"/>
      <c r="R328" s="106"/>
      <c r="S328" s="106"/>
      <c r="T328" s="106"/>
      <c r="U328" s="106"/>
      <c r="V328" s="106"/>
      <c r="W328" s="106"/>
      <c r="X328" s="106"/>
      <c r="Y328" s="106"/>
    </row>
    <row r="329" spans="1:25" ht="15.75" customHeight="1">
      <c r="A329" s="149"/>
      <c r="B329" s="149"/>
      <c r="C329" s="149"/>
      <c r="D329" s="149"/>
      <c r="E329" s="149"/>
      <c r="F329" s="149"/>
      <c r="G329" s="149"/>
      <c r="H329" s="149"/>
      <c r="I329" s="149"/>
      <c r="J329" s="150"/>
      <c r="K329" s="106"/>
      <c r="L329" s="121"/>
      <c r="M329" s="121"/>
      <c r="N329" s="106"/>
      <c r="O329" s="106"/>
      <c r="P329" s="106"/>
      <c r="Q329" s="106"/>
      <c r="R329" s="106"/>
      <c r="S329" s="106"/>
      <c r="T329" s="106"/>
      <c r="U329" s="106"/>
      <c r="V329" s="106"/>
      <c r="W329" s="106"/>
      <c r="X329" s="106"/>
      <c r="Y329" s="106"/>
    </row>
    <row r="330" spans="1:25" ht="15.75" customHeight="1">
      <c r="A330" s="149"/>
      <c r="B330" s="149"/>
      <c r="C330" s="149"/>
      <c r="D330" s="149"/>
      <c r="E330" s="149"/>
      <c r="F330" s="149"/>
      <c r="G330" s="149"/>
      <c r="H330" s="149"/>
      <c r="I330" s="149"/>
      <c r="J330" s="150"/>
      <c r="K330" s="106"/>
      <c r="L330" s="121"/>
      <c r="M330" s="121"/>
      <c r="N330" s="106"/>
      <c r="O330" s="106"/>
      <c r="P330" s="106"/>
      <c r="Q330" s="106"/>
      <c r="R330" s="106"/>
      <c r="S330" s="106"/>
      <c r="T330" s="106"/>
      <c r="U330" s="106"/>
      <c r="V330" s="106"/>
      <c r="W330" s="106"/>
      <c r="X330" s="106"/>
      <c r="Y330" s="106"/>
    </row>
    <row r="331" spans="1:25" ht="15.75" customHeight="1">
      <c r="A331" s="149"/>
      <c r="B331" s="149"/>
      <c r="C331" s="149"/>
      <c r="D331" s="149"/>
      <c r="E331" s="149"/>
      <c r="F331" s="149"/>
      <c r="G331" s="149"/>
      <c r="H331" s="149"/>
      <c r="I331" s="149"/>
      <c r="J331" s="150"/>
      <c r="K331" s="106"/>
      <c r="L331" s="121"/>
      <c r="M331" s="121"/>
      <c r="N331" s="106"/>
      <c r="O331" s="106"/>
      <c r="P331" s="106"/>
      <c r="Q331" s="106"/>
      <c r="R331" s="106"/>
      <c r="S331" s="106"/>
      <c r="T331" s="106"/>
      <c r="U331" s="106"/>
      <c r="V331" s="106"/>
      <c r="W331" s="106"/>
      <c r="X331" s="106"/>
      <c r="Y331" s="106"/>
    </row>
    <row r="332" spans="1:25" ht="15.75" customHeight="1">
      <c r="A332" s="149"/>
      <c r="B332" s="149"/>
      <c r="C332" s="149"/>
      <c r="D332" s="149"/>
      <c r="E332" s="149"/>
      <c r="F332" s="149"/>
      <c r="G332" s="149"/>
      <c r="H332" s="149"/>
      <c r="I332" s="149"/>
      <c r="J332" s="150"/>
      <c r="K332" s="106"/>
      <c r="L332" s="121"/>
      <c r="M332" s="121"/>
      <c r="N332" s="106"/>
      <c r="O332" s="106"/>
      <c r="P332" s="106"/>
      <c r="Q332" s="106"/>
      <c r="R332" s="106"/>
      <c r="S332" s="106"/>
      <c r="T332" s="106"/>
      <c r="U332" s="106"/>
      <c r="V332" s="106"/>
      <c r="W332" s="106"/>
      <c r="X332" s="106"/>
      <c r="Y332" s="106"/>
    </row>
    <row r="333" spans="1:25" ht="15.75" customHeight="1">
      <c r="A333" s="149"/>
      <c r="B333" s="149"/>
      <c r="C333" s="149"/>
      <c r="D333" s="149"/>
      <c r="E333" s="149"/>
      <c r="F333" s="149"/>
      <c r="G333" s="149"/>
      <c r="H333" s="149"/>
      <c r="I333" s="149"/>
      <c r="J333" s="150"/>
      <c r="K333" s="106"/>
      <c r="L333" s="121"/>
      <c r="M333" s="121"/>
      <c r="N333" s="106"/>
      <c r="O333" s="106"/>
      <c r="P333" s="106"/>
      <c r="Q333" s="106"/>
      <c r="R333" s="106"/>
      <c r="S333" s="106"/>
      <c r="T333" s="106"/>
      <c r="U333" s="106"/>
      <c r="V333" s="106"/>
      <c r="W333" s="106"/>
      <c r="X333" s="106"/>
      <c r="Y333" s="106"/>
    </row>
    <row r="334" spans="1:25" ht="15.75" customHeight="1">
      <c r="A334" s="149"/>
      <c r="B334" s="149"/>
      <c r="C334" s="149"/>
      <c r="D334" s="149"/>
      <c r="E334" s="149"/>
      <c r="F334" s="149"/>
      <c r="G334" s="149"/>
      <c r="H334" s="149"/>
      <c r="I334" s="149"/>
      <c r="J334" s="150"/>
      <c r="K334" s="106"/>
      <c r="L334" s="121"/>
      <c r="M334" s="121"/>
      <c r="N334" s="106"/>
      <c r="O334" s="106"/>
      <c r="P334" s="106"/>
      <c r="Q334" s="106"/>
      <c r="R334" s="106"/>
      <c r="S334" s="106"/>
      <c r="T334" s="106"/>
      <c r="U334" s="106"/>
      <c r="V334" s="106"/>
      <c r="W334" s="106"/>
      <c r="X334" s="106"/>
      <c r="Y334" s="106"/>
    </row>
    <row r="335" spans="1:25" ht="15.75" customHeight="1">
      <c r="A335" s="149"/>
      <c r="B335" s="149"/>
      <c r="C335" s="149"/>
      <c r="D335" s="149"/>
      <c r="E335" s="149"/>
      <c r="F335" s="149"/>
      <c r="G335" s="149"/>
      <c r="H335" s="149"/>
      <c r="I335" s="149"/>
      <c r="J335" s="150"/>
      <c r="K335" s="106"/>
      <c r="L335" s="121"/>
      <c r="M335" s="121"/>
      <c r="N335" s="106"/>
      <c r="O335" s="106"/>
      <c r="P335" s="106"/>
      <c r="Q335" s="106"/>
      <c r="R335" s="106"/>
      <c r="S335" s="106"/>
      <c r="T335" s="106"/>
      <c r="U335" s="106"/>
      <c r="V335" s="106"/>
      <c r="W335" s="106"/>
      <c r="X335" s="106"/>
      <c r="Y335" s="106"/>
    </row>
    <row r="336" spans="1:25" ht="15.75" customHeight="1">
      <c r="A336" s="106"/>
      <c r="B336" s="106"/>
      <c r="C336" s="106"/>
      <c r="D336" s="106"/>
      <c r="E336" s="106"/>
      <c r="F336" s="106"/>
      <c r="G336" s="106"/>
      <c r="H336" s="106"/>
      <c r="I336" s="106"/>
      <c r="J336" s="154"/>
      <c r="K336" s="106"/>
      <c r="L336" s="121"/>
      <c r="M336" s="121"/>
      <c r="N336" s="106"/>
      <c r="O336" s="106"/>
      <c r="P336" s="106"/>
      <c r="Q336" s="106"/>
      <c r="R336" s="106"/>
      <c r="S336" s="106"/>
      <c r="T336" s="106"/>
      <c r="U336" s="106"/>
      <c r="V336" s="106"/>
      <c r="W336" s="106"/>
      <c r="X336" s="106"/>
      <c r="Y336" s="106"/>
    </row>
    <row r="337" spans="1:25" ht="15.75" customHeight="1">
      <c r="A337" s="106"/>
      <c r="B337" s="106"/>
      <c r="C337" s="106"/>
      <c r="D337" s="106"/>
      <c r="E337" s="106"/>
      <c r="F337" s="106"/>
      <c r="G337" s="106"/>
      <c r="H337" s="106"/>
      <c r="I337" s="106"/>
      <c r="J337" s="154"/>
      <c r="K337" s="106"/>
      <c r="L337" s="121"/>
      <c r="M337" s="121"/>
      <c r="N337" s="106"/>
      <c r="O337" s="106"/>
      <c r="P337" s="106"/>
      <c r="Q337" s="106"/>
      <c r="R337" s="106"/>
      <c r="S337" s="106"/>
      <c r="T337" s="106"/>
      <c r="U337" s="106"/>
      <c r="V337" s="106"/>
      <c r="W337" s="106"/>
      <c r="X337" s="106"/>
      <c r="Y337" s="106"/>
    </row>
    <row r="338" spans="1:25" ht="15.75" customHeight="1">
      <c r="A338" s="106"/>
      <c r="B338" s="106"/>
      <c r="C338" s="106"/>
      <c r="D338" s="106"/>
      <c r="E338" s="106"/>
      <c r="F338" s="106"/>
      <c r="G338" s="106"/>
      <c r="H338" s="106"/>
      <c r="I338" s="106"/>
      <c r="J338" s="154"/>
      <c r="K338" s="106"/>
      <c r="L338" s="121"/>
      <c r="M338" s="121"/>
      <c r="N338" s="106"/>
      <c r="O338" s="106"/>
      <c r="P338" s="106"/>
      <c r="Q338" s="106"/>
      <c r="R338" s="106"/>
      <c r="S338" s="106"/>
      <c r="T338" s="106"/>
      <c r="U338" s="106"/>
      <c r="V338" s="106"/>
      <c r="W338" s="106"/>
      <c r="X338" s="106"/>
      <c r="Y338" s="106"/>
    </row>
    <row r="339" spans="1:25" ht="15.75" customHeight="1">
      <c r="A339" s="106"/>
      <c r="B339" s="106"/>
      <c r="C339" s="106"/>
      <c r="D339" s="106"/>
      <c r="E339" s="106"/>
      <c r="F339" s="106"/>
      <c r="G339" s="106"/>
      <c r="H339" s="106"/>
      <c r="I339" s="106"/>
      <c r="J339" s="154"/>
      <c r="K339" s="106"/>
      <c r="L339" s="121"/>
      <c r="M339" s="121"/>
      <c r="N339" s="106"/>
      <c r="O339" s="106"/>
      <c r="P339" s="106"/>
      <c r="Q339" s="106"/>
      <c r="R339" s="106"/>
      <c r="S339" s="106"/>
      <c r="T339" s="106"/>
      <c r="U339" s="106"/>
      <c r="V339" s="106"/>
      <c r="W339" s="106"/>
      <c r="X339" s="106"/>
      <c r="Y339" s="106"/>
    </row>
    <row r="340" spans="1:25" ht="15.75" customHeight="1">
      <c r="A340" s="106"/>
      <c r="B340" s="106"/>
      <c r="C340" s="106"/>
      <c r="D340" s="106"/>
      <c r="E340" s="106"/>
      <c r="F340" s="106"/>
      <c r="G340" s="106"/>
      <c r="H340" s="106"/>
      <c r="I340" s="106"/>
      <c r="J340" s="154"/>
      <c r="K340" s="106"/>
      <c r="L340" s="121"/>
      <c r="M340" s="121"/>
      <c r="N340" s="106"/>
      <c r="O340" s="106"/>
      <c r="P340" s="106"/>
      <c r="Q340" s="106"/>
      <c r="R340" s="106"/>
      <c r="S340" s="106"/>
      <c r="T340" s="106"/>
      <c r="U340" s="106"/>
      <c r="V340" s="106"/>
      <c r="W340" s="106"/>
      <c r="X340" s="106"/>
      <c r="Y340" s="106"/>
    </row>
    <row r="341" spans="1:25" ht="15.75" customHeight="1">
      <c r="A341" s="106"/>
      <c r="B341" s="106"/>
      <c r="C341" s="106"/>
      <c r="D341" s="106"/>
      <c r="E341" s="106"/>
      <c r="F341" s="106"/>
      <c r="G341" s="106"/>
      <c r="H341" s="106"/>
      <c r="I341" s="106"/>
      <c r="J341" s="154"/>
      <c r="K341" s="106"/>
      <c r="L341" s="121"/>
      <c r="M341" s="121"/>
      <c r="N341" s="106"/>
      <c r="O341" s="106"/>
      <c r="P341" s="106"/>
      <c r="Q341" s="106"/>
      <c r="R341" s="106"/>
      <c r="S341" s="106"/>
      <c r="T341" s="106"/>
      <c r="U341" s="106"/>
      <c r="V341" s="106"/>
      <c r="W341" s="106"/>
      <c r="X341" s="106"/>
      <c r="Y341" s="106"/>
    </row>
    <row r="342" spans="1:25" ht="15.75" customHeight="1">
      <c r="A342" s="106"/>
      <c r="B342" s="106"/>
      <c r="C342" s="106"/>
      <c r="D342" s="106"/>
      <c r="E342" s="106"/>
      <c r="F342" s="106"/>
      <c r="G342" s="106"/>
      <c r="H342" s="106"/>
      <c r="I342" s="106"/>
      <c r="J342" s="154"/>
      <c r="K342" s="106"/>
      <c r="L342" s="121"/>
      <c r="M342" s="121"/>
      <c r="N342" s="106"/>
      <c r="O342" s="106"/>
      <c r="P342" s="106"/>
      <c r="Q342" s="106"/>
      <c r="R342" s="106"/>
      <c r="S342" s="106"/>
      <c r="T342" s="106"/>
      <c r="U342" s="106"/>
      <c r="V342" s="106"/>
      <c r="W342" s="106"/>
      <c r="X342" s="106"/>
      <c r="Y342" s="106"/>
    </row>
    <row r="343" spans="1:25" ht="15.75" customHeight="1">
      <c r="A343" s="106"/>
      <c r="B343" s="106"/>
      <c r="C343" s="106"/>
      <c r="D343" s="106"/>
      <c r="E343" s="106"/>
      <c r="F343" s="106"/>
      <c r="G343" s="106"/>
      <c r="H343" s="106"/>
      <c r="I343" s="106"/>
      <c r="J343" s="154"/>
      <c r="K343" s="106"/>
      <c r="L343" s="121"/>
      <c r="M343" s="121"/>
      <c r="N343" s="106"/>
      <c r="O343" s="106"/>
      <c r="P343" s="106"/>
      <c r="Q343" s="106"/>
      <c r="R343" s="106"/>
      <c r="S343" s="106"/>
      <c r="T343" s="106"/>
      <c r="U343" s="106"/>
      <c r="V343" s="106"/>
      <c r="W343" s="106"/>
      <c r="X343" s="106"/>
      <c r="Y343" s="106"/>
    </row>
    <row r="344" spans="1:25" ht="15.75" customHeight="1">
      <c r="A344" s="106"/>
      <c r="B344" s="106"/>
      <c r="C344" s="106"/>
      <c r="D344" s="106"/>
      <c r="E344" s="106"/>
      <c r="F344" s="106"/>
      <c r="G344" s="106"/>
      <c r="H344" s="106"/>
      <c r="I344" s="106"/>
      <c r="J344" s="154"/>
      <c r="K344" s="106"/>
      <c r="L344" s="121"/>
      <c r="M344" s="121"/>
      <c r="N344" s="106"/>
      <c r="O344" s="106"/>
      <c r="P344" s="106"/>
      <c r="Q344" s="106"/>
      <c r="R344" s="106"/>
      <c r="S344" s="106"/>
      <c r="T344" s="106"/>
      <c r="U344" s="106"/>
      <c r="V344" s="106"/>
      <c r="W344" s="106"/>
      <c r="X344" s="106"/>
      <c r="Y344" s="106"/>
    </row>
    <row r="345" spans="1:25" ht="15.75" customHeight="1">
      <c r="A345" s="106"/>
      <c r="B345" s="106"/>
      <c r="C345" s="106"/>
      <c r="D345" s="106"/>
      <c r="E345" s="106"/>
      <c r="F345" s="106"/>
      <c r="G345" s="106"/>
      <c r="H345" s="106"/>
      <c r="I345" s="106"/>
      <c r="J345" s="154"/>
      <c r="K345" s="106"/>
      <c r="L345" s="121"/>
      <c r="M345" s="121"/>
      <c r="N345" s="106"/>
      <c r="O345" s="106"/>
      <c r="P345" s="106"/>
      <c r="Q345" s="106"/>
      <c r="R345" s="106"/>
      <c r="S345" s="106"/>
      <c r="T345" s="106"/>
      <c r="U345" s="106"/>
      <c r="V345" s="106"/>
      <c r="W345" s="106"/>
      <c r="X345" s="106"/>
      <c r="Y345" s="106"/>
    </row>
    <row r="346" spans="1:25" ht="15.75" customHeight="1">
      <c r="A346" s="106"/>
      <c r="B346" s="106"/>
      <c r="C346" s="106"/>
      <c r="D346" s="106"/>
      <c r="E346" s="106"/>
      <c r="F346" s="106"/>
      <c r="G346" s="106"/>
      <c r="H346" s="106"/>
      <c r="I346" s="106"/>
      <c r="J346" s="154"/>
      <c r="K346" s="106"/>
      <c r="L346" s="121"/>
      <c r="M346" s="121"/>
      <c r="N346" s="106"/>
      <c r="O346" s="106"/>
      <c r="P346" s="106"/>
      <c r="Q346" s="106"/>
      <c r="R346" s="106"/>
      <c r="S346" s="106"/>
      <c r="T346" s="106"/>
      <c r="U346" s="106"/>
      <c r="V346" s="106"/>
      <c r="W346" s="106"/>
      <c r="X346" s="106"/>
      <c r="Y346" s="106"/>
    </row>
    <row r="347" spans="1:25" ht="15.75" customHeight="1">
      <c r="A347" s="106"/>
      <c r="B347" s="106"/>
      <c r="C347" s="106"/>
      <c r="D347" s="106"/>
      <c r="E347" s="106"/>
      <c r="F347" s="106"/>
      <c r="G347" s="106"/>
      <c r="H347" s="106"/>
      <c r="I347" s="106"/>
      <c r="J347" s="154"/>
      <c r="K347" s="106"/>
      <c r="L347" s="121"/>
      <c r="M347" s="121"/>
      <c r="N347" s="106"/>
      <c r="O347" s="106"/>
      <c r="P347" s="106"/>
      <c r="Q347" s="106"/>
      <c r="R347" s="106"/>
      <c r="S347" s="106"/>
      <c r="T347" s="106"/>
      <c r="U347" s="106"/>
      <c r="V347" s="106"/>
      <c r="W347" s="106"/>
      <c r="X347" s="106"/>
      <c r="Y347" s="106"/>
    </row>
    <row r="348" spans="1:25" ht="15.75" customHeight="1">
      <c r="A348" s="106"/>
      <c r="B348" s="106"/>
      <c r="C348" s="106"/>
      <c r="D348" s="106"/>
      <c r="E348" s="106"/>
      <c r="F348" s="106"/>
      <c r="G348" s="106"/>
      <c r="H348" s="106"/>
      <c r="I348" s="106"/>
      <c r="J348" s="154"/>
      <c r="K348" s="106"/>
      <c r="L348" s="121"/>
      <c r="M348" s="121"/>
      <c r="N348" s="106"/>
      <c r="O348" s="106"/>
      <c r="P348" s="106"/>
      <c r="Q348" s="106"/>
      <c r="R348" s="106"/>
      <c r="S348" s="106"/>
      <c r="T348" s="106"/>
      <c r="U348" s="106"/>
      <c r="V348" s="106"/>
      <c r="W348" s="106"/>
      <c r="X348" s="106"/>
      <c r="Y348" s="106"/>
    </row>
    <row r="349" spans="1:25" ht="15.75" customHeight="1">
      <c r="A349" s="106"/>
      <c r="B349" s="106"/>
      <c r="C349" s="106"/>
      <c r="D349" s="106"/>
      <c r="E349" s="106"/>
      <c r="F349" s="106"/>
      <c r="G349" s="106"/>
      <c r="H349" s="106"/>
      <c r="I349" s="106"/>
      <c r="J349" s="154"/>
      <c r="K349" s="106"/>
      <c r="L349" s="121"/>
      <c r="M349" s="121"/>
      <c r="N349" s="106"/>
      <c r="O349" s="106"/>
      <c r="P349" s="106"/>
      <c r="Q349" s="106"/>
      <c r="R349" s="106"/>
      <c r="S349" s="106"/>
      <c r="T349" s="106"/>
      <c r="U349" s="106"/>
      <c r="V349" s="106"/>
      <c r="W349" s="106"/>
      <c r="X349" s="106"/>
      <c r="Y349" s="106"/>
    </row>
    <row r="350" spans="1:25" ht="15.75" customHeight="1">
      <c r="A350" s="106"/>
      <c r="B350" s="106"/>
      <c r="C350" s="106"/>
      <c r="D350" s="106"/>
      <c r="E350" s="106"/>
      <c r="F350" s="106"/>
      <c r="G350" s="106"/>
      <c r="H350" s="106"/>
      <c r="I350" s="106"/>
      <c r="J350" s="154"/>
      <c r="K350" s="106"/>
      <c r="L350" s="121"/>
      <c r="M350" s="121"/>
      <c r="N350" s="106"/>
      <c r="O350" s="106"/>
      <c r="P350" s="106"/>
      <c r="Q350" s="106"/>
      <c r="R350" s="106"/>
      <c r="S350" s="106"/>
      <c r="T350" s="106"/>
      <c r="U350" s="106"/>
      <c r="V350" s="106"/>
      <c r="W350" s="106"/>
      <c r="X350" s="106"/>
      <c r="Y350" s="106"/>
    </row>
    <row r="351" spans="1:25" ht="15.75" customHeight="1">
      <c r="A351" s="106"/>
      <c r="B351" s="106"/>
      <c r="C351" s="106"/>
      <c r="D351" s="106"/>
      <c r="E351" s="106"/>
      <c r="F351" s="106"/>
      <c r="G351" s="106"/>
      <c r="H351" s="106"/>
      <c r="I351" s="106"/>
      <c r="J351" s="154"/>
      <c r="K351" s="106"/>
      <c r="L351" s="121"/>
      <c r="M351" s="121"/>
      <c r="N351" s="106"/>
      <c r="O351" s="106"/>
      <c r="P351" s="106"/>
      <c r="Q351" s="106"/>
      <c r="R351" s="106"/>
      <c r="S351" s="106"/>
      <c r="T351" s="106"/>
      <c r="U351" s="106"/>
      <c r="V351" s="106"/>
      <c r="W351" s="106"/>
      <c r="X351" s="106"/>
      <c r="Y351" s="106"/>
    </row>
    <row r="352" spans="1:25" ht="15.75" customHeight="1">
      <c r="A352" s="106"/>
      <c r="B352" s="106"/>
      <c r="C352" s="106"/>
      <c r="D352" s="106"/>
      <c r="E352" s="106"/>
      <c r="F352" s="106"/>
      <c r="G352" s="106"/>
      <c r="H352" s="106"/>
      <c r="I352" s="106"/>
      <c r="J352" s="154"/>
      <c r="K352" s="106"/>
      <c r="L352" s="121"/>
      <c r="M352" s="121"/>
      <c r="N352" s="106"/>
      <c r="O352" s="106"/>
      <c r="P352" s="106"/>
      <c r="Q352" s="106"/>
      <c r="R352" s="106"/>
      <c r="S352" s="106"/>
      <c r="T352" s="106"/>
      <c r="U352" s="106"/>
      <c r="V352" s="106"/>
      <c r="W352" s="106"/>
      <c r="X352" s="106"/>
      <c r="Y352" s="106"/>
    </row>
    <row r="353" spans="1:25" ht="15.75" customHeight="1">
      <c r="A353" s="106"/>
      <c r="B353" s="106"/>
      <c r="C353" s="106"/>
      <c r="D353" s="106"/>
      <c r="E353" s="106"/>
      <c r="F353" s="106"/>
      <c r="G353" s="106"/>
      <c r="H353" s="106"/>
      <c r="I353" s="106"/>
      <c r="J353" s="154"/>
      <c r="K353" s="106"/>
      <c r="L353" s="121"/>
      <c r="M353" s="121"/>
      <c r="N353" s="106"/>
      <c r="O353" s="106"/>
      <c r="P353" s="106"/>
      <c r="Q353" s="106"/>
      <c r="R353" s="106"/>
      <c r="S353" s="106"/>
      <c r="T353" s="106"/>
      <c r="U353" s="106"/>
      <c r="V353" s="106"/>
      <c r="W353" s="106"/>
      <c r="X353" s="106"/>
      <c r="Y353" s="106"/>
    </row>
    <row r="354" spans="1:25" ht="15.75" customHeight="1">
      <c r="A354" s="106"/>
      <c r="B354" s="106"/>
      <c r="C354" s="106"/>
      <c r="D354" s="106"/>
      <c r="E354" s="106"/>
      <c r="F354" s="106"/>
      <c r="G354" s="106"/>
      <c r="H354" s="106"/>
      <c r="I354" s="106"/>
      <c r="J354" s="154"/>
      <c r="K354" s="106"/>
      <c r="L354" s="121"/>
      <c r="M354" s="121"/>
      <c r="N354" s="106"/>
      <c r="O354" s="106"/>
      <c r="P354" s="106"/>
      <c r="Q354" s="106"/>
      <c r="R354" s="106"/>
      <c r="S354" s="106"/>
      <c r="T354" s="106"/>
      <c r="U354" s="106"/>
      <c r="V354" s="106"/>
      <c r="W354" s="106"/>
      <c r="X354" s="106"/>
      <c r="Y354" s="106"/>
    </row>
    <row r="355" spans="1:25" ht="15.75" customHeight="1">
      <c r="A355" s="106"/>
      <c r="B355" s="106"/>
      <c r="C355" s="106"/>
      <c r="D355" s="106"/>
      <c r="E355" s="106"/>
      <c r="F355" s="106"/>
      <c r="G355" s="106"/>
      <c r="H355" s="106"/>
      <c r="I355" s="106"/>
      <c r="J355" s="154"/>
      <c r="K355" s="106"/>
      <c r="L355" s="121"/>
      <c r="M355" s="121"/>
      <c r="N355" s="106"/>
      <c r="O355" s="106"/>
      <c r="P355" s="106"/>
      <c r="Q355" s="106"/>
      <c r="R355" s="106"/>
      <c r="S355" s="106"/>
      <c r="T355" s="106"/>
      <c r="U355" s="106"/>
      <c r="V355" s="106"/>
      <c r="W355" s="106"/>
      <c r="X355" s="106"/>
      <c r="Y355" s="106"/>
    </row>
    <row r="356" spans="1:25" ht="15.75" customHeight="1">
      <c r="A356" s="106"/>
      <c r="B356" s="106"/>
      <c r="C356" s="106"/>
      <c r="D356" s="106"/>
      <c r="E356" s="106"/>
      <c r="F356" s="106"/>
      <c r="G356" s="106"/>
      <c r="H356" s="106"/>
      <c r="I356" s="106"/>
      <c r="J356" s="154"/>
      <c r="K356" s="106"/>
      <c r="L356" s="121"/>
      <c r="M356" s="121"/>
      <c r="N356" s="106"/>
      <c r="O356" s="106"/>
      <c r="P356" s="106"/>
      <c r="Q356" s="106"/>
      <c r="R356" s="106"/>
      <c r="S356" s="106"/>
      <c r="T356" s="106"/>
      <c r="U356" s="106"/>
      <c r="V356" s="106"/>
      <c r="W356" s="106"/>
      <c r="X356" s="106"/>
      <c r="Y356" s="106"/>
    </row>
    <row r="357" spans="1:25" ht="15.75" customHeight="1">
      <c r="A357" s="106"/>
      <c r="B357" s="106"/>
      <c r="C357" s="106"/>
      <c r="D357" s="106"/>
      <c r="E357" s="106"/>
      <c r="F357" s="106"/>
      <c r="G357" s="106"/>
      <c r="H357" s="106"/>
      <c r="I357" s="106"/>
      <c r="J357" s="154"/>
      <c r="K357" s="106"/>
      <c r="L357" s="121"/>
      <c r="M357" s="121"/>
      <c r="N357" s="106"/>
      <c r="O357" s="106"/>
      <c r="P357" s="106"/>
      <c r="Q357" s="106"/>
      <c r="R357" s="106"/>
      <c r="S357" s="106"/>
      <c r="T357" s="106"/>
      <c r="U357" s="106"/>
      <c r="V357" s="106"/>
      <c r="W357" s="106"/>
      <c r="X357" s="106"/>
      <c r="Y357" s="106"/>
    </row>
    <row r="358" spans="1:25" ht="15.75" customHeight="1">
      <c r="A358" s="106"/>
      <c r="B358" s="106"/>
      <c r="C358" s="106"/>
      <c r="D358" s="106"/>
      <c r="E358" s="106"/>
      <c r="F358" s="106"/>
      <c r="G358" s="106"/>
      <c r="H358" s="106"/>
      <c r="I358" s="106"/>
      <c r="J358" s="154"/>
      <c r="K358" s="106"/>
      <c r="L358" s="121"/>
      <c r="M358" s="121"/>
      <c r="N358" s="106"/>
      <c r="O358" s="106"/>
      <c r="P358" s="106"/>
      <c r="Q358" s="106"/>
      <c r="R358" s="106"/>
      <c r="S358" s="106"/>
      <c r="T358" s="106"/>
      <c r="U358" s="106"/>
      <c r="V358" s="106"/>
      <c r="W358" s="106"/>
      <c r="X358" s="106"/>
      <c r="Y358" s="106"/>
    </row>
    <row r="359" spans="1:25" ht="15.75" customHeight="1">
      <c r="A359" s="106"/>
      <c r="B359" s="106"/>
      <c r="C359" s="106"/>
      <c r="D359" s="106"/>
      <c r="E359" s="106"/>
      <c r="F359" s="106"/>
      <c r="G359" s="106"/>
      <c r="H359" s="106"/>
      <c r="I359" s="106"/>
      <c r="J359" s="154"/>
      <c r="K359" s="106"/>
      <c r="L359" s="121"/>
      <c r="M359" s="121"/>
      <c r="N359" s="106"/>
      <c r="O359" s="106"/>
      <c r="P359" s="106"/>
      <c r="Q359" s="106"/>
      <c r="R359" s="106"/>
      <c r="S359" s="106"/>
      <c r="T359" s="106"/>
      <c r="U359" s="106"/>
      <c r="V359" s="106"/>
      <c r="W359" s="106"/>
      <c r="X359" s="106"/>
      <c r="Y359" s="106"/>
    </row>
    <row r="360" spans="1:25" ht="15.75" customHeight="1">
      <c r="A360" s="106"/>
      <c r="B360" s="106"/>
      <c r="C360" s="106"/>
      <c r="D360" s="106"/>
      <c r="E360" s="106"/>
      <c r="F360" s="106"/>
      <c r="G360" s="106"/>
      <c r="H360" s="106"/>
      <c r="I360" s="106"/>
      <c r="J360" s="154"/>
      <c r="K360" s="106"/>
      <c r="L360" s="121"/>
      <c r="M360" s="121"/>
      <c r="N360" s="106"/>
      <c r="O360" s="106"/>
      <c r="P360" s="106"/>
      <c r="Q360" s="106"/>
      <c r="R360" s="106"/>
      <c r="S360" s="106"/>
      <c r="T360" s="106"/>
      <c r="U360" s="106"/>
      <c r="V360" s="106"/>
      <c r="W360" s="106"/>
      <c r="X360" s="106"/>
      <c r="Y360" s="106"/>
    </row>
    <row r="361" spans="1:25" ht="15.75" customHeight="1">
      <c r="A361" s="106"/>
      <c r="B361" s="106"/>
      <c r="C361" s="106"/>
      <c r="D361" s="106"/>
      <c r="E361" s="106"/>
      <c r="F361" s="106"/>
      <c r="G361" s="106"/>
      <c r="H361" s="106"/>
      <c r="I361" s="106"/>
      <c r="J361" s="154"/>
      <c r="K361" s="106"/>
      <c r="L361" s="121"/>
      <c r="M361" s="121"/>
      <c r="N361" s="106"/>
      <c r="O361" s="106"/>
      <c r="P361" s="106"/>
      <c r="Q361" s="106"/>
      <c r="R361" s="106"/>
      <c r="S361" s="106"/>
      <c r="T361" s="106"/>
      <c r="U361" s="106"/>
      <c r="V361" s="106"/>
      <c r="W361" s="106"/>
      <c r="X361" s="106"/>
      <c r="Y361" s="106"/>
    </row>
    <row r="362" spans="1:25" ht="15.75" customHeight="1">
      <c r="A362" s="106"/>
      <c r="B362" s="106"/>
      <c r="C362" s="106"/>
      <c r="D362" s="106"/>
      <c r="E362" s="106"/>
      <c r="F362" s="106"/>
      <c r="G362" s="106"/>
      <c r="H362" s="106"/>
      <c r="I362" s="106"/>
      <c r="J362" s="154"/>
      <c r="K362" s="106"/>
      <c r="L362" s="121"/>
      <c r="M362" s="121"/>
      <c r="N362" s="106"/>
      <c r="O362" s="106"/>
      <c r="P362" s="106"/>
      <c r="Q362" s="106"/>
      <c r="R362" s="106"/>
      <c r="S362" s="106"/>
      <c r="T362" s="106"/>
      <c r="U362" s="106"/>
      <c r="V362" s="106"/>
      <c r="W362" s="106"/>
      <c r="X362" s="106"/>
      <c r="Y362" s="106"/>
    </row>
    <row r="363" spans="1:25" ht="15.75" customHeight="1">
      <c r="A363" s="106"/>
      <c r="B363" s="106"/>
      <c r="C363" s="106"/>
      <c r="D363" s="106"/>
      <c r="E363" s="106"/>
      <c r="F363" s="106"/>
      <c r="G363" s="106"/>
      <c r="H363" s="106"/>
      <c r="I363" s="106"/>
      <c r="J363" s="154"/>
      <c r="K363" s="106"/>
      <c r="L363" s="121"/>
      <c r="M363" s="121"/>
      <c r="N363" s="106"/>
      <c r="O363" s="106"/>
      <c r="P363" s="106"/>
      <c r="Q363" s="106"/>
      <c r="R363" s="106"/>
      <c r="S363" s="106"/>
      <c r="T363" s="106"/>
      <c r="U363" s="106"/>
      <c r="V363" s="106"/>
      <c r="W363" s="106"/>
      <c r="X363" s="106"/>
      <c r="Y363" s="106"/>
    </row>
    <row r="364" spans="1:25" ht="15.75" customHeight="1">
      <c r="A364" s="106"/>
      <c r="B364" s="106"/>
      <c r="C364" s="106"/>
      <c r="D364" s="106"/>
      <c r="E364" s="106"/>
      <c r="F364" s="106"/>
      <c r="G364" s="106"/>
      <c r="H364" s="106"/>
      <c r="I364" s="106"/>
      <c r="J364" s="154"/>
      <c r="K364" s="106"/>
      <c r="L364" s="121"/>
      <c r="M364" s="121"/>
      <c r="N364" s="106"/>
      <c r="O364" s="106"/>
      <c r="P364" s="106"/>
      <c r="Q364" s="106"/>
      <c r="R364" s="106"/>
      <c r="S364" s="106"/>
      <c r="T364" s="106"/>
      <c r="U364" s="106"/>
      <c r="V364" s="106"/>
      <c r="W364" s="106"/>
      <c r="X364" s="106"/>
      <c r="Y364" s="106"/>
    </row>
    <row r="365" spans="1:25" ht="15.75" customHeight="1">
      <c r="A365" s="106"/>
      <c r="B365" s="106"/>
      <c r="C365" s="106"/>
      <c r="D365" s="106"/>
      <c r="E365" s="106"/>
      <c r="F365" s="106"/>
      <c r="G365" s="106"/>
      <c r="H365" s="106"/>
      <c r="I365" s="106"/>
      <c r="J365" s="154"/>
      <c r="K365" s="106"/>
      <c r="L365" s="121"/>
      <c r="M365" s="121"/>
      <c r="N365" s="106"/>
      <c r="O365" s="106"/>
      <c r="P365" s="106"/>
      <c r="Q365" s="106"/>
      <c r="R365" s="106"/>
      <c r="S365" s="106"/>
      <c r="T365" s="106"/>
      <c r="U365" s="106"/>
      <c r="V365" s="106"/>
      <c r="W365" s="106"/>
      <c r="X365" s="106"/>
      <c r="Y365" s="106"/>
    </row>
    <row r="366" spans="1:25" ht="15.75" customHeight="1">
      <c r="A366" s="106"/>
      <c r="B366" s="106"/>
      <c r="C366" s="106"/>
      <c r="D366" s="106"/>
      <c r="E366" s="106"/>
      <c r="F366" s="106"/>
      <c r="G366" s="106"/>
      <c r="H366" s="106"/>
      <c r="I366" s="106"/>
      <c r="J366" s="154"/>
      <c r="K366" s="106"/>
      <c r="L366" s="121"/>
      <c r="M366" s="121"/>
      <c r="N366" s="106"/>
      <c r="O366" s="106"/>
      <c r="P366" s="106"/>
      <c r="Q366" s="106"/>
      <c r="R366" s="106"/>
      <c r="S366" s="106"/>
      <c r="T366" s="106"/>
      <c r="U366" s="106"/>
      <c r="V366" s="106"/>
      <c r="W366" s="106"/>
      <c r="X366" s="106"/>
      <c r="Y366" s="106"/>
    </row>
    <row r="367" spans="1:25" ht="15.75" customHeight="1">
      <c r="A367" s="106"/>
      <c r="B367" s="106"/>
      <c r="C367" s="106"/>
      <c r="D367" s="106"/>
      <c r="E367" s="106"/>
      <c r="F367" s="106"/>
      <c r="G367" s="106"/>
      <c r="H367" s="106"/>
      <c r="I367" s="106"/>
      <c r="J367" s="154"/>
      <c r="K367" s="106"/>
      <c r="L367" s="121"/>
      <c r="M367" s="121"/>
      <c r="N367" s="106"/>
      <c r="O367" s="106"/>
      <c r="P367" s="106"/>
      <c r="Q367" s="106"/>
      <c r="R367" s="106"/>
      <c r="S367" s="106"/>
      <c r="T367" s="106"/>
      <c r="U367" s="106"/>
      <c r="V367" s="106"/>
      <c r="W367" s="106"/>
      <c r="X367" s="106"/>
      <c r="Y367" s="106"/>
    </row>
    <row r="368" spans="1:25" ht="15.75" customHeight="1">
      <c r="A368" s="106"/>
      <c r="B368" s="106"/>
      <c r="C368" s="106"/>
      <c r="D368" s="106"/>
      <c r="E368" s="106"/>
      <c r="F368" s="106"/>
      <c r="G368" s="106"/>
      <c r="H368" s="106"/>
      <c r="I368" s="106"/>
      <c r="J368" s="154"/>
      <c r="K368" s="106"/>
      <c r="L368" s="121"/>
      <c r="M368" s="121"/>
      <c r="N368" s="106"/>
      <c r="O368" s="106"/>
      <c r="P368" s="106"/>
      <c r="Q368" s="106"/>
      <c r="R368" s="106"/>
      <c r="S368" s="106"/>
      <c r="T368" s="106"/>
      <c r="U368" s="106"/>
      <c r="V368" s="106"/>
      <c r="W368" s="106"/>
      <c r="X368" s="106"/>
      <c r="Y368" s="106"/>
    </row>
    <row r="369" spans="1:25" ht="15.75" customHeight="1">
      <c r="A369" s="106"/>
      <c r="B369" s="106"/>
      <c r="C369" s="106"/>
      <c r="D369" s="106"/>
      <c r="E369" s="106"/>
      <c r="F369" s="106"/>
      <c r="G369" s="106"/>
      <c r="H369" s="106"/>
      <c r="I369" s="106"/>
      <c r="J369" s="154"/>
      <c r="K369" s="106"/>
      <c r="L369" s="121"/>
      <c r="M369" s="121"/>
      <c r="N369" s="106"/>
      <c r="O369" s="106"/>
      <c r="P369" s="106"/>
      <c r="Q369" s="106"/>
      <c r="R369" s="106"/>
      <c r="S369" s="106"/>
      <c r="T369" s="106"/>
      <c r="U369" s="106"/>
      <c r="V369" s="106"/>
      <c r="W369" s="106"/>
      <c r="X369" s="106"/>
      <c r="Y369" s="106"/>
    </row>
    <row r="370" spans="1:25" ht="15.75" customHeight="1">
      <c r="A370" s="106"/>
      <c r="B370" s="106"/>
      <c r="C370" s="106"/>
      <c r="D370" s="106"/>
      <c r="E370" s="106"/>
      <c r="F370" s="106"/>
      <c r="G370" s="106"/>
      <c r="H370" s="106"/>
      <c r="I370" s="106"/>
      <c r="J370" s="154"/>
      <c r="K370" s="106"/>
      <c r="L370" s="121"/>
      <c r="M370" s="121"/>
      <c r="N370" s="106"/>
      <c r="O370" s="106"/>
      <c r="P370" s="106"/>
      <c r="Q370" s="106"/>
      <c r="R370" s="106"/>
      <c r="S370" s="106"/>
      <c r="T370" s="106"/>
      <c r="U370" s="106"/>
      <c r="V370" s="106"/>
      <c r="W370" s="106"/>
      <c r="X370" s="106"/>
      <c r="Y370" s="106"/>
    </row>
    <row r="371" spans="1:25" ht="15.75" customHeight="1">
      <c r="A371" s="106"/>
      <c r="B371" s="106"/>
      <c r="C371" s="106"/>
      <c r="D371" s="106"/>
      <c r="E371" s="106"/>
      <c r="F371" s="106"/>
      <c r="G371" s="106"/>
      <c r="H371" s="106"/>
      <c r="I371" s="106"/>
      <c r="J371" s="154"/>
      <c r="K371" s="106"/>
      <c r="L371" s="121"/>
      <c r="M371" s="121"/>
      <c r="N371" s="106"/>
      <c r="O371" s="106"/>
      <c r="P371" s="106"/>
      <c r="Q371" s="106"/>
      <c r="R371" s="106"/>
      <c r="S371" s="106"/>
      <c r="T371" s="106"/>
      <c r="U371" s="106"/>
      <c r="V371" s="106"/>
      <c r="W371" s="106"/>
      <c r="X371" s="106"/>
      <c r="Y371" s="106"/>
    </row>
    <row r="372" spans="1:25" ht="15.75" customHeight="1">
      <c r="A372" s="106"/>
      <c r="B372" s="106"/>
      <c r="C372" s="106"/>
      <c r="D372" s="106"/>
      <c r="E372" s="106"/>
      <c r="F372" s="106"/>
      <c r="G372" s="106"/>
      <c r="H372" s="106"/>
      <c r="I372" s="106"/>
      <c r="J372" s="154"/>
      <c r="K372" s="106"/>
      <c r="L372" s="121"/>
      <c r="M372" s="121"/>
      <c r="N372" s="106"/>
      <c r="O372" s="106"/>
      <c r="P372" s="106"/>
      <c r="Q372" s="106"/>
      <c r="R372" s="106"/>
      <c r="S372" s="106"/>
      <c r="T372" s="106"/>
      <c r="U372" s="106"/>
      <c r="V372" s="106"/>
      <c r="W372" s="106"/>
      <c r="X372" s="106"/>
      <c r="Y372" s="106"/>
    </row>
    <row r="373" spans="1:25" ht="15.75" customHeight="1">
      <c r="A373" s="106"/>
      <c r="B373" s="106"/>
      <c r="C373" s="106"/>
      <c r="D373" s="106"/>
      <c r="E373" s="106"/>
      <c r="F373" s="106"/>
      <c r="G373" s="106"/>
      <c r="H373" s="106"/>
      <c r="I373" s="106"/>
      <c r="J373" s="154"/>
      <c r="K373" s="106"/>
      <c r="L373" s="121"/>
      <c r="M373" s="121"/>
      <c r="N373" s="106"/>
      <c r="O373" s="106"/>
      <c r="P373" s="106"/>
      <c r="Q373" s="106"/>
      <c r="R373" s="106"/>
      <c r="S373" s="106"/>
      <c r="T373" s="106"/>
      <c r="U373" s="106"/>
      <c r="V373" s="106"/>
      <c r="W373" s="106"/>
      <c r="X373" s="106"/>
      <c r="Y373" s="106"/>
    </row>
    <row r="374" spans="1:25" ht="15.75" customHeight="1">
      <c r="A374" s="106"/>
      <c r="B374" s="106"/>
      <c r="C374" s="106"/>
      <c r="D374" s="106"/>
      <c r="E374" s="106"/>
      <c r="F374" s="106"/>
      <c r="G374" s="106"/>
      <c r="H374" s="106"/>
      <c r="I374" s="106"/>
      <c r="J374" s="154"/>
      <c r="K374" s="106"/>
      <c r="L374" s="121"/>
      <c r="M374" s="121"/>
      <c r="N374" s="106"/>
      <c r="O374" s="106"/>
      <c r="P374" s="106"/>
      <c r="Q374" s="106"/>
      <c r="R374" s="106"/>
      <c r="S374" s="106"/>
      <c r="T374" s="106"/>
      <c r="U374" s="106"/>
      <c r="V374" s="106"/>
      <c r="W374" s="106"/>
      <c r="X374" s="106"/>
      <c r="Y374" s="106"/>
    </row>
    <row r="375" spans="1:25" ht="15.75" customHeight="1">
      <c r="A375" s="106"/>
      <c r="B375" s="106"/>
      <c r="C375" s="106"/>
      <c r="D375" s="106"/>
      <c r="E375" s="106"/>
      <c r="F375" s="106"/>
      <c r="G375" s="106"/>
      <c r="H375" s="106"/>
      <c r="I375" s="106"/>
      <c r="J375" s="154"/>
      <c r="K375" s="106"/>
      <c r="L375" s="121"/>
      <c r="M375" s="121"/>
      <c r="N375" s="106"/>
      <c r="O375" s="106"/>
      <c r="P375" s="106"/>
      <c r="Q375" s="106"/>
      <c r="R375" s="106"/>
      <c r="S375" s="106"/>
      <c r="T375" s="106"/>
      <c r="U375" s="106"/>
      <c r="V375" s="106"/>
      <c r="W375" s="106"/>
      <c r="X375" s="106"/>
      <c r="Y375" s="106"/>
    </row>
    <row r="376" spans="1:25" ht="15.75" customHeight="1">
      <c r="A376" s="106"/>
      <c r="B376" s="106"/>
      <c r="C376" s="106"/>
      <c r="D376" s="106"/>
      <c r="E376" s="106"/>
      <c r="F376" s="106"/>
      <c r="G376" s="106"/>
      <c r="H376" s="106"/>
      <c r="I376" s="106"/>
      <c r="J376" s="154"/>
      <c r="K376" s="106"/>
      <c r="L376" s="121"/>
      <c r="M376" s="121"/>
      <c r="N376" s="106"/>
      <c r="O376" s="106"/>
      <c r="P376" s="106"/>
      <c r="Q376" s="106"/>
      <c r="R376" s="106"/>
      <c r="S376" s="106"/>
      <c r="T376" s="106"/>
      <c r="U376" s="106"/>
      <c r="V376" s="106"/>
      <c r="W376" s="106"/>
      <c r="X376" s="106"/>
      <c r="Y376" s="106"/>
    </row>
    <row r="377" spans="1:25" ht="15.75" customHeight="1">
      <c r="A377" s="106"/>
      <c r="B377" s="106"/>
      <c r="C377" s="106"/>
      <c r="D377" s="106"/>
      <c r="E377" s="106"/>
      <c r="F377" s="106"/>
      <c r="G377" s="106"/>
      <c r="H377" s="106"/>
      <c r="I377" s="106"/>
      <c r="J377" s="154"/>
      <c r="K377" s="106"/>
      <c r="L377" s="121"/>
      <c r="M377" s="121"/>
      <c r="N377" s="106"/>
      <c r="O377" s="106"/>
      <c r="P377" s="106"/>
      <c r="Q377" s="106"/>
      <c r="R377" s="106"/>
      <c r="S377" s="106"/>
      <c r="T377" s="106"/>
      <c r="U377" s="106"/>
      <c r="V377" s="106"/>
      <c r="W377" s="106"/>
      <c r="X377" s="106"/>
      <c r="Y377" s="106"/>
    </row>
    <row r="378" spans="1:25" ht="15.75" customHeight="1">
      <c r="A378" s="106"/>
      <c r="B378" s="106"/>
      <c r="C378" s="106"/>
      <c r="D378" s="106"/>
      <c r="E378" s="106"/>
      <c r="F378" s="106"/>
      <c r="G378" s="106"/>
      <c r="H378" s="106"/>
      <c r="I378" s="106"/>
      <c r="J378" s="154"/>
      <c r="K378" s="106"/>
      <c r="L378" s="121"/>
      <c r="M378" s="121"/>
      <c r="N378" s="106"/>
      <c r="O378" s="106"/>
      <c r="P378" s="106"/>
      <c r="Q378" s="106"/>
      <c r="R378" s="106"/>
      <c r="S378" s="106"/>
      <c r="T378" s="106"/>
      <c r="U378" s="106"/>
      <c r="V378" s="106"/>
      <c r="W378" s="106"/>
      <c r="X378" s="106"/>
      <c r="Y378" s="106"/>
    </row>
    <row r="379" spans="1:25" ht="15.75" customHeight="1">
      <c r="A379" s="106"/>
      <c r="B379" s="106"/>
      <c r="C379" s="106"/>
      <c r="D379" s="106"/>
      <c r="E379" s="106"/>
      <c r="F379" s="106"/>
      <c r="G379" s="106"/>
      <c r="H379" s="106"/>
      <c r="I379" s="106"/>
      <c r="J379" s="154"/>
      <c r="K379" s="106"/>
      <c r="L379" s="121"/>
      <c r="M379" s="121"/>
      <c r="N379" s="106"/>
      <c r="O379" s="106"/>
      <c r="P379" s="106"/>
      <c r="Q379" s="106"/>
      <c r="R379" s="106"/>
      <c r="S379" s="106"/>
      <c r="T379" s="106"/>
      <c r="U379" s="106"/>
      <c r="V379" s="106"/>
      <c r="W379" s="106"/>
      <c r="X379" s="106"/>
      <c r="Y379" s="106"/>
    </row>
    <row r="380" spans="1:25" ht="15.75" customHeight="1">
      <c r="A380" s="106"/>
      <c r="B380" s="106"/>
      <c r="C380" s="106"/>
      <c r="D380" s="106"/>
      <c r="E380" s="106"/>
      <c r="F380" s="106"/>
      <c r="G380" s="106"/>
      <c r="H380" s="106"/>
      <c r="I380" s="106"/>
      <c r="J380" s="154"/>
      <c r="K380" s="106"/>
      <c r="L380" s="121"/>
      <c r="M380" s="121"/>
      <c r="N380" s="106"/>
      <c r="O380" s="106"/>
      <c r="P380" s="106"/>
      <c r="Q380" s="106"/>
      <c r="R380" s="106"/>
      <c r="S380" s="106"/>
      <c r="T380" s="106"/>
      <c r="U380" s="106"/>
      <c r="V380" s="106"/>
      <c r="W380" s="106"/>
      <c r="X380" s="106"/>
      <c r="Y380" s="106"/>
    </row>
    <row r="381" spans="1:25" ht="15.75" customHeight="1">
      <c r="A381" s="106"/>
      <c r="B381" s="106"/>
      <c r="C381" s="106"/>
      <c r="D381" s="106"/>
      <c r="E381" s="106"/>
      <c r="F381" s="106"/>
      <c r="G381" s="106"/>
      <c r="H381" s="106"/>
      <c r="I381" s="106"/>
      <c r="J381" s="154"/>
      <c r="K381" s="106"/>
      <c r="L381" s="121"/>
      <c r="M381" s="121"/>
      <c r="N381" s="106"/>
      <c r="O381" s="106"/>
      <c r="P381" s="106"/>
      <c r="Q381" s="106"/>
      <c r="R381" s="106"/>
      <c r="S381" s="106"/>
      <c r="T381" s="106"/>
      <c r="U381" s="106"/>
      <c r="V381" s="106"/>
      <c r="W381" s="106"/>
      <c r="X381" s="106"/>
      <c r="Y381" s="106"/>
    </row>
    <row r="382" spans="1:25" ht="15.75" customHeight="1">
      <c r="A382" s="106"/>
      <c r="B382" s="106"/>
      <c r="C382" s="106"/>
      <c r="D382" s="106"/>
      <c r="E382" s="106"/>
      <c r="F382" s="106"/>
      <c r="G382" s="106"/>
      <c r="H382" s="106"/>
      <c r="I382" s="106"/>
      <c r="J382" s="154"/>
      <c r="K382" s="106"/>
      <c r="L382" s="121"/>
      <c r="M382" s="121"/>
      <c r="N382" s="106"/>
      <c r="O382" s="106"/>
      <c r="P382" s="106"/>
      <c r="Q382" s="106"/>
      <c r="R382" s="106"/>
      <c r="S382" s="106"/>
      <c r="T382" s="106"/>
      <c r="U382" s="106"/>
      <c r="V382" s="106"/>
      <c r="W382" s="106"/>
      <c r="X382" s="106"/>
      <c r="Y382" s="106"/>
    </row>
    <row r="383" spans="1:25" ht="15.75" customHeight="1">
      <c r="A383" s="106"/>
      <c r="B383" s="106"/>
      <c r="C383" s="106"/>
      <c r="D383" s="106"/>
      <c r="E383" s="106"/>
      <c r="F383" s="106"/>
      <c r="G383" s="106"/>
      <c r="H383" s="106"/>
      <c r="I383" s="106"/>
      <c r="J383" s="154"/>
      <c r="K383" s="106"/>
      <c r="L383" s="121"/>
      <c r="M383" s="121"/>
      <c r="N383" s="106"/>
      <c r="O383" s="106"/>
      <c r="P383" s="106"/>
      <c r="Q383" s="106"/>
      <c r="R383" s="106"/>
      <c r="S383" s="106"/>
      <c r="T383" s="106"/>
      <c r="U383" s="106"/>
      <c r="V383" s="106"/>
      <c r="W383" s="106"/>
      <c r="X383" s="106"/>
      <c r="Y383" s="106"/>
    </row>
    <row r="384" spans="1:25" ht="15.75" customHeight="1">
      <c r="A384" s="106"/>
      <c r="B384" s="106"/>
      <c r="C384" s="106"/>
      <c r="D384" s="106"/>
      <c r="E384" s="106"/>
      <c r="F384" s="106"/>
      <c r="G384" s="106"/>
      <c r="H384" s="106"/>
      <c r="I384" s="106"/>
      <c r="J384" s="154"/>
      <c r="K384" s="106"/>
      <c r="L384" s="121"/>
      <c r="M384" s="121"/>
      <c r="N384" s="106"/>
      <c r="O384" s="106"/>
      <c r="P384" s="106"/>
      <c r="Q384" s="106"/>
      <c r="R384" s="106"/>
      <c r="S384" s="106"/>
      <c r="T384" s="106"/>
      <c r="U384" s="106"/>
      <c r="V384" s="106"/>
      <c r="W384" s="106"/>
      <c r="X384" s="106"/>
      <c r="Y384" s="106"/>
    </row>
    <row r="385" spans="1:25" ht="15.75" customHeight="1">
      <c r="A385" s="106"/>
      <c r="B385" s="106"/>
      <c r="C385" s="106"/>
      <c r="D385" s="106"/>
      <c r="E385" s="106"/>
      <c r="F385" s="106"/>
      <c r="G385" s="106"/>
      <c r="H385" s="106"/>
      <c r="I385" s="106"/>
      <c r="J385" s="154"/>
      <c r="K385" s="106"/>
      <c r="L385" s="121"/>
      <c r="M385" s="121"/>
      <c r="N385" s="106"/>
      <c r="O385" s="106"/>
      <c r="P385" s="106"/>
      <c r="Q385" s="106"/>
      <c r="R385" s="106"/>
      <c r="S385" s="106"/>
      <c r="T385" s="106"/>
      <c r="U385" s="106"/>
      <c r="V385" s="106"/>
      <c r="W385" s="106"/>
      <c r="X385" s="106"/>
      <c r="Y385" s="106"/>
    </row>
    <row r="386" spans="1:25" ht="15.75" customHeight="1">
      <c r="A386" s="106"/>
      <c r="B386" s="106"/>
      <c r="C386" s="106"/>
      <c r="D386" s="106"/>
      <c r="E386" s="106"/>
      <c r="F386" s="106"/>
      <c r="G386" s="106"/>
      <c r="H386" s="106"/>
      <c r="I386" s="106"/>
      <c r="J386" s="154"/>
      <c r="K386" s="106"/>
      <c r="L386" s="121"/>
      <c r="M386" s="121"/>
      <c r="N386" s="106"/>
      <c r="O386" s="106"/>
      <c r="P386" s="106"/>
      <c r="Q386" s="106"/>
      <c r="R386" s="106"/>
      <c r="S386" s="106"/>
      <c r="T386" s="106"/>
      <c r="U386" s="106"/>
      <c r="V386" s="106"/>
      <c r="W386" s="106"/>
      <c r="X386" s="106"/>
      <c r="Y386" s="106"/>
    </row>
    <row r="387" spans="1:25" ht="15.75" customHeight="1">
      <c r="A387" s="106"/>
      <c r="B387" s="106"/>
      <c r="C387" s="106"/>
      <c r="D387" s="106"/>
      <c r="E387" s="106"/>
      <c r="F387" s="106"/>
      <c r="G387" s="106"/>
      <c r="H387" s="106"/>
      <c r="I387" s="106"/>
      <c r="J387" s="154"/>
      <c r="K387" s="106"/>
      <c r="L387" s="121"/>
      <c r="M387" s="121"/>
      <c r="N387" s="106"/>
      <c r="O387" s="106"/>
      <c r="P387" s="106"/>
      <c r="Q387" s="106"/>
      <c r="R387" s="106"/>
      <c r="S387" s="106"/>
      <c r="T387" s="106"/>
      <c r="U387" s="106"/>
      <c r="V387" s="106"/>
      <c r="W387" s="106"/>
      <c r="X387" s="106"/>
      <c r="Y387" s="106"/>
    </row>
    <row r="388" spans="1:25" ht="15.75" customHeight="1">
      <c r="A388" s="106"/>
      <c r="B388" s="106"/>
      <c r="C388" s="106"/>
      <c r="D388" s="106"/>
      <c r="E388" s="106"/>
      <c r="F388" s="106"/>
      <c r="G388" s="106"/>
      <c r="H388" s="106"/>
      <c r="I388" s="106"/>
      <c r="J388" s="154"/>
      <c r="K388" s="106"/>
      <c r="L388" s="121"/>
      <c r="M388" s="121"/>
      <c r="N388" s="106"/>
      <c r="O388" s="106"/>
      <c r="P388" s="106"/>
      <c r="Q388" s="106"/>
      <c r="R388" s="106"/>
      <c r="S388" s="106"/>
      <c r="T388" s="106"/>
      <c r="U388" s="106"/>
      <c r="V388" s="106"/>
      <c r="W388" s="106"/>
      <c r="X388" s="106"/>
      <c r="Y388" s="106"/>
    </row>
    <row r="389" spans="1:25" ht="15.75" customHeight="1">
      <c r="A389" s="106"/>
      <c r="B389" s="106"/>
      <c r="C389" s="106"/>
      <c r="D389" s="106"/>
      <c r="E389" s="106"/>
      <c r="F389" s="106"/>
      <c r="G389" s="106"/>
      <c r="H389" s="106"/>
      <c r="I389" s="106"/>
      <c r="J389" s="154"/>
      <c r="K389" s="106"/>
      <c r="L389" s="121"/>
      <c r="M389" s="121"/>
      <c r="N389" s="106"/>
      <c r="O389" s="106"/>
      <c r="P389" s="106"/>
      <c r="Q389" s="106"/>
      <c r="R389" s="106"/>
      <c r="S389" s="106"/>
      <c r="T389" s="106"/>
      <c r="U389" s="106"/>
      <c r="V389" s="106"/>
      <c r="W389" s="106"/>
      <c r="X389" s="106"/>
      <c r="Y389" s="106"/>
    </row>
    <row r="390" spans="1:25" ht="15.75" customHeight="1">
      <c r="A390" s="106"/>
      <c r="B390" s="106"/>
      <c r="C390" s="106"/>
      <c r="D390" s="106"/>
      <c r="E390" s="106"/>
      <c r="F390" s="106"/>
      <c r="G390" s="106"/>
      <c r="H390" s="106"/>
      <c r="I390" s="106"/>
      <c r="J390" s="154"/>
      <c r="K390" s="106"/>
      <c r="L390" s="121"/>
      <c r="M390" s="121"/>
      <c r="N390" s="106"/>
      <c r="O390" s="106"/>
      <c r="P390" s="106"/>
      <c r="Q390" s="106"/>
      <c r="R390" s="106"/>
      <c r="S390" s="106"/>
      <c r="T390" s="106"/>
      <c r="U390" s="106"/>
      <c r="V390" s="106"/>
      <c r="W390" s="106"/>
      <c r="X390" s="106"/>
      <c r="Y390" s="106"/>
    </row>
    <row r="391" spans="1:25" ht="15.75" customHeight="1">
      <c r="A391" s="106"/>
      <c r="B391" s="106"/>
      <c r="C391" s="106"/>
      <c r="D391" s="106"/>
      <c r="E391" s="106"/>
      <c r="F391" s="106"/>
      <c r="G391" s="106"/>
      <c r="H391" s="106"/>
      <c r="I391" s="106"/>
      <c r="J391" s="154"/>
      <c r="K391" s="106"/>
      <c r="L391" s="121"/>
      <c r="M391" s="121"/>
      <c r="N391" s="106"/>
      <c r="O391" s="106"/>
      <c r="P391" s="106"/>
      <c r="Q391" s="106"/>
      <c r="R391" s="106"/>
      <c r="S391" s="106"/>
      <c r="T391" s="106"/>
      <c r="U391" s="106"/>
      <c r="V391" s="106"/>
      <c r="W391" s="106"/>
      <c r="X391" s="106"/>
      <c r="Y391" s="106"/>
    </row>
    <row r="392" spans="1:25" ht="15.75" customHeight="1">
      <c r="A392" s="106"/>
      <c r="B392" s="106"/>
      <c r="C392" s="106"/>
      <c r="D392" s="106"/>
      <c r="E392" s="106"/>
      <c r="F392" s="106"/>
      <c r="G392" s="106"/>
      <c r="H392" s="106"/>
      <c r="I392" s="106"/>
      <c r="J392" s="154"/>
      <c r="K392" s="106"/>
      <c r="L392" s="121"/>
      <c r="M392" s="121"/>
      <c r="N392" s="106"/>
      <c r="O392" s="106"/>
      <c r="P392" s="106"/>
      <c r="Q392" s="106"/>
      <c r="R392" s="106"/>
      <c r="S392" s="106"/>
      <c r="T392" s="106"/>
      <c r="U392" s="106"/>
      <c r="V392" s="106"/>
      <c r="W392" s="106"/>
      <c r="X392" s="106"/>
      <c r="Y392" s="106"/>
    </row>
    <row r="393" spans="1:25" ht="15.75" customHeight="1">
      <c r="A393" s="106"/>
      <c r="B393" s="106"/>
      <c r="C393" s="106"/>
      <c r="D393" s="106"/>
      <c r="E393" s="106"/>
      <c r="F393" s="106"/>
      <c r="G393" s="106"/>
      <c r="H393" s="106"/>
      <c r="I393" s="106"/>
      <c r="J393" s="154"/>
      <c r="K393" s="106"/>
      <c r="L393" s="121"/>
      <c r="M393" s="121"/>
      <c r="N393" s="106"/>
      <c r="O393" s="106"/>
      <c r="P393" s="106"/>
      <c r="Q393" s="106"/>
      <c r="R393" s="106"/>
      <c r="S393" s="106"/>
      <c r="T393" s="106"/>
      <c r="U393" s="106"/>
      <c r="V393" s="106"/>
      <c r="W393" s="106"/>
      <c r="X393" s="106"/>
      <c r="Y393" s="106"/>
    </row>
    <row r="394" spans="1:25" ht="15.75" customHeight="1">
      <c r="A394" s="106"/>
      <c r="B394" s="106"/>
      <c r="C394" s="106"/>
      <c r="D394" s="106"/>
      <c r="E394" s="106"/>
      <c r="F394" s="106"/>
      <c r="G394" s="106"/>
      <c r="H394" s="106"/>
      <c r="I394" s="106"/>
      <c r="J394" s="154"/>
      <c r="K394" s="106"/>
      <c r="L394" s="121"/>
      <c r="M394" s="121"/>
      <c r="N394" s="106"/>
      <c r="O394" s="106"/>
      <c r="P394" s="106"/>
      <c r="Q394" s="106"/>
      <c r="R394" s="106"/>
      <c r="S394" s="106"/>
      <c r="T394" s="106"/>
      <c r="U394" s="106"/>
      <c r="V394" s="106"/>
      <c r="W394" s="106"/>
      <c r="X394" s="106"/>
      <c r="Y394" s="106"/>
    </row>
    <row r="395" spans="1:25" ht="15.75" customHeight="1">
      <c r="A395" s="106"/>
      <c r="B395" s="106"/>
      <c r="C395" s="106"/>
      <c r="D395" s="106"/>
      <c r="E395" s="106"/>
      <c r="F395" s="106"/>
      <c r="G395" s="106"/>
      <c r="H395" s="106"/>
      <c r="I395" s="106"/>
      <c r="J395" s="154"/>
      <c r="K395" s="106"/>
      <c r="L395" s="121"/>
      <c r="M395" s="121"/>
      <c r="N395" s="106"/>
      <c r="O395" s="106"/>
      <c r="P395" s="106"/>
      <c r="Q395" s="106"/>
      <c r="R395" s="106"/>
      <c r="S395" s="106"/>
      <c r="T395" s="106"/>
      <c r="U395" s="106"/>
      <c r="V395" s="106"/>
      <c r="W395" s="106"/>
      <c r="X395" s="106"/>
      <c r="Y395" s="106"/>
    </row>
    <row r="396" spans="1:25" ht="15.75" customHeight="1">
      <c r="A396" s="106"/>
      <c r="B396" s="106"/>
      <c r="C396" s="106"/>
      <c r="D396" s="106"/>
      <c r="E396" s="106"/>
      <c r="F396" s="106"/>
      <c r="G396" s="106"/>
      <c r="H396" s="106"/>
      <c r="I396" s="106"/>
      <c r="J396" s="154"/>
      <c r="K396" s="106"/>
      <c r="L396" s="121"/>
      <c r="M396" s="121"/>
      <c r="N396" s="106"/>
      <c r="O396" s="106"/>
      <c r="P396" s="106"/>
      <c r="Q396" s="106"/>
      <c r="R396" s="106"/>
      <c r="S396" s="106"/>
      <c r="T396" s="106"/>
      <c r="U396" s="106"/>
      <c r="V396" s="106"/>
      <c r="W396" s="106"/>
      <c r="X396" s="106"/>
      <c r="Y396" s="106"/>
    </row>
    <row r="397" spans="1:25" ht="15.75" customHeight="1">
      <c r="A397" s="106"/>
      <c r="B397" s="106"/>
      <c r="C397" s="106"/>
      <c r="D397" s="106"/>
      <c r="E397" s="106"/>
      <c r="F397" s="106"/>
      <c r="G397" s="106"/>
      <c r="H397" s="106"/>
      <c r="I397" s="106"/>
      <c r="J397" s="154"/>
      <c r="K397" s="106"/>
      <c r="L397" s="121"/>
      <c r="M397" s="121"/>
      <c r="N397" s="106"/>
      <c r="O397" s="106"/>
      <c r="P397" s="106"/>
      <c r="Q397" s="106"/>
      <c r="R397" s="106"/>
      <c r="S397" s="106"/>
      <c r="T397" s="106"/>
      <c r="U397" s="106"/>
      <c r="V397" s="106"/>
      <c r="W397" s="106"/>
      <c r="X397" s="106"/>
      <c r="Y397" s="106"/>
    </row>
    <row r="398" spans="1:25" ht="15.75" customHeight="1">
      <c r="A398" s="106"/>
      <c r="B398" s="106"/>
      <c r="C398" s="106"/>
      <c r="D398" s="106"/>
      <c r="E398" s="106"/>
      <c r="F398" s="106"/>
      <c r="G398" s="106"/>
      <c r="H398" s="106"/>
      <c r="I398" s="106"/>
      <c r="J398" s="154"/>
      <c r="K398" s="106"/>
      <c r="L398" s="121"/>
      <c r="M398" s="121"/>
      <c r="N398" s="106"/>
      <c r="O398" s="106"/>
      <c r="P398" s="106"/>
      <c r="Q398" s="106"/>
      <c r="R398" s="106"/>
      <c r="S398" s="106"/>
      <c r="T398" s="106"/>
      <c r="U398" s="106"/>
      <c r="V398" s="106"/>
      <c r="W398" s="106"/>
      <c r="X398" s="106"/>
      <c r="Y398" s="106"/>
    </row>
    <row r="399" spans="1:25" ht="15.75" customHeight="1">
      <c r="A399" s="106"/>
      <c r="B399" s="106"/>
      <c r="C399" s="106"/>
      <c r="D399" s="106"/>
      <c r="E399" s="106"/>
      <c r="F399" s="106"/>
      <c r="G399" s="106"/>
      <c r="H399" s="106"/>
      <c r="I399" s="106"/>
      <c r="J399" s="154"/>
      <c r="K399" s="106"/>
      <c r="L399" s="121"/>
      <c r="M399" s="121"/>
      <c r="N399" s="106"/>
      <c r="O399" s="106"/>
      <c r="P399" s="106"/>
      <c r="Q399" s="106"/>
      <c r="R399" s="106"/>
      <c r="S399" s="106"/>
      <c r="T399" s="106"/>
      <c r="U399" s="106"/>
      <c r="V399" s="106"/>
      <c r="W399" s="106"/>
      <c r="X399" s="106"/>
      <c r="Y399" s="106"/>
    </row>
    <row r="400" spans="1:25" ht="15.75" customHeight="1">
      <c r="A400" s="106"/>
      <c r="B400" s="106"/>
      <c r="C400" s="106"/>
      <c r="D400" s="106"/>
      <c r="E400" s="106"/>
      <c r="F400" s="106"/>
      <c r="G400" s="106"/>
      <c r="H400" s="106"/>
      <c r="I400" s="106"/>
      <c r="J400" s="154"/>
      <c r="K400" s="106"/>
      <c r="L400" s="121"/>
      <c r="M400" s="121"/>
      <c r="N400" s="106"/>
      <c r="O400" s="106"/>
      <c r="P400" s="106"/>
      <c r="Q400" s="106"/>
      <c r="R400" s="106"/>
      <c r="S400" s="106"/>
      <c r="T400" s="106"/>
      <c r="U400" s="106"/>
      <c r="V400" s="106"/>
      <c r="W400" s="106"/>
      <c r="X400" s="106"/>
      <c r="Y400" s="106"/>
    </row>
    <row r="401" spans="1:25" ht="15.75" customHeight="1">
      <c r="A401" s="106"/>
      <c r="B401" s="106"/>
      <c r="C401" s="106"/>
      <c r="D401" s="106"/>
      <c r="E401" s="106"/>
      <c r="F401" s="106"/>
      <c r="G401" s="106"/>
      <c r="H401" s="106"/>
      <c r="I401" s="106"/>
      <c r="J401" s="154"/>
      <c r="K401" s="106"/>
      <c r="L401" s="121"/>
      <c r="M401" s="121"/>
      <c r="N401" s="106"/>
      <c r="O401" s="106"/>
      <c r="P401" s="106"/>
      <c r="Q401" s="106"/>
      <c r="R401" s="106"/>
      <c r="S401" s="106"/>
      <c r="T401" s="106"/>
      <c r="U401" s="106"/>
      <c r="V401" s="106"/>
      <c r="W401" s="106"/>
      <c r="X401" s="106"/>
      <c r="Y401" s="106"/>
    </row>
    <row r="402" spans="1:25" ht="15.75" customHeight="1">
      <c r="A402" s="106"/>
      <c r="B402" s="106"/>
      <c r="C402" s="106"/>
      <c r="D402" s="106"/>
      <c r="E402" s="106"/>
      <c r="F402" s="106"/>
      <c r="G402" s="106"/>
      <c r="H402" s="106"/>
      <c r="I402" s="106"/>
      <c r="J402" s="154"/>
      <c r="K402" s="106"/>
      <c r="L402" s="121"/>
      <c r="M402" s="121"/>
      <c r="N402" s="106"/>
      <c r="O402" s="106"/>
      <c r="P402" s="106"/>
      <c r="Q402" s="106"/>
      <c r="R402" s="106"/>
      <c r="S402" s="106"/>
      <c r="T402" s="106"/>
      <c r="U402" s="106"/>
      <c r="V402" s="106"/>
      <c r="W402" s="106"/>
      <c r="X402" s="106"/>
      <c r="Y402" s="106"/>
    </row>
    <row r="403" spans="1:25" ht="15.75" customHeight="1">
      <c r="A403" s="106"/>
      <c r="B403" s="106"/>
      <c r="C403" s="106"/>
      <c r="D403" s="106"/>
      <c r="E403" s="106"/>
      <c r="F403" s="106"/>
      <c r="G403" s="106"/>
      <c r="H403" s="106"/>
      <c r="I403" s="106"/>
      <c r="J403" s="154"/>
      <c r="K403" s="106"/>
      <c r="L403" s="121"/>
      <c r="M403" s="121"/>
      <c r="N403" s="106"/>
      <c r="O403" s="106"/>
      <c r="P403" s="106"/>
      <c r="Q403" s="106"/>
      <c r="R403" s="106"/>
      <c r="S403" s="106"/>
      <c r="T403" s="106"/>
      <c r="U403" s="106"/>
      <c r="V403" s="106"/>
      <c r="W403" s="106"/>
      <c r="X403" s="106"/>
      <c r="Y403" s="106"/>
    </row>
    <row r="404" spans="1:25" ht="15.75" customHeight="1">
      <c r="A404" s="106"/>
      <c r="B404" s="106"/>
      <c r="C404" s="106"/>
      <c r="D404" s="106"/>
      <c r="E404" s="106"/>
      <c r="F404" s="106"/>
      <c r="G404" s="106"/>
      <c r="H404" s="106"/>
      <c r="I404" s="106"/>
      <c r="J404" s="154"/>
      <c r="K404" s="106"/>
      <c r="L404" s="121"/>
      <c r="M404" s="121"/>
      <c r="N404" s="106"/>
      <c r="O404" s="106"/>
      <c r="P404" s="106"/>
      <c r="Q404" s="106"/>
      <c r="R404" s="106"/>
      <c r="S404" s="106"/>
      <c r="T404" s="106"/>
      <c r="U404" s="106"/>
      <c r="V404" s="106"/>
      <c r="W404" s="106"/>
      <c r="X404" s="106"/>
      <c r="Y404" s="106"/>
    </row>
    <row r="405" spans="1:25" ht="15.75" customHeight="1">
      <c r="A405" s="106"/>
      <c r="B405" s="106"/>
      <c r="C405" s="106"/>
      <c r="D405" s="106"/>
      <c r="E405" s="106"/>
      <c r="F405" s="106"/>
      <c r="G405" s="106"/>
      <c r="H405" s="106"/>
      <c r="I405" s="106"/>
      <c r="J405" s="154"/>
      <c r="K405" s="106"/>
      <c r="L405" s="121"/>
      <c r="M405" s="121"/>
      <c r="N405" s="106"/>
      <c r="O405" s="106"/>
      <c r="P405" s="106"/>
      <c r="Q405" s="106"/>
      <c r="R405" s="106"/>
      <c r="S405" s="106"/>
      <c r="T405" s="106"/>
      <c r="U405" s="106"/>
      <c r="V405" s="106"/>
      <c r="W405" s="106"/>
      <c r="X405" s="106"/>
      <c r="Y405" s="106"/>
    </row>
    <row r="406" spans="1:25" ht="15.75" customHeight="1">
      <c r="A406" s="106"/>
      <c r="B406" s="106"/>
      <c r="C406" s="106"/>
      <c r="D406" s="106"/>
      <c r="E406" s="106"/>
      <c r="F406" s="106"/>
      <c r="G406" s="106"/>
      <c r="H406" s="106"/>
      <c r="I406" s="106"/>
      <c r="J406" s="154"/>
      <c r="K406" s="106"/>
      <c r="L406" s="121"/>
      <c r="M406" s="121"/>
      <c r="N406" s="106"/>
      <c r="O406" s="106"/>
      <c r="P406" s="106"/>
      <c r="Q406" s="106"/>
      <c r="R406" s="106"/>
      <c r="S406" s="106"/>
      <c r="T406" s="106"/>
      <c r="U406" s="106"/>
      <c r="V406" s="106"/>
      <c r="W406" s="106"/>
      <c r="X406" s="106"/>
      <c r="Y406" s="106"/>
    </row>
    <row r="407" spans="1:25" ht="15.75" customHeight="1">
      <c r="A407" s="106"/>
      <c r="B407" s="106"/>
      <c r="C407" s="106"/>
      <c r="D407" s="106"/>
      <c r="E407" s="106"/>
      <c r="F407" s="106"/>
      <c r="G407" s="106"/>
      <c r="H407" s="106"/>
      <c r="I407" s="106"/>
      <c r="J407" s="154"/>
      <c r="K407" s="106"/>
      <c r="L407" s="121"/>
      <c r="M407" s="121"/>
      <c r="N407" s="106"/>
      <c r="O407" s="106"/>
      <c r="P407" s="106"/>
      <c r="Q407" s="106"/>
      <c r="R407" s="106"/>
      <c r="S407" s="106"/>
      <c r="T407" s="106"/>
      <c r="U407" s="106"/>
      <c r="V407" s="106"/>
      <c r="W407" s="106"/>
      <c r="X407" s="106"/>
      <c r="Y407" s="106"/>
    </row>
    <row r="408" spans="1:25" ht="15.75" customHeight="1">
      <c r="A408" s="106"/>
      <c r="B408" s="106"/>
      <c r="C408" s="106"/>
      <c r="D408" s="106"/>
      <c r="E408" s="106"/>
      <c r="F408" s="106"/>
      <c r="G408" s="106"/>
      <c r="H408" s="106"/>
      <c r="I408" s="106"/>
      <c r="J408" s="154"/>
      <c r="K408" s="106"/>
      <c r="L408" s="121"/>
      <c r="M408" s="121"/>
      <c r="N408" s="106"/>
      <c r="O408" s="106"/>
      <c r="P408" s="106"/>
      <c r="Q408" s="106"/>
      <c r="R408" s="106"/>
      <c r="S408" s="106"/>
      <c r="T408" s="106"/>
      <c r="U408" s="106"/>
      <c r="V408" s="106"/>
      <c r="W408" s="106"/>
      <c r="X408" s="106"/>
      <c r="Y408" s="106"/>
    </row>
    <row r="409" spans="1:25" ht="15.75" customHeight="1">
      <c r="A409" s="106"/>
      <c r="B409" s="106"/>
      <c r="C409" s="106"/>
      <c r="D409" s="106"/>
      <c r="E409" s="106"/>
      <c r="F409" s="106"/>
      <c r="G409" s="106"/>
      <c r="H409" s="106"/>
      <c r="I409" s="106"/>
      <c r="J409" s="154"/>
      <c r="K409" s="106"/>
      <c r="L409" s="121"/>
      <c r="M409" s="121"/>
      <c r="N409" s="106"/>
      <c r="O409" s="106"/>
      <c r="P409" s="106"/>
      <c r="Q409" s="106"/>
      <c r="R409" s="106"/>
      <c r="S409" s="106"/>
      <c r="T409" s="106"/>
      <c r="U409" s="106"/>
      <c r="V409" s="106"/>
      <c r="W409" s="106"/>
      <c r="X409" s="106"/>
      <c r="Y409" s="106"/>
    </row>
    <row r="410" spans="1:25" ht="15.75" customHeight="1">
      <c r="A410" s="106"/>
      <c r="B410" s="106"/>
      <c r="C410" s="106"/>
      <c r="D410" s="106"/>
      <c r="E410" s="106"/>
      <c r="F410" s="106"/>
      <c r="G410" s="106"/>
      <c r="H410" s="106"/>
      <c r="I410" s="106"/>
      <c r="J410" s="154"/>
      <c r="K410" s="106"/>
      <c r="L410" s="121"/>
      <c r="M410" s="121"/>
      <c r="N410" s="106"/>
      <c r="O410" s="106"/>
      <c r="P410" s="106"/>
      <c r="Q410" s="106"/>
      <c r="R410" s="106"/>
      <c r="S410" s="106"/>
      <c r="T410" s="106"/>
      <c r="U410" s="106"/>
      <c r="V410" s="106"/>
      <c r="W410" s="106"/>
      <c r="X410" s="106"/>
      <c r="Y410" s="106"/>
    </row>
    <row r="411" spans="1:25" ht="15.75" customHeight="1">
      <c r="A411" s="106"/>
      <c r="B411" s="106"/>
      <c r="C411" s="106"/>
      <c r="D411" s="106"/>
      <c r="E411" s="106"/>
      <c r="F411" s="106"/>
      <c r="G411" s="106"/>
      <c r="H411" s="106"/>
      <c r="I411" s="106"/>
      <c r="J411" s="154"/>
      <c r="K411" s="106"/>
      <c r="L411" s="121"/>
      <c r="M411" s="121"/>
      <c r="N411" s="106"/>
      <c r="O411" s="106"/>
      <c r="P411" s="106"/>
      <c r="Q411" s="106"/>
      <c r="R411" s="106"/>
      <c r="S411" s="106"/>
      <c r="T411" s="106"/>
      <c r="U411" s="106"/>
      <c r="V411" s="106"/>
      <c r="W411" s="106"/>
      <c r="X411" s="106"/>
      <c r="Y411" s="106"/>
    </row>
    <row r="412" spans="1:25" ht="15.75" customHeight="1">
      <c r="A412" s="106"/>
      <c r="B412" s="106"/>
      <c r="C412" s="106"/>
      <c r="D412" s="106"/>
      <c r="E412" s="106"/>
      <c r="F412" s="106"/>
      <c r="G412" s="106"/>
      <c r="H412" s="106"/>
      <c r="I412" s="106"/>
      <c r="J412" s="154"/>
      <c r="K412" s="106"/>
      <c r="L412" s="121"/>
      <c r="M412" s="121"/>
      <c r="N412" s="106"/>
      <c r="O412" s="106"/>
      <c r="P412" s="106"/>
      <c r="Q412" s="106"/>
      <c r="R412" s="106"/>
      <c r="S412" s="106"/>
      <c r="T412" s="106"/>
      <c r="U412" s="106"/>
      <c r="V412" s="106"/>
      <c r="W412" s="106"/>
      <c r="X412" s="106"/>
      <c r="Y412" s="106"/>
    </row>
    <row r="413" spans="1:25" ht="15.75" customHeight="1">
      <c r="A413" s="106"/>
      <c r="B413" s="106"/>
      <c r="C413" s="106"/>
      <c r="D413" s="106"/>
      <c r="E413" s="106"/>
      <c r="F413" s="106"/>
      <c r="G413" s="106"/>
      <c r="H413" s="106"/>
      <c r="I413" s="106"/>
      <c r="J413" s="154"/>
      <c r="K413" s="106"/>
      <c r="L413" s="121"/>
      <c r="M413" s="121"/>
      <c r="N413" s="106"/>
      <c r="O413" s="106"/>
      <c r="P413" s="106"/>
      <c r="Q413" s="106"/>
      <c r="R413" s="106"/>
      <c r="S413" s="106"/>
      <c r="T413" s="106"/>
      <c r="U413" s="106"/>
      <c r="V413" s="106"/>
      <c r="W413" s="106"/>
      <c r="X413" s="106"/>
      <c r="Y413" s="106"/>
    </row>
    <row r="414" spans="1:25" ht="15.75" customHeight="1">
      <c r="A414" s="106"/>
      <c r="B414" s="106"/>
      <c r="C414" s="106"/>
      <c r="D414" s="106"/>
      <c r="E414" s="106"/>
      <c r="F414" s="106"/>
      <c r="G414" s="106"/>
      <c r="H414" s="106"/>
      <c r="I414" s="106"/>
      <c r="J414" s="154"/>
      <c r="K414" s="106"/>
      <c r="L414" s="121"/>
      <c r="M414" s="121"/>
      <c r="N414" s="106"/>
      <c r="O414" s="106"/>
      <c r="P414" s="106"/>
      <c r="Q414" s="106"/>
      <c r="R414" s="106"/>
      <c r="S414" s="106"/>
      <c r="T414" s="106"/>
      <c r="U414" s="106"/>
      <c r="V414" s="106"/>
      <c r="W414" s="106"/>
      <c r="X414" s="106"/>
      <c r="Y414" s="106"/>
    </row>
    <row r="415" spans="1:25" ht="15.75" customHeight="1">
      <c r="A415" s="106"/>
      <c r="B415" s="106"/>
      <c r="C415" s="106"/>
      <c r="D415" s="106"/>
      <c r="E415" s="106"/>
      <c r="F415" s="106"/>
      <c r="G415" s="106"/>
      <c r="H415" s="106"/>
      <c r="I415" s="106"/>
      <c r="J415" s="154"/>
      <c r="K415" s="106"/>
      <c r="L415" s="121"/>
      <c r="M415" s="121"/>
      <c r="N415" s="106"/>
      <c r="O415" s="106"/>
      <c r="P415" s="106"/>
      <c r="Q415" s="106"/>
      <c r="R415" s="106"/>
      <c r="S415" s="106"/>
      <c r="T415" s="106"/>
      <c r="U415" s="106"/>
      <c r="V415" s="106"/>
      <c r="W415" s="106"/>
      <c r="X415" s="106"/>
      <c r="Y415" s="106"/>
    </row>
    <row r="416" spans="1:25" ht="15.75" customHeight="1">
      <c r="A416" s="106"/>
      <c r="B416" s="106"/>
      <c r="C416" s="106"/>
      <c r="D416" s="106"/>
      <c r="E416" s="106"/>
      <c r="F416" s="106"/>
      <c r="G416" s="106"/>
      <c r="H416" s="106"/>
      <c r="I416" s="106"/>
      <c r="J416" s="154"/>
      <c r="K416" s="106"/>
      <c r="L416" s="121"/>
      <c r="M416" s="121"/>
      <c r="N416" s="106"/>
      <c r="O416" s="106"/>
      <c r="P416" s="106"/>
      <c r="Q416" s="106"/>
      <c r="R416" s="106"/>
      <c r="S416" s="106"/>
      <c r="T416" s="106"/>
      <c r="U416" s="106"/>
      <c r="V416" s="106"/>
      <c r="W416" s="106"/>
      <c r="X416" s="106"/>
      <c r="Y416" s="106"/>
    </row>
    <row r="417" spans="1:25" ht="15.75" customHeight="1">
      <c r="A417" s="106"/>
      <c r="B417" s="106"/>
      <c r="C417" s="106"/>
      <c r="D417" s="106"/>
      <c r="E417" s="106"/>
      <c r="F417" s="106"/>
      <c r="G417" s="106"/>
      <c r="H417" s="106"/>
      <c r="I417" s="106"/>
      <c r="J417" s="154"/>
      <c r="K417" s="106"/>
      <c r="L417" s="121"/>
      <c r="M417" s="121"/>
      <c r="N417" s="106"/>
      <c r="O417" s="106"/>
      <c r="P417" s="106"/>
      <c r="Q417" s="106"/>
      <c r="R417" s="106"/>
      <c r="S417" s="106"/>
      <c r="T417" s="106"/>
      <c r="U417" s="106"/>
      <c r="V417" s="106"/>
      <c r="W417" s="106"/>
      <c r="X417" s="106"/>
      <c r="Y417" s="106"/>
    </row>
    <row r="418" spans="1:25" ht="15.75" customHeight="1">
      <c r="A418" s="106"/>
      <c r="B418" s="106"/>
      <c r="C418" s="106"/>
      <c r="D418" s="106"/>
      <c r="E418" s="106"/>
      <c r="F418" s="106"/>
      <c r="G418" s="106"/>
      <c r="H418" s="106"/>
      <c r="I418" s="106"/>
      <c r="J418" s="154"/>
      <c r="K418" s="106"/>
      <c r="L418" s="121"/>
      <c r="M418" s="121"/>
      <c r="N418" s="106"/>
      <c r="O418" s="106"/>
      <c r="P418" s="106"/>
      <c r="Q418" s="106"/>
      <c r="R418" s="106"/>
      <c r="S418" s="106"/>
      <c r="T418" s="106"/>
      <c r="U418" s="106"/>
      <c r="V418" s="106"/>
      <c r="W418" s="106"/>
      <c r="X418" s="106"/>
      <c r="Y418" s="106"/>
    </row>
    <row r="419" spans="1:25" ht="15.75" customHeight="1">
      <c r="A419" s="106"/>
      <c r="B419" s="106"/>
      <c r="C419" s="106"/>
      <c r="D419" s="106"/>
      <c r="E419" s="106"/>
      <c r="F419" s="106"/>
      <c r="G419" s="106"/>
      <c r="H419" s="106"/>
      <c r="I419" s="106"/>
      <c r="J419" s="154"/>
      <c r="K419" s="106"/>
      <c r="L419" s="121"/>
      <c r="M419" s="121"/>
      <c r="N419" s="106"/>
      <c r="O419" s="106"/>
      <c r="P419" s="106"/>
      <c r="Q419" s="106"/>
      <c r="R419" s="106"/>
      <c r="S419" s="106"/>
      <c r="T419" s="106"/>
      <c r="U419" s="106"/>
      <c r="V419" s="106"/>
      <c r="W419" s="106"/>
      <c r="X419" s="106"/>
      <c r="Y419" s="106"/>
    </row>
    <row r="420" spans="1:25" ht="15.75" customHeight="1">
      <c r="A420" s="106"/>
      <c r="B420" s="106"/>
      <c r="C420" s="106"/>
      <c r="D420" s="106"/>
      <c r="E420" s="106"/>
      <c r="F420" s="106"/>
      <c r="G420" s="106"/>
      <c r="H420" s="106"/>
      <c r="I420" s="106"/>
      <c r="J420" s="154"/>
      <c r="K420" s="106"/>
      <c r="L420" s="121"/>
      <c r="M420" s="121"/>
      <c r="N420" s="106"/>
      <c r="O420" s="106"/>
      <c r="P420" s="106"/>
      <c r="Q420" s="106"/>
      <c r="R420" s="106"/>
      <c r="S420" s="106"/>
      <c r="T420" s="106"/>
      <c r="U420" s="106"/>
      <c r="V420" s="106"/>
      <c r="W420" s="106"/>
      <c r="X420" s="106"/>
      <c r="Y420" s="106"/>
    </row>
    <row r="421" spans="1:25" ht="15.75" customHeight="1">
      <c r="A421" s="106"/>
      <c r="B421" s="106"/>
      <c r="C421" s="106"/>
      <c r="D421" s="106"/>
      <c r="E421" s="106"/>
      <c r="F421" s="106"/>
      <c r="G421" s="106"/>
      <c r="H421" s="106"/>
      <c r="I421" s="106"/>
      <c r="J421" s="154"/>
      <c r="K421" s="106"/>
      <c r="L421" s="121"/>
      <c r="M421" s="121"/>
      <c r="N421" s="106"/>
      <c r="O421" s="106"/>
      <c r="P421" s="106"/>
      <c r="Q421" s="106"/>
      <c r="R421" s="106"/>
      <c r="S421" s="106"/>
      <c r="T421" s="106"/>
      <c r="U421" s="106"/>
      <c r="V421" s="106"/>
      <c r="W421" s="106"/>
      <c r="X421" s="106"/>
      <c r="Y421" s="106"/>
    </row>
    <row r="422" spans="1:25" ht="15.75" customHeight="1">
      <c r="A422" s="106"/>
      <c r="B422" s="106"/>
      <c r="C422" s="106"/>
      <c r="D422" s="106"/>
      <c r="E422" s="106"/>
      <c r="F422" s="106"/>
      <c r="G422" s="106"/>
      <c r="H422" s="106"/>
      <c r="I422" s="106"/>
      <c r="J422" s="154"/>
      <c r="K422" s="106"/>
      <c r="L422" s="121"/>
      <c r="M422" s="121"/>
      <c r="N422" s="106"/>
      <c r="O422" s="106"/>
      <c r="P422" s="106"/>
      <c r="Q422" s="106"/>
      <c r="R422" s="106"/>
      <c r="S422" s="106"/>
      <c r="T422" s="106"/>
      <c r="U422" s="106"/>
      <c r="V422" s="106"/>
      <c r="W422" s="106"/>
      <c r="X422" s="106"/>
      <c r="Y422" s="106"/>
    </row>
    <row r="423" spans="1:25" ht="15.75" customHeight="1">
      <c r="A423" s="106"/>
      <c r="B423" s="106"/>
      <c r="C423" s="106"/>
      <c r="D423" s="106"/>
      <c r="E423" s="106"/>
      <c r="F423" s="106"/>
      <c r="G423" s="106"/>
      <c r="H423" s="106"/>
      <c r="I423" s="106"/>
      <c r="J423" s="154"/>
      <c r="K423" s="106"/>
      <c r="L423" s="121"/>
      <c r="M423" s="121"/>
      <c r="N423" s="106"/>
      <c r="O423" s="106"/>
      <c r="P423" s="106"/>
      <c r="Q423" s="106"/>
      <c r="R423" s="106"/>
      <c r="S423" s="106"/>
      <c r="T423" s="106"/>
      <c r="U423" s="106"/>
      <c r="V423" s="106"/>
      <c r="W423" s="106"/>
      <c r="X423" s="106"/>
      <c r="Y423" s="106"/>
    </row>
    <row r="424" spans="1:25" ht="15.75" customHeight="1">
      <c r="A424" s="106"/>
      <c r="B424" s="106"/>
      <c r="C424" s="106"/>
      <c r="D424" s="106"/>
      <c r="E424" s="106"/>
      <c r="F424" s="106"/>
      <c r="G424" s="106"/>
      <c r="H424" s="106"/>
      <c r="I424" s="106"/>
      <c r="J424" s="154"/>
      <c r="K424" s="106"/>
      <c r="L424" s="121"/>
      <c r="M424" s="121"/>
      <c r="N424" s="106"/>
      <c r="O424" s="106"/>
      <c r="P424" s="106"/>
      <c r="Q424" s="106"/>
      <c r="R424" s="106"/>
      <c r="S424" s="106"/>
      <c r="T424" s="106"/>
      <c r="U424" s="106"/>
      <c r="V424" s="106"/>
      <c r="W424" s="106"/>
      <c r="X424" s="106"/>
      <c r="Y424" s="106"/>
    </row>
    <row r="425" spans="1:25" ht="15.75" customHeight="1">
      <c r="A425" s="106"/>
      <c r="B425" s="106"/>
      <c r="C425" s="106"/>
      <c r="D425" s="106"/>
      <c r="E425" s="106"/>
      <c r="F425" s="106"/>
      <c r="G425" s="106"/>
      <c r="H425" s="106"/>
      <c r="I425" s="106"/>
      <c r="J425" s="154"/>
      <c r="K425" s="106"/>
      <c r="L425" s="121"/>
      <c r="M425" s="121"/>
      <c r="N425" s="106"/>
      <c r="O425" s="106"/>
      <c r="P425" s="106"/>
      <c r="Q425" s="106"/>
      <c r="R425" s="106"/>
      <c r="S425" s="106"/>
      <c r="T425" s="106"/>
      <c r="U425" s="106"/>
      <c r="V425" s="106"/>
      <c r="W425" s="106"/>
      <c r="X425" s="106"/>
      <c r="Y425" s="106"/>
    </row>
    <row r="426" spans="1:25" ht="15.75" customHeight="1">
      <c r="A426" s="106"/>
      <c r="B426" s="106"/>
      <c r="C426" s="106"/>
      <c r="D426" s="106"/>
      <c r="E426" s="106"/>
      <c r="F426" s="106"/>
      <c r="G426" s="106"/>
      <c r="H426" s="106"/>
      <c r="I426" s="106"/>
      <c r="J426" s="154"/>
      <c r="K426" s="106"/>
      <c r="L426" s="121"/>
      <c r="M426" s="121"/>
      <c r="N426" s="106"/>
      <c r="O426" s="106"/>
      <c r="P426" s="106"/>
      <c r="Q426" s="106"/>
      <c r="R426" s="106"/>
      <c r="S426" s="106"/>
      <c r="T426" s="106"/>
      <c r="U426" s="106"/>
      <c r="V426" s="106"/>
      <c r="W426" s="106"/>
      <c r="X426" s="106"/>
      <c r="Y426" s="106"/>
    </row>
    <row r="427" spans="1:25" ht="15.75" customHeight="1">
      <c r="A427" s="106"/>
      <c r="B427" s="106"/>
      <c r="C427" s="106"/>
      <c r="D427" s="106"/>
      <c r="E427" s="106"/>
      <c r="F427" s="106"/>
      <c r="G427" s="106"/>
      <c r="H427" s="106"/>
      <c r="I427" s="106"/>
      <c r="J427" s="154"/>
      <c r="K427" s="106"/>
      <c r="L427" s="121"/>
      <c r="M427" s="121"/>
      <c r="N427" s="106"/>
      <c r="O427" s="106"/>
      <c r="P427" s="106"/>
      <c r="Q427" s="106"/>
      <c r="R427" s="106"/>
      <c r="S427" s="106"/>
      <c r="T427" s="106"/>
      <c r="U427" s="106"/>
      <c r="V427" s="106"/>
      <c r="W427" s="106"/>
      <c r="X427" s="106"/>
      <c r="Y427" s="106"/>
    </row>
    <row r="428" spans="1:25" ht="15.75" customHeight="1">
      <c r="A428" s="106"/>
      <c r="B428" s="106"/>
      <c r="C428" s="106"/>
      <c r="D428" s="106"/>
      <c r="E428" s="106"/>
      <c r="F428" s="106"/>
      <c r="G428" s="106"/>
      <c r="H428" s="106"/>
      <c r="I428" s="106"/>
      <c r="J428" s="154"/>
      <c r="K428" s="106"/>
      <c r="L428" s="121"/>
      <c r="M428" s="121"/>
      <c r="N428" s="106"/>
      <c r="O428" s="106"/>
      <c r="P428" s="106"/>
      <c r="Q428" s="106"/>
      <c r="R428" s="106"/>
      <c r="S428" s="106"/>
      <c r="T428" s="106"/>
      <c r="U428" s="106"/>
      <c r="V428" s="106"/>
      <c r="W428" s="106"/>
      <c r="X428" s="106"/>
      <c r="Y428" s="106"/>
    </row>
    <row r="429" spans="1:25" ht="15.75" customHeight="1">
      <c r="A429" s="106"/>
      <c r="B429" s="106"/>
      <c r="C429" s="106"/>
      <c r="D429" s="106"/>
      <c r="E429" s="106"/>
      <c r="F429" s="106"/>
      <c r="G429" s="106"/>
      <c r="H429" s="106"/>
      <c r="I429" s="106"/>
      <c r="J429" s="154"/>
      <c r="K429" s="106"/>
      <c r="L429" s="121"/>
      <c r="M429" s="121"/>
      <c r="N429" s="106"/>
      <c r="O429" s="106"/>
      <c r="P429" s="106"/>
      <c r="Q429" s="106"/>
      <c r="R429" s="106"/>
      <c r="S429" s="106"/>
      <c r="T429" s="106"/>
      <c r="U429" s="106"/>
      <c r="V429" s="106"/>
      <c r="W429" s="106"/>
      <c r="X429" s="106"/>
      <c r="Y429" s="106"/>
    </row>
    <row r="430" spans="1:25" ht="15.75" customHeight="1">
      <c r="A430" s="106"/>
      <c r="B430" s="106"/>
      <c r="C430" s="106"/>
      <c r="D430" s="106"/>
      <c r="E430" s="106"/>
      <c r="F430" s="106"/>
      <c r="G430" s="106"/>
      <c r="H430" s="106"/>
      <c r="I430" s="106"/>
      <c r="J430" s="154"/>
      <c r="K430" s="106"/>
      <c r="L430" s="121"/>
      <c r="M430" s="121"/>
      <c r="N430" s="106"/>
      <c r="O430" s="106"/>
      <c r="P430" s="106"/>
      <c r="Q430" s="106"/>
      <c r="R430" s="106"/>
      <c r="S430" s="106"/>
      <c r="T430" s="106"/>
      <c r="U430" s="106"/>
      <c r="V430" s="106"/>
      <c r="W430" s="106"/>
      <c r="X430" s="106"/>
      <c r="Y430" s="106"/>
    </row>
    <row r="431" spans="1:25" ht="15.75" customHeight="1">
      <c r="A431" s="106"/>
      <c r="B431" s="106"/>
      <c r="C431" s="106"/>
      <c r="D431" s="106"/>
      <c r="E431" s="106"/>
      <c r="F431" s="106"/>
      <c r="G431" s="106"/>
      <c r="H431" s="106"/>
      <c r="I431" s="106"/>
      <c r="J431" s="154"/>
      <c r="K431" s="106"/>
      <c r="L431" s="121"/>
      <c r="M431" s="121"/>
      <c r="N431" s="106"/>
      <c r="O431" s="106"/>
      <c r="P431" s="106"/>
      <c r="Q431" s="106"/>
      <c r="R431" s="106"/>
      <c r="S431" s="106"/>
      <c r="T431" s="106"/>
      <c r="U431" s="106"/>
      <c r="V431" s="106"/>
      <c r="W431" s="106"/>
      <c r="X431" s="106"/>
      <c r="Y431" s="106"/>
    </row>
    <row r="432" spans="1:25" ht="15.75" customHeight="1">
      <c r="A432" s="106"/>
      <c r="B432" s="106"/>
      <c r="C432" s="106"/>
      <c r="D432" s="106"/>
      <c r="E432" s="106"/>
      <c r="F432" s="106"/>
      <c r="G432" s="106"/>
      <c r="H432" s="106"/>
      <c r="I432" s="106"/>
      <c r="J432" s="154"/>
      <c r="K432" s="106"/>
      <c r="L432" s="121"/>
      <c r="M432" s="121"/>
      <c r="N432" s="106"/>
      <c r="O432" s="106"/>
      <c r="P432" s="106"/>
      <c r="Q432" s="106"/>
      <c r="R432" s="106"/>
      <c r="S432" s="106"/>
      <c r="T432" s="106"/>
      <c r="U432" s="106"/>
      <c r="V432" s="106"/>
      <c r="W432" s="106"/>
      <c r="X432" s="106"/>
      <c r="Y432" s="106"/>
    </row>
    <row r="433" spans="1:25" ht="15.75" customHeight="1">
      <c r="A433" s="106"/>
      <c r="B433" s="106"/>
      <c r="C433" s="106"/>
      <c r="D433" s="106"/>
      <c r="E433" s="106"/>
      <c r="F433" s="106"/>
      <c r="G433" s="106"/>
      <c r="H433" s="106"/>
      <c r="I433" s="106"/>
      <c r="J433" s="154"/>
      <c r="K433" s="106"/>
      <c r="L433" s="121"/>
      <c r="M433" s="121"/>
      <c r="N433" s="106"/>
      <c r="O433" s="106"/>
      <c r="P433" s="106"/>
      <c r="Q433" s="106"/>
      <c r="R433" s="106"/>
      <c r="S433" s="106"/>
      <c r="T433" s="106"/>
      <c r="U433" s="106"/>
      <c r="V433" s="106"/>
      <c r="W433" s="106"/>
      <c r="X433" s="106"/>
      <c r="Y433" s="106"/>
    </row>
    <row r="434" spans="1:25" ht="15.75" customHeight="1">
      <c r="A434" s="106"/>
      <c r="B434" s="106"/>
      <c r="C434" s="106"/>
      <c r="D434" s="106"/>
      <c r="E434" s="106"/>
      <c r="F434" s="106"/>
      <c r="G434" s="106"/>
      <c r="H434" s="106"/>
      <c r="I434" s="106"/>
      <c r="J434" s="154"/>
      <c r="K434" s="106"/>
      <c r="L434" s="121"/>
      <c r="M434" s="121"/>
      <c r="N434" s="106"/>
      <c r="O434" s="106"/>
      <c r="P434" s="106"/>
      <c r="Q434" s="106"/>
      <c r="R434" s="106"/>
      <c r="S434" s="106"/>
      <c r="T434" s="106"/>
      <c r="U434" s="106"/>
      <c r="V434" s="106"/>
      <c r="W434" s="106"/>
      <c r="X434" s="106"/>
      <c r="Y434" s="106"/>
    </row>
    <row r="435" spans="1:25" ht="15.75" customHeight="1">
      <c r="A435" s="106"/>
      <c r="B435" s="106"/>
      <c r="C435" s="106"/>
      <c r="D435" s="106"/>
      <c r="E435" s="106"/>
      <c r="F435" s="106"/>
      <c r="G435" s="106"/>
      <c r="H435" s="106"/>
      <c r="I435" s="106"/>
      <c r="J435" s="154"/>
      <c r="K435" s="106"/>
      <c r="L435" s="121"/>
      <c r="M435" s="121"/>
      <c r="N435" s="106"/>
      <c r="O435" s="106"/>
      <c r="P435" s="106"/>
      <c r="Q435" s="106"/>
      <c r="R435" s="106"/>
      <c r="S435" s="106"/>
      <c r="T435" s="106"/>
      <c r="U435" s="106"/>
      <c r="V435" s="106"/>
      <c r="W435" s="106"/>
      <c r="X435" s="106"/>
      <c r="Y435" s="106"/>
    </row>
    <row r="436" spans="1:25" ht="15.75" customHeight="1">
      <c r="A436" s="106"/>
      <c r="B436" s="106"/>
      <c r="C436" s="106"/>
      <c r="D436" s="106"/>
      <c r="E436" s="106"/>
      <c r="F436" s="106"/>
      <c r="G436" s="106"/>
      <c r="H436" s="106"/>
      <c r="I436" s="106"/>
      <c r="J436" s="154"/>
      <c r="K436" s="106"/>
      <c r="L436" s="121"/>
      <c r="M436" s="121"/>
      <c r="N436" s="106"/>
      <c r="O436" s="106"/>
      <c r="P436" s="106"/>
      <c r="Q436" s="106"/>
      <c r="R436" s="106"/>
      <c r="S436" s="106"/>
      <c r="T436" s="106"/>
      <c r="U436" s="106"/>
      <c r="V436" s="106"/>
      <c r="W436" s="106"/>
      <c r="X436" s="106"/>
      <c r="Y436" s="106"/>
    </row>
    <row r="437" spans="1:25" ht="15.75" customHeight="1">
      <c r="A437" s="106"/>
      <c r="B437" s="106"/>
      <c r="C437" s="106"/>
      <c r="D437" s="106"/>
      <c r="E437" s="106"/>
      <c r="F437" s="106"/>
      <c r="G437" s="106"/>
      <c r="H437" s="106"/>
      <c r="I437" s="106"/>
      <c r="J437" s="154"/>
      <c r="K437" s="106"/>
      <c r="L437" s="121"/>
      <c r="M437" s="121"/>
      <c r="N437" s="106"/>
      <c r="O437" s="106"/>
      <c r="P437" s="106"/>
      <c r="Q437" s="106"/>
      <c r="R437" s="106"/>
      <c r="S437" s="106"/>
      <c r="T437" s="106"/>
      <c r="U437" s="106"/>
      <c r="V437" s="106"/>
      <c r="W437" s="106"/>
      <c r="X437" s="106"/>
      <c r="Y437" s="106"/>
    </row>
    <row r="438" spans="1:25" ht="15.75" customHeight="1">
      <c r="A438" s="106"/>
      <c r="B438" s="106"/>
      <c r="C438" s="106"/>
      <c r="D438" s="106"/>
      <c r="E438" s="106"/>
      <c r="F438" s="106"/>
      <c r="G438" s="106"/>
      <c r="H438" s="106"/>
      <c r="I438" s="106"/>
      <c r="J438" s="154"/>
      <c r="K438" s="106"/>
      <c r="L438" s="121"/>
      <c r="M438" s="121"/>
      <c r="N438" s="106"/>
      <c r="O438" s="106"/>
      <c r="P438" s="106"/>
      <c r="Q438" s="106"/>
      <c r="R438" s="106"/>
      <c r="S438" s="106"/>
      <c r="T438" s="106"/>
      <c r="U438" s="106"/>
      <c r="V438" s="106"/>
      <c r="W438" s="106"/>
      <c r="X438" s="106"/>
      <c r="Y438" s="106"/>
    </row>
    <row r="439" spans="1:25" ht="15.75" customHeight="1">
      <c r="A439" s="106"/>
      <c r="B439" s="106"/>
      <c r="C439" s="106"/>
      <c r="D439" s="106"/>
      <c r="E439" s="106"/>
      <c r="F439" s="106"/>
      <c r="G439" s="106"/>
      <c r="H439" s="106"/>
      <c r="I439" s="106"/>
      <c r="J439" s="154"/>
      <c r="K439" s="106"/>
      <c r="L439" s="121"/>
      <c r="M439" s="121"/>
      <c r="N439" s="106"/>
      <c r="O439" s="106"/>
      <c r="P439" s="106"/>
      <c r="Q439" s="106"/>
      <c r="R439" s="106"/>
      <c r="S439" s="106"/>
      <c r="T439" s="106"/>
      <c r="U439" s="106"/>
      <c r="V439" s="106"/>
      <c r="W439" s="106"/>
      <c r="X439" s="106"/>
      <c r="Y439" s="106"/>
    </row>
    <row r="440" spans="1:25" ht="15.75" customHeight="1">
      <c r="A440" s="106"/>
      <c r="B440" s="106"/>
      <c r="C440" s="106"/>
      <c r="D440" s="106"/>
      <c r="E440" s="106"/>
      <c r="F440" s="106"/>
      <c r="G440" s="106"/>
      <c r="H440" s="106"/>
      <c r="I440" s="106"/>
      <c r="J440" s="154"/>
      <c r="K440" s="106"/>
      <c r="L440" s="121"/>
      <c r="M440" s="121"/>
      <c r="N440" s="106"/>
      <c r="O440" s="106"/>
      <c r="P440" s="106"/>
      <c r="Q440" s="106"/>
      <c r="R440" s="106"/>
      <c r="S440" s="106"/>
      <c r="T440" s="106"/>
      <c r="U440" s="106"/>
      <c r="V440" s="106"/>
      <c r="W440" s="106"/>
      <c r="X440" s="106"/>
      <c r="Y440" s="106"/>
    </row>
    <row r="441" spans="1:25" ht="15.75" customHeight="1">
      <c r="A441" s="106"/>
      <c r="B441" s="106"/>
      <c r="C441" s="106"/>
      <c r="D441" s="106"/>
      <c r="E441" s="106"/>
      <c r="F441" s="106"/>
      <c r="G441" s="106"/>
      <c r="H441" s="106"/>
      <c r="I441" s="106"/>
      <c r="J441" s="154"/>
      <c r="K441" s="106"/>
      <c r="L441" s="121"/>
      <c r="M441" s="121"/>
      <c r="N441" s="106"/>
      <c r="O441" s="106"/>
      <c r="P441" s="106"/>
      <c r="Q441" s="106"/>
      <c r="R441" s="106"/>
      <c r="S441" s="106"/>
      <c r="T441" s="106"/>
      <c r="U441" s="106"/>
      <c r="V441" s="106"/>
      <c r="W441" s="106"/>
      <c r="X441" s="106"/>
      <c r="Y441" s="106"/>
    </row>
    <row r="442" spans="1:25" ht="15.75" customHeight="1">
      <c r="A442" s="106"/>
      <c r="B442" s="106"/>
      <c r="C442" s="106"/>
      <c r="D442" s="106"/>
      <c r="E442" s="106"/>
      <c r="F442" s="106"/>
      <c r="G442" s="106"/>
      <c r="H442" s="106"/>
      <c r="I442" s="106"/>
      <c r="J442" s="154"/>
      <c r="K442" s="106"/>
      <c r="L442" s="121"/>
      <c r="M442" s="121"/>
      <c r="N442" s="106"/>
      <c r="O442" s="106"/>
      <c r="P442" s="106"/>
      <c r="Q442" s="106"/>
      <c r="R442" s="106"/>
      <c r="S442" s="106"/>
      <c r="T442" s="106"/>
      <c r="U442" s="106"/>
      <c r="V442" s="106"/>
      <c r="W442" s="106"/>
      <c r="X442" s="106"/>
      <c r="Y442" s="106"/>
    </row>
    <row r="443" spans="1:25" ht="15.75" customHeight="1">
      <c r="A443" s="106"/>
      <c r="B443" s="106"/>
      <c r="C443" s="106"/>
      <c r="D443" s="106"/>
      <c r="E443" s="106"/>
      <c r="F443" s="106"/>
      <c r="G443" s="106"/>
      <c r="H443" s="106"/>
      <c r="I443" s="106"/>
      <c r="J443" s="154"/>
      <c r="K443" s="106"/>
      <c r="L443" s="121"/>
      <c r="M443" s="121"/>
      <c r="N443" s="106"/>
      <c r="O443" s="106"/>
      <c r="P443" s="106"/>
      <c r="Q443" s="106"/>
      <c r="R443" s="106"/>
      <c r="S443" s="106"/>
      <c r="T443" s="106"/>
      <c r="U443" s="106"/>
      <c r="V443" s="106"/>
      <c r="W443" s="106"/>
      <c r="X443" s="106"/>
      <c r="Y443" s="106"/>
    </row>
    <row r="444" spans="1:25" ht="15.75" customHeight="1">
      <c r="A444" s="106"/>
      <c r="B444" s="106"/>
      <c r="C444" s="106"/>
      <c r="D444" s="106"/>
      <c r="E444" s="106"/>
      <c r="F444" s="106"/>
      <c r="G444" s="106"/>
      <c r="H444" s="106"/>
      <c r="I444" s="106"/>
      <c r="J444" s="154"/>
      <c r="K444" s="106"/>
      <c r="L444" s="121"/>
      <c r="M444" s="121"/>
      <c r="N444" s="106"/>
      <c r="O444" s="106"/>
      <c r="P444" s="106"/>
      <c r="Q444" s="106"/>
      <c r="R444" s="106"/>
      <c r="S444" s="106"/>
      <c r="T444" s="106"/>
      <c r="U444" s="106"/>
      <c r="V444" s="106"/>
      <c r="W444" s="106"/>
      <c r="X444" s="106"/>
      <c r="Y444" s="106"/>
    </row>
    <row r="445" spans="1:25" ht="15.75" customHeight="1">
      <c r="A445" s="106"/>
      <c r="B445" s="106"/>
      <c r="C445" s="106"/>
      <c r="D445" s="106"/>
      <c r="E445" s="106"/>
      <c r="F445" s="106"/>
      <c r="G445" s="106"/>
      <c r="H445" s="106"/>
      <c r="I445" s="106"/>
      <c r="J445" s="154"/>
      <c r="K445" s="106"/>
      <c r="L445" s="121"/>
      <c r="M445" s="121"/>
      <c r="N445" s="106"/>
      <c r="O445" s="106"/>
      <c r="P445" s="106"/>
      <c r="Q445" s="106"/>
      <c r="R445" s="106"/>
      <c r="S445" s="106"/>
      <c r="T445" s="106"/>
      <c r="U445" s="106"/>
      <c r="V445" s="106"/>
      <c r="W445" s="106"/>
      <c r="X445" s="106"/>
      <c r="Y445" s="106"/>
    </row>
    <row r="446" spans="1:25" ht="15.75" customHeight="1">
      <c r="A446" s="106"/>
      <c r="B446" s="106"/>
      <c r="C446" s="106"/>
      <c r="D446" s="106"/>
      <c r="E446" s="106"/>
      <c r="F446" s="106"/>
      <c r="G446" s="106"/>
      <c r="H446" s="106"/>
      <c r="I446" s="106"/>
      <c r="J446" s="154"/>
      <c r="K446" s="106"/>
      <c r="L446" s="121"/>
      <c r="M446" s="121"/>
      <c r="N446" s="106"/>
      <c r="O446" s="106"/>
      <c r="P446" s="106"/>
      <c r="Q446" s="106"/>
      <c r="R446" s="106"/>
      <c r="S446" s="106"/>
      <c r="T446" s="106"/>
      <c r="U446" s="106"/>
      <c r="V446" s="106"/>
      <c r="W446" s="106"/>
      <c r="X446" s="106"/>
      <c r="Y446" s="106"/>
    </row>
    <row r="447" spans="1:25" ht="15.75" customHeight="1">
      <c r="A447" s="106"/>
      <c r="B447" s="106"/>
      <c r="C447" s="106"/>
      <c r="D447" s="106"/>
      <c r="E447" s="106"/>
      <c r="F447" s="106"/>
      <c r="G447" s="106"/>
      <c r="H447" s="106"/>
      <c r="I447" s="106"/>
      <c r="J447" s="154"/>
      <c r="K447" s="106"/>
      <c r="L447" s="121"/>
      <c r="M447" s="121"/>
      <c r="N447" s="106"/>
      <c r="O447" s="106"/>
      <c r="P447" s="106"/>
      <c r="Q447" s="106"/>
      <c r="R447" s="106"/>
      <c r="S447" s="106"/>
      <c r="T447" s="106"/>
      <c r="U447" s="106"/>
      <c r="V447" s="106"/>
      <c r="W447" s="106"/>
      <c r="X447" s="106"/>
      <c r="Y447" s="106"/>
    </row>
    <row r="448" spans="1:25" ht="15.75" customHeight="1">
      <c r="A448" s="106"/>
      <c r="B448" s="106"/>
      <c r="C448" s="106"/>
      <c r="D448" s="106"/>
      <c r="E448" s="106"/>
      <c r="F448" s="106"/>
      <c r="G448" s="106"/>
      <c r="H448" s="106"/>
      <c r="I448" s="106"/>
      <c r="J448" s="154"/>
      <c r="K448" s="106"/>
      <c r="L448" s="121"/>
      <c r="M448" s="121"/>
      <c r="N448" s="106"/>
      <c r="O448" s="106"/>
      <c r="P448" s="106"/>
      <c r="Q448" s="106"/>
      <c r="R448" s="106"/>
      <c r="S448" s="106"/>
      <c r="T448" s="106"/>
      <c r="U448" s="106"/>
      <c r="V448" s="106"/>
      <c r="W448" s="106"/>
      <c r="X448" s="106"/>
      <c r="Y448" s="106"/>
    </row>
    <row r="449" spans="1:25" ht="15.75" customHeight="1">
      <c r="A449" s="106"/>
      <c r="B449" s="106"/>
      <c r="C449" s="106"/>
      <c r="D449" s="106"/>
      <c r="E449" s="106"/>
      <c r="F449" s="106"/>
      <c r="G449" s="106"/>
      <c r="H449" s="106"/>
      <c r="I449" s="106"/>
      <c r="J449" s="154"/>
      <c r="K449" s="106"/>
      <c r="L449" s="121"/>
      <c r="M449" s="121"/>
      <c r="N449" s="106"/>
      <c r="O449" s="106"/>
      <c r="P449" s="106"/>
      <c r="Q449" s="106"/>
      <c r="R449" s="106"/>
      <c r="S449" s="106"/>
      <c r="T449" s="106"/>
      <c r="U449" s="106"/>
      <c r="V449" s="106"/>
      <c r="W449" s="106"/>
      <c r="X449" s="106"/>
      <c r="Y449" s="106"/>
    </row>
    <row r="450" spans="1:25" ht="15.75" customHeight="1">
      <c r="A450" s="106"/>
      <c r="B450" s="106"/>
      <c r="C450" s="106"/>
      <c r="D450" s="106"/>
      <c r="E450" s="106"/>
      <c r="F450" s="106"/>
      <c r="G450" s="106"/>
      <c r="H450" s="106"/>
      <c r="I450" s="106"/>
      <c r="J450" s="154"/>
      <c r="K450" s="106"/>
      <c r="L450" s="121"/>
      <c r="M450" s="121"/>
      <c r="N450" s="106"/>
      <c r="O450" s="106"/>
      <c r="P450" s="106"/>
      <c r="Q450" s="106"/>
      <c r="R450" s="106"/>
      <c r="S450" s="106"/>
      <c r="T450" s="106"/>
      <c r="U450" s="106"/>
      <c r="V450" s="106"/>
      <c r="W450" s="106"/>
      <c r="X450" s="106"/>
      <c r="Y450" s="106"/>
    </row>
    <row r="451" spans="1:25" ht="15.75" customHeight="1">
      <c r="A451" s="106"/>
      <c r="B451" s="106"/>
      <c r="C451" s="106"/>
      <c r="D451" s="106"/>
      <c r="E451" s="106"/>
      <c r="F451" s="106"/>
      <c r="G451" s="106"/>
      <c r="H451" s="106"/>
      <c r="I451" s="106"/>
      <c r="J451" s="154"/>
      <c r="K451" s="106"/>
      <c r="L451" s="121"/>
      <c r="M451" s="121"/>
      <c r="N451" s="106"/>
      <c r="O451" s="106"/>
      <c r="P451" s="106"/>
      <c r="Q451" s="106"/>
      <c r="R451" s="106"/>
      <c r="S451" s="106"/>
      <c r="T451" s="106"/>
      <c r="U451" s="106"/>
      <c r="V451" s="106"/>
      <c r="W451" s="106"/>
      <c r="X451" s="106"/>
      <c r="Y451" s="106"/>
    </row>
    <row r="452" spans="1:25" ht="15.75" customHeight="1">
      <c r="A452" s="106"/>
      <c r="B452" s="106"/>
      <c r="C452" s="106"/>
      <c r="D452" s="106"/>
      <c r="E452" s="106"/>
      <c r="F452" s="106"/>
      <c r="G452" s="106"/>
      <c r="H452" s="106"/>
      <c r="I452" s="106"/>
      <c r="J452" s="154"/>
      <c r="K452" s="106"/>
      <c r="L452" s="121"/>
      <c r="M452" s="121"/>
      <c r="N452" s="106"/>
      <c r="O452" s="106"/>
      <c r="P452" s="106"/>
      <c r="Q452" s="106"/>
      <c r="R452" s="106"/>
      <c r="S452" s="106"/>
      <c r="T452" s="106"/>
      <c r="U452" s="106"/>
      <c r="V452" s="106"/>
      <c r="W452" s="106"/>
      <c r="X452" s="106"/>
      <c r="Y452" s="106"/>
    </row>
    <row r="453" spans="1:25" ht="15.75" customHeight="1">
      <c r="A453" s="106"/>
      <c r="B453" s="106"/>
      <c r="C453" s="106"/>
      <c r="D453" s="106"/>
      <c r="E453" s="106"/>
      <c r="F453" s="106"/>
      <c r="G453" s="106"/>
      <c r="H453" s="106"/>
      <c r="I453" s="106"/>
      <c r="J453" s="154"/>
      <c r="K453" s="106"/>
      <c r="L453" s="121"/>
      <c r="M453" s="121"/>
      <c r="N453" s="106"/>
      <c r="O453" s="106"/>
      <c r="P453" s="106"/>
      <c r="Q453" s="106"/>
      <c r="R453" s="106"/>
      <c r="S453" s="106"/>
      <c r="T453" s="106"/>
      <c r="U453" s="106"/>
      <c r="V453" s="106"/>
      <c r="W453" s="106"/>
      <c r="X453" s="106"/>
      <c r="Y453" s="106"/>
    </row>
    <row r="454" spans="1:25" ht="15.75" customHeight="1">
      <c r="A454" s="106"/>
      <c r="B454" s="106"/>
      <c r="C454" s="106"/>
      <c r="D454" s="106"/>
      <c r="E454" s="106"/>
      <c r="F454" s="106"/>
      <c r="G454" s="106"/>
      <c r="H454" s="106"/>
      <c r="I454" s="106"/>
      <c r="J454" s="154"/>
      <c r="K454" s="106"/>
      <c r="L454" s="121"/>
      <c r="M454" s="121"/>
      <c r="N454" s="106"/>
      <c r="O454" s="106"/>
      <c r="P454" s="106"/>
      <c r="Q454" s="106"/>
      <c r="R454" s="106"/>
      <c r="S454" s="106"/>
      <c r="T454" s="106"/>
      <c r="U454" s="106"/>
      <c r="V454" s="106"/>
      <c r="W454" s="106"/>
      <c r="X454" s="106"/>
      <c r="Y454" s="106"/>
    </row>
    <row r="455" spans="1:25" ht="15.75" customHeight="1">
      <c r="A455" s="106"/>
      <c r="B455" s="106"/>
      <c r="C455" s="106"/>
      <c r="D455" s="106"/>
      <c r="E455" s="106"/>
      <c r="F455" s="106"/>
      <c r="G455" s="106"/>
      <c r="H455" s="106"/>
      <c r="I455" s="106"/>
      <c r="J455" s="154"/>
      <c r="K455" s="106"/>
      <c r="L455" s="121"/>
      <c r="M455" s="121"/>
      <c r="N455" s="106"/>
      <c r="O455" s="106"/>
      <c r="P455" s="106"/>
      <c r="Q455" s="106"/>
      <c r="R455" s="106"/>
      <c r="S455" s="106"/>
      <c r="T455" s="106"/>
      <c r="U455" s="106"/>
      <c r="V455" s="106"/>
      <c r="W455" s="106"/>
      <c r="X455" s="106"/>
      <c r="Y455" s="106"/>
    </row>
    <row r="456" spans="1:25" ht="15.75" customHeight="1">
      <c r="A456" s="106"/>
      <c r="B456" s="106"/>
      <c r="C456" s="106"/>
      <c r="D456" s="106"/>
      <c r="E456" s="106"/>
      <c r="F456" s="106"/>
      <c r="G456" s="106"/>
      <c r="H456" s="106"/>
      <c r="I456" s="106"/>
      <c r="J456" s="154"/>
      <c r="K456" s="106"/>
      <c r="L456" s="121"/>
      <c r="M456" s="121"/>
      <c r="N456" s="106"/>
      <c r="O456" s="106"/>
      <c r="P456" s="106"/>
      <c r="Q456" s="106"/>
      <c r="R456" s="106"/>
      <c r="S456" s="106"/>
      <c r="T456" s="106"/>
      <c r="U456" s="106"/>
      <c r="V456" s="106"/>
      <c r="W456" s="106"/>
      <c r="X456" s="106"/>
      <c r="Y456" s="106"/>
    </row>
    <row r="457" spans="1:25" ht="15.75" customHeight="1">
      <c r="A457" s="106"/>
      <c r="B457" s="106"/>
      <c r="C457" s="106"/>
      <c r="D457" s="106"/>
      <c r="E457" s="106"/>
      <c r="F457" s="106"/>
      <c r="G457" s="106"/>
      <c r="H457" s="106"/>
      <c r="I457" s="106"/>
      <c r="J457" s="154"/>
      <c r="K457" s="106"/>
      <c r="L457" s="121"/>
      <c r="M457" s="121"/>
      <c r="N457" s="106"/>
      <c r="O457" s="106"/>
      <c r="P457" s="106"/>
      <c r="Q457" s="106"/>
      <c r="R457" s="106"/>
      <c r="S457" s="106"/>
      <c r="T457" s="106"/>
      <c r="U457" s="106"/>
      <c r="V457" s="106"/>
      <c r="W457" s="106"/>
      <c r="X457" s="106"/>
      <c r="Y457" s="106"/>
    </row>
    <row r="458" spans="1:25" ht="15.75" customHeight="1">
      <c r="A458" s="106"/>
      <c r="B458" s="106"/>
      <c r="C458" s="106"/>
      <c r="D458" s="106"/>
      <c r="E458" s="106"/>
      <c r="F458" s="106"/>
      <c r="G458" s="106"/>
      <c r="H458" s="106"/>
      <c r="I458" s="106"/>
      <c r="J458" s="154"/>
      <c r="K458" s="106"/>
      <c r="L458" s="121"/>
      <c r="M458" s="121"/>
      <c r="N458" s="106"/>
      <c r="O458" s="106"/>
      <c r="P458" s="106"/>
      <c r="Q458" s="106"/>
      <c r="R458" s="106"/>
      <c r="S458" s="106"/>
      <c r="T458" s="106"/>
      <c r="U458" s="106"/>
      <c r="V458" s="106"/>
      <c r="W458" s="106"/>
      <c r="X458" s="106"/>
      <c r="Y458" s="106"/>
    </row>
    <row r="459" spans="1:25" ht="15.75" customHeight="1">
      <c r="A459" s="106"/>
      <c r="B459" s="106"/>
      <c r="C459" s="106"/>
      <c r="D459" s="106"/>
      <c r="E459" s="106"/>
      <c r="F459" s="106"/>
      <c r="G459" s="106"/>
      <c r="H459" s="106"/>
      <c r="I459" s="106"/>
      <c r="J459" s="154"/>
      <c r="K459" s="106"/>
      <c r="L459" s="121"/>
      <c r="M459" s="121"/>
      <c r="N459" s="106"/>
      <c r="O459" s="106"/>
      <c r="P459" s="106"/>
      <c r="Q459" s="106"/>
      <c r="R459" s="106"/>
      <c r="S459" s="106"/>
      <c r="T459" s="106"/>
      <c r="U459" s="106"/>
      <c r="V459" s="106"/>
      <c r="W459" s="106"/>
      <c r="X459" s="106"/>
      <c r="Y459" s="106"/>
    </row>
    <row r="460" spans="1:25" ht="15.75" customHeight="1">
      <c r="A460" s="106"/>
      <c r="B460" s="106"/>
      <c r="C460" s="106"/>
      <c r="D460" s="106"/>
      <c r="E460" s="106"/>
      <c r="F460" s="106"/>
      <c r="G460" s="106"/>
      <c r="H460" s="106"/>
      <c r="I460" s="106"/>
      <c r="J460" s="154"/>
      <c r="K460" s="106"/>
      <c r="L460" s="121"/>
      <c r="M460" s="121"/>
      <c r="N460" s="106"/>
      <c r="O460" s="106"/>
      <c r="P460" s="106"/>
      <c r="Q460" s="106"/>
      <c r="R460" s="106"/>
      <c r="S460" s="106"/>
      <c r="T460" s="106"/>
      <c r="U460" s="106"/>
      <c r="V460" s="106"/>
      <c r="W460" s="106"/>
      <c r="X460" s="106"/>
      <c r="Y460" s="106"/>
    </row>
    <row r="461" spans="1:25" ht="15.75" customHeight="1">
      <c r="A461" s="106"/>
      <c r="B461" s="106"/>
      <c r="C461" s="106"/>
      <c r="D461" s="106"/>
      <c r="E461" s="106"/>
      <c r="F461" s="106"/>
      <c r="G461" s="106"/>
      <c r="H461" s="106"/>
      <c r="I461" s="106"/>
      <c r="J461" s="154"/>
      <c r="K461" s="106"/>
      <c r="L461" s="121"/>
      <c r="M461" s="121"/>
      <c r="N461" s="106"/>
      <c r="O461" s="106"/>
      <c r="P461" s="106"/>
      <c r="Q461" s="106"/>
      <c r="R461" s="106"/>
      <c r="S461" s="106"/>
      <c r="T461" s="106"/>
      <c r="U461" s="106"/>
      <c r="V461" s="106"/>
      <c r="W461" s="106"/>
      <c r="X461" s="106"/>
      <c r="Y461" s="106"/>
    </row>
    <row r="462" spans="1:25" ht="15.75" customHeight="1">
      <c r="A462" s="106"/>
      <c r="B462" s="106"/>
      <c r="C462" s="106"/>
      <c r="D462" s="106"/>
      <c r="E462" s="106"/>
      <c r="F462" s="106"/>
      <c r="G462" s="106"/>
      <c r="H462" s="106"/>
      <c r="I462" s="106"/>
      <c r="J462" s="154"/>
      <c r="K462" s="106"/>
      <c r="L462" s="121"/>
      <c r="M462" s="121"/>
      <c r="N462" s="106"/>
      <c r="O462" s="106"/>
      <c r="P462" s="106"/>
      <c r="Q462" s="106"/>
      <c r="R462" s="106"/>
      <c r="S462" s="106"/>
      <c r="T462" s="106"/>
      <c r="U462" s="106"/>
      <c r="V462" s="106"/>
      <c r="W462" s="106"/>
      <c r="X462" s="106"/>
      <c r="Y462" s="106"/>
    </row>
    <row r="463" spans="1:25" ht="15.75" customHeight="1">
      <c r="A463" s="106"/>
      <c r="B463" s="106"/>
      <c r="C463" s="106"/>
      <c r="D463" s="106"/>
      <c r="E463" s="106"/>
      <c r="F463" s="106"/>
      <c r="G463" s="106"/>
      <c r="H463" s="106"/>
      <c r="I463" s="106"/>
      <c r="J463" s="154"/>
      <c r="K463" s="106"/>
      <c r="L463" s="121"/>
      <c r="M463" s="121"/>
      <c r="N463" s="106"/>
      <c r="O463" s="106"/>
      <c r="P463" s="106"/>
      <c r="Q463" s="106"/>
      <c r="R463" s="106"/>
      <c r="S463" s="106"/>
      <c r="T463" s="106"/>
      <c r="U463" s="106"/>
      <c r="V463" s="106"/>
      <c r="W463" s="106"/>
      <c r="X463" s="106"/>
      <c r="Y463" s="106"/>
    </row>
    <row r="464" spans="1:25" ht="15.75" customHeight="1">
      <c r="A464" s="106"/>
      <c r="B464" s="106"/>
      <c r="C464" s="106"/>
      <c r="D464" s="106"/>
      <c r="E464" s="106"/>
      <c r="F464" s="106"/>
      <c r="G464" s="106"/>
      <c r="H464" s="106"/>
      <c r="I464" s="106"/>
      <c r="J464" s="154"/>
      <c r="K464" s="106"/>
      <c r="L464" s="121"/>
      <c r="M464" s="121"/>
      <c r="N464" s="106"/>
      <c r="O464" s="106"/>
      <c r="P464" s="106"/>
      <c r="Q464" s="106"/>
      <c r="R464" s="106"/>
      <c r="S464" s="106"/>
      <c r="T464" s="106"/>
      <c r="U464" s="106"/>
      <c r="V464" s="106"/>
      <c r="W464" s="106"/>
      <c r="X464" s="106"/>
      <c r="Y464" s="106"/>
    </row>
    <row r="465" spans="1:25" ht="15.75" customHeight="1">
      <c r="A465" s="106"/>
      <c r="B465" s="106"/>
      <c r="C465" s="106"/>
      <c r="D465" s="106"/>
      <c r="E465" s="106"/>
      <c r="F465" s="106"/>
      <c r="G465" s="106"/>
      <c r="H465" s="106"/>
      <c r="I465" s="106"/>
      <c r="J465" s="154"/>
      <c r="K465" s="106"/>
      <c r="L465" s="121"/>
      <c r="M465" s="121"/>
      <c r="N465" s="106"/>
      <c r="O465" s="106"/>
      <c r="P465" s="106"/>
      <c r="Q465" s="106"/>
      <c r="R465" s="106"/>
      <c r="S465" s="106"/>
      <c r="T465" s="106"/>
      <c r="U465" s="106"/>
      <c r="V465" s="106"/>
      <c r="W465" s="106"/>
      <c r="X465" s="106"/>
      <c r="Y465" s="106"/>
    </row>
    <row r="466" spans="1:25" ht="15.75" customHeight="1">
      <c r="A466" s="106"/>
      <c r="B466" s="106"/>
      <c r="C466" s="106"/>
      <c r="D466" s="106"/>
      <c r="E466" s="106"/>
      <c r="F466" s="106"/>
      <c r="G466" s="106"/>
      <c r="H466" s="106"/>
      <c r="I466" s="106"/>
      <c r="J466" s="154"/>
      <c r="K466" s="106"/>
      <c r="L466" s="121"/>
      <c r="M466" s="121"/>
      <c r="N466" s="106"/>
      <c r="O466" s="106"/>
      <c r="P466" s="106"/>
      <c r="Q466" s="106"/>
      <c r="R466" s="106"/>
      <c r="S466" s="106"/>
      <c r="T466" s="106"/>
      <c r="U466" s="106"/>
      <c r="V466" s="106"/>
      <c r="W466" s="106"/>
      <c r="X466" s="106"/>
      <c r="Y466" s="106"/>
    </row>
    <row r="467" spans="1:25" ht="15.75" customHeight="1">
      <c r="A467" s="106"/>
      <c r="B467" s="106"/>
      <c r="C467" s="106"/>
      <c r="D467" s="106"/>
      <c r="E467" s="106"/>
      <c r="F467" s="106"/>
      <c r="G467" s="106"/>
      <c r="H467" s="106"/>
      <c r="I467" s="106"/>
      <c r="J467" s="154"/>
      <c r="K467" s="106"/>
      <c r="L467" s="121"/>
      <c r="M467" s="121"/>
      <c r="N467" s="106"/>
      <c r="O467" s="106"/>
      <c r="P467" s="106"/>
      <c r="Q467" s="106"/>
      <c r="R467" s="106"/>
      <c r="S467" s="106"/>
      <c r="T467" s="106"/>
      <c r="U467" s="106"/>
      <c r="V467" s="106"/>
      <c r="W467" s="106"/>
      <c r="X467" s="106"/>
      <c r="Y467" s="106"/>
    </row>
    <row r="468" spans="1:25" ht="15.75" customHeight="1">
      <c r="A468" s="106"/>
      <c r="B468" s="106"/>
      <c r="C468" s="106"/>
      <c r="D468" s="106"/>
      <c r="E468" s="106"/>
      <c r="F468" s="106"/>
      <c r="G468" s="106"/>
      <c r="H468" s="106"/>
      <c r="I468" s="106"/>
      <c r="J468" s="154"/>
      <c r="K468" s="106"/>
      <c r="L468" s="121"/>
      <c r="M468" s="121"/>
      <c r="N468" s="106"/>
      <c r="O468" s="106"/>
      <c r="P468" s="106"/>
      <c r="Q468" s="106"/>
      <c r="R468" s="106"/>
      <c r="S468" s="106"/>
      <c r="T468" s="106"/>
      <c r="U468" s="106"/>
      <c r="V468" s="106"/>
      <c r="W468" s="106"/>
      <c r="X468" s="106"/>
      <c r="Y468" s="106"/>
    </row>
    <row r="469" spans="1:25" ht="15.75" customHeight="1">
      <c r="A469" s="106"/>
      <c r="B469" s="106"/>
      <c r="C469" s="106"/>
      <c r="D469" s="106"/>
      <c r="E469" s="106"/>
      <c r="F469" s="106"/>
      <c r="G469" s="106"/>
      <c r="H469" s="106"/>
      <c r="I469" s="106"/>
      <c r="J469" s="154"/>
      <c r="K469" s="106"/>
      <c r="L469" s="121"/>
      <c r="M469" s="121"/>
      <c r="N469" s="106"/>
      <c r="O469" s="106"/>
      <c r="P469" s="106"/>
      <c r="Q469" s="106"/>
      <c r="R469" s="106"/>
      <c r="S469" s="106"/>
      <c r="T469" s="106"/>
      <c r="U469" s="106"/>
      <c r="V469" s="106"/>
      <c r="W469" s="106"/>
      <c r="X469" s="106"/>
      <c r="Y469" s="106"/>
    </row>
    <row r="470" spans="1:25" ht="15.75" customHeight="1">
      <c r="A470" s="106"/>
      <c r="B470" s="106"/>
      <c r="C470" s="106"/>
      <c r="D470" s="106"/>
      <c r="E470" s="106"/>
      <c r="F470" s="106"/>
      <c r="G470" s="106"/>
      <c r="H470" s="106"/>
      <c r="I470" s="106"/>
      <c r="J470" s="154"/>
      <c r="K470" s="106"/>
      <c r="L470" s="121"/>
      <c r="M470" s="121"/>
      <c r="N470" s="106"/>
      <c r="O470" s="106"/>
      <c r="P470" s="106"/>
      <c r="Q470" s="106"/>
      <c r="R470" s="106"/>
      <c r="S470" s="106"/>
      <c r="T470" s="106"/>
      <c r="U470" s="106"/>
      <c r="V470" s="106"/>
      <c r="W470" s="106"/>
      <c r="X470" s="106"/>
      <c r="Y470" s="106"/>
    </row>
    <row r="471" spans="1:25" ht="15.75" customHeight="1">
      <c r="A471" s="106"/>
      <c r="B471" s="106"/>
      <c r="C471" s="106"/>
      <c r="D471" s="106"/>
      <c r="E471" s="106"/>
      <c r="F471" s="106"/>
      <c r="G471" s="106"/>
      <c r="H471" s="106"/>
      <c r="I471" s="106"/>
      <c r="J471" s="154"/>
      <c r="K471" s="106"/>
      <c r="L471" s="121"/>
      <c r="M471" s="121"/>
      <c r="N471" s="106"/>
      <c r="O471" s="106"/>
      <c r="P471" s="106"/>
      <c r="Q471" s="106"/>
      <c r="R471" s="106"/>
      <c r="S471" s="106"/>
      <c r="T471" s="106"/>
      <c r="U471" s="106"/>
      <c r="V471" s="106"/>
      <c r="W471" s="106"/>
      <c r="X471" s="106"/>
      <c r="Y471" s="106"/>
    </row>
    <row r="472" spans="1:25" ht="15.75" customHeight="1">
      <c r="A472" s="106"/>
      <c r="B472" s="106"/>
      <c r="C472" s="106"/>
      <c r="D472" s="106"/>
      <c r="E472" s="106"/>
      <c r="F472" s="106"/>
      <c r="G472" s="106"/>
      <c r="H472" s="106"/>
      <c r="I472" s="106"/>
      <c r="J472" s="154"/>
      <c r="K472" s="106"/>
      <c r="L472" s="121"/>
      <c r="M472" s="121"/>
      <c r="N472" s="106"/>
      <c r="O472" s="106"/>
      <c r="P472" s="106"/>
      <c r="Q472" s="106"/>
      <c r="R472" s="106"/>
      <c r="S472" s="106"/>
      <c r="T472" s="106"/>
      <c r="U472" s="106"/>
      <c r="V472" s="106"/>
      <c r="W472" s="106"/>
      <c r="X472" s="106"/>
      <c r="Y472" s="106"/>
    </row>
    <row r="473" spans="1:25" ht="15.75" customHeight="1">
      <c r="A473" s="106"/>
      <c r="B473" s="106"/>
      <c r="C473" s="106"/>
      <c r="D473" s="106"/>
      <c r="E473" s="106"/>
      <c r="F473" s="106"/>
      <c r="G473" s="106"/>
      <c r="H473" s="106"/>
      <c r="I473" s="106"/>
      <c r="J473" s="154"/>
      <c r="K473" s="106"/>
      <c r="L473" s="121"/>
      <c r="M473" s="121"/>
      <c r="N473" s="106"/>
      <c r="O473" s="106"/>
      <c r="P473" s="106"/>
      <c r="Q473" s="106"/>
      <c r="R473" s="106"/>
      <c r="S473" s="106"/>
      <c r="T473" s="106"/>
      <c r="U473" s="106"/>
      <c r="V473" s="106"/>
      <c r="W473" s="106"/>
      <c r="X473" s="106"/>
      <c r="Y473" s="106"/>
    </row>
    <row r="474" spans="1:25" ht="15.75" customHeight="1">
      <c r="A474" s="106"/>
      <c r="B474" s="106"/>
      <c r="C474" s="106"/>
      <c r="D474" s="106"/>
      <c r="E474" s="106"/>
      <c r="F474" s="106"/>
      <c r="G474" s="106"/>
      <c r="H474" s="106"/>
      <c r="I474" s="106"/>
      <c r="J474" s="154"/>
      <c r="K474" s="106"/>
      <c r="L474" s="121"/>
      <c r="M474" s="121"/>
      <c r="N474" s="106"/>
      <c r="O474" s="106"/>
      <c r="P474" s="106"/>
      <c r="Q474" s="106"/>
      <c r="R474" s="106"/>
      <c r="S474" s="106"/>
      <c r="T474" s="106"/>
      <c r="U474" s="106"/>
      <c r="V474" s="106"/>
      <c r="W474" s="106"/>
      <c r="X474" s="106"/>
      <c r="Y474" s="106"/>
    </row>
    <row r="475" spans="1:25" ht="15.75" customHeight="1">
      <c r="A475" s="106"/>
      <c r="B475" s="106"/>
      <c r="C475" s="106"/>
      <c r="D475" s="106"/>
      <c r="E475" s="106"/>
      <c r="F475" s="106"/>
      <c r="G475" s="106"/>
      <c r="H475" s="106"/>
      <c r="I475" s="106"/>
      <c r="J475" s="154"/>
      <c r="K475" s="106"/>
      <c r="L475" s="121"/>
      <c r="M475" s="121"/>
      <c r="N475" s="106"/>
      <c r="O475" s="106"/>
      <c r="P475" s="106"/>
      <c r="Q475" s="106"/>
      <c r="R475" s="106"/>
      <c r="S475" s="106"/>
      <c r="T475" s="106"/>
      <c r="U475" s="106"/>
      <c r="V475" s="106"/>
      <c r="W475" s="106"/>
      <c r="X475" s="106"/>
      <c r="Y475" s="106"/>
    </row>
    <row r="476" spans="1:25" ht="15.75" customHeight="1">
      <c r="A476" s="106"/>
      <c r="B476" s="106"/>
      <c r="C476" s="106"/>
      <c r="D476" s="106"/>
      <c r="E476" s="106"/>
      <c r="F476" s="106"/>
      <c r="G476" s="106"/>
      <c r="H476" s="106"/>
      <c r="I476" s="106"/>
      <c r="J476" s="154"/>
      <c r="K476" s="106"/>
      <c r="L476" s="121"/>
      <c r="M476" s="121"/>
      <c r="N476" s="106"/>
      <c r="O476" s="106"/>
      <c r="P476" s="106"/>
      <c r="Q476" s="106"/>
      <c r="R476" s="106"/>
      <c r="S476" s="106"/>
      <c r="T476" s="106"/>
      <c r="U476" s="106"/>
      <c r="V476" s="106"/>
      <c r="W476" s="106"/>
      <c r="X476" s="106"/>
      <c r="Y476" s="106"/>
    </row>
    <row r="477" spans="1:25" ht="15.75" customHeight="1">
      <c r="A477" s="106"/>
      <c r="B477" s="106"/>
      <c r="C477" s="106"/>
      <c r="D477" s="106"/>
      <c r="E477" s="106"/>
      <c r="F477" s="106"/>
      <c r="G477" s="106"/>
      <c r="H477" s="106"/>
      <c r="I477" s="106"/>
      <c r="J477" s="154"/>
      <c r="K477" s="106"/>
      <c r="L477" s="121"/>
      <c r="M477" s="121"/>
      <c r="N477" s="106"/>
      <c r="O477" s="106"/>
      <c r="P477" s="106"/>
      <c r="Q477" s="106"/>
      <c r="R477" s="106"/>
      <c r="S477" s="106"/>
      <c r="T477" s="106"/>
      <c r="U477" s="106"/>
      <c r="V477" s="106"/>
      <c r="W477" s="106"/>
      <c r="X477" s="106"/>
      <c r="Y477" s="106"/>
    </row>
    <row r="478" spans="1:25" ht="15.75" customHeight="1">
      <c r="A478" s="106"/>
      <c r="B478" s="106"/>
      <c r="C478" s="106"/>
      <c r="D478" s="106"/>
      <c r="E478" s="106"/>
      <c r="F478" s="106"/>
      <c r="G478" s="106"/>
      <c r="H478" s="106"/>
      <c r="I478" s="106"/>
      <c r="J478" s="154"/>
      <c r="K478" s="106"/>
      <c r="L478" s="121"/>
      <c r="M478" s="121"/>
      <c r="N478" s="106"/>
      <c r="O478" s="106"/>
      <c r="P478" s="106"/>
      <c r="Q478" s="106"/>
      <c r="R478" s="106"/>
      <c r="S478" s="106"/>
      <c r="T478" s="106"/>
      <c r="U478" s="106"/>
      <c r="V478" s="106"/>
      <c r="W478" s="106"/>
      <c r="X478" s="106"/>
      <c r="Y478" s="106"/>
    </row>
    <row r="479" spans="1:25" ht="15.75" customHeight="1">
      <c r="A479" s="106"/>
      <c r="B479" s="106"/>
      <c r="C479" s="106"/>
      <c r="D479" s="106"/>
      <c r="E479" s="106"/>
      <c r="F479" s="106"/>
      <c r="G479" s="106"/>
      <c r="H479" s="106"/>
      <c r="I479" s="106"/>
      <c r="J479" s="154"/>
      <c r="K479" s="106"/>
      <c r="L479" s="121"/>
      <c r="M479" s="121"/>
      <c r="N479" s="106"/>
      <c r="O479" s="106"/>
      <c r="P479" s="106"/>
      <c r="Q479" s="106"/>
      <c r="R479" s="106"/>
      <c r="S479" s="106"/>
      <c r="T479" s="106"/>
      <c r="U479" s="106"/>
      <c r="V479" s="106"/>
      <c r="W479" s="106"/>
      <c r="X479" s="106"/>
      <c r="Y479" s="106"/>
    </row>
    <row r="480" spans="1:25" ht="15.75" customHeight="1">
      <c r="A480" s="106"/>
      <c r="B480" s="106"/>
      <c r="C480" s="106"/>
      <c r="D480" s="106"/>
      <c r="E480" s="106"/>
      <c r="F480" s="106"/>
      <c r="G480" s="106"/>
      <c r="H480" s="106"/>
      <c r="I480" s="106"/>
      <c r="J480" s="154"/>
      <c r="K480" s="106"/>
      <c r="L480" s="121"/>
      <c r="M480" s="121"/>
      <c r="N480" s="106"/>
      <c r="O480" s="106"/>
      <c r="P480" s="106"/>
      <c r="Q480" s="106"/>
      <c r="R480" s="106"/>
      <c r="S480" s="106"/>
      <c r="T480" s="106"/>
      <c r="U480" s="106"/>
      <c r="V480" s="106"/>
      <c r="W480" s="106"/>
      <c r="X480" s="106"/>
      <c r="Y480" s="106"/>
    </row>
    <row r="481" spans="1:25" ht="15.75" customHeight="1">
      <c r="A481" s="106"/>
      <c r="B481" s="106"/>
      <c r="C481" s="106"/>
      <c r="D481" s="106"/>
      <c r="E481" s="106"/>
      <c r="F481" s="106"/>
      <c r="G481" s="106"/>
      <c r="H481" s="106"/>
      <c r="I481" s="106"/>
      <c r="J481" s="154"/>
      <c r="K481" s="106"/>
      <c r="L481" s="121"/>
      <c r="M481" s="121"/>
      <c r="N481" s="106"/>
      <c r="O481" s="106"/>
      <c r="P481" s="106"/>
      <c r="Q481" s="106"/>
      <c r="R481" s="106"/>
      <c r="S481" s="106"/>
      <c r="T481" s="106"/>
      <c r="U481" s="106"/>
      <c r="V481" s="106"/>
      <c r="W481" s="106"/>
      <c r="X481" s="106"/>
      <c r="Y481" s="106"/>
    </row>
    <row r="482" spans="1:25" ht="15.75" customHeight="1">
      <c r="A482" s="106"/>
      <c r="B482" s="106"/>
      <c r="C482" s="106"/>
      <c r="D482" s="106"/>
      <c r="E482" s="106"/>
      <c r="F482" s="106"/>
      <c r="G482" s="106"/>
      <c r="H482" s="106"/>
      <c r="I482" s="106"/>
      <c r="J482" s="154"/>
      <c r="K482" s="106"/>
      <c r="L482" s="121"/>
      <c r="M482" s="121"/>
      <c r="N482" s="106"/>
      <c r="O482" s="106"/>
      <c r="P482" s="106"/>
      <c r="Q482" s="106"/>
      <c r="R482" s="106"/>
      <c r="S482" s="106"/>
      <c r="T482" s="106"/>
      <c r="U482" s="106"/>
      <c r="V482" s="106"/>
      <c r="W482" s="106"/>
      <c r="X482" s="106"/>
      <c r="Y482" s="106"/>
    </row>
    <row r="483" spans="1:25" ht="15.75" customHeight="1">
      <c r="A483" s="106"/>
      <c r="B483" s="106"/>
      <c r="C483" s="106"/>
      <c r="D483" s="106"/>
      <c r="E483" s="106"/>
      <c r="F483" s="106"/>
      <c r="G483" s="106"/>
      <c r="H483" s="106"/>
      <c r="I483" s="106"/>
      <c r="J483" s="154"/>
      <c r="K483" s="106"/>
      <c r="L483" s="121"/>
      <c r="M483" s="121"/>
      <c r="N483" s="106"/>
      <c r="O483" s="106"/>
      <c r="P483" s="106"/>
      <c r="Q483" s="106"/>
      <c r="R483" s="106"/>
      <c r="S483" s="106"/>
      <c r="T483" s="106"/>
      <c r="U483" s="106"/>
      <c r="V483" s="106"/>
      <c r="W483" s="106"/>
      <c r="X483" s="106"/>
      <c r="Y483" s="106"/>
    </row>
    <row r="484" spans="1:25" ht="15.75" customHeight="1">
      <c r="A484" s="106"/>
      <c r="B484" s="106"/>
      <c r="C484" s="106"/>
      <c r="D484" s="106"/>
      <c r="E484" s="106"/>
      <c r="F484" s="106"/>
      <c r="G484" s="106"/>
      <c r="H484" s="106"/>
      <c r="I484" s="106"/>
      <c r="J484" s="154"/>
      <c r="K484" s="106"/>
      <c r="L484" s="121"/>
      <c r="M484" s="121"/>
      <c r="N484" s="106"/>
      <c r="O484" s="106"/>
      <c r="P484" s="106"/>
      <c r="Q484" s="106"/>
      <c r="R484" s="106"/>
      <c r="S484" s="106"/>
      <c r="T484" s="106"/>
      <c r="U484" s="106"/>
      <c r="V484" s="106"/>
      <c r="W484" s="106"/>
      <c r="X484" s="106"/>
      <c r="Y484" s="106"/>
    </row>
    <row r="485" spans="1:25" ht="15.75" customHeight="1">
      <c r="A485" s="106"/>
      <c r="B485" s="106"/>
      <c r="C485" s="106"/>
      <c r="D485" s="106"/>
      <c r="E485" s="106"/>
      <c r="F485" s="106"/>
      <c r="G485" s="106"/>
      <c r="H485" s="106"/>
      <c r="I485" s="106"/>
      <c r="J485" s="154"/>
      <c r="K485" s="106"/>
      <c r="L485" s="121"/>
      <c r="M485" s="121"/>
      <c r="N485" s="106"/>
      <c r="O485" s="106"/>
      <c r="P485" s="106"/>
      <c r="Q485" s="106"/>
      <c r="R485" s="106"/>
      <c r="S485" s="106"/>
      <c r="T485" s="106"/>
      <c r="U485" s="106"/>
      <c r="V485" s="106"/>
      <c r="W485" s="106"/>
      <c r="X485" s="106"/>
      <c r="Y485" s="106"/>
    </row>
    <row r="486" spans="1:25" ht="15.75" customHeight="1">
      <c r="A486" s="106"/>
      <c r="B486" s="106"/>
      <c r="C486" s="106"/>
      <c r="D486" s="106"/>
      <c r="E486" s="106"/>
      <c r="F486" s="106"/>
      <c r="G486" s="106"/>
      <c r="H486" s="106"/>
      <c r="I486" s="106"/>
      <c r="J486" s="154"/>
      <c r="K486" s="106"/>
      <c r="L486" s="121"/>
      <c r="M486" s="121"/>
      <c r="N486" s="106"/>
      <c r="O486" s="106"/>
      <c r="P486" s="106"/>
      <c r="Q486" s="106"/>
      <c r="R486" s="106"/>
      <c r="S486" s="106"/>
      <c r="T486" s="106"/>
      <c r="U486" s="106"/>
      <c r="V486" s="106"/>
      <c r="W486" s="106"/>
      <c r="X486" s="106"/>
      <c r="Y486" s="106"/>
    </row>
    <row r="487" spans="1:25" ht="15.75" customHeight="1">
      <c r="A487" s="106"/>
      <c r="B487" s="106"/>
      <c r="C487" s="106"/>
      <c r="D487" s="106"/>
      <c r="E487" s="106"/>
      <c r="F487" s="106"/>
      <c r="G487" s="106"/>
      <c r="H487" s="106"/>
      <c r="I487" s="106"/>
      <c r="J487" s="154"/>
      <c r="K487" s="106"/>
      <c r="L487" s="121"/>
      <c r="M487" s="121"/>
      <c r="N487" s="106"/>
      <c r="O487" s="106"/>
      <c r="P487" s="106"/>
      <c r="Q487" s="106"/>
      <c r="R487" s="106"/>
      <c r="S487" s="106"/>
      <c r="T487" s="106"/>
      <c r="U487" s="106"/>
      <c r="V487" s="106"/>
      <c r="W487" s="106"/>
      <c r="X487" s="106"/>
      <c r="Y487" s="106"/>
    </row>
    <row r="488" spans="1:25" ht="15.75" customHeight="1">
      <c r="A488" s="106"/>
      <c r="B488" s="106"/>
      <c r="C488" s="106"/>
      <c r="D488" s="106"/>
      <c r="E488" s="106"/>
      <c r="F488" s="106"/>
      <c r="G488" s="106"/>
      <c r="H488" s="106"/>
      <c r="I488" s="106"/>
      <c r="J488" s="154"/>
      <c r="K488" s="106"/>
      <c r="L488" s="121"/>
      <c r="M488" s="121"/>
      <c r="N488" s="106"/>
      <c r="O488" s="106"/>
      <c r="P488" s="106"/>
      <c r="Q488" s="106"/>
      <c r="R488" s="106"/>
      <c r="S488" s="106"/>
      <c r="T488" s="106"/>
      <c r="U488" s="106"/>
      <c r="V488" s="106"/>
      <c r="W488" s="106"/>
      <c r="X488" s="106"/>
      <c r="Y488" s="106"/>
    </row>
    <row r="489" spans="1:25" ht="15.75" customHeight="1">
      <c r="A489" s="106"/>
      <c r="B489" s="106"/>
      <c r="C489" s="106"/>
      <c r="D489" s="106"/>
      <c r="E489" s="106"/>
      <c r="F489" s="106"/>
      <c r="G489" s="106"/>
      <c r="H489" s="106"/>
      <c r="I489" s="106"/>
      <c r="J489" s="154"/>
      <c r="K489" s="106"/>
      <c r="L489" s="121"/>
      <c r="M489" s="121"/>
      <c r="N489" s="106"/>
      <c r="O489" s="106"/>
      <c r="P489" s="106"/>
      <c r="Q489" s="106"/>
      <c r="R489" s="106"/>
      <c r="S489" s="106"/>
      <c r="T489" s="106"/>
      <c r="U489" s="106"/>
      <c r="V489" s="106"/>
      <c r="W489" s="106"/>
      <c r="X489" s="106"/>
      <c r="Y489" s="106"/>
    </row>
    <row r="490" spans="1:25" ht="15.75" customHeight="1">
      <c r="A490" s="106"/>
      <c r="B490" s="106"/>
      <c r="C490" s="106"/>
      <c r="D490" s="106"/>
      <c r="E490" s="106"/>
      <c r="F490" s="106"/>
      <c r="G490" s="106"/>
      <c r="H490" s="106"/>
      <c r="I490" s="106"/>
      <c r="J490" s="154"/>
      <c r="K490" s="106"/>
      <c r="L490" s="121"/>
      <c r="M490" s="121"/>
      <c r="N490" s="106"/>
      <c r="O490" s="106"/>
      <c r="P490" s="106"/>
      <c r="Q490" s="106"/>
      <c r="R490" s="106"/>
      <c r="S490" s="106"/>
      <c r="T490" s="106"/>
      <c r="U490" s="106"/>
      <c r="V490" s="106"/>
      <c r="W490" s="106"/>
      <c r="X490" s="106"/>
      <c r="Y490" s="106"/>
    </row>
    <row r="491" spans="1:25" ht="15.75" customHeight="1">
      <c r="A491" s="106"/>
      <c r="B491" s="106"/>
      <c r="C491" s="106"/>
      <c r="D491" s="106"/>
      <c r="E491" s="106"/>
      <c r="F491" s="106"/>
      <c r="G491" s="106"/>
      <c r="H491" s="106"/>
      <c r="I491" s="106"/>
      <c r="J491" s="154"/>
      <c r="K491" s="106"/>
      <c r="L491" s="121"/>
      <c r="M491" s="121"/>
      <c r="N491" s="106"/>
      <c r="O491" s="106"/>
      <c r="P491" s="106"/>
      <c r="Q491" s="106"/>
      <c r="R491" s="106"/>
      <c r="S491" s="106"/>
      <c r="T491" s="106"/>
      <c r="U491" s="106"/>
      <c r="V491" s="106"/>
      <c r="W491" s="106"/>
      <c r="X491" s="106"/>
      <c r="Y491" s="106"/>
    </row>
    <row r="492" spans="1:25" ht="15.75" customHeight="1">
      <c r="A492" s="106"/>
      <c r="B492" s="106"/>
      <c r="C492" s="106"/>
      <c r="D492" s="106"/>
      <c r="E492" s="106"/>
      <c r="F492" s="106"/>
      <c r="G492" s="106"/>
      <c r="H492" s="106"/>
      <c r="I492" s="106"/>
      <c r="J492" s="154"/>
      <c r="K492" s="106"/>
      <c r="L492" s="121"/>
      <c r="M492" s="121"/>
      <c r="N492" s="106"/>
      <c r="O492" s="106"/>
      <c r="P492" s="106"/>
      <c r="Q492" s="106"/>
      <c r="R492" s="106"/>
      <c r="S492" s="106"/>
      <c r="T492" s="106"/>
      <c r="U492" s="106"/>
      <c r="V492" s="106"/>
      <c r="W492" s="106"/>
      <c r="X492" s="106"/>
      <c r="Y492" s="106"/>
    </row>
    <row r="493" spans="1:25" ht="15.75" customHeight="1">
      <c r="A493" s="106"/>
      <c r="B493" s="106"/>
      <c r="C493" s="106"/>
      <c r="D493" s="106"/>
      <c r="E493" s="106"/>
      <c r="F493" s="106"/>
      <c r="G493" s="106"/>
      <c r="H493" s="106"/>
      <c r="I493" s="106"/>
      <c r="J493" s="154"/>
      <c r="K493" s="106"/>
      <c r="L493" s="121"/>
      <c r="M493" s="121"/>
      <c r="N493" s="106"/>
      <c r="O493" s="106"/>
      <c r="P493" s="106"/>
      <c r="Q493" s="106"/>
      <c r="R493" s="106"/>
      <c r="S493" s="106"/>
      <c r="T493" s="106"/>
      <c r="U493" s="106"/>
      <c r="V493" s="106"/>
      <c r="W493" s="106"/>
      <c r="X493" s="106"/>
      <c r="Y493" s="106"/>
    </row>
    <row r="494" spans="1:25" ht="15.75" customHeight="1">
      <c r="A494" s="106"/>
      <c r="B494" s="106"/>
      <c r="C494" s="106"/>
      <c r="D494" s="106"/>
      <c r="E494" s="106"/>
      <c r="F494" s="106"/>
      <c r="G494" s="106"/>
      <c r="H494" s="106"/>
      <c r="I494" s="106"/>
      <c r="J494" s="154"/>
      <c r="K494" s="106"/>
      <c r="L494" s="121"/>
      <c r="M494" s="121"/>
      <c r="N494" s="106"/>
      <c r="O494" s="106"/>
      <c r="P494" s="106"/>
      <c r="Q494" s="106"/>
      <c r="R494" s="106"/>
      <c r="S494" s="106"/>
      <c r="T494" s="106"/>
      <c r="U494" s="106"/>
      <c r="V494" s="106"/>
      <c r="W494" s="106"/>
      <c r="X494" s="106"/>
      <c r="Y494" s="106"/>
    </row>
    <row r="495" spans="1:25" ht="15.75" customHeight="1">
      <c r="A495" s="106"/>
      <c r="B495" s="106"/>
      <c r="C495" s="106"/>
      <c r="D495" s="106"/>
      <c r="E495" s="106"/>
      <c r="F495" s="106"/>
      <c r="G495" s="106"/>
      <c r="H495" s="106"/>
      <c r="I495" s="106"/>
      <c r="J495" s="154"/>
      <c r="K495" s="106"/>
      <c r="L495" s="121"/>
      <c r="M495" s="121"/>
      <c r="N495" s="106"/>
      <c r="O495" s="106"/>
      <c r="P495" s="106"/>
      <c r="Q495" s="106"/>
      <c r="R495" s="106"/>
      <c r="S495" s="106"/>
      <c r="T495" s="106"/>
      <c r="U495" s="106"/>
      <c r="V495" s="106"/>
      <c r="W495" s="106"/>
      <c r="X495" s="106"/>
      <c r="Y495" s="106"/>
    </row>
    <row r="496" spans="1:25" ht="15.75" customHeight="1">
      <c r="A496" s="106"/>
      <c r="B496" s="106"/>
      <c r="C496" s="106"/>
      <c r="D496" s="106"/>
      <c r="E496" s="106"/>
      <c r="F496" s="106"/>
      <c r="G496" s="106"/>
      <c r="H496" s="106"/>
      <c r="I496" s="106"/>
      <c r="J496" s="154"/>
      <c r="K496" s="106"/>
      <c r="L496" s="121"/>
      <c r="M496" s="121"/>
      <c r="N496" s="106"/>
      <c r="O496" s="106"/>
      <c r="P496" s="106"/>
      <c r="Q496" s="106"/>
      <c r="R496" s="106"/>
      <c r="S496" s="106"/>
      <c r="T496" s="106"/>
      <c r="U496" s="106"/>
      <c r="V496" s="106"/>
      <c r="W496" s="106"/>
      <c r="X496" s="106"/>
      <c r="Y496" s="106"/>
    </row>
    <row r="497" spans="1:25" ht="15.75" customHeight="1">
      <c r="A497" s="106"/>
      <c r="B497" s="106"/>
      <c r="C497" s="106"/>
      <c r="D497" s="106"/>
      <c r="E497" s="106"/>
      <c r="F497" s="106"/>
      <c r="G497" s="106"/>
      <c r="H497" s="106"/>
      <c r="I497" s="106"/>
      <c r="J497" s="154"/>
      <c r="K497" s="106"/>
      <c r="L497" s="121"/>
      <c r="M497" s="121"/>
      <c r="N497" s="106"/>
      <c r="O497" s="106"/>
      <c r="P497" s="106"/>
      <c r="Q497" s="106"/>
      <c r="R497" s="106"/>
      <c r="S497" s="106"/>
      <c r="T497" s="106"/>
      <c r="U497" s="106"/>
      <c r="V497" s="106"/>
      <c r="W497" s="106"/>
      <c r="X497" s="106"/>
      <c r="Y497" s="106"/>
    </row>
    <row r="498" spans="1:25" ht="15.75" customHeight="1">
      <c r="A498" s="106"/>
      <c r="B498" s="106"/>
      <c r="C498" s="106"/>
      <c r="D498" s="106"/>
      <c r="E498" s="106"/>
      <c r="F498" s="106"/>
      <c r="G498" s="106"/>
      <c r="H498" s="106"/>
      <c r="I498" s="106"/>
      <c r="J498" s="154"/>
      <c r="K498" s="106"/>
      <c r="L498" s="121"/>
      <c r="M498" s="121"/>
      <c r="N498" s="106"/>
      <c r="O498" s="106"/>
      <c r="P498" s="106"/>
      <c r="Q498" s="106"/>
      <c r="R498" s="106"/>
      <c r="S498" s="106"/>
      <c r="T498" s="106"/>
      <c r="U498" s="106"/>
      <c r="V498" s="106"/>
      <c r="W498" s="106"/>
      <c r="X498" s="106"/>
      <c r="Y498" s="106"/>
    </row>
    <row r="499" spans="1:25" ht="15.75" customHeight="1">
      <c r="A499" s="106"/>
      <c r="B499" s="106"/>
      <c r="C499" s="106"/>
      <c r="D499" s="106"/>
      <c r="E499" s="106"/>
      <c r="F499" s="106"/>
      <c r="G499" s="106"/>
      <c r="H499" s="106"/>
      <c r="I499" s="106"/>
      <c r="J499" s="154"/>
      <c r="K499" s="106"/>
      <c r="L499" s="121"/>
      <c r="M499" s="121"/>
      <c r="N499" s="106"/>
      <c r="O499" s="106"/>
      <c r="P499" s="106"/>
      <c r="Q499" s="106"/>
      <c r="R499" s="106"/>
      <c r="S499" s="106"/>
      <c r="T499" s="106"/>
      <c r="U499" s="106"/>
      <c r="V499" s="106"/>
      <c r="W499" s="106"/>
      <c r="X499" s="106"/>
      <c r="Y499" s="106"/>
    </row>
    <row r="500" spans="1:25" ht="15.75" customHeight="1">
      <c r="A500" s="106"/>
      <c r="B500" s="106"/>
      <c r="C500" s="106"/>
      <c r="D500" s="106"/>
      <c r="E500" s="106"/>
      <c r="F500" s="106"/>
      <c r="G500" s="106"/>
      <c r="H500" s="106"/>
      <c r="I500" s="106"/>
      <c r="J500" s="154"/>
      <c r="K500" s="106"/>
      <c r="L500" s="121"/>
      <c r="M500" s="121"/>
      <c r="N500" s="106"/>
      <c r="O500" s="106"/>
      <c r="P500" s="106"/>
      <c r="Q500" s="106"/>
      <c r="R500" s="106"/>
      <c r="S500" s="106"/>
      <c r="T500" s="106"/>
      <c r="U500" s="106"/>
      <c r="V500" s="106"/>
      <c r="W500" s="106"/>
      <c r="X500" s="106"/>
      <c r="Y500" s="106"/>
    </row>
    <row r="501" spans="1:25" ht="15.75" customHeight="1">
      <c r="A501" s="106"/>
      <c r="B501" s="106"/>
      <c r="C501" s="106"/>
      <c r="D501" s="106"/>
      <c r="E501" s="106"/>
      <c r="F501" s="106"/>
      <c r="G501" s="106"/>
      <c r="H501" s="106"/>
      <c r="I501" s="106"/>
      <c r="J501" s="154"/>
      <c r="K501" s="106"/>
      <c r="L501" s="121"/>
      <c r="M501" s="121"/>
      <c r="N501" s="106"/>
      <c r="O501" s="106"/>
      <c r="P501" s="106"/>
      <c r="Q501" s="106"/>
      <c r="R501" s="106"/>
      <c r="S501" s="106"/>
      <c r="T501" s="106"/>
      <c r="U501" s="106"/>
      <c r="V501" s="106"/>
      <c r="W501" s="106"/>
      <c r="X501" s="106"/>
      <c r="Y501" s="106"/>
    </row>
    <row r="502" spans="1:25" ht="15.75" customHeight="1">
      <c r="A502" s="106"/>
      <c r="B502" s="106"/>
      <c r="C502" s="106"/>
      <c r="D502" s="106"/>
      <c r="E502" s="106"/>
      <c r="F502" s="106"/>
      <c r="G502" s="106"/>
      <c r="H502" s="106"/>
      <c r="I502" s="106"/>
      <c r="J502" s="154"/>
      <c r="K502" s="106"/>
      <c r="L502" s="121"/>
      <c r="M502" s="121"/>
      <c r="N502" s="106"/>
      <c r="O502" s="106"/>
      <c r="P502" s="106"/>
      <c r="Q502" s="106"/>
      <c r="R502" s="106"/>
      <c r="S502" s="106"/>
      <c r="T502" s="106"/>
      <c r="U502" s="106"/>
      <c r="V502" s="106"/>
      <c r="W502" s="106"/>
      <c r="X502" s="106"/>
      <c r="Y502" s="106"/>
    </row>
    <row r="503" spans="1:25" ht="15.75" customHeight="1">
      <c r="A503" s="106"/>
      <c r="B503" s="106"/>
      <c r="C503" s="106"/>
      <c r="D503" s="106"/>
      <c r="E503" s="106"/>
      <c r="F503" s="106"/>
      <c r="G503" s="106"/>
      <c r="H503" s="106"/>
      <c r="I503" s="106"/>
      <c r="J503" s="154"/>
      <c r="K503" s="106"/>
      <c r="L503" s="121"/>
      <c r="M503" s="121"/>
      <c r="N503" s="106"/>
      <c r="O503" s="106"/>
      <c r="P503" s="106"/>
      <c r="Q503" s="106"/>
      <c r="R503" s="106"/>
      <c r="S503" s="106"/>
      <c r="T503" s="106"/>
      <c r="U503" s="106"/>
      <c r="V503" s="106"/>
      <c r="W503" s="106"/>
      <c r="X503" s="106"/>
      <c r="Y503" s="106"/>
    </row>
    <row r="504" spans="1:25" ht="15.75" customHeight="1">
      <c r="A504" s="106"/>
      <c r="B504" s="106"/>
      <c r="C504" s="106"/>
      <c r="D504" s="106"/>
      <c r="E504" s="106"/>
      <c r="F504" s="106"/>
      <c r="G504" s="106"/>
      <c r="H504" s="106"/>
      <c r="I504" s="106"/>
      <c r="J504" s="154"/>
      <c r="K504" s="106"/>
      <c r="L504" s="121"/>
      <c r="M504" s="121"/>
      <c r="N504" s="106"/>
      <c r="O504" s="106"/>
      <c r="P504" s="106"/>
      <c r="Q504" s="106"/>
      <c r="R504" s="106"/>
      <c r="S504" s="106"/>
      <c r="T504" s="106"/>
      <c r="U504" s="106"/>
      <c r="V504" s="106"/>
      <c r="W504" s="106"/>
      <c r="X504" s="106"/>
      <c r="Y504" s="106"/>
    </row>
    <row r="505" spans="1:25" ht="15.75" customHeight="1">
      <c r="A505" s="106"/>
      <c r="B505" s="106"/>
      <c r="C505" s="106"/>
      <c r="D505" s="106"/>
      <c r="E505" s="106"/>
      <c r="F505" s="106"/>
      <c r="G505" s="106"/>
      <c r="H505" s="106"/>
      <c r="I505" s="106"/>
      <c r="J505" s="154"/>
      <c r="K505" s="106"/>
      <c r="L505" s="121"/>
      <c r="M505" s="121"/>
      <c r="N505" s="106"/>
      <c r="O505" s="106"/>
      <c r="P505" s="106"/>
      <c r="Q505" s="106"/>
      <c r="R505" s="106"/>
      <c r="S505" s="106"/>
      <c r="T505" s="106"/>
      <c r="U505" s="106"/>
      <c r="V505" s="106"/>
      <c r="W505" s="106"/>
      <c r="X505" s="106"/>
      <c r="Y505" s="106"/>
    </row>
    <row r="506" spans="1:25" ht="15.75" customHeight="1">
      <c r="A506" s="106"/>
      <c r="B506" s="106"/>
      <c r="C506" s="106"/>
      <c r="D506" s="106"/>
      <c r="E506" s="106"/>
      <c r="F506" s="106"/>
      <c r="G506" s="106"/>
      <c r="H506" s="106"/>
      <c r="I506" s="106"/>
      <c r="J506" s="154"/>
      <c r="K506" s="106"/>
      <c r="L506" s="121"/>
      <c r="M506" s="121"/>
      <c r="N506" s="106"/>
      <c r="O506" s="106"/>
      <c r="P506" s="106"/>
      <c r="Q506" s="106"/>
      <c r="R506" s="106"/>
      <c r="S506" s="106"/>
      <c r="T506" s="106"/>
      <c r="U506" s="106"/>
      <c r="V506" s="106"/>
      <c r="W506" s="106"/>
      <c r="X506" s="106"/>
      <c r="Y506" s="106"/>
    </row>
    <row r="507" spans="1:25" ht="15.75" customHeight="1">
      <c r="A507" s="106"/>
      <c r="B507" s="106"/>
      <c r="C507" s="106"/>
      <c r="D507" s="106"/>
      <c r="E507" s="106"/>
      <c r="F507" s="106"/>
      <c r="G507" s="106"/>
      <c r="H507" s="106"/>
      <c r="I507" s="106"/>
      <c r="J507" s="154"/>
      <c r="K507" s="106"/>
      <c r="L507" s="121"/>
      <c r="M507" s="121"/>
      <c r="N507" s="106"/>
      <c r="O507" s="106"/>
      <c r="P507" s="106"/>
      <c r="Q507" s="106"/>
      <c r="R507" s="106"/>
      <c r="S507" s="106"/>
      <c r="T507" s="106"/>
      <c r="U507" s="106"/>
      <c r="V507" s="106"/>
      <c r="W507" s="106"/>
      <c r="X507" s="106"/>
      <c r="Y507" s="106"/>
    </row>
    <row r="508" spans="1:25" ht="15.75" customHeight="1">
      <c r="A508" s="106"/>
      <c r="B508" s="106"/>
      <c r="C508" s="106"/>
      <c r="D508" s="106"/>
      <c r="E508" s="106"/>
      <c r="F508" s="106"/>
      <c r="G508" s="106"/>
      <c r="H508" s="106"/>
      <c r="I508" s="106"/>
      <c r="J508" s="154"/>
      <c r="K508" s="106"/>
      <c r="L508" s="121"/>
      <c r="M508" s="121"/>
      <c r="N508" s="106"/>
      <c r="O508" s="106"/>
      <c r="P508" s="106"/>
      <c r="Q508" s="106"/>
      <c r="R508" s="106"/>
      <c r="S508" s="106"/>
      <c r="T508" s="106"/>
      <c r="U508" s="106"/>
      <c r="V508" s="106"/>
      <c r="W508" s="106"/>
      <c r="X508" s="106"/>
      <c r="Y508" s="106"/>
    </row>
    <row r="509" spans="1:25" ht="15.75" customHeight="1">
      <c r="A509" s="106"/>
      <c r="B509" s="106"/>
      <c r="C509" s="106"/>
      <c r="D509" s="106"/>
      <c r="E509" s="106"/>
      <c r="F509" s="106"/>
      <c r="G509" s="106"/>
      <c r="H509" s="106"/>
      <c r="I509" s="106"/>
      <c r="J509" s="154"/>
      <c r="K509" s="106"/>
      <c r="L509" s="121"/>
      <c r="M509" s="121"/>
      <c r="N509" s="106"/>
      <c r="O509" s="106"/>
      <c r="P509" s="106"/>
      <c r="Q509" s="106"/>
      <c r="R509" s="106"/>
      <c r="S509" s="106"/>
      <c r="T509" s="106"/>
      <c r="U509" s="106"/>
      <c r="V509" s="106"/>
      <c r="W509" s="106"/>
      <c r="X509" s="106"/>
      <c r="Y509" s="106"/>
    </row>
    <row r="510" spans="1:25" ht="15.75" customHeight="1">
      <c r="A510" s="106"/>
      <c r="B510" s="106"/>
      <c r="C510" s="106"/>
      <c r="D510" s="106"/>
      <c r="E510" s="106"/>
      <c r="F510" s="106"/>
      <c r="G510" s="106"/>
      <c r="H510" s="106"/>
      <c r="I510" s="106"/>
      <c r="J510" s="154"/>
      <c r="K510" s="106"/>
      <c r="L510" s="121"/>
      <c r="M510" s="121"/>
      <c r="N510" s="106"/>
      <c r="O510" s="106"/>
      <c r="P510" s="106"/>
      <c r="Q510" s="106"/>
      <c r="R510" s="106"/>
      <c r="S510" s="106"/>
      <c r="T510" s="106"/>
      <c r="U510" s="106"/>
      <c r="V510" s="106"/>
      <c r="W510" s="106"/>
      <c r="X510" s="106"/>
      <c r="Y510" s="106"/>
    </row>
    <row r="511" spans="1:25" ht="15.75" customHeight="1">
      <c r="A511" s="106"/>
      <c r="B511" s="106"/>
      <c r="C511" s="106"/>
      <c r="D511" s="106"/>
      <c r="E511" s="106"/>
      <c r="F511" s="106"/>
      <c r="G511" s="106"/>
      <c r="H511" s="106"/>
      <c r="I511" s="106"/>
      <c r="J511" s="154"/>
      <c r="K511" s="106"/>
      <c r="L511" s="121"/>
      <c r="M511" s="121"/>
      <c r="N511" s="106"/>
      <c r="O511" s="106"/>
      <c r="P511" s="106"/>
      <c r="Q511" s="106"/>
      <c r="R511" s="106"/>
      <c r="S511" s="106"/>
      <c r="T511" s="106"/>
      <c r="U511" s="106"/>
      <c r="V511" s="106"/>
      <c r="W511" s="106"/>
      <c r="X511" s="106"/>
      <c r="Y511" s="106"/>
    </row>
    <row r="512" spans="1:25" ht="15.75" customHeight="1">
      <c r="A512" s="106"/>
      <c r="B512" s="106"/>
      <c r="C512" s="106"/>
      <c r="D512" s="106"/>
      <c r="E512" s="106"/>
      <c r="F512" s="106"/>
      <c r="G512" s="106"/>
      <c r="H512" s="106"/>
      <c r="I512" s="106"/>
      <c r="J512" s="154"/>
      <c r="K512" s="106"/>
      <c r="L512" s="121"/>
      <c r="M512" s="121"/>
      <c r="N512" s="106"/>
      <c r="O512" s="106"/>
      <c r="P512" s="106"/>
      <c r="Q512" s="106"/>
      <c r="R512" s="106"/>
      <c r="S512" s="106"/>
      <c r="T512" s="106"/>
      <c r="U512" s="106"/>
      <c r="V512" s="106"/>
      <c r="W512" s="106"/>
      <c r="X512" s="106"/>
      <c r="Y512" s="106"/>
    </row>
    <row r="513" spans="1:25" ht="15.75" customHeight="1">
      <c r="A513" s="106"/>
      <c r="B513" s="106"/>
      <c r="C513" s="106"/>
      <c r="D513" s="106"/>
      <c r="E513" s="106"/>
      <c r="F513" s="106"/>
      <c r="G513" s="106"/>
      <c r="H513" s="106"/>
      <c r="I513" s="106"/>
      <c r="J513" s="154"/>
      <c r="K513" s="106"/>
      <c r="L513" s="121"/>
      <c r="M513" s="121"/>
      <c r="N513" s="106"/>
      <c r="O513" s="106"/>
      <c r="P513" s="106"/>
      <c r="Q513" s="106"/>
      <c r="R513" s="106"/>
      <c r="S513" s="106"/>
      <c r="T513" s="106"/>
      <c r="U513" s="106"/>
      <c r="V513" s="106"/>
      <c r="W513" s="106"/>
      <c r="X513" s="106"/>
      <c r="Y513" s="106"/>
    </row>
    <row r="514" spans="1:25" ht="15.75" customHeight="1">
      <c r="A514" s="106"/>
      <c r="B514" s="106"/>
      <c r="C514" s="106"/>
      <c r="D514" s="106"/>
      <c r="E514" s="106"/>
      <c r="F514" s="106"/>
      <c r="G514" s="106"/>
      <c r="H514" s="106"/>
      <c r="I514" s="106"/>
      <c r="J514" s="154"/>
      <c r="K514" s="106"/>
      <c r="L514" s="121"/>
      <c r="M514" s="121"/>
      <c r="N514" s="106"/>
      <c r="O514" s="106"/>
      <c r="P514" s="106"/>
      <c r="Q514" s="106"/>
      <c r="R514" s="106"/>
      <c r="S514" s="106"/>
      <c r="T514" s="106"/>
      <c r="U514" s="106"/>
      <c r="V514" s="106"/>
      <c r="W514" s="106"/>
      <c r="X514" s="106"/>
      <c r="Y514" s="106"/>
    </row>
    <row r="515" spans="1:25" ht="15.75" customHeight="1">
      <c r="A515" s="106"/>
      <c r="B515" s="106"/>
      <c r="C515" s="106"/>
      <c r="D515" s="106"/>
      <c r="E515" s="106"/>
      <c r="F515" s="106"/>
      <c r="G515" s="106"/>
      <c r="H515" s="106"/>
      <c r="I515" s="106"/>
      <c r="J515" s="154"/>
      <c r="K515" s="106"/>
      <c r="L515" s="121"/>
      <c r="M515" s="121"/>
      <c r="N515" s="106"/>
      <c r="O515" s="106"/>
      <c r="P515" s="106"/>
      <c r="Q515" s="106"/>
      <c r="R515" s="106"/>
      <c r="S515" s="106"/>
      <c r="T515" s="106"/>
      <c r="U515" s="106"/>
      <c r="V515" s="106"/>
      <c r="W515" s="106"/>
      <c r="X515" s="106"/>
      <c r="Y515" s="106"/>
    </row>
    <row r="516" spans="1:25" ht="15.75" customHeight="1">
      <c r="A516" s="106"/>
      <c r="B516" s="106"/>
      <c r="C516" s="106"/>
      <c r="D516" s="106"/>
      <c r="E516" s="106"/>
      <c r="F516" s="106"/>
      <c r="G516" s="106"/>
      <c r="H516" s="106"/>
      <c r="I516" s="106"/>
      <c r="J516" s="154"/>
      <c r="K516" s="106"/>
      <c r="L516" s="121"/>
      <c r="M516" s="121"/>
      <c r="N516" s="106"/>
      <c r="O516" s="106"/>
      <c r="P516" s="106"/>
      <c r="Q516" s="106"/>
      <c r="R516" s="106"/>
      <c r="S516" s="106"/>
      <c r="T516" s="106"/>
      <c r="U516" s="106"/>
      <c r="V516" s="106"/>
      <c r="W516" s="106"/>
      <c r="X516" s="106"/>
      <c r="Y516" s="106"/>
    </row>
    <row r="517" spans="1:25" ht="15.75" customHeight="1">
      <c r="A517" s="106"/>
      <c r="B517" s="106"/>
      <c r="C517" s="106"/>
      <c r="D517" s="106"/>
      <c r="E517" s="106"/>
      <c r="F517" s="106"/>
      <c r="G517" s="106"/>
      <c r="H517" s="106"/>
      <c r="I517" s="106"/>
      <c r="J517" s="154"/>
      <c r="K517" s="106"/>
      <c r="L517" s="121"/>
      <c r="M517" s="121"/>
      <c r="N517" s="106"/>
      <c r="O517" s="106"/>
      <c r="P517" s="106"/>
      <c r="Q517" s="106"/>
      <c r="R517" s="106"/>
      <c r="S517" s="106"/>
      <c r="T517" s="106"/>
      <c r="U517" s="106"/>
      <c r="V517" s="106"/>
      <c r="W517" s="106"/>
      <c r="X517" s="106"/>
      <c r="Y517" s="106"/>
    </row>
    <row r="518" spans="1:25" ht="15.75" customHeight="1">
      <c r="A518" s="106"/>
      <c r="B518" s="106"/>
      <c r="C518" s="106"/>
      <c r="D518" s="106"/>
      <c r="E518" s="106"/>
      <c r="F518" s="106"/>
      <c r="G518" s="106"/>
      <c r="H518" s="106"/>
      <c r="I518" s="106"/>
      <c r="J518" s="154"/>
      <c r="K518" s="106"/>
      <c r="L518" s="121"/>
      <c r="M518" s="121"/>
      <c r="N518" s="106"/>
      <c r="O518" s="106"/>
      <c r="P518" s="106"/>
      <c r="Q518" s="106"/>
      <c r="R518" s="106"/>
      <c r="S518" s="106"/>
      <c r="T518" s="106"/>
      <c r="U518" s="106"/>
      <c r="V518" s="106"/>
      <c r="W518" s="106"/>
      <c r="X518" s="106"/>
      <c r="Y518" s="106"/>
    </row>
    <row r="519" spans="1:25" ht="15.75" customHeight="1">
      <c r="A519" s="106"/>
      <c r="B519" s="106"/>
      <c r="C519" s="106"/>
      <c r="D519" s="106"/>
      <c r="E519" s="106"/>
      <c r="F519" s="106"/>
      <c r="G519" s="106"/>
      <c r="H519" s="106"/>
      <c r="I519" s="106"/>
      <c r="J519" s="154"/>
      <c r="K519" s="106"/>
      <c r="L519" s="121"/>
      <c r="M519" s="121"/>
      <c r="N519" s="106"/>
      <c r="O519" s="106"/>
      <c r="P519" s="106"/>
      <c r="Q519" s="106"/>
      <c r="R519" s="106"/>
      <c r="S519" s="106"/>
      <c r="T519" s="106"/>
      <c r="U519" s="106"/>
      <c r="V519" s="106"/>
      <c r="W519" s="106"/>
      <c r="X519" s="106"/>
      <c r="Y519" s="106"/>
    </row>
    <row r="520" spans="1:25" ht="15.75" customHeight="1">
      <c r="A520" s="106"/>
      <c r="B520" s="106"/>
      <c r="C520" s="106"/>
      <c r="D520" s="106"/>
      <c r="E520" s="106"/>
      <c r="F520" s="106"/>
      <c r="G520" s="106"/>
      <c r="H520" s="106"/>
      <c r="I520" s="106"/>
      <c r="J520" s="154"/>
      <c r="K520" s="106"/>
      <c r="L520" s="121"/>
      <c r="M520" s="121"/>
      <c r="N520" s="106"/>
      <c r="O520" s="106"/>
      <c r="P520" s="106"/>
      <c r="Q520" s="106"/>
      <c r="R520" s="106"/>
      <c r="S520" s="106"/>
      <c r="T520" s="106"/>
      <c r="U520" s="106"/>
      <c r="V520" s="106"/>
      <c r="W520" s="106"/>
      <c r="X520" s="106"/>
      <c r="Y520" s="106"/>
    </row>
    <row r="521" spans="1:25" ht="15.75" customHeight="1">
      <c r="A521" s="106"/>
      <c r="B521" s="106"/>
      <c r="C521" s="106"/>
      <c r="D521" s="106"/>
      <c r="E521" s="106"/>
      <c r="F521" s="106"/>
      <c r="G521" s="106"/>
      <c r="H521" s="106"/>
      <c r="I521" s="106"/>
      <c r="J521" s="154"/>
      <c r="K521" s="106"/>
      <c r="L521" s="121"/>
      <c r="M521" s="121"/>
      <c r="N521" s="106"/>
      <c r="O521" s="106"/>
      <c r="P521" s="106"/>
      <c r="Q521" s="106"/>
      <c r="R521" s="106"/>
      <c r="S521" s="106"/>
      <c r="T521" s="106"/>
      <c r="U521" s="106"/>
      <c r="V521" s="106"/>
      <c r="W521" s="106"/>
      <c r="X521" s="106"/>
      <c r="Y521" s="106"/>
    </row>
    <row r="522" spans="1:25" ht="15.75" customHeight="1">
      <c r="A522" s="106"/>
      <c r="B522" s="106"/>
      <c r="C522" s="106"/>
      <c r="D522" s="106"/>
      <c r="E522" s="106"/>
      <c r="F522" s="106"/>
      <c r="G522" s="106"/>
      <c r="H522" s="106"/>
      <c r="I522" s="106"/>
      <c r="J522" s="154"/>
      <c r="K522" s="106"/>
      <c r="L522" s="121"/>
      <c r="M522" s="121"/>
      <c r="N522" s="106"/>
      <c r="O522" s="106"/>
      <c r="P522" s="106"/>
      <c r="Q522" s="106"/>
      <c r="R522" s="106"/>
      <c r="S522" s="106"/>
      <c r="T522" s="106"/>
      <c r="U522" s="106"/>
      <c r="V522" s="106"/>
      <c r="W522" s="106"/>
      <c r="X522" s="106"/>
      <c r="Y522" s="106"/>
    </row>
    <row r="523" spans="1:25" ht="15.75" customHeight="1">
      <c r="A523" s="106"/>
      <c r="B523" s="106"/>
      <c r="C523" s="106"/>
      <c r="D523" s="106"/>
      <c r="E523" s="106"/>
      <c r="F523" s="106"/>
      <c r="G523" s="106"/>
      <c r="H523" s="106"/>
      <c r="I523" s="106"/>
      <c r="J523" s="154"/>
      <c r="K523" s="106"/>
      <c r="L523" s="121"/>
      <c r="M523" s="121"/>
      <c r="N523" s="106"/>
      <c r="O523" s="106"/>
      <c r="P523" s="106"/>
      <c r="Q523" s="106"/>
      <c r="R523" s="106"/>
      <c r="S523" s="106"/>
      <c r="T523" s="106"/>
      <c r="U523" s="106"/>
      <c r="V523" s="106"/>
      <c r="W523" s="106"/>
      <c r="X523" s="106"/>
      <c r="Y523" s="106"/>
    </row>
    <row r="524" spans="1:25" ht="15.75" customHeight="1">
      <c r="A524" s="106"/>
      <c r="B524" s="106"/>
      <c r="C524" s="106"/>
      <c r="D524" s="106"/>
      <c r="E524" s="106"/>
      <c r="F524" s="106"/>
      <c r="G524" s="106"/>
      <c r="H524" s="106"/>
      <c r="I524" s="106"/>
      <c r="J524" s="154"/>
      <c r="K524" s="106"/>
      <c r="L524" s="121"/>
      <c r="M524" s="121"/>
      <c r="N524" s="106"/>
      <c r="O524" s="106"/>
      <c r="P524" s="106"/>
      <c r="Q524" s="106"/>
      <c r="R524" s="106"/>
      <c r="S524" s="106"/>
      <c r="T524" s="106"/>
      <c r="U524" s="106"/>
      <c r="V524" s="106"/>
      <c r="W524" s="106"/>
      <c r="X524" s="106"/>
      <c r="Y524" s="106"/>
    </row>
    <row r="525" spans="1:25" ht="15.75" customHeight="1">
      <c r="A525" s="106"/>
      <c r="B525" s="106"/>
      <c r="C525" s="106"/>
      <c r="D525" s="106"/>
      <c r="E525" s="106"/>
      <c r="F525" s="106"/>
      <c r="G525" s="106"/>
      <c r="H525" s="106"/>
      <c r="I525" s="106"/>
      <c r="J525" s="154"/>
      <c r="K525" s="106"/>
      <c r="L525" s="121"/>
      <c r="M525" s="121"/>
      <c r="N525" s="106"/>
      <c r="O525" s="106"/>
      <c r="P525" s="106"/>
      <c r="Q525" s="106"/>
      <c r="R525" s="106"/>
      <c r="S525" s="106"/>
      <c r="T525" s="106"/>
      <c r="U525" s="106"/>
      <c r="V525" s="106"/>
      <c r="W525" s="106"/>
      <c r="X525" s="106"/>
      <c r="Y525" s="106"/>
    </row>
    <row r="526" spans="1:25" ht="15.75" customHeight="1">
      <c r="A526" s="106"/>
      <c r="B526" s="106"/>
      <c r="C526" s="106"/>
      <c r="D526" s="106"/>
      <c r="E526" s="106"/>
      <c r="F526" s="106"/>
      <c r="G526" s="106"/>
      <c r="H526" s="106"/>
      <c r="I526" s="106"/>
      <c r="J526" s="154"/>
      <c r="K526" s="106"/>
      <c r="L526" s="121"/>
      <c r="M526" s="121"/>
      <c r="N526" s="106"/>
      <c r="O526" s="106"/>
      <c r="P526" s="106"/>
      <c r="Q526" s="106"/>
      <c r="R526" s="106"/>
      <c r="S526" s="106"/>
      <c r="T526" s="106"/>
      <c r="U526" s="106"/>
      <c r="V526" s="106"/>
      <c r="W526" s="106"/>
      <c r="X526" s="106"/>
      <c r="Y526" s="106"/>
    </row>
    <row r="527" spans="1:25" ht="15.75" customHeight="1">
      <c r="A527" s="106"/>
      <c r="B527" s="106"/>
      <c r="C527" s="106"/>
      <c r="D527" s="106"/>
      <c r="E527" s="106"/>
      <c r="F527" s="106"/>
      <c r="G527" s="106"/>
      <c r="H527" s="106"/>
      <c r="I527" s="106"/>
      <c r="J527" s="154"/>
      <c r="K527" s="106"/>
      <c r="L527" s="121"/>
      <c r="M527" s="121"/>
      <c r="N527" s="106"/>
      <c r="O527" s="106"/>
      <c r="P527" s="106"/>
      <c r="Q527" s="106"/>
      <c r="R527" s="106"/>
      <c r="S527" s="106"/>
      <c r="T527" s="106"/>
      <c r="U527" s="106"/>
      <c r="V527" s="106"/>
      <c r="W527" s="106"/>
      <c r="X527" s="106"/>
      <c r="Y527" s="106"/>
    </row>
    <row r="528" spans="1:25" ht="15.75" customHeight="1">
      <c r="A528" s="106"/>
      <c r="B528" s="106"/>
      <c r="C528" s="106"/>
      <c r="D528" s="106"/>
      <c r="E528" s="106"/>
      <c r="F528" s="106"/>
      <c r="G528" s="106"/>
      <c r="H528" s="106"/>
      <c r="I528" s="106"/>
      <c r="J528" s="154"/>
      <c r="K528" s="106"/>
      <c r="L528" s="121"/>
      <c r="M528" s="121"/>
      <c r="N528" s="106"/>
      <c r="O528" s="106"/>
      <c r="P528" s="106"/>
      <c r="Q528" s="106"/>
      <c r="R528" s="106"/>
      <c r="S528" s="106"/>
      <c r="T528" s="106"/>
      <c r="U528" s="106"/>
      <c r="V528" s="106"/>
      <c r="W528" s="106"/>
      <c r="X528" s="106"/>
      <c r="Y528" s="106"/>
    </row>
    <row r="529" spans="1:25" ht="15.75" customHeight="1">
      <c r="A529" s="106"/>
      <c r="B529" s="106"/>
      <c r="C529" s="106"/>
      <c r="D529" s="106"/>
      <c r="E529" s="106"/>
      <c r="F529" s="106"/>
      <c r="G529" s="106"/>
      <c r="H529" s="106"/>
      <c r="I529" s="106"/>
      <c r="J529" s="154"/>
      <c r="K529" s="106"/>
      <c r="L529" s="121"/>
      <c r="M529" s="121"/>
      <c r="N529" s="106"/>
      <c r="O529" s="106"/>
      <c r="P529" s="106"/>
      <c r="Q529" s="106"/>
      <c r="R529" s="106"/>
      <c r="S529" s="106"/>
      <c r="T529" s="106"/>
      <c r="U529" s="106"/>
      <c r="V529" s="106"/>
      <c r="W529" s="106"/>
      <c r="X529" s="106"/>
      <c r="Y529" s="106"/>
    </row>
    <row r="530" spans="1:25" ht="15.75" customHeight="1">
      <c r="A530" s="106"/>
      <c r="B530" s="106"/>
      <c r="C530" s="106"/>
      <c r="D530" s="106"/>
      <c r="E530" s="106"/>
      <c r="F530" s="106"/>
      <c r="G530" s="106"/>
      <c r="H530" s="106"/>
      <c r="I530" s="106"/>
      <c r="J530" s="154"/>
      <c r="K530" s="106"/>
      <c r="L530" s="121"/>
      <c r="M530" s="121"/>
      <c r="N530" s="106"/>
      <c r="O530" s="106"/>
      <c r="P530" s="106"/>
      <c r="Q530" s="106"/>
      <c r="R530" s="106"/>
      <c r="S530" s="106"/>
      <c r="T530" s="106"/>
      <c r="U530" s="106"/>
      <c r="V530" s="106"/>
      <c r="W530" s="106"/>
      <c r="X530" s="106"/>
      <c r="Y530" s="106"/>
    </row>
    <row r="531" spans="1:25" ht="15.75" customHeight="1">
      <c r="A531" s="106"/>
      <c r="B531" s="106"/>
      <c r="C531" s="106"/>
      <c r="D531" s="106"/>
      <c r="E531" s="106"/>
      <c r="F531" s="106"/>
      <c r="G531" s="106"/>
      <c r="H531" s="106"/>
      <c r="I531" s="106"/>
      <c r="J531" s="154"/>
      <c r="K531" s="106"/>
      <c r="L531" s="121"/>
      <c r="M531" s="121"/>
      <c r="N531" s="106"/>
      <c r="O531" s="106"/>
      <c r="P531" s="106"/>
      <c r="Q531" s="106"/>
      <c r="R531" s="106"/>
      <c r="S531" s="106"/>
      <c r="T531" s="106"/>
      <c r="U531" s="106"/>
      <c r="V531" s="106"/>
      <c r="W531" s="106"/>
      <c r="X531" s="106"/>
      <c r="Y531" s="106"/>
    </row>
    <row r="532" spans="1:25" ht="15.75" customHeight="1">
      <c r="A532" s="106"/>
      <c r="B532" s="106"/>
      <c r="C532" s="106"/>
      <c r="D532" s="106"/>
      <c r="E532" s="106"/>
      <c r="F532" s="106"/>
      <c r="G532" s="106"/>
      <c r="H532" s="106"/>
      <c r="I532" s="106"/>
      <c r="J532" s="154"/>
      <c r="K532" s="106"/>
      <c r="L532" s="121"/>
      <c r="M532" s="121"/>
      <c r="N532" s="106"/>
      <c r="O532" s="106"/>
      <c r="P532" s="106"/>
      <c r="Q532" s="106"/>
      <c r="R532" s="106"/>
      <c r="S532" s="106"/>
      <c r="T532" s="106"/>
      <c r="U532" s="106"/>
      <c r="V532" s="106"/>
      <c r="W532" s="106"/>
      <c r="X532" s="106"/>
      <c r="Y532" s="106"/>
    </row>
    <row r="533" spans="1:25" ht="15.75" customHeight="1">
      <c r="A533" s="106"/>
      <c r="B533" s="106"/>
      <c r="C533" s="106"/>
      <c r="D533" s="106"/>
      <c r="E533" s="106"/>
      <c r="F533" s="106"/>
      <c r="G533" s="106"/>
      <c r="H533" s="106"/>
      <c r="I533" s="106"/>
      <c r="J533" s="154"/>
      <c r="K533" s="106"/>
      <c r="L533" s="121"/>
      <c r="M533" s="121"/>
      <c r="N533" s="106"/>
      <c r="O533" s="106"/>
      <c r="P533" s="106"/>
      <c r="Q533" s="106"/>
      <c r="R533" s="106"/>
      <c r="S533" s="106"/>
      <c r="T533" s="106"/>
      <c r="U533" s="106"/>
      <c r="V533" s="106"/>
      <c r="W533" s="106"/>
      <c r="X533" s="106"/>
      <c r="Y533" s="106"/>
    </row>
    <row r="534" spans="1:25" ht="15.75" customHeight="1">
      <c r="A534" s="106"/>
      <c r="B534" s="106"/>
      <c r="C534" s="106"/>
      <c r="D534" s="106"/>
      <c r="E534" s="106"/>
      <c r="F534" s="106"/>
      <c r="G534" s="106"/>
      <c r="H534" s="106"/>
      <c r="I534" s="106"/>
      <c r="J534" s="154"/>
      <c r="K534" s="106"/>
      <c r="L534" s="121"/>
      <c r="M534" s="121"/>
      <c r="N534" s="106"/>
      <c r="O534" s="106"/>
      <c r="P534" s="106"/>
      <c r="Q534" s="106"/>
      <c r="R534" s="106"/>
      <c r="S534" s="106"/>
      <c r="T534" s="106"/>
      <c r="U534" s="106"/>
      <c r="V534" s="106"/>
      <c r="W534" s="106"/>
      <c r="X534" s="106"/>
      <c r="Y534" s="106"/>
    </row>
    <row r="535" spans="1:25" ht="15.75" customHeight="1">
      <c r="A535" s="106"/>
      <c r="B535" s="106"/>
      <c r="C535" s="106"/>
      <c r="D535" s="106"/>
      <c r="E535" s="106"/>
      <c r="F535" s="106"/>
      <c r="G535" s="106"/>
      <c r="H535" s="106"/>
      <c r="I535" s="106"/>
      <c r="J535" s="154"/>
      <c r="K535" s="106"/>
      <c r="L535" s="121"/>
      <c r="M535" s="121"/>
      <c r="N535" s="106"/>
      <c r="O535" s="106"/>
      <c r="P535" s="106"/>
      <c r="Q535" s="106"/>
      <c r="R535" s="106"/>
      <c r="S535" s="106"/>
      <c r="T535" s="106"/>
      <c r="U535" s="106"/>
      <c r="V535" s="106"/>
      <c r="W535" s="106"/>
      <c r="X535" s="106"/>
      <c r="Y535" s="106"/>
    </row>
    <row r="536" spans="1:25" ht="15.75" customHeight="1">
      <c r="A536" s="106"/>
      <c r="B536" s="106"/>
      <c r="C536" s="106"/>
      <c r="D536" s="106"/>
      <c r="E536" s="106"/>
      <c r="F536" s="106"/>
      <c r="G536" s="106"/>
      <c r="H536" s="106"/>
      <c r="I536" s="106"/>
      <c r="J536" s="154"/>
      <c r="K536" s="106"/>
      <c r="L536" s="121"/>
      <c r="M536" s="121"/>
      <c r="N536" s="106"/>
      <c r="O536" s="106"/>
      <c r="P536" s="106"/>
      <c r="Q536" s="106"/>
      <c r="R536" s="106"/>
      <c r="S536" s="106"/>
      <c r="T536" s="106"/>
      <c r="U536" s="106"/>
      <c r="V536" s="106"/>
      <c r="W536" s="106"/>
      <c r="X536" s="106"/>
      <c r="Y536" s="106"/>
    </row>
    <row r="537" spans="1:25" ht="15.75" customHeight="1">
      <c r="A537" s="106"/>
      <c r="B537" s="106"/>
      <c r="C537" s="106"/>
      <c r="D537" s="106"/>
      <c r="E537" s="106"/>
      <c r="F537" s="106"/>
      <c r="G537" s="106"/>
      <c r="H537" s="106"/>
      <c r="I537" s="106"/>
      <c r="J537" s="154"/>
      <c r="K537" s="106"/>
      <c r="L537" s="121"/>
      <c r="M537" s="121"/>
      <c r="N537" s="106"/>
      <c r="O537" s="106"/>
      <c r="P537" s="106"/>
      <c r="Q537" s="106"/>
      <c r="R537" s="106"/>
      <c r="S537" s="106"/>
      <c r="T537" s="106"/>
      <c r="U537" s="106"/>
      <c r="V537" s="106"/>
      <c r="W537" s="106"/>
      <c r="X537" s="106"/>
      <c r="Y537" s="106"/>
    </row>
    <row r="538" spans="1:25" ht="15.75" customHeight="1">
      <c r="A538" s="106"/>
      <c r="B538" s="106"/>
      <c r="C538" s="106"/>
      <c r="D538" s="106"/>
      <c r="E538" s="106"/>
      <c r="F538" s="106"/>
      <c r="G538" s="106"/>
      <c r="H538" s="106"/>
      <c r="I538" s="106"/>
      <c r="J538" s="154"/>
      <c r="K538" s="106"/>
      <c r="L538" s="121"/>
      <c r="M538" s="121"/>
      <c r="N538" s="106"/>
      <c r="O538" s="106"/>
      <c r="P538" s="106"/>
      <c r="Q538" s="106"/>
      <c r="R538" s="106"/>
      <c r="S538" s="106"/>
      <c r="T538" s="106"/>
      <c r="U538" s="106"/>
      <c r="V538" s="106"/>
      <c r="W538" s="106"/>
      <c r="X538" s="106"/>
      <c r="Y538" s="106"/>
    </row>
    <row r="539" spans="1:25" ht="15.75" customHeight="1">
      <c r="A539" s="106"/>
      <c r="B539" s="106"/>
      <c r="C539" s="106"/>
      <c r="D539" s="106"/>
      <c r="E539" s="106"/>
      <c r="F539" s="106"/>
      <c r="G539" s="106"/>
      <c r="H539" s="106"/>
      <c r="I539" s="106"/>
      <c r="J539" s="154"/>
      <c r="K539" s="106"/>
      <c r="L539" s="121"/>
      <c r="M539" s="121"/>
      <c r="N539" s="106"/>
      <c r="O539" s="106"/>
      <c r="P539" s="106"/>
      <c r="Q539" s="106"/>
      <c r="R539" s="106"/>
      <c r="S539" s="106"/>
      <c r="T539" s="106"/>
      <c r="U539" s="106"/>
      <c r="V539" s="106"/>
      <c r="W539" s="106"/>
      <c r="X539" s="106"/>
      <c r="Y539" s="106"/>
    </row>
    <row r="540" spans="1:25" ht="15.75" customHeight="1">
      <c r="A540" s="106"/>
      <c r="B540" s="106"/>
      <c r="C540" s="106"/>
      <c r="D540" s="106"/>
      <c r="E540" s="106"/>
      <c r="F540" s="106"/>
      <c r="G540" s="106"/>
      <c r="H540" s="106"/>
      <c r="I540" s="106"/>
      <c r="J540" s="154"/>
      <c r="K540" s="106"/>
      <c r="L540" s="121"/>
      <c r="M540" s="121"/>
      <c r="N540" s="106"/>
      <c r="O540" s="106"/>
      <c r="P540" s="106"/>
      <c r="Q540" s="106"/>
      <c r="R540" s="106"/>
      <c r="S540" s="106"/>
      <c r="T540" s="106"/>
      <c r="U540" s="106"/>
      <c r="V540" s="106"/>
      <c r="W540" s="106"/>
      <c r="X540" s="106"/>
      <c r="Y540" s="106"/>
    </row>
    <row r="541" spans="1:25" ht="15.75" customHeight="1">
      <c r="A541" s="106"/>
      <c r="B541" s="106"/>
      <c r="C541" s="106"/>
      <c r="D541" s="106"/>
      <c r="E541" s="106"/>
      <c r="F541" s="106"/>
      <c r="G541" s="106"/>
      <c r="H541" s="106"/>
      <c r="I541" s="106"/>
      <c r="J541" s="154"/>
      <c r="K541" s="106"/>
      <c r="L541" s="121"/>
      <c r="M541" s="121"/>
      <c r="N541" s="106"/>
      <c r="O541" s="106"/>
      <c r="P541" s="106"/>
      <c r="Q541" s="106"/>
      <c r="R541" s="106"/>
      <c r="S541" s="106"/>
      <c r="T541" s="106"/>
      <c r="U541" s="106"/>
      <c r="V541" s="106"/>
      <c r="W541" s="106"/>
      <c r="X541" s="106"/>
      <c r="Y541" s="106"/>
    </row>
    <row r="542" spans="1:25" ht="15.75" customHeight="1">
      <c r="A542" s="106"/>
      <c r="B542" s="106"/>
      <c r="C542" s="106"/>
      <c r="D542" s="106"/>
      <c r="E542" s="106"/>
      <c r="F542" s="106"/>
      <c r="G542" s="106"/>
      <c r="H542" s="106"/>
      <c r="I542" s="106"/>
      <c r="J542" s="154"/>
      <c r="K542" s="106"/>
      <c r="L542" s="121"/>
      <c r="M542" s="121"/>
      <c r="N542" s="106"/>
      <c r="O542" s="106"/>
      <c r="P542" s="106"/>
      <c r="Q542" s="106"/>
      <c r="R542" s="106"/>
      <c r="S542" s="106"/>
      <c r="T542" s="106"/>
      <c r="U542" s="106"/>
      <c r="V542" s="106"/>
      <c r="W542" s="106"/>
      <c r="X542" s="106"/>
      <c r="Y542" s="106"/>
    </row>
    <row r="543" spans="1:25" ht="15.75" customHeight="1">
      <c r="A543" s="106"/>
      <c r="B543" s="106"/>
      <c r="C543" s="106"/>
      <c r="D543" s="106"/>
      <c r="E543" s="106"/>
      <c r="F543" s="106"/>
      <c r="G543" s="106"/>
      <c r="H543" s="106"/>
      <c r="I543" s="106"/>
      <c r="J543" s="154"/>
      <c r="K543" s="106"/>
      <c r="L543" s="121"/>
      <c r="M543" s="121"/>
      <c r="N543" s="106"/>
      <c r="O543" s="106"/>
      <c r="P543" s="106"/>
      <c r="Q543" s="106"/>
      <c r="R543" s="106"/>
      <c r="S543" s="106"/>
      <c r="T543" s="106"/>
      <c r="U543" s="106"/>
      <c r="V543" s="106"/>
      <c r="W543" s="106"/>
      <c r="X543" s="106"/>
      <c r="Y543" s="106"/>
    </row>
    <row r="544" spans="1:25" ht="15.75" customHeight="1">
      <c r="A544" s="106"/>
      <c r="B544" s="106"/>
      <c r="C544" s="106"/>
      <c r="D544" s="106"/>
      <c r="E544" s="106"/>
      <c r="F544" s="106"/>
      <c r="G544" s="106"/>
      <c r="H544" s="106"/>
      <c r="I544" s="106"/>
      <c r="J544" s="154"/>
      <c r="K544" s="106"/>
      <c r="L544" s="121"/>
      <c r="M544" s="121"/>
      <c r="N544" s="106"/>
      <c r="O544" s="106"/>
      <c r="P544" s="106"/>
      <c r="Q544" s="106"/>
      <c r="R544" s="106"/>
      <c r="S544" s="106"/>
      <c r="T544" s="106"/>
      <c r="U544" s="106"/>
      <c r="V544" s="106"/>
      <c r="W544" s="106"/>
      <c r="X544" s="106"/>
      <c r="Y544" s="106"/>
    </row>
    <row r="545" spans="1:25" ht="15.75" customHeight="1">
      <c r="A545" s="106"/>
      <c r="B545" s="106"/>
      <c r="C545" s="106"/>
      <c r="D545" s="106"/>
      <c r="E545" s="106"/>
      <c r="F545" s="106"/>
      <c r="G545" s="106"/>
      <c r="H545" s="106"/>
      <c r="I545" s="106"/>
      <c r="J545" s="154"/>
      <c r="K545" s="106"/>
      <c r="L545" s="121"/>
      <c r="M545" s="121"/>
      <c r="N545" s="106"/>
      <c r="O545" s="106"/>
      <c r="P545" s="106"/>
      <c r="Q545" s="106"/>
      <c r="R545" s="106"/>
      <c r="S545" s="106"/>
      <c r="T545" s="106"/>
      <c r="U545" s="106"/>
      <c r="V545" s="106"/>
      <c r="W545" s="106"/>
      <c r="X545" s="106"/>
      <c r="Y545" s="106"/>
    </row>
    <row r="546" spans="1:25" ht="15.75" customHeight="1">
      <c r="A546" s="106"/>
      <c r="B546" s="106"/>
      <c r="C546" s="106"/>
      <c r="D546" s="106"/>
      <c r="E546" s="106"/>
      <c r="F546" s="106"/>
      <c r="G546" s="106"/>
      <c r="H546" s="106"/>
      <c r="I546" s="106"/>
      <c r="J546" s="154"/>
      <c r="K546" s="106"/>
      <c r="L546" s="121"/>
      <c r="M546" s="121"/>
      <c r="N546" s="106"/>
      <c r="O546" s="106"/>
      <c r="P546" s="106"/>
      <c r="Q546" s="106"/>
      <c r="R546" s="106"/>
      <c r="S546" s="106"/>
      <c r="T546" s="106"/>
      <c r="U546" s="106"/>
      <c r="V546" s="106"/>
      <c r="W546" s="106"/>
      <c r="X546" s="106"/>
      <c r="Y546" s="106"/>
    </row>
    <row r="547" spans="1:25" ht="15.75" customHeight="1">
      <c r="A547" s="106"/>
      <c r="B547" s="106"/>
      <c r="C547" s="106"/>
      <c r="D547" s="106"/>
      <c r="E547" s="106"/>
      <c r="F547" s="106"/>
      <c r="G547" s="106"/>
      <c r="H547" s="106"/>
      <c r="I547" s="106"/>
      <c r="J547" s="154"/>
      <c r="K547" s="106"/>
      <c r="L547" s="121"/>
      <c r="M547" s="121"/>
      <c r="N547" s="106"/>
      <c r="O547" s="106"/>
      <c r="P547" s="106"/>
      <c r="Q547" s="106"/>
      <c r="R547" s="106"/>
      <c r="S547" s="106"/>
      <c r="T547" s="106"/>
      <c r="U547" s="106"/>
      <c r="V547" s="106"/>
      <c r="W547" s="106"/>
      <c r="X547" s="106"/>
      <c r="Y547" s="106"/>
    </row>
    <row r="548" spans="1:25" ht="15.75" customHeight="1">
      <c r="A548" s="106"/>
      <c r="B548" s="106"/>
      <c r="C548" s="106"/>
      <c r="D548" s="106"/>
      <c r="E548" s="106"/>
      <c r="F548" s="106"/>
      <c r="G548" s="106"/>
      <c r="H548" s="106"/>
      <c r="I548" s="106"/>
      <c r="J548" s="154"/>
      <c r="K548" s="106"/>
      <c r="L548" s="121"/>
      <c r="M548" s="121"/>
      <c r="N548" s="106"/>
      <c r="O548" s="106"/>
      <c r="P548" s="106"/>
      <c r="Q548" s="106"/>
      <c r="R548" s="106"/>
      <c r="S548" s="106"/>
      <c r="T548" s="106"/>
      <c r="U548" s="106"/>
      <c r="V548" s="106"/>
      <c r="W548" s="106"/>
      <c r="X548" s="106"/>
      <c r="Y548" s="106"/>
    </row>
    <row r="549" spans="1:25" ht="15.75" customHeight="1">
      <c r="A549" s="106"/>
      <c r="B549" s="106"/>
      <c r="C549" s="106"/>
      <c r="D549" s="106"/>
      <c r="E549" s="106"/>
      <c r="F549" s="106"/>
      <c r="G549" s="106"/>
      <c r="H549" s="106"/>
      <c r="I549" s="106"/>
      <c r="J549" s="154"/>
      <c r="K549" s="106"/>
      <c r="L549" s="121"/>
      <c r="M549" s="121"/>
      <c r="N549" s="106"/>
      <c r="O549" s="106"/>
      <c r="P549" s="106"/>
      <c r="Q549" s="106"/>
      <c r="R549" s="106"/>
      <c r="S549" s="106"/>
      <c r="T549" s="106"/>
      <c r="U549" s="106"/>
      <c r="V549" s="106"/>
      <c r="W549" s="106"/>
      <c r="X549" s="106"/>
      <c r="Y549" s="106"/>
    </row>
    <row r="550" spans="1:25" ht="15.75" customHeight="1">
      <c r="A550" s="106"/>
      <c r="B550" s="106"/>
      <c r="C550" s="106"/>
      <c r="D550" s="106"/>
      <c r="E550" s="106"/>
      <c r="F550" s="106"/>
      <c r="G550" s="106"/>
      <c r="H550" s="106"/>
      <c r="I550" s="106"/>
      <c r="J550" s="154"/>
      <c r="K550" s="106"/>
      <c r="L550" s="121"/>
      <c r="M550" s="121"/>
      <c r="N550" s="106"/>
      <c r="O550" s="106"/>
      <c r="P550" s="106"/>
      <c r="Q550" s="106"/>
      <c r="R550" s="106"/>
      <c r="S550" s="106"/>
      <c r="T550" s="106"/>
      <c r="U550" s="106"/>
      <c r="V550" s="106"/>
      <c r="W550" s="106"/>
      <c r="X550" s="106"/>
      <c r="Y550" s="106"/>
    </row>
    <row r="551" spans="1:25" ht="15.75" customHeight="1">
      <c r="A551" s="106"/>
      <c r="B551" s="106"/>
      <c r="C551" s="106"/>
      <c r="D551" s="106"/>
      <c r="E551" s="106"/>
      <c r="F551" s="106"/>
      <c r="G551" s="106"/>
      <c r="H551" s="106"/>
      <c r="I551" s="106"/>
      <c r="J551" s="154"/>
      <c r="K551" s="106"/>
      <c r="L551" s="121"/>
      <c r="M551" s="121"/>
      <c r="N551" s="106"/>
      <c r="O551" s="106"/>
      <c r="P551" s="106"/>
      <c r="Q551" s="106"/>
      <c r="R551" s="106"/>
      <c r="S551" s="106"/>
      <c r="T551" s="106"/>
      <c r="U551" s="106"/>
      <c r="V551" s="106"/>
      <c r="W551" s="106"/>
      <c r="X551" s="106"/>
      <c r="Y551" s="106"/>
    </row>
    <row r="552" spans="1:25" ht="15.75" customHeight="1">
      <c r="A552" s="106"/>
      <c r="B552" s="106"/>
      <c r="C552" s="106"/>
      <c r="D552" s="106"/>
      <c r="E552" s="106"/>
      <c r="F552" s="106"/>
      <c r="G552" s="106"/>
      <c r="H552" s="106"/>
      <c r="I552" s="106"/>
      <c r="J552" s="154"/>
      <c r="K552" s="106"/>
      <c r="L552" s="121"/>
      <c r="M552" s="121"/>
      <c r="N552" s="106"/>
      <c r="O552" s="106"/>
      <c r="P552" s="106"/>
      <c r="Q552" s="106"/>
      <c r="R552" s="106"/>
      <c r="S552" s="106"/>
      <c r="T552" s="106"/>
      <c r="U552" s="106"/>
      <c r="V552" s="106"/>
      <c r="W552" s="106"/>
      <c r="X552" s="106"/>
      <c r="Y552" s="106"/>
    </row>
    <row r="553" spans="1:25" ht="15.75" customHeight="1">
      <c r="A553" s="106"/>
      <c r="B553" s="106"/>
      <c r="C553" s="106"/>
      <c r="D553" s="106"/>
      <c r="E553" s="106"/>
      <c r="F553" s="106"/>
      <c r="G553" s="106"/>
      <c r="H553" s="106"/>
      <c r="I553" s="106"/>
      <c r="J553" s="154"/>
      <c r="K553" s="106"/>
      <c r="L553" s="121"/>
      <c r="M553" s="121"/>
      <c r="N553" s="106"/>
      <c r="O553" s="106"/>
      <c r="P553" s="106"/>
      <c r="Q553" s="106"/>
      <c r="R553" s="106"/>
      <c r="S553" s="106"/>
      <c r="T553" s="106"/>
      <c r="U553" s="106"/>
      <c r="V553" s="106"/>
      <c r="W553" s="106"/>
      <c r="X553" s="106"/>
      <c r="Y553" s="106"/>
    </row>
    <row r="554" spans="1:25" ht="15.75" customHeight="1">
      <c r="A554" s="106"/>
      <c r="B554" s="106"/>
      <c r="C554" s="106"/>
      <c r="D554" s="106"/>
      <c r="E554" s="106"/>
      <c r="F554" s="106"/>
      <c r="G554" s="106"/>
      <c r="H554" s="106"/>
      <c r="I554" s="106"/>
      <c r="J554" s="154"/>
      <c r="K554" s="106"/>
      <c r="L554" s="121"/>
      <c r="M554" s="121"/>
      <c r="N554" s="106"/>
      <c r="O554" s="106"/>
      <c r="P554" s="106"/>
      <c r="Q554" s="106"/>
      <c r="R554" s="106"/>
      <c r="S554" s="106"/>
      <c r="T554" s="106"/>
      <c r="U554" s="106"/>
      <c r="V554" s="106"/>
      <c r="W554" s="106"/>
      <c r="X554" s="106"/>
      <c r="Y554" s="106"/>
    </row>
    <row r="555" spans="1:25" ht="15.75" customHeight="1">
      <c r="A555" s="106"/>
      <c r="B555" s="106"/>
      <c r="C555" s="106"/>
      <c r="D555" s="106"/>
      <c r="E555" s="106"/>
      <c r="F555" s="106"/>
      <c r="G555" s="106"/>
      <c r="H555" s="106"/>
      <c r="I555" s="106"/>
      <c r="J555" s="154"/>
      <c r="K555" s="106"/>
      <c r="L555" s="121"/>
      <c r="M555" s="121"/>
      <c r="N555" s="106"/>
      <c r="O555" s="106"/>
      <c r="P555" s="106"/>
      <c r="Q555" s="106"/>
      <c r="R555" s="106"/>
      <c r="S555" s="106"/>
      <c r="T555" s="106"/>
      <c r="U555" s="106"/>
      <c r="V555" s="106"/>
      <c r="W555" s="106"/>
      <c r="X555" s="106"/>
      <c r="Y555" s="106"/>
    </row>
    <row r="556" spans="1:25" ht="15.75" customHeight="1">
      <c r="A556" s="106"/>
      <c r="B556" s="106"/>
      <c r="C556" s="106"/>
      <c r="D556" s="106"/>
      <c r="E556" s="106"/>
      <c r="F556" s="106"/>
      <c r="G556" s="106"/>
      <c r="H556" s="106"/>
      <c r="I556" s="106"/>
      <c r="J556" s="154"/>
      <c r="K556" s="106"/>
      <c r="L556" s="121"/>
      <c r="M556" s="121"/>
      <c r="N556" s="106"/>
      <c r="O556" s="106"/>
      <c r="P556" s="106"/>
      <c r="Q556" s="106"/>
      <c r="R556" s="106"/>
      <c r="S556" s="106"/>
      <c r="T556" s="106"/>
      <c r="U556" s="106"/>
      <c r="V556" s="106"/>
      <c r="W556" s="106"/>
      <c r="X556" s="106"/>
      <c r="Y556" s="106"/>
    </row>
    <row r="557" spans="1:25" ht="15.75" customHeight="1">
      <c r="A557" s="106"/>
      <c r="B557" s="106"/>
      <c r="C557" s="106"/>
      <c r="D557" s="106"/>
      <c r="E557" s="106"/>
      <c r="F557" s="106"/>
      <c r="G557" s="106"/>
      <c r="H557" s="106"/>
      <c r="I557" s="106"/>
      <c r="J557" s="154"/>
      <c r="K557" s="106"/>
      <c r="L557" s="121"/>
      <c r="M557" s="121"/>
      <c r="N557" s="106"/>
      <c r="O557" s="106"/>
      <c r="P557" s="106"/>
      <c r="Q557" s="106"/>
      <c r="R557" s="106"/>
      <c r="S557" s="106"/>
      <c r="T557" s="106"/>
      <c r="U557" s="106"/>
      <c r="V557" s="106"/>
      <c r="W557" s="106"/>
      <c r="X557" s="106"/>
      <c r="Y557" s="106"/>
    </row>
    <row r="558" spans="1:25" ht="15.75" customHeight="1">
      <c r="A558" s="106"/>
      <c r="B558" s="106"/>
      <c r="C558" s="106"/>
      <c r="D558" s="106"/>
      <c r="E558" s="106"/>
      <c r="F558" s="106"/>
      <c r="G558" s="106"/>
      <c r="H558" s="106"/>
      <c r="I558" s="106"/>
      <c r="J558" s="154"/>
      <c r="K558" s="106"/>
      <c r="L558" s="121"/>
      <c r="M558" s="121"/>
      <c r="N558" s="106"/>
      <c r="O558" s="106"/>
      <c r="P558" s="106"/>
      <c r="Q558" s="106"/>
      <c r="R558" s="106"/>
      <c r="S558" s="106"/>
      <c r="T558" s="106"/>
      <c r="U558" s="106"/>
      <c r="V558" s="106"/>
      <c r="W558" s="106"/>
      <c r="X558" s="106"/>
      <c r="Y558" s="106"/>
    </row>
    <row r="559" spans="1:25" ht="15.75" customHeight="1">
      <c r="A559" s="106"/>
      <c r="B559" s="106"/>
      <c r="C559" s="106"/>
      <c r="D559" s="106"/>
      <c r="E559" s="106"/>
      <c r="F559" s="106"/>
      <c r="G559" s="106"/>
      <c r="H559" s="106"/>
      <c r="I559" s="106"/>
      <c r="J559" s="154"/>
      <c r="K559" s="106"/>
      <c r="L559" s="121"/>
      <c r="M559" s="121"/>
      <c r="N559" s="106"/>
      <c r="O559" s="106"/>
      <c r="P559" s="106"/>
      <c r="Q559" s="106"/>
      <c r="R559" s="106"/>
      <c r="S559" s="106"/>
      <c r="T559" s="106"/>
      <c r="U559" s="106"/>
      <c r="V559" s="106"/>
      <c r="W559" s="106"/>
      <c r="X559" s="106"/>
      <c r="Y559" s="106"/>
    </row>
    <row r="560" spans="1:25" ht="15.75" customHeight="1">
      <c r="A560" s="106"/>
      <c r="B560" s="106"/>
      <c r="C560" s="106"/>
      <c r="D560" s="106"/>
      <c r="E560" s="106"/>
      <c r="F560" s="106"/>
      <c r="G560" s="106"/>
      <c r="H560" s="106"/>
      <c r="I560" s="106"/>
      <c r="J560" s="154"/>
      <c r="K560" s="106"/>
      <c r="L560" s="121"/>
      <c r="M560" s="121"/>
      <c r="N560" s="106"/>
      <c r="O560" s="106"/>
      <c r="P560" s="106"/>
      <c r="Q560" s="106"/>
      <c r="R560" s="106"/>
      <c r="S560" s="106"/>
      <c r="T560" s="106"/>
      <c r="U560" s="106"/>
      <c r="V560" s="106"/>
      <c r="W560" s="106"/>
      <c r="X560" s="106"/>
      <c r="Y560" s="106"/>
    </row>
    <row r="561" spans="1:25" ht="15.75" customHeight="1">
      <c r="A561" s="106"/>
      <c r="B561" s="106"/>
      <c r="C561" s="106"/>
      <c r="D561" s="106"/>
      <c r="E561" s="106"/>
      <c r="F561" s="106"/>
      <c r="G561" s="106"/>
      <c r="H561" s="106"/>
      <c r="I561" s="106"/>
      <c r="J561" s="154"/>
      <c r="K561" s="106"/>
      <c r="L561" s="121"/>
      <c r="M561" s="121"/>
      <c r="N561" s="106"/>
      <c r="O561" s="106"/>
      <c r="P561" s="106"/>
      <c r="Q561" s="106"/>
      <c r="R561" s="106"/>
      <c r="S561" s="106"/>
      <c r="T561" s="106"/>
      <c r="U561" s="106"/>
      <c r="V561" s="106"/>
      <c r="W561" s="106"/>
      <c r="X561" s="106"/>
      <c r="Y561" s="106"/>
    </row>
    <row r="562" spans="1:25" ht="15.75" customHeight="1">
      <c r="A562" s="106"/>
      <c r="B562" s="106"/>
      <c r="C562" s="106"/>
      <c r="D562" s="106"/>
      <c r="E562" s="106"/>
      <c r="F562" s="106"/>
      <c r="G562" s="106"/>
      <c r="H562" s="106"/>
      <c r="I562" s="106"/>
      <c r="J562" s="154"/>
      <c r="K562" s="106"/>
      <c r="L562" s="121"/>
      <c r="M562" s="121"/>
      <c r="N562" s="106"/>
      <c r="O562" s="106"/>
      <c r="P562" s="106"/>
      <c r="Q562" s="106"/>
      <c r="R562" s="106"/>
      <c r="S562" s="106"/>
      <c r="T562" s="106"/>
      <c r="U562" s="106"/>
      <c r="V562" s="106"/>
      <c r="W562" s="106"/>
      <c r="X562" s="106"/>
      <c r="Y562" s="106"/>
    </row>
    <row r="563" spans="1:25" ht="15.75" customHeight="1">
      <c r="A563" s="106"/>
      <c r="B563" s="106"/>
      <c r="C563" s="106"/>
      <c r="D563" s="106"/>
      <c r="E563" s="106"/>
      <c r="F563" s="106"/>
      <c r="G563" s="106"/>
      <c r="H563" s="106"/>
      <c r="I563" s="106"/>
      <c r="J563" s="154"/>
      <c r="K563" s="106"/>
      <c r="L563" s="121"/>
      <c r="M563" s="121"/>
      <c r="N563" s="106"/>
      <c r="O563" s="106"/>
      <c r="P563" s="106"/>
      <c r="Q563" s="106"/>
      <c r="R563" s="106"/>
      <c r="S563" s="106"/>
      <c r="T563" s="106"/>
      <c r="U563" s="106"/>
      <c r="V563" s="106"/>
      <c r="W563" s="106"/>
      <c r="X563" s="106"/>
      <c r="Y563" s="106"/>
    </row>
    <row r="564" spans="1:25" ht="15.75" customHeight="1">
      <c r="A564" s="106"/>
      <c r="B564" s="106"/>
      <c r="C564" s="106"/>
      <c r="D564" s="106"/>
      <c r="E564" s="106"/>
      <c r="F564" s="106"/>
      <c r="G564" s="106"/>
      <c r="H564" s="106"/>
      <c r="I564" s="106"/>
      <c r="J564" s="154"/>
      <c r="K564" s="106"/>
      <c r="L564" s="121"/>
      <c r="M564" s="121"/>
      <c r="N564" s="106"/>
      <c r="O564" s="106"/>
      <c r="P564" s="106"/>
      <c r="Q564" s="106"/>
      <c r="R564" s="106"/>
      <c r="S564" s="106"/>
      <c r="T564" s="106"/>
      <c r="U564" s="106"/>
      <c r="V564" s="106"/>
      <c r="W564" s="106"/>
      <c r="X564" s="106"/>
      <c r="Y564" s="106"/>
    </row>
    <row r="565" spans="1:25" ht="15.75" customHeight="1">
      <c r="A565" s="106"/>
      <c r="B565" s="106"/>
      <c r="C565" s="106"/>
      <c r="D565" s="106"/>
      <c r="E565" s="106"/>
      <c r="F565" s="106"/>
      <c r="G565" s="106"/>
      <c r="H565" s="106"/>
      <c r="I565" s="106"/>
      <c r="J565" s="154"/>
      <c r="K565" s="106"/>
      <c r="L565" s="121"/>
      <c r="M565" s="121"/>
      <c r="N565" s="106"/>
      <c r="O565" s="106"/>
      <c r="P565" s="106"/>
      <c r="Q565" s="106"/>
      <c r="R565" s="106"/>
      <c r="S565" s="106"/>
      <c r="T565" s="106"/>
      <c r="U565" s="106"/>
      <c r="V565" s="106"/>
      <c r="W565" s="106"/>
      <c r="X565" s="106"/>
      <c r="Y565" s="106"/>
    </row>
    <row r="566" spans="1:25" ht="15.75" customHeight="1">
      <c r="A566" s="106"/>
      <c r="B566" s="106"/>
      <c r="C566" s="106"/>
      <c r="D566" s="106"/>
      <c r="E566" s="106"/>
      <c r="F566" s="106"/>
      <c r="G566" s="106"/>
      <c r="H566" s="106"/>
      <c r="I566" s="106"/>
      <c r="J566" s="154"/>
      <c r="K566" s="106"/>
      <c r="L566" s="121"/>
      <c r="M566" s="121"/>
      <c r="N566" s="106"/>
      <c r="O566" s="106"/>
      <c r="P566" s="106"/>
      <c r="Q566" s="106"/>
      <c r="R566" s="106"/>
      <c r="S566" s="106"/>
      <c r="T566" s="106"/>
      <c r="U566" s="106"/>
      <c r="V566" s="106"/>
      <c r="W566" s="106"/>
      <c r="X566" s="106"/>
      <c r="Y566" s="106"/>
    </row>
    <row r="567" spans="1:25" ht="15.75" customHeight="1">
      <c r="A567" s="106"/>
      <c r="B567" s="106"/>
      <c r="C567" s="106"/>
      <c r="D567" s="106"/>
      <c r="E567" s="106"/>
      <c r="F567" s="106"/>
      <c r="G567" s="106"/>
      <c r="H567" s="106"/>
      <c r="I567" s="106"/>
      <c r="J567" s="154"/>
      <c r="K567" s="106"/>
      <c r="L567" s="121"/>
      <c r="M567" s="121"/>
      <c r="N567" s="106"/>
      <c r="O567" s="106"/>
      <c r="P567" s="106"/>
      <c r="Q567" s="106"/>
      <c r="R567" s="106"/>
      <c r="S567" s="106"/>
      <c r="T567" s="106"/>
      <c r="U567" s="106"/>
      <c r="V567" s="106"/>
      <c r="W567" s="106"/>
      <c r="X567" s="106"/>
      <c r="Y567" s="106"/>
    </row>
    <row r="568" spans="1:25" ht="15.75" customHeight="1">
      <c r="A568" s="106"/>
      <c r="B568" s="106"/>
      <c r="C568" s="106"/>
      <c r="D568" s="106"/>
      <c r="E568" s="106"/>
      <c r="F568" s="106"/>
      <c r="G568" s="106"/>
      <c r="H568" s="106"/>
      <c r="I568" s="106"/>
      <c r="J568" s="154"/>
      <c r="K568" s="106"/>
      <c r="L568" s="121"/>
      <c r="M568" s="121"/>
      <c r="N568" s="106"/>
      <c r="O568" s="106"/>
      <c r="P568" s="106"/>
      <c r="Q568" s="106"/>
      <c r="R568" s="106"/>
      <c r="S568" s="106"/>
      <c r="T568" s="106"/>
      <c r="U568" s="106"/>
      <c r="V568" s="106"/>
      <c r="W568" s="106"/>
      <c r="X568" s="106"/>
      <c r="Y568" s="106"/>
    </row>
    <row r="569" spans="1:25" ht="15.75" customHeight="1">
      <c r="A569" s="106"/>
      <c r="B569" s="106"/>
      <c r="C569" s="106"/>
      <c r="D569" s="106"/>
      <c r="E569" s="106"/>
      <c r="F569" s="106"/>
      <c r="G569" s="106"/>
      <c r="H569" s="106"/>
      <c r="I569" s="106"/>
      <c r="J569" s="154"/>
      <c r="K569" s="106"/>
      <c r="L569" s="121"/>
      <c r="M569" s="121"/>
      <c r="N569" s="106"/>
      <c r="O569" s="106"/>
      <c r="P569" s="106"/>
      <c r="Q569" s="106"/>
      <c r="R569" s="106"/>
      <c r="S569" s="106"/>
      <c r="T569" s="106"/>
      <c r="U569" s="106"/>
      <c r="V569" s="106"/>
      <c r="W569" s="106"/>
      <c r="X569" s="106"/>
      <c r="Y569" s="106"/>
    </row>
    <row r="570" spans="1:25" ht="15.75" customHeight="1">
      <c r="A570" s="106"/>
      <c r="B570" s="106"/>
      <c r="C570" s="106"/>
      <c r="D570" s="106"/>
      <c r="E570" s="106"/>
      <c r="F570" s="106"/>
      <c r="G570" s="106"/>
      <c r="H570" s="106"/>
      <c r="I570" s="106"/>
      <c r="J570" s="154"/>
      <c r="K570" s="106"/>
      <c r="L570" s="121"/>
      <c r="M570" s="121"/>
      <c r="N570" s="106"/>
      <c r="O570" s="106"/>
      <c r="P570" s="106"/>
      <c r="Q570" s="106"/>
      <c r="R570" s="106"/>
      <c r="S570" s="106"/>
      <c r="T570" s="106"/>
      <c r="U570" s="106"/>
      <c r="V570" s="106"/>
      <c r="W570" s="106"/>
      <c r="X570" s="106"/>
      <c r="Y570" s="106"/>
    </row>
    <row r="571" spans="1:25" ht="15.75" customHeight="1">
      <c r="A571" s="106"/>
      <c r="B571" s="106"/>
      <c r="C571" s="106"/>
      <c r="D571" s="106"/>
      <c r="E571" s="106"/>
      <c r="F571" s="106"/>
      <c r="G571" s="106"/>
      <c r="H571" s="106"/>
      <c r="I571" s="106"/>
      <c r="J571" s="154"/>
      <c r="K571" s="106"/>
      <c r="L571" s="121"/>
      <c r="M571" s="121"/>
      <c r="N571" s="106"/>
      <c r="O571" s="106"/>
      <c r="P571" s="106"/>
      <c r="Q571" s="106"/>
      <c r="R571" s="106"/>
      <c r="S571" s="106"/>
      <c r="T571" s="106"/>
      <c r="U571" s="106"/>
      <c r="V571" s="106"/>
      <c r="W571" s="106"/>
      <c r="X571" s="106"/>
      <c r="Y571" s="106"/>
    </row>
    <row r="572" spans="1:25" ht="15.75" customHeight="1">
      <c r="A572" s="106"/>
      <c r="B572" s="106"/>
      <c r="C572" s="106"/>
      <c r="D572" s="106"/>
      <c r="E572" s="106"/>
      <c r="F572" s="106"/>
      <c r="G572" s="106"/>
      <c r="H572" s="106"/>
      <c r="I572" s="106"/>
      <c r="J572" s="154"/>
      <c r="K572" s="106"/>
      <c r="L572" s="121"/>
      <c r="M572" s="121"/>
      <c r="N572" s="106"/>
      <c r="O572" s="106"/>
      <c r="P572" s="106"/>
      <c r="Q572" s="106"/>
      <c r="R572" s="106"/>
      <c r="S572" s="106"/>
      <c r="T572" s="106"/>
      <c r="U572" s="106"/>
      <c r="V572" s="106"/>
      <c r="W572" s="106"/>
      <c r="X572" s="106"/>
      <c r="Y572" s="106"/>
    </row>
    <row r="573" spans="1:25" ht="15.75" customHeight="1">
      <c r="A573" s="106"/>
      <c r="B573" s="106"/>
      <c r="C573" s="106"/>
      <c r="D573" s="106"/>
      <c r="E573" s="106"/>
      <c r="F573" s="106"/>
      <c r="G573" s="106"/>
      <c r="H573" s="106"/>
      <c r="I573" s="106"/>
      <c r="J573" s="154"/>
      <c r="K573" s="106"/>
      <c r="L573" s="121"/>
      <c r="M573" s="121"/>
      <c r="N573" s="106"/>
      <c r="O573" s="106"/>
      <c r="P573" s="106"/>
      <c r="Q573" s="106"/>
      <c r="R573" s="106"/>
      <c r="S573" s="106"/>
      <c r="T573" s="106"/>
      <c r="U573" s="106"/>
      <c r="V573" s="106"/>
      <c r="W573" s="106"/>
      <c r="X573" s="106"/>
      <c r="Y573" s="106"/>
    </row>
    <row r="574" spans="1:25" ht="15.75" customHeight="1">
      <c r="A574" s="106"/>
      <c r="B574" s="106"/>
      <c r="C574" s="106"/>
      <c r="D574" s="106"/>
      <c r="E574" s="106"/>
      <c r="F574" s="106"/>
      <c r="G574" s="106"/>
      <c r="H574" s="106"/>
      <c r="I574" s="106"/>
      <c r="J574" s="154"/>
      <c r="K574" s="106"/>
      <c r="L574" s="121"/>
      <c r="M574" s="121"/>
      <c r="N574" s="106"/>
      <c r="O574" s="106"/>
      <c r="P574" s="106"/>
      <c r="Q574" s="106"/>
      <c r="R574" s="106"/>
      <c r="S574" s="106"/>
      <c r="T574" s="106"/>
      <c r="U574" s="106"/>
      <c r="V574" s="106"/>
      <c r="W574" s="106"/>
      <c r="X574" s="106"/>
      <c r="Y574" s="106"/>
    </row>
    <row r="575" spans="1:25" ht="15.75" customHeight="1">
      <c r="A575" s="106"/>
      <c r="B575" s="106"/>
      <c r="C575" s="106"/>
      <c r="D575" s="106"/>
      <c r="E575" s="106"/>
      <c r="F575" s="106"/>
      <c r="G575" s="106"/>
      <c r="H575" s="106"/>
      <c r="I575" s="106"/>
      <c r="J575" s="154"/>
      <c r="K575" s="106"/>
      <c r="L575" s="121"/>
      <c r="M575" s="121"/>
      <c r="N575" s="106"/>
      <c r="O575" s="106"/>
      <c r="P575" s="106"/>
      <c r="Q575" s="106"/>
      <c r="R575" s="106"/>
      <c r="S575" s="106"/>
      <c r="T575" s="106"/>
      <c r="U575" s="106"/>
      <c r="V575" s="106"/>
      <c r="W575" s="106"/>
      <c r="X575" s="106"/>
      <c r="Y575" s="106"/>
    </row>
    <row r="576" spans="1:25" ht="15.75" customHeight="1">
      <c r="A576" s="106"/>
      <c r="B576" s="106"/>
      <c r="C576" s="106"/>
      <c r="D576" s="106"/>
      <c r="E576" s="106"/>
      <c r="F576" s="106"/>
      <c r="G576" s="106"/>
      <c r="H576" s="106"/>
      <c r="I576" s="106"/>
      <c r="J576" s="154"/>
      <c r="K576" s="106"/>
      <c r="L576" s="121"/>
      <c r="M576" s="121"/>
      <c r="N576" s="106"/>
      <c r="O576" s="106"/>
      <c r="P576" s="106"/>
      <c r="Q576" s="106"/>
      <c r="R576" s="106"/>
      <c r="S576" s="106"/>
      <c r="T576" s="106"/>
      <c r="U576" s="106"/>
      <c r="V576" s="106"/>
      <c r="W576" s="106"/>
      <c r="X576" s="106"/>
      <c r="Y576" s="106"/>
    </row>
    <row r="577" spans="1:25" ht="15.75" customHeight="1">
      <c r="A577" s="106"/>
      <c r="B577" s="106"/>
      <c r="C577" s="106"/>
      <c r="D577" s="106"/>
      <c r="E577" s="106"/>
      <c r="F577" s="106"/>
      <c r="G577" s="106"/>
      <c r="H577" s="106"/>
      <c r="I577" s="106"/>
      <c r="J577" s="154"/>
      <c r="K577" s="106"/>
      <c r="L577" s="121"/>
      <c r="M577" s="121"/>
      <c r="N577" s="106"/>
      <c r="O577" s="106"/>
      <c r="P577" s="106"/>
      <c r="Q577" s="106"/>
      <c r="R577" s="106"/>
      <c r="S577" s="106"/>
      <c r="T577" s="106"/>
      <c r="U577" s="106"/>
      <c r="V577" s="106"/>
      <c r="W577" s="106"/>
      <c r="X577" s="106"/>
      <c r="Y577" s="106"/>
    </row>
    <row r="578" spans="1:25" ht="15.75" customHeight="1">
      <c r="A578" s="106"/>
      <c r="B578" s="106"/>
      <c r="C578" s="106"/>
      <c r="D578" s="106"/>
      <c r="E578" s="106"/>
      <c r="F578" s="106"/>
      <c r="G578" s="106"/>
      <c r="H578" s="106"/>
      <c r="I578" s="106"/>
      <c r="J578" s="154"/>
      <c r="K578" s="106"/>
      <c r="L578" s="121"/>
      <c r="M578" s="121"/>
      <c r="N578" s="106"/>
      <c r="O578" s="106"/>
      <c r="P578" s="106"/>
      <c r="Q578" s="106"/>
      <c r="R578" s="106"/>
      <c r="S578" s="106"/>
      <c r="T578" s="106"/>
      <c r="U578" s="106"/>
      <c r="V578" s="106"/>
      <c r="W578" s="106"/>
      <c r="X578" s="106"/>
      <c r="Y578" s="106"/>
    </row>
    <row r="579" spans="1:25" ht="15.75" customHeight="1">
      <c r="A579" s="106"/>
      <c r="B579" s="106"/>
      <c r="C579" s="106"/>
      <c r="D579" s="106"/>
      <c r="E579" s="106"/>
      <c r="F579" s="106"/>
      <c r="G579" s="106"/>
      <c r="H579" s="106"/>
      <c r="I579" s="106"/>
      <c r="J579" s="154"/>
      <c r="K579" s="106"/>
      <c r="L579" s="121"/>
      <c r="M579" s="121"/>
      <c r="N579" s="106"/>
      <c r="O579" s="106"/>
      <c r="P579" s="106"/>
      <c r="Q579" s="106"/>
      <c r="R579" s="106"/>
      <c r="S579" s="106"/>
      <c r="T579" s="106"/>
      <c r="U579" s="106"/>
      <c r="V579" s="106"/>
      <c r="W579" s="106"/>
      <c r="X579" s="106"/>
      <c r="Y579" s="106"/>
    </row>
    <row r="580" spans="1:25" ht="15.75" customHeight="1">
      <c r="A580" s="106"/>
      <c r="B580" s="106"/>
      <c r="C580" s="106"/>
      <c r="D580" s="106"/>
      <c r="E580" s="106"/>
      <c r="F580" s="106"/>
      <c r="G580" s="106"/>
      <c r="H580" s="106"/>
      <c r="I580" s="106"/>
      <c r="J580" s="154"/>
      <c r="K580" s="106"/>
      <c r="L580" s="121"/>
      <c r="M580" s="121"/>
      <c r="N580" s="106"/>
      <c r="O580" s="106"/>
      <c r="P580" s="106"/>
      <c r="Q580" s="106"/>
      <c r="R580" s="106"/>
      <c r="S580" s="106"/>
      <c r="T580" s="106"/>
      <c r="U580" s="106"/>
      <c r="V580" s="106"/>
      <c r="W580" s="106"/>
      <c r="X580" s="106"/>
      <c r="Y580" s="106"/>
    </row>
    <row r="581" spans="1:25" ht="15.75" customHeight="1">
      <c r="A581" s="106"/>
      <c r="B581" s="106"/>
      <c r="C581" s="106"/>
      <c r="D581" s="106"/>
      <c r="E581" s="106"/>
      <c r="F581" s="106"/>
      <c r="G581" s="106"/>
      <c r="H581" s="106"/>
      <c r="I581" s="106"/>
      <c r="J581" s="154"/>
      <c r="K581" s="106"/>
      <c r="L581" s="121"/>
      <c r="M581" s="121"/>
      <c r="N581" s="106"/>
      <c r="O581" s="106"/>
      <c r="P581" s="106"/>
      <c r="Q581" s="106"/>
      <c r="R581" s="106"/>
      <c r="S581" s="106"/>
      <c r="T581" s="106"/>
      <c r="U581" s="106"/>
      <c r="V581" s="106"/>
      <c r="W581" s="106"/>
      <c r="X581" s="106"/>
      <c r="Y581" s="106"/>
    </row>
    <row r="582" spans="1:25" ht="15.75" customHeight="1">
      <c r="A582" s="106"/>
      <c r="B582" s="106"/>
      <c r="C582" s="106"/>
      <c r="D582" s="106"/>
      <c r="E582" s="106"/>
      <c r="F582" s="106"/>
      <c r="G582" s="106"/>
      <c r="H582" s="106"/>
      <c r="I582" s="106"/>
      <c r="J582" s="154"/>
      <c r="K582" s="106"/>
      <c r="L582" s="121"/>
      <c r="M582" s="121"/>
      <c r="N582" s="106"/>
      <c r="O582" s="106"/>
      <c r="P582" s="106"/>
      <c r="Q582" s="106"/>
      <c r="R582" s="106"/>
      <c r="S582" s="106"/>
      <c r="T582" s="106"/>
      <c r="U582" s="106"/>
      <c r="V582" s="106"/>
      <c r="W582" s="106"/>
      <c r="X582" s="106"/>
      <c r="Y582" s="106"/>
    </row>
    <row r="583" spans="1:25" ht="15.75" customHeight="1">
      <c r="A583" s="106"/>
      <c r="B583" s="106"/>
      <c r="C583" s="106"/>
      <c r="D583" s="106"/>
      <c r="E583" s="106"/>
      <c r="F583" s="106"/>
      <c r="G583" s="106"/>
      <c r="H583" s="106"/>
      <c r="I583" s="106"/>
      <c r="J583" s="154"/>
      <c r="K583" s="106"/>
      <c r="L583" s="121"/>
      <c r="M583" s="121"/>
      <c r="N583" s="106"/>
      <c r="O583" s="106"/>
      <c r="P583" s="106"/>
      <c r="Q583" s="106"/>
      <c r="R583" s="106"/>
      <c r="S583" s="106"/>
      <c r="T583" s="106"/>
      <c r="U583" s="106"/>
      <c r="V583" s="106"/>
      <c r="W583" s="106"/>
      <c r="X583" s="106"/>
      <c r="Y583" s="106"/>
    </row>
    <row r="584" spans="1:25" ht="15.75" customHeight="1">
      <c r="A584" s="106"/>
      <c r="B584" s="106"/>
      <c r="C584" s="106"/>
      <c r="D584" s="106"/>
      <c r="E584" s="106"/>
      <c r="F584" s="106"/>
      <c r="G584" s="106"/>
      <c r="H584" s="106"/>
      <c r="I584" s="106"/>
      <c r="J584" s="154"/>
      <c r="K584" s="106"/>
      <c r="L584" s="121"/>
      <c r="M584" s="121"/>
      <c r="N584" s="106"/>
      <c r="O584" s="106"/>
      <c r="P584" s="106"/>
      <c r="Q584" s="106"/>
      <c r="R584" s="106"/>
      <c r="S584" s="106"/>
      <c r="T584" s="106"/>
      <c r="U584" s="106"/>
      <c r="V584" s="106"/>
      <c r="W584" s="106"/>
      <c r="X584" s="106"/>
      <c r="Y584" s="106"/>
    </row>
    <row r="585" spans="1:25" ht="15.75" customHeight="1">
      <c r="A585" s="106"/>
      <c r="B585" s="106"/>
      <c r="C585" s="106"/>
      <c r="D585" s="106"/>
      <c r="E585" s="106"/>
      <c r="F585" s="106"/>
      <c r="G585" s="106"/>
      <c r="H585" s="106"/>
      <c r="I585" s="106"/>
      <c r="J585" s="154"/>
      <c r="K585" s="106"/>
      <c r="L585" s="121"/>
      <c r="M585" s="121"/>
      <c r="N585" s="106"/>
      <c r="O585" s="106"/>
      <c r="P585" s="106"/>
      <c r="Q585" s="106"/>
      <c r="R585" s="106"/>
      <c r="S585" s="106"/>
      <c r="T585" s="106"/>
      <c r="U585" s="106"/>
      <c r="V585" s="106"/>
      <c r="W585" s="106"/>
      <c r="X585" s="106"/>
      <c r="Y585" s="106"/>
    </row>
    <row r="586" spans="1:25" ht="15.75" customHeight="1">
      <c r="A586" s="106"/>
      <c r="B586" s="106"/>
      <c r="C586" s="106"/>
      <c r="D586" s="106"/>
      <c r="E586" s="106"/>
      <c r="F586" s="106"/>
      <c r="G586" s="106"/>
      <c r="H586" s="106"/>
      <c r="I586" s="106"/>
      <c r="J586" s="154"/>
      <c r="K586" s="106"/>
      <c r="L586" s="121"/>
      <c r="M586" s="121"/>
      <c r="N586" s="106"/>
      <c r="O586" s="106"/>
      <c r="P586" s="106"/>
      <c r="Q586" s="106"/>
      <c r="R586" s="106"/>
      <c r="S586" s="106"/>
      <c r="T586" s="106"/>
      <c r="U586" s="106"/>
      <c r="V586" s="106"/>
      <c r="W586" s="106"/>
      <c r="X586" s="106"/>
      <c r="Y586" s="106"/>
    </row>
    <row r="587" spans="1:25" ht="15.75" customHeight="1">
      <c r="A587" s="106"/>
      <c r="B587" s="106"/>
      <c r="C587" s="106"/>
      <c r="D587" s="106"/>
      <c r="E587" s="106"/>
      <c r="F587" s="106"/>
      <c r="G587" s="106"/>
      <c r="H587" s="106"/>
      <c r="I587" s="106"/>
      <c r="J587" s="154"/>
      <c r="K587" s="106"/>
      <c r="L587" s="121"/>
      <c r="M587" s="121"/>
      <c r="N587" s="106"/>
      <c r="O587" s="106"/>
      <c r="P587" s="106"/>
      <c r="Q587" s="106"/>
      <c r="R587" s="106"/>
      <c r="S587" s="106"/>
      <c r="T587" s="106"/>
      <c r="U587" s="106"/>
      <c r="V587" s="106"/>
      <c r="W587" s="106"/>
      <c r="X587" s="106"/>
      <c r="Y587" s="106"/>
    </row>
    <row r="588" spans="1:25" ht="15.75" customHeight="1">
      <c r="A588" s="106"/>
      <c r="B588" s="106"/>
      <c r="C588" s="106"/>
      <c r="D588" s="106"/>
      <c r="E588" s="106"/>
      <c r="F588" s="106"/>
      <c r="G588" s="106"/>
      <c r="H588" s="106"/>
      <c r="I588" s="106"/>
      <c r="J588" s="154"/>
      <c r="K588" s="106"/>
      <c r="L588" s="121"/>
      <c r="M588" s="121"/>
      <c r="N588" s="106"/>
      <c r="O588" s="106"/>
      <c r="P588" s="106"/>
      <c r="Q588" s="106"/>
      <c r="R588" s="106"/>
      <c r="S588" s="106"/>
      <c r="T588" s="106"/>
      <c r="U588" s="106"/>
      <c r="V588" s="106"/>
      <c r="W588" s="106"/>
      <c r="X588" s="106"/>
      <c r="Y588" s="106"/>
    </row>
    <row r="589" spans="1:25" ht="15.75" customHeight="1">
      <c r="A589" s="106"/>
      <c r="B589" s="106"/>
      <c r="C589" s="106"/>
      <c r="D589" s="106"/>
      <c r="E589" s="106"/>
      <c r="F589" s="106"/>
      <c r="G589" s="106"/>
      <c r="H589" s="106"/>
      <c r="I589" s="106"/>
      <c r="J589" s="154"/>
      <c r="K589" s="106"/>
      <c r="L589" s="121"/>
      <c r="M589" s="121"/>
      <c r="N589" s="106"/>
      <c r="O589" s="106"/>
      <c r="P589" s="106"/>
      <c r="Q589" s="106"/>
      <c r="R589" s="106"/>
      <c r="S589" s="106"/>
      <c r="T589" s="106"/>
      <c r="U589" s="106"/>
      <c r="V589" s="106"/>
      <c r="W589" s="106"/>
      <c r="X589" s="106"/>
      <c r="Y589" s="106"/>
    </row>
    <row r="590" spans="1:25" ht="15.75" customHeight="1">
      <c r="A590" s="106"/>
      <c r="B590" s="106"/>
      <c r="C590" s="106"/>
      <c r="D590" s="106"/>
      <c r="E590" s="106"/>
      <c r="F590" s="106"/>
      <c r="G590" s="106"/>
      <c r="H590" s="106"/>
      <c r="I590" s="106"/>
      <c r="J590" s="154"/>
      <c r="K590" s="106"/>
      <c r="L590" s="121"/>
      <c r="M590" s="121"/>
      <c r="N590" s="106"/>
      <c r="O590" s="106"/>
      <c r="P590" s="106"/>
      <c r="Q590" s="106"/>
      <c r="R590" s="106"/>
      <c r="S590" s="106"/>
      <c r="T590" s="106"/>
      <c r="U590" s="106"/>
      <c r="V590" s="106"/>
      <c r="W590" s="106"/>
      <c r="X590" s="106"/>
      <c r="Y590" s="106"/>
    </row>
    <row r="591" spans="1:25" ht="15.75" customHeight="1">
      <c r="A591" s="106"/>
      <c r="B591" s="106"/>
      <c r="C591" s="106"/>
      <c r="D591" s="106"/>
      <c r="E591" s="106"/>
      <c r="F591" s="106"/>
      <c r="G591" s="106"/>
      <c r="H591" s="106"/>
      <c r="I591" s="106"/>
      <c r="J591" s="154"/>
      <c r="K591" s="106"/>
      <c r="L591" s="121"/>
      <c r="M591" s="121"/>
      <c r="N591" s="106"/>
      <c r="O591" s="106"/>
      <c r="P591" s="106"/>
      <c r="Q591" s="106"/>
      <c r="R591" s="106"/>
      <c r="S591" s="106"/>
      <c r="T591" s="106"/>
      <c r="U591" s="106"/>
      <c r="V591" s="106"/>
      <c r="W591" s="106"/>
      <c r="X591" s="106"/>
      <c r="Y591" s="106"/>
    </row>
    <row r="592" spans="1:25" ht="15.75" customHeight="1">
      <c r="A592" s="106"/>
      <c r="B592" s="106"/>
      <c r="C592" s="106"/>
      <c r="D592" s="106"/>
      <c r="E592" s="106"/>
      <c r="F592" s="106"/>
      <c r="G592" s="106"/>
      <c r="H592" s="106"/>
      <c r="I592" s="106"/>
      <c r="J592" s="154"/>
      <c r="K592" s="106"/>
      <c r="L592" s="121"/>
      <c r="M592" s="121"/>
      <c r="N592" s="106"/>
      <c r="O592" s="106"/>
      <c r="P592" s="106"/>
      <c r="Q592" s="106"/>
      <c r="R592" s="106"/>
      <c r="S592" s="106"/>
      <c r="T592" s="106"/>
      <c r="U592" s="106"/>
      <c r="V592" s="106"/>
      <c r="W592" s="106"/>
      <c r="X592" s="106"/>
      <c r="Y592" s="106"/>
    </row>
    <row r="593" spans="1:25" ht="15.75" customHeight="1">
      <c r="A593" s="106"/>
      <c r="B593" s="106"/>
      <c r="C593" s="106"/>
      <c r="D593" s="106"/>
      <c r="E593" s="106"/>
      <c r="F593" s="106"/>
      <c r="G593" s="106"/>
      <c r="H593" s="106"/>
      <c r="I593" s="106"/>
      <c r="J593" s="154"/>
      <c r="K593" s="106"/>
      <c r="L593" s="121"/>
      <c r="M593" s="121"/>
      <c r="N593" s="106"/>
      <c r="O593" s="106"/>
      <c r="P593" s="106"/>
      <c r="Q593" s="106"/>
      <c r="R593" s="106"/>
      <c r="S593" s="106"/>
      <c r="T593" s="106"/>
      <c r="U593" s="106"/>
      <c r="V593" s="106"/>
      <c r="W593" s="106"/>
      <c r="X593" s="106"/>
      <c r="Y593" s="106"/>
    </row>
    <row r="594" spans="1:25" ht="15.75" customHeight="1">
      <c r="A594" s="106"/>
      <c r="B594" s="106"/>
      <c r="C594" s="106"/>
      <c r="D594" s="106"/>
      <c r="E594" s="106"/>
      <c r="F594" s="106"/>
      <c r="G594" s="106"/>
      <c r="H594" s="106"/>
      <c r="I594" s="106"/>
      <c r="J594" s="154"/>
      <c r="K594" s="106"/>
      <c r="L594" s="121"/>
      <c r="M594" s="121"/>
      <c r="N594" s="106"/>
      <c r="O594" s="106"/>
      <c r="P594" s="106"/>
      <c r="Q594" s="106"/>
      <c r="R594" s="106"/>
      <c r="S594" s="106"/>
      <c r="T594" s="106"/>
      <c r="U594" s="106"/>
      <c r="V594" s="106"/>
      <c r="W594" s="106"/>
      <c r="X594" s="106"/>
      <c r="Y594" s="106"/>
    </row>
    <row r="595" spans="1:25" ht="15.75" customHeight="1">
      <c r="A595" s="106"/>
      <c r="B595" s="106"/>
      <c r="C595" s="106"/>
      <c r="D595" s="106"/>
      <c r="E595" s="106"/>
      <c r="F595" s="106"/>
      <c r="G595" s="106"/>
      <c r="H595" s="106"/>
      <c r="I595" s="106"/>
      <c r="J595" s="154"/>
      <c r="K595" s="106"/>
      <c r="L595" s="121"/>
      <c r="M595" s="121"/>
      <c r="N595" s="106"/>
      <c r="O595" s="106"/>
      <c r="P595" s="106"/>
      <c r="Q595" s="106"/>
      <c r="R595" s="106"/>
      <c r="S595" s="106"/>
      <c r="T595" s="106"/>
      <c r="U595" s="106"/>
      <c r="V595" s="106"/>
      <c r="W595" s="106"/>
      <c r="X595" s="106"/>
      <c r="Y595" s="106"/>
    </row>
    <row r="596" spans="1:25" ht="15.75" customHeight="1">
      <c r="A596" s="106"/>
      <c r="B596" s="106"/>
      <c r="C596" s="106"/>
      <c r="D596" s="106"/>
      <c r="E596" s="106"/>
      <c r="F596" s="106"/>
      <c r="G596" s="106"/>
      <c r="H596" s="106"/>
      <c r="I596" s="106"/>
      <c r="J596" s="154"/>
      <c r="K596" s="106"/>
      <c r="L596" s="121"/>
      <c r="M596" s="121"/>
      <c r="N596" s="106"/>
      <c r="O596" s="106"/>
      <c r="P596" s="106"/>
      <c r="Q596" s="106"/>
      <c r="R596" s="106"/>
      <c r="S596" s="106"/>
      <c r="T596" s="106"/>
      <c r="U596" s="106"/>
      <c r="V596" s="106"/>
      <c r="W596" s="106"/>
      <c r="X596" s="106"/>
      <c r="Y596" s="106"/>
    </row>
    <row r="597" spans="1:25" ht="15.75" customHeight="1">
      <c r="A597" s="106"/>
      <c r="B597" s="106"/>
      <c r="C597" s="106"/>
      <c r="D597" s="106"/>
      <c r="E597" s="106"/>
      <c r="F597" s="106"/>
      <c r="G597" s="106"/>
      <c r="H597" s="106"/>
      <c r="I597" s="106"/>
      <c r="J597" s="154"/>
      <c r="K597" s="106"/>
      <c r="L597" s="121"/>
      <c r="M597" s="121"/>
      <c r="N597" s="106"/>
      <c r="O597" s="106"/>
      <c r="P597" s="106"/>
      <c r="Q597" s="106"/>
      <c r="R597" s="106"/>
      <c r="S597" s="106"/>
      <c r="T597" s="106"/>
      <c r="U597" s="106"/>
      <c r="V597" s="106"/>
      <c r="W597" s="106"/>
      <c r="X597" s="106"/>
      <c r="Y597" s="106"/>
    </row>
    <row r="598" spans="1:25" ht="15.75" customHeight="1">
      <c r="A598" s="106"/>
      <c r="B598" s="106"/>
      <c r="C598" s="106"/>
      <c r="D598" s="106"/>
      <c r="E598" s="106"/>
      <c r="F598" s="106"/>
      <c r="G598" s="106"/>
      <c r="H598" s="106"/>
      <c r="I598" s="106"/>
      <c r="J598" s="154"/>
      <c r="K598" s="106"/>
      <c r="L598" s="121"/>
      <c r="M598" s="121"/>
      <c r="N598" s="106"/>
      <c r="O598" s="106"/>
      <c r="P598" s="106"/>
      <c r="Q598" s="106"/>
      <c r="R598" s="106"/>
      <c r="S598" s="106"/>
      <c r="T598" s="106"/>
      <c r="U598" s="106"/>
      <c r="V598" s="106"/>
      <c r="W598" s="106"/>
      <c r="X598" s="106"/>
      <c r="Y598" s="106"/>
    </row>
    <row r="599" spans="1:25" ht="15.75" customHeight="1">
      <c r="A599" s="106"/>
      <c r="B599" s="106"/>
      <c r="C599" s="106"/>
      <c r="D599" s="106"/>
      <c r="E599" s="106"/>
      <c r="F599" s="106"/>
      <c r="G599" s="106"/>
      <c r="H599" s="106"/>
      <c r="I599" s="106"/>
      <c r="J599" s="154"/>
      <c r="K599" s="106"/>
      <c r="L599" s="121"/>
      <c r="M599" s="121"/>
      <c r="N599" s="106"/>
      <c r="O599" s="106"/>
      <c r="P599" s="106"/>
      <c r="Q599" s="106"/>
      <c r="R599" s="106"/>
      <c r="S599" s="106"/>
      <c r="T599" s="106"/>
      <c r="U599" s="106"/>
      <c r="V599" s="106"/>
      <c r="W599" s="106"/>
      <c r="X599" s="106"/>
      <c r="Y599" s="106"/>
    </row>
    <row r="600" spans="1:25" ht="15.75" customHeight="1">
      <c r="A600" s="106"/>
      <c r="B600" s="106"/>
      <c r="C600" s="106"/>
      <c r="D600" s="106"/>
      <c r="E600" s="106"/>
      <c r="F600" s="106"/>
      <c r="G600" s="106"/>
      <c r="H600" s="106"/>
      <c r="I600" s="106"/>
      <c r="J600" s="154"/>
      <c r="K600" s="106"/>
      <c r="L600" s="121"/>
      <c r="M600" s="121"/>
      <c r="N600" s="106"/>
      <c r="O600" s="106"/>
      <c r="P600" s="106"/>
      <c r="Q600" s="106"/>
      <c r="R600" s="106"/>
      <c r="S600" s="106"/>
      <c r="T600" s="106"/>
      <c r="U600" s="106"/>
      <c r="V600" s="106"/>
      <c r="W600" s="106"/>
      <c r="X600" s="106"/>
      <c r="Y600" s="106"/>
    </row>
    <row r="601" spans="1:25" ht="15.75" customHeight="1">
      <c r="A601" s="106"/>
      <c r="B601" s="106"/>
      <c r="C601" s="106"/>
      <c r="D601" s="106"/>
      <c r="E601" s="106"/>
      <c r="F601" s="106"/>
      <c r="G601" s="106"/>
      <c r="H601" s="106"/>
      <c r="I601" s="106"/>
      <c r="J601" s="154"/>
      <c r="K601" s="106"/>
      <c r="L601" s="121"/>
      <c r="M601" s="121"/>
      <c r="N601" s="106"/>
      <c r="O601" s="106"/>
      <c r="P601" s="106"/>
      <c r="Q601" s="106"/>
      <c r="R601" s="106"/>
      <c r="S601" s="106"/>
      <c r="T601" s="106"/>
      <c r="U601" s="106"/>
      <c r="V601" s="106"/>
      <c r="W601" s="106"/>
      <c r="X601" s="106"/>
      <c r="Y601" s="106"/>
    </row>
    <row r="602" spans="1:25" ht="15.75" customHeight="1">
      <c r="A602" s="106"/>
      <c r="B602" s="106"/>
      <c r="C602" s="106"/>
      <c r="D602" s="106"/>
      <c r="E602" s="106"/>
      <c r="F602" s="106"/>
      <c r="G602" s="106"/>
      <c r="H602" s="106"/>
      <c r="I602" s="106"/>
      <c r="J602" s="154"/>
      <c r="K602" s="106"/>
      <c r="L602" s="121"/>
      <c r="M602" s="121"/>
      <c r="N602" s="106"/>
      <c r="O602" s="106"/>
      <c r="P602" s="106"/>
      <c r="Q602" s="106"/>
      <c r="R602" s="106"/>
      <c r="S602" s="106"/>
      <c r="T602" s="106"/>
      <c r="U602" s="106"/>
      <c r="V602" s="106"/>
      <c r="W602" s="106"/>
      <c r="X602" s="106"/>
      <c r="Y602" s="106"/>
    </row>
    <row r="603" spans="1:25" ht="15.75" customHeight="1">
      <c r="A603" s="106"/>
      <c r="B603" s="106"/>
      <c r="C603" s="106"/>
      <c r="D603" s="106"/>
      <c r="E603" s="106"/>
      <c r="F603" s="106"/>
      <c r="G603" s="106"/>
      <c r="H603" s="106"/>
      <c r="I603" s="106"/>
      <c r="J603" s="154"/>
      <c r="K603" s="106"/>
      <c r="L603" s="121"/>
      <c r="M603" s="121"/>
      <c r="N603" s="106"/>
      <c r="O603" s="106"/>
      <c r="P603" s="106"/>
      <c r="Q603" s="106"/>
      <c r="R603" s="106"/>
      <c r="S603" s="106"/>
      <c r="T603" s="106"/>
      <c r="U603" s="106"/>
      <c r="V603" s="106"/>
      <c r="W603" s="106"/>
      <c r="X603" s="106"/>
      <c r="Y603" s="106"/>
    </row>
    <row r="604" spans="1:25" ht="15.75" customHeight="1">
      <c r="A604" s="106"/>
      <c r="B604" s="106"/>
      <c r="C604" s="106"/>
      <c r="D604" s="106"/>
      <c r="E604" s="106"/>
      <c r="F604" s="106"/>
      <c r="G604" s="106"/>
      <c r="H604" s="106"/>
      <c r="I604" s="106"/>
      <c r="J604" s="154"/>
      <c r="K604" s="106"/>
      <c r="L604" s="121"/>
      <c r="M604" s="121"/>
      <c r="N604" s="106"/>
      <c r="O604" s="106"/>
      <c r="P604" s="106"/>
      <c r="Q604" s="106"/>
      <c r="R604" s="106"/>
      <c r="S604" s="106"/>
      <c r="T604" s="106"/>
      <c r="U604" s="106"/>
      <c r="V604" s="106"/>
      <c r="W604" s="106"/>
      <c r="X604" s="106"/>
      <c r="Y604" s="106"/>
    </row>
    <row r="605" spans="1:25" ht="15.75" customHeight="1">
      <c r="A605" s="106"/>
      <c r="B605" s="106"/>
      <c r="C605" s="106"/>
      <c r="D605" s="106"/>
      <c r="E605" s="106"/>
      <c r="F605" s="106"/>
      <c r="G605" s="106"/>
      <c r="H605" s="106"/>
      <c r="I605" s="106"/>
      <c r="J605" s="154"/>
      <c r="K605" s="106"/>
      <c r="L605" s="121"/>
      <c r="M605" s="121"/>
      <c r="N605" s="106"/>
      <c r="O605" s="106"/>
      <c r="P605" s="106"/>
      <c r="Q605" s="106"/>
      <c r="R605" s="106"/>
      <c r="S605" s="106"/>
      <c r="T605" s="106"/>
      <c r="U605" s="106"/>
      <c r="V605" s="106"/>
      <c r="W605" s="106"/>
      <c r="X605" s="106"/>
      <c r="Y605" s="106"/>
    </row>
    <row r="606" spans="1:25" ht="15.75" customHeight="1">
      <c r="A606" s="106"/>
      <c r="B606" s="106"/>
      <c r="C606" s="106"/>
      <c r="D606" s="106"/>
      <c r="E606" s="106"/>
      <c r="F606" s="106"/>
      <c r="G606" s="106"/>
      <c r="H606" s="106"/>
      <c r="I606" s="106"/>
      <c r="J606" s="154"/>
      <c r="K606" s="106"/>
      <c r="L606" s="121"/>
      <c r="M606" s="121"/>
      <c r="N606" s="106"/>
      <c r="O606" s="106"/>
      <c r="P606" s="106"/>
      <c r="Q606" s="106"/>
      <c r="R606" s="106"/>
      <c r="S606" s="106"/>
      <c r="T606" s="106"/>
      <c r="U606" s="106"/>
      <c r="V606" s="106"/>
      <c r="W606" s="106"/>
      <c r="X606" s="106"/>
      <c r="Y606" s="106"/>
    </row>
    <row r="607" spans="1:25" ht="15.75" customHeight="1">
      <c r="A607" s="106"/>
      <c r="B607" s="106"/>
      <c r="C607" s="106"/>
      <c r="D607" s="106"/>
      <c r="E607" s="106"/>
      <c r="F607" s="106"/>
      <c r="G607" s="106"/>
      <c r="H607" s="106"/>
      <c r="I607" s="106"/>
      <c r="J607" s="154"/>
      <c r="K607" s="106"/>
      <c r="L607" s="121"/>
      <c r="M607" s="121"/>
      <c r="N607" s="106"/>
      <c r="O607" s="106"/>
      <c r="P607" s="106"/>
      <c r="Q607" s="106"/>
      <c r="R607" s="106"/>
      <c r="S607" s="106"/>
      <c r="T607" s="106"/>
      <c r="U607" s="106"/>
      <c r="V607" s="106"/>
      <c r="W607" s="106"/>
      <c r="X607" s="106"/>
      <c r="Y607" s="106"/>
    </row>
    <row r="608" spans="1:25" ht="15.75" customHeight="1">
      <c r="A608" s="106"/>
      <c r="B608" s="106"/>
      <c r="C608" s="106"/>
      <c r="D608" s="106"/>
      <c r="E608" s="106"/>
      <c r="F608" s="106"/>
      <c r="G608" s="106"/>
      <c r="H608" s="106"/>
      <c r="I608" s="106"/>
      <c r="J608" s="154"/>
      <c r="K608" s="106"/>
      <c r="L608" s="121"/>
      <c r="M608" s="121"/>
      <c r="N608" s="106"/>
      <c r="O608" s="106"/>
      <c r="P608" s="106"/>
      <c r="Q608" s="106"/>
      <c r="R608" s="106"/>
      <c r="S608" s="106"/>
      <c r="T608" s="106"/>
      <c r="U608" s="106"/>
      <c r="V608" s="106"/>
      <c r="W608" s="106"/>
      <c r="X608" s="106"/>
      <c r="Y608" s="106"/>
    </row>
    <row r="609" spans="1:25" ht="15.75" customHeight="1">
      <c r="A609" s="106"/>
      <c r="B609" s="106"/>
      <c r="C609" s="106"/>
      <c r="D609" s="106"/>
      <c r="E609" s="106"/>
      <c r="F609" s="106"/>
      <c r="G609" s="106"/>
      <c r="H609" s="106"/>
      <c r="I609" s="106"/>
      <c r="J609" s="154"/>
      <c r="K609" s="106"/>
      <c r="L609" s="121"/>
      <c r="M609" s="121"/>
      <c r="N609" s="106"/>
      <c r="O609" s="106"/>
      <c r="P609" s="106"/>
      <c r="Q609" s="106"/>
      <c r="R609" s="106"/>
      <c r="S609" s="106"/>
      <c r="T609" s="106"/>
      <c r="U609" s="106"/>
      <c r="V609" s="106"/>
      <c r="W609" s="106"/>
      <c r="X609" s="106"/>
      <c r="Y609" s="106"/>
    </row>
    <row r="610" spans="1:25" ht="15.75" customHeight="1">
      <c r="A610" s="106"/>
      <c r="B610" s="106"/>
      <c r="C610" s="106"/>
      <c r="D610" s="106"/>
      <c r="E610" s="106"/>
      <c r="F610" s="106"/>
      <c r="G610" s="106"/>
      <c r="H610" s="106"/>
      <c r="I610" s="106"/>
      <c r="J610" s="154"/>
      <c r="K610" s="106"/>
      <c r="L610" s="121"/>
      <c r="M610" s="121"/>
      <c r="N610" s="106"/>
      <c r="O610" s="106"/>
      <c r="P610" s="106"/>
      <c r="Q610" s="106"/>
      <c r="R610" s="106"/>
      <c r="S610" s="106"/>
      <c r="T610" s="106"/>
      <c r="U610" s="106"/>
      <c r="V610" s="106"/>
      <c r="W610" s="106"/>
      <c r="X610" s="106"/>
      <c r="Y610" s="106"/>
    </row>
    <row r="611" spans="1:25" ht="15.75" customHeight="1">
      <c r="A611" s="106"/>
      <c r="B611" s="106"/>
      <c r="C611" s="106"/>
      <c r="D611" s="106"/>
      <c r="E611" s="106"/>
      <c r="F611" s="106"/>
      <c r="G611" s="106"/>
      <c r="H611" s="106"/>
      <c r="I611" s="106"/>
      <c r="J611" s="154"/>
      <c r="K611" s="106"/>
      <c r="L611" s="121"/>
      <c r="M611" s="121"/>
      <c r="N611" s="106"/>
      <c r="O611" s="106"/>
      <c r="P611" s="106"/>
      <c r="Q611" s="106"/>
      <c r="R611" s="106"/>
      <c r="S611" s="106"/>
      <c r="T611" s="106"/>
      <c r="U611" s="106"/>
      <c r="V611" s="106"/>
      <c r="W611" s="106"/>
      <c r="X611" s="106"/>
      <c r="Y611" s="106"/>
    </row>
    <row r="612" spans="1:25" ht="15.75" customHeight="1">
      <c r="A612" s="106"/>
      <c r="B612" s="106"/>
      <c r="C612" s="106"/>
      <c r="D612" s="106"/>
      <c r="E612" s="106"/>
      <c r="F612" s="106"/>
      <c r="G612" s="106"/>
      <c r="H612" s="106"/>
      <c r="I612" s="106"/>
      <c r="J612" s="154"/>
      <c r="K612" s="106"/>
      <c r="L612" s="121"/>
      <c r="M612" s="121"/>
      <c r="N612" s="106"/>
      <c r="O612" s="106"/>
      <c r="P612" s="106"/>
      <c r="Q612" s="106"/>
      <c r="R612" s="106"/>
      <c r="S612" s="106"/>
      <c r="T612" s="106"/>
      <c r="U612" s="106"/>
      <c r="V612" s="106"/>
      <c r="W612" s="106"/>
      <c r="X612" s="106"/>
      <c r="Y612" s="106"/>
    </row>
    <row r="613" spans="1:25" ht="15.75" customHeight="1">
      <c r="A613" s="106"/>
      <c r="B613" s="106"/>
      <c r="C613" s="106"/>
      <c r="D613" s="106"/>
      <c r="E613" s="106"/>
      <c r="F613" s="106"/>
      <c r="G613" s="106"/>
      <c r="H613" s="106"/>
      <c r="I613" s="106"/>
      <c r="J613" s="154"/>
      <c r="K613" s="106"/>
      <c r="L613" s="121"/>
      <c r="M613" s="121"/>
      <c r="N613" s="106"/>
      <c r="O613" s="106"/>
      <c r="P613" s="106"/>
      <c r="Q613" s="106"/>
      <c r="R613" s="106"/>
      <c r="S613" s="106"/>
      <c r="T613" s="106"/>
      <c r="U613" s="106"/>
      <c r="V613" s="106"/>
      <c r="W613" s="106"/>
      <c r="X613" s="106"/>
      <c r="Y613" s="106"/>
    </row>
    <row r="614" spans="1:25" ht="15.75" customHeight="1">
      <c r="A614" s="106"/>
      <c r="B614" s="106"/>
      <c r="C614" s="106"/>
      <c r="D614" s="106"/>
      <c r="E614" s="106"/>
      <c r="F614" s="106"/>
      <c r="G614" s="106"/>
      <c r="H614" s="106"/>
      <c r="I614" s="106"/>
      <c r="J614" s="154"/>
      <c r="K614" s="106"/>
      <c r="L614" s="121"/>
      <c r="M614" s="121"/>
      <c r="N614" s="106"/>
      <c r="O614" s="106"/>
      <c r="P614" s="106"/>
      <c r="Q614" s="106"/>
      <c r="R614" s="106"/>
      <c r="S614" s="106"/>
      <c r="T614" s="106"/>
      <c r="U614" s="106"/>
      <c r="V614" s="106"/>
      <c r="W614" s="106"/>
      <c r="X614" s="106"/>
      <c r="Y614" s="106"/>
    </row>
    <row r="615" spans="1:25" ht="15.75" customHeight="1">
      <c r="A615" s="106"/>
      <c r="B615" s="106"/>
      <c r="C615" s="106"/>
      <c r="D615" s="106"/>
      <c r="E615" s="106"/>
      <c r="F615" s="106"/>
      <c r="G615" s="106"/>
      <c r="H615" s="106"/>
      <c r="I615" s="106"/>
      <c r="J615" s="154"/>
      <c r="K615" s="106"/>
      <c r="L615" s="121"/>
      <c r="M615" s="121"/>
      <c r="N615" s="106"/>
      <c r="O615" s="106"/>
      <c r="P615" s="106"/>
      <c r="Q615" s="106"/>
      <c r="R615" s="106"/>
      <c r="S615" s="106"/>
      <c r="T615" s="106"/>
      <c r="U615" s="106"/>
      <c r="V615" s="106"/>
      <c r="W615" s="106"/>
      <c r="X615" s="106"/>
      <c r="Y615" s="106"/>
    </row>
    <row r="616" spans="1:25" ht="15.75" customHeight="1">
      <c r="A616" s="106"/>
      <c r="B616" s="106"/>
      <c r="C616" s="106"/>
      <c r="D616" s="106"/>
      <c r="E616" s="106"/>
      <c r="F616" s="106"/>
      <c r="G616" s="106"/>
      <c r="H616" s="106"/>
      <c r="I616" s="106"/>
      <c r="J616" s="154"/>
      <c r="K616" s="106"/>
      <c r="L616" s="121"/>
      <c r="M616" s="121"/>
      <c r="N616" s="106"/>
      <c r="O616" s="106"/>
      <c r="P616" s="106"/>
      <c r="Q616" s="106"/>
      <c r="R616" s="106"/>
      <c r="S616" s="106"/>
      <c r="T616" s="106"/>
      <c r="U616" s="106"/>
      <c r="V616" s="106"/>
      <c r="W616" s="106"/>
      <c r="X616" s="106"/>
      <c r="Y616" s="106"/>
    </row>
    <row r="617" spans="1:25" ht="15.75" customHeight="1">
      <c r="A617" s="106"/>
      <c r="B617" s="106"/>
      <c r="C617" s="106"/>
      <c r="D617" s="106"/>
      <c r="E617" s="106"/>
      <c r="F617" s="106"/>
      <c r="G617" s="106"/>
      <c r="H617" s="106"/>
      <c r="I617" s="106"/>
      <c r="J617" s="154"/>
      <c r="K617" s="106"/>
      <c r="L617" s="121"/>
      <c r="M617" s="121"/>
      <c r="N617" s="106"/>
      <c r="O617" s="106"/>
      <c r="P617" s="106"/>
      <c r="Q617" s="106"/>
      <c r="R617" s="106"/>
      <c r="S617" s="106"/>
      <c r="T617" s="106"/>
      <c r="U617" s="106"/>
      <c r="V617" s="106"/>
      <c r="W617" s="106"/>
      <c r="X617" s="106"/>
      <c r="Y617" s="106"/>
    </row>
    <row r="618" spans="1:25" ht="15.75" customHeight="1">
      <c r="A618" s="106"/>
      <c r="B618" s="106"/>
      <c r="C618" s="106"/>
      <c r="D618" s="106"/>
      <c r="E618" s="106"/>
      <c r="F618" s="106"/>
      <c r="G618" s="106"/>
      <c r="H618" s="106"/>
      <c r="I618" s="106"/>
      <c r="J618" s="154"/>
      <c r="K618" s="106"/>
      <c r="L618" s="121"/>
      <c r="M618" s="121"/>
      <c r="N618" s="106"/>
      <c r="O618" s="106"/>
      <c r="P618" s="106"/>
      <c r="Q618" s="106"/>
      <c r="R618" s="106"/>
      <c r="S618" s="106"/>
      <c r="T618" s="106"/>
      <c r="U618" s="106"/>
      <c r="V618" s="106"/>
      <c r="W618" s="106"/>
      <c r="X618" s="106"/>
      <c r="Y618" s="106"/>
    </row>
    <row r="619" spans="1:25" ht="15.75" customHeight="1">
      <c r="A619" s="106"/>
      <c r="B619" s="106"/>
      <c r="C619" s="106"/>
      <c r="D619" s="106"/>
      <c r="E619" s="106"/>
      <c r="F619" s="106"/>
      <c r="G619" s="106"/>
      <c r="H619" s="106"/>
      <c r="I619" s="106"/>
      <c r="J619" s="154"/>
      <c r="K619" s="106"/>
      <c r="L619" s="121"/>
      <c r="M619" s="121"/>
      <c r="N619" s="106"/>
      <c r="O619" s="106"/>
      <c r="P619" s="106"/>
      <c r="Q619" s="106"/>
      <c r="R619" s="106"/>
      <c r="S619" s="106"/>
      <c r="T619" s="106"/>
      <c r="U619" s="106"/>
      <c r="V619" s="106"/>
      <c r="W619" s="106"/>
      <c r="X619" s="106"/>
      <c r="Y619" s="106"/>
    </row>
    <row r="620" spans="1:25" ht="15.75" customHeight="1">
      <c r="A620" s="106"/>
      <c r="B620" s="106"/>
      <c r="C620" s="106"/>
      <c r="D620" s="106"/>
      <c r="E620" s="106"/>
      <c r="F620" s="106"/>
      <c r="G620" s="106"/>
      <c r="H620" s="106"/>
      <c r="I620" s="106"/>
      <c r="J620" s="154"/>
      <c r="K620" s="106"/>
      <c r="L620" s="121"/>
      <c r="M620" s="121"/>
      <c r="N620" s="106"/>
      <c r="O620" s="106"/>
      <c r="P620" s="106"/>
      <c r="Q620" s="106"/>
      <c r="R620" s="106"/>
      <c r="S620" s="106"/>
      <c r="T620" s="106"/>
      <c r="U620" s="106"/>
      <c r="V620" s="106"/>
      <c r="W620" s="106"/>
      <c r="X620" s="106"/>
      <c r="Y620" s="106"/>
    </row>
    <row r="621" spans="1:25" ht="15.75" customHeight="1">
      <c r="A621" s="106"/>
      <c r="B621" s="106"/>
      <c r="C621" s="106"/>
      <c r="D621" s="106"/>
      <c r="E621" s="106"/>
      <c r="F621" s="106"/>
      <c r="G621" s="106"/>
      <c r="H621" s="106"/>
      <c r="I621" s="106"/>
      <c r="J621" s="154"/>
      <c r="K621" s="106"/>
      <c r="L621" s="121"/>
      <c r="M621" s="121"/>
      <c r="N621" s="106"/>
      <c r="O621" s="106"/>
      <c r="P621" s="106"/>
      <c r="Q621" s="106"/>
      <c r="R621" s="106"/>
      <c r="S621" s="106"/>
      <c r="T621" s="106"/>
      <c r="U621" s="106"/>
      <c r="V621" s="106"/>
      <c r="W621" s="106"/>
      <c r="X621" s="106"/>
      <c r="Y621" s="106"/>
    </row>
    <row r="622" spans="1:25" ht="15.75" customHeight="1">
      <c r="A622" s="106"/>
      <c r="B622" s="106"/>
      <c r="C622" s="106"/>
      <c r="D622" s="106"/>
      <c r="E622" s="106"/>
      <c r="F622" s="106"/>
      <c r="G622" s="106"/>
      <c r="H622" s="106"/>
      <c r="I622" s="106"/>
      <c r="J622" s="154"/>
      <c r="K622" s="106"/>
      <c r="L622" s="121"/>
      <c r="M622" s="121"/>
      <c r="N622" s="106"/>
      <c r="O622" s="106"/>
      <c r="P622" s="106"/>
      <c r="Q622" s="106"/>
      <c r="R622" s="106"/>
      <c r="S622" s="106"/>
      <c r="T622" s="106"/>
      <c r="U622" s="106"/>
      <c r="V622" s="106"/>
      <c r="W622" s="106"/>
      <c r="X622" s="106"/>
      <c r="Y622" s="106"/>
    </row>
    <row r="623" spans="1:25" ht="15.75" customHeight="1">
      <c r="A623" s="106"/>
      <c r="B623" s="106"/>
      <c r="C623" s="106"/>
      <c r="D623" s="106"/>
      <c r="E623" s="106"/>
      <c r="F623" s="106"/>
      <c r="G623" s="106"/>
      <c r="H623" s="106"/>
      <c r="I623" s="106"/>
      <c r="J623" s="154"/>
      <c r="K623" s="106"/>
      <c r="L623" s="121"/>
      <c r="M623" s="121"/>
      <c r="N623" s="106"/>
      <c r="O623" s="106"/>
      <c r="P623" s="106"/>
      <c r="Q623" s="106"/>
      <c r="R623" s="106"/>
      <c r="S623" s="106"/>
      <c r="T623" s="106"/>
      <c r="U623" s="106"/>
      <c r="V623" s="106"/>
      <c r="W623" s="106"/>
      <c r="X623" s="106"/>
      <c r="Y623" s="106"/>
    </row>
    <row r="624" spans="1:25" ht="15.75" customHeight="1">
      <c r="A624" s="106"/>
      <c r="B624" s="106"/>
      <c r="C624" s="106"/>
      <c r="D624" s="106"/>
      <c r="E624" s="106"/>
      <c r="F624" s="106"/>
      <c r="G624" s="106"/>
      <c r="H624" s="106"/>
      <c r="I624" s="106"/>
      <c r="J624" s="154"/>
      <c r="K624" s="106"/>
      <c r="L624" s="121"/>
      <c r="M624" s="121"/>
      <c r="N624" s="106"/>
      <c r="O624" s="106"/>
      <c r="P624" s="106"/>
      <c r="Q624" s="106"/>
      <c r="R624" s="106"/>
      <c r="S624" s="106"/>
      <c r="T624" s="106"/>
      <c r="U624" s="106"/>
      <c r="V624" s="106"/>
      <c r="W624" s="106"/>
      <c r="X624" s="106"/>
      <c r="Y624" s="106"/>
    </row>
    <row r="625" spans="1:25" ht="15.75" customHeight="1">
      <c r="A625" s="106"/>
      <c r="B625" s="106"/>
      <c r="C625" s="106"/>
      <c r="D625" s="106"/>
      <c r="E625" s="106"/>
      <c r="F625" s="106"/>
      <c r="G625" s="106"/>
      <c r="H625" s="106"/>
      <c r="I625" s="106"/>
      <c r="J625" s="154"/>
      <c r="K625" s="106"/>
      <c r="L625" s="121"/>
      <c r="M625" s="121"/>
      <c r="N625" s="106"/>
      <c r="O625" s="106"/>
      <c r="P625" s="106"/>
      <c r="Q625" s="106"/>
      <c r="R625" s="106"/>
      <c r="S625" s="106"/>
      <c r="T625" s="106"/>
      <c r="U625" s="106"/>
      <c r="V625" s="106"/>
      <c r="W625" s="106"/>
      <c r="X625" s="106"/>
      <c r="Y625" s="106"/>
    </row>
    <row r="626" spans="1:25" ht="15.75" customHeight="1">
      <c r="A626" s="106"/>
      <c r="B626" s="106"/>
      <c r="C626" s="106"/>
      <c r="D626" s="106"/>
      <c r="E626" s="106"/>
      <c r="F626" s="106"/>
      <c r="G626" s="106"/>
      <c r="H626" s="106"/>
      <c r="I626" s="106"/>
      <c r="J626" s="154"/>
      <c r="K626" s="106"/>
      <c r="L626" s="121"/>
      <c r="M626" s="121"/>
      <c r="N626" s="106"/>
      <c r="O626" s="106"/>
      <c r="P626" s="106"/>
      <c r="Q626" s="106"/>
      <c r="R626" s="106"/>
      <c r="S626" s="106"/>
      <c r="T626" s="106"/>
      <c r="U626" s="106"/>
      <c r="V626" s="106"/>
      <c r="W626" s="106"/>
      <c r="X626" s="106"/>
      <c r="Y626" s="106"/>
    </row>
    <row r="627" spans="1:25" ht="15.75" customHeight="1">
      <c r="A627" s="106"/>
      <c r="B627" s="106"/>
      <c r="C627" s="106"/>
      <c r="D627" s="106"/>
      <c r="E627" s="106"/>
      <c r="F627" s="106"/>
      <c r="G627" s="106"/>
      <c r="H627" s="106"/>
      <c r="I627" s="106"/>
      <c r="J627" s="154"/>
      <c r="K627" s="106"/>
      <c r="L627" s="121"/>
      <c r="M627" s="121"/>
      <c r="N627" s="106"/>
      <c r="O627" s="106"/>
      <c r="P627" s="106"/>
      <c r="Q627" s="106"/>
      <c r="R627" s="106"/>
      <c r="S627" s="106"/>
      <c r="T627" s="106"/>
      <c r="U627" s="106"/>
      <c r="V627" s="106"/>
      <c r="W627" s="106"/>
      <c r="X627" s="106"/>
      <c r="Y627" s="106"/>
    </row>
    <row r="628" spans="1:25" ht="15.75" customHeight="1">
      <c r="A628" s="106"/>
      <c r="B628" s="106"/>
      <c r="C628" s="106"/>
      <c r="D628" s="106"/>
      <c r="E628" s="106"/>
      <c r="F628" s="106"/>
      <c r="G628" s="106"/>
      <c r="H628" s="106"/>
      <c r="I628" s="106"/>
      <c r="J628" s="154"/>
      <c r="K628" s="106"/>
      <c r="L628" s="121"/>
      <c r="M628" s="121"/>
      <c r="N628" s="106"/>
      <c r="O628" s="106"/>
      <c r="P628" s="106"/>
      <c r="Q628" s="106"/>
      <c r="R628" s="106"/>
      <c r="S628" s="106"/>
      <c r="T628" s="106"/>
      <c r="U628" s="106"/>
      <c r="V628" s="106"/>
      <c r="W628" s="106"/>
      <c r="X628" s="106"/>
      <c r="Y628" s="106"/>
    </row>
    <row r="629" spans="1:25" ht="15.75" customHeight="1">
      <c r="A629" s="106"/>
      <c r="B629" s="106"/>
      <c r="C629" s="106"/>
      <c r="D629" s="106"/>
      <c r="E629" s="106"/>
      <c r="F629" s="106"/>
      <c r="G629" s="106"/>
      <c r="H629" s="106"/>
      <c r="I629" s="106"/>
      <c r="J629" s="154"/>
      <c r="K629" s="106"/>
      <c r="L629" s="121"/>
      <c r="M629" s="121"/>
      <c r="N629" s="106"/>
      <c r="O629" s="106"/>
      <c r="P629" s="106"/>
      <c r="Q629" s="106"/>
      <c r="R629" s="106"/>
      <c r="S629" s="106"/>
      <c r="T629" s="106"/>
      <c r="U629" s="106"/>
      <c r="V629" s="106"/>
      <c r="W629" s="106"/>
      <c r="X629" s="106"/>
      <c r="Y629" s="106"/>
    </row>
    <row r="630" spans="1:25" ht="15.75" customHeight="1">
      <c r="A630" s="106"/>
      <c r="B630" s="106"/>
      <c r="C630" s="106"/>
      <c r="D630" s="106"/>
      <c r="E630" s="106"/>
      <c r="F630" s="106"/>
      <c r="G630" s="106"/>
      <c r="H630" s="106"/>
      <c r="I630" s="106"/>
      <c r="J630" s="154"/>
      <c r="K630" s="106"/>
      <c r="L630" s="121"/>
      <c r="M630" s="121"/>
      <c r="N630" s="106"/>
      <c r="O630" s="106"/>
      <c r="P630" s="106"/>
      <c r="Q630" s="106"/>
      <c r="R630" s="106"/>
      <c r="S630" s="106"/>
      <c r="T630" s="106"/>
      <c r="U630" s="106"/>
      <c r="V630" s="106"/>
      <c r="W630" s="106"/>
      <c r="X630" s="106"/>
      <c r="Y630" s="106"/>
    </row>
    <row r="631" spans="1:25" ht="15.75" customHeight="1">
      <c r="A631" s="106"/>
      <c r="B631" s="106"/>
      <c r="C631" s="106"/>
      <c r="D631" s="106"/>
      <c r="E631" s="106"/>
      <c r="F631" s="106"/>
      <c r="G631" s="106"/>
      <c r="H631" s="106"/>
      <c r="I631" s="106"/>
      <c r="J631" s="154"/>
      <c r="K631" s="106"/>
      <c r="L631" s="121"/>
      <c r="M631" s="121"/>
      <c r="N631" s="106"/>
      <c r="O631" s="106"/>
      <c r="P631" s="106"/>
      <c r="Q631" s="106"/>
      <c r="R631" s="106"/>
      <c r="S631" s="106"/>
      <c r="T631" s="106"/>
      <c r="U631" s="106"/>
      <c r="V631" s="106"/>
      <c r="W631" s="106"/>
      <c r="X631" s="106"/>
      <c r="Y631" s="106"/>
    </row>
    <row r="632" spans="1:25" ht="15.75" customHeight="1">
      <c r="A632" s="106"/>
      <c r="B632" s="106"/>
      <c r="C632" s="106"/>
      <c r="D632" s="106"/>
      <c r="E632" s="106"/>
      <c r="F632" s="106"/>
      <c r="G632" s="106"/>
      <c r="H632" s="106"/>
      <c r="I632" s="106"/>
      <c r="J632" s="154"/>
      <c r="K632" s="106"/>
      <c r="L632" s="121"/>
      <c r="M632" s="121"/>
      <c r="N632" s="106"/>
      <c r="O632" s="106"/>
      <c r="P632" s="106"/>
      <c r="Q632" s="106"/>
      <c r="R632" s="106"/>
      <c r="S632" s="106"/>
      <c r="T632" s="106"/>
      <c r="U632" s="106"/>
      <c r="V632" s="106"/>
      <c r="W632" s="106"/>
      <c r="X632" s="106"/>
      <c r="Y632" s="106"/>
    </row>
    <row r="633" spans="1:25" ht="15.75" customHeight="1">
      <c r="A633" s="106"/>
      <c r="B633" s="106"/>
      <c r="C633" s="106"/>
      <c r="D633" s="106"/>
      <c r="E633" s="106"/>
      <c r="F633" s="106"/>
      <c r="G633" s="106"/>
      <c r="H633" s="106"/>
      <c r="I633" s="106"/>
      <c r="J633" s="154"/>
      <c r="K633" s="106"/>
      <c r="L633" s="121"/>
      <c r="M633" s="121"/>
      <c r="N633" s="106"/>
      <c r="O633" s="106"/>
      <c r="P633" s="106"/>
      <c r="Q633" s="106"/>
      <c r="R633" s="106"/>
      <c r="S633" s="106"/>
      <c r="T633" s="106"/>
      <c r="U633" s="106"/>
      <c r="V633" s="106"/>
      <c r="W633" s="106"/>
      <c r="X633" s="106"/>
      <c r="Y633" s="106"/>
    </row>
    <row r="634" spans="1:25" ht="15.75" customHeight="1">
      <c r="A634" s="106"/>
      <c r="B634" s="106"/>
      <c r="C634" s="106"/>
      <c r="D634" s="106"/>
      <c r="E634" s="106"/>
      <c r="F634" s="106"/>
      <c r="G634" s="106"/>
      <c r="H634" s="106"/>
      <c r="I634" s="106"/>
      <c r="J634" s="154"/>
      <c r="K634" s="106"/>
      <c r="L634" s="121"/>
      <c r="M634" s="121"/>
      <c r="N634" s="106"/>
      <c r="O634" s="106"/>
      <c r="P634" s="106"/>
      <c r="Q634" s="106"/>
      <c r="R634" s="106"/>
      <c r="S634" s="106"/>
      <c r="T634" s="106"/>
      <c r="U634" s="106"/>
      <c r="V634" s="106"/>
      <c r="W634" s="106"/>
      <c r="X634" s="106"/>
      <c r="Y634" s="106"/>
    </row>
    <row r="635" spans="1:25" ht="15.75" customHeight="1">
      <c r="A635" s="106"/>
      <c r="B635" s="106"/>
      <c r="C635" s="106"/>
      <c r="D635" s="106"/>
      <c r="E635" s="106"/>
      <c r="F635" s="106"/>
      <c r="G635" s="106"/>
      <c r="H635" s="106"/>
      <c r="I635" s="106"/>
      <c r="J635" s="154"/>
      <c r="K635" s="106"/>
      <c r="L635" s="121"/>
      <c r="M635" s="121"/>
      <c r="N635" s="106"/>
      <c r="O635" s="106"/>
      <c r="P635" s="106"/>
      <c r="Q635" s="106"/>
      <c r="R635" s="106"/>
      <c r="S635" s="106"/>
      <c r="T635" s="106"/>
      <c r="U635" s="106"/>
      <c r="V635" s="106"/>
      <c r="W635" s="106"/>
      <c r="X635" s="106"/>
      <c r="Y635" s="106"/>
    </row>
    <row r="636" spans="1:25" ht="15.75" customHeight="1">
      <c r="A636" s="106"/>
      <c r="B636" s="106"/>
      <c r="C636" s="106"/>
      <c r="D636" s="106"/>
      <c r="E636" s="106"/>
      <c r="F636" s="106"/>
      <c r="G636" s="106"/>
      <c r="H636" s="106"/>
      <c r="I636" s="106"/>
      <c r="J636" s="154"/>
      <c r="K636" s="106"/>
      <c r="L636" s="121"/>
      <c r="M636" s="121"/>
      <c r="N636" s="106"/>
      <c r="O636" s="106"/>
      <c r="P636" s="106"/>
      <c r="Q636" s="106"/>
      <c r="R636" s="106"/>
      <c r="S636" s="106"/>
      <c r="T636" s="106"/>
      <c r="U636" s="106"/>
      <c r="V636" s="106"/>
      <c r="W636" s="106"/>
      <c r="X636" s="106"/>
      <c r="Y636" s="106"/>
    </row>
    <row r="637" spans="1:25" ht="15.75" customHeight="1">
      <c r="A637" s="106"/>
      <c r="B637" s="106"/>
      <c r="C637" s="106"/>
      <c r="D637" s="106"/>
      <c r="E637" s="106"/>
      <c r="F637" s="106"/>
      <c r="G637" s="106"/>
      <c r="H637" s="106"/>
      <c r="I637" s="106"/>
      <c r="J637" s="154"/>
      <c r="K637" s="106"/>
      <c r="L637" s="121"/>
      <c r="M637" s="121"/>
      <c r="N637" s="106"/>
      <c r="O637" s="106"/>
      <c r="P637" s="106"/>
      <c r="Q637" s="106"/>
      <c r="R637" s="106"/>
      <c r="S637" s="106"/>
      <c r="T637" s="106"/>
      <c r="U637" s="106"/>
      <c r="V637" s="106"/>
      <c r="W637" s="106"/>
      <c r="X637" s="106"/>
      <c r="Y637" s="106"/>
    </row>
    <row r="638" spans="1:25" ht="15.75" customHeight="1">
      <c r="A638" s="106"/>
      <c r="B638" s="106"/>
      <c r="C638" s="106"/>
      <c r="D638" s="106"/>
      <c r="E638" s="106"/>
      <c r="F638" s="106"/>
      <c r="G638" s="106"/>
      <c r="H638" s="106"/>
      <c r="I638" s="106"/>
      <c r="J638" s="154"/>
      <c r="K638" s="106"/>
      <c r="L638" s="121"/>
      <c r="M638" s="121"/>
      <c r="N638" s="106"/>
      <c r="O638" s="106"/>
      <c r="P638" s="106"/>
      <c r="Q638" s="106"/>
      <c r="R638" s="106"/>
      <c r="S638" s="106"/>
      <c r="T638" s="106"/>
      <c r="U638" s="106"/>
      <c r="V638" s="106"/>
      <c r="W638" s="106"/>
      <c r="X638" s="106"/>
      <c r="Y638" s="106"/>
    </row>
    <row r="639" spans="1:25" ht="15.75" customHeight="1">
      <c r="A639" s="106"/>
      <c r="B639" s="106"/>
      <c r="C639" s="106"/>
      <c r="D639" s="106"/>
      <c r="E639" s="106"/>
      <c r="F639" s="106"/>
      <c r="G639" s="106"/>
      <c r="H639" s="106"/>
      <c r="I639" s="106"/>
      <c r="J639" s="154"/>
      <c r="K639" s="106"/>
      <c r="L639" s="121"/>
      <c r="M639" s="121"/>
      <c r="N639" s="106"/>
      <c r="O639" s="106"/>
      <c r="P639" s="106"/>
      <c r="Q639" s="106"/>
      <c r="R639" s="106"/>
      <c r="S639" s="106"/>
      <c r="T639" s="106"/>
      <c r="U639" s="106"/>
      <c r="V639" s="106"/>
      <c r="W639" s="106"/>
      <c r="X639" s="106"/>
      <c r="Y639" s="106"/>
    </row>
    <row r="640" spans="1:25" ht="15.75" customHeight="1">
      <c r="A640" s="106"/>
      <c r="B640" s="106"/>
      <c r="C640" s="106"/>
      <c r="D640" s="106"/>
      <c r="E640" s="106"/>
      <c r="F640" s="106"/>
      <c r="G640" s="106"/>
      <c r="H640" s="106"/>
      <c r="I640" s="106"/>
      <c r="J640" s="154"/>
      <c r="K640" s="106"/>
      <c r="L640" s="121"/>
      <c r="M640" s="121"/>
      <c r="N640" s="106"/>
      <c r="O640" s="106"/>
      <c r="P640" s="106"/>
      <c r="Q640" s="106"/>
      <c r="R640" s="106"/>
      <c r="S640" s="106"/>
      <c r="T640" s="106"/>
      <c r="U640" s="106"/>
      <c r="V640" s="106"/>
      <c r="W640" s="106"/>
      <c r="X640" s="106"/>
      <c r="Y640" s="106"/>
    </row>
    <row r="641" spans="1:25" ht="15.75" customHeight="1">
      <c r="A641" s="106"/>
      <c r="B641" s="106"/>
      <c r="C641" s="106"/>
      <c r="D641" s="106"/>
      <c r="E641" s="106"/>
      <c r="F641" s="106"/>
      <c r="G641" s="106"/>
      <c r="H641" s="106"/>
      <c r="I641" s="106"/>
      <c r="J641" s="154"/>
      <c r="K641" s="106"/>
      <c r="L641" s="121"/>
      <c r="M641" s="121"/>
      <c r="N641" s="106"/>
      <c r="O641" s="106"/>
      <c r="P641" s="106"/>
      <c r="Q641" s="106"/>
      <c r="R641" s="106"/>
      <c r="S641" s="106"/>
      <c r="T641" s="106"/>
      <c r="U641" s="106"/>
      <c r="V641" s="106"/>
      <c r="W641" s="106"/>
      <c r="X641" s="106"/>
      <c r="Y641" s="106"/>
    </row>
    <row r="642" spans="1:25" ht="15.75" customHeight="1">
      <c r="A642" s="106"/>
      <c r="B642" s="106"/>
      <c r="C642" s="106"/>
      <c r="D642" s="106"/>
      <c r="E642" s="106"/>
      <c r="F642" s="106"/>
      <c r="G642" s="106"/>
      <c r="H642" s="106"/>
      <c r="I642" s="106"/>
      <c r="J642" s="154"/>
      <c r="K642" s="106"/>
      <c r="L642" s="121"/>
      <c r="M642" s="121"/>
      <c r="N642" s="106"/>
      <c r="O642" s="106"/>
      <c r="P642" s="106"/>
      <c r="Q642" s="106"/>
      <c r="R642" s="106"/>
      <c r="S642" s="106"/>
      <c r="T642" s="106"/>
      <c r="U642" s="106"/>
      <c r="V642" s="106"/>
      <c r="W642" s="106"/>
      <c r="X642" s="106"/>
      <c r="Y642" s="106"/>
    </row>
    <row r="643" spans="1:25" ht="15.75" customHeight="1">
      <c r="A643" s="106"/>
      <c r="B643" s="106"/>
      <c r="C643" s="106"/>
      <c r="D643" s="106"/>
      <c r="E643" s="106"/>
      <c r="F643" s="106"/>
      <c r="G643" s="106"/>
      <c r="H643" s="106"/>
      <c r="I643" s="106"/>
      <c r="J643" s="154"/>
      <c r="K643" s="106"/>
      <c r="L643" s="121"/>
      <c r="M643" s="121"/>
      <c r="N643" s="106"/>
      <c r="O643" s="106"/>
      <c r="P643" s="106"/>
      <c r="Q643" s="106"/>
      <c r="R643" s="106"/>
      <c r="S643" s="106"/>
      <c r="T643" s="106"/>
      <c r="U643" s="106"/>
      <c r="V643" s="106"/>
      <c r="W643" s="106"/>
      <c r="X643" s="106"/>
      <c r="Y643" s="106"/>
    </row>
    <row r="644" spans="1:25" ht="15.75" customHeight="1">
      <c r="A644" s="106"/>
      <c r="B644" s="106"/>
      <c r="C644" s="106"/>
      <c r="D644" s="106"/>
      <c r="E644" s="106"/>
      <c r="F644" s="106"/>
      <c r="G644" s="106"/>
      <c r="H644" s="106"/>
      <c r="I644" s="106"/>
      <c r="J644" s="154"/>
      <c r="K644" s="106"/>
      <c r="L644" s="121"/>
      <c r="M644" s="121"/>
      <c r="N644" s="106"/>
      <c r="O644" s="106"/>
      <c r="P644" s="106"/>
      <c r="Q644" s="106"/>
      <c r="R644" s="106"/>
      <c r="S644" s="106"/>
      <c r="T644" s="106"/>
      <c r="U644" s="106"/>
      <c r="V644" s="106"/>
      <c r="W644" s="106"/>
      <c r="X644" s="106"/>
      <c r="Y644" s="106"/>
    </row>
    <row r="645" spans="1:25" ht="15.75" customHeight="1">
      <c r="A645" s="106"/>
      <c r="B645" s="106"/>
      <c r="C645" s="106"/>
      <c r="D645" s="106"/>
      <c r="E645" s="106"/>
      <c r="F645" s="106"/>
      <c r="G645" s="106"/>
      <c r="H645" s="106"/>
      <c r="I645" s="106"/>
      <c r="J645" s="154"/>
      <c r="K645" s="106"/>
      <c r="L645" s="121"/>
      <c r="M645" s="121"/>
      <c r="N645" s="106"/>
      <c r="O645" s="106"/>
      <c r="P645" s="106"/>
      <c r="Q645" s="106"/>
      <c r="R645" s="106"/>
      <c r="S645" s="106"/>
      <c r="T645" s="106"/>
      <c r="U645" s="106"/>
      <c r="V645" s="106"/>
      <c r="W645" s="106"/>
      <c r="X645" s="106"/>
      <c r="Y645" s="106"/>
    </row>
    <row r="646" spans="1:25" ht="15.75" customHeight="1">
      <c r="A646" s="106"/>
      <c r="B646" s="106"/>
      <c r="C646" s="106"/>
      <c r="D646" s="106"/>
      <c r="E646" s="106"/>
      <c r="F646" s="106"/>
      <c r="G646" s="106"/>
      <c r="H646" s="106"/>
      <c r="I646" s="106"/>
      <c r="J646" s="154"/>
      <c r="K646" s="106"/>
      <c r="L646" s="121"/>
      <c r="M646" s="121"/>
      <c r="N646" s="106"/>
      <c r="O646" s="106"/>
      <c r="P646" s="106"/>
      <c r="Q646" s="106"/>
      <c r="R646" s="106"/>
      <c r="S646" s="106"/>
      <c r="T646" s="106"/>
      <c r="U646" s="106"/>
      <c r="V646" s="106"/>
      <c r="W646" s="106"/>
      <c r="X646" s="106"/>
      <c r="Y646" s="106"/>
    </row>
    <row r="647" spans="1:25" ht="15.75" customHeight="1">
      <c r="A647" s="106"/>
      <c r="B647" s="106"/>
      <c r="C647" s="106"/>
      <c r="D647" s="106"/>
      <c r="E647" s="106"/>
      <c r="F647" s="106"/>
      <c r="G647" s="106"/>
      <c r="H647" s="106"/>
      <c r="I647" s="106"/>
      <c r="J647" s="154"/>
      <c r="K647" s="106"/>
      <c r="L647" s="121"/>
      <c r="M647" s="121"/>
      <c r="N647" s="106"/>
      <c r="O647" s="106"/>
      <c r="P647" s="106"/>
      <c r="Q647" s="106"/>
      <c r="R647" s="106"/>
      <c r="S647" s="106"/>
      <c r="T647" s="106"/>
      <c r="U647" s="106"/>
      <c r="V647" s="106"/>
      <c r="W647" s="106"/>
      <c r="X647" s="106"/>
      <c r="Y647" s="106"/>
    </row>
    <row r="648" spans="1:25" ht="15.75" customHeight="1">
      <c r="A648" s="106"/>
      <c r="B648" s="106"/>
      <c r="C648" s="106"/>
      <c r="D648" s="106"/>
      <c r="E648" s="106"/>
      <c r="F648" s="106"/>
      <c r="G648" s="106"/>
      <c r="H648" s="106"/>
      <c r="I648" s="106"/>
      <c r="J648" s="154"/>
      <c r="K648" s="106"/>
      <c r="L648" s="121"/>
      <c r="M648" s="121"/>
      <c r="N648" s="106"/>
      <c r="O648" s="106"/>
      <c r="P648" s="106"/>
      <c r="Q648" s="106"/>
      <c r="R648" s="106"/>
      <c r="S648" s="106"/>
      <c r="T648" s="106"/>
      <c r="U648" s="106"/>
      <c r="V648" s="106"/>
      <c r="W648" s="106"/>
      <c r="X648" s="106"/>
      <c r="Y648" s="106"/>
    </row>
    <row r="649" spans="1:25" ht="15.75" customHeight="1">
      <c r="A649" s="106"/>
      <c r="B649" s="106"/>
      <c r="C649" s="106"/>
      <c r="D649" s="106"/>
      <c r="E649" s="106"/>
      <c r="F649" s="106"/>
      <c r="G649" s="106"/>
      <c r="H649" s="106"/>
      <c r="I649" s="106"/>
      <c r="J649" s="154"/>
      <c r="K649" s="106"/>
      <c r="L649" s="121"/>
      <c r="M649" s="121"/>
      <c r="N649" s="106"/>
      <c r="O649" s="106"/>
      <c r="P649" s="106"/>
      <c r="Q649" s="106"/>
      <c r="R649" s="106"/>
      <c r="S649" s="106"/>
      <c r="T649" s="106"/>
      <c r="U649" s="106"/>
      <c r="V649" s="106"/>
      <c r="W649" s="106"/>
      <c r="X649" s="106"/>
      <c r="Y649" s="106"/>
    </row>
    <row r="650" spans="1:25" ht="15.75" customHeight="1">
      <c r="A650" s="106"/>
      <c r="B650" s="106"/>
      <c r="C650" s="106"/>
      <c r="D650" s="106"/>
      <c r="E650" s="106"/>
      <c r="F650" s="106"/>
      <c r="G650" s="106"/>
      <c r="H650" s="106"/>
      <c r="I650" s="106"/>
      <c r="J650" s="154"/>
      <c r="K650" s="106"/>
      <c r="L650" s="121"/>
      <c r="M650" s="121"/>
      <c r="N650" s="106"/>
      <c r="O650" s="106"/>
      <c r="P650" s="106"/>
      <c r="Q650" s="106"/>
      <c r="R650" s="106"/>
      <c r="S650" s="106"/>
      <c r="T650" s="106"/>
      <c r="U650" s="106"/>
      <c r="V650" s="106"/>
      <c r="W650" s="106"/>
      <c r="X650" s="106"/>
      <c r="Y650" s="106"/>
    </row>
    <row r="651" spans="1:25" ht="15.75" customHeight="1">
      <c r="A651" s="106"/>
      <c r="B651" s="106"/>
      <c r="C651" s="106"/>
      <c r="D651" s="106"/>
      <c r="E651" s="106"/>
      <c r="F651" s="106"/>
      <c r="G651" s="106"/>
      <c r="H651" s="106"/>
      <c r="I651" s="106"/>
      <c r="J651" s="154"/>
      <c r="K651" s="106"/>
      <c r="L651" s="121"/>
      <c r="M651" s="121"/>
      <c r="N651" s="106"/>
      <c r="O651" s="106"/>
      <c r="P651" s="106"/>
      <c r="Q651" s="106"/>
      <c r="R651" s="106"/>
      <c r="S651" s="106"/>
      <c r="T651" s="106"/>
      <c r="U651" s="106"/>
      <c r="V651" s="106"/>
      <c r="W651" s="106"/>
      <c r="X651" s="106"/>
      <c r="Y651" s="106"/>
    </row>
    <row r="652" spans="1:25" ht="15.75" customHeight="1">
      <c r="A652" s="106"/>
      <c r="B652" s="106"/>
      <c r="C652" s="106"/>
      <c r="D652" s="106"/>
      <c r="E652" s="106"/>
      <c r="F652" s="106"/>
      <c r="G652" s="106"/>
      <c r="H652" s="106"/>
      <c r="I652" s="106"/>
      <c r="J652" s="154"/>
      <c r="K652" s="106"/>
      <c r="L652" s="121"/>
      <c r="M652" s="121"/>
      <c r="N652" s="106"/>
      <c r="O652" s="106"/>
      <c r="P652" s="106"/>
      <c r="Q652" s="106"/>
      <c r="R652" s="106"/>
      <c r="S652" s="106"/>
      <c r="T652" s="106"/>
      <c r="U652" s="106"/>
      <c r="V652" s="106"/>
      <c r="W652" s="106"/>
      <c r="X652" s="106"/>
      <c r="Y652" s="106"/>
    </row>
    <row r="653" spans="1:25" ht="15.75" customHeight="1">
      <c r="A653" s="106"/>
      <c r="B653" s="106"/>
      <c r="C653" s="106"/>
      <c r="D653" s="106"/>
      <c r="E653" s="106"/>
      <c r="F653" s="106"/>
      <c r="G653" s="106"/>
      <c r="H653" s="106"/>
      <c r="I653" s="106"/>
      <c r="J653" s="154"/>
      <c r="K653" s="106"/>
      <c r="L653" s="121"/>
      <c r="M653" s="121"/>
      <c r="N653" s="106"/>
      <c r="O653" s="106"/>
      <c r="P653" s="106"/>
      <c r="Q653" s="106"/>
      <c r="R653" s="106"/>
      <c r="S653" s="106"/>
      <c r="T653" s="106"/>
      <c r="U653" s="106"/>
      <c r="V653" s="106"/>
      <c r="W653" s="106"/>
      <c r="X653" s="106"/>
      <c r="Y653" s="106"/>
    </row>
    <row r="654" spans="1:25" ht="15.75" customHeight="1">
      <c r="A654" s="106"/>
      <c r="B654" s="106"/>
      <c r="C654" s="106"/>
      <c r="D654" s="106"/>
      <c r="E654" s="106"/>
      <c r="F654" s="106"/>
      <c r="G654" s="106"/>
      <c r="H654" s="106"/>
      <c r="I654" s="106"/>
      <c r="J654" s="154"/>
      <c r="K654" s="106"/>
      <c r="L654" s="121"/>
      <c r="M654" s="121"/>
      <c r="N654" s="106"/>
      <c r="O654" s="106"/>
      <c r="P654" s="106"/>
      <c r="Q654" s="106"/>
      <c r="R654" s="106"/>
      <c r="S654" s="106"/>
      <c r="T654" s="106"/>
      <c r="U654" s="106"/>
      <c r="V654" s="106"/>
      <c r="W654" s="106"/>
      <c r="X654" s="106"/>
      <c r="Y654" s="106"/>
    </row>
    <row r="655" spans="1:25" ht="15.75" customHeight="1">
      <c r="A655" s="106"/>
      <c r="B655" s="106"/>
      <c r="C655" s="106"/>
      <c r="D655" s="106"/>
      <c r="E655" s="106"/>
      <c r="F655" s="106"/>
      <c r="G655" s="106"/>
      <c r="H655" s="106"/>
      <c r="I655" s="106"/>
      <c r="J655" s="154"/>
      <c r="K655" s="106"/>
      <c r="L655" s="121"/>
      <c r="M655" s="121"/>
      <c r="N655" s="106"/>
      <c r="O655" s="106"/>
      <c r="P655" s="106"/>
      <c r="Q655" s="106"/>
      <c r="R655" s="106"/>
      <c r="S655" s="106"/>
      <c r="T655" s="106"/>
      <c r="U655" s="106"/>
      <c r="V655" s="106"/>
      <c r="W655" s="106"/>
      <c r="X655" s="106"/>
      <c r="Y655" s="106"/>
    </row>
    <row r="656" spans="1:25" ht="15.75" customHeight="1">
      <c r="A656" s="106"/>
      <c r="B656" s="106"/>
      <c r="C656" s="106"/>
      <c r="D656" s="106"/>
      <c r="E656" s="106"/>
      <c r="F656" s="106"/>
      <c r="G656" s="106"/>
      <c r="H656" s="106"/>
      <c r="I656" s="106"/>
      <c r="J656" s="154"/>
      <c r="K656" s="106"/>
      <c r="L656" s="121"/>
      <c r="M656" s="121"/>
      <c r="N656" s="106"/>
      <c r="O656" s="106"/>
      <c r="P656" s="106"/>
      <c r="Q656" s="106"/>
      <c r="R656" s="106"/>
      <c r="S656" s="106"/>
      <c r="T656" s="106"/>
      <c r="U656" s="106"/>
      <c r="V656" s="106"/>
      <c r="W656" s="106"/>
      <c r="X656" s="106"/>
      <c r="Y656" s="106"/>
    </row>
    <row r="657" spans="1:25" ht="15.75" customHeight="1">
      <c r="A657" s="106"/>
      <c r="B657" s="106"/>
      <c r="C657" s="106"/>
      <c r="D657" s="106"/>
      <c r="E657" s="106"/>
      <c r="F657" s="106"/>
      <c r="G657" s="106"/>
      <c r="H657" s="106"/>
      <c r="I657" s="106"/>
      <c r="J657" s="154"/>
      <c r="K657" s="106"/>
      <c r="L657" s="121"/>
      <c r="M657" s="121"/>
      <c r="N657" s="106"/>
      <c r="O657" s="106"/>
      <c r="P657" s="106"/>
      <c r="Q657" s="106"/>
      <c r="R657" s="106"/>
      <c r="S657" s="106"/>
      <c r="T657" s="106"/>
      <c r="U657" s="106"/>
      <c r="V657" s="106"/>
      <c r="W657" s="106"/>
      <c r="X657" s="106"/>
      <c r="Y657" s="106"/>
    </row>
    <row r="658" spans="1:25" ht="15.75" customHeight="1">
      <c r="A658" s="106"/>
      <c r="B658" s="106"/>
      <c r="C658" s="106"/>
      <c r="D658" s="106"/>
      <c r="E658" s="106"/>
      <c r="F658" s="106"/>
      <c r="G658" s="106"/>
      <c r="H658" s="106"/>
      <c r="I658" s="106"/>
      <c r="J658" s="154"/>
      <c r="K658" s="106"/>
      <c r="L658" s="121"/>
      <c r="M658" s="121"/>
      <c r="N658" s="106"/>
      <c r="O658" s="106"/>
      <c r="P658" s="106"/>
      <c r="Q658" s="106"/>
      <c r="R658" s="106"/>
      <c r="S658" s="106"/>
      <c r="T658" s="106"/>
      <c r="U658" s="106"/>
      <c r="V658" s="106"/>
      <c r="W658" s="106"/>
      <c r="X658" s="106"/>
      <c r="Y658" s="106"/>
    </row>
    <row r="659" spans="1:25" ht="15.75" customHeight="1">
      <c r="A659" s="106"/>
      <c r="B659" s="106"/>
      <c r="C659" s="106"/>
      <c r="D659" s="106"/>
      <c r="E659" s="106"/>
      <c r="F659" s="106"/>
      <c r="G659" s="106"/>
      <c r="H659" s="106"/>
      <c r="I659" s="106"/>
      <c r="J659" s="154"/>
      <c r="K659" s="106"/>
      <c r="L659" s="121"/>
      <c r="M659" s="121"/>
      <c r="N659" s="106"/>
      <c r="O659" s="106"/>
      <c r="P659" s="106"/>
      <c r="Q659" s="106"/>
      <c r="R659" s="106"/>
      <c r="S659" s="106"/>
      <c r="T659" s="106"/>
      <c r="U659" s="106"/>
      <c r="V659" s="106"/>
      <c r="W659" s="106"/>
      <c r="X659" s="106"/>
      <c r="Y659" s="106"/>
    </row>
    <row r="660" spans="1:25" ht="15.75" customHeight="1">
      <c r="A660" s="106"/>
      <c r="B660" s="106"/>
      <c r="C660" s="106"/>
      <c r="D660" s="106"/>
      <c r="E660" s="106"/>
      <c r="F660" s="106"/>
      <c r="G660" s="106"/>
      <c r="H660" s="106"/>
      <c r="I660" s="106"/>
      <c r="J660" s="154"/>
      <c r="K660" s="106"/>
      <c r="L660" s="121"/>
      <c r="M660" s="121"/>
      <c r="N660" s="106"/>
      <c r="O660" s="106"/>
      <c r="P660" s="106"/>
      <c r="Q660" s="106"/>
      <c r="R660" s="106"/>
      <c r="S660" s="106"/>
      <c r="T660" s="106"/>
      <c r="U660" s="106"/>
      <c r="V660" s="106"/>
      <c r="W660" s="106"/>
      <c r="X660" s="106"/>
      <c r="Y660" s="106"/>
    </row>
    <row r="661" spans="1:25" ht="15.75" customHeight="1">
      <c r="A661" s="106"/>
      <c r="B661" s="106"/>
      <c r="C661" s="106"/>
      <c r="D661" s="106"/>
      <c r="E661" s="106"/>
      <c r="F661" s="106"/>
      <c r="G661" s="106"/>
      <c r="H661" s="106"/>
      <c r="I661" s="106"/>
      <c r="J661" s="154"/>
      <c r="K661" s="106"/>
      <c r="L661" s="121"/>
      <c r="M661" s="121"/>
      <c r="N661" s="106"/>
      <c r="O661" s="106"/>
      <c r="P661" s="106"/>
      <c r="Q661" s="106"/>
      <c r="R661" s="106"/>
      <c r="S661" s="106"/>
      <c r="T661" s="106"/>
      <c r="U661" s="106"/>
      <c r="V661" s="106"/>
      <c r="W661" s="106"/>
      <c r="X661" s="106"/>
      <c r="Y661" s="106"/>
    </row>
    <row r="662" spans="1:25" ht="15.75" customHeight="1">
      <c r="A662" s="106"/>
      <c r="B662" s="106"/>
      <c r="C662" s="106"/>
      <c r="D662" s="106"/>
      <c r="E662" s="106"/>
      <c r="F662" s="106"/>
      <c r="G662" s="106"/>
      <c r="H662" s="106"/>
      <c r="I662" s="106"/>
      <c r="J662" s="154"/>
      <c r="K662" s="106"/>
      <c r="L662" s="121"/>
      <c r="M662" s="121"/>
      <c r="N662" s="106"/>
      <c r="O662" s="106"/>
      <c r="P662" s="106"/>
      <c r="Q662" s="106"/>
      <c r="R662" s="106"/>
      <c r="S662" s="106"/>
      <c r="T662" s="106"/>
      <c r="U662" s="106"/>
      <c r="V662" s="106"/>
      <c r="W662" s="106"/>
      <c r="X662" s="106"/>
      <c r="Y662" s="106"/>
    </row>
    <row r="663" spans="1:25" ht="15.75" customHeight="1">
      <c r="A663" s="106"/>
      <c r="B663" s="106"/>
      <c r="C663" s="106"/>
      <c r="D663" s="106"/>
      <c r="E663" s="106"/>
      <c r="F663" s="106"/>
      <c r="G663" s="106"/>
      <c r="H663" s="106"/>
      <c r="I663" s="106"/>
      <c r="J663" s="154"/>
      <c r="K663" s="106"/>
      <c r="L663" s="121"/>
      <c r="M663" s="121"/>
      <c r="N663" s="106"/>
      <c r="O663" s="106"/>
      <c r="P663" s="106"/>
      <c r="Q663" s="106"/>
      <c r="R663" s="106"/>
      <c r="S663" s="106"/>
      <c r="T663" s="106"/>
      <c r="U663" s="106"/>
      <c r="V663" s="106"/>
      <c r="W663" s="106"/>
      <c r="X663" s="106"/>
      <c r="Y663" s="106"/>
    </row>
    <row r="664" spans="1:25" ht="15.75" customHeight="1">
      <c r="A664" s="106"/>
      <c r="B664" s="106"/>
      <c r="C664" s="106"/>
      <c r="D664" s="106"/>
      <c r="E664" s="106"/>
      <c r="F664" s="106"/>
      <c r="G664" s="106"/>
      <c r="H664" s="106"/>
      <c r="I664" s="106"/>
      <c r="J664" s="154"/>
      <c r="K664" s="106"/>
      <c r="L664" s="121"/>
      <c r="M664" s="121"/>
      <c r="N664" s="106"/>
      <c r="O664" s="106"/>
      <c r="P664" s="106"/>
      <c r="Q664" s="106"/>
      <c r="R664" s="106"/>
      <c r="S664" s="106"/>
      <c r="T664" s="106"/>
      <c r="U664" s="106"/>
      <c r="V664" s="106"/>
      <c r="W664" s="106"/>
      <c r="X664" s="106"/>
      <c r="Y664" s="106"/>
    </row>
    <row r="665" spans="1:25" ht="15.75" customHeight="1">
      <c r="A665" s="106"/>
      <c r="B665" s="106"/>
      <c r="C665" s="106"/>
      <c r="D665" s="106"/>
      <c r="E665" s="106"/>
      <c r="F665" s="106"/>
      <c r="G665" s="106"/>
      <c r="H665" s="106"/>
      <c r="I665" s="106"/>
      <c r="J665" s="154"/>
      <c r="K665" s="106"/>
      <c r="L665" s="121"/>
      <c r="M665" s="121"/>
      <c r="N665" s="106"/>
      <c r="O665" s="106"/>
      <c r="P665" s="106"/>
      <c r="Q665" s="106"/>
      <c r="R665" s="106"/>
      <c r="S665" s="106"/>
      <c r="T665" s="106"/>
      <c r="U665" s="106"/>
      <c r="V665" s="106"/>
      <c r="W665" s="106"/>
      <c r="X665" s="106"/>
      <c r="Y665" s="106"/>
    </row>
    <row r="666" spans="1:25" ht="15.75" customHeight="1">
      <c r="A666" s="106"/>
      <c r="B666" s="106"/>
      <c r="C666" s="106"/>
      <c r="D666" s="106"/>
      <c r="E666" s="106"/>
      <c r="F666" s="106"/>
      <c r="G666" s="106"/>
      <c r="H666" s="106"/>
      <c r="I666" s="106"/>
      <c r="J666" s="154"/>
      <c r="K666" s="106"/>
      <c r="L666" s="121"/>
      <c r="M666" s="121"/>
      <c r="N666" s="106"/>
      <c r="O666" s="106"/>
      <c r="P666" s="106"/>
      <c r="Q666" s="106"/>
      <c r="R666" s="106"/>
      <c r="S666" s="106"/>
      <c r="T666" s="106"/>
      <c r="U666" s="106"/>
      <c r="V666" s="106"/>
      <c r="W666" s="106"/>
      <c r="X666" s="106"/>
      <c r="Y666" s="106"/>
    </row>
    <row r="667" spans="1:25" ht="15.75" customHeight="1">
      <c r="A667" s="106"/>
      <c r="B667" s="106"/>
      <c r="C667" s="106"/>
      <c r="D667" s="106"/>
      <c r="E667" s="106"/>
      <c r="F667" s="106"/>
      <c r="G667" s="106"/>
      <c r="H667" s="106"/>
      <c r="I667" s="106"/>
      <c r="J667" s="154"/>
      <c r="K667" s="106"/>
      <c r="L667" s="121"/>
      <c r="M667" s="121"/>
      <c r="N667" s="106"/>
      <c r="O667" s="106"/>
      <c r="P667" s="106"/>
      <c r="Q667" s="106"/>
      <c r="R667" s="106"/>
      <c r="S667" s="106"/>
      <c r="T667" s="106"/>
      <c r="U667" s="106"/>
      <c r="V667" s="106"/>
      <c r="W667" s="106"/>
      <c r="X667" s="106"/>
      <c r="Y667" s="106"/>
    </row>
    <row r="668" spans="1:25" ht="15.75" customHeight="1">
      <c r="A668" s="106"/>
      <c r="B668" s="106"/>
      <c r="C668" s="106"/>
      <c r="D668" s="106"/>
      <c r="E668" s="106"/>
      <c r="F668" s="106"/>
      <c r="G668" s="106"/>
      <c r="H668" s="106"/>
      <c r="I668" s="106"/>
      <c r="J668" s="154"/>
      <c r="K668" s="106"/>
      <c r="L668" s="121"/>
      <c r="M668" s="121"/>
      <c r="N668" s="106"/>
      <c r="O668" s="106"/>
      <c r="P668" s="106"/>
      <c r="Q668" s="106"/>
      <c r="R668" s="106"/>
      <c r="S668" s="106"/>
      <c r="T668" s="106"/>
      <c r="U668" s="106"/>
      <c r="V668" s="106"/>
      <c r="W668" s="106"/>
      <c r="X668" s="106"/>
      <c r="Y668" s="106"/>
    </row>
    <row r="669" spans="1:25" ht="15.75" customHeight="1">
      <c r="A669" s="106"/>
      <c r="B669" s="106"/>
      <c r="C669" s="106"/>
      <c r="D669" s="106"/>
      <c r="E669" s="106"/>
      <c r="F669" s="106"/>
      <c r="G669" s="106"/>
      <c r="H669" s="106"/>
      <c r="I669" s="106"/>
      <c r="J669" s="154"/>
      <c r="K669" s="106"/>
      <c r="L669" s="121"/>
      <c r="M669" s="121"/>
      <c r="N669" s="106"/>
      <c r="O669" s="106"/>
      <c r="P669" s="106"/>
      <c r="Q669" s="106"/>
      <c r="R669" s="106"/>
      <c r="S669" s="106"/>
      <c r="T669" s="106"/>
      <c r="U669" s="106"/>
      <c r="V669" s="106"/>
      <c r="W669" s="106"/>
      <c r="X669" s="106"/>
      <c r="Y669" s="106"/>
    </row>
    <row r="670" spans="1:25" ht="15.75" customHeight="1">
      <c r="A670" s="106"/>
      <c r="B670" s="106"/>
      <c r="C670" s="106"/>
      <c r="D670" s="106"/>
      <c r="E670" s="106"/>
      <c r="F670" s="106"/>
      <c r="G670" s="106"/>
      <c r="H670" s="106"/>
      <c r="I670" s="106"/>
      <c r="J670" s="154"/>
      <c r="K670" s="106"/>
      <c r="L670" s="121"/>
      <c r="M670" s="121"/>
      <c r="N670" s="106"/>
      <c r="O670" s="106"/>
      <c r="P670" s="106"/>
      <c r="Q670" s="106"/>
      <c r="R670" s="106"/>
      <c r="S670" s="106"/>
      <c r="T670" s="106"/>
      <c r="U670" s="106"/>
      <c r="V670" s="106"/>
      <c r="W670" s="106"/>
      <c r="X670" s="106"/>
      <c r="Y670" s="106"/>
    </row>
    <row r="671" spans="1:25" ht="15.75" customHeight="1">
      <c r="A671" s="106"/>
      <c r="B671" s="106"/>
      <c r="C671" s="106"/>
      <c r="D671" s="106"/>
      <c r="E671" s="106"/>
      <c r="F671" s="106"/>
      <c r="G671" s="106"/>
      <c r="H671" s="106"/>
      <c r="I671" s="106"/>
      <c r="J671" s="154"/>
      <c r="K671" s="106"/>
      <c r="L671" s="121"/>
      <c r="M671" s="121"/>
      <c r="N671" s="106"/>
      <c r="O671" s="106"/>
      <c r="P671" s="106"/>
      <c r="Q671" s="106"/>
      <c r="R671" s="106"/>
      <c r="S671" s="106"/>
      <c r="T671" s="106"/>
      <c r="U671" s="106"/>
      <c r="V671" s="106"/>
      <c r="W671" s="106"/>
      <c r="X671" s="106"/>
      <c r="Y671" s="106"/>
    </row>
    <row r="672" spans="1:25" ht="15.75" customHeight="1">
      <c r="A672" s="106"/>
      <c r="B672" s="106"/>
      <c r="C672" s="106"/>
      <c r="D672" s="106"/>
      <c r="E672" s="106"/>
      <c r="F672" s="106"/>
      <c r="G672" s="106"/>
      <c r="H672" s="106"/>
      <c r="I672" s="106"/>
      <c r="J672" s="154"/>
      <c r="K672" s="106"/>
      <c r="L672" s="121"/>
      <c r="M672" s="121"/>
      <c r="N672" s="106"/>
      <c r="O672" s="106"/>
      <c r="P672" s="106"/>
      <c r="Q672" s="106"/>
      <c r="R672" s="106"/>
      <c r="S672" s="106"/>
      <c r="T672" s="106"/>
      <c r="U672" s="106"/>
      <c r="V672" s="106"/>
      <c r="W672" s="106"/>
      <c r="X672" s="106"/>
      <c r="Y672" s="106"/>
    </row>
    <row r="673" spans="1:25" ht="15.75" customHeight="1">
      <c r="A673" s="106"/>
      <c r="B673" s="106"/>
      <c r="C673" s="106"/>
      <c r="D673" s="106"/>
      <c r="E673" s="106"/>
      <c r="F673" s="106"/>
      <c r="G673" s="106"/>
      <c r="H673" s="106"/>
      <c r="I673" s="106"/>
      <c r="J673" s="154"/>
      <c r="K673" s="106"/>
      <c r="L673" s="121"/>
      <c r="M673" s="121"/>
      <c r="N673" s="106"/>
      <c r="O673" s="106"/>
      <c r="P673" s="106"/>
      <c r="Q673" s="106"/>
      <c r="R673" s="106"/>
      <c r="S673" s="106"/>
      <c r="T673" s="106"/>
      <c r="U673" s="106"/>
      <c r="V673" s="106"/>
      <c r="W673" s="106"/>
      <c r="X673" s="106"/>
      <c r="Y673" s="106"/>
    </row>
    <row r="674" spans="1:25" ht="15.75" customHeight="1">
      <c r="A674" s="106"/>
      <c r="B674" s="106"/>
      <c r="C674" s="106"/>
      <c r="D674" s="106"/>
      <c r="E674" s="106"/>
      <c r="F674" s="106"/>
      <c r="G674" s="106"/>
      <c r="H674" s="106"/>
      <c r="I674" s="106"/>
      <c r="J674" s="154"/>
      <c r="K674" s="106"/>
      <c r="L674" s="121"/>
      <c r="M674" s="121"/>
      <c r="N674" s="106"/>
      <c r="O674" s="106"/>
      <c r="P674" s="106"/>
      <c r="Q674" s="106"/>
      <c r="R674" s="106"/>
      <c r="S674" s="106"/>
      <c r="T674" s="106"/>
      <c r="U674" s="106"/>
      <c r="V674" s="106"/>
      <c r="W674" s="106"/>
      <c r="X674" s="106"/>
      <c r="Y674" s="106"/>
    </row>
    <row r="675" spans="1:25" ht="15.75" customHeight="1">
      <c r="A675" s="106"/>
      <c r="B675" s="106"/>
      <c r="C675" s="106"/>
      <c r="D675" s="106"/>
      <c r="E675" s="106"/>
      <c r="F675" s="106"/>
      <c r="G675" s="106"/>
      <c r="H675" s="106"/>
      <c r="I675" s="106"/>
      <c r="J675" s="154"/>
      <c r="K675" s="106"/>
      <c r="L675" s="121"/>
      <c r="M675" s="121"/>
      <c r="N675" s="106"/>
      <c r="O675" s="106"/>
      <c r="P675" s="106"/>
      <c r="Q675" s="106"/>
      <c r="R675" s="106"/>
      <c r="S675" s="106"/>
      <c r="T675" s="106"/>
      <c r="U675" s="106"/>
      <c r="V675" s="106"/>
      <c r="W675" s="106"/>
      <c r="X675" s="106"/>
      <c r="Y675" s="106"/>
    </row>
    <row r="676" spans="1:25" ht="15.75" customHeight="1">
      <c r="A676" s="106"/>
      <c r="B676" s="106"/>
      <c r="C676" s="106"/>
      <c r="D676" s="106"/>
      <c r="E676" s="106"/>
      <c r="F676" s="106"/>
      <c r="G676" s="106"/>
      <c r="H676" s="106"/>
      <c r="I676" s="106"/>
      <c r="J676" s="154"/>
      <c r="K676" s="106"/>
      <c r="L676" s="121"/>
      <c r="M676" s="121"/>
      <c r="N676" s="106"/>
      <c r="O676" s="106"/>
      <c r="P676" s="106"/>
      <c r="Q676" s="106"/>
      <c r="R676" s="106"/>
      <c r="S676" s="106"/>
      <c r="T676" s="106"/>
      <c r="U676" s="106"/>
      <c r="V676" s="106"/>
      <c r="W676" s="106"/>
      <c r="X676" s="106"/>
      <c r="Y676" s="106"/>
    </row>
    <row r="677" spans="1:25" ht="15.75" customHeight="1">
      <c r="A677" s="106"/>
      <c r="B677" s="106"/>
      <c r="C677" s="106"/>
      <c r="D677" s="106"/>
      <c r="E677" s="106"/>
      <c r="F677" s="106"/>
      <c r="G677" s="106"/>
      <c r="H677" s="106"/>
      <c r="I677" s="106"/>
      <c r="J677" s="154"/>
      <c r="K677" s="106"/>
      <c r="L677" s="121"/>
      <c r="M677" s="121"/>
      <c r="N677" s="106"/>
      <c r="O677" s="106"/>
      <c r="P677" s="106"/>
      <c r="Q677" s="106"/>
      <c r="R677" s="106"/>
      <c r="S677" s="106"/>
      <c r="T677" s="106"/>
      <c r="U677" s="106"/>
      <c r="V677" s="106"/>
      <c r="W677" s="106"/>
      <c r="X677" s="106"/>
      <c r="Y677" s="106"/>
    </row>
    <row r="678" spans="1:25" ht="15.75" customHeight="1">
      <c r="A678" s="106"/>
      <c r="B678" s="106"/>
      <c r="C678" s="106"/>
      <c r="D678" s="106"/>
      <c r="E678" s="106"/>
      <c r="F678" s="106"/>
      <c r="G678" s="106"/>
      <c r="H678" s="106"/>
      <c r="I678" s="106"/>
      <c r="J678" s="154"/>
      <c r="K678" s="106"/>
      <c r="L678" s="121"/>
      <c r="M678" s="121"/>
      <c r="N678" s="106"/>
      <c r="O678" s="106"/>
      <c r="P678" s="106"/>
      <c r="Q678" s="106"/>
      <c r="R678" s="106"/>
      <c r="S678" s="106"/>
      <c r="T678" s="106"/>
      <c r="U678" s="106"/>
      <c r="V678" s="106"/>
      <c r="W678" s="106"/>
      <c r="X678" s="106"/>
      <c r="Y678" s="106"/>
    </row>
    <row r="679" spans="1:25" ht="15.75" customHeight="1">
      <c r="A679" s="106"/>
      <c r="B679" s="106"/>
      <c r="C679" s="106"/>
      <c r="D679" s="106"/>
      <c r="E679" s="106"/>
      <c r="F679" s="106"/>
      <c r="G679" s="106"/>
      <c r="H679" s="106"/>
      <c r="I679" s="106"/>
      <c r="J679" s="154"/>
      <c r="K679" s="106"/>
      <c r="L679" s="121"/>
      <c r="M679" s="121"/>
      <c r="N679" s="106"/>
      <c r="O679" s="106"/>
      <c r="P679" s="106"/>
      <c r="Q679" s="106"/>
      <c r="R679" s="106"/>
      <c r="S679" s="106"/>
      <c r="T679" s="106"/>
      <c r="U679" s="106"/>
      <c r="V679" s="106"/>
      <c r="W679" s="106"/>
      <c r="X679" s="106"/>
      <c r="Y679" s="106"/>
    </row>
    <row r="680" spans="1:25" ht="15.75" customHeight="1">
      <c r="A680" s="106"/>
      <c r="B680" s="106"/>
      <c r="C680" s="106"/>
      <c r="D680" s="106"/>
      <c r="E680" s="106"/>
      <c r="F680" s="106"/>
      <c r="G680" s="106"/>
      <c r="H680" s="106"/>
      <c r="I680" s="106"/>
      <c r="J680" s="154"/>
      <c r="K680" s="106"/>
      <c r="L680" s="121"/>
      <c r="M680" s="121"/>
      <c r="N680" s="106"/>
      <c r="O680" s="106"/>
      <c r="P680" s="106"/>
      <c r="Q680" s="106"/>
      <c r="R680" s="106"/>
      <c r="S680" s="106"/>
      <c r="T680" s="106"/>
      <c r="U680" s="106"/>
      <c r="V680" s="106"/>
      <c r="W680" s="106"/>
      <c r="X680" s="106"/>
      <c r="Y680" s="106"/>
    </row>
    <row r="681" spans="1:25" ht="15.75" customHeight="1">
      <c r="A681" s="106"/>
      <c r="B681" s="106"/>
      <c r="C681" s="106"/>
      <c r="D681" s="106"/>
      <c r="E681" s="106"/>
      <c r="F681" s="106"/>
      <c r="G681" s="106"/>
      <c r="H681" s="106"/>
      <c r="I681" s="106"/>
      <c r="J681" s="154"/>
      <c r="K681" s="106"/>
      <c r="L681" s="121"/>
      <c r="M681" s="121"/>
      <c r="N681" s="106"/>
      <c r="O681" s="106"/>
      <c r="P681" s="106"/>
      <c r="Q681" s="106"/>
      <c r="R681" s="106"/>
      <c r="S681" s="106"/>
      <c r="T681" s="106"/>
      <c r="U681" s="106"/>
      <c r="V681" s="106"/>
      <c r="W681" s="106"/>
      <c r="X681" s="106"/>
      <c r="Y681" s="106"/>
    </row>
    <row r="682" spans="1:25" ht="15.75" customHeight="1">
      <c r="A682" s="106"/>
      <c r="B682" s="106"/>
      <c r="C682" s="106"/>
      <c r="D682" s="106"/>
      <c r="E682" s="106"/>
      <c r="F682" s="106"/>
      <c r="G682" s="106"/>
      <c r="H682" s="106"/>
      <c r="I682" s="106"/>
      <c r="J682" s="154"/>
      <c r="K682" s="106"/>
      <c r="L682" s="121"/>
      <c r="M682" s="121"/>
      <c r="N682" s="106"/>
      <c r="O682" s="106"/>
      <c r="P682" s="106"/>
      <c r="Q682" s="106"/>
      <c r="R682" s="106"/>
      <c r="S682" s="106"/>
      <c r="T682" s="106"/>
      <c r="U682" s="106"/>
      <c r="V682" s="106"/>
      <c r="W682" s="106"/>
      <c r="X682" s="106"/>
      <c r="Y682" s="106"/>
    </row>
    <row r="683" spans="1:25" ht="15.75" customHeight="1">
      <c r="A683" s="106"/>
      <c r="B683" s="106"/>
      <c r="C683" s="106"/>
      <c r="D683" s="106"/>
      <c r="E683" s="106"/>
      <c r="F683" s="106"/>
      <c r="G683" s="106"/>
      <c r="H683" s="106"/>
      <c r="I683" s="106"/>
      <c r="J683" s="154"/>
      <c r="K683" s="106"/>
      <c r="L683" s="121"/>
      <c r="M683" s="121"/>
      <c r="N683" s="106"/>
      <c r="O683" s="106"/>
      <c r="P683" s="106"/>
      <c r="Q683" s="106"/>
      <c r="R683" s="106"/>
      <c r="S683" s="106"/>
      <c r="T683" s="106"/>
      <c r="U683" s="106"/>
      <c r="V683" s="106"/>
      <c r="W683" s="106"/>
      <c r="X683" s="106"/>
      <c r="Y683" s="106"/>
    </row>
    <row r="684" spans="1:25" ht="15.75" customHeight="1">
      <c r="A684" s="106"/>
      <c r="B684" s="106"/>
      <c r="C684" s="106"/>
      <c r="D684" s="106"/>
      <c r="E684" s="106"/>
      <c r="F684" s="106"/>
      <c r="G684" s="106"/>
      <c r="H684" s="106"/>
      <c r="I684" s="106"/>
      <c r="J684" s="154"/>
      <c r="K684" s="106"/>
      <c r="L684" s="121"/>
      <c r="M684" s="121"/>
      <c r="N684" s="106"/>
      <c r="O684" s="106"/>
      <c r="P684" s="106"/>
      <c r="Q684" s="106"/>
      <c r="R684" s="106"/>
      <c r="S684" s="106"/>
      <c r="T684" s="106"/>
      <c r="U684" s="106"/>
      <c r="V684" s="106"/>
      <c r="W684" s="106"/>
      <c r="X684" s="106"/>
      <c r="Y684" s="106"/>
    </row>
    <row r="685" spans="1:25" ht="15.75" customHeight="1">
      <c r="A685" s="106"/>
      <c r="B685" s="106"/>
      <c r="C685" s="106"/>
      <c r="D685" s="106"/>
      <c r="E685" s="106"/>
      <c r="F685" s="106"/>
      <c r="G685" s="106"/>
      <c r="H685" s="106"/>
      <c r="I685" s="106"/>
      <c r="J685" s="154"/>
      <c r="K685" s="106"/>
      <c r="L685" s="121"/>
      <c r="M685" s="121"/>
      <c r="N685" s="106"/>
      <c r="O685" s="106"/>
      <c r="P685" s="106"/>
      <c r="Q685" s="106"/>
      <c r="R685" s="106"/>
      <c r="S685" s="106"/>
      <c r="T685" s="106"/>
      <c r="U685" s="106"/>
      <c r="V685" s="106"/>
      <c r="W685" s="106"/>
      <c r="X685" s="106"/>
      <c r="Y685" s="106"/>
    </row>
    <row r="686" spans="1:25" ht="15.75" customHeight="1">
      <c r="A686" s="106"/>
      <c r="B686" s="106"/>
      <c r="C686" s="106"/>
      <c r="D686" s="106"/>
      <c r="E686" s="106"/>
      <c r="F686" s="106"/>
      <c r="G686" s="106"/>
      <c r="H686" s="106"/>
      <c r="I686" s="106"/>
      <c r="J686" s="154"/>
      <c r="K686" s="106"/>
      <c r="L686" s="121"/>
      <c r="M686" s="121"/>
      <c r="N686" s="106"/>
      <c r="O686" s="106"/>
      <c r="P686" s="106"/>
      <c r="Q686" s="106"/>
      <c r="R686" s="106"/>
      <c r="S686" s="106"/>
      <c r="T686" s="106"/>
      <c r="U686" s="106"/>
      <c r="V686" s="106"/>
      <c r="W686" s="106"/>
      <c r="X686" s="106"/>
      <c r="Y686" s="106"/>
    </row>
    <row r="687" spans="1:25" ht="15.75" customHeight="1">
      <c r="A687" s="106"/>
      <c r="B687" s="106"/>
      <c r="C687" s="106"/>
      <c r="D687" s="106"/>
      <c r="E687" s="106"/>
      <c r="F687" s="106"/>
      <c r="G687" s="106"/>
      <c r="H687" s="106"/>
      <c r="I687" s="106"/>
      <c r="J687" s="154"/>
      <c r="K687" s="106"/>
      <c r="L687" s="121"/>
      <c r="M687" s="121"/>
      <c r="N687" s="106"/>
      <c r="O687" s="106"/>
      <c r="P687" s="106"/>
      <c r="Q687" s="106"/>
      <c r="R687" s="106"/>
      <c r="S687" s="106"/>
      <c r="T687" s="106"/>
      <c r="U687" s="106"/>
      <c r="V687" s="106"/>
      <c r="W687" s="106"/>
      <c r="X687" s="106"/>
      <c r="Y687" s="106"/>
    </row>
    <row r="688" spans="1:25" ht="15.75" customHeight="1">
      <c r="A688" s="106"/>
      <c r="B688" s="106"/>
      <c r="C688" s="106"/>
      <c r="D688" s="106"/>
      <c r="E688" s="106"/>
      <c r="F688" s="106"/>
      <c r="G688" s="106"/>
      <c r="H688" s="106"/>
      <c r="I688" s="106"/>
      <c r="J688" s="154"/>
      <c r="K688" s="106"/>
      <c r="L688" s="121"/>
      <c r="M688" s="121"/>
      <c r="N688" s="106"/>
      <c r="O688" s="106"/>
      <c r="P688" s="106"/>
      <c r="Q688" s="106"/>
      <c r="R688" s="106"/>
      <c r="S688" s="106"/>
      <c r="T688" s="106"/>
      <c r="U688" s="106"/>
      <c r="V688" s="106"/>
      <c r="W688" s="106"/>
      <c r="X688" s="106"/>
      <c r="Y688" s="106"/>
    </row>
    <row r="689" spans="1:25" ht="15.75" customHeight="1">
      <c r="A689" s="106"/>
      <c r="B689" s="106"/>
      <c r="C689" s="106"/>
      <c r="D689" s="106"/>
      <c r="E689" s="106"/>
      <c r="F689" s="106"/>
      <c r="G689" s="106"/>
      <c r="H689" s="106"/>
      <c r="I689" s="106"/>
      <c r="J689" s="154"/>
      <c r="K689" s="106"/>
      <c r="L689" s="121"/>
      <c r="M689" s="121"/>
      <c r="N689" s="106"/>
      <c r="O689" s="106"/>
      <c r="P689" s="106"/>
      <c r="Q689" s="106"/>
      <c r="R689" s="106"/>
      <c r="S689" s="106"/>
      <c r="T689" s="106"/>
      <c r="U689" s="106"/>
      <c r="V689" s="106"/>
      <c r="W689" s="106"/>
      <c r="X689" s="106"/>
      <c r="Y689" s="106"/>
    </row>
    <row r="690" spans="1:25" ht="15.75" customHeight="1">
      <c r="A690" s="106"/>
      <c r="B690" s="106"/>
      <c r="C690" s="106"/>
      <c r="D690" s="106"/>
      <c r="E690" s="106"/>
      <c r="F690" s="106"/>
      <c r="G690" s="106"/>
      <c r="H690" s="106"/>
      <c r="I690" s="106"/>
      <c r="J690" s="154"/>
      <c r="K690" s="106"/>
      <c r="L690" s="121"/>
      <c r="M690" s="121"/>
      <c r="N690" s="106"/>
      <c r="O690" s="106"/>
      <c r="P690" s="106"/>
      <c r="Q690" s="106"/>
      <c r="R690" s="106"/>
      <c r="S690" s="106"/>
      <c r="T690" s="106"/>
      <c r="U690" s="106"/>
      <c r="V690" s="106"/>
      <c r="W690" s="106"/>
      <c r="X690" s="106"/>
      <c r="Y690" s="106"/>
    </row>
    <row r="691" spans="1:25" ht="15.75" customHeight="1">
      <c r="A691" s="106"/>
      <c r="B691" s="106"/>
      <c r="C691" s="106"/>
      <c r="D691" s="106"/>
      <c r="E691" s="106"/>
      <c r="F691" s="106"/>
      <c r="G691" s="106"/>
      <c r="H691" s="106"/>
      <c r="I691" s="106"/>
      <c r="J691" s="154"/>
      <c r="K691" s="106"/>
      <c r="L691" s="121"/>
      <c r="M691" s="121"/>
      <c r="N691" s="106"/>
      <c r="O691" s="106"/>
      <c r="P691" s="106"/>
      <c r="Q691" s="106"/>
      <c r="R691" s="106"/>
      <c r="S691" s="106"/>
      <c r="T691" s="106"/>
      <c r="U691" s="106"/>
      <c r="V691" s="106"/>
      <c r="W691" s="106"/>
      <c r="X691" s="106"/>
      <c r="Y691" s="106"/>
    </row>
    <row r="692" spans="1:25" ht="15.75" customHeight="1">
      <c r="A692" s="106"/>
      <c r="B692" s="106"/>
      <c r="C692" s="106"/>
      <c r="D692" s="106"/>
      <c r="E692" s="106"/>
      <c r="F692" s="106"/>
      <c r="G692" s="106"/>
      <c r="H692" s="106"/>
      <c r="I692" s="106"/>
      <c r="J692" s="154"/>
      <c r="K692" s="106"/>
      <c r="L692" s="121"/>
      <c r="M692" s="121"/>
      <c r="N692" s="106"/>
      <c r="O692" s="106"/>
      <c r="P692" s="106"/>
      <c r="Q692" s="106"/>
      <c r="R692" s="106"/>
      <c r="S692" s="106"/>
      <c r="T692" s="106"/>
      <c r="U692" s="106"/>
      <c r="V692" s="106"/>
      <c r="W692" s="106"/>
      <c r="X692" s="106"/>
      <c r="Y692" s="106"/>
    </row>
    <row r="693" spans="1:25" ht="15.75" customHeight="1">
      <c r="A693" s="106"/>
      <c r="B693" s="106"/>
      <c r="C693" s="106"/>
      <c r="D693" s="106"/>
      <c r="E693" s="106"/>
      <c r="F693" s="106"/>
      <c r="G693" s="106"/>
      <c r="H693" s="106"/>
      <c r="I693" s="106"/>
      <c r="J693" s="154"/>
      <c r="K693" s="106"/>
      <c r="L693" s="121"/>
      <c r="M693" s="121"/>
      <c r="N693" s="106"/>
      <c r="O693" s="106"/>
      <c r="P693" s="106"/>
      <c r="Q693" s="106"/>
      <c r="R693" s="106"/>
      <c r="S693" s="106"/>
      <c r="T693" s="106"/>
      <c r="U693" s="106"/>
      <c r="V693" s="106"/>
      <c r="W693" s="106"/>
      <c r="X693" s="106"/>
      <c r="Y693" s="106"/>
    </row>
    <row r="694" spans="1:25" ht="15.75" customHeight="1">
      <c r="A694" s="106"/>
      <c r="B694" s="106"/>
      <c r="C694" s="106"/>
      <c r="D694" s="106"/>
      <c r="E694" s="106"/>
      <c r="F694" s="106"/>
      <c r="G694" s="106"/>
      <c r="H694" s="106"/>
      <c r="I694" s="106"/>
      <c r="J694" s="154"/>
      <c r="K694" s="106"/>
      <c r="L694" s="121"/>
      <c r="M694" s="121"/>
      <c r="N694" s="106"/>
      <c r="O694" s="106"/>
      <c r="P694" s="106"/>
      <c r="Q694" s="106"/>
      <c r="R694" s="106"/>
      <c r="S694" s="106"/>
      <c r="T694" s="106"/>
      <c r="U694" s="106"/>
      <c r="V694" s="106"/>
      <c r="W694" s="106"/>
      <c r="X694" s="106"/>
      <c r="Y694" s="106"/>
    </row>
    <row r="695" spans="1:25" ht="15.75" customHeight="1">
      <c r="A695" s="106"/>
      <c r="B695" s="106"/>
      <c r="C695" s="106"/>
      <c r="D695" s="106"/>
      <c r="E695" s="106"/>
      <c r="F695" s="106"/>
      <c r="G695" s="106"/>
      <c r="H695" s="106"/>
      <c r="I695" s="106"/>
      <c r="J695" s="154"/>
      <c r="K695" s="106"/>
      <c r="L695" s="121"/>
      <c r="M695" s="121"/>
      <c r="N695" s="106"/>
      <c r="O695" s="106"/>
      <c r="P695" s="106"/>
      <c r="Q695" s="106"/>
      <c r="R695" s="106"/>
      <c r="S695" s="106"/>
      <c r="T695" s="106"/>
      <c r="U695" s="106"/>
      <c r="V695" s="106"/>
      <c r="W695" s="106"/>
      <c r="X695" s="106"/>
      <c r="Y695" s="106"/>
    </row>
    <row r="696" spans="1:25" ht="15.75" customHeight="1">
      <c r="A696" s="106"/>
      <c r="B696" s="106"/>
      <c r="C696" s="106"/>
      <c r="D696" s="106"/>
      <c r="E696" s="106"/>
      <c r="F696" s="106"/>
      <c r="G696" s="106"/>
      <c r="H696" s="106"/>
      <c r="I696" s="106"/>
      <c r="J696" s="154"/>
      <c r="K696" s="106"/>
      <c r="L696" s="121"/>
      <c r="M696" s="121"/>
      <c r="N696" s="106"/>
      <c r="O696" s="106"/>
      <c r="P696" s="106"/>
      <c r="Q696" s="106"/>
      <c r="R696" s="106"/>
      <c r="S696" s="106"/>
      <c r="T696" s="106"/>
      <c r="U696" s="106"/>
      <c r="V696" s="106"/>
      <c r="W696" s="106"/>
      <c r="X696" s="106"/>
      <c r="Y696" s="106"/>
    </row>
    <row r="697" spans="1:25" ht="15.75" customHeight="1">
      <c r="A697" s="106"/>
      <c r="B697" s="106"/>
      <c r="C697" s="106"/>
      <c r="D697" s="106"/>
      <c r="E697" s="106"/>
      <c r="F697" s="106"/>
      <c r="G697" s="106"/>
      <c r="H697" s="106"/>
      <c r="I697" s="106"/>
      <c r="J697" s="154"/>
      <c r="K697" s="106"/>
      <c r="L697" s="121"/>
      <c r="M697" s="121"/>
      <c r="N697" s="106"/>
      <c r="O697" s="106"/>
      <c r="P697" s="106"/>
      <c r="Q697" s="106"/>
      <c r="R697" s="106"/>
      <c r="S697" s="106"/>
      <c r="T697" s="106"/>
      <c r="U697" s="106"/>
      <c r="V697" s="106"/>
      <c r="W697" s="106"/>
      <c r="X697" s="106"/>
      <c r="Y697" s="106"/>
    </row>
    <row r="698" spans="1:25" ht="15.75" customHeight="1">
      <c r="A698" s="106"/>
      <c r="B698" s="106"/>
      <c r="C698" s="106"/>
      <c r="D698" s="106"/>
      <c r="E698" s="106"/>
      <c r="F698" s="106"/>
      <c r="G698" s="106"/>
      <c r="H698" s="106"/>
      <c r="I698" s="106"/>
      <c r="J698" s="154"/>
      <c r="K698" s="106"/>
      <c r="L698" s="121"/>
      <c r="M698" s="121"/>
      <c r="N698" s="106"/>
      <c r="O698" s="106"/>
      <c r="P698" s="106"/>
      <c r="Q698" s="106"/>
      <c r="R698" s="106"/>
      <c r="S698" s="106"/>
      <c r="T698" s="106"/>
      <c r="U698" s="106"/>
      <c r="V698" s="106"/>
      <c r="W698" s="106"/>
      <c r="X698" s="106"/>
      <c r="Y698" s="106"/>
    </row>
    <row r="699" spans="1:25" ht="15.75" customHeight="1">
      <c r="A699" s="106"/>
      <c r="B699" s="106"/>
      <c r="C699" s="106"/>
      <c r="D699" s="106"/>
      <c r="E699" s="106"/>
      <c r="F699" s="106"/>
      <c r="G699" s="106"/>
      <c r="H699" s="106"/>
      <c r="I699" s="106"/>
      <c r="J699" s="154"/>
      <c r="K699" s="106"/>
      <c r="L699" s="121"/>
      <c r="M699" s="121"/>
      <c r="N699" s="106"/>
      <c r="O699" s="106"/>
      <c r="P699" s="106"/>
      <c r="Q699" s="106"/>
      <c r="R699" s="106"/>
      <c r="S699" s="106"/>
      <c r="T699" s="106"/>
      <c r="U699" s="106"/>
      <c r="V699" s="106"/>
      <c r="W699" s="106"/>
      <c r="X699" s="106"/>
      <c r="Y699" s="106"/>
    </row>
    <row r="700" spans="1:25" ht="15.75" customHeight="1">
      <c r="A700" s="106"/>
      <c r="B700" s="106"/>
      <c r="C700" s="106"/>
      <c r="D700" s="106"/>
      <c r="E700" s="106"/>
      <c r="F700" s="106"/>
      <c r="G700" s="106"/>
      <c r="H700" s="106"/>
      <c r="I700" s="106"/>
      <c r="J700" s="154"/>
      <c r="K700" s="106"/>
      <c r="L700" s="121"/>
      <c r="M700" s="121"/>
      <c r="N700" s="106"/>
      <c r="O700" s="106"/>
      <c r="P700" s="106"/>
      <c r="Q700" s="106"/>
      <c r="R700" s="106"/>
      <c r="S700" s="106"/>
      <c r="T700" s="106"/>
      <c r="U700" s="106"/>
      <c r="V700" s="106"/>
      <c r="W700" s="106"/>
      <c r="X700" s="106"/>
      <c r="Y700" s="106"/>
    </row>
    <row r="701" spans="1:25" ht="15.75" customHeight="1">
      <c r="A701" s="106"/>
      <c r="B701" s="106"/>
      <c r="C701" s="106"/>
      <c r="D701" s="106"/>
      <c r="E701" s="106"/>
      <c r="F701" s="106"/>
      <c r="G701" s="106"/>
      <c r="H701" s="106"/>
      <c r="I701" s="106"/>
      <c r="J701" s="154"/>
      <c r="K701" s="106"/>
      <c r="L701" s="121"/>
      <c r="M701" s="121"/>
      <c r="N701" s="106"/>
      <c r="O701" s="106"/>
      <c r="P701" s="106"/>
      <c r="Q701" s="106"/>
      <c r="R701" s="106"/>
      <c r="S701" s="106"/>
      <c r="T701" s="106"/>
      <c r="U701" s="106"/>
      <c r="V701" s="106"/>
      <c r="W701" s="106"/>
      <c r="X701" s="106"/>
      <c r="Y701" s="106"/>
    </row>
    <row r="702" spans="1:25" ht="15.75" customHeight="1">
      <c r="A702" s="106"/>
      <c r="B702" s="106"/>
      <c r="C702" s="106"/>
      <c r="D702" s="106"/>
      <c r="E702" s="106"/>
      <c r="F702" s="106"/>
      <c r="G702" s="106"/>
      <c r="H702" s="106"/>
      <c r="I702" s="106"/>
      <c r="J702" s="154"/>
      <c r="K702" s="106"/>
      <c r="L702" s="121"/>
      <c r="M702" s="121"/>
      <c r="N702" s="106"/>
      <c r="O702" s="106"/>
      <c r="P702" s="106"/>
      <c r="Q702" s="106"/>
      <c r="R702" s="106"/>
      <c r="S702" s="106"/>
      <c r="T702" s="106"/>
      <c r="U702" s="106"/>
      <c r="V702" s="106"/>
      <c r="W702" s="106"/>
      <c r="X702" s="106"/>
      <c r="Y702" s="106"/>
    </row>
    <row r="703" spans="1:25" ht="15.75" customHeight="1">
      <c r="A703" s="106"/>
      <c r="B703" s="106"/>
      <c r="C703" s="106"/>
      <c r="D703" s="106"/>
      <c r="E703" s="106"/>
      <c r="F703" s="106"/>
      <c r="G703" s="106"/>
      <c r="H703" s="106"/>
      <c r="I703" s="106"/>
      <c r="J703" s="154"/>
      <c r="K703" s="106"/>
      <c r="L703" s="121"/>
      <c r="M703" s="121"/>
      <c r="N703" s="106"/>
      <c r="O703" s="106"/>
      <c r="P703" s="106"/>
      <c r="Q703" s="106"/>
      <c r="R703" s="106"/>
      <c r="S703" s="106"/>
      <c r="T703" s="106"/>
      <c r="U703" s="106"/>
      <c r="V703" s="106"/>
      <c r="W703" s="106"/>
      <c r="X703" s="106"/>
      <c r="Y703" s="106"/>
    </row>
    <row r="704" spans="1:25" ht="15.75" customHeight="1">
      <c r="A704" s="106"/>
      <c r="B704" s="106"/>
      <c r="C704" s="106"/>
      <c r="D704" s="106"/>
      <c r="E704" s="106"/>
      <c r="F704" s="106"/>
      <c r="G704" s="106"/>
      <c r="H704" s="106"/>
      <c r="I704" s="106"/>
      <c r="J704" s="154"/>
      <c r="K704" s="106"/>
      <c r="L704" s="121"/>
      <c r="M704" s="121"/>
      <c r="N704" s="106"/>
      <c r="O704" s="106"/>
      <c r="P704" s="106"/>
      <c r="Q704" s="106"/>
      <c r="R704" s="106"/>
      <c r="S704" s="106"/>
      <c r="T704" s="106"/>
      <c r="U704" s="106"/>
      <c r="V704" s="106"/>
      <c r="W704" s="106"/>
      <c r="X704" s="106"/>
      <c r="Y704" s="106"/>
    </row>
    <row r="705" spans="1:25" ht="15.75" customHeight="1">
      <c r="A705" s="106"/>
      <c r="B705" s="106"/>
      <c r="C705" s="106"/>
      <c r="D705" s="106"/>
      <c r="E705" s="106"/>
      <c r="F705" s="106"/>
      <c r="G705" s="106"/>
      <c r="H705" s="106"/>
      <c r="I705" s="106"/>
      <c r="J705" s="154"/>
      <c r="K705" s="106"/>
      <c r="L705" s="121"/>
      <c r="M705" s="121"/>
      <c r="N705" s="106"/>
      <c r="O705" s="106"/>
      <c r="P705" s="106"/>
      <c r="Q705" s="106"/>
      <c r="R705" s="106"/>
      <c r="S705" s="106"/>
      <c r="T705" s="106"/>
      <c r="U705" s="106"/>
      <c r="V705" s="106"/>
      <c r="W705" s="106"/>
      <c r="X705" s="106"/>
      <c r="Y705" s="106"/>
    </row>
    <row r="706" spans="1:25" ht="15.75" customHeight="1">
      <c r="A706" s="106"/>
      <c r="B706" s="106"/>
      <c r="C706" s="106"/>
      <c r="D706" s="106"/>
      <c r="E706" s="106"/>
      <c r="F706" s="106"/>
      <c r="G706" s="106"/>
      <c r="H706" s="106"/>
      <c r="I706" s="106"/>
      <c r="J706" s="154"/>
      <c r="K706" s="106"/>
      <c r="L706" s="121"/>
      <c r="M706" s="121"/>
      <c r="N706" s="106"/>
      <c r="O706" s="106"/>
      <c r="P706" s="106"/>
      <c r="Q706" s="106"/>
      <c r="R706" s="106"/>
      <c r="S706" s="106"/>
      <c r="T706" s="106"/>
      <c r="U706" s="106"/>
      <c r="V706" s="106"/>
      <c r="W706" s="106"/>
      <c r="X706" s="106"/>
      <c r="Y706" s="106"/>
    </row>
    <row r="707" spans="1:25" ht="15.75" customHeight="1">
      <c r="A707" s="106"/>
      <c r="B707" s="106"/>
      <c r="C707" s="106"/>
      <c r="D707" s="106"/>
      <c r="E707" s="106"/>
      <c r="F707" s="106"/>
      <c r="G707" s="106"/>
      <c r="H707" s="106"/>
      <c r="I707" s="106"/>
      <c r="J707" s="154"/>
      <c r="K707" s="106"/>
      <c r="L707" s="121"/>
      <c r="M707" s="121"/>
      <c r="N707" s="106"/>
      <c r="O707" s="106"/>
      <c r="P707" s="106"/>
      <c r="Q707" s="106"/>
      <c r="R707" s="106"/>
      <c r="S707" s="106"/>
      <c r="T707" s="106"/>
      <c r="U707" s="106"/>
      <c r="V707" s="106"/>
      <c r="W707" s="106"/>
      <c r="X707" s="106"/>
      <c r="Y707" s="106"/>
    </row>
    <row r="708" spans="1:25" ht="15.75" customHeight="1">
      <c r="A708" s="106"/>
      <c r="B708" s="106"/>
      <c r="C708" s="106"/>
      <c r="D708" s="106"/>
      <c r="E708" s="106"/>
      <c r="F708" s="106"/>
      <c r="G708" s="106"/>
      <c r="H708" s="106"/>
      <c r="I708" s="106"/>
      <c r="J708" s="154"/>
      <c r="K708" s="106"/>
      <c r="L708" s="121"/>
      <c r="M708" s="121"/>
      <c r="N708" s="106"/>
      <c r="O708" s="106"/>
      <c r="P708" s="106"/>
      <c r="Q708" s="106"/>
      <c r="R708" s="106"/>
      <c r="S708" s="106"/>
      <c r="T708" s="106"/>
      <c r="U708" s="106"/>
      <c r="V708" s="106"/>
      <c r="W708" s="106"/>
      <c r="X708" s="106"/>
      <c r="Y708" s="106"/>
    </row>
    <row r="709" spans="1:25" ht="15.75" customHeight="1">
      <c r="A709" s="106"/>
      <c r="B709" s="106"/>
      <c r="C709" s="106"/>
      <c r="D709" s="106"/>
      <c r="E709" s="106"/>
      <c r="F709" s="106"/>
      <c r="G709" s="106"/>
      <c r="H709" s="106"/>
      <c r="I709" s="106"/>
      <c r="J709" s="154"/>
      <c r="K709" s="106"/>
      <c r="L709" s="121"/>
      <c r="M709" s="121"/>
      <c r="N709" s="106"/>
      <c r="O709" s="106"/>
      <c r="P709" s="106"/>
      <c r="Q709" s="106"/>
      <c r="R709" s="106"/>
      <c r="S709" s="106"/>
      <c r="T709" s="106"/>
      <c r="U709" s="106"/>
      <c r="V709" s="106"/>
      <c r="W709" s="106"/>
      <c r="X709" s="106"/>
      <c r="Y709" s="106"/>
    </row>
    <row r="710" spans="1:25" ht="15.75" customHeight="1">
      <c r="A710" s="106"/>
      <c r="B710" s="106"/>
      <c r="C710" s="106"/>
      <c r="D710" s="106"/>
      <c r="E710" s="106"/>
      <c r="F710" s="106"/>
      <c r="G710" s="106"/>
      <c r="H710" s="106"/>
      <c r="I710" s="106"/>
      <c r="J710" s="154"/>
      <c r="K710" s="106"/>
      <c r="L710" s="121"/>
      <c r="M710" s="121"/>
      <c r="N710" s="106"/>
      <c r="O710" s="106"/>
      <c r="P710" s="106"/>
      <c r="Q710" s="106"/>
      <c r="R710" s="106"/>
      <c r="S710" s="106"/>
      <c r="T710" s="106"/>
      <c r="U710" s="106"/>
      <c r="V710" s="106"/>
      <c r="W710" s="106"/>
      <c r="X710" s="106"/>
      <c r="Y710" s="106"/>
    </row>
    <row r="711" spans="1:25" ht="15.75" customHeight="1">
      <c r="A711" s="106"/>
      <c r="B711" s="106"/>
      <c r="C711" s="106"/>
      <c r="D711" s="106"/>
      <c r="E711" s="106"/>
      <c r="F711" s="106"/>
      <c r="G711" s="106"/>
      <c r="H711" s="106"/>
      <c r="I711" s="106"/>
      <c r="J711" s="154"/>
      <c r="K711" s="106"/>
      <c r="L711" s="121"/>
      <c r="M711" s="121"/>
      <c r="N711" s="106"/>
      <c r="O711" s="106"/>
      <c r="P711" s="106"/>
      <c r="Q711" s="106"/>
      <c r="R711" s="106"/>
      <c r="S711" s="106"/>
      <c r="T711" s="106"/>
      <c r="U711" s="106"/>
      <c r="V711" s="106"/>
      <c r="W711" s="106"/>
      <c r="X711" s="106"/>
      <c r="Y711" s="106"/>
    </row>
    <row r="712" spans="1:25" ht="15.75" customHeight="1">
      <c r="A712" s="106"/>
      <c r="B712" s="106"/>
      <c r="C712" s="106"/>
      <c r="D712" s="106"/>
      <c r="E712" s="106"/>
      <c r="F712" s="106"/>
      <c r="G712" s="106"/>
      <c r="H712" s="106"/>
      <c r="I712" s="106"/>
      <c r="J712" s="154"/>
      <c r="K712" s="106"/>
      <c r="L712" s="121"/>
      <c r="M712" s="121"/>
      <c r="N712" s="106"/>
      <c r="O712" s="106"/>
      <c r="P712" s="106"/>
      <c r="Q712" s="106"/>
      <c r="R712" s="106"/>
      <c r="S712" s="106"/>
      <c r="T712" s="106"/>
      <c r="U712" s="106"/>
      <c r="V712" s="106"/>
      <c r="W712" s="106"/>
      <c r="X712" s="106"/>
      <c r="Y712" s="106"/>
    </row>
    <row r="713" spans="1:25" ht="15.75" customHeight="1">
      <c r="A713" s="106"/>
      <c r="B713" s="106"/>
      <c r="C713" s="106"/>
      <c r="D713" s="106"/>
      <c r="E713" s="106"/>
      <c r="F713" s="106"/>
      <c r="G713" s="106"/>
      <c r="H713" s="106"/>
      <c r="I713" s="106"/>
      <c r="J713" s="154"/>
      <c r="K713" s="106"/>
      <c r="L713" s="121"/>
      <c r="M713" s="121"/>
      <c r="N713" s="106"/>
      <c r="O713" s="106"/>
      <c r="P713" s="106"/>
      <c r="Q713" s="106"/>
      <c r="R713" s="106"/>
      <c r="S713" s="106"/>
      <c r="T713" s="106"/>
      <c r="U713" s="106"/>
      <c r="V713" s="106"/>
      <c r="W713" s="106"/>
      <c r="X713" s="106"/>
      <c r="Y713" s="106"/>
    </row>
    <row r="714" spans="1:25" ht="15.75" customHeight="1">
      <c r="A714" s="106"/>
      <c r="B714" s="106"/>
      <c r="C714" s="106"/>
      <c r="D714" s="106"/>
      <c r="E714" s="106"/>
      <c r="F714" s="106"/>
      <c r="G714" s="106"/>
      <c r="H714" s="106"/>
      <c r="I714" s="106"/>
      <c r="J714" s="154"/>
      <c r="K714" s="106"/>
      <c r="L714" s="121"/>
      <c r="M714" s="121"/>
      <c r="N714" s="106"/>
      <c r="O714" s="106"/>
      <c r="P714" s="106"/>
      <c r="Q714" s="106"/>
      <c r="R714" s="106"/>
      <c r="S714" s="106"/>
      <c r="T714" s="106"/>
      <c r="U714" s="106"/>
      <c r="V714" s="106"/>
      <c r="W714" s="106"/>
      <c r="X714" s="106"/>
      <c r="Y714" s="106"/>
    </row>
    <row r="715" spans="1:25" ht="15.75" customHeight="1">
      <c r="A715" s="106"/>
      <c r="B715" s="106"/>
      <c r="C715" s="106"/>
      <c r="D715" s="106"/>
      <c r="E715" s="106"/>
      <c r="F715" s="106"/>
      <c r="G715" s="106"/>
      <c r="H715" s="106"/>
      <c r="I715" s="106"/>
      <c r="J715" s="154"/>
      <c r="K715" s="106"/>
      <c r="L715" s="121"/>
      <c r="M715" s="121"/>
      <c r="N715" s="106"/>
      <c r="O715" s="106"/>
      <c r="P715" s="106"/>
      <c r="Q715" s="106"/>
      <c r="R715" s="106"/>
      <c r="S715" s="106"/>
      <c r="T715" s="106"/>
      <c r="U715" s="106"/>
      <c r="V715" s="106"/>
      <c r="W715" s="106"/>
      <c r="X715" s="106"/>
      <c r="Y715" s="106"/>
    </row>
    <row r="716" spans="1:25" ht="15.75" customHeight="1">
      <c r="A716" s="106"/>
      <c r="B716" s="106"/>
      <c r="C716" s="106"/>
      <c r="D716" s="106"/>
      <c r="E716" s="106"/>
      <c r="F716" s="106"/>
      <c r="G716" s="106"/>
      <c r="H716" s="106"/>
      <c r="I716" s="106"/>
      <c r="J716" s="154"/>
      <c r="K716" s="106"/>
      <c r="L716" s="121"/>
      <c r="M716" s="121"/>
      <c r="N716" s="106"/>
      <c r="O716" s="106"/>
      <c r="P716" s="106"/>
      <c r="Q716" s="106"/>
      <c r="R716" s="106"/>
      <c r="S716" s="106"/>
      <c r="T716" s="106"/>
      <c r="U716" s="106"/>
      <c r="V716" s="106"/>
      <c r="W716" s="106"/>
      <c r="X716" s="106"/>
      <c r="Y716" s="106"/>
    </row>
    <row r="717" spans="1:25" ht="15.75" customHeight="1">
      <c r="A717" s="106"/>
      <c r="B717" s="106"/>
      <c r="C717" s="106"/>
      <c r="D717" s="106"/>
      <c r="E717" s="106"/>
      <c r="F717" s="106"/>
      <c r="G717" s="106"/>
      <c r="H717" s="106"/>
      <c r="I717" s="106"/>
      <c r="J717" s="154"/>
      <c r="K717" s="106"/>
      <c r="L717" s="121"/>
      <c r="M717" s="121"/>
      <c r="N717" s="106"/>
      <c r="O717" s="106"/>
      <c r="P717" s="106"/>
      <c r="Q717" s="106"/>
      <c r="R717" s="106"/>
      <c r="S717" s="106"/>
      <c r="T717" s="106"/>
      <c r="U717" s="106"/>
      <c r="V717" s="106"/>
      <c r="W717" s="106"/>
      <c r="X717" s="106"/>
      <c r="Y717" s="106"/>
    </row>
    <row r="718" spans="1:25" ht="15.75" customHeight="1">
      <c r="A718" s="106"/>
      <c r="B718" s="106"/>
      <c r="C718" s="106"/>
      <c r="D718" s="106"/>
      <c r="E718" s="106"/>
      <c r="F718" s="106"/>
      <c r="G718" s="106"/>
      <c r="H718" s="106"/>
      <c r="I718" s="106"/>
      <c r="J718" s="154"/>
      <c r="K718" s="106"/>
      <c r="L718" s="121"/>
      <c r="M718" s="121"/>
      <c r="N718" s="106"/>
      <c r="O718" s="106"/>
      <c r="P718" s="106"/>
      <c r="Q718" s="106"/>
      <c r="R718" s="106"/>
      <c r="S718" s="106"/>
      <c r="T718" s="106"/>
      <c r="U718" s="106"/>
      <c r="V718" s="106"/>
      <c r="W718" s="106"/>
      <c r="X718" s="106"/>
      <c r="Y718" s="106"/>
    </row>
    <row r="719" spans="1:25" ht="15.75" customHeight="1">
      <c r="A719" s="106"/>
      <c r="B719" s="106"/>
      <c r="C719" s="106"/>
      <c r="D719" s="106"/>
      <c r="E719" s="106"/>
      <c r="F719" s="106"/>
      <c r="G719" s="106"/>
      <c r="H719" s="106"/>
      <c r="I719" s="106"/>
      <c r="J719" s="154"/>
      <c r="K719" s="106"/>
      <c r="L719" s="121"/>
      <c r="M719" s="121"/>
      <c r="N719" s="106"/>
      <c r="O719" s="106"/>
      <c r="P719" s="106"/>
      <c r="Q719" s="106"/>
      <c r="R719" s="106"/>
      <c r="S719" s="106"/>
      <c r="T719" s="106"/>
      <c r="U719" s="106"/>
      <c r="V719" s="106"/>
      <c r="W719" s="106"/>
      <c r="X719" s="106"/>
      <c r="Y719" s="106"/>
    </row>
    <row r="720" spans="1:25" ht="15.75" customHeight="1">
      <c r="A720" s="106"/>
      <c r="B720" s="106"/>
      <c r="C720" s="106"/>
      <c r="D720" s="106"/>
      <c r="E720" s="106"/>
      <c r="F720" s="106"/>
      <c r="G720" s="106"/>
      <c r="H720" s="106"/>
      <c r="I720" s="106"/>
      <c r="J720" s="154"/>
      <c r="K720" s="106"/>
      <c r="L720" s="121"/>
      <c r="M720" s="121"/>
      <c r="N720" s="106"/>
      <c r="O720" s="106"/>
      <c r="P720" s="106"/>
      <c r="Q720" s="106"/>
      <c r="R720" s="106"/>
      <c r="S720" s="106"/>
      <c r="T720" s="106"/>
      <c r="U720" s="106"/>
      <c r="V720" s="106"/>
      <c r="W720" s="106"/>
      <c r="X720" s="106"/>
      <c r="Y720" s="106"/>
    </row>
    <row r="721" spans="1:25" ht="15.75" customHeight="1">
      <c r="A721" s="106"/>
      <c r="B721" s="106"/>
      <c r="C721" s="106"/>
      <c r="D721" s="106"/>
      <c r="E721" s="106"/>
      <c r="F721" s="106"/>
      <c r="G721" s="106"/>
      <c r="H721" s="106"/>
      <c r="I721" s="106"/>
      <c r="J721" s="154"/>
      <c r="K721" s="106"/>
      <c r="L721" s="121"/>
      <c r="M721" s="121"/>
      <c r="N721" s="106"/>
      <c r="O721" s="106"/>
      <c r="P721" s="106"/>
      <c r="Q721" s="106"/>
      <c r="R721" s="106"/>
      <c r="S721" s="106"/>
      <c r="T721" s="106"/>
      <c r="U721" s="106"/>
      <c r="V721" s="106"/>
      <c r="W721" s="106"/>
      <c r="X721" s="106"/>
      <c r="Y721" s="106"/>
    </row>
    <row r="722" spans="1:25" ht="15.75" customHeight="1">
      <c r="A722" s="106"/>
      <c r="B722" s="106"/>
      <c r="C722" s="106"/>
      <c r="D722" s="106"/>
      <c r="E722" s="106"/>
      <c r="F722" s="106"/>
      <c r="G722" s="106"/>
      <c r="H722" s="106"/>
      <c r="I722" s="106"/>
      <c r="J722" s="154"/>
      <c r="K722" s="106"/>
      <c r="L722" s="121"/>
      <c r="M722" s="121"/>
      <c r="N722" s="106"/>
      <c r="O722" s="106"/>
      <c r="P722" s="106"/>
      <c r="Q722" s="106"/>
      <c r="R722" s="106"/>
      <c r="S722" s="106"/>
      <c r="T722" s="106"/>
      <c r="U722" s="106"/>
      <c r="V722" s="106"/>
      <c r="W722" s="106"/>
      <c r="X722" s="106"/>
      <c r="Y722" s="106"/>
    </row>
    <row r="723" spans="1:25" ht="15.75" customHeight="1">
      <c r="A723" s="106"/>
      <c r="B723" s="106"/>
      <c r="C723" s="106"/>
      <c r="D723" s="106"/>
      <c r="E723" s="106"/>
      <c r="F723" s="106"/>
      <c r="G723" s="106"/>
      <c r="H723" s="106"/>
      <c r="I723" s="106"/>
      <c r="J723" s="154"/>
      <c r="K723" s="106"/>
      <c r="L723" s="121"/>
      <c r="M723" s="121"/>
      <c r="N723" s="106"/>
      <c r="O723" s="106"/>
      <c r="P723" s="106"/>
      <c r="Q723" s="106"/>
      <c r="R723" s="106"/>
      <c r="S723" s="106"/>
      <c r="T723" s="106"/>
      <c r="U723" s="106"/>
      <c r="V723" s="106"/>
      <c r="W723" s="106"/>
      <c r="X723" s="106"/>
      <c r="Y723" s="106"/>
    </row>
    <row r="724" spans="1:25" ht="15.75" customHeight="1">
      <c r="A724" s="106"/>
      <c r="B724" s="106"/>
      <c r="C724" s="106"/>
      <c r="D724" s="106"/>
      <c r="E724" s="106"/>
      <c r="F724" s="106"/>
      <c r="G724" s="106"/>
      <c r="H724" s="106"/>
      <c r="I724" s="106"/>
      <c r="J724" s="154"/>
      <c r="K724" s="106"/>
      <c r="L724" s="121"/>
      <c r="M724" s="121"/>
      <c r="N724" s="106"/>
      <c r="O724" s="106"/>
      <c r="P724" s="106"/>
      <c r="Q724" s="106"/>
      <c r="R724" s="106"/>
      <c r="S724" s="106"/>
      <c r="T724" s="106"/>
      <c r="U724" s="106"/>
      <c r="V724" s="106"/>
      <c r="W724" s="106"/>
      <c r="X724" s="106"/>
      <c r="Y724" s="106"/>
    </row>
    <row r="725" spans="1:25" ht="15.75" customHeight="1">
      <c r="A725" s="106"/>
      <c r="B725" s="106"/>
      <c r="C725" s="106"/>
      <c r="D725" s="106"/>
      <c r="E725" s="106"/>
      <c r="F725" s="106"/>
      <c r="G725" s="106"/>
      <c r="H725" s="106"/>
      <c r="I725" s="106"/>
      <c r="J725" s="154"/>
      <c r="K725" s="106"/>
      <c r="L725" s="121"/>
      <c r="M725" s="121"/>
      <c r="N725" s="106"/>
      <c r="O725" s="106"/>
      <c r="P725" s="106"/>
      <c r="Q725" s="106"/>
      <c r="R725" s="106"/>
      <c r="S725" s="106"/>
      <c r="T725" s="106"/>
      <c r="U725" s="106"/>
      <c r="V725" s="106"/>
      <c r="W725" s="106"/>
      <c r="X725" s="106"/>
      <c r="Y725" s="106"/>
    </row>
    <row r="726" spans="1:25" ht="15.75" customHeight="1">
      <c r="A726" s="106"/>
      <c r="B726" s="106"/>
      <c r="C726" s="106"/>
      <c r="D726" s="106"/>
      <c r="E726" s="106"/>
      <c r="F726" s="106"/>
      <c r="G726" s="106"/>
      <c r="H726" s="106"/>
      <c r="I726" s="106"/>
      <c r="J726" s="154"/>
      <c r="K726" s="106"/>
      <c r="L726" s="121"/>
      <c r="M726" s="121"/>
      <c r="N726" s="106"/>
      <c r="O726" s="106"/>
      <c r="P726" s="106"/>
      <c r="Q726" s="106"/>
      <c r="R726" s="106"/>
      <c r="S726" s="106"/>
      <c r="T726" s="106"/>
      <c r="U726" s="106"/>
      <c r="V726" s="106"/>
      <c r="W726" s="106"/>
      <c r="X726" s="106"/>
      <c r="Y726" s="106"/>
    </row>
    <row r="727" spans="1:25" ht="15.75" customHeight="1">
      <c r="A727" s="106"/>
      <c r="B727" s="106"/>
      <c r="C727" s="106"/>
      <c r="D727" s="106"/>
      <c r="E727" s="106"/>
      <c r="F727" s="106"/>
      <c r="G727" s="106"/>
      <c r="H727" s="106"/>
      <c r="I727" s="106"/>
      <c r="J727" s="154"/>
      <c r="K727" s="106"/>
      <c r="L727" s="121"/>
      <c r="M727" s="121"/>
      <c r="N727" s="106"/>
      <c r="O727" s="106"/>
      <c r="P727" s="106"/>
      <c r="Q727" s="106"/>
      <c r="R727" s="106"/>
      <c r="S727" s="106"/>
      <c r="T727" s="106"/>
      <c r="U727" s="106"/>
      <c r="V727" s="106"/>
      <c r="W727" s="106"/>
      <c r="X727" s="106"/>
      <c r="Y727" s="106"/>
    </row>
    <row r="728" spans="1:25" ht="15.75" customHeight="1">
      <c r="A728" s="106"/>
      <c r="B728" s="106"/>
      <c r="C728" s="106"/>
      <c r="D728" s="106"/>
      <c r="E728" s="106"/>
      <c r="F728" s="106"/>
      <c r="G728" s="106"/>
      <c r="H728" s="106"/>
      <c r="I728" s="106"/>
      <c r="J728" s="154"/>
      <c r="K728" s="106"/>
      <c r="L728" s="121"/>
      <c r="M728" s="121"/>
      <c r="N728" s="106"/>
      <c r="O728" s="106"/>
      <c r="P728" s="106"/>
      <c r="Q728" s="106"/>
      <c r="R728" s="106"/>
      <c r="S728" s="106"/>
      <c r="T728" s="106"/>
      <c r="U728" s="106"/>
      <c r="V728" s="106"/>
      <c r="W728" s="106"/>
      <c r="X728" s="106"/>
      <c r="Y728" s="106"/>
    </row>
    <row r="729" spans="1:25" ht="15.75" customHeight="1">
      <c r="A729" s="106"/>
      <c r="B729" s="106"/>
      <c r="C729" s="106"/>
      <c r="D729" s="106"/>
      <c r="E729" s="106"/>
      <c r="F729" s="106"/>
      <c r="G729" s="106"/>
      <c r="H729" s="106"/>
      <c r="I729" s="106"/>
      <c r="J729" s="154"/>
      <c r="K729" s="106"/>
      <c r="L729" s="121"/>
      <c r="M729" s="121"/>
      <c r="N729" s="106"/>
      <c r="O729" s="106"/>
      <c r="P729" s="106"/>
      <c r="Q729" s="106"/>
      <c r="R729" s="106"/>
      <c r="S729" s="106"/>
      <c r="T729" s="106"/>
      <c r="U729" s="106"/>
      <c r="V729" s="106"/>
      <c r="W729" s="106"/>
      <c r="X729" s="106"/>
      <c r="Y729" s="106"/>
    </row>
    <row r="730" spans="1:25" ht="15.75" customHeight="1">
      <c r="A730" s="106"/>
      <c r="B730" s="106"/>
      <c r="C730" s="106"/>
      <c r="D730" s="106"/>
      <c r="E730" s="106"/>
      <c r="F730" s="106"/>
      <c r="G730" s="106"/>
      <c r="H730" s="106"/>
      <c r="I730" s="106"/>
      <c r="J730" s="154"/>
      <c r="K730" s="106"/>
      <c r="L730" s="121"/>
      <c r="M730" s="121"/>
      <c r="N730" s="106"/>
      <c r="O730" s="106"/>
      <c r="P730" s="106"/>
      <c r="Q730" s="106"/>
      <c r="R730" s="106"/>
      <c r="S730" s="106"/>
      <c r="T730" s="106"/>
      <c r="U730" s="106"/>
      <c r="V730" s="106"/>
      <c r="W730" s="106"/>
      <c r="X730" s="106"/>
      <c r="Y730" s="106"/>
    </row>
    <row r="731" spans="1:25" ht="15.75" customHeight="1">
      <c r="A731" s="106"/>
      <c r="B731" s="106"/>
      <c r="C731" s="106"/>
      <c r="D731" s="106"/>
      <c r="E731" s="106"/>
      <c r="F731" s="106"/>
      <c r="G731" s="106"/>
      <c r="H731" s="106"/>
      <c r="I731" s="106"/>
      <c r="J731" s="154"/>
      <c r="K731" s="106"/>
      <c r="L731" s="121"/>
      <c r="M731" s="121"/>
      <c r="N731" s="106"/>
      <c r="O731" s="106"/>
      <c r="P731" s="106"/>
      <c r="Q731" s="106"/>
      <c r="R731" s="106"/>
      <c r="S731" s="106"/>
      <c r="T731" s="106"/>
      <c r="U731" s="106"/>
      <c r="V731" s="106"/>
      <c r="W731" s="106"/>
      <c r="X731" s="106"/>
      <c r="Y731" s="106"/>
    </row>
    <row r="732" spans="1:25" ht="15.75" customHeight="1">
      <c r="A732" s="106"/>
      <c r="B732" s="106"/>
      <c r="C732" s="106"/>
      <c r="D732" s="106"/>
      <c r="E732" s="106"/>
      <c r="F732" s="106"/>
      <c r="G732" s="106"/>
      <c r="H732" s="106"/>
      <c r="I732" s="106"/>
      <c r="J732" s="154"/>
      <c r="K732" s="106"/>
      <c r="L732" s="121"/>
      <c r="M732" s="121"/>
      <c r="N732" s="106"/>
      <c r="O732" s="106"/>
      <c r="P732" s="106"/>
      <c r="Q732" s="106"/>
      <c r="R732" s="106"/>
      <c r="S732" s="106"/>
      <c r="T732" s="106"/>
      <c r="U732" s="106"/>
      <c r="V732" s="106"/>
      <c r="W732" s="106"/>
      <c r="X732" s="106"/>
      <c r="Y732" s="106"/>
    </row>
    <row r="733" spans="1:25" ht="15.75" customHeight="1">
      <c r="A733" s="106"/>
      <c r="B733" s="106"/>
      <c r="C733" s="106"/>
      <c r="D733" s="106"/>
      <c r="E733" s="106"/>
      <c r="F733" s="106"/>
      <c r="G733" s="106"/>
      <c r="H733" s="106"/>
      <c r="I733" s="106"/>
      <c r="J733" s="154"/>
      <c r="K733" s="106"/>
      <c r="L733" s="121"/>
      <c r="M733" s="121"/>
      <c r="N733" s="106"/>
      <c r="O733" s="106"/>
      <c r="P733" s="106"/>
      <c r="Q733" s="106"/>
      <c r="R733" s="106"/>
      <c r="S733" s="106"/>
      <c r="T733" s="106"/>
      <c r="U733" s="106"/>
      <c r="V733" s="106"/>
      <c r="W733" s="106"/>
      <c r="X733" s="106"/>
      <c r="Y733" s="106"/>
    </row>
    <row r="734" spans="1:25" ht="15.75" customHeight="1">
      <c r="A734" s="106"/>
      <c r="B734" s="106"/>
      <c r="C734" s="106"/>
      <c r="D734" s="106"/>
      <c r="E734" s="106"/>
      <c r="F734" s="106"/>
      <c r="G734" s="106"/>
      <c r="H734" s="106"/>
      <c r="I734" s="106"/>
      <c r="J734" s="154"/>
      <c r="K734" s="106"/>
      <c r="L734" s="121"/>
      <c r="M734" s="121"/>
      <c r="N734" s="106"/>
      <c r="O734" s="106"/>
      <c r="P734" s="106"/>
      <c r="Q734" s="106"/>
      <c r="R734" s="106"/>
      <c r="S734" s="106"/>
      <c r="T734" s="106"/>
      <c r="U734" s="106"/>
      <c r="V734" s="106"/>
      <c r="W734" s="106"/>
      <c r="X734" s="106"/>
      <c r="Y734" s="106"/>
    </row>
    <row r="735" spans="1:25" ht="15.75" customHeight="1">
      <c r="A735" s="106"/>
      <c r="B735" s="106"/>
      <c r="C735" s="106"/>
      <c r="D735" s="106"/>
      <c r="E735" s="106"/>
      <c r="F735" s="106"/>
      <c r="G735" s="106"/>
      <c r="H735" s="106"/>
      <c r="I735" s="106"/>
      <c r="J735" s="154"/>
      <c r="K735" s="106"/>
      <c r="L735" s="121"/>
      <c r="M735" s="121"/>
      <c r="N735" s="106"/>
      <c r="O735" s="106"/>
      <c r="P735" s="106"/>
      <c r="Q735" s="106"/>
      <c r="R735" s="106"/>
      <c r="S735" s="106"/>
      <c r="T735" s="106"/>
      <c r="U735" s="106"/>
      <c r="V735" s="106"/>
      <c r="W735" s="106"/>
      <c r="X735" s="106"/>
      <c r="Y735" s="106"/>
    </row>
    <row r="736" spans="1:25" ht="15.75" customHeight="1">
      <c r="A736" s="106"/>
      <c r="B736" s="106"/>
      <c r="C736" s="106"/>
      <c r="D736" s="106"/>
      <c r="E736" s="106"/>
      <c r="F736" s="106"/>
      <c r="G736" s="106"/>
      <c r="H736" s="106"/>
      <c r="I736" s="106"/>
      <c r="J736" s="154"/>
      <c r="K736" s="106"/>
      <c r="L736" s="121"/>
      <c r="M736" s="121"/>
      <c r="N736" s="106"/>
      <c r="O736" s="106"/>
      <c r="P736" s="106"/>
      <c r="Q736" s="106"/>
      <c r="R736" s="106"/>
      <c r="S736" s="106"/>
      <c r="T736" s="106"/>
      <c r="U736" s="106"/>
      <c r="V736" s="106"/>
      <c r="W736" s="106"/>
      <c r="X736" s="106"/>
      <c r="Y736" s="106"/>
    </row>
    <row r="737" spans="1:25" ht="15.75" customHeight="1">
      <c r="A737" s="106"/>
      <c r="B737" s="106"/>
      <c r="C737" s="106"/>
      <c r="D737" s="106"/>
      <c r="E737" s="106"/>
      <c r="F737" s="106"/>
      <c r="G737" s="106"/>
      <c r="H737" s="106"/>
      <c r="I737" s="106"/>
      <c r="J737" s="154"/>
      <c r="K737" s="106"/>
      <c r="L737" s="121"/>
      <c r="M737" s="121"/>
      <c r="N737" s="106"/>
      <c r="O737" s="106"/>
      <c r="P737" s="106"/>
      <c r="Q737" s="106"/>
      <c r="R737" s="106"/>
      <c r="S737" s="106"/>
      <c r="T737" s="106"/>
      <c r="U737" s="106"/>
      <c r="V737" s="106"/>
      <c r="W737" s="106"/>
      <c r="X737" s="106"/>
      <c r="Y737" s="106"/>
    </row>
    <row r="738" spans="1:25" ht="15.75" customHeight="1">
      <c r="A738" s="106"/>
      <c r="B738" s="106"/>
      <c r="C738" s="106"/>
      <c r="D738" s="106"/>
      <c r="E738" s="106"/>
      <c r="F738" s="106"/>
      <c r="G738" s="106"/>
      <c r="H738" s="106"/>
      <c r="I738" s="106"/>
      <c r="J738" s="154"/>
      <c r="K738" s="106"/>
      <c r="L738" s="121"/>
      <c r="M738" s="121"/>
      <c r="N738" s="106"/>
      <c r="O738" s="106"/>
      <c r="P738" s="106"/>
      <c r="Q738" s="106"/>
      <c r="R738" s="106"/>
      <c r="S738" s="106"/>
      <c r="T738" s="106"/>
      <c r="U738" s="106"/>
      <c r="V738" s="106"/>
      <c r="W738" s="106"/>
      <c r="X738" s="106"/>
      <c r="Y738" s="106"/>
    </row>
    <row r="739" spans="1:25" ht="15.75" customHeight="1">
      <c r="A739" s="106"/>
      <c r="B739" s="106"/>
      <c r="C739" s="106"/>
      <c r="D739" s="106"/>
      <c r="E739" s="106"/>
      <c r="F739" s="106"/>
      <c r="G739" s="106"/>
      <c r="H739" s="106"/>
      <c r="I739" s="106"/>
      <c r="J739" s="154"/>
      <c r="K739" s="106"/>
      <c r="L739" s="121"/>
      <c r="M739" s="121"/>
      <c r="N739" s="106"/>
      <c r="O739" s="106"/>
      <c r="P739" s="106"/>
      <c r="Q739" s="106"/>
      <c r="R739" s="106"/>
      <c r="S739" s="106"/>
      <c r="T739" s="106"/>
      <c r="U739" s="106"/>
      <c r="V739" s="106"/>
      <c r="W739" s="106"/>
      <c r="X739" s="106"/>
      <c r="Y739" s="106"/>
    </row>
    <row r="740" spans="1:25" ht="15.75" customHeight="1">
      <c r="A740" s="106"/>
      <c r="B740" s="106"/>
      <c r="C740" s="106"/>
      <c r="D740" s="106"/>
      <c r="E740" s="106"/>
      <c r="F740" s="106"/>
      <c r="G740" s="106"/>
      <c r="H740" s="106"/>
      <c r="I740" s="106"/>
      <c r="J740" s="154"/>
      <c r="K740" s="106"/>
      <c r="L740" s="121"/>
      <c r="M740" s="121"/>
      <c r="N740" s="106"/>
      <c r="O740" s="106"/>
      <c r="P740" s="106"/>
      <c r="Q740" s="106"/>
      <c r="R740" s="106"/>
      <c r="S740" s="106"/>
      <c r="T740" s="106"/>
      <c r="U740" s="106"/>
      <c r="V740" s="106"/>
      <c r="W740" s="106"/>
      <c r="X740" s="106"/>
      <c r="Y740" s="106"/>
    </row>
    <row r="741" spans="1:25" ht="15.75" customHeight="1">
      <c r="A741" s="106"/>
      <c r="B741" s="106"/>
      <c r="C741" s="106"/>
      <c r="D741" s="106"/>
      <c r="E741" s="106"/>
      <c r="F741" s="106"/>
      <c r="G741" s="106"/>
      <c r="H741" s="106"/>
      <c r="I741" s="106"/>
      <c r="J741" s="154"/>
      <c r="K741" s="106"/>
      <c r="L741" s="121"/>
      <c r="M741" s="121"/>
      <c r="N741" s="106"/>
      <c r="O741" s="106"/>
      <c r="P741" s="106"/>
      <c r="Q741" s="106"/>
      <c r="R741" s="106"/>
      <c r="S741" s="106"/>
      <c r="T741" s="106"/>
      <c r="U741" s="106"/>
      <c r="V741" s="106"/>
      <c r="W741" s="106"/>
      <c r="X741" s="106"/>
      <c r="Y741" s="106"/>
    </row>
    <row r="742" spans="1:25" ht="15.75" customHeight="1">
      <c r="A742" s="106"/>
      <c r="B742" s="106"/>
      <c r="C742" s="106"/>
      <c r="D742" s="106"/>
      <c r="E742" s="106"/>
      <c r="F742" s="106"/>
      <c r="G742" s="106"/>
      <c r="H742" s="106"/>
      <c r="I742" s="106"/>
      <c r="J742" s="154"/>
      <c r="K742" s="106"/>
      <c r="L742" s="121"/>
      <c r="M742" s="121"/>
      <c r="N742" s="106"/>
      <c r="O742" s="106"/>
      <c r="P742" s="106"/>
      <c r="Q742" s="106"/>
      <c r="R742" s="106"/>
      <c r="S742" s="106"/>
      <c r="T742" s="106"/>
      <c r="U742" s="106"/>
      <c r="V742" s="106"/>
      <c r="W742" s="106"/>
      <c r="X742" s="106"/>
      <c r="Y742" s="106"/>
    </row>
    <row r="743" spans="1:25" ht="15.75" customHeight="1">
      <c r="A743" s="106"/>
      <c r="B743" s="106"/>
      <c r="C743" s="106"/>
      <c r="D743" s="106"/>
      <c r="E743" s="106"/>
      <c r="F743" s="106"/>
      <c r="G743" s="106"/>
      <c r="H743" s="106"/>
      <c r="I743" s="106"/>
      <c r="J743" s="154"/>
      <c r="K743" s="106"/>
      <c r="L743" s="121"/>
      <c r="M743" s="121"/>
      <c r="N743" s="106"/>
      <c r="O743" s="106"/>
      <c r="P743" s="106"/>
      <c r="Q743" s="106"/>
      <c r="R743" s="106"/>
      <c r="S743" s="106"/>
      <c r="T743" s="106"/>
      <c r="U743" s="106"/>
      <c r="V743" s="106"/>
      <c r="W743" s="106"/>
      <c r="X743" s="106"/>
      <c r="Y743" s="106"/>
    </row>
    <row r="744" spans="1:25" ht="15.75" customHeight="1">
      <c r="A744" s="106"/>
      <c r="B744" s="106"/>
      <c r="C744" s="106"/>
      <c r="D744" s="106"/>
      <c r="E744" s="106"/>
      <c r="F744" s="106"/>
      <c r="G744" s="106"/>
      <c r="H744" s="106"/>
      <c r="I744" s="106"/>
      <c r="J744" s="154"/>
      <c r="K744" s="106"/>
      <c r="L744" s="121"/>
      <c r="M744" s="121"/>
      <c r="N744" s="106"/>
      <c r="O744" s="106"/>
      <c r="P744" s="106"/>
      <c r="Q744" s="106"/>
      <c r="R744" s="106"/>
      <c r="S744" s="106"/>
      <c r="T744" s="106"/>
      <c r="U744" s="106"/>
      <c r="V744" s="106"/>
      <c r="W744" s="106"/>
      <c r="X744" s="106"/>
      <c r="Y744" s="106"/>
    </row>
    <row r="745" spans="1:25" ht="15.75" customHeight="1">
      <c r="A745" s="106"/>
      <c r="B745" s="106"/>
      <c r="C745" s="106"/>
      <c r="D745" s="106"/>
      <c r="E745" s="106"/>
      <c r="F745" s="106"/>
      <c r="G745" s="106"/>
      <c r="H745" s="106"/>
      <c r="I745" s="106"/>
      <c r="J745" s="154"/>
      <c r="K745" s="106"/>
      <c r="L745" s="121"/>
      <c r="M745" s="121"/>
      <c r="N745" s="106"/>
      <c r="O745" s="106"/>
      <c r="P745" s="106"/>
      <c r="Q745" s="106"/>
      <c r="R745" s="106"/>
      <c r="S745" s="106"/>
      <c r="T745" s="106"/>
      <c r="U745" s="106"/>
      <c r="V745" s="106"/>
      <c r="W745" s="106"/>
      <c r="X745" s="106"/>
      <c r="Y745" s="106"/>
    </row>
    <row r="746" spans="1:25" ht="15.75" customHeight="1">
      <c r="A746" s="106"/>
      <c r="B746" s="106"/>
      <c r="C746" s="106"/>
      <c r="D746" s="106"/>
      <c r="E746" s="106"/>
      <c r="F746" s="106"/>
      <c r="G746" s="106"/>
      <c r="H746" s="106"/>
      <c r="I746" s="106"/>
      <c r="J746" s="154"/>
      <c r="K746" s="106"/>
      <c r="L746" s="121"/>
      <c r="M746" s="121"/>
      <c r="N746" s="106"/>
      <c r="O746" s="106"/>
      <c r="P746" s="106"/>
      <c r="Q746" s="106"/>
      <c r="R746" s="106"/>
      <c r="S746" s="106"/>
      <c r="T746" s="106"/>
      <c r="U746" s="106"/>
      <c r="V746" s="106"/>
      <c r="W746" s="106"/>
      <c r="X746" s="106"/>
      <c r="Y746" s="106"/>
    </row>
    <row r="747" spans="1:25" ht="15.75" customHeight="1">
      <c r="A747" s="106"/>
      <c r="B747" s="106"/>
      <c r="C747" s="106"/>
      <c r="D747" s="106"/>
      <c r="E747" s="106"/>
      <c r="F747" s="106"/>
      <c r="G747" s="106"/>
      <c r="H747" s="106"/>
      <c r="I747" s="106"/>
      <c r="J747" s="154"/>
      <c r="K747" s="106"/>
      <c r="L747" s="121"/>
      <c r="M747" s="121"/>
      <c r="N747" s="106"/>
      <c r="O747" s="106"/>
      <c r="P747" s="106"/>
      <c r="Q747" s="106"/>
      <c r="R747" s="106"/>
      <c r="S747" s="106"/>
      <c r="T747" s="106"/>
      <c r="U747" s="106"/>
      <c r="V747" s="106"/>
      <c r="W747" s="106"/>
      <c r="X747" s="106"/>
      <c r="Y747" s="106"/>
    </row>
    <row r="748" spans="1:25" ht="15.75" customHeight="1">
      <c r="A748" s="106"/>
      <c r="B748" s="106"/>
      <c r="C748" s="106"/>
      <c r="D748" s="106"/>
      <c r="E748" s="106"/>
      <c r="F748" s="106"/>
      <c r="G748" s="106"/>
      <c r="H748" s="106"/>
      <c r="I748" s="106"/>
      <c r="J748" s="154"/>
      <c r="K748" s="106"/>
      <c r="L748" s="121"/>
      <c r="M748" s="121"/>
      <c r="N748" s="106"/>
      <c r="O748" s="106"/>
      <c r="P748" s="106"/>
      <c r="Q748" s="106"/>
      <c r="R748" s="106"/>
      <c r="S748" s="106"/>
      <c r="T748" s="106"/>
      <c r="U748" s="106"/>
      <c r="V748" s="106"/>
      <c r="W748" s="106"/>
      <c r="X748" s="106"/>
      <c r="Y748" s="106"/>
    </row>
    <row r="749" spans="1:25" ht="15.75" customHeight="1">
      <c r="A749" s="106"/>
      <c r="B749" s="106"/>
      <c r="C749" s="106"/>
      <c r="D749" s="106"/>
      <c r="E749" s="106"/>
      <c r="F749" s="106"/>
      <c r="G749" s="106"/>
      <c r="H749" s="106"/>
      <c r="I749" s="106"/>
      <c r="J749" s="154"/>
      <c r="K749" s="106"/>
      <c r="L749" s="121"/>
      <c r="M749" s="121"/>
      <c r="N749" s="106"/>
      <c r="O749" s="106"/>
      <c r="P749" s="106"/>
      <c r="Q749" s="106"/>
      <c r="R749" s="106"/>
      <c r="S749" s="106"/>
      <c r="T749" s="106"/>
      <c r="U749" s="106"/>
      <c r="V749" s="106"/>
      <c r="W749" s="106"/>
      <c r="X749" s="106"/>
      <c r="Y749" s="106"/>
    </row>
    <row r="750" spans="1:25" ht="15.75" customHeight="1">
      <c r="A750" s="106"/>
      <c r="B750" s="106"/>
      <c r="C750" s="106"/>
      <c r="D750" s="106"/>
      <c r="E750" s="106"/>
      <c r="F750" s="106"/>
      <c r="G750" s="106"/>
      <c r="H750" s="106"/>
      <c r="I750" s="106"/>
      <c r="J750" s="154"/>
      <c r="K750" s="106"/>
      <c r="L750" s="121"/>
      <c r="M750" s="121"/>
      <c r="N750" s="106"/>
      <c r="O750" s="106"/>
      <c r="P750" s="106"/>
      <c r="Q750" s="106"/>
      <c r="R750" s="106"/>
      <c r="S750" s="106"/>
      <c r="T750" s="106"/>
      <c r="U750" s="106"/>
      <c r="V750" s="106"/>
      <c r="W750" s="106"/>
      <c r="X750" s="106"/>
      <c r="Y750" s="106"/>
    </row>
    <row r="751" spans="1:25" ht="15.75" customHeight="1">
      <c r="A751" s="106"/>
      <c r="B751" s="106"/>
      <c r="C751" s="106"/>
      <c r="D751" s="106"/>
      <c r="E751" s="106"/>
      <c r="F751" s="106"/>
      <c r="G751" s="106"/>
      <c r="H751" s="106"/>
      <c r="I751" s="106"/>
      <c r="J751" s="154"/>
      <c r="K751" s="106"/>
      <c r="L751" s="121"/>
      <c r="M751" s="121"/>
      <c r="N751" s="106"/>
      <c r="O751" s="106"/>
      <c r="P751" s="106"/>
      <c r="Q751" s="106"/>
      <c r="R751" s="106"/>
      <c r="S751" s="106"/>
      <c r="T751" s="106"/>
      <c r="U751" s="106"/>
      <c r="V751" s="106"/>
      <c r="W751" s="106"/>
      <c r="X751" s="106"/>
      <c r="Y751" s="106"/>
    </row>
    <row r="752" spans="1:25" ht="15.75" customHeight="1">
      <c r="A752" s="106"/>
      <c r="B752" s="106"/>
      <c r="C752" s="106"/>
      <c r="D752" s="106"/>
      <c r="E752" s="106"/>
      <c r="F752" s="106"/>
      <c r="G752" s="106"/>
      <c r="H752" s="106"/>
      <c r="I752" s="106"/>
      <c r="J752" s="154"/>
      <c r="K752" s="106"/>
      <c r="L752" s="121"/>
      <c r="M752" s="121"/>
      <c r="N752" s="106"/>
      <c r="O752" s="106"/>
      <c r="P752" s="106"/>
      <c r="Q752" s="106"/>
      <c r="R752" s="106"/>
      <c r="S752" s="106"/>
      <c r="T752" s="106"/>
      <c r="U752" s="106"/>
      <c r="V752" s="106"/>
      <c r="W752" s="106"/>
      <c r="X752" s="106"/>
      <c r="Y752" s="106"/>
    </row>
    <row r="753" spans="1:25" ht="15.75" customHeight="1">
      <c r="A753" s="106"/>
      <c r="B753" s="106"/>
      <c r="C753" s="106"/>
      <c r="D753" s="106"/>
      <c r="E753" s="106"/>
      <c r="F753" s="106"/>
      <c r="G753" s="106"/>
      <c r="H753" s="106"/>
      <c r="I753" s="106"/>
      <c r="J753" s="154"/>
      <c r="K753" s="106"/>
      <c r="L753" s="121"/>
      <c r="M753" s="121"/>
      <c r="N753" s="106"/>
      <c r="O753" s="106"/>
      <c r="P753" s="106"/>
      <c r="Q753" s="106"/>
      <c r="R753" s="106"/>
      <c r="S753" s="106"/>
      <c r="T753" s="106"/>
      <c r="U753" s="106"/>
      <c r="V753" s="106"/>
      <c r="W753" s="106"/>
      <c r="X753" s="106"/>
      <c r="Y753" s="106"/>
    </row>
    <row r="754" spans="1:25" ht="15.75" customHeight="1">
      <c r="A754" s="106"/>
      <c r="B754" s="106"/>
      <c r="C754" s="106"/>
      <c r="D754" s="106"/>
      <c r="E754" s="106"/>
      <c r="F754" s="106"/>
      <c r="G754" s="106"/>
      <c r="H754" s="106"/>
      <c r="I754" s="106"/>
      <c r="J754" s="154"/>
      <c r="K754" s="106"/>
      <c r="L754" s="121"/>
      <c r="M754" s="121"/>
      <c r="N754" s="106"/>
      <c r="O754" s="106"/>
      <c r="P754" s="106"/>
      <c r="Q754" s="106"/>
      <c r="R754" s="106"/>
      <c r="S754" s="106"/>
      <c r="T754" s="106"/>
      <c r="U754" s="106"/>
      <c r="V754" s="106"/>
      <c r="W754" s="106"/>
      <c r="X754" s="106"/>
      <c r="Y754" s="106"/>
    </row>
    <row r="755" spans="1:25" ht="15.75" customHeight="1">
      <c r="A755" s="106"/>
      <c r="B755" s="106"/>
      <c r="C755" s="106"/>
      <c r="D755" s="106"/>
      <c r="E755" s="106"/>
      <c r="F755" s="106"/>
      <c r="G755" s="106"/>
      <c r="H755" s="106"/>
      <c r="I755" s="106"/>
      <c r="J755" s="154"/>
      <c r="K755" s="106"/>
      <c r="L755" s="121"/>
      <c r="M755" s="121"/>
      <c r="N755" s="106"/>
      <c r="O755" s="106"/>
      <c r="P755" s="106"/>
      <c r="Q755" s="106"/>
      <c r="R755" s="106"/>
      <c r="S755" s="106"/>
      <c r="T755" s="106"/>
      <c r="U755" s="106"/>
      <c r="V755" s="106"/>
      <c r="W755" s="106"/>
      <c r="X755" s="106"/>
      <c r="Y755" s="106"/>
    </row>
    <row r="756" spans="1:25" ht="15.75" customHeight="1">
      <c r="A756" s="106"/>
      <c r="B756" s="106"/>
      <c r="C756" s="106"/>
      <c r="D756" s="106"/>
      <c r="E756" s="106"/>
      <c r="F756" s="106"/>
      <c r="G756" s="106"/>
      <c r="H756" s="106"/>
      <c r="I756" s="106"/>
      <c r="J756" s="154"/>
      <c r="K756" s="106"/>
      <c r="L756" s="121"/>
      <c r="M756" s="121"/>
      <c r="N756" s="106"/>
      <c r="O756" s="106"/>
      <c r="P756" s="106"/>
      <c r="Q756" s="106"/>
      <c r="R756" s="106"/>
      <c r="S756" s="106"/>
      <c r="T756" s="106"/>
      <c r="U756" s="106"/>
      <c r="V756" s="106"/>
      <c r="W756" s="106"/>
      <c r="X756" s="106"/>
      <c r="Y756" s="106"/>
    </row>
    <row r="757" spans="1:25" ht="15.75" customHeight="1">
      <c r="A757" s="106"/>
      <c r="B757" s="106"/>
      <c r="C757" s="106"/>
      <c r="D757" s="106"/>
      <c r="E757" s="106"/>
      <c r="F757" s="106"/>
      <c r="G757" s="106"/>
      <c r="H757" s="106"/>
      <c r="I757" s="106"/>
      <c r="J757" s="154"/>
      <c r="K757" s="106"/>
      <c r="L757" s="121"/>
      <c r="M757" s="121"/>
      <c r="N757" s="106"/>
      <c r="O757" s="106"/>
      <c r="P757" s="106"/>
      <c r="Q757" s="106"/>
      <c r="R757" s="106"/>
      <c r="S757" s="106"/>
      <c r="T757" s="106"/>
      <c r="U757" s="106"/>
      <c r="V757" s="106"/>
      <c r="W757" s="106"/>
      <c r="X757" s="106"/>
      <c r="Y757" s="106"/>
    </row>
    <row r="758" spans="1:25" ht="15.75" customHeight="1">
      <c r="A758" s="106"/>
      <c r="B758" s="106"/>
      <c r="C758" s="106"/>
      <c r="D758" s="106"/>
      <c r="E758" s="106"/>
      <c r="F758" s="106"/>
      <c r="G758" s="106"/>
      <c r="H758" s="106"/>
      <c r="I758" s="106"/>
      <c r="J758" s="154"/>
      <c r="K758" s="106"/>
      <c r="L758" s="121"/>
      <c r="M758" s="121"/>
      <c r="N758" s="106"/>
      <c r="O758" s="106"/>
      <c r="P758" s="106"/>
      <c r="Q758" s="106"/>
      <c r="R758" s="106"/>
      <c r="S758" s="106"/>
      <c r="T758" s="106"/>
      <c r="U758" s="106"/>
      <c r="V758" s="106"/>
      <c r="W758" s="106"/>
      <c r="X758" s="106"/>
      <c r="Y758" s="106"/>
    </row>
    <row r="759" spans="1:25" ht="15.75" customHeight="1">
      <c r="A759" s="106"/>
      <c r="B759" s="106"/>
      <c r="C759" s="106"/>
      <c r="D759" s="106"/>
      <c r="E759" s="106"/>
      <c r="F759" s="106"/>
      <c r="G759" s="106"/>
      <c r="H759" s="106"/>
      <c r="I759" s="106"/>
      <c r="J759" s="154"/>
      <c r="K759" s="106"/>
      <c r="L759" s="121"/>
      <c r="M759" s="121"/>
      <c r="N759" s="106"/>
      <c r="O759" s="106"/>
      <c r="P759" s="106"/>
      <c r="Q759" s="106"/>
      <c r="R759" s="106"/>
      <c r="S759" s="106"/>
      <c r="T759" s="106"/>
      <c r="U759" s="106"/>
      <c r="V759" s="106"/>
      <c r="W759" s="106"/>
      <c r="X759" s="106"/>
      <c r="Y759" s="106"/>
    </row>
    <row r="760" spans="1:25" ht="15.75" customHeight="1">
      <c r="A760" s="106"/>
      <c r="B760" s="106"/>
      <c r="C760" s="106"/>
      <c r="D760" s="106"/>
      <c r="E760" s="106"/>
      <c r="F760" s="106"/>
      <c r="G760" s="106"/>
      <c r="H760" s="106"/>
      <c r="I760" s="106"/>
      <c r="J760" s="154"/>
      <c r="K760" s="106"/>
      <c r="L760" s="121"/>
      <c r="M760" s="121"/>
      <c r="N760" s="106"/>
      <c r="O760" s="106"/>
      <c r="P760" s="106"/>
      <c r="Q760" s="106"/>
      <c r="R760" s="106"/>
      <c r="S760" s="106"/>
      <c r="T760" s="106"/>
      <c r="U760" s="106"/>
      <c r="V760" s="106"/>
      <c r="W760" s="106"/>
      <c r="X760" s="106"/>
      <c r="Y760" s="106"/>
    </row>
    <row r="761" spans="1:25" ht="15.75" customHeight="1">
      <c r="A761" s="106"/>
      <c r="B761" s="106"/>
      <c r="C761" s="106"/>
      <c r="D761" s="106"/>
      <c r="E761" s="106"/>
      <c r="F761" s="106"/>
      <c r="G761" s="106"/>
      <c r="H761" s="106"/>
      <c r="I761" s="106"/>
      <c r="J761" s="154"/>
      <c r="K761" s="106"/>
      <c r="L761" s="121"/>
      <c r="M761" s="121"/>
      <c r="N761" s="106"/>
      <c r="O761" s="106"/>
      <c r="P761" s="106"/>
      <c r="Q761" s="106"/>
      <c r="R761" s="106"/>
      <c r="S761" s="106"/>
      <c r="T761" s="106"/>
      <c r="U761" s="106"/>
      <c r="V761" s="106"/>
      <c r="W761" s="106"/>
      <c r="X761" s="106"/>
      <c r="Y761" s="106"/>
    </row>
    <row r="762" spans="1:25" ht="15.75" customHeight="1">
      <c r="A762" s="106"/>
      <c r="B762" s="106"/>
      <c r="C762" s="106"/>
      <c r="D762" s="106"/>
      <c r="E762" s="106"/>
      <c r="F762" s="106"/>
      <c r="G762" s="106"/>
      <c r="H762" s="106"/>
      <c r="I762" s="106"/>
      <c r="J762" s="154"/>
      <c r="K762" s="106"/>
      <c r="L762" s="121"/>
      <c r="M762" s="121"/>
      <c r="N762" s="106"/>
      <c r="O762" s="106"/>
      <c r="P762" s="106"/>
      <c r="Q762" s="106"/>
      <c r="R762" s="106"/>
      <c r="S762" s="106"/>
      <c r="T762" s="106"/>
      <c r="U762" s="106"/>
      <c r="V762" s="106"/>
      <c r="W762" s="106"/>
      <c r="X762" s="106"/>
      <c r="Y762" s="106"/>
    </row>
    <row r="763" spans="1:25" ht="15.75" customHeight="1">
      <c r="A763" s="106"/>
      <c r="B763" s="106"/>
      <c r="C763" s="106"/>
      <c r="D763" s="106"/>
      <c r="E763" s="106"/>
      <c r="F763" s="106"/>
      <c r="G763" s="106"/>
      <c r="H763" s="106"/>
      <c r="I763" s="106"/>
      <c r="J763" s="154"/>
      <c r="K763" s="106"/>
      <c r="L763" s="121"/>
      <c r="M763" s="121"/>
      <c r="N763" s="106"/>
      <c r="O763" s="106"/>
      <c r="P763" s="106"/>
      <c r="Q763" s="106"/>
      <c r="R763" s="106"/>
      <c r="S763" s="106"/>
      <c r="T763" s="106"/>
      <c r="U763" s="106"/>
      <c r="V763" s="106"/>
      <c r="W763" s="106"/>
      <c r="X763" s="106"/>
      <c r="Y763" s="106"/>
    </row>
    <row r="764" spans="1:25" ht="15.75" customHeight="1">
      <c r="A764" s="106"/>
      <c r="B764" s="106"/>
      <c r="C764" s="106"/>
      <c r="D764" s="106"/>
      <c r="E764" s="106"/>
      <c r="F764" s="106"/>
      <c r="G764" s="106"/>
      <c r="H764" s="106"/>
      <c r="I764" s="106"/>
      <c r="J764" s="154"/>
      <c r="K764" s="106"/>
      <c r="L764" s="121"/>
      <c r="M764" s="121"/>
      <c r="N764" s="106"/>
      <c r="O764" s="106"/>
      <c r="P764" s="106"/>
      <c r="Q764" s="106"/>
      <c r="R764" s="106"/>
      <c r="S764" s="106"/>
      <c r="T764" s="106"/>
      <c r="U764" s="106"/>
      <c r="V764" s="106"/>
      <c r="W764" s="106"/>
      <c r="X764" s="106"/>
      <c r="Y764" s="106"/>
    </row>
    <row r="765" spans="1:25" ht="15.75" customHeight="1">
      <c r="A765" s="106"/>
      <c r="B765" s="106"/>
      <c r="C765" s="106"/>
      <c r="D765" s="106"/>
      <c r="E765" s="106"/>
      <c r="F765" s="106"/>
      <c r="G765" s="106"/>
      <c r="H765" s="106"/>
      <c r="I765" s="106"/>
      <c r="J765" s="154"/>
      <c r="K765" s="106"/>
      <c r="L765" s="121"/>
      <c r="M765" s="121"/>
      <c r="N765" s="106"/>
      <c r="O765" s="106"/>
      <c r="P765" s="106"/>
      <c r="Q765" s="106"/>
      <c r="R765" s="106"/>
      <c r="S765" s="106"/>
      <c r="T765" s="106"/>
      <c r="U765" s="106"/>
      <c r="V765" s="106"/>
      <c r="W765" s="106"/>
      <c r="X765" s="106"/>
      <c r="Y765" s="106"/>
    </row>
    <row r="766" spans="1:25" ht="15.75" customHeight="1">
      <c r="A766" s="106"/>
      <c r="B766" s="106"/>
      <c r="C766" s="106"/>
      <c r="D766" s="106"/>
      <c r="E766" s="106"/>
      <c r="F766" s="106"/>
      <c r="G766" s="106"/>
      <c r="H766" s="106"/>
      <c r="I766" s="106"/>
      <c r="J766" s="154"/>
      <c r="K766" s="106"/>
      <c r="L766" s="121"/>
      <c r="M766" s="121"/>
      <c r="N766" s="106"/>
      <c r="O766" s="106"/>
      <c r="P766" s="106"/>
      <c r="Q766" s="106"/>
      <c r="R766" s="106"/>
      <c r="S766" s="106"/>
      <c r="T766" s="106"/>
      <c r="U766" s="106"/>
      <c r="V766" s="106"/>
      <c r="W766" s="106"/>
      <c r="X766" s="106"/>
      <c r="Y766" s="106"/>
    </row>
    <row r="767" spans="1:25" ht="15.75" customHeight="1">
      <c r="A767" s="106"/>
      <c r="B767" s="106"/>
      <c r="C767" s="106"/>
      <c r="D767" s="106"/>
      <c r="E767" s="106"/>
      <c r="F767" s="106"/>
      <c r="G767" s="106"/>
      <c r="H767" s="106"/>
      <c r="I767" s="106"/>
      <c r="J767" s="154"/>
      <c r="K767" s="106"/>
      <c r="L767" s="121"/>
      <c r="M767" s="121"/>
      <c r="N767" s="106"/>
      <c r="O767" s="106"/>
      <c r="P767" s="106"/>
      <c r="Q767" s="106"/>
      <c r="R767" s="106"/>
      <c r="S767" s="106"/>
      <c r="T767" s="106"/>
      <c r="U767" s="106"/>
      <c r="V767" s="106"/>
      <c r="W767" s="106"/>
      <c r="X767" s="106"/>
      <c r="Y767" s="106"/>
    </row>
    <row r="768" spans="1:25" ht="15.75" customHeight="1">
      <c r="A768" s="106"/>
      <c r="B768" s="106"/>
      <c r="C768" s="106"/>
      <c r="D768" s="106"/>
      <c r="E768" s="106"/>
      <c r="F768" s="106"/>
      <c r="G768" s="106"/>
      <c r="H768" s="106"/>
      <c r="I768" s="106"/>
      <c r="J768" s="154"/>
      <c r="K768" s="106"/>
      <c r="L768" s="121"/>
      <c r="M768" s="121"/>
      <c r="N768" s="106"/>
      <c r="O768" s="106"/>
      <c r="P768" s="106"/>
      <c r="Q768" s="106"/>
      <c r="R768" s="106"/>
      <c r="S768" s="106"/>
      <c r="T768" s="106"/>
      <c r="U768" s="106"/>
      <c r="V768" s="106"/>
      <c r="W768" s="106"/>
      <c r="X768" s="106"/>
      <c r="Y768" s="106"/>
    </row>
    <row r="769" spans="1:25" ht="15.75" customHeight="1">
      <c r="A769" s="106"/>
      <c r="B769" s="106"/>
      <c r="C769" s="106"/>
      <c r="D769" s="106"/>
      <c r="E769" s="106"/>
      <c r="F769" s="106"/>
      <c r="G769" s="106"/>
      <c r="H769" s="106"/>
      <c r="I769" s="106"/>
      <c r="J769" s="154"/>
      <c r="K769" s="106"/>
      <c r="L769" s="121"/>
      <c r="M769" s="121"/>
      <c r="N769" s="106"/>
      <c r="O769" s="106"/>
      <c r="P769" s="106"/>
      <c r="Q769" s="106"/>
      <c r="R769" s="106"/>
      <c r="S769" s="106"/>
      <c r="T769" s="106"/>
      <c r="U769" s="106"/>
      <c r="V769" s="106"/>
      <c r="W769" s="106"/>
      <c r="X769" s="106"/>
      <c r="Y769" s="106"/>
    </row>
    <row r="770" spans="1:25" ht="15.75" customHeight="1">
      <c r="A770" s="106"/>
      <c r="B770" s="106"/>
      <c r="C770" s="106"/>
      <c r="D770" s="106"/>
      <c r="E770" s="106"/>
      <c r="F770" s="106"/>
      <c r="G770" s="106"/>
      <c r="H770" s="106"/>
      <c r="I770" s="106"/>
      <c r="J770" s="154"/>
      <c r="K770" s="106"/>
      <c r="L770" s="121"/>
      <c r="M770" s="121"/>
      <c r="N770" s="106"/>
      <c r="O770" s="106"/>
      <c r="P770" s="106"/>
      <c r="Q770" s="106"/>
      <c r="R770" s="106"/>
      <c r="S770" s="106"/>
      <c r="T770" s="106"/>
      <c r="U770" s="106"/>
      <c r="V770" s="106"/>
      <c r="W770" s="106"/>
      <c r="X770" s="106"/>
      <c r="Y770" s="106"/>
    </row>
    <row r="771" spans="1:25" ht="15.75" customHeight="1">
      <c r="A771" s="106"/>
      <c r="B771" s="106"/>
      <c r="C771" s="106"/>
      <c r="D771" s="106"/>
      <c r="E771" s="106"/>
      <c r="F771" s="106"/>
      <c r="G771" s="106"/>
      <c r="H771" s="106"/>
      <c r="I771" s="106"/>
      <c r="J771" s="154"/>
      <c r="K771" s="106"/>
      <c r="L771" s="121"/>
      <c r="M771" s="121"/>
      <c r="N771" s="106"/>
      <c r="O771" s="106"/>
      <c r="P771" s="106"/>
      <c r="Q771" s="106"/>
      <c r="R771" s="106"/>
      <c r="S771" s="106"/>
      <c r="T771" s="106"/>
      <c r="U771" s="106"/>
      <c r="V771" s="106"/>
      <c r="W771" s="106"/>
      <c r="X771" s="106"/>
      <c r="Y771" s="106"/>
    </row>
    <row r="772" spans="1:25" ht="15.75" customHeight="1">
      <c r="A772" s="106"/>
      <c r="B772" s="106"/>
      <c r="C772" s="106"/>
      <c r="D772" s="106"/>
      <c r="E772" s="106"/>
      <c r="F772" s="106"/>
      <c r="G772" s="106"/>
      <c r="H772" s="106"/>
      <c r="I772" s="106"/>
      <c r="J772" s="154"/>
      <c r="K772" s="106"/>
      <c r="L772" s="121"/>
      <c r="M772" s="121"/>
      <c r="N772" s="106"/>
      <c r="O772" s="106"/>
      <c r="P772" s="106"/>
      <c r="Q772" s="106"/>
      <c r="R772" s="106"/>
      <c r="S772" s="106"/>
      <c r="T772" s="106"/>
      <c r="U772" s="106"/>
      <c r="V772" s="106"/>
      <c r="W772" s="106"/>
      <c r="X772" s="106"/>
      <c r="Y772" s="106"/>
    </row>
    <row r="773" spans="1:25" ht="15.75" customHeight="1">
      <c r="A773" s="106"/>
      <c r="B773" s="106"/>
      <c r="C773" s="106"/>
      <c r="D773" s="106"/>
      <c r="E773" s="106"/>
      <c r="F773" s="106"/>
      <c r="G773" s="106"/>
      <c r="H773" s="106"/>
      <c r="I773" s="106"/>
      <c r="J773" s="154"/>
      <c r="K773" s="106"/>
      <c r="L773" s="121"/>
      <c r="M773" s="121"/>
      <c r="N773" s="106"/>
      <c r="O773" s="106"/>
      <c r="P773" s="106"/>
      <c r="Q773" s="106"/>
      <c r="R773" s="106"/>
      <c r="S773" s="106"/>
      <c r="T773" s="106"/>
      <c r="U773" s="106"/>
      <c r="V773" s="106"/>
      <c r="W773" s="106"/>
      <c r="X773" s="106"/>
      <c r="Y773" s="106"/>
    </row>
    <row r="774" spans="1:25" ht="15.75" customHeight="1">
      <c r="A774" s="106"/>
      <c r="B774" s="106"/>
      <c r="C774" s="106"/>
      <c r="D774" s="106"/>
      <c r="E774" s="106"/>
      <c r="F774" s="106"/>
      <c r="G774" s="106"/>
      <c r="H774" s="106"/>
      <c r="I774" s="106"/>
      <c r="J774" s="154"/>
      <c r="K774" s="106"/>
      <c r="L774" s="121"/>
      <c r="M774" s="121"/>
      <c r="N774" s="106"/>
      <c r="O774" s="106"/>
      <c r="P774" s="106"/>
      <c r="Q774" s="106"/>
      <c r="R774" s="106"/>
      <c r="S774" s="106"/>
      <c r="T774" s="106"/>
      <c r="U774" s="106"/>
      <c r="V774" s="106"/>
      <c r="W774" s="106"/>
      <c r="X774" s="106"/>
      <c r="Y774" s="106"/>
    </row>
    <row r="775" spans="1:25" ht="15.75" customHeight="1">
      <c r="A775" s="106"/>
      <c r="B775" s="106"/>
      <c r="C775" s="106"/>
      <c r="D775" s="106"/>
      <c r="E775" s="106"/>
      <c r="F775" s="106"/>
      <c r="G775" s="106"/>
      <c r="H775" s="106"/>
      <c r="I775" s="106"/>
      <c r="J775" s="154"/>
      <c r="K775" s="106"/>
      <c r="L775" s="121"/>
      <c r="M775" s="121"/>
      <c r="N775" s="106"/>
      <c r="O775" s="106"/>
      <c r="P775" s="106"/>
      <c r="Q775" s="106"/>
      <c r="R775" s="106"/>
      <c r="S775" s="106"/>
      <c r="T775" s="106"/>
      <c r="U775" s="106"/>
      <c r="V775" s="106"/>
      <c r="W775" s="106"/>
      <c r="X775" s="106"/>
      <c r="Y775" s="106"/>
    </row>
    <row r="776" spans="1:25" ht="15.75" customHeight="1">
      <c r="A776" s="106"/>
      <c r="B776" s="106"/>
      <c r="C776" s="106"/>
      <c r="D776" s="106"/>
      <c r="E776" s="106"/>
      <c r="F776" s="106"/>
      <c r="G776" s="106"/>
      <c r="H776" s="106"/>
      <c r="I776" s="106"/>
      <c r="J776" s="154"/>
      <c r="K776" s="106"/>
      <c r="L776" s="121"/>
      <c r="M776" s="121"/>
      <c r="N776" s="106"/>
      <c r="O776" s="106"/>
      <c r="P776" s="106"/>
      <c r="Q776" s="106"/>
      <c r="R776" s="106"/>
      <c r="S776" s="106"/>
      <c r="T776" s="106"/>
      <c r="U776" s="106"/>
      <c r="V776" s="106"/>
      <c r="W776" s="106"/>
      <c r="X776" s="106"/>
      <c r="Y776" s="106"/>
    </row>
    <row r="777" spans="1:25" ht="15.75" customHeight="1">
      <c r="A777" s="106"/>
      <c r="B777" s="106"/>
      <c r="C777" s="106"/>
      <c r="D777" s="106"/>
      <c r="E777" s="106"/>
      <c r="F777" s="106"/>
      <c r="G777" s="106"/>
      <c r="H777" s="106"/>
      <c r="I777" s="106"/>
      <c r="J777" s="154"/>
      <c r="K777" s="106"/>
      <c r="L777" s="121"/>
      <c r="M777" s="121"/>
      <c r="N777" s="106"/>
      <c r="O777" s="106"/>
      <c r="P777" s="106"/>
      <c r="Q777" s="106"/>
      <c r="R777" s="106"/>
      <c r="S777" s="106"/>
      <c r="T777" s="106"/>
      <c r="U777" s="106"/>
      <c r="V777" s="106"/>
      <c r="W777" s="106"/>
      <c r="X777" s="106"/>
      <c r="Y777" s="106"/>
    </row>
    <row r="778" spans="1:25" ht="15.75" customHeight="1">
      <c r="A778" s="106"/>
      <c r="B778" s="106"/>
      <c r="C778" s="106"/>
      <c r="D778" s="106"/>
      <c r="E778" s="106"/>
      <c r="F778" s="106"/>
      <c r="G778" s="106"/>
      <c r="H778" s="106"/>
      <c r="I778" s="106"/>
      <c r="J778" s="154"/>
      <c r="K778" s="106"/>
      <c r="L778" s="121"/>
      <c r="M778" s="121"/>
      <c r="N778" s="106"/>
      <c r="O778" s="106"/>
      <c r="P778" s="106"/>
      <c r="Q778" s="106"/>
      <c r="R778" s="106"/>
      <c r="S778" s="106"/>
      <c r="T778" s="106"/>
      <c r="U778" s="106"/>
      <c r="V778" s="106"/>
      <c r="W778" s="106"/>
      <c r="X778" s="106"/>
      <c r="Y778" s="106"/>
    </row>
    <row r="779" spans="1:25" ht="15.75" customHeight="1">
      <c r="A779" s="106"/>
      <c r="B779" s="106"/>
      <c r="C779" s="106"/>
      <c r="D779" s="106"/>
      <c r="E779" s="106"/>
      <c r="F779" s="106"/>
      <c r="G779" s="106"/>
      <c r="H779" s="106"/>
      <c r="I779" s="106"/>
      <c r="J779" s="154"/>
      <c r="K779" s="106"/>
      <c r="L779" s="121"/>
      <c r="M779" s="121"/>
      <c r="N779" s="106"/>
      <c r="O779" s="106"/>
      <c r="P779" s="106"/>
      <c r="Q779" s="106"/>
      <c r="R779" s="106"/>
      <c r="S779" s="106"/>
      <c r="T779" s="106"/>
      <c r="U779" s="106"/>
      <c r="V779" s="106"/>
      <c r="W779" s="106"/>
      <c r="X779" s="106"/>
      <c r="Y779" s="106"/>
    </row>
    <row r="780" spans="1:25" ht="15.75" customHeight="1">
      <c r="A780" s="106"/>
      <c r="B780" s="106"/>
      <c r="C780" s="106"/>
      <c r="D780" s="106"/>
      <c r="E780" s="106"/>
      <c r="F780" s="106"/>
      <c r="G780" s="106"/>
      <c r="H780" s="106"/>
      <c r="I780" s="106"/>
      <c r="J780" s="154"/>
      <c r="K780" s="106"/>
      <c r="L780" s="121"/>
      <c r="M780" s="121"/>
      <c r="N780" s="106"/>
      <c r="O780" s="106"/>
      <c r="P780" s="106"/>
      <c r="Q780" s="106"/>
      <c r="R780" s="106"/>
      <c r="S780" s="106"/>
      <c r="T780" s="106"/>
      <c r="U780" s="106"/>
      <c r="V780" s="106"/>
      <c r="W780" s="106"/>
      <c r="X780" s="106"/>
      <c r="Y780" s="106"/>
    </row>
    <row r="781" spans="1:25" ht="15.75" customHeight="1">
      <c r="A781" s="106"/>
      <c r="B781" s="106"/>
      <c r="C781" s="106"/>
      <c r="D781" s="106"/>
      <c r="E781" s="106"/>
      <c r="F781" s="106"/>
      <c r="G781" s="106"/>
      <c r="H781" s="106"/>
      <c r="I781" s="106"/>
      <c r="J781" s="154"/>
      <c r="K781" s="106"/>
      <c r="L781" s="121"/>
      <c r="M781" s="121"/>
      <c r="N781" s="106"/>
      <c r="O781" s="106"/>
      <c r="P781" s="106"/>
      <c r="Q781" s="106"/>
      <c r="R781" s="106"/>
      <c r="S781" s="106"/>
      <c r="T781" s="106"/>
      <c r="U781" s="106"/>
      <c r="V781" s="106"/>
      <c r="W781" s="106"/>
      <c r="X781" s="106"/>
      <c r="Y781" s="106"/>
    </row>
    <row r="782" spans="1:25" ht="15.75" customHeight="1">
      <c r="A782" s="106"/>
      <c r="B782" s="106"/>
      <c r="C782" s="106"/>
      <c r="D782" s="106"/>
      <c r="E782" s="106"/>
      <c r="F782" s="106"/>
      <c r="G782" s="106"/>
      <c r="H782" s="106"/>
      <c r="I782" s="106"/>
      <c r="J782" s="154"/>
      <c r="K782" s="106"/>
      <c r="L782" s="121"/>
      <c r="M782" s="121"/>
      <c r="N782" s="106"/>
      <c r="O782" s="106"/>
      <c r="P782" s="106"/>
      <c r="Q782" s="106"/>
      <c r="R782" s="106"/>
      <c r="S782" s="106"/>
      <c r="T782" s="106"/>
      <c r="U782" s="106"/>
      <c r="V782" s="106"/>
      <c r="W782" s="106"/>
      <c r="X782" s="106"/>
      <c r="Y782" s="106"/>
    </row>
    <row r="783" spans="1:25" ht="15.75" customHeight="1">
      <c r="A783" s="106"/>
      <c r="B783" s="106"/>
      <c r="C783" s="106"/>
      <c r="D783" s="106"/>
      <c r="E783" s="106"/>
      <c r="F783" s="106"/>
      <c r="G783" s="106"/>
      <c r="H783" s="106"/>
      <c r="I783" s="106"/>
      <c r="J783" s="154"/>
      <c r="K783" s="106"/>
      <c r="L783" s="121"/>
      <c r="M783" s="121"/>
      <c r="N783" s="106"/>
      <c r="O783" s="106"/>
      <c r="P783" s="106"/>
      <c r="Q783" s="106"/>
      <c r="R783" s="106"/>
      <c r="S783" s="106"/>
      <c r="T783" s="106"/>
      <c r="U783" s="106"/>
      <c r="V783" s="106"/>
      <c r="W783" s="106"/>
      <c r="X783" s="106"/>
      <c r="Y783" s="106"/>
    </row>
    <row r="784" spans="1:25" ht="15.75" customHeight="1">
      <c r="A784" s="106"/>
      <c r="B784" s="106"/>
      <c r="C784" s="106"/>
      <c r="D784" s="106"/>
      <c r="E784" s="106"/>
      <c r="F784" s="106"/>
      <c r="G784" s="106"/>
      <c r="H784" s="106"/>
      <c r="I784" s="106"/>
      <c r="J784" s="154"/>
      <c r="K784" s="106"/>
      <c r="L784" s="121"/>
      <c r="M784" s="121"/>
      <c r="N784" s="106"/>
      <c r="O784" s="106"/>
      <c r="P784" s="106"/>
      <c r="Q784" s="106"/>
      <c r="R784" s="106"/>
      <c r="S784" s="106"/>
      <c r="T784" s="106"/>
      <c r="U784" s="106"/>
      <c r="V784" s="106"/>
      <c r="W784" s="106"/>
      <c r="X784" s="106"/>
      <c r="Y784" s="106"/>
    </row>
    <row r="785" spans="1:25" ht="15.75" customHeight="1">
      <c r="A785" s="106"/>
      <c r="B785" s="106"/>
      <c r="C785" s="106"/>
      <c r="D785" s="106"/>
      <c r="E785" s="106"/>
      <c r="F785" s="106"/>
      <c r="G785" s="106"/>
      <c r="H785" s="106"/>
      <c r="I785" s="106"/>
      <c r="J785" s="154"/>
      <c r="K785" s="106"/>
      <c r="L785" s="121"/>
      <c r="M785" s="121"/>
      <c r="N785" s="106"/>
      <c r="O785" s="106"/>
      <c r="P785" s="106"/>
      <c r="Q785" s="106"/>
      <c r="R785" s="106"/>
      <c r="S785" s="106"/>
      <c r="T785" s="106"/>
      <c r="U785" s="106"/>
      <c r="V785" s="106"/>
      <c r="W785" s="106"/>
      <c r="X785" s="106"/>
      <c r="Y785" s="106"/>
    </row>
    <row r="786" spans="1:25" ht="15.75" customHeight="1">
      <c r="A786" s="106"/>
      <c r="B786" s="106"/>
      <c r="C786" s="106"/>
      <c r="D786" s="106"/>
      <c r="E786" s="106"/>
      <c r="F786" s="106"/>
      <c r="G786" s="106"/>
      <c r="H786" s="106"/>
      <c r="I786" s="106"/>
      <c r="J786" s="154"/>
      <c r="K786" s="106"/>
      <c r="L786" s="121"/>
      <c r="M786" s="121"/>
      <c r="N786" s="106"/>
      <c r="O786" s="106"/>
      <c r="P786" s="106"/>
      <c r="Q786" s="106"/>
      <c r="R786" s="106"/>
      <c r="S786" s="106"/>
      <c r="T786" s="106"/>
      <c r="U786" s="106"/>
      <c r="V786" s="106"/>
      <c r="W786" s="106"/>
      <c r="X786" s="106"/>
      <c r="Y786" s="106"/>
    </row>
    <row r="787" spans="1:25" ht="15.75" customHeight="1">
      <c r="A787" s="106"/>
      <c r="B787" s="106"/>
      <c r="C787" s="106"/>
      <c r="D787" s="106"/>
      <c r="E787" s="106"/>
      <c r="F787" s="106"/>
      <c r="G787" s="106"/>
      <c r="H787" s="106"/>
      <c r="I787" s="106"/>
      <c r="J787" s="154"/>
      <c r="K787" s="106"/>
      <c r="L787" s="121"/>
      <c r="M787" s="121"/>
      <c r="N787" s="106"/>
      <c r="O787" s="106"/>
      <c r="P787" s="106"/>
      <c r="Q787" s="106"/>
      <c r="R787" s="106"/>
      <c r="S787" s="106"/>
      <c r="T787" s="106"/>
      <c r="U787" s="106"/>
      <c r="V787" s="106"/>
      <c r="W787" s="106"/>
      <c r="X787" s="106"/>
      <c r="Y787" s="106"/>
    </row>
    <row r="788" spans="1:25" ht="15.75" customHeight="1">
      <c r="A788" s="106"/>
      <c r="B788" s="106"/>
      <c r="C788" s="106"/>
      <c r="D788" s="106"/>
      <c r="E788" s="106"/>
      <c r="F788" s="106"/>
      <c r="G788" s="106"/>
      <c r="H788" s="106"/>
      <c r="I788" s="106"/>
      <c r="J788" s="154"/>
      <c r="K788" s="106"/>
      <c r="L788" s="121"/>
      <c r="M788" s="121"/>
      <c r="N788" s="106"/>
      <c r="O788" s="106"/>
      <c r="P788" s="106"/>
      <c r="Q788" s="106"/>
      <c r="R788" s="106"/>
      <c r="S788" s="106"/>
      <c r="T788" s="106"/>
      <c r="U788" s="106"/>
      <c r="V788" s="106"/>
      <c r="W788" s="106"/>
      <c r="X788" s="106"/>
      <c r="Y788" s="106"/>
    </row>
    <row r="789" spans="1:25" ht="15.75" customHeight="1">
      <c r="A789" s="106"/>
      <c r="B789" s="106"/>
      <c r="C789" s="106"/>
      <c r="D789" s="106"/>
      <c r="E789" s="106"/>
      <c r="F789" s="106"/>
      <c r="G789" s="106"/>
      <c r="H789" s="106"/>
      <c r="I789" s="106"/>
      <c r="J789" s="154"/>
      <c r="K789" s="106"/>
      <c r="L789" s="121"/>
      <c r="M789" s="121"/>
      <c r="N789" s="106"/>
      <c r="O789" s="106"/>
      <c r="P789" s="106"/>
      <c r="Q789" s="106"/>
      <c r="R789" s="106"/>
      <c r="S789" s="106"/>
      <c r="T789" s="106"/>
      <c r="U789" s="106"/>
      <c r="V789" s="106"/>
      <c r="W789" s="106"/>
      <c r="X789" s="106"/>
      <c r="Y789" s="106"/>
    </row>
    <row r="790" spans="1:25" ht="15.75" customHeight="1">
      <c r="A790" s="106"/>
      <c r="B790" s="106"/>
      <c r="C790" s="106"/>
      <c r="D790" s="106"/>
      <c r="E790" s="106"/>
      <c r="F790" s="106"/>
      <c r="G790" s="106"/>
      <c r="H790" s="106"/>
      <c r="I790" s="106"/>
      <c r="J790" s="154"/>
      <c r="K790" s="106"/>
      <c r="L790" s="121"/>
      <c r="M790" s="121"/>
      <c r="N790" s="106"/>
      <c r="O790" s="106"/>
      <c r="P790" s="106"/>
      <c r="Q790" s="106"/>
      <c r="R790" s="106"/>
      <c r="S790" s="106"/>
      <c r="T790" s="106"/>
      <c r="U790" s="106"/>
      <c r="V790" s="106"/>
      <c r="W790" s="106"/>
      <c r="X790" s="106"/>
      <c r="Y790" s="106"/>
    </row>
    <row r="791" spans="1:25" ht="15.75" customHeight="1">
      <c r="A791" s="106"/>
      <c r="B791" s="106"/>
      <c r="C791" s="106"/>
      <c r="D791" s="106"/>
      <c r="E791" s="106"/>
      <c r="F791" s="106"/>
      <c r="G791" s="106"/>
      <c r="H791" s="106"/>
      <c r="I791" s="106"/>
      <c r="J791" s="154"/>
      <c r="K791" s="106"/>
      <c r="L791" s="121"/>
      <c r="M791" s="121"/>
      <c r="N791" s="106"/>
      <c r="O791" s="106"/>
      <c r="P791" s="106"/>
      <c r="Q791" s="106"/>
      <c r="R791" s="106"/>
      <c r="S791" s="106"/>
      <c r="T791" s="106"/>
      <c r="U791" s="106"/>
      <c r="V791" s="106"/>
      <c r="W791" s="106"/>
      <c r="X791" s="106"/>
      <c r="Y791" s="106"/>
    </row>
    <row r="792" spans="1:25" ht="15.75" customHeight="1">
      <c r="A792" s="106"/>
      <c r="B792" s="106"/>
      <c r="C792" s="106"/>
      <c r="D792" s="106"/>
      <c r="E792" s="106"/>
      <c r="F792" s="106"/>
      <c r="G792" s="106"/>
      <c r="H792" s="106"/>
      <c r="I792" s="106"/>
      <c r="J792" s="154"/>
      <c r="K792" s="106"/>
      <c r="L792" s="121"/>
      <c r="M792" s="121"/>
      <c r="N792" s="106"/>
      <c r="O792" s="106"/>
      <c r="P792" s="106"/>
      <c r="Q792" s="106"/>
      <c r="R792" s="106"/>
      <c r="S792" s="106"/>
      <c r="T792" s="106"/>
      <c r="U792" s="106"/>
      <c r="V792" s="106"/>
      <c r="W792" s="106"/>
      <c r="X792" s="106"/>
      <c r="Y792" s="106"/>
    </row>
    <row r="793" spans="1:25" ht="15.75" customHeight="1">
      <c r="A793" s="106"/>
      <c r="B793" s="106"/>
      <c r="C793" s="106"/>
      <c r="D793" s="106"/>
      <c r="E793" s="106"/>
      <c r="F793" s="106"/>
      <c r="G793" s="106"/>
      <c r="H793" s="106"/>
      <c r="I793" s="106"/>
      <c r="J793" s="154"/>
      <c r="K793" s="106"/>
      <c r="L793" s="121"/>
      <c r="M793" s="121"/>
      <c r="N793" s="106"/>
      <c r="O793" s="106"/>
      <c r="P793" s="106"/>
      <c r="Q793" s="106"/>
      <c r="R793" s="106"/>
      <c r="S793" s="106"/>
      <c r="T793" s="106"/>
      <c r="U793" s="106"/>
      <c r="V793" s="106"/>
      <c r="W793" s="106"/>
      <c r="X793" s="106"/>
      <c r="Y793" s="106"/>
    </row>
    <row r="794" spans="1:25" ht="15.75" customHeight="1">
      <c r="A794" s="106"/>
      <c r="B794" s="106"/>
      <c r="C794" s="106"/>
      <c r="D794" s="106"/>
      <c r="E794" s="106"/>
      <c r="F794" s="106"/>
      <c r="G794" s="106"/>
      <c r="H794" s="106"/>
      <c r="I794" s="106"/>
      <c r="J794" s="154"/>
      <c r="K794" s="106"/>
      <c r="L794" s="121"/>
      <c r="M794" s="121"/>
      <c r="N794" s="106"/>
      <c r="O794" s="106"/>
      <c r="P794" s="106"/>
      <c r="Q794" s="106"/>
      <c r="R794" s="106"/>
      <c r="S794" s="106"/>
      <c r="T794" s="106"/>
      <c r="U794" s="106"/>
      <c r="V794" s="106"/>
      <c r="W794" s="106"/>
      <c r="X794" s="106"/>
      <c r="Y794" s="106"/>
    </row>
    <row r="795" spans="1:25" ht="15.75" customHeight="1">
      <c r="A795" s="106"/>
      <c r="B795" s="106"/>
      <c r="C795" s="106"/>
      <c r="D795" s="106"/>
      <c r="E795" s="106"/>
      <c r="F795" s="106"/>
      <c r="G795" s="106"/>
      <c r="H795" s="106"/>
      <c r="I795" s="106"/>
      <c r="J795" s="154"/>
      <c r="K795" s="106"/>
      <c r="L795" s="121"/>
      <c r="M795" s="121"/>
      <c r="N795" s="106"/>
      <c r="O795" s="106"/>
      <c r="P795" s="106"/>
      <c r="Q795" s="106"/>
      <c r="R795" s="106"/>
      <c r="S795" s="106"/>
      <c r="T795" s="106"/>
      <c r="U795" s="106"/>
      <c r="V795" s="106"/>
      <c r="W795" s="106"/>
      <c r="X795" s="106"/>
      <c r="Y795" s="106"/>
    </row>
    <row r="796" spans="1:25" ht="15.75" customHeight="1">
      <c r="A796" s="106"/>
      <c r="B796" s="106"/>
      <c r="C796" s="106"/>
      <c r="D796" s="106"/>
      <c r="E796" s="106"/>
      <c r="F796" s="106"/>
      <c r="G796" s="106"/>
      <c r="H796" s="106"/>
      <c r="I796" s="106"/>
      <c r="J796" s="154"/>
      <c r="K796" s="106"/>
      <c r="L796" s="121"/>
      <c r="M796" s="121"/>
      <c r="N796" s="106"/>
      <c r="O796" s="106"/>
      <c r="P796" s="106"/>
      <c r="Q796" s="106"/>
      <c r="R796" s="106"/>
      <c r="S796" s="106"/>
      <c r="T796" s="106"/>
      <c r="U796" s="106"/>
      <c r="V796" s="106"/>
      <c r="W796" s="106"/>
      <c r="X796" s="106"/>
      <c r="Y796" s="106"/>
    </row>
    <row r="797" spans="1:25" ht="15.75" customHeight="1">
      <c r="A797" s="106"/>
      <c r="B797" s="106"/>
      <c r="C797" s="106"/>
      <c r="D797" s="106"/>
      <c r="E797" s="106"/>
      <c r="F797" s="106"/>
      <c r="G797" s="106"/>
      <c r="H797" s="106"/>
      <c r="I797" s="106"/>
      <c r="J797" s="154"/>
      <c r="K797" s="106"/>
      <c r="L797" s="121"/>
      <c r="M797" s="121"/>
      <c r="N797" s="106"/>
      <c r="O797" s="106"/>
      <c r="P797" s="106"/>
      <c r="Q797" s="106"/>
      <c r="R797" s="106"/>
      <c r="S797" s="106"/>
      <c r="T797" s="106"/>
      <c r="U797" s="106"/>
      <c r="V797" s="106"/>
      <c r="W797" s="106"/>
      <c r="X797" s="106"/>
      <c r="Y797" s="106"/>
    </row>
    <row r="798" spans="1:25" ht="15.75" customHeight="1">
      <c r="A798" s="106"/>
      <c r="B798" s="106"/>
      <c r="C798" s="106"/>
      <c r="D798" s="106"/>
      <c r="E798" s="106"/>
      <c r="F798" s="106"/>
      <c r="G798" s="106"/>
      <c r="H798" s="106"/>
      <c r="I798" s="106"/>
      <c r="J798" s="154"/>
      <c r="K798" s="106"/>
      <c r="L798" s="121"/>
      <c r="M798" s="121"/>
      <c r="N798" s="106"/>
      <c r="O798" s="106"/>
      <c r="P798" s="106"/>
      <c r="Q798" s="106"/>
      <c r="R798" s="106"/>
      <c r="S798" s="106"/>
      <c r="T798" s="106"/>
      <c r="U798" s="106"/>
      <c r="V798" s="106"/>
      <c r="W798" s="106"/>
      <c r="X798" s="106"/>
      <c r="Y798" s="106"/>
    </row>
    <row r="799" spans="1:25" ht="15.75" customHeight="1">
      <c r="A799" s="106"/>
      <c r="B799" s="106"/>
      <c r="C799" s="106"/>
      <c r="D799" s="106"/>
      <c r="E799" s="106"/>
      <c r="F799" s="106"/>
      <c r="G799" s="106"/>
      <c r="H799" s="106"/>
      <c r="I799" s="106"/>
      <c r="J799" s="154"/>
      <c r="K799" s="106"/>
      <c r="L799" s="121"/>
      <c r="M799" s="121"/>
      <c r="N799" s="106"/>
      <c r="O799" s="106"/>
      <c r="P799" s="106"/>
      <c r="Q799" s="106"/>
      <c r="R799" s="106"/>
      <c r="S799" s="106"/>
      <c r="T799" s="106"/>
      <c r="U799" s="106"/>
      <c r="V799" s="106"/>
      <c r="W799" s="106"/>
      <c r="X799" s="106"/>
      <c r="Y799" s="106"/>
    </row>
    <row r="800" spans="1:25" ht="15.75" customHeight="1">
      <c r="A800" s="106"/>
      <c r="B800" s="106"/>
      <c r="C800" s="106"/>
      <c r="D800" s="106"/>
      <c r="E800" s="106"/>
      <c r="F800" s="106"/>
      <c r="G800" s="106"/>
      <c r="H800" s="106"/>
      <c r="I800" s="106"/>
      <c r="J800" s="154"/>
      <c r="K800" s="106"/>
      <c r="L800" s="121"/>
      <c r="M800" s="121"/>
      <c r="N800" s="106"/>
      <c r="O800" s="106"/>
      <c r="P800" s="106"/>
      <c r="Q800" s="106"/>
      <c r="R800" s="106"/>
      <c r="S800" s="106"/>
      <c r="T800" s="106"/>
      <c r="U800" s="106"/>
      <c r="V800" s="106"/>
      <c r="W800" s="106"/>
      <c r="X800" s="106"/>
      <c r="Y800" s="106"/>
    </row>
    <row r="801" spans="1:25" ht="15.75" customHeight="1">
      <c r="A801" s="106"/>
      <c r="B801" s="106"/>
      <c r="C801" s="106"/>
      <c r="D801" s="106"/>
      <c r="E801" s="106"/>
      <c r="F801" s="106"/>
      <c r="G801" s="106"/>
      <c r="H801" s="106"/>
      <c r="I801" s="106"/>
      <c r="J801" s="154"/>
      <c r="K801" s="106"/>
      <c r="L801" s="121"/>
      <c r="M801" s="121"/>
      <c r="N801" s="106"/>
      <c r="O801" s="106"/>
      <c r="P801" s="106"/>
      <c r="Q801" s="106"/>
      <c r="R801" s="106"/>
      <c r="S801" s="106"/>
      <c r="T801" s="106"/>
      <c r="U801" s="106"/>
      <c r="V801" s="106"/>
      <c r="W801" s="106"/>
      <c r="X801" s="106"/>
      <c r="Y801" s="106"/>
    </row>
    <row r="802" spans="1:25" ht="15.75" customHeight="1">
      <c r="A802" s="106"/>
      <c r="B802" s="106"/>
      <c r="C802" s="106"/>
      <c r="D802" s="106"/>
      <c r="E802" s="106"/>
      <c r="F802" s="106"/>
      <c r="G802" s="106"/>
      <c r="H802" s="106"/>
      <c r="I802" s="106"/>
      <c r="J802" s="154"/>
      <c r="K802" s="106"/>
      <c r="L802" s="121"/>
      <c r="M802" s="121"/>
      <c r="N802" s="106"/>
      <c r="O802" s="106"/>
      <c r="P802" s="106"/>
      <c r="Q802" s="106"/>
      <c r="R802" s="106"/>
      <c r="S802" s="106"/>
      <c r="T802" s="106"/>
      <c r="U802" s="106"/>
      <c r="V802" s="106"/>
      <c r="W802" s="106"/>
      <c r="X802" s="106"/>
      <c r="Y802" s="106"/>
    </row>
    <row r="803" spans="1:25" ht="15.75" customHeight="1">
      <c r="A803" s="106"/>
      <c r="B803" s="106"/>
      <c r="C803" s="106"/>
      <c r="D803" s="106"/>
      <c r="E803" s="106"/>
      <c r="F803" s="106"/>
      <c r="G803" s="106"/>
      <c r="H803" s="106"/>
      <c r="I803" s="106"/>
      <c r="J803" s="154"/>
      <c r="K803" s="106"/>
      <c r="L803" s="121"/>
      <c r="M803" s="121"/>
      <c r="N803" s="106"/>
      <c r="O803" s="106"/>
      <c r="P803" s="106"/>
      <c r="Q803" s="106"/>
      <c r="R803" s="106"/>
      <c r="S803" s="106"/>
      <c r="T803" s="106"/>
      <c r="U803" s="106"/>
      <c r="V803" s="106"/>
      <c r="W803" s="106"/>
      <c r="X803" s="106"/>
      <c r="Y803" s="106"/>
    </row>
    <row r="804" spans="1:25" ht="15.75" customHeight="1">
      <c r="A804" s="106"/>
      <c r="B804" s="106"/>
      <c r="C804" s="106"/>
      <c r="D804" s="106"/>
      <c r="E804" s="106"/>
      <c r="F804" s="106"/>
      <c r="G804" s="106"/>
      <c r="H804" s="106"/>
      <c r="I804" s="106"/>
      <c r="J804" s="154"/>
      <c r="K804" s="106"/>
      <c r="L804" s="121"/>
      <c r="M804" s="121"/>
      <c r="N804" s="106"/>
      <c r="O804" s="106"/>
      <c r="P804" s="106"/>
      <c r="Q804" s="106"/>
      <c r="R804" s="106"/>
      <c r="S804" s="106"/>
      <c r="T804" s="106"/>
      <c r="U804" s="106"/>
      <c r="V804" s="106"/>
      <c r="W804" s="106"/>
      <c r="X804" s="106"/>
      <c r="Y804" s="106"/>
    </row>
    <row r="805" spans="1:25" ht="15.75" customHeight="1">
      <c r="A805" s="106"/>
      <c r="B805" s="106"/>
      <c r="C805" s="106"/>
      <c r="D805" s="106"/>
      <c r="E805" s="106"/>
      <c r="F805" s="106"/>
      <c r="G805" s="106"/>
      <c r="H805" s="106"/>
      <c r="I805" s="106"/>
      <c r="J805" s="154"/>
      <c r="K805" s="106"/>
      <c r="L805" s="121"/>
      <c r="M805" s="121"/>
      <c r="N805" s="106"/>
      <c r="O805" s="106"/>
      <c r="P805" s="106"/>
      <c r="Q805" s="106"/>
      <c r="R805" s="106"/>
      <c r="S805" s="106"/>
      <c r="T805" s="106"/>
      <c r="U805" s="106"/>
      <c r="V805" s="106"/>
      <c r="W805" s="106"/>
      <c r="X805" s="106"/>
      <c r="Y805" s="106"/>
    </row>
    <row r="806" spans="1:25" ht="15.75" customHeight="1">
      <c r="A806" s="106"/>
      <c r="B806" s="106"/>
      <c r="C806" s="106"/>
      <c r="D806" s="106"/>
      <c r="E806" s="106"/>
      <c r="F806" s="106"/>
      <c r="G806" s="106"/>
      <c r="H806" s="106"/>
      <c r="I806" s="106"/>
      <c r="J806" s="154"/>
      <c r="K806" s="106"/>
      <c r="L806" s="121"/>
      <c r="M806" s="121"/>
      <c r="N806" s="106"/>
      <c r="O806" s="106"/>
      <c r="P806" s="106"/>
      <c r="Q806" s="106"/>
      <c r="R806" s="106"/>
      <c r="S806" s="106"/>
      <c r="T806" s="106"/>
      <c r="U806" s="106"/>
      <c r="V806" s="106"/>
      <c r="W806" s="106"/>
      <c r="X806" s="106"/>
      <c r="Y806" s="106"/>
    </row>
    <row r="807" spans="1:25" ht="15.75" customHeight="1">
      <c r="A807" s="106"/>
      <c r="B807" s="106"/>
      <c r="C807" s="106"/>
      <c r="D807" s="106"/>
      <c r="E807" s="106"/>
      <c r="F807" s="106"/>
      <c r="G807" s="106"/>
      <c r="H807" s="106"/>
      <c r="I807" s="106"/>
      <c r="J807" s="154"/>
      <c r="K807" s="106"/>
      <c r="L807" s="121"/>
      <c r="M807" s="121"/>
      <c r="N807" s="106"/>
      <c r="O807" s="106"/>
      <c r="P807" s="106"/>
      <c r="Q807" s="106"/>
      <c r="R807" s="106"/>
      <c r="S807" s="106"/>
      <c r="T807" s="106"/>
      <c r="U807" s="106"/>
      <c r="V807" s="106"/>
      <c r="W807" s="106"/>
      <c r="X807" s="106"/>
      <c r="Y807" s="106"/>
    </row>
    <row r="808" spans="1:25" ht="15.75" customHeight="1">
      <c r="A808" s="106"/>
      <c r="B808" s="106"/>
      <c r="C808" s="106"/>
      <c r="D808" s="106"/>
      <c r="E808" s="106"/>
      <c r="F808" s="106"/>
      <c r="G808" s="106"/>
      <c r="H808" s="106"/>
      <c r="I808" s="106"/>
      <c r="J808" s="154"/>
      <c r="K808" s="106"/>
      <c r="L808" s="121"/>
      <c r="M808" s="121"/>
      <c r="N808" s="106"/>
      <c r="O808" s="106"/>
      <c r="P808" s="106"/>
      <c r="Q808" s="106"/>
      <c r="R808" s="106"/>
      <c r="S808" s="106"/>
      <c r="T808" s="106"/>
      <c r="U808" s="106"/>
      <c r="V808" s="106"/>
      <c r="W808" s="106"/>
      <c r="X808" s="106"/>
      <c r="Y808" s="106"/>
    </row>
    <row r="809" spans="1:25" ht="15.75" customHeight="1">
      <c r="A809" s="106"/>
      <c r="B809" s="106"/>
      <c r="C809" s="106"/>
      <c r="D809" s="106"/>
      <c r="E809" s="106"/>
      <c r="F809" s="106"/>
      <c r="G809" s="106"/>
      <c r="H809" s="106"/>
      <c r="I809" s="106"/>
      <c r="J809" s="154"/>
      <c r="K809" s="106"/>
      <c r="L809" s="121"/>
      <c r="M809" s="121"/>
      <c r="N809" s="106"/>
      <c r="O809" s="106"/>
      <c r="P809" s="106"/>
      <c r="Q809" s="106"/>
      <c r="R809" s="106"/>
      <c r="S809" s="106"/>
      <c r="T809" s="106"/>
      <c r="U809" s="106"/>
      <c r="V809" s="106"/>
      <c r="W809" s="106"/>
      <c r="X809" s="106"/>
      <c r="Y809" s="106"/>
    </row>
    <row r="810" spans="1:25" ht="15.75" customHeight="1">
      <c r="A810" s="106"/>
      <c r="B810" s="106"/>
      <c r="C810" s="106"/>
      <c r="D810" s="106"/>
      <c r="E810" s="106"/>
      <c r="F810" s="106"/>
      <c r="G810" s="106"/>
      <c r="H810" s="106"/>
      <c r="I810" s="106"/>
      <c r="J810" s="154"/>
      <c r="K810" s="106"/>
      <c r="L810" s="121"/>
      <c r="M810" s="121"/>
      <c r="N810" s="106"/>
      <c r="O810" s="106"/>
      <c r="P810" s="106"/>
      <c r="Q810" s="106"/>
      <c r="R810" s="106"/>
      <c r="S810" s="106"/>
      <c r="T810" s="106"/>
      <c r="U810" s="106"/>
      <c r="V810" s="106"/>
      <c r="W810" s="106"/>
      <c r="X810" s="106"/>
      <c r="Y810" s="106"/>
    </row>
    <row r="811" spans="1:25" ht="15.75" customHeight="1">
      <c r="A811" s="106"/>
      <c r="B811" s="106"/>
      <c r="C811" s="106"/>
      <c r="D811" s="106"/>
      <c r="E811" s="106"/>
      <c r="F811" s="106"/>
      <c r="G811" s="106"/>
      <c r="H811" s="106"/>
      <c r="I811" s="106"/>
      <c r="J811" s="154"/>
      <c r="K811" s="106"/>
      <c r="L811" s="121"/>
      <c r="M811" s="121"/>
      <c r="N811" s="106"/>
      <c r="O811" s="106"/>
      <c r="P811" s="106"/>
      <c r="Q811" s="106"/>
      <c r="R811" s="106"/>
      <c r="S811" s="106"/>
      <c r="T811" s="106"/>
      <c r="U811" s="106"/>
      <c r="V811" s="106"/>
      <c r="W811" s="106"/>
      <c r="X811" s="106"/>
      <c r="Y811" s="106"/>
    </row>
    <row r="812" spans="1:25" ht="15.75" customHeight="1">
      <c r="A812" s="106"/>
      <c r="B812" s="106"/>
      <c r="C812" s="106"/>
      <c r="D812" s="106"/>
      <c r="E812" s="106"/>
      <c r="F812" s="106"/>
      <c r="G812" s="106"/>
      <c r="H812" s="106"/>
      <c r="I812" s="106"/>
      <c r="J812" s="154"/>
      <c r="K812" s="106"/>
      <c r="L812" s="121"/>
      <c r="M812" s="121"/>
      <c r="N812" s="106"/>
      <c r="O812" s="106"/>
      <c r="P812" s="106"/>
      <c r="Q812" s="106"/>
      <c r="R812" s="106"/>
      <c r="S812" s="106"/>
      <c r="T812" s="106"/>
      <c r="U812" s="106"/>
      <c r="V812" s="106"/>
      <c r="W812" s="106"/>
      <c r="X812" s="106"/>
      <c r="Y812" s="106"/>
    </row>
    <row r="813" spans="1:25" ht="15.75" customHeight="1">
      <c r="A813" s="106"/>
      <c r="B813" s="106"/>
      <c r="C813" s="106"/>
      <c r="D813" s="106"/>
      <c r="E813" s="106"/>
      <c r="F813" s="106"/>
      <c r="G813" s="106"/>
      <c r="H813" s="106"/>
      <c r="I813" s="106"/>
      <c r="J813" s="154"/>
      <c r="K813" s="106"/>
      <c r="L813" s="121"/>
      <c r="M813" s="121"/>
      <c r="N813" s="106"/>
      <c r="O813" s="106"/>
      <c r="P813" s="106"/>
      <c r="Q813" s="106"/>
      <c r="R813" s="106"/>
      <c r="S813" s="106"/>
      <c r="T813" s="106"/>
      <c r="U813" s="106"/>
      <c r="V813" s="106"/>
      <c r="W813" s="106"/>
      <c r="X813" s="106"/>
      <c r="Y813" s="106"/>
    </row>
    <row r="814" spans="1:25" ht="15.75" customHeight="1">
      <c r="A814" s="106"/>
      <c r="B814" s="106"/>
      <c r="C814" s="106"/>
      <c r="D814" s="106"/>
      <c r="E814" s="106"/>
      <c r="F814" s="106"/>
      <c r="G814" s="106"/>
      <c r="H814" s="106"/>
      <c r="I814" s="106"/>
      <c r="J814" s="154"/>
      <c r="K814" s="106"/>
      <c r="L814" s="121"/>
      <c r="M814" s="121"/>
      <c r="N814" s="106"/>
      <c r="O814" s="106"/>
      <c r="P814" s="106"/>
      <c r="Q814" s="106"/>
      <c r="R814" s="106"/>
      <c r="S814" s="106"/>
      <c r="T814" s="106"/>
      <c r="U814" s="106"/>
      <c r="V814" s="106"/>
      <c r="W814" s="106"/>
      <c r="X814" s="106"/>
      <c r="Y814" s="106"/>
    </row>
    <row r="815" spans="1:25" ht="15.75" customHeight="1">
      <c r="A815" s="106"/>
      <c r="B815" s="106"/>
      <c r="C815" s="106"/>
      <c r="D815" s="106"/>
      <c r="E815" s="106"/>
      <c r="F815" s="106"/>
      <c r="G815" s="106"/>
      <c r="H815" s="106"/>
      <c r="I815" s="106"/>
      <c r="J815" s="154"/>
      <c r="K815" s="106"/>
      <c r="L815" s="121"/>
      <c r="M815" s="121"/>
      <c r="N815" s="106"/>
      <c r="O815" s="106"/>
      <c r="P815" s="106"/>
      <c r="Q815" s="106"/>
      <c r="R815" s="106"/>
      <c r="S815" s="106"/>
      <c r="T815" s="106"/>
      <c r="U815" s="106"/>
      <c r="V815" s="106"/>
      <c r="W815" s="106"/>
      <c r="X815" s="106"/>
      <c r="Y815" s="106"/>
    </row>
    <row r="816" spans="1:25" ht="15.75" customHeight="1">
      <c r="A816" s="106"/>
      <c r="B816" s="106"/>
      <c r="C816" s="106"/>
      <c r="D816" s="106"/>
      <c r="E816" s="106"/>
      <c r="F816" s="106"/>
      <c r="G816" s="106"/>
      <c r="H816" s="106"/>
      <c r="I816" s="106"/>
      <c r="J816" s="154"/>
      <c r="K816" s="106"/>
      <c r="L816" s="121"/>
      <c r="M816" s="121"/>
      <c r="N816" s="106"/>
      <c r="O816" s="106"/>
      <c r="P816" s="106"/>
      <c r="Q816" s="106"/>
      <c r="R816" s="106"/>
      <c r="S816" s="106"/>
      <c r="T816" s="106"/>
      <c r="U816" s="106"/>
      <c r="V816" s="106"/>
      <c r="W816" s="106"/>
      <c r="X816" s="106"/>
      <c r="Y816" s="106"/>
    </row>
    <row r="817" spans="1:25" ht="15.75" customHeight="1">
      <c r="A817" s="106"/>
      <c r="B817" s="106"/>
      <c r="C817" s="106"/>
      <c r="D817" s="106"/>
      <c r="E817" s="106"/>
      <c r="F817" s="106"/>
      <c r="G817" s="106"/>
      <c r="H817" s="106"/>
      <c r="I817" s="106"/>
      <c r="J817" s="154"/>
      <c r="K817" s="106"/>
      <c r="L817" s="121"/>
      <c r="M817" s="121"/>
      <c r="N817" s="106"/>
      <c r="O817" s="106"/>
      <c r="P817" s="106"/>
      <c r="Q817" s="106"/>
      <c r="R817" s="106"/>
      <c r="S817" s="106"/>
      <c r="T817" s="106"/>
      <c r="U817" s="106"/>
      <c r="V817" s="106"/>
      <c r="W817" s="106"/>
      <c r="X817" s="106"/>
      <c r="Y817" s="106"/>
    </row>
    <row r="818" spans="1:25" ht="15.75" customHeight="1">
      <c r="A818" s="106"/>
      <c r="B818" s="106"/>
      <c r="C818" s="106"/>
      <c r="D818" s="106"/>
      <c r="E818" s="106"/>
      <c r="F818" s="106"/>
      <c r="G818" s="106"/>
      <c r="H818" s="106"/>
      <c r="I818" s="106"/>
      <c r="J818" s="154"/>
      <c r="K818" s="106"/>
      <c r="L818" s="121"/>
      <c r="M818" s="121"/>
      <c r="N818" s="106"/>
      <c r="O818" s="106"/>
      <c r="P818" s="106"/>
      <c r="Q818" s="106"/>
      <c r="R818" s="106"/>
      <c r="S818" s="106"/>
      <c r="T818" s="106"/>
      <c r="U818" s="106"/>
      <c r="V818" s="106"/>
      <c r="W818" s="106"/>
      <c r="X818" s="106"/>
      <c r="Y818" s="106"/>
    </row>
    <row r="819" spans="1:25" ht="15.75" customHeight="1">
      <c r="A819" s="106"/>
      <c r="B819" s="106"/>
      <c r="C819" s="106"/>
      <c r="D819" s="106"/>
      <c r="E819" s="106"/>
      <c r="F819" s="106"/>
      <c r="G819" s="106"/>
      <c r="H819" s="106"/>
      <c r="I819" s="106"/>
      <c r="J819" s="154"/>
      <c r="K819" s="106"/>
      <c r="L819" s="121"/>
      <c r="M819" s="121"/>
      <c r="N819" s="106"/>
      <c r="O819" s="106"/>
      <c r="P819" s="106"/>
      <c r="Q819" s="106"/>
      <c r="R819" s="106"/>
      <c r="S819" s="106"/>
      <c r="T819" s="106"/>
      <c r="U819" s="106"/>
      <c r="V819" s="106"/>
      <c r="W819" s="106"/>
      <c r="X819" s="106"/>
      <c r="Y819" s="106"/>
    </row>
    <row r="820" spans="1:25" ht="15.75" customHeight="1">
      <c r="A820" s="106"/>
      <c r="B820" s="106"/>
      <c r="C820" s="106"/>
      <c r="D820" s="106"/>
      <c r="E820" s="106"/>
      <c r="F820" s="106"/>
      <c r="G820" s="106"/>
      <c r="H820" s="106"/>
      <c r="I820" s="106"/>
      <c r="J820" s="154"/>
      <c r="K820" s="106"/>
      <c r="L820" s="121"/>
      <c r="M820" s="121"/>
      <c r="N820" s="106"/>
      <c r="O820" s="106"/>
      <c r="P820" s="106"/>
      <c r="Q820" s="106"/>
      <c r="R820" s="106"/>
      <c r="S820" s="106"/>
      <c r="T820" s="106"/>
      <c r="U820" s="106"/>
      <c r="V820" s="106"/>
      <c r="W820" s="106"/>
      <c r="X820" s="106"/>
      <c r="Y820" s="106"/>
    </row>
    <row r="821" spans="1:25" ht="15.75" customHeight="1">
      <c r="A821" s="106"/>
      <c r="B821" s="106"/>
      <c r="C821" s="106"/>
      <c r="D821" s="106"/>
      <c r="E821" s="106"/>
      <c r="F821" s="106"/>
      <c r="G821" s="106"/>
      <c r="H821" s="106"/>
      <c r="I821" s="106"/>
      <c r="J821" s="154"/>
      <c r="K821" s="106"/>
      <c r="L821" s="121"/>
      <c r="M821" s="121"/>
      <c r="N821" s="106"/>
      <c r="O821" s="106"/>
      <c r="P821" s="106"/>
      <c r="Q821" s="106"/>
      <c r="R821" s="106"/>
      <c r="S821" s="106"/>
      <c r="T821" s="106"/>
      <c r="U821" s="106"/>
      <c r="V821" s="106"/>
      <c r="W821" s="106"/>
      <c r="X821" s="106"/>
      <c r="Y821" s="106"/>
    </row>
    <row r="822" spans="1:25" ht="15.75" customHeight="1">
      <c r="A822" s="106"/>
      <c r="B822" s="106"/>
      <c r="C822" s="106"/>
      <c r="D822" s="106"/>
      <c r="E822" s="106"/>
      <c r="F822" s="106"/>
      <c r="G822" s="106"/>
      <c r="H822" s="106"/>
      <c r="I822" s="106"/>
      <c r="J822" s="154"/>
      <c r="K822" s="106"/>
      <c r="L822" s="121"/>
      <c r="M822" s="121"/>
      <c r="N822" s="106"/>
      <c r="O822" s="106"/>
      <c r="P822" s="106"/>
      <c r="Q822" s="106"/>
      <c r="R822" s="106"/>
      <c r="S822" s="106"/>
      <c r="T822" s="106"/>
      <c r="U822" s="106"/>
      <c r="V822" s="106"/>
      <c r="W822" s="106"/>
      <c r="X822" s="106"/>
      <c r="Y822" s="106"/>
    </row>
    <row r="823" spans="1:25" ht="15.75" customHeight="1">
      <c r="A823" s="106"/>
      <c r="B823" s="106"/>
      <c r="C823" s="106"/>
      <c r="D823" s="106"/>
      <c r="E823" s="106"/>
      <c r="F823" s="106"/>
      <c r="G823" s="106"/>
      <c r="H823" s="106"/>
      <c r="I823" s="106"/>
      <c r="J823" s="154"/>
      <c r="K823" s="106"/>
      <c r="L823" s="121"/>
      <c r="M823" s="121"/>
      <c r="N823" s="106"/>
      <c r="O823" s="106"/>
      <c r="P823" s="106"/>
      <c r="Q823" s="106"/>
      <c r="R823" s="106"/>
      <c r="S823" s="106"/>
      <c r="T823" s="106"/>
      <c r="U823" s="106"/>
      <c r="V823" s="106"/>
      <c r="W823" s="106"/>
      <c r="X823" s="106"/>
      <c r="Y823" s="106"/>
    </row>
    <row r="824" spans="1:25" ht="15.75" customHeight="1">
      <c r="A824" s="106"/>
      <c r="B824" s="106"/>
      <c r="C824" s="106"/>
      <c r="D824" s="106"/>
      <c r="E824" s="106"/>
      <c r="F824" s="106"/>
      <c r="G824" s="106"/>
      <c r="H824" s="106"/>
      <c r="I824" s="106"/>
      <c r="J824" s="154"/>
      <c r="K824" s="106"/>
      <c r="L824" s="121"/>
      <c r="M824" s="121"/>
      <c r="N824" s="106"/>
      <c r="O824" s="106"/>
      <c r="P824" s="106"/>
      <c r="Q824" s="106"/>
      <c r="R824" s="106"/>
      <c r="S824" s="106"/>
      <c r="T824" s="106"/>
      <c r="U824" s="106"/>
      <c r="V824" s="106"/>
      <c r="W824" s="106"/>
      <c r="X824" s="106"/>
      <c r="Y824" s="106"/>
    </row>
    <row r="825" spans="1:25" ht="15.75" customHeight="1">
      <c r="A825" s="106"/>
      <c r="B825" s="106"/>
      <c r="C825" s="106"/>
      <c r="D825" s="106"/>
      <c r="E825" s="106"/>
      <c r="F825" s="106"/>
      <c r="G825" s="106"/>
      <c r="H825" s="106"/>
      <c r="I825" s="106"/>
      <c r="J825" s="154"/>
      <c r="K825" s="106"/>
      <c r="L825" s="121"/>
      <c r="M825" s="121"/>
      <c r="N825" s="106"/>
      <c r="O825" s="106"/>
      <c r="P825" s="106"/>
      <c r="Q825" s="106"/>
      <c r="R825" s="106"/>
      <c r="S825" s="106"/>
      <c r="T825" s="106"/>
      <c r="U825" s="106"/>
      <c r="V825" s="106"/>
      <c r="W825" s="106"/>
      <c r="X825" s="106"/>
      <c r="Y825" s="106"/>
    </row>
    <row r="826" spans="1:25" ht="15.75" customHeight="1">
      <c r="A826" s="106"/>
      <c r="B826" s="106"/>
      <c r="C826" s="106"/>
      <c r="D826" s="106"/>
      <c r="E826" s="106"/>
      <c r="F826" s="106"/>
      <c r="G826" s="106"/>
      <c r="H826" s="106"/>
      <c r="I826" s="106"/>
      <c r="J826" s="154"/>
      <c r="K826" s="106"/>
      <c r="L826" s="121"/>
      <c r="M826" s="121"/>
      <c r="N826" s="106"/>
      <c r="O826" s="106"/>
      <c r="P826" s="106"/>
      <c r="Q826" s="106"/>
      <c r="R826" s="106"/>
      <c r="S826" s="106"/>
      <c r="T826" s="106"/>
      <c r="U826" s="106"/>
      <c r="V826" s="106"/>
      <c r="W826" s="106"/>
      <c r="X826" s="106"/>
      <c r="Y826" s="106"/>
    </row>
    <row r="827" spans="1:25" ht="15.75" customHeight="1">
      <c r="A827" s="106"/>
      <c r="B827" s="106"/>
      <c r="C827" s="106"/>
      <c r="D827" s="106"/>
      <c r="E827" s="106"/>
      <c r="F827" s="106"/>
      <c r="G827" s="106"/>
      <c r="H827" s="106"/>
      <c r="I827" s="106"/>
      <c r="J827" s="154"/>
      <c r="K827" s="106"/>
      <c r="L827" s="121"/>
      <c r="M827" s="121"/>
      <c r="N827" s="106"/>
      <c r="O827" s="106"/>
      <c r="P827" s="106"/>
      <c r="Q827" s="106"/>
      <c r="R827" s="106"/>
      <c r="S827" s="106"/>
      <c r="T827" s="106"/>
      <c r="U827" s="106"/>
      <c r="V827" s="106"/>
      <c r="W827" s="106"/>
      <c r="X827" s="106"/>
      <c r="Y827" s="106"/>
    </row>
    <row r="828" spans="1:25" ht="15.75" customHeight="1">
      <c r="A828" s="106"/>
      <c r="B828" s="106"/>
      <c r="C828" s="106"/>
      <c r="D828" s="106"/>
      <c r="E828" s="106"/>
      <c r="F828" s="106"/>
      <c r="G828" s="106"/>
      <c r="H828" s="106"/>
      <c r="I828" s="106"/>
      <c r="J828" s="154"/>
      <c r="K828" s="106"/>
      <c r="L828" s="121"/>
      <c r="M828" s="121"/>
      <c r="N828" s="106"/>
      <c r="O828" s="106"/>
      <c r="P828" s="106"/>
      <c r="Q828" s="106"/>
      <c r="R828" s="106"/>
      <c r="S828" s="106"/>
      <c r="T828" s="106"/>
      <c r="U828" s="106"/>
      <c r="V828" s="106"/>
      <c r="W828" s="106"/>
      <c r="X828" s="106"/>
      <c r="Y828" s="106"/>
    </row>
    <row r="829" spans="1:25" ht="15.75" customHeight="1">
      <c r="A829" s="106"/>
      <c r="B829" s="106"/>
      <c r="C829" s="106"/>
      <c r="D829" s="106"/>
      <c r="E829" s="106"/>
      <c r="F829" s="106"/>
      <c r="G829" s="106"/>
      <c r="H829" s="106"/>
      <c r="I829" s="106"/>
      <c r="J829" s="154"/>
      <c r="K829" s="106"/>
      <c r="L829" s="121"/>
      <c r="M829" s="121"/>
      <c r="N829" s="106"/>
      <c r="O829" s="106"/>
      <c r="P829" s="106"/>
      <c r="Q829" s="106"/>
      <c r="R829" s="106"/>
      <c r="S829" s="106"/>
      <c r="T829" s="106"/>
      <c r="U829" s="106"/>
      <c r="V829" s="106"/>
      <c r="W829" s="106"/>
      <c r="X829" s="106"/>
      <c r="Y829" s="106"/>
    </row>
    <row r="830" spans="1:25" ht="15.75" customHeight="1">
      <c r="A830" s="106"/>
      <c r="B830" s="106"/>
      <c r="C830" s="106"/>
      <c r="D830" s="106"/>
      <c r="E830" s="106"/>
      <c r="F830" s="106"/>
      <c r="G830" s="106"/>
      <c r="H830" s="106"/>
      <c r="I830" s="106"/>
      <c r="J830" s="154"/>
      <c r="K830" s="106"/>
      <c r="L830" s="121"/>
      <c r="M830" s="121"/>
      <c r="N830" s="106"/>
      <c r="O830" s="106"/>
      <c r="P830" s="106"/>
      <c r="Q830" s="106"/>
      <c r="R830" s="106"/>
      <c r="S830" s="106"/>
      <c r="T830" s="106"/>
      <c r="U830" s="106"/>
      <c r="V830" s="106"/>
      <c r="W830" s="106"/>
      <c r="X830" s="106"/>
      <c r="Y830" s="106"/>
    </row>
    <row r="831" spans="1:25" ht="15.75" customHeight="1">
      <c r="A831" s="106"/>
      <c r="B831" s="106"/>
      <c r="C831" s="106"/>
      <c r="D831" s="106"/>
      <c r="E831" s="106"/>
      <c r="F831" s="106"/>
      <c r="G831" s="106"/>
      <c r="H831" s="106"/>
      <c r="I831" s="106"/>
      <c r="J831" s="154"/>
      <c r="K831" s="106"/>
      <c r="L831" s="121"/>
      <c r="M831" s="121"/>
      <c r="N831" s="106"/>
      <c r="O831" s="106"/>
      <c r="P831" s="106"/>
      <c r="Q831" s="106"/>
      <c r="R831" s="106"/>
      <c r="S831" s="106"/>
      <c r="T831" s="106"/>
      <c r="U831" s="106"/>
      <c r="V831" s="106"/>
      <c r="W831" s="106"/>
      <c r="X831" s="106"/>
      <c r="Y831" s="106"/>
    </row>
    <row r="832" spans="1:25" ht="15.75" customHeight="1">
      <c r="A832" s="106"/>
      <c r="B832" s="106"/>
      <c r="C832" s="106"/>
      <c r="D832" s="106"/>
      <c r="E832" s="106"/>
      <c r="F832" s="106"/>
      <c r="G832" s="106"/>
      <c r="H832" s="106"/>
      <c r="I832" s="106"/>
      <c r="J832" s="154"/>
      <c r="K832" s="106"/>
      <c r="L832" s="121"/>
      <c r="M832" s="121"/>
      <c r="N832" s="106"/>
      <c r="O832" s="106"/>
      <c r="P832" s="106"/>
      <c r="Q832" s="106"/>
      <c r="R832" s="106"/>
      <c r="S832" s="106"/>
      <c r="T832" s="106"/>
      <c r="U832" s="106"/>
      <c r="V832" s="106"/>
      <c r="W832" s="106"/>
      <c r="X832" s="106"/>
      <c r="Y832" s="106"/>
    </row>
    <row r="833" spans="1:25" ht="15.75" customHeight="1">
      <c r="A833" s="106"/>
      <c r="B833" s="106"/>
      <c r="C833" s="106"/>
      <c r="D833" s="106"/>
      <c r="E833" s="106"/>
      <c r="F833" s="106"/>
      <c r="G833" s="106"/>
      <c r="H833" s="106"/>
      <c r="I833" s="106"/>
      <c r="J833" s="154"/>
      <c r="K833" s="106"/>
      <c r="L833" s="121"/>
      <c r="M833" s="121"/>
      <c r="N833" s="106"/>
      <c r="O833" s="106"/>
      <c r="P833" s="106"/>
      <c r="Q833" s="106"/>
      <c r="R833" s="106"/>
      <c r="S833" s="106"/>
      <c r="T833" s="106"/>
      <c r="U833" s="106"/>
      <c r="V833" s="106"/>
      <c r="W833" s="106"/>
      <c r="X833" s="106"/>
      <c r="Y833" s="106"/>
    </row>
    <row r="834" spans="1:25" ht="15.75" customHeight="1">
      <c r="A834" s="106"/>
      <c r="B834" s="106"/>
      <c r="C834" s="106"/>
      <c r="D834" s="106"/>
      <c r="E834" s="106"/>
      <c r="F834" s="106"/>
      <c r="G834" s="106"/>
      <c r="H834" s="106"/>
      <c r="I834" s="106"/>
      <c r="J834" s="154"/>
      <c r="K834" s="106"/>
      <c r="L834" s="121"/>
      <c r="M834" s="121"/>
      <c r="N834" s="106"/>
      <c r="O834" s="106"/>
      <c r="P834" s="106"/>
      <c r="Q834" s="106"/>
      <c r="R834" s="106"/>
      <c r="S834" s="106"/>
      <c r="T834" s="106"/>
      <c r="U834" s="106"/>
      <c r="V834" s="106"/>
      <c r="W834" s="106"/>
      <c r="X834" s="106"/>
      <c r="Y834" s="106"/>
    </row>
    <row r="835" spans="1:25" ht="15.75" customHeight="1">
      <c r="A835" s="106"/>
      <c r="B835" s="106"/>
      <c r="C835" s="106"/>
      <c r="D835" s="106"/>
      <c r="E835" s="106"/>
      <c r="F835" s="106"/>
      <c r="G835" s="106"/>
      <c r="H835" s="106"/>
      <c r="I835" s="106"/>
      <c r="J835" s="154"/>
      <c r="K835" s="106"/>
      <c r="L835" s="121"/>
      <c r="M835" s="121"/>
      <c r="N835" s="106"/>
      <c r="O835" s="106"/>
      <c r="P835" s="106"/>
      <c r="Q835" s="106"/>
      <c r="R835" s="106"/>
      <c r="S835" s="106"/>
      <c r="T835" s="106"/>
      <c r="U835" s="106"/>
      <c r="V835" s="106"/>
      <c r="W835" s="106"/>
      <c r="X835" s="106"/>
      <c r="Y835" s="106"/>
    </row>
    <row r="836" spans="1:25" ht="15.75" customHeight="1">
      <c r="A836" s="106"/>
      <c r="B836" s="106"/>
      <c r="C836" s="106"/>
      <c r="D836" s="106"/>
      <c r="E836" s="106"/>
      <c r="F836" s="106"/>
      <c r="G836" s="106"/>
      <c r="H836" s="106"/>
      <c r="I836" s="106"/>
      <c r="J836" s="154"/>
      <c r="K836" s="106"/>
      <c r="L836" s="121"/>
      <c r="M836" s="121"/>
      <c r="N836" s="106"/>
      <c r="O836" s="106"/>
      <c r="P836" s="106"/>
      <c r="Q836" s="106"/>
      <c r="R836" s="106"/>
      <c r="S836" s="106"/>
      <c r="T836" s="106"/>
      <c r="U836" s="106"/>
      <c r="V836" s="106"/>
      <c r="W836" s="106"/>
      <c r="X836" s="106"/>
      <c r="Y836" s="106"/>
    </row>
    <row r="837" spans="1:25" ht="15.75" customHeight="1">
      <c r="A837" s="106"/>
      <c r="B837" s="106"/>
      <c r="C837" s="106"/>
      <c r="D837" s="106"/>
      <c r="E837" s="106"/>
      <c r="F837" s="106"/>
      <c r="G837" s="106"/>
      <c r="H837" s="106"/>
      <c r="I837" s="106"/>
      <c r="J837" s="154"/>
      <c r="K837" s="106"/>
      <c r="L837" s="121"/>
      <c r="M837" s="121"/>
      <c r="N837" s="106"/>
      <c r="O837" s="106"/>
      <c r="P837" s="106"/>
      <c r="Q837" s="106"/>
      <c r="R837" s="106"/>
      <c r="S837" s="106"/>
      <c r="T837" s="106"/>
      <c r="U837" s="106"/>
      <c r="V837" s="106"/>
      <c r="W837" s="106"/>
      <c r="X837" s="106"/>
      <c r="Y837" s="106"/>
    </row>
    <row r="838" spans="1:25" ht="15.75" customHeight="1">
      <c r="A838" s="106"/>
      <c r="B838" s="106"/>
      <c r="C838" s="106"/>
      <c r="D838" s="106"/>
      <c r="E838" s="106"/>
      <c r="F838" s="106"/>
      <c r="G838" s="106"/>
      <c r="H838" s="106"/>
      <c r="I838" s="106"/>
      <c r="J838" s="154"/>
      <c r="K838" s="106"/>
      <c r="L838" s="121"/>
      <c r="M838" s="121"/>
      <c r="N838" s="106"/>
      <c r="O838" s="106"/>
      <c r="P838" s="106"/>
      <c r="Q838" s="106"/>
      <c r="R838" s="106"/>
      <c r="S838" s="106"/>
      <c r="T838" s="106"/>
      <c r="U838" s="106"/>
      <c r="V838" s="106"/>
      <c r="W838" s="106"/>
      <c r="X838" s="106"/>
      <c r="Y838" s="106"/>
    </row>
    <row r="839" spans="1:25" ht="15.75" customHeight="1">
      <c r="A839" s="106"/>
      <c r="B839" s="106"/>
      <c r="C839" s="106"/>
      <c r="D839" s="106"/>
      <c r="E839" s="106"/>
      <c r="F839" s="106"/>
      <c r="G839" s="106"/>
      <c r="H839" s="106"/>
      <c r="I839" s="106"/>
      <c r="J839" s="154"/>
      <c r="K839" s="106"/>
      <c r="L839" s="121"/>
      <c r="M839" s="121"/>
      <c r="N839" s="106"/>
      <c r="O839" s="106"/>
      <c r="P839" s="106"/>
      <c r="Q839" s="106"/>
      <c r="R839" s="106"/>
      <c r="S839" s="106"/>
      <c r="T839" s="106"/>
      <c r="U839" s="106"/>
      <c r="V839" s="106"/>
      <c r="W839" s="106"/>
      <c r="X839" s="106"/>
      <c r="Y839" s="106"/>
    </row>
    <row r="840" spans="1:25" ht="15.75" customHeight="1">
      <c r="A840" s="106"/>
      <c r="B840" s="106"/>
      <c r="C840" s="106"/>
      <c r="D840" s="106"/>
      <c r="E840" s="106"/>
      <c r="F840" s="106"/>
      <c r="G840" s="106"/>
      <c r="H840" s="106"/>
      <c r="I840" s="106"/>
      <c r="J840" s="154"/>
      <c r="K840" s="106"/>
      <c r="L840" s="121"/>
      <c r="M840" s="121"/>
      <c r="N840" s="106"/>
      <c r="O840" s="106"/>
      <c r="P840" s="106"/>
      <c r="Q840" s="106"/>
      <c r="R840" s="106"/>
      <c r="S840" s="106"/>
      <c r="T840" s="106"/>
      <c r="U840" s="106"/>
      <c r="V840" s="106"/>
      <c r="W840" s="106"/>
      <c r="X840" s="106"/>
      <c r="Y840" s="106"/>
    </row>
    <row r="841" spans="1:25" ht="15.75" customHeight="1">
      <c r="A841" s="106"/>
      <c r="B841" s="106"/>
      <c r="C841" s="106"/>
      <c r="D841" s="106"/>
      <c r="E841" s="106"/>
      <c r="F841" s="106"/>
      <c r="G841" s="106"/>
      <c r="H841" s="106"/>
      <c r="I841" s="106"/>
      <c r="J841" s="154"/>
      <c r="K841" s="106"/>
      <c r="L841" s="121"/>
      <c r="M841" s="121"/>
      <c r="N841" s="106"/>
      <c r="O841" s="106"/>
      <c r="P841" s="106"/>
      <c r="Q841" s="106"/>
      <c r="R841" s="106"/>
      <c r="S841" s="106"/>
      <c r="T841" s="106"/>
      <c r="U841" s="106"/>
      <c r="V841" s="106"/>
      <c r="W841" s="106"/>
      <c r="X841" s="106"/>
      <c r="Y841" s="106"/>
    </row>
    <row r="842" spans="1:25" ht="15.75" customHeight="1">
      <c r="A842" s="106"/>
      <c r="B842" s="106"/>
      <c r="C842" s="106"/>
      <c r="D842" s="106"/>
      <c r="E842" s="106"/>
      <c r="F842" s="106"/>
      <c r="G842" s="106"/>
      <c r="H842" s="106"/>
      <c r="I842" s="106"/>
      <c r="J842" s="154"/>
      <c r="K842" s="106"/>
      <c r="L842" s="121"/>
      <c r="M842" s="121"/>
      <c r="N842" s="106"/>
      <c r="O842" s="106"/>
      <c r="P842" s="106"/>
      <c r="Q842" s="106"/>
      <c r="R842" s="106"/>
      <c r="S842" s="106"/>
      <c r="T842" s="106"/>
      <c r="U842" s="106"/>
      <c r="V842" s="106"/>
      <c r="W842" s="106"/>
      <c r="X842" s="106"/>
      <c r="Y842" s="106"/>
    </row>
    <row r="843" spans="1:25" ht="15.75" customHeight="1">
      <c r="A843" s="106"/>
      <c r="B843" s="106"/>
      <c r="C843" s="106"/>
      <c r="D843" s="106"/>
      <c r="E843" s="106"/>
      <c r="F843" s="106"/>
      <c r="G843" s="106"/>
      <c r="H843" s="106"/>
      <c r="I843" s="106"/>
      <c r="J843" s="154"/>
      <c r="K843" s="106"/>
      <c r="L843" s="121"/>
      <c r="M843" s="121"/>
      <c r="N843" s="106"/>
      <c r="O843" s="106"/>
      <c r="P843" s="106"/>
      <c r="Q843" s="106"/>
      <c r="R843" s="106"/>
      <c r="S843" s="106"/>
      <c r="T843" s="106"/>
      <c r="U843" s="106"/>
      <c r="V843" s="106"/>
      <c r="W843" s="106"/>
      <c r="X843" s="106"/>
      <c r="Y843" s="106"/>
    </row>
    <row r="844" spans="1:25" ht="15.75" customHeight="1">
      <c r="A844" s="106"/>
      <c r="B844" s="106"/>
      <c r="C844" s="106"/>
      <c r="D844" s="106"/>
      <c r="E844" s="106"/>
      <c r="F844" s="106"/>
      <c r="G844" s="106"/>
      <c r="H844" s="106"/>
      <c r="I844" s="106"/>
      <c r="J844" s="154"/>
      <c r="K844" s="106"/>
      <c r="L844" s="121"/>
      <c r="M844" s="121"/>
      <c r="N844" s="106"/>
      <c r="O844" s="106"/>
      <c r="P844" s="106"/>
      <c r="Q844" s="106"/>
      <c r="R844" s="106"/>
      <c r="S844" s="106"/>
      <c r="T844" s="106"/>
      <c r="U844" s="106"/>
      <c r="V844" s="106"/>
      <c r="W844" s="106"/>
      <c r="X844" s="106"/>
      <c r="Y844" s="106"/>
    </row>
    <row r="845" spans="1:25" ht="15.75" customHeight="1">
      <c r="A845" s="106"/>
      <c r="B845" s="106"/>
      <c r="C845" s="106"/>
      <c r="D845" s="106"/>
      <c r="E845" s="106"/>
      <c r="F845" s="106"/>
      <c r="G845" s="106"/>
      <c r="H845" s="106"/>
      <c r="I845" s="106"/>
      <c r="J845" s="154"/>
      <c r="K845" s="106"/>
      <c r="L845" s="121"/>
      <c r="M845" s="121"/>
      <c r="N845" s="106"/>
      <c r="O845" s="106"/>
      <c r="P845" s="106"/>
      <c r="Q845" s="106"/>
      <c r="R845" s="106"/>
      <c r="S845" s="106"/>
      <c r="T845" s="106"/>
      <c r="U845" s="106"/>
      <c r="V845" s="106"/>
      <c r="W845" s="106"/>
      <c r="X845" s="106"/>
      <c r="Y845" s="106"/>
    </row>
    <row r="846" spans="1:25" ht="15.75" customHeight="1">
      <c r="A846" s="106"/>
      <c r="B846" s="106"/>
      <c r="C846" s="106"/>
      <c r="D846" s="106"/>
      <c r="E846" s="106"/>
      <c r="F846" s="106"/>
      <c r="G846" s="106"/>
      <c r="H846" s="106"/>
      <c r="I846" s="106"/>
      <c r="J846" s="154"/>
      <c r="K846" s="106"/>
      <c r="L846" s="121"/>
      <c r="M846" s="121"/>
      <c r="N846" s="106"/>
      <c r="O846" s="106"/>
      <c r="P846" s="106"/>
      <c r="Q846" s="106"/>
      <c r="R846" s="106"/>
      <c r="S846" s="106"/>
      <c r="T846" s="106"/>
      <c r="U846" s="106"/>
      <c r="V846" s="106"/>
      <c r="W846" s="106"/>
      <c r="X846" s="106"/>
      <c r="Y846" s="106"/>
    </row>
    <row r="847" spans="1:25" ht="15.75" customHeight="1">
      <c r="A847" s="106"/>
      <c r="B847" s="106"/>
      <c r="C847" s="106"/>
      <c r="D847" s="106"/>
      <c r="E847" s="106"/>
      <c r="F847" s="106"/>
      <c r="G847" s="106"/>
      <c r="H847" s="106"/>
      <c r="I847" s="106"/>
      <c r="J847" s="154"/>
      <c r="K847" s="106"/>
      <c r="L847" s="121"/>
      <c r="M847" s="121"/>
      <c r="N847" s="106"/>
      <c r="O847" s="106"/>
      <c r="P847" s="106"/>
      <c r="Q847" s="106"/>
      <c r="R847" s="106"/>
      <c r="S847" s="106"/>
      <c r="T847" s="106"/>
      <c r="U847" s="106"/>
      <c r="V847" s="106"/>
      <c r="W847" s="106"/>
      <c r="X847" s="106"/>
      <c r="Y847" s="106"/>
    </row>
    <row r="848" spans="1:25" ht="15.75" customHeight="1">
      <c r="A848" s="106"/>
      <c r="B848" s="106"/>
      <c r="C848" s="106"/>
      <c r="D848" s="106"/>
      <c r="E848" s="106"/>
      <c r="F848" s="106"/>
      <c r="G848" s="106"/>
      <c r="H848" s="106"/>
      <c r="I848" s="106"/>
      <c r="J848" s="154"/>
      <c r="K848" s="106"/>
      <c r="L848" s="121"/>
      <c r="M848" s="121"/>
      <c r="N848" s="106"/>
      <c r="O848" s="106"/>
      <c r="P848" s="106"/>
      <c r="Q848" s="106"/>
      <c r="R848" s="106"/>
      <c r="S848" s="106"/>
      <c r="T848" s="106"/>
      <c r="U848" s="106"/>
      <c r="V848" s="106"/>
      <c r="W848" s="106"/>
      <c r="X848" s="106"/>
      <c r="Y848" s="106"/>
    </row>
    <row r="849" spans="1:25" ht="15.75" customHeight="1">
      <c r="A849" s="106"/>
      <c r="B849" s="106"/>
      <c r="C849" s="106"/>
      <c r="D849" s="106"/>
      <c r="E849" s="106"/>
      <c r="F849" s="106"/>
      <c r="G849" s="106"/>
      <c r="H849" s="106"/>
      <c r="I849" s="106"/>
      <c r="J849" s="154"/>
      <c r="K849" s="106"/>
      <c r="L849" s="121"/>
      <c r="M849" s="121"/>
      <c r="N849" s="106"/>
      <c r="O849" s="106"/>
      <c r="P849" s="106"/>
      <c r="Q849" s="106"/>
      <c r="R849" s="106"/>
      <c r="S849" s="106"/>
      <c r="T849" s="106"/>
      <c r="U849" s="106"/>
      <c r="V849" s="106"/>
      <c r="W849" s="106"/>
      <c r="X849" s="106"/>
      <c r="Y849" s="106"/>
    </row>
    <row r="850" spans="1:25" ht="15.75" customHeight="1">
      <c r="A850" s="106"/>
      <c r="B850" s="106"/>
      <c r="C850" s="106"/>
      <c r="D850" s="106"/>
      <c r="E850" s="106"/>
      <c r="F850" s="106"/>
      <c r="G850" s="106"/>
      <c r="H850" s="106"/>
      <c r="I850" s="106"/>
      <c r="J850" s="154"/>
      <c r="K850" s="106"/>
      <c r="L850" s="121"/>
      <c r="M850" s="121"/>
      <c r="N850" s="106"/>
      <c r="O850" s="106"/>
      <c r="P850" s="106"/>
      <c r="Q850" s="106"/>
      <c r="R850" s="106"/>
      <c r="S850" s="106"/>
      <c r="T850" s="106"/>
      <c r="U850" s="106"/>
      <c r="V850" s="106"/>
      <c r="W850" s="106"/>
      <c r="X850" s="106"/>
      <c r="Y850" s="106"/>
    </row>
    <row r="851" spans="1:25" ht="15.75" customHeight="1">
      <c r="A851" s="106"/>
      <c r="B851" s="106"/>
      <c r="C851" s="106"/>
      <c r="D851" s="106"/>
      <c r="E851" s="106"/>
      <c r="F851" s="106"/>
      <c r="G851" s="106"/>
      <c r="H851" s="106"/>
      <c r="I851" s="106"/>
      <c r="J851" s="154"/>
      <c r="K851" s="106"/>
      <c r="L851" s="121"/>
      <c r="M851" s="121"/>
      <c r="N851" s="106"/>
      <c r="O851" s="106"/>
      <c r="P851" s="106"/>
      <c r="Q851" s="106"/>
      <c r="R851" s="106"/>
      <c r="S851" s="106"/>
      <c r="T851" s="106"/>
      <c r="U851" s="106"/>
      <c r="V851" s="106"/>
      <c r="W851" s="106"/>
      <c r="X851" s="106"/>
      <c r="Y851" s="106"/>
    </row>
    <row r="852" spans="1:25" ht="15.75" customHeight="1">
      <c r="A852" s="106"/>
      <c r="B852" s="106"/>
      <c r="C852" s="106"/>
      <c r="D852" s="106"/>
      <c r="E852" s="106"/>
      <c r="F852" s="106"/>
      <c r="G852" s="106"/>
      <c r="H852" s="106"/>
      <c r="I852" s="106"/>
      <c r="J852" s="154"/>
      <c r="K852" s="106"/>
      <c r="L852" s="121"/>
      <c r="M852" s="121"/>
      <c r="N852" s="106"/>
      <c r="O852" s="106"/>
      <c r="P852" s="106"/>
      <c r="Q852" s="106"/>
      <c r="R852" s="106"/>
      <c r="S852" s="106"/>
      <c r="T852" s="106"/>
      <c r="U852" s="106"/>
      <c r="V852" s="106"/>
      <c r="W852" s="106"/>
      <c r="X852" s="106"/>
      <c r="Y852" s="106"/>
    </row>
    <row r="853" spans="1:25" ht="15.75" customHeight="1">
      <c r="A853" s="106"/>
      <c r="B853" s="106"/>
      <c r="C853" s="106"/>
      <c r="D853" s="106"/>
      <c r="E853" s="106"/>
      <c r="F853" s="106"/>
      <c r="G853" s="106"/>
      <c r="H853" s="106"/>
      <c r="I853" s="106"/>
      <c r="J853" s="154"/>
      <c r="K853" s="106"/>
      <c r="L853" s="121"/>
      <c r="M853" s="121"/>
      <c r="N853" s="106"/>
      <c r="O853" s="106"/>
      <c r="P853" s="106"/>
      <c r="Q853" s="106"/>
      <c r="R853" s="106"/>
      <c r="S853" s="106"/>
      <c r="T853" s="106"/>
      <c r="U853" s="106"/>
      <c r="V853" s="106"/>
      <c r="W853" s="106"/>
      <c r="X853" s="106"/>
      <c r="Y853" s="106"/>
    </row>
    <row r="854" spans="1:25" ht="15.75" customHeight="1">
      <c r="A854" s="106"/>
      <c r="B854" s="106"/>
      <c r="C854" s="106"/>
      <c r="D854" s="106"/>
      <c r="E854" s="106"/>
      <c r="F854" s="106"/>
      <c r="G854" s="106"/>
      <c r="H854" s="106"/>
      <c r="I854" s="106"/>
      <c r="J854" s="154"/>
      <c r="K854" s="106"/>
      <c r="L854" s="121"/>
      <c r="M854" s="121"/>
      <c r="N854" s="106"/>
      <c r="O854" s="106"/>
      <c r="P854" s="106"/>
      <c r="Q854" s="106"/>
      <c r="R854" s="106"/>
      <c r="S854" s="106"/>
      <c r="T854" s="106"/>
      <c r="U854" s="106"/>
      <c r="V854" s="106"/>
      <c r="W854" s="106"/>
      <c r="X854" s="106"/>
      <c r="Y854" s="106"/>
    </row>
    <row r="855" spans="1:25" ht="15.75" customHeight="1">
      <c r="A855" s="106"/>
      <c r="B855" s="106"/>
      <c r="C855" s="106"/>
      <c r="D855" s="106"/>
      <c r="E855" s="106"/>
      <c r="F855" s="106"/>
      <c r="G855" s="106"/>
      <c r="H855" s="106"/>
      <c r="I855" s="106"/>
      <c r="J855" s="154"/>
      <c r="K855" s="106"/>
      <c r="L855" s="121"/>
      <c r="M855" s="121"/>
      <c r="N855" s="106"/>
      <c r="O855" s="106"/>
      <c r="P855" s="106"/>
      <c r="Q855" s="106"/>
      <c r="R855" s="106"/>
      <c r="S855" s="106"/>
      <c r="T855" s="106"/>
      <c r="U855" s="106"/>
      <c r="V855" s="106"/>
      <c r="W855" s="106"/>
      <c r="X855" s="106"/>
      <c r="Y855" s="106"/>
    </row>
    <row r="856" spans="1:25" ht="15.75" customHeight="1">
      <c r="A856" s="106"/>
      <c r="B856" s="106"/>
      <c r="C856" s="106"/>
      <c r="D856" s="106"/>
      <c r="E856" s="106"/>
      <c r="F856" s="106"/>
      <c r="G856" s="106"/>
      <c r="H856" s="106"/>
      <c r="I856" s="106"/>
      <c r="J856" s="154"/>
      <c r="K856" s="106"/>
      <c r="L856" s="121"/>
      <c r="M856" s="121"/>
      <c r="N856" s="106"/>
      <c r="O856" s="106"/>
      <c r="P856" s="106"/>
      <c r="Q856" s="106"/>
      <c r="R856" s="106"/>
      <c r="S856" s="106"/>
      <c r="T856" s="106"/>
      <c r="U856" s="106"/>
      <c r="V856" s="106"/>
      <c r="W856" s="106"/>
      <c r="X856" s="106"/>
      <c r="Y856" s="106"/>
    </row>
    <row r="857" spans="1:25" ht="15.75" customHeight="1">
      <c r="A857" s="106"/>
      <c r="B857" s="106"/>
      <c r="C857" s="106"/>
      <c r="D857" s="106"/>
      <c r="E857" s="106"/>
      <c r="F857" s="106"/>
      <c r="G857" s="106"/>
      <c r="H857" s="106"/>
      <c r="I857" s="106"/>
      <c r="J857" s="154"/>
      <c r="K857" s="106"/>
      <c r="L857" s="121"/>
      <c r="M857" s="121"/>
      <c r="N857" s="106"/>
      <c r="O857" s="106"/>
      <c r="P857" s="106"/>
      <c r="Q857" s="106"/>
      <c r="R857" s="106"/>
      <c r="S857" s="106"/>
      <c r="T857" s="106"/>
      <c r="U857" s="106"/>
      <c r="V857" s="106"/>
      <c r="W857" s="106"/>
      <c r="X857" s="106"/>
      <c r="Y857" s="106"/>
    </row>
    <row r="858" spans="1:25" ht="15.75" customHeight="1">
      <c r="A858" s="106"/>
      <c r="B858" s="106"/>
      <c r="C858" s="106"/>
      <c r="D858" s="106"/>
      <c r="E858" s="106"/>
      <c r="F858" s="106"/>
      <c r="G858" s="106"/>
      <c r="H858" s="106"/>
      <c r="I858" s="106"/>
      <c r="J858" s="154"/>
      <c r="K858" s="106"/>
      <c r="L858" s="121"/>
      <c r="M858" s="121"/>
      <c r="N858" s="106"/>
      <c r="O858" s="106"/>
      <c r="P858" s="106"/>
      <c r="Q858" s="106"/>
      <c r="R858" s="106"/>
      <c r="S858" s="106"/>
      <c r="T858" s="106"/>
      <c r="U858" s="106"/>
      <c r="V858" s="106"/>
      <c r="W858" s="106"/>
      <c r="X858" s="106"/>
      <c r="Y858" s="106"/>
    </row>
    <row r="859" spans="1:25" ht="15.75" customHeight="1">
      <c r="A859" s="106"/>
      <c r="B859" s="106"/>
      <c r="C859" s="106"/>
      <c r="D859" s="106"/>
      <c r="E859" s="106"/>
      <c r="F859" s="106"/>
      <c r="G859" s="106"/>
      <c r="H859" s="106"/>
      <c r="I859" s="106"/>
      <c r="J859" s="154"/>
      <c r="K859" s="106"/>
      <c r="L859" s="121"/>
      <c r="M859" s="121"/>
      <c r="N859" s="106"/>
      <c r="O859" s="106"/>
      <c r="P859" s="106"/>
      <c r="Q859" s="106"/>
      <c r="R859" s="106"/>
      <c r="S859" s="106"/>
      <c r="T859" s="106"/>
      <c r="U859" s="106"/>
      <c r="V859" s="106"/>
      <c r="W859" s="106"/>
      <c r="X859" s="106"/>
      <c r="Y859" s="106"/>
    </row>
    <row r="860" spans="1:25" ht="15.75" customHeight="1">
      <c r="A860" s="106"/>
      <c r="B860" s="106"/>
      <c r="C860" s="106"/>
      <c r="D860" s="106"/>
      <c r="E860" s="106"/>
      <c r="F860" s="106"/>
      <c r="G860" s="106"/>
      <c r="H860" s="106"/>
      <c r="I860" s="106"/>
      <c r="J860" s="154"/>
      <c r="K860" s="106"/>
      <c r="L860" s="121"/>
      <c r="M860" s="121"/>
      <c r="N860" s="106"/>
      <c r="O860" s="106"/>
      <c r="P860" s="106"/>
      <c r="Q860" s="106"/>
      <c r="R860" s="106"/>
      <c r="S860" s="106"/>
      <c r="T860" s="106"/>
      <c r="U860" s="106"/>
      <c r="V860" s="106"/>
      <c r="W860" s="106"/>
      <c r="X860" s="106"/>
      <c r="Y860" s="106"/>
    </row>
    <row r="861" spans="1:25" ht="15.75" customHeight="1">
      <c r="A861" s="106"/>
      <c r="B861" s="106"/>
      <c r="C861" s="106"/>
      <c r="D861" s="106"/>
      <c r="E861" s="106"/>
      <c r="F861" s="106"/>
      <c r="G861" s="106"/>
      <c r="H861" s="106"/>
      <c r="I861" s="106"/>
      <c r="J861" s="154"/>
      <c r="K861" s="106"/>
      <c r="L861" s="121"/>
      <c r="M861" s="121"/>
      <c r="N861" s="106"/>
      <c r="O861" s="106"/>
      <c r="P861" s="106"/>
      <c r="Q861" s="106"/>
      <c r="R861" s="106"/>
      <c r="S861" s="106"/>
      <c r="T861" s="106"/>
      <c r="U861" s="106"/>
      <c r="V861" s="106"/>
      <c r="W861" s="106"/>
      <c r="X861" s="106"/>
      <c r="Y861" s="106"/>
    </row>
    <row r="862" spans="1:25" ht="15.75" customHeight="1">
      <c r="A862" s="106"/>
      <c r="B862" s="106"/>
      <c r="C862" s="106"/>
      <c r="D862" s="106"/>
      <c r="E862" s="106"/>
      <c r="F862" s="106"/>
      <c r="G862" s="106"/>
      <c r="H862" s="106"/>
      <c r="I862" s="106"/>
      <c r="J862" s="154"/>
      <c r="K862" s="106"/>
      <c r="L862" s="121"/>
      <c r="M862" s="121"/>
      <c r="N862" s="106"/>
      <c r="O862" s="106"/>
      <c r="P862" s="106"/>
      <c r="Q862" s="106"/>
      <c r="R862" s="106"/>
      <c r="S862" s="106"/>
      <c r="T862" s="106"/>
      <c r="U862" s="106"/>
      <c r="V862" s="106"/>
      <c r="W862" s="106"/>
      <c r="X862" s="106"/>
      <c r="Y862" s="106"/>
    </row>
    <row r="863" spans="1:25" ht="15.75" customHeight="1">
      <c r="A863" s="106"/>
      <c r="B863" s="106"/>
      <c r="C863" s="106"/>
      <c r="D863" s="106"/>
      <c r="E863" s="106"/>
      <c r="F863" s="106"/>
      <c r="G863" s="106"/>
      <c r="H863" s="106"/>
      <c r="I863" s="106"/>
      <c r="J863" s="154"/>
      <c r="K863" s="106"/>
      <c r="L863" s="121"/>
      <c r="M863" s="121"/>
      <c r="N863" s="106"/>
      <c r="O863" s="106"/>
      <c r="P863" s="106"/>
      <c r="Q863" s="106"/>
      <c r="R863" s="106"/>
      <c r="S863" s="106"/>
      <c r="T863" s="106"/>
      <c r="U863" s="106"/>
      <c r="V863" s="106"/>
      <c r="W863" s="106"/>
      <c r="X863" s="106"/>
      <c r="Y863" s="106"/>
    </row>
    <row r="864" spans="1:25" ht="15.75" customHeight="1">
      <c r="A864" s="106"/>
      <c r="B864" s="106"/>
      <c r="C864" s="106"/>
      <c r="D864" s="106"/>
      <c r="E864" s="106"/>
      <c r="F864" s="106"/>
      <c r="G864" s="106"/>
      <c r="H864" s="106"/>
      <c r="I864" s="106"/>
      <c r="J864" s="154"/>
      <c r="K864" s="106"/>
      <c r="L864" s="121"/>
      <c r="M864" s="121"/>
      <c r="N864" s="106"/>
      <c r="O864" s="106"/>
      <c r="P864" s="106"/>
      <c r="Q864" s="106"/>
      <c r="R864" s="106"/>
      <c r="S864" s="106"/>
      <c r="T864" s="106"/>
      <c r="U864" s="106"/>
      <c r="V864" s="106"/>
      <c r="W864" s="106"/>
      <c r="X864" s="106"/>
      <c r="Y864" s="106"/>
    </row>
    <row r="865" spans="1:25" ht="15.75" customHeight="1">
      <c r="A865" s="106"/>
      <c r="B865" s="106"/>
      <c r="C865" s="106"/>
      <c r="D865" s="106"/>
      <c r="E865" s="106"/>
      <c r="F865" s="106"/>
      <c r="G865" s="106"/>
      <c r="H865" s="106"/>
      <c r="I865" s="106"/>
      <c r="J865" s="154"/>
      <c r="K865" s="106"/>
      <c r="L865" s="121"/>
      <c r="M865" s="121"/>
      <c r="N865" s="106"/>
      <c r="O865" s="106"/>
      <c r="P865" s="106"/>
      <c r="Q865" s="106"/>
      <c r="R865" s="106"/>
      <c r="S865" s="106"/>
      <c r="T865" s="106"/>
      <c r="U865" s="106"/>
      <c r="V865" s="106"/>
      <c r="W865" s="106"/>
      <c r="X865" s="106"/>
      <c r="Y865" s="106"/>
    </row>
    <row r="866" spans="1:25" ht="15.75" customHeight="1">
      <c r="A866" s="106"/>
      <c r="B866" s="106"/>
      <c r="C866" s="106"/>
      <c r="D866" s="106"/>
      <c r="E866" s="106"/>
      <c r="F866" s="106"/>
      <c r="G866" s="106"/>
      <c r="H866" s="106"/>
      <c r="I866" s="106"/>
      <c r="J866" s="154"/>
      <c r="K866" s="106"/>
      <c r="L866" s="121"/>
      <c r="M866" s="121"/>
      <c r="N866" s="106"/>
      <c r="O866" s="106"/>
      <c r="P866" s="106"/>
      <c r="Q866" s="106"/>
      <c r="R866" s="106"/>
      <c r="S866" s="106"/>
      <c r="T866" s="106"/>
      <c r="U866" s="106"/>
      <c r="V866" s="106"/>
      <c r="W866" s="106"/>
      <c r="X866" s="106"/>
      <c r="Y866" s="106"/>
    </row>
    <row r="867" spans="1:25" ht="15.75" customHeight="1">
      <c r="A867" s="106"/>
      <c r="B867" s="106"/>
      <c r="C867" s="106"/>
      <c r="D867" s="106"/>
      <c r="E867" s="106"/>
      <c r="F867" s="106"/>
      <c r="G867" s="106"/>
      <c r="H867" s="106"/>
      <c r="I867" s="106"/>
      <c r="J867" s="154"/>
      <c r="K867" s="106"/>
      <c r="L867" s="121"/>
      <c r="M867" s="121"/>
      <c r="N867" s="106"/>
      <c r="O867" s="106"/>
      <c r="P867" s="106"/>
      <c r="Q867" s="106"/>
      <c r="R867" s="106"/>
      <c r="S867" s="106"/>
      <c r="T867" s="106"/>
      <c r="U867" s="106"/>
      <c r="V867" s="106"/>
      <c r="W867" s="106"/>
      <c r="X867" s="106"/>
      <c r="Y867" s="106"/>
    </row>
    <row r="868" spans="1:25" ht="15.75" customHeight="1">
      <c r="A868" s="106"/>
      <c r="B868" s="106"/>
      <c r="C868" s="106"/>
      <c r="D868" s="106"/>
      <c r="E868" s="106"/>
      <c r="F868" s="106"/>
      <c r="G868" s="106"/>
      <c r="H868" s="106"/>
      <c r="I868" s="106"/>
      <c r="J868" s="154"/>
      <c r="K868" s="106"/>
      <c r="L868" s="121"/>
      <c r="M868" s="121"/>
      <c r="N868" s="106"/>
      <c r="O868" s="106"/>
      <c r="P868" s="106"/>
      <c r="Q868" s="106"/>
      <c r="R868" s="106"/>
      <c r="S868" s="106"/>
      <c r="T868" s="106"/>
      <c r="U868" s="106"/>
      <c r="V868" s="106"/>
      <c r="W868" s="106"/>
      <c r="X868" s="106"/>
      <c r="Y868" s="106"/>
    </row>
    <row r="869" spans="1:25" ht="15.75" customHeight="1">
      <c r="A869" s="106"/>
      <c r="B869" s="106"/>
      <c r="C869" s="106"/>
      <c r="D869" s="106"/>
      <c r="E869" s="106"/>
      <c r="F869" s="106"/>
      <c r="G869" s="106"/>
      <c r="H869" s="106"/>
      <c r="I869" s="106"/>
      <c r="J869" s="154"/>
      <c r="K869" s="106"/>
      <c r="L869" s="121"/>
      <c r="M869" s="121"/>
      <c r="N869" s="106"/>
      <c r="O869" s="106"/>
      <c r="P869" s="106"/>
      <c r="Q869" s="106"/>
      <c r="R869" s="106"/>
      <c r="S869" s="106"/>
      <c r="T869" s="106"/>
      <c r="U869" s="106"/>
      <c r="V869" s="106"/>
      <c r="W869" s="106"/>
      <c r="X869" s="106"/>
      <c r="Y869" s="106"/>
    </row>
    <row r="870" spans="1:25" ht="15.75" customHeight="1">
      <c r="A870" s="106"/>
      <c r="B870" s="106"/>
      <c r="C870" s="106"/>
      <c r="D870" s="106"/>
      <c r="E870" s="106"/>
      <c r="F870" s="106"/>
      <c r="G870" s="106"/>
      <c r="H870" s="106"/>
      <c r="I870" s="106"/>
      <c r="J870" s="154"/>
      <c r="K870" s="106"/>
      <c r="L870" s="121"/>
      <c r="M870" s="121"/>
      <c r="N870" s="106"/>
      <c r="O870" s="106"/>
      <c r="P870" s="106"/>
      <c r="Q870" s="106"/>
      <c r="R870" s="106"/>
      <c r="S870" s="106"/>
      <c r="T870" s="106"/>
      <c r="U870" s="106"/>
      <c r="V870" s="106"/>
      <c r="W870" s="106"/>
      <c r="X870" s="106"/>
      <c r="Y870" s="106"/>
    </row>
    <row r="871" spans="1:25" ht="15.75" customHeight="1">
      <c r="A871" s="106"/>
      <c r="B871" s="106"/>
      <c r="C871" s="106"/>
      <c r="D871" s="106"/>
      <c r="E871" s="106"/>
      <c r="F871" s="106"/>
      <c r="G871" s="106"/>
      <c r="H871" s="106"/>
      <c r="I871" s="106"/>
      <c r="J871" s="154"/>
      <c r="K871" s="106"/>
      <c r="L871" s="121"/>
      <c r="M871" s="121"/>
      <c r="N871" s="106"/>
      <c r="O871" s="106"/>
      <c r="P871" s="106"/>
      <c r="Q871" s="106"/>
      <c r="R871" s="106"/>
      <c r="S871" s="106"/>
      <c r="T871" s="106"/>
      <c r="U871" s="106"/>
      <c r="V871" s="106"/>
      <c r="W871" s="106"/>
      <c r="X871" s="106"/>
      <c r="Y871" s="106"/>
    </row>
    <row r="872" spans="1:25" ht="15.75" customHeight="1">
      <c r="A872" s="106"/>
      <c r="B872" s="106"/>
      <c r="C872" s="106"/>
      <c r="D872" s="106"/>
      <c r="E872" s="106"/>
      <c r="F872" s="106"/>
      <c r="G872" s="106"/>
      <c r="H872" s="106"/>
      <c r="I872" s="106"/>
      <c r="J872" s="154"/>
      <c r="K872" s="106"/>
      <c r="L872" s="121"/>
      <c r="M872" s="121"/>
      <c r="N872" s="106"/>
      <c r="O872" s="106"/>
      <c r="P872" s="106"/>
      <c r="Q872" s="106"/>
      <c r="R872" s="106"/>
      <c r="S872" s="106"/>
      <c r="T872" s="106"/>
      <c r="U872" s="106"/>
      <c r="V872" s="106"/>
      <c r="W872" s="106"/>
      <c r="X872" s="106"/>
      <c r="Y872" s="106"/>
    </row>
    <row r="873" spans="1:25" ht="15.75" customHeight="1">
      <c r="A873" s="106"/>
      <c r="B873" s="106"/>
      <c r="C873" s="106"/>
      <c r="D873" s="106"/>
      <c r="E873" s="106"/>
      <c r="F873" s="106"/>
      <c r="G873" s="106"/>
      <c r="H873" s="106"/>
      <c r="I873" s="106"/>
      <c r="J873" s="154"/>
      <c r="K873" s="106"/>
      <c r="L873" s="121"/>
      <c r="M873" s="121"/>
      <c r="N873" s="106"/>
      <c r="O873" s="106"/>
      <c r="P873" s="106"/>
      <c r="Q873" s="106"/>
      <c r="R873" s="106"/>
      <c r="S873" s="106"/>
      <c r="T873" s="106"/>
      <c r="U873" s="106"/>
      <c r="V873" s="106"/>
      <c r="W873" s="106"/>
      <c r="X873" s="106"/>
      <c r="Y873" s="106"/>
    </row>
    <row r="874" spans="1:25" ht="15.75" customHeight="1">
      <c r="A874" s="106"/>
      <c r="B874" s="106"/>
      <c r="C874" s="106"/>
      <c r="D874" s="106"/>
      <c r="E874" s="106"/>
      <c r="F874" s="106"/>
      <c r="G874" s="106"/>
      <c r="H874" s="106"/>
      <c r="I874" s="106"/>
      <c r="J874" s="154"/>
      <c r="K874" s="106"/>
      <c r="L874" s="121"/>
      <c r="M874" s="121"/>
      <c r="N874" s="106"/>
      <c r="O874" s="106"/>
      <c r="P874" s="106"/>
      <c r="Q874" s="106"/>
      <c r="R874" s="106"/>
      <c r="S874" s="106"/>
      <c r="T874" s="106"/>
      <c r="U874" s="106"/>
      <c r="V874" s="106"/>
      <c r="W874" s="106"/>
      <c r="X874" s="106"/>
      <c r="Y874" s="106"/>
    </row>
    <row r="875" spans="1:25" ht="15.75" customHeight="1">
      <c r="A875" s="106"/>
      <c r="B875" s="106"/>
      <c r="C875" s="106"/>
      <c r="D875" s="106"/>
      <c r="E875" s="106"/>
      <c r="F875" s="106"/>
      <c r="G875" s="106"/>
      <c r="H875" s="106"/>
      <c r="I875" s="106"/>
      <c r="J875" s="154"/>
      <c r="K875" s="106"/>
      <c r="L875" s="121"/>
      <c r="M875" s="121"/>
      <c r="N875" s="106"/>
      <c r="O875" s="106"/>
      <c r="P875" s="106"/>
      <c r="Q875" s="106"/>
      <c r="R875" s="106"/>
      <c r="S875" s="106"/>
      <c r="T875" s="106"/>
      <c r="U875" s="106"/>
      <c r="V875" s="106"/>
      <c r="W875" s="106"/>
      <c r="X875" s="106"/>
      <c r="Y875" s="106"/>
    </row>
    <row r="876" spans="1:25" ht="15.75" customHeight="1">
      <c r="A876" s="106"/>
      <c r="B876" s="106"/>
      <c r="C876" s="106"/>
      <c r="D876" s="106"/>
      <c r="E876" s="106"/>
      <c r="F876" s="106"/>
      <c r="G876" s="106"/>
      <c r="H876" s="106"/>
      <c r="I876" s="106"/>
      <c r="J876" s="154"/>
      <c r="K876" s="106"/>
      <c r="L876" s="121"/>
      <c r="M876" s="121"/>
      <c r="N876" s="106"/>
      <c r="O876" s="106"/>
      <c r="P876" s="106"/>
      <c r="Q876" s="106"/>
      <c r="R876" s="106"/>
      <c r="S876" s="106"/>
      <c r="T876" s="106"/>
      <c r="U876" s="106"/>
      <c r="V876" s="106"/>
      <c r="W876" s="106"/>
      <c r="X876" s="106"/>
      <c r="Y876" s="106"/>
    </row>
    <row r="877" spans="1:25" ht="15.75" customHeight="1">
      <c r="A877" s="106"/>
      <c r="B877" s="106"/>
      <c r="C877" s="106"/>
      <c r="D877" s="106"/>
      <c r="E877" s="106"/>
      <c r="F877" s="106"/>
      <c r="G877" s="106"/>
      <c r="H877" s="106"/>
      <c r="I877" s="106"/>
      <c r="J877" s="154"/>
      <c r="K877" s="106"/>
      <c r="L877" s="121"/>
      <c r="M877" s="121"/>
      <c r="N877" s="106"/>
      <c r="O877" s="106"/>
      <c r="P877" s="106"/>
      <c r="Q877" s="106"/>
      <c r="R877" s="106"/>
      <c r="S877" s="106"/>
      <c r="T877" s="106"/>
      <c r="U877" s="106"/>
      <c r="V877" s="106"/>
      <c r="W877" s="106"/>
      <c r="X877" s="106"/>
      <c r="Y877" s="106"/>
    </row>
    <row r="878" spans="1:25" ht="15.75" customHeight="1">
      <c r="A878" s="106"/>
      <c r="B878" s="106"/>
      <c r="C878" s="106"/>
      <c r="D878" s="106"/>
      <c r="E878" s="106"/>
      <c r="F878" s="106"/>
      <c r="G878" s="106"/>
      <c r="H878" s="106"/>
      <c r="I878" s="106"/>
      <c r="J878" s="154"/>
      <c r="K878" s="106"/>
      <c r="L878" s="121"/>
      <c r="M878" s="121"/>
      <c r="N878" s="106"/>
      <c r="O878" s="106"/>
      <c r="P878" s="106"/>
      <c r="Q878" s="106"/>
      <c r="R878" s="106"/>
      <c r="S878" s="106"/>
      <c r="T878" s="106"/>
      <c r="U878" s="106"/>
      <c r="V878" s="106"/>
      <c r="W878" s="106"/>
      <c r="X878" s="106"/>
      <c r="Y878" s="106"/>
    </row>
    <row r="879" spans="1:25" ht="15.75" customHeight="1">
      <c r="A879" s="106"/>
      <c r="B879" s="106"/>
      <c r="C879" s="106"/>
      <c r="D879" s="106"/>
      <c r="E879" s="106"/>
      <c r="F879" s="106"/>
      <c r="G879" s="106"/>
      <c r="H879" s="106"/>
      <c r="I879" s="106"/>
      <c r="J879" s="154"/>
      <c r="K879" s="106"/>
      <c r="L879" s="121"/>
      <c r="M879" s="121"/>
      <c r="N879" s="106"/>
      <c r="O879" s="106"/>
      <c r="P879" s="106"/>
      <c r="Q879" s="106"/>
      <c r="R879" s="106"/>
      <c r="S879" s="106"/>
      <c r="T879" s="106"/>
      <c r="U879" s="106"/>
      <c r="V879" s="106"/>
      <c r="W879" s="106"/>
      <c r="X879" s="106"/>
      <c r="Y879" s="106"/>
    </row>
    <row r="880" spans="1:25" ht="15.75" customHeight="1">
      <c r="A880" s="106"/>
      <c r="B880" s="106"/>
      <c r="C880" s="106"/>
      <c r="D880" s="106"/>
      <c r="E880" s="106"/>
      <c r="F880" s="106"/>
      <c r="G880" s="106"/>
      <c r="H880" s="106"/>
      <c r="I880" s="106"/>
      <c r="J880" s="154"/>
      <c r="K880" s="106"/>
      <c r="L880" s="121"/>
      <c r="M880" s="121"/>
      <c r="N880" s="106"/>
      <c r="O880" s="106"/>
      <c r="P880" s="106"/>
      <c r="Q880" s="106"/>
      <c r="R880" s="106"/>
      <c r="S880" s="106"/>
      <c r="T880" s="106"/>
      <c r="U880" s="106"/>
      <c r="V880" s="106"/>
      <c r="W880" s="106"/>
      <c r="X880" s="106"/>
      <c r="Y880" s="106"/>
    </row>
    <row r="881" spans="1:25" ht="15.75" customHeight="1">
      <c r="A881" s="106"/>
      <c r="B881" s="106"/>
      <c r="C881" s="106"/>
      <c r="D881" s="106"/>
      <c r="E881" s="106"/>
      <c r="F881" s="106"/>
      <c r="G881" s="106"/>
      <c r="H881" s="106"/>
      <c r="I881" s="106"/>
      <c r="J881" s="154"/>
      <c r="K881" s="106"/>
      <c r="L881" s="121"/>
      <c r="M881" s="121"/>
      <c r="N881" s="106"/>
      <c r="O881" s="106"/>
      <c r="P881" s="106"/>
      <c r="Q881" s="106"/>
      <c r="R881" s="106"/>
      <c r="S881" s="106"/>
      <c r="T881" s="106"/>
      <c r="U881" s="106"/>
      <c r="V881" s="106"/>
      <c r="W881" s="106"/>
      <c r="X881" s="106"/>
      <c r="Y881" s="106"/>
    </row>
    <row r="882" spans="1:25" ht="15.75" customHeight="1">
      <c r="A882" s="106"/>
      <c r="B882" s="106"/>
      <c r="C882" s="106"/>
      <c r="D882" s="106"/>
      <c r="E882" s="106"/>
      <c r="F882" s="106"/>
      <c r="G882" s="106"/>
      <c r="H882" s="106"/>
      <c r="I882" s="106"/>
      <c r="J882" s="154"/>
      <c r="K882" s="106"/>
      <c r="L882" s="121"/>
      <c r="M882" s="121"/>
      <c r="N882" s="106"/>
      <c r="O882" s="106"/>
      <c r="P882" s="106"/>
      <c r="Q882" s="106"/>
      <c r="R882" s="106"/>
      <c r="S882" s="106"/>
      <c r="T882" s="106"/>
      <c r="U882" s="106"/>
      <c r="V882" s="106"/>
      <c r="W882" s="106"/>
      <c r="X882" s="106"/>
      <c r="Y882" s="106"/>
    </row>
    <row r="883" spans="1:25" ht="15.75" customHeight="1">
      <c r="A883" s="106"/>
      <c r="B883" s="106"/>
      <c r="C883" s="106"/>
      <c r="D883" s="106"/>
      <c r="E883" s="106"/>
      <c r="F883" s="106"/>
      <c r="G883" s="106"/>
      <c r="H883" s="106"/>
      <c r="I883" s="106"/>
      <c r="J883" s="154"/>
      <c r="K883" s="106"/>
      <c r="L883" s="121"/>
      <c r="M883" s="121"/>
      <c r="N883" s="106"/>
      <c r="O883" s="106"/>
      <c r="P883" s="106"/>
      <c r="Q883" s="106"/>
      <c r="R883" s="106"/>
      <c r="S883" s="106"/>
      <c r="T883" s="106"/>
      <c r="U883" s="106"/>
      <c r="V883" s="106"/>
      <c r="W883" s="106"/>
      <c r="X883" s="106"/>
      <c r="Y883" s="106"/>
    </row>
    <row r="884" spans="1:25" ht="15.75" customHeight="1">
      <c r="A884" s="106"/>
      <c r="B884" s="106"/>
      <c r="C884" s="106"/>
      <c r="D884" s="106"/>
      <c r="E884" s="106"/>
      <c r="F884" s="106"/>
      <c r="G884" s="106"/>
      <c r="H884" s="106"/>
      <c r="I884" s="106"/>
      <c r="J884" s="154"/>
      <c r="K884" s="106"/>
      <c r="L884" s="121"/>
      <c r="M884" s="121"/>
      <c r="N884" s="106"/>
      <c r="O884" s="106"/>
      <c r="P884" s="106"/>
      <c r="Q884" s="106"/>
      <c r="R884" s="106"/>
      <c r="S884" s="106"/>
      <c r="T884" s="106"/>
      <c r="U884" s="106"/>
      <c r="V884" s="106"/>
      <c r="W884" s="106"/>
      <c r="X884" s="106"/>
      <c r="Y884" s="106"/>
    </row>
    <row r="885" spans="1:25" ht="15.75" customHeight="1">
      <c r="A885" s="106"/>
      <c r="B885" s="106"/>
      <c r="C885" s="106"/>
      <c r="D885" s="106"/>
      <c r="E885" s="106"/>
      <c r="F885" s="106"/>
      <c r="G885" s="106"/>
      <c r="H885" s="106"/>
      <c r="I885" s="106"/>
      <c r="J885" s="154"/>
      <c r="K885" s="106"/>
      <c r="L885" s="121"/>
      <c r="M885" s="121"/>
      <c r="N885" s="106"/>
      <c r="O885" s="106"/>
      <c r="P885" s="106"/>
      <c r="Q885" s="106"/>
      <c r="R885" s="106"/>
      <c r="S885" s="106"/>
      <c r="T885" s="106"/>
      <c r="U885" s="106"/>
      <c r="V885" s="106"/>
      <c r="W885" s="106"/>
      <c r="X885" s="106"/>
      <c r="Y885" s="106"/>
    </row>
    <row r="886" spans="1:25" ht="15.75" customHeight="1">
      <c r="A886" s="106"/>
      <c r="B886" s="106"/>
      <c r="C886" s="106"/>
      <c r="D886" s="106"/>
      <c r="E886" s="106"/>
      <c r="F886" s="106"/>
      <c r="G886" s="106"/>
      <c r="H886" s="106"/>
      <c r="I886" s="106"/>
      <c r="J886" s="154"/>
      <c r="K886" s="106"/>
      <c r="L886" s="121"/>
      <c r="M886" s="121"/>
      <c r="N886" s="106"/>
      <c r="O886" s="106"/>
      <c r="P886" s="106"/>
      <c r="Q886" s="106"/>
      <c r="R886" s="106"/>
      <c r="S886" s="106"/>
      <c r="T886" s="106"/>
      <c r="U886" s="106"/>
      <c r="V886" s="106"/>
      <c r="W886" s="106"/>
      <c r="X886" s="106"/>
      <c r="Y886" s="106"/>
    </row>
    <row r="887" spans="1:25" ht="15.75" customHeight="1">
      <c r="A887" s="106"/>
      <c r="B887" s="106"/>
      <c r="C887" s="106"/>
      <c r="D887" s="106"/>
      <c r="E887" s="106"/>
      <c r="F887" s="106"/>
      <c r="G887" s="106"/>
      <c r="H887" s="106"/>
      <c r="I887" s="106"/>
      <c r="J887" s="154"/>
      <c r="K887" s="106"/>
      <c r="L887" s="121"/>
      <c r="M887" s="121"/>
      <c r="N887" s="106"/>
      <c r="O887" s="106"/>
      <c r="P887" s="106"/>
      <c r="Q887" s="106"/>
      <c r="R887" s="106"/>
      <c r="S887" s="106"/>
      <c r="T887" s="106"/>
      <c r="U887" s="106"/>
      <c r="V887" s="106"/>
      <c r="W887" s="106"/>
      <c r="X887" s="106"/>
      <c r="Y887" s="106"/>
    </row>
    <row r="888" spans="1:25" ht="15.75" customHeight="1">
      <c r="A888" s="106"/>
      <c r="B888" s="106"/>
      <c r="C888" s="106"/>
      <c r="D888" s="106"/>
      <c r="E888" s="106"/>
      <c r="F888" s="106"/>
      <c r="G888" s="106"/>
      <c r="H888" s="106"/>
      <c r="I888" s="106"/>
      <c r="J888" s="154"/>
      <c r="K888" s="106"/>
      <c r="L888" s="121"/>
      <c r="M888" s="121"/>
      <c r="N888" s="106"/>
      <c r="O888" s="106"/>
      <c r="P888" s="106"/>
      <c r="Q888" s="106"/>
      <c r="R888" s="106"/>
      <c r="S888" s="106"/>
      <c r="T888" s="106"/>
      <c r="U888" s="106"/>
      <c r="V888" s="106"/>
      <c r="W888" s="106"/>
      <c r="X888" s="106"/>
      <c r="Y888" s="106"/>
    </row>
    <row r="889" spans="1:25" ht="15.75" customHeight="1">
      <c r="A889" s="106"/>
      <c r="B889" s="106"/>
      <c r="C889" s="106"/>
      <c r="D889" s="106"/>
      <c r="E889" s="106"/>
      <c r="F889" s="106"/>
      <c r="G889" s="106"/>
      <c r="H889" s="106"/>
      <c r="I889" s="106"/>
      <c r="J889" s="154"/>
      <c r="K889" s="106"/>
      <c r="L889" s="121"/>
      <c r="M889" s="121"/>
      <c r="N889" s="106"/>
      <c r="O889" s="106"/>
      <c r="P889" s="106"/>
      <c r="Q889" s="106"/>
      <c r="R889" s="106"/>
      <c r="S889" s="106"/>
      <c r="T889" s="106"/>
      <c r="U889" s="106"/>
      <c r="V889" s="106"/>
      <c r="W889" s="106"/>
      <c r="X889" s="106"/>
      <c r="Y889" s="106"/>
    </row>
    <row r="890" spans="1:25" ht="15.75" customHeight="1">
      <c r="A890" s="106"/>
      <c r="B890" s="106"/>
      <c r="C890" s="106"/>
      <c r="D890" s="106"/>
      <c r="E890" s="106"/>
      <c r="F890" s="106"/>
      <c r="G890" s="106"/>
      <c r="H890" s="106"/>
      <c r="I890" s="106"/>
      <c r="J890" s="154"/>
      <c r="K890" s="106"/>
      <c r="L890" s="121"/>
      <c r="M890" s="121"/>
      <c r="N890" s="106"/>
      <c r="O890" s="106"/>
      <c r="P890" s="106"/>
      <c r="Q890" s="106"/>
      <c r="R890" s="106"/>
      <c r="S890" s="106"/>
      <c r="T890" s="106"/>
      <c r="U890" s="106"/>
      <c r="V890" s="106"/>
      <c r="W890" s="106"/>
      <c r="X890" s="106"/>
      <c r="Y890" s="106"/>
    </row>
    <row r="891" spans="1:25" ht="15.75" customHeight="1">
      <c r="A891" s="106"/>
      <c r="B891" s="106"/>
      <c r="C891" s="106"/>
      <c r="D891" s="106"/>
      <c r="E891" s="106"/>
      <c r="F891" s="106"/>
      <c r="G891" s="106"/>
      <c r="H891" s="106"/>
      <c r="I891" s="106"/>
      <c r="J891" s="154"/>
      <c r="K891" s="106"/>
      <c r="L891" s="121"/>
      <c r="M891" s="121"/>
      <c r="N891" s="106"/>
      <c r="O891" s="106"/>
      <c r="P891" s="106"/>
      <c r="Q891" s="106"/>
      <c r="R891" s="106"/>
      <c r="S891" s="106"/>
      <c r="T891" s="106"/>
      <c r="U891" s="106"/>
      <c r="V891" s="106"/>
      <c r="W891" s="106"/>
      <c r="X891" s="106"/>
      <c r="Y891" s="106"/>
    </row>
    <row r="892" spans="1:25" ht="15.75" customHeight="1">
      <c r="A892" s="106"/>
      <c r="B892" s="106"/>
      <c r="C892" s="106"/>
      <c r="D892" s="106"/>
      <c r="E892" s="106"/>
      <c r="F892" s="106"/>
      <c r="G892" s="106"/>
      <c r="H892" s="106"/>
      <c r="I892" s="106"/>
      <c r="J892" s="154"/>
      <c r="K892" s="106"/>
      <c r="L892" s="121"/>
      <c r="M892" s="121"/>
      <c r="N892" s="106"/>
      <c r="O892" s="106"/>
      <c r="P892" s="106"/>
      <c r="Q892" s="106"/>
      <c r="R892" s="106"/>
      <c r="S892" s="106"/>
      <c r="T892" s="106"/>
      <c r="U892" s="106"/>
      <c r="V892" s="106"/>
      <c r="W892" s="106"/>
      <c r="X892" s="106"/>
      <c r="Y892" s="106"/>
    </row>
    <row r="893" spans="1:25" ht="15.75" customHeight="1">
      <c r="A893" s="106"/>
      <c r="B893" s="106"/>
      <c r="C893" s="106"/>
      <c r="D893" s="106"/>
      <c r="E893" s="106"/>
      <c r="F893" s="106"/>
      <c r="G893" s="106"/>
      <c r="H893" s="106"/>
      <c r="I893" s="106"/>
      <c r="J893" s="154"/>
      <c r="K893" s="106"/>
      <c r="L893" s="121"/>
      <c r="M893" s="121"/>
      <c r="N893" s="106"/>
      <c r="O893" s="106"/>
      <c r="P893" s="106"/>
      <c r="Q893" s="106"/>
      <c r="R893" s="106"/>
      <c r="S893" s="106"/>
      <c r="T893" s="106"/>
      <c r="U893" s="106"/>
      <c r="V893" s="106"/>
      <c r="W893" s="106"/>
      <c r="X893" s="106"/>
      <c r="Y893" s="106"/>
    </row>
    <row r="894" spans="1:25" ht="15.75" customHeight="1">
      <c r="A894" s="106"/>
      <c r="B894" s="106"/>
      <c r="C894" s="106"/>
      <c r="D894" s="106"/>
      <c r="E894" s="106"/>
      <c r="F894" s="106"/>
      <c r="G894" s="106"/>
      <c r="H894" s="106"/>
      <c r="I894" s="106"/>
      <c r="J894" s="154"/>
      <c r="K894" s="106"/>
      <c r="L894" s="121"/>
      <c r="M894" s="121"/>
      <c r="N894" s="106"/>
      <c r="O894" s="106"/>
      <c r="P894" s="106"/>
      <c r="Q894" s="106"/>
      <c r="R894" s="106"/>
      <c r="S894" s="106"/>
      <c r="T894" s="106"/>
      <c r="U894" s="106"/>
      <c r="V894" s="106"/>
      <c r="W894" s="106"/>
      <c r="X894" s="106"/>
      <c r="Y894" s="106"/>
    </row>
    <row r="895" spans="1:25" ht="15.75" customHeight="1">
      <c r="A895" s="106"/>
      <c r="B895" s="106"/>
      <c r="C895" s="106"/>
      <c r="D895" s="106"/>
      <c r="E895" s="106"/>
      <c r="F895" s="106"/>
      <c r="G895" s="106"/>
      <c r="H895" s="106"/>
      <c r="I895" s="106"/>
      <c r="J895" s="154"/>
      <c r="K895" s="106"/>
      <c r="L895" s="121"/>
      <c r="M895" s="121"/>
      <c r="N895" s="106"/>
      <c r="O895" s="106"/>
      <c r="P895" s="106"/>
      <c r="Q895" s="106"/>
      <c r="R895" s="106"/>
      <c r="S895" s="106"/>
      <c r="T895" s="106"/>
      <c r="U895" s="106"/>
      <c r="V895" s="106"/>
      <c r="W895" s="106"/>
      <c r="X895" s="106"/>
      <c r="Y895" s="106"/>
    </row>
    <row r="896" spans="1:25" ht="15.75" customHeight="1">
      <c r="A896" s="106"/>
      <c r="B896" s="106"/>
      <c r="C896" s="106"/>
      <c r="D896" s="106"/>
      <c r="E896" s="106"/>
      <c r="F896" s="106"/>
      <c r="G896" s="106"/>
      <c r="H896" s="106"/>
      <c r="I896" s="106"/>
      <c r="J896" s="154"/>
      <c r="K896" s="106"/>
      <c r="L896" s="121"/>
      <c r="M896" s="121"/>
      <c r="N896" s="106"/>
      <c r="O896" s="106"/>
      <c r="P896" s="106"/>
      <c r="Q896" s="106"/>
      <c r="R896" s="106"/>
      <c r="S896" s="106"/>
      <c r="T896" s="106"/>
      <c r="U896" s="106"/>
      <c r="V896" s="106"/>
      <c r="W896" s="106"/>
      <c r="X896" s="106"/>
      <c r="Y896" s="106"/>
    </row>
    <row r="897" spans="1:25" ht="15.75" customHeight="1">
      <c r="A897" s="106"/>
      <c r="B897" s="106"/>
      <c r="C897" s="106"/>
      <c r="D897" s="106"/>
      <c r="E897" s="106"/>
      <c r="F897" s="106"/>
      <c r="G897" s="106"/>
      <c r="H897" s="106"/>
      <c r="I897" s="106"/>
      <c r="J897" s="154"/>
      <c r="K897" s="106"/>
      <c r="L897" s="121"/>
      <c r="M897" s="121"/>
      <c r="N897" s="106"/>
      <c r="O897" s="106"/>
      <c r="P897" s="106"/>
      <c r="Q897" s="106"/>
      <c r="R897" s="106"/>
      <c r="S897" s="106"/>
      <c r="T897" s="106"/>
      <c r="U897" s="106"/>
      <c r="V897" s="106"/>
      <c r="W897" s="106"/>
      <c r="X897" s="106"/>
      <c r="Y897" s="106"/>
    </row>
    <row r="898" spans="1:25" ht="15.75" customHeight="1">
      <c r="A898" s="106"/>
      <c r="B898" s="106"/>
      <c r="C898" s="106"/>
      <c r="D898" s="106"/>
      <c r="E898" s="106"/>
      <c r="F898" s="106"/>
      <c r="G898" s="106"/>
      <c r="H898" s="106"/>
      <c r="I898" s="106"/>
      <c r="J898" s="154"/>
      <c r="K898" s="106"/>
      <c r="L898" s="121"/>
      <c r="M898" s="121"/>
      <c r="N898" s="106"/>
      <c r="O898" s="106"/>
      <c r="P898" s="106"/>
      <c r="Q898" s="106"/>
      <c r="R898" s="106"/>
      <c r="S898" s="106"/>
      <c r="T898" s="106"/>
      <c r="U898" s="106"/>
      <c r="V898" s="106"/>
      <c r="W898" s="106"/>
      <c r="X898" s="106"/>
      <c r="Y898" s="106"/>
    </row>
    <row r="899" spans="1:25" ht="15.75" customHeight="1">
      <c r="A899" s="106"/>
      <c r="B899" s="106"/>
      <c r="C899" s="106"/>
      <c r="D899" s="106"/>
      <c r="E899" s="106"/>
      <c r="F899" s="106"/>
      <c r="G899" s="106"/>
      <c r="H899" s="106"/>
      <c r="I899" s="106"/>
      <c r="J899" s="154"/>
      <c r="K899" s="106"/>
      <c r="L899" s="121"/>
      <c r="M899" s="121"/>
      <c r="N899" s="106"/>
      <c r="O899" s="106"/>
      <c r="P899" s="106"/>
      <c r="Q899" s="106"/>
      <c r="R899" s="106"/>
      <c r="S899" s="106"/>
      <c r="T899" s="106"/>
      <c r="U899" s="106"/>
      <c r="V899" s="106"/>
      <c r="W899" s="106"/>
      <c r="X899" s="106"/>
      <c r="Y899" s="106"/>
    </row>
    <row r="900" spans="1:25" ht="15.75" customHeight="1">
      <c r="A900" s="106"/>
      <c r="B900" s="106"/>
      <c r="C900" s="106"/>
      <c r="D900" s="106"/>
      <c r="E900" s="106"/>
      <c r="F900" s="106"/>
      <c r="G900" s="106"/>
      <c r="H900" s="106"/>
      <c r="I900" s="106"/>
      <c r="J900" s="154"/>
      <c r="K900" s="106"/>
      <c r="L900" s="121"/>
      <c r="M900" s="121"/>
      <c r="N900" s="106"/>
      <c r="O900" s="106"/>
      <c r="P900" s="106"/>
      <c r="Q900" s="106"/>
      <c r="R900" s="106"/>
      <c r="S900" s="106"/>
      <c r="T900" s="106"/>
      <c r="U900" s="106"/>
      <c r="V900" s="106"/>
      <c r="W900" s="106"/>
      <c r="X900" s="106"/>
      <c r="Y900" s="106"/>
    </row>
    <row r="901" spans="1:25" ht="15.75" customHeight="1">
      <c r="A901" s="106"/>
      <c r="B901" s="106"/>
      <c r="C901" s="106"/>
      <c r="D901" s="106"/>
      <c r="E901" s="106"/>
      <c r="F901" s="106"/>
      <c r="G901" s="106"/>
      <c r="H901" s="106"/>
      <c r="I901" s="106"/>
      <c r="J901" s="154"/>
      <c r="K901" s="106"/>
      <c r="L901" s="121"/>
      <c r="M901" s="121"/>
      <c r="N901" s="106"/>
      <c r="O901" s="106"/>
      <c r="P901" s="106"/>
      <c r="Q901" s="106"/>
      <c r="R901" s="106"/>
      <c r="S901" s="106"/>
      <c r="T901" s="106"/>
      <c r="U901" s="106"/>
      <c r="V901" s="106"/>
      <c r="W901" s="106"/>
      <c r="X901" s="106"/>
      <c r="Y901" s="106"/>
    </row>
    <row r="902" spans="1:25" ht="15.75" customHeight="1">
      <c r="A902" s="106"/>
      <c r="B902" s="106"/>
      <c r="C902" s="106"/>
      <c r="D902" s="106"/>
      <c r="E902" s="106"/>
      <c r="F902" s="106"/>
      <c r="G902" s="106"/>
      <c r="H902" s="106"/>
      <c r="I902" s="106"/>
      <c r="J902" s="154"/>
      <c r="K902" s="106"/>
      <c r="L902" s="121"/>
      <c r="M902" s="121"/>
      <c r="N902" s="106"/>
      <c r="O902" s="106"/>
      <c r="P902" s="106"/>
      <c r="Q902" s="106"/>
      <c r="R902" s="106"/>
      <c r="S902" s="106"/>
      <c r="T902" s="106"/>
      <c r="U902" s="106"/>
      <c r="V902" s="106"/>
      <c r="W902" s="106"/>
      <c r="X902" s="106"/>
      <c r="Y902" s="106"/>
    </row>
    <row r="903" spans="1:25" ht="15.75" customHeight="1">
      <c r="A903" s="106"/>
      <c r="B903" s="106"/>
      <c r="C903" s="106"/>
      <c r="D903" s="106"/>
      <c r="E903" s="106"/>
      <c r="F903" s="106"/>
      <c r="G903" s="106"/>
      <c r="H903" s="106"/>
      <c r="I903" s="106"/>
      <c r="J903" s="154"/>
      <c r="K903" s="106"/>
      <c r="L903" s="121"/>
      <c r="M903" s="121"/>
      <c r="N903" s="106"/>
      <c r="O903" s="106"/>
      <c r="P903" s="106"/>
      <c r="Q903" s="106"/>
      <c r="R903" s="106"/>
      <c r="S903" s="106"/>
      <c r="T903" s="106"/>
      <c r="U903" s="106"/>
      <c r="V903" s="106"/>
      <c r="W903" s="106"/>
      <c r="X903" s="106"/>
      <c r="Y903" s="106"/>
    </row>
    <row r="904" spans="1:25" ht="15.75" customHeight="1">
      <c r="A904" s="106"/>
      <c r="B904" s="106"/>
      <c r="C904" s="106"/>
      <c r="D904" s="106"/>
      <c r="E904" s="106"/>
      <c r="F904" s="106"/>
      <c r="G904" s="106"/>
      <c r="H904" s="106"/>
      <c r="I904" s="106"/>
      <c r="J904" s="154"/>
      <c r="K904" s="106"/>
      <c r="L904" s="121"/>
      <c r="M904" s="121"/>
      <c r="N904" s="106"/>
      <c r="O904" s="106"/>
      <c r="P904" s="106"/>
      <c r="Q904" s="106"/>
      <c r="R904" s="106"/>
      <c r="S904" s="106"/>
      <c r="T904" s="106"/>
      <c r="U904" s="106"/>
      <c r="V904" s="106"/>
      <c r="W904" s="106"/>
      <c r="X904" s="106"/>
      <c r="Y904" s="106"/>
    </row>
    <row r="905" spans="1:25" ht="15.75" customHeight="1">
      <c r="A905" s="106"/>
      <c r="B905" s="106"/>
      <c r="C905" s="106"/>
      <c r="D905" s="106"/>
      <c r="E905" s="106"/>
      <c r="F905" s="106"/>
      <c r="G905" s="106"/>
      <c r="H905" s="106"/>
      <c r="I905" s="106"/>
      <c r="J905" s="154"/>
      <c r="K905" s="106"/>
      <c r="L905" s="121"/>
      <c r="M905" s="121"/>
      <c r="N905" s="106"/>
      <c r="O905" s="106"/>
      <c r="P905" s="106"/>
      <c r="Q905" s="106"/>
      <c r="R905" s="106"/>
      <c r="S905" s="106"/>
      <c r="T905" s="106"/>
      <c r="U905" s="106"/>
      <c r="V905" s="106"/>
      <c r="W905" s="106"/>
      <c r="X905" s="106"/>
      <c r="Y905" s="106"/>
    </row>
    <row r="906" spans="1:25" ht="15.75" customHeight="1">
      <c r="A906" s="106"/>
      <c r="B906" s="106"/>
      <c r="C906" s="106"/>
      <c r="D906" s="106"/>
      <c r="E906" s="106"/>
      <c r="F906" s="106"/>
      <c r="G906" s="106"/>
      <c r="H906" s="106"/>
      <c r="I906" s="106"/>
      <c r="J906" s="154"/>
      <c r="K906" s="106"/>
      <c r="L906" s="121"/>
      <c r="M906" s="121"/>
      <c r="N906" s="106"/>
      <c r="O906" s="106"/>
      <c r="P906" s="106"/>
      <c r="Q906" s="106"/>
      <c r="R906" s="106"/>
      <c r="S906" s="106"/>
      <c r="T906" s="106"/>
      <c r="U906" s="106"/>
      <c r="V906" s="106"/>
      <c r="W906" s="106"/>
      <c r="X906" s="106"/>
      <c r="Y906" s="106"/>
    </row>
    <row r="907" spans="1:25" ht="15.75" customHeight="1">
      <c r="A907" s="106"/>
      <c r="B907" s="106"/>
      <c r="C907" s="106"/>
      <c r="D907" s="106"/>
      <c r="E907" s="106"/>
      <c r="F907" s="106"/>
      <c r="G907" s="106"/>
      <c r="H907" s="106"/>
      <c r="I907" s="106"/>
      <c r="J907" s="154"/>
      <c r="K907" s="106"/>
      <c r="L907" s="121"/>
      <c r="M907" s="121"/>
      <c r="N907" s="106"/>
      <c r="O907" s="106"/>
      <c r="P907" s="106"/>
      <c r="Q907" s="106"/>
      <c r="R907" s="106"/>
      <c r="S907" s="106"/>
      <c r="T907" s="106"/>
      <c r="U907" s="106"/>
      <c r="V907" s="106"/>
      <c r="W907" s="106"/>
      <c r="X907" s="106"/>
      <c r="Y907" s="106"/>
    </row>
    <row r="908" spans="1:25" ht="15.75" customHeight="1">
      <c r="A908" s="106"/>
      <c r="B908" s="106"/>
      <c r="C908" s="106"/>
      <c r="D908" s="106"/>
      <c r="E908" s="106"/>
      <c r="F908" s="106"/>
      <c r="G908" s="106"/>
      <c r="H908" s="106"/>
      <c r="I908" s="106"/>
      <c r="J908" s="154"/>
      <c r="K908" s="106"/>
      <c r="L908" s="121"/>
      <c r="M908" s="121"/>
      <c r="N908" s="106"/>
      <c r="O908" s="106"/>
      <c r="P908" s="106"/>
      <c r="Q908" s="106"/>
      <c r="R908" s="106"/>
      <c r="S908" s="106"/>
      <c r="T908" s="106"/>
      <c r="U908" s="106"/>
      <c r="V908" s="106"/>
      <c r="W908" s="106"/>
      <c r="X908" s="106"/>
      <c r="Y908" s="106"/>
    </row>
    <row r="909" spans="1:25" ht="15.75" customHeight="1">
      <c r="A909" s="106"/>
      <c r="B909" s="106"/>
      <c r="C909" s="106"/>
      <c r="D909" s="106"/>
      <c r="E909" s="106"/>
      <c r="F909" s="106"/>
      <c r="G909" s="106"/>
      <c r="H909" s="106"/>
      <c r="I909" s="106"/>
      <c r="J909" s="154"/>
      <c r="K909" s="106"/>
      <c r="L909" s="121"/>
      <c r="M909" s="121"/>
      <c r="N909" s="106"/>
      <c r="O909" s="106"/>
      <c r="P909" s="106"/>
      <c r="Q909" s="106"/>
      <c r="R909" s="106"/>
      <c r="S909" s="106"/>
      <c r="T909" s="106"/>
      <c r="U909" s="106"/>
      <c r="V909" s="106"/>
      <c r="W909" s="106"/>
      <c r="X909" s="106"/>
      <c r="Y909" s="106"/>
    </row>
    <row r="910" spans="1:25" ht="15.75" customHeight="1">
      <c r="A910" s="106"/>
      <c r="B910" s="106"/>
      <c r="C910" s="106"/>
      <c r="D910" s="106"/>
      <c r="E910" s="106"/>
      <c r="F910" s="106"/>
      <c r="G910" s="106"/>
      <c r="H910" s="106"/>
      <c r="I910" s="106"/>
      <c r="J910" s="154"/>
      <c r="K910" s="106"/>
      <c r="L910" s="121"/>
      <c r="M910" s="121"/>
      <c r="N910" s="106"/>
      <c r="O910" s="106"/>
      <c r="P910" s="106"/>
      <c r="Q910" s="106"/>
      <c r="R910" s="106"/>
      <c r="S910" s="106"/>
      <c r="T910" s="106"/>
      <c r="U910" s="106"/>
      <c r="V910" s="106"/>
      <c r="W910" s="106"/>
      <c r="X910" s="106"/>
      <c r="Y910" s="106"/>
    </row>
    <row r="911" spans="1:25" ht="15.75" customHeight="1">
      <c r="A911" s="106"/>
      <c r="B911" s="106"/>
      <c r="C911" s="106"/>
      <c r="D911" s="106"/>
      <c r="E911" s="106"/>
      <c r="F911" s="106"/>
      <c r="G911" s="106"/>
      <c r="H911" s="106"/>
      <c r="I911" s="106"/>
      <c r="J911" s="154"/>
      <c r="K911" s="106"/>
      <c r="L911" s="121"/>
      <c r="M911" s="121"/>
      <c r="N911" s="106"/>
      <c r="O911" s="106"/>
      <c r="P911" s="106"/>
      <c r="Q911" s="106"/>
      <c r="R911" s="106"/>
      <c r="S911" s="106"/>
      <c r="T911" s="106"/>
      <c r="U911" s="106"/>
      <c r="V911" s="106"/>
      <c r="W911" s="106"/>
      <c r="X911" s="106"/>
      <c r="Y911" s="106"/>
    </row>
    <row r="912" spans="1:25" ht="15.75" customHeight="1">
      <c r="A912" s="106"/>
      <c r="B912" s="106"/>
      <c r="C912" s="106"/>
      <c r="D912" s="106"/>
      <c r="E912" s="106"/>
      <c r="F912" s="106"/>
      <c r="G912" s="106"/>
      <c r="H912" s="106"/>
      <c r="I912" s="106"/>
      <c r="J912" s="154"/>
      <c r="K912" s="106"/>
      <c r="L912" s="121"/>
      <c r="M912" s="121"/>
      <c r="N912" s="106"/>
      <c r="O912" s="106"/>
      <c r="P912" s="106"/>
      <c r="Q912" s="106"/>
      <c r="R912" s="106"/>
      <c r="S912" s="106"/>
      <c r="T912" s="106"/>
      <c r="U912" s="106"/>
      <c r="V912" s="106"/>
      <c r="W912" s="106"/>
      <c r="X912" s="106"/>
      <c r="Y912" s="106"/>
    </row>
    <row r="913" spans="1:25" ht="15.75" customHeight="1">
      <c r="A913" s="106"/>
      <c r="B913" s="106"/>
      <c r="C913" s="106"/>
      <c r="D913" s="106"/>
      <c r="E913" s="106"/>
      <c r="F913" s="106"/>
      <c r="G913" s="106"/>
      <c r="H913" s="106"/>
      <c r="I913" s="106"/>
      <c r="J913" s="154"/>
      <c r="K913" s="106"/>
      <c r="L913" s="121"/>
      <c r="M913" s="121"/>
      <c r="N913" s="106"/>
      <c r="O913" s="106"/>
      <c r="P913" s="106"/>
      <c r="Q913" s="106"/>
      <c r="R913" s="106"/>
      <c r="S913" s="106"/>
      <c r="T913" s="106"/>
      <c r="U913" s="106"/>
      <c r="V913" s="106"/>
      <c r="W913" s="106"/>
      <c r="X913" s="106"/>
      <c r="Y913" s="106"/>
    </row>
    <row r="914" spans="1:25" ht="15.75" customHeight="1">
      <c r="A914" s="106"/>
      <c r="B914" s="106"/>
      <c r="C914" s="106"/>
      <c r="D914" s="106"/>
      <c r="E914" s="106"/>
      <c r="F914" s="106"/>
      <c r="G914" s="106"/>
      <c r="H914" s="106"/>
      <c r="I914" s="106"/>
      <c r="J914" s="154"/>
      <c r="K914" s="106"/>
      <c r="L914" s="121"/>
      <c r="M914" s="121"/>
      <c r="N914" s="106"/>
      <c r="O914" s="106"/>
      <c r="P914" s="106"/>
      <c r="Q914" s="106"/>
      <c r="R914" s="106"/>
      <c r="S914" s="106"/>
      <c r="T914" s="106"/>
      <c r="U914" s="106"/>
      <c r="V914" s="106"/>
      <c r="W914" s="106"/>
      <c r="X914" s="106"/>
      <c r="Y914" s="106"/>
    </row>
    <row r="915" spans="1:25" ht="15.75" customHeight="1">
      <c r="A915" s="106"/>
      <c r="B915" s="106"/>
      <c r="C915" s="106"/>
      <c r="D915" s="106"/>
      <c r="E915" s="106"/>
      <c r="F915" s="106"/>
      <c r="G915" s="106"/>
      <c r="H915" s="106"/>
      <c r="I915" s="106"/>
      <c r="J915" s="154"/>
      <c r="K915" s="106"/>
      <c r="L915" s="121"/>
      <c r="M915" s="121"/>
      <c r="N915" s="106"/>
      <c r="O915" s="106"/>
      <c r="P915" s="106"/>
      <c r="Q915" s="106"/>
      <c r="R915" s="106"/>
      <c r="S915" s="106"/>
      <c r="T915" s="106"/>
      <c r="U915" s="106"/>
      <c r="V915" s="106"/>
      <c r="W915" s="106"/>
      <c r="X915" s="106"/>
      <c r="Y915" s="106"/>
    </row>
    <row r="916" spans="1:25" ht="15.75" customHeight="1">
      <c r="A916" s="106"/>
      <c r="B916" s="106"/>
      <c r="C916" s="106"/>
      <c r="D916" s="106"/>
      <c r="E916" s="106"/>
      <c r="F916" s="106"/>
      <c r="G916" s="106"/>
      <c r="H916" s="106"/>
      <c r="I916" s="106"/>
      <c r="J916" s="154"/>
      <c r="K916" s="106"/>
      <c r="L916" s="121"/>
      <c r="M916" s="121"/>
      <c r="N916" s="106"/>
      <c r="O916" s="106"/>
      <c r="P916" s="106"/>
      <c r="Q916" s="106"/>
      <c r="R916" s="106"/>
      <c r="S916" s="106"/>
      <c r="T916" s="106"/>
      <c r="U916" s="106"/>
      <c r="V916" s="106"/>
      <c r="W916" s="106"/>
      <c r="X916" s="106"/>
      <c r="Y916" s="106"/>
    </row>
    <row r="917" spans="1:25" ht="15.75" customHeight="1">
      <c r="A917" s="106"/>
      <c r="B917" s="106"/>
      <c r="C917" s="106"/>
      <c r="D917" s="106"/>
      <c r="E917" s="106"/>
      <c r="F917" s="106"/>
      <c r="G917" s="106"/>
      <c r="H917" s="106"/>
      <c r="I917" s="106"/>
      <c r="J917" s="154"/>
      <c r="K917" s="106"/>
      <c r="L917" s="121"/>
      <c r="M917" s="121"/>
      <c r="N917" s="106"/>
      <c r="O917" s="106"/>
      <c r="P917" s="106"/>
      <c r="Q917" s="106"/>
      <c r="R917" s="106"/>
      <c r="S917" s="106"/>
      <c r="T917" s="106"/>
      <c r="U917" s="106"/>
      <c r="V917" s="106"/>
      <c r="W917" s="106"/>
      <c r="X917" s="106"/>
      <c r="Y917" s="106"/>
    </row>
    <row r="918" spans="1:25" ht="15.75" customHeight="1">
      <c r="A918" s="106"/>
      <c r="B918" s="106"/>
      <c r="C918" s="106"/>
      <c r="D918" s="106"/>
      <c r="E918" s="106"/>
      <c r="F918" s="106"/>
      <c r="G918" s="106"/>
      <c r="H918" s="106"/>
      <c r="I918" s="106"/>
      <c r="J918" s="154"/>
      <c r="K918" s="106"/>
      <c r="L918" s="121"/>
      <c r="M918" s="121"/>
      <c r="N918" s="106"/>
      <c r="O918" s="106"/>
      <c r="P918" s="106"/>
      <c r="Q918" s="106"/>
      <c r="R918" s="106"/>
      <c r="S918" s="106"/>
      <c r="T918" s="106"/>
      <c r="U918" s="106"/>
      <c r="V918" s="106"/>
      <c r="W918" s="106"/>
      <c r="X918" s="106"/>
      <c r="Y918" s="106"/>
    </row>
    <row r="919" spans="1:25" ht="15.75" customHeight="1">
      <c r="A919" s="106"/>
      <c r="B919" s="106"/>
      <c r="C919" s="106"/>
      <c r="D919" s="106"/>
      <c r="E919" s="106"/>
      <c r="F919" s="106"/>
      <c r="G919" s="106"/>
      <c r="H919" s="106"/>
      <c r="I919" s="106"/>
      <c r="J919" s="154"/>
      <c r="K919" s="106"/>
      <c r="L919" s="121"/>
      <c r="M919" s="121"/>
      <c r="N919" s="106"/>
      <c r="O919" s="106"/>
      <c r="P919" s="106"/>
      <c r="Q919" s="106"/>
      <c r="R919" s="106"/>
      <c r="S919" s="106"/>
      <c r="T919" s="106"/>
      <c r="U919" s="106"/>
      <c r="V919" s="106"/>
      <c r="W919" s="106"/>
      <c r="X919" s="106"/>
      <c r="Y919" s="106"/>
    </row>
    <row r="920" spans="1:25" ht="15.75" customHeight="1">
      <c r="A920" s="106"/>
      <c r="B920" s="106"/>
      <c r="C920" s="106"/>
      <c r="D920" s="106"/>
      <c r="E920" s="106"/>
      <c r="F920" s="106"/>
      <c r="G920" s="106"/>
      <c r="H920" s="106"/>
      <c r="I920" s="106"/>
      <c r="J920" s="154"/>
      <c r="K920" s="106"/>
      <c r="L920" s="121"/>
      <c r="M920" s="121"/>
      <c r="N920" s="106"/>
      <c r="O920" s="106"/>
      <c r="P920" s="106"/>
      <c r="Q920" s="106"/>
      <c r="R920" s="106"/>
      <c r="S920" s="106"/>
      <c r="T920" s="106"/>
      <c r="U920" s="106"/>
      <c r="V920" s="106"/>
      <c r="W920" s="106"/>
      <c r="X920" s="106"/>
      <c r="Y920" s="106"/>
    </row>
    <row r="921" spans="1:25" ht="15.75" customHeight="1">
      <c r="A921" s="106"/>
      <c r="B921" s="106"/>
      <c r="C921" s="106"/>
      <c r="D921" s="106"/>
      <c r="E921" s="106"/>
      <c r="F921" s="106"/>
      <c r="G921" s="106"/>
      <c r="H921" s="106"/>
      <c r="I921" s="106"/>
      <c r="J921" s="154"/>
      <c r="K921" s="106"/>
      <c r="L921" s="121"/>
      <c r="M921" s="121"/>
      <c r="N921" s="106"/>
      <c r="O921" s="106"/>
      <c r="P921" s="106"/>
      <c r="Q921" s="106"/>
      <c r="R921" s="106"/>
      <c r="S921" s="106"/>
      <c r="T921" s="106"/>
      <c r="U921" s="106"/>
      <c r="V921" s="106"/>
      <c r="W921" s="106"/>
      <c r="X921" s="106"/>
      <c r="Y921" s="106"/>
    </row>
    <row r="922" spans="1:25" ht="15.75" customHeight="1">
      <c r="A922" s="106"/>
      <c r="B922" s="106"/>
      <c r="C922" s="106"/>
      <c r="D922" s="106"/>
      <c r="E922" s="106"/>
      <c r="F922" s="106"/>
      <c r="G922" s="106"/>
      <c r="H922" s="106"/>
      <c r="I922" s="106"/>
      <c r="J922" s="154"/>
      <c r="K922" s="106"/>
      <c r="L922" s="121"/>
      <c r="M922" s="121"/>
      <c r="N922" s="106"/>
      <c r="O922" s="106"/>
      <c r="P922" s="106"/>
      <c r="Q922" s="106"/>
      <c r="R922" s="106"/>
      <c r="S922" s="106"/>
      <c r="T922" s="106"/>
      <c r="U922" s="106"/>
      <c r="V922" s="106"/>
      <c r="W922" s="106"/>
      <c r="X922" s="106"/>
      <c r="Y922" s="106"/>
    </row>
    <row r="923" spans="1:25" ht="15.75" customHeight="1">
      <c r="A923" s="106"/>
      <c r="B923" s="106"/>
      <c r="C923" s="106"/>
      <c r="D923" s="106"/>
      <c r="E923" s="106"/>
      <c r="F923" s="106"/>
      <c r="G923" s="106"/>
      <c r="H923" s="106"/>
      <c r="I923" s="106"/>
      <c r="J923" s="154"/>
      <c r="K923" s="106"/>
      <c r="L923" s="121"/>
      <c r="M923" s="121"/>
      <c r="N923" s="106"/>
      <c r="O923" s="106"/>
      <c r="P923" s="106"/>
      <c r="Q923" s="106"/>
      <c r="R923" s="106"/>
      <c r="S923" s="106"/>
      <c r="T923" s="106"/>
      <c r="U923" s="106"/>
      <c r="V923" s="106"/>
      <c r="W923" s="106"/>
      <c r="X923" s="106"/>
      <c r="Y923" s="106"/>
    </row>
    <row r="924" spans="1:25" ht="15.75" customHeight="1">
      <c r="A924" s="106"/>
      <c r="B924" s="106"/>
      <c r="C924" s="106"/>
      <c r="D924" s="106"/>
      <c r="E924" s="106"/>
      <c r="F924" s="106"/>
      <c r="G924" s="106"/>
      <c r="H924" s="106"/>
      <c r="I924" s="106"/>
      <c r="J924" s="154"/>
      <c r="K924" s="106"/>
      <c r="L924" s="121"/>
      <c r="M924" s="121"/>
      <c r="N924" s="106"/>
      <c r="O924" s="106"/>
      <c r="P924" s="106"/>
      <c r="Q924" s="106"/>
      <c r="R924" s="106"/>
      <c r="S924" s="106"/>
      <c r="T924" s="106"/>
      <c r="U924" s="106"/>
      <c r="V924" s="106"/>
      <c r="W924" s="106"/>
      <c r="X924" s="106"/>
      <c r="Y924" s="106"/>
    </row>
    <row r="925" spans="1:25" ht="15.75" customHeight="1">
      <c r="A925" s="106"/>
      <c r="B925" s="106"/>
      <c r="C925" s="106"/>
      <c r="D925" s="106"/>
      <c r="E925" s="106"/>
      <c r="F925" s="106"/>
      <c r="G925" s="106"/>
      <c r="H925" s="106"/>
      <c r="I925" s="106"/>
      <c r="J925" s="154"/>
      <c r="K925" s="106"/>
      <c r="L925" s="121"/>
      <c r="M925" s="121"/>
      <c r="N925" s="106"/>
      <c r="O925" s="106"/>
      <c r="P925" s="106"/>
      <c r="Q925" s="106"/>
      <c r="R925" s="106"/>
      <c r="S925" s="106"/>
      <c r="T925" s="106"/>
      <c r="U925" s="106"/>
      <c r="V925" s="106"/>
      <c r="W925" s="106"/>
      <c r="X925" s="106"/>
      <c r="Y925" s="106"/>
    </row>
    <row r="926" spans="1:25" ht="15.75" customHeight="1">
      <c r="A926" s="106"/>
      <c r="B926" s="106"/>
      <c r="C926" s="106"/>
      <c r="D926" s="106"/>
      <c r="E926" s="106"/>
      <c r="F926" s="106"/>
      <c r="G926" s="106"/>
      <c r="H926" s="106"/>
      <c r="I926" s="106"/>
      <c r="J926" s="154"/>
      <c r="K926" s="106"/>
      <c r="L926" s="121"/>
      <c r="M926" s="121"/>
      <c r="N926" s="106"/>
      <c r="O926" s="106"/>
      <c r="P926" s="106"/>
      <c r="Q926" s="106"/>
      <c r="R926" s="106"/>
      <c r="S926" s="106"/>
      <c r="T926" s="106"/>
      <c r="U926" s="106"/>
      <c r="V926" s="106"/>
      <c r="W926" s="106"/>
      <c r="X926" s="106"/>
      <c r="Y926" s="106"/>
    </row>
    <row r="927" spans="1:25" ht="15.75" customHeight="1">
      <c r="A927" s="106"/>
      <c r="B927" s="106"/>
      <c r="C927" s="106"/>
      <c r="D927" s="106"/>
      <c r="E927" s="106"/>
      <c r="F927" s="106"/>
      <c r="G927" s="106"/>
      <c r="H927" s="106"/>
      <c r="I927" s="106"/>
      <c r="J927" s="154"/>
      <c r="K927" s="106"/>
      <c r="L927" s="121"/>
      <c r="M927" s="121"/>
      <c r="N927" s="106"/>
      <c r="O927" s="106"/>
      <c r="P927" s="106"/>
      <c r="Q927" s="106"/>
      <c r="R927" s="106"/>
      <c r="S927" s="106"/>
      <c r="T927" s="106"/>
      <c r="U927" s="106"/>
      <c r="V927" s="106"/>
      <c r="W927" s="106"/>
      <c r="X927" s="106"/>
      <c r="Y927" s="106"/>
    </row>
    <row r="928" spans="1:25" ht="15.75" customHeight="1">
      <c r="A928" s="106"/>
      <c r="B928" s="106"/>
      <c r="C928" s="106"/>
      <c r="D928" s="106"/>
      <c r="E928" s="106"/>
      <c r="F928" s="106"/>
      <c r="G928" s="106"/>
      <c r="H928" s="106"/>
      <c r="I928" s="106"/>
      <c r="J928" s="154"/>
      <c r="K928" s="106"/>
      <c r="L928" s="121"/>
      <c r="M928" s="121"/>
      <c r="N928" s="106"/>
      <c r="O928" s="106"/>
      <c r="P928" s="106"/>
      <c r="Q928" s="106"/>
      <c r="R928" s="106"/>
      <c r="S928" s="106"/>
      <c r="T928" s="106"/>
      <c r="U928" s="106"/>
      <c r="V928" s="106"/>
      <c r="W928" s="106"/>
      <c r="X928" s="106"/>
      <c r="Y928" s="106"/>
    </row>
    <row r="929" spans="1:25" ht="15.75" customHeight="1">
      <c r="A929" s="106"/>
      <c r="B929" s="106"/>
      <c r="C929" s="106"/>
      <c r="D929" s="106"/>
      <c r="E929" s="106"/>
      <c r="F929" s="106"/>
      <c r="G929" s="106"/>
      <c r="H929" s="106"/>
      <c r="I929" s="106"/>
      <c r="J929" s="154"/>
      <c r="K929" s="106"/>
      <c r="L929" s="121"/>
      <c r="M929" s="121"/>
      <c r="N929" s="106"/>
      <c r="O929" s="106"/>
      <c r="P929" s="106"/>
      <c r="Q929" s="106"/>
      <c r="R929" s="106"/>
      <c r="S929" s="106"/>
      <c r="T929" s="106"/>
      <c r="U929" s="106"/>
      <c r="V929" s="106"/>
      <c r="W929" s="106"/>
      <c r="X929" s="106"/>
      <c r="Y929" s="106"/>
    </row>
    <row r="930" spans="1:25" ht="15.75" customHeight="1">
      <c r="A930" s="106"/>
      <c r="B930" s="106"/>
      <c r="C930" s="106"/>
      <c r="D930" s="106"/>
      <c r="E930" s="106"/>
      <c r="F930" s="106"/>
      <c r="G930" s="106"/>
      <c r="H930" s="106"/>
      <c r="I930" s="106"/>
      <c r="J930" s="154"/>
      <c r="K930" s="106"/>
      <c r="L930" s="121"/>
      <c r="M930" s="121"/>
      <c r="N930" s="106"/>
      <c r="O930" s="106"/>
      <c r="P930" s="106"/>
      <c r="Q930" s="106"/>
      <c r="R930" s="106"/>
      <c r="S930" s="106"/>
      <c r="T930" s="106"/>
      <c r="U930" s="106"/>
      <c r="V930" s="106"/>
      <c r="W930" s="106"/>
      <c r="X930" s="106"/>
      <c r="Y930" s="106"/>
    </row>
    <row r="931" spans="1:25" ht="15.75" customHeight="1">
      <c r="A931" s="106"/>
      <c r="B931" s="106"/>
      <c r="C931" s="106"/>
      <c r="D931" s="106"/>
      <c r="E931" s="106"/>
      <c r="F931" s="106"/>
      <c r="G931" s="106"/>
      <c r="H931" s="106"/>
      <c r="I931" s="106"/>
      <c r="J931" s="154"/>
      <c r="K931" s="106"/>
      <c r="L931" s="121"/>
      <c r="M931" s="121"/>
      <c r="N931" s="106"/>
      <c r="O931" s="106"/>
      <c r="P931" s="106"/>
      <c r="Q931" s="106"/>
      <c r="R931" s="106"/>
      <c r="S931" s="106"/>
      <c r="T931" s="106"/>
      <c r="U931" s="106"/>
      <c r="V931" s="106"/>
      <c r="W931" s="106"/>
      <c r="X931" s="106"/>
      <c r="Y931" s="106"/>
    </row>
    <row r="932" spans="1:25" ht="15.75" customHeight="1">
      <c r="A932" s="106"/>
      <c r="B932" s="106"/>
      <c r="C932" s="106"/>
      <c r="D932" s="106"/>
      <c r="E932" s="106"/>
      <c r="F932" s="106"/>
      <c r="G932" s="106"/>
      <c r="H932" s="106"/>
      <c r="I932" s="106"/>
      <c r="J932" s="154"/>
      <c r="K932" s="106"/>
      <c r="L932" s="121"/>
      <c r="M932" s="121"/>
      <c r="N932" s="106"/>
      <c r="O932" s="106"/>
      <c r="P932" s="106"/>
      <c r="Q932" s="106"/>
      <c r="R932" s="106"/>
      <c r="S932" s="106"/>
      <c r="T932" s="106"/>
      <c r="U932" s="106"/>
      <c r="V932" s="106"/>
      <c r="W932" s="106"/>
      <c r="X932" s="106"/>
      <c r="Y932" s="106"/>
    </row>
    <row r="933" spans="1:25" ht="15.75" customHeight="1">
      <c r="A933" s="106"/>
      <c r="B933" s="106"/>
      <c r="C933" s="106"/>
      <c r="D933" s="106"/>
      <c r="E933" s="106"/>
      <c r="F933" s="106"/>
      <c r="G933" s="106"/>
      <c r="H933" s="106"/>
      <c r="I933" s="106"/>
      <c r="J933" s="154"/>
      <c r="K933" s="106"/>
      <c r="L933" s="121"/>
      <c r="M933" s="121"/>
      <c r="N933" s="106"/>
      <c r="O933" s="106"/>
      <c r="P933" s="106"/>
      <c r="Q933" s="106"/>
      <c r="R933" s="106"/>
      <c r="S933" s="106"/>
      <c r="T933" s="106"/>
      <c r="U933" s="106"/>
      <c r="V933" s="106"/>
      <c r="W933" s="106"/>
      <c r="X933" s="106"/>
      <c r="Y933" s="106"/>
    </row>
    <row r="934" spans="1:25" ht="15.75" customHeight="1">
      <c r="A934" s="106"/>
      <c r="B934" s="106"/>
      <c r="C934" s="106"/>
      <c r="D934" s="106"/>
      <c r="E934" s="106"/>
      <c r="F934" s="106"/>
      <c r="G934" s="106"/>
      <c r="H934" s="106"/>
      <c r="I934" s="106"/>
      <c r="J934" s="154"/>
      <c r="K934" s="106"/>
      <c r="L934" s="121"/>
      <c r="M934" s="121"/>
      <c r="N934" s="106"/>
      <c r="O934" s="106"/>
      <c r="P934" s="106"/>
      <c r="Q934" s="106"/>
      <c r="R934" s="106"/>
      <c r="S934" s="106"/>
      <c r="T934" s="106"/>
      <c r="U934" s="106"/>
      <c r="V934" s="106"/>
      <c r="W934" s="106"/>
      <c r="X934" s="106"/>
      <c r="Y934" s="106"/>
    </row>
    <row r="935" spans="1:25" ht="15.75" customHeight="1">
      <c r="A935" s="106"/>
      <c r="B935" s="106"/>
      <c r="C935" s="106"/>
      <c r="D935" s="106"/>
      <c r="E935" s="106"/>
      <c r="F935" s="106"/>
      <c r="G935" s="106"/>
      <c r="H935" s="106"/>
      <c r="I935" s="106"/>
      <c r="J935" s="154"/>
      <c r="K935" s="106"/>
      <c r="L935" s="121"/>
      <c r="M935" s="121"/>
      <c r="N935" s="106"/>
      <c r="O935" s="106"/>
      <c r="P935" s="106"/>
      <c r="Q935" s="106"/>
      <c r="R935" s="106"/>
      <c r="S935" s="106"/>
      <c r="T935" s="106"/>
      <c r="U935" s="106"/>
      <c r="V935" s="106"/>
      <c r="W935" s="106"/>
      <c r="X935" s="106"/>
      <c r="Y935" s="106"/>
    </row>
    <row r="936" spans="1:25" ht="15.75" customHeight="1">
      <c r="A936" s="106"/>
      <c r="B936" s="106"/>
      <c r="C936" s="106"/>
      <c r="D936" s="106"/>
      <c r="E936" s="106"/>
      <c r="F936" s="106"/>
      <c r="G936" s="106"/>
      <c r="H936" s="106"/>
      <c r="I936" s="106"/>
      <c r="J936" s="154"/>
      <c r="K936" s="106"/>
      <c r="L936" s="121"/>
      <c r="M936" s="121"/>
      <c r="N936" s="106"/>
      <c r="O936" s="106"/>
      <c r="P936" s="106"/>
      <c r="Q936" s="106"/>
      <c r="R936" s="106"/>
      <c r="S936" s="106"/>
      <c r="T936" s="106"/>
      <c r="U936" s="106"/>
      <c r="V936" s="106"/>
      <c r="W936" s="106"/>
      <c r="X936" s="106"/>
      <c r="Y936" s="106"/>
    </row>
    <row r="937" spans="1:25" ht="15.75" customHeight="1">
      <c r="A937" s="106"/>
      <c r="B937" s="106"/>
      <c r="C937" s="106"/>
      <c r="D937" s="106"/>
      <c r="E937" s="106"/>
      <c r="F937" s="106"/>
      <c r="G937" s="106"/>
      <c r="H937" s="106"/>
      <c r="I937" s="106"/>
      <c r="J937" s="154"/>
      <c r="K937" s="106"/>
      <c r="L937" s="121"/>
      <c r="M937" s="121"/>
      <c r="N937" s="106"/>
      <c r="O937" s="106"/>
      <c r="P937" s="106"/>
      <c r="Q937" s="106"/>
      <c r="R937" s="106"/>
      <c r="S937" s="106"/>
      <c r="T937" s="106"/>
      <c r="U937" s="106"/>
      <c r="V937" s="106"/>
      <c r="W937" s="106"/>
      <c r="X937" s="106"/>
      <c r="Y937" s="106"/>
    </row>
    <row r="938" spans="1:25" ht="15.75" customHeight="1">
      <c r="A938" s="106"/>
      <c r="B938" s="106"/>
      <c r="C938" s="106"/>
      <c r="D938" s="106"/>
      <c r="E938" s="106"/>
      <c r="F938" s="106"/>
      <c r="G938" s="106"/>
      <c r="H938" s="106"/>
      <c r="I938" s="106"/>
      <c r="J938" s="154"/>
      <c r="K938" s="106"/>
      <c r="L938" s="121"/>
      <c r="M938" s="121"/>
      <c r="N938" s="106"/>
      <c r="O938" s="106"/>
      <c r="P938" s="106"/>
      <c r="Q938" s="106"/>
      <c r="R938" s="106"/>
      <c r="S938" s="106"/>
      <c r="T938" s="106"/>
      <c r="U938" s="106"/>
      <c r="V938" s="106"/>
      <c r="W938" s="106"/>
      <c r="X938" s="106"/>
      <c r="Y938" s="106"/>
    </row>
    <row r="939" spans="1:25" ht="15.75" customHeight="1">
      <c r="A939" s="106"/>
      <c r="B939" s="106"/>
      <c r="C939" s="106"/>
      <c r="D939" s="106"/>
      <c r="E939" s="106"/>
      <c r="F939" s="106"/>
      <c r="G939" s="106"/>
      <c r="H939" s="106"/>
      <c r="I939" s="106"/>
      <c r="J939" s="154"/>
      <c r="K939" s="106"/>
      <c r="L939" s="121"/>
      <c r="M939" s="121"/>
      <c r="N939" s="106"/>
      <c r="O939" s="106"/>
      <c r="P939" s="106"/>
      <c r="Q939" s="106"/>
      <c r="R939" s="106"/>
      <c r="S939" s="106"/>
      <c r="T939" s="106"/>
      <c r="U939" s="106"/>
      <c r="V939" s="106"/>
      <c r="W939" s="106"/>
      <c r="X939" s="106"/>
      <c r="Y939" s="106"/>
    </row>
    <row r="940" spans="1:25" ht="15.75" customHeight="1">
      <c r="A940" s="106"/>
      <c r="B940" s="106"/>
      <c r="C940" s="106"/>
      <c r="D940" s="106"/>
      <c r="E940" s="106"/>
      <c r="F940" s="106"/>
      <c r="G940" s="106"/>
      <c r="H940" s="106"/>
      <c r="I940" s="106"/>
      <c r="J940" s="154"/>
      <c r="K940" s="106"/>
      <c r="L940" s="121"/>
      <c r="M940" s="121"/>
      <c r="N940" s="106"/>
      <c r="O940" s="106"/>
      <c r="P940" s="106"/>
      <c r="Q940" s="106"/>
      <c r="R940" s="106"/>
      <c r="S940" s="106"/>
      <c r="T940" s="106"/>
      <c r="U940" s="106"/>
      <c r="V940" s="106"/>
      <c r="W940" s="106"/>
      <c r="X940" s="106"/>
      <c r="Y940" s="106"/>
    </row>
    <row r="941" spans="1:25" ht="15.75" customHeight="1">
      <c r="A941" s="106"/>
      <c r="B941" s="106"/>
      <c r="C941" s="106"/>
      <c r="D941" s="106"/>
      <c r="E941" s="106"/>
      <c r="F941" s="106"/>
      <c r="G941" s="106"/>
      <c r="H941" s="106"/>
      <c r="I941" s="106"/>
      <c r="J941" s="154"/>
      <c r="K941" s="106"/>
      <c r="L941" s="121"/>
      <c r="M941" s="121"/>
      <c r="N941" s="106"/>
      <c r="O941" s="106"/>
      <c r="P941" s="106"/>
      <c r="Q941" s="106"/>
      <c r="R941" s="106"/>
      <c r="S941" s="106"/>
      <c r="T941" s="106"/>
      <c r="U941" s="106"/>
      <c r="V941" s="106"/>
      <c r="W941" s="106"/>
      <c r="X941" s="106"/>
      <c r="Y941" s="106"/>
    </row>
    <row r="942" spans="1:25" ht="15.75" customHeight="1">
      <c r="A942" s="106"/>
      <c r="B942" s="106"/>
      <c r="C942" s="106"/>
      <c r="D942" s="106"/>
      <c r="E942" s="106"/>
      <c r="F942" s="106"/>
      <c r="G942" s="106"/>
      <c r="H942" s="106"/>
      <c r="I942" s="106"/>
      <c r="J942" s="154"/>
      <c r="K942" s="106"/>
      <c r="L942" s="121"/>
      <c r="M942" s="121"/>
      <c r="N942" s="106"/>
      <c r="O942" s="106"/>
      <c r="P942" s="106"/>
      <c r="Q942" s="106"/>
      <c r="R942" s="106"/>
      <c r="S942" s="106"/>
      <c r="T942" s="106"/>
      <c r="U942" s="106"/>
      <c r="V942" s="106"/>
      <c r="W942" s="106"/>
      <c r="X942" s="106"/>
      <c r="Y942" s="106"/>
    </row>
    <row r="943" spans="1:25" ht="15.75" customHeight="1">
      <c r="A943" s="106"/>
      <c r="B943" s="106"/>
      <c r="C943" s="106"/>
      <c r="D943" s="106"/>
      <c r="E943" s="106"/>
      <c r="F943" s="106"/>
      <c r="G943" s="106"/>
      <c r="H943" s="106"/>
      <c r="I943" s="106"/>
      <c r="J943" s="154"/>
      <c r="K943" s="106"/>
      <c r="L943" s="121"/>
      <c r="M943" s="121"/>
      <c r="N943" s="106"/>
      <c r="O943" s="106"/>
      <c r="P943" s="106"/>
      <c r="Q943" s="106"/>
      <c r="R943" s="106"/>
      <c r="S943" s="106"/>
      <c r="T943" s="106"/>
      <c r="U943" s="106"/>
      <c r="V943" s="106"/>
      <c r="W943" s="106"/>
      <c r="X943" s="106"/>
      <c r="Y943" s="106"/>
    </row>
    <row r="944" spans="1:25" ht="15.75" customHeight="1">
      <c r="A944" s="106"/>
      <c r="B944" s="106"/>
      <c r="C944" s="106"/>
      <c r="D944" s="106"/>
      <c r="E944" s="106"/>
      <c r="F944" s="106"/>
      <c r="G944" s="106"/>
      <c r="H944" s="106"/>
      <c r="I944" s="106"/>
      <c r="J944" s="154"/>
      <c r="K944" s="106"/>
      <c r="L944" s="121"/>
      <c r="M944" s="121"/>
      <c r="N944" s="106"/>
      <c r="O944" s="106"/>
      <c r="P944" s="106"/>
      <c r="Q944" s="106"/>
      <c r="R944" s="106"/>
      <c r="S944" s="106"/>
      <c r="T944" s="106"/>
      <c r="U944" s="106"/>
      <c r="V944" s="106"/>
      <c r="W944" s="106"/>
      <c r="X944" s="106"/>
      <c r="Y944" s="106"/>
    </row>
    <row r="945" spans="1:25" ht="15.75" customHeight="1">
      <c r="A945" s="106"/>
      <c r="B945" s="106"/>
      <c r="C945" s="106"/>
      <c r="D945" s="106"/>
      <c r="E945" s="106"/>
      <c r="F945" s="106"/>
      <c r="G945" s="106"/>
      <c r="H945" s="106"/>
      <c r="I945" s="106"/>
      <c r="J945" s="154"/>
      <c r="K945" s="106"/>
      <c r="L945" s="121"/>
      <c r="M945" s="121"/>
      <c r="N945" s="106"/>
      <c r="O945" s="106"/>
      <c r="P945" s="106"/>
      <c r="Q945" s="106"/>
      <c r="R945" s="106"/>
      <c r="S945" s="106"/>
      <c r="T945" s="106"/>
      <c r="U945" s="106"/>
      <c r="V945" s="106"/>
      <c r="W945" s="106"/>
      <c r="X945" s="106"/>
      <c r="Y945" s="106"/>
    </row>
    <row r="946" spans="1:25" ht="15.75" customHeight="1">
      <c r="A946" s="106"/>
      <c r="B946" s="106"/>
      <c r="C946" s="106"/>
      <c r="D946" s="106"/>
      <c r="E946" s="106"/>
      <c r="F946" s="106"/>
      <c r="G946" s="106"/>
      <c r="H946" s="106"/>
      <c r="I946" s="106"/>
      <c r="J946" s="154"/>
      <c r="K946" s="106"/>
      <c r="L946" s="121"/>
      <c r="M946" s="121"/>
      <c r="N946" s="106"/>
      <c r="O946" s="106"/>
      <c r="P946" s="106"/>
      <c r="Q946" s="106"/>
      <c r="R946" s="106"/>
      <c r="S946" s="106"/>
      <c r="T946" s="106"/>
      <c r="U946" s="106"/>
      <c r="V946" s="106"/>
      <c r="W946" s="106"/>
      <c r="X946" s="106"/>
      <c r="Y946" s="106"/>
    </row>
    <row r="947" spans="1:25" ht="15.75" customHeight="1">
      <c r="A947" s="106"/>
      <c r="B947" s="106"/>
      <c r="C947" s="106"/>
      <c r="D947" s="106"/>
      <c r="E947" s="106"/>
      <c r="F947" s="106"/>
      <c r="G947" s="106"/>
      <c r="H947" s="106"/>
      <c r="I947" s="106"/>
      <c r="J947" s="154"/>
      <c r="K947" s="106"/>
      <c r="L947" s="121"/>
      <c r="M947" s="121"/>
      <c r="N947" s="106"/>
      <c r="O947" s="106"/>
      <c r="P947" s="106"/>
      <c r="Q947" s="106"/>
      <c r="R947" s="106"/>
      <c r="S947" s="106"/>
      <c r="T947" s="106"/>
      <c r="U947" s="106"/>
      <c r="V947" s="106"/>
      <c r="W947" s="106"/>
      <c r="X947" s="106"/>
      <c r="Y947" s="106"/>
    </row>
    <row r="948" spans="1:25" ht="15.75" customHeight="1">
      <c r="A948" s="106"/>
      <c r="B948" s="106"/>
      <c r="C948" s="106"/>
      <c r="D948" s="106"/>
      <c r="E948" s="106"/>
      <c r="F948" s="106"/>
      <c r="G948" s="106"/>
      <c r="H948" s="106"/>
      <c r="I948" s="106"/>
      <c r="J948" s="154"/>
      <c r="K948" s="106"/>
      <c r="L948" s="121"/>
      <c r="M948" s="121"/>
      <c r="N948" s="106"/>
      <c r="O948" s="106"/>
      <c r="P948" s="106"/>
      <c r="Q948" s="106"/>
      <c r="R948" s="106"/>
      <c r="S948" s="106"/>
      <c r="T948" s="106"/>
      <c r="U948" s="106"/>
      <c r="V948" s="106"/>
      <c r="W948" s="106"/>
      <c r="X948" s="106"/>
      <c r="Y948" s="106"/>
    </row>
    <row r="949" spans="1:25" ht="15.75" customHeight="1">
      <c r="A949" s="106"/>
      <c r="B949" s="106"/>
      <c r="C949" s="106"/>
      <c r="D949" s="106"/>
      <c r="E949" s="106"/>
      <c r="F949" s="106"/>
      <c r="G949" s="106"/>
      <c r="H949" s="106"/>
      <c r="I949" s="106"/>
      <c r="J949" s="154"/>
      <c r="K949" s="106"/>
      <c r="L949" s="121"/>
      <c r="M949" s="121"/>
      <c r="N949" s="106"/>
      <c r="O949" s="106"/>
      <c r="P949" s="106"/>
      <c r="Q949" s="106"/>
      <c r="R949" s="106"/>
      <c r="S949" s="106"/>
      <c r="T949" s="106"/>
      <c r="U949" s="106"/>
      <c r="V949" s="106"/>
      <c r="W949" s="106"/>
      <c r="X949" s="106"/>
      <c r="Y949" s="106"/>
    </row>
    <row r="950" spans="1:25" ht="15.75" customHeight="1">
      <c r="A950" s="106"/>
      <c r="B950" s="106"/>
      <c r="C950" s="106"/>
      <c r="D950" s="106"/>
      <c r="E950" s="106"/>
      <c r="F950" s="106"/>
      <c r="G950" s="106"/>
      <c r="H950" s="106"/>
      <c r="I950" s="106"/>
      <c r="J950" s="154"/>
      <c r="K950" s="106"/>
      <c r="L950" s="121"/>
      <c r="M950" s="121"/>
      <c r="N950" s="106"/>
      <c r="O950" s="106"/>
      <c r="P950" s="106"/>
      <c r="Q950" s="106"/>
      <c r="R950" s="106"/>
      <c r="S950" s="106"/>
      <c r="T950" s="106"/>
      <c r="U950" s="106"/>
      <c r="V950" s="106"/>
      <c r="W950" s="106"/>
      <c r="X950" s="106"/>
      <c r="Y950" s="106"/>
    </row>
    <row r="951" spans="1:25" ht="15.75" customHeight="1">
      <c r="A951" s="106"/>
      <c r="B951" s="106"/>
      <c r="C951" s="106"/>
      <c r="D951" s="106"/>
      <c r="E951" s="106"/>
      <c r="F951" s="106"/>
      <c r="G951" s="106"/>
      <c r="H951" s="106"/>
      <c r="I951" s="106"/>
      <c r="J951" s="154"/>
      <c r="K951" s="106"/>
      <c r="L951" s="121"/>
      <c r="M951" s="121"/>
      <c r="N951" s="106"/>
      <c r="O951" s="106"/>
      <c r="P951" s="106"/>
      <c r="Q951" s="106"/>
      <c r="R951" s="106"/>
      <c r="S951" s="106"/>
      <c r="T951" s="106"/>
      <c r="U951" s="106"/>
      <c r="V951" s="106"/>
      <c r="W951" s="106"/>
      <c r="X951" s="106"/>
      <c r="Y951" s="106"/>
    </row>
    <row r="952" spans="1:25" ht="15.75" customHeight="1">
      <c r="A952" s="106"/>
      <c r="B952" s="106"/>
      <c r="C952" s="106"/>
      <c r="D952" s="106"/>
      <c r="E952" s="106"/>
      <c r="F952" s="106"/>
      <c r="G952" s="106"/>
      <c r="H952" s="106"/>
      <c r="I952" s="106"/>
      <c r="J952" s="154"/>
      <c r="K952" s="106"/>
      <c r="L952" s="121"/>
      <c r="M952" s="121"/>
      <c r="N952" s="106"/>
      <c r="O952" s="106"/>
      <c r="P952" s="106"/>
      <c r="Q952" s="106"/>
      <c r="R952" s="106"/>
      <c r="S952" s="106"/>
      <c r="T952" s="106"/>
      <c r="U952" s="106"/>
      <c r="V952" s="106"/>
      <c r="W952" s="106"/>
      <c r="X952" s="106"/>
      <c r="Y952" s="106"/>
    </row>
    <row r="953" spans="1:25" ht="15.75" customHeight="1">
      <c r="A953" s="106"/>
      <c r="B953" s="106"/>
      <c r="C953" s="106"/>
      <c r="D953" s="106"/>
      <c r="E953" s="106"/>
      <c r="F953" s="106"/>
      <c r="G953" s="106"/>
      <c r="H953" s="106"/>
      <c r="I953" s="106"/>
      <c r="J953" s="154"/>
      <c r="K953" s="106"/>
      <c r="L953" s="121"/>
      <c r="M953" s="121"/>
      <c r="N953" s="106"/>
      <c r="O953" s="106"/>
      <c r="P953" s="106"/>
      <c r="Q953" s="106"/>
      <c r="R953" s="106"/>
      <c r="S953" s="106"/>
      <c r="T953" s="106"/>
      <c r="U953" s="106"/>
      <c r="V953" s="106"/>
      <c r="W953" s="106"/>
      <c r="X953" s="106"/>
      <c r="Y953" s="106"/>
    </row>
    <row r="954" spans="1:25" ht="15.75" customHeight="1">
      <c r="A954" s="106"/>
      <c r="B954" s="106"/>
      <c r="C954" s="106"/>
      <c r="D954" s="106"/>
      <c r="E954" s="106"/>
      <c r="F954" s="106"/>
      <c r="G954" s="106"/>
      <c r="H954" s="106"/>
      <c r="I954" s="106"/>
      <c r="J954" s="154"/>
      <c r="K954" s="106"/>
      <c r="L954" s="121"/>
      <c r="M954" s="121"/>
      <c r="N954" s="106"/>
      <c r="O954" s="106"/>
      <c r="P954" s="106"/>
      <c r="Q954" s="106"/>
      <c r="R954" s="106"/>
      <c r="S954" s="106"/>
      <c r="T954" s="106"/>
      <c r="U954" s="106"/>
      <c r="V954" s="106"/>
      <c r="W954" s="106"/>
      <c r="X954" s="106"/>
      <c r="Y954" s="106"/>
    </row>
    <row r="955" spans="1:25" ht="15.75" customHeight="1">
      <c r="A955" s="106"/>
      <c r="B955" s="106"/>
      <c r="C955" s="106"/>
      <c r="D955" s="106"/>
      <c r="E955" s="106"/>
      <c r="F955" s="106"/>
      <c r="G955" s="106"/>
      <c r="H955" s="106"/>
      <c r="I955" s="106"/>
      <c r="J955" s="154"/>
      <c r="K955" s="106"/>
      <c r="L955" s="121"/>
      <c r="M955" s="121"/>
      <c r="N955" s="106"/>
      <c r="O955" s="106"/>
      <c r="P955" s="106"/>
      <c r="Q955" s="106"/>
      <c r="R955" s="106"/>
      <c r="S955" s="106"/>
      <c r="T955" s="106"/>
      <c r="U955" s="106"/>
      <c r="V955" s="106"/>
      <c r="W955" s="106"/>
      <c r="X955" s="106"/>
      <c r="Y955" s="106"/>
    </row>
    <row r="956" spans="1:25" ht="15.75" customHeight="1">
      <c r="A956" s="106"/>
      <c r="B956" s="106"/>
      <c r="C956" s="106"/>
      <c r="D956" s="106"/>
      <c r="E956" s="106"/>
      <c r="F956" s="106"/>
      <c r="G956" s="106"/>
      <c r="H956" s="106"/>
      <c r="I956" s="106"/>
      <c r="J956" s="154"/>
      <c r="K956" s="106"/>
      <c r="L956" s="121"/>
      <c r="M956" s="121"/>
      <c r="N956" s="106"/>
      <c r="O956" s="106"/>
      <c r="P956" s="106"/>
      <c r="Q956" s="106"/>
      <c r="R956" s="106"/>
      <c r="S956" s="106"/>
      <c r="T956" s="106"/>
      <c r="U956" s="106"/>
      <c r="V956" s="106"/>
      <c r="W956" s="106"/>
      <c r="X956" s="106"/>
      <c r="Y956" s="106"/>
    </row>
    <row r="957" spans="1:25" ht="15.75" customHeight="1">
      <c r="A957" s="106"/>
      <c r="B957" s="106"/>
      <c r="C957" s="106"/>
      <c r="D957" s="106"/>
      <c r="E957" s="106"/>
      <c r="F957" s="106"/>
      <c r="G957" s="106"/>
      <c r="H957" s="106"/>
      <c r="I957" s="106"/>
      <c r="J957" s="154"/>
      <c r="K957" s="106"/>
      <c r="L957" s="121"/>
      <c r="M957" s="121"/>
      <c r="N957" s="106"/>
      <c r="O957" s="106"/>
      <c r="P957" s="106"/>
      <c r="Q957" s="106"/>
      <c r="R957" s="106"/>
      <c r="S957" s="106"/>
      <c r="T957" s="106"/>
      <c r="U957" s="106"/>
      <c r="V957" s="106"/>
      <c r="W957" s="106"/>
      <c r="X957" s="106"/>
      <c r="Y957" s="106"/>
    </row>
    <row r="958" spans="1:25" ht="15.75" customHeight="1">
      <c r="A958" s="106"/>
      <c r="B958" s="106"/>
      <c r="C958" s="106"/>
      <c r="D958" s="106"/>
      <c r="E958" s="106"/>
      <c r="F958" s="106"/>
      <c r="G958" s="106"/>
      <c r="H958" s="106"/>
      <c r="I958" s="106"/>
      <c r="J958" s="154"/>
      <c r="K958" s="106"/>
      <c r="L958" s="121"/>
      <c r="M958" s="121"/>
      <c r="N958" s="106"/>
      <c r="O958" s="106"/>
      <c r="P958" s="106"/>
      <c r="Q958" s="106"/>
      <c r="R958" s="106"/>
      <c r="S958" s="106"/>
      <c r="T958" s="106"/>
      <c r="U958" s="106"/>
      <c r="V958" s="106"/>
      <c r="W958" s="106"/>
      <c r="X958" s="106"/>
      <c r="Y958" s="106"/>
    </row>
    <row r="959" spans="1:25" ht="15.75" customHeight="1">
      <c r="A959" s="106"/>
      <c r="B959" s="106"/>
      <c r="C959" s="106"/>
      <c r="D959" s="106"/>
      <c r="E959" s="106"/>
      <c r="F959" s="106"/>
      <c r="G959" s="106"/>
      <c r="H959" s="106"/>
      <c r="I959" s="106"/>
      <c r="J959" s="154"/>
      <c r="K959" s="106"/>
      <c r="L959" s="121"/>
      <c r="M959" s="121"/>
      <c r="N959" s="106"/>
      <c r="O959" s="106"/>
      <c r="P959" s="106"/>
      <c r="Q959" s="106"/>
      <c r="R959" s="106"/>
      <c r="S959" s="106"/>
      <c r="T959" s="106"/>
      <c r="U959" s="106"/>
      <c r="V959" s="106"/>
      <c r="W959" s="106"/>
      <c r="X959" s="106"/>
      <c r="Y959" s="106"/>
    </row>
    <row r="960" spans="1:25" ht="15.75" customHeight="1">
      <c r="A960" s="106"/>
      <c r="B960" s="106"/>
      <c r="C960" s="106"/>
      <c r="D960" s="106"/>
      <c r="E960" s="106"/>
      <c r="F960" s="106"/>
      <c r="G960" s="106"/>
      <c r="H960" s="106"/>
      <c r="I960" s="106"/>
      <c r="J960" s="154"/>
      <c r="K960" s="106"/>
      <c r="L960" s="121"/>
      <c r="M960" s="121"/>
      <c r="N960" s="106"/>
      <c r="O960" s="106"/>
      <c r="P960" s="106"/>
      <c r="Q960" s="106"/>
      <c r="R960" s="106"/>
      <c r="S960" s="106"/>
      <c r="T960" s="106"/>
      <c r="U960" s="106"/>
      <c r="V960" s="106"/>
      <c r="W960" s="106"/>
      <c r="X960" s="106"/>
      <c r="Y960" s="106"/>
    </row>
    <row r="961" spans="1:25" ht="15.75" customHeight="1">
      <c r="A961" s="106"/>
      <c r="B961" s="106"/>
      <c r="C961" s="106"/>
      <c r="D961" s="106"/>
      <c r="E961" s="106"/>
      <c r="F961" s="106"/>
      <c r="G961" s="106"/>
      <c r="H961" s="106"/>
      <c r="I961" s="106"/>
      <c r="J961" s="154"/>
      <c r="K961" s="106"/>
      <c r="L961" s="121"/>
      <c r="M961" s="121"/>
      <c r="N961" s="106"/>
      <c r="O961" s="106"/>
      <c r="P961" s="106"/>
      <c r="Q961" s="106"/>
      <c r="R961" s="106"/>
      <c r="S961" s="106"/>
      <c r="T961" s="106"/>
      <c r="U961" s="106"/>
      <c r="V961" s="106"/>
      <c r="W961" s="106"/>
      <c r="X961" s="106"/>
      <c r="Y961" s="106"/>
    </row>
    <row r="962" spans="1:25" ht="15.75" customHeight="1">
      <c r="A962" s="106"/>
      <c r="B962" s="106"/>
      <c r="C962" s="106"/>
      <c r="D962" s="106"/>
      <c r="E962" s="106"/>
      <c r="F962" s="106"/>
      <c r="G962" s="106"/>
      <c r="H962" s="106"/>
      <c r="I962" s="106"/>
      <c r="J962" s="154"/>
      <c r="K962" s="106"/>
      <c r="L962" s="121"/>
      <c r="M962" s="121"/>
      <c r="N962" s="106"/>
      <c r="O962" s="106"/>
      <c r="P962" s="106"/>
      <c r="Q962" s="106"/>
      <c r="R962" s="106"/>
      <c r="S962" s="106"/>
      <c r="T962" s="106"/>
      <c r="U962" s="106"/>
      <c r="V962" s="106"/>
      <c r="W962" s="106"/>
      <c r="X962" s="106"/>
      <c r="Y962" s="106"/>
    </row>
    <row r="963" spans="1:25" ht="15.75" customHeight="1">
      <c r="A963" s="106"/>
      <c r="B963" s="106"/>
      <c r="C963" s="106"/>
      <c r="D963" s="106"/>
      <c r="E963" s="106"/>
      <c r="F963" s="106"/>
      <c r="G963" s="106"/>
      <c r="H963" s="106"/>
      <c r="I963" s="106"/>
      <c r="J963" s="154"/>
      <c r="K963" s="106"/>
      <c r="L963" s="121"/>
      <c r="M963" s="121"/>
      <c r="N963" s="106"/>
      <c r="O963" s="106"/>
      <c r="P963" s="106"/>
      <c r="Q963" s="106"/>
      <c r="R963" s="106"/>
      <c r="S963" s="106"/>
      <c r="T963" s="106"/>
      <c r="U963" s="106"/>
      <c r="V963" s="106"/>
      <c r="W963" s="106"/>
      <c r="X963" s="106"/>
      <c r="Y963" s="106"/>
    </row>
    <row r="964" spans="1:25" ht="15.75" customHeight="1">
      <c r="A964" s="106"/>
      <c r="B964" s="106"/>
      <c r="C964" s="106"/>
      <c r="D964" s="106"/>
      <c r="E964" s="106"/>
      <c r="F964" s="106"/>
      <c r="G964" s="106"/>
      <c r="H964" s="106"/>
      <c r="I964" s="106"/>
      <c r="J964" s="154"/>
      <c r="K964" s="106"/>
      <c r="L964" s="121"/>
      <c r="M964" s="121"/>
      <c r="N964" s="106"/>
      <c r="O964" s="106"/>
      <c r="P964" s="106"/>
      <c r="Q964" s="106"/>
      <c r="R964" s="106"/>
      <c r="S964" s="106"/>
      <c r="T964" s="106"/>
      <c r="U964" s="106"/>
      <c r="V964" s="106"/>
      <c r="W964" s="106"/>
      <c r="X964" s="106"/>
      <c r="Y964" s="106"/>
    </row>
    <row r="965" spans="1:25" ht="15.75" customHeight="1">
      <c r="A965" s="106"/>
      <c r="B965" s="106"/>
      <c r="C965" s="106"/>
      <c r="D965" s="106"/>
      <c r="E965" s="106"/>
      <c r="F965" s="106"/>
      <c r="G965" s="106"/>
      <c r="H965" s="106"/>
      <c r="I965" s="106"/>
      <c r="J965" s="154"/>
      <c r="K965" s="106"/>
      <c r="L965" s="121"/>
      <c r="M965" s="121"/>
      <c r="N965" s="106"/>
      <c r="O965" s="106"/>
      <c r="P965" s="106"/>
      <c r="Q965" s="106"/>
      <c r="R965" s="106"/>
      <c r="S965" s="106"/>
      <c r="T965" s="106"/>
      <c r="U965" s="106"/>
      <c r="V965" s="106"/>
      <c r="W965" s="106"/>
      <c r="X965" s="106"/>
      <c r="Y965" s="106"/>
    </row>
    <row r="966" spans="1:25" ht="15.75" customHeight="1">
      <c r="A966" s="106"/>
      <c r="B966" s="106"/>
      <c r="C966" s="106"/>
      <c r="D966" s="106"/>
      <c r="E966" s="106"/>
      <c r="F966" s="106"/>
      <c r="G966" s="106"/>
      <c r="H966" s="106"/>
      <c r="I966" s="106"/>
      <c r="J966" s="154"/>
      <c r="K966" s="106"/>
      <c r="L966" s="121"/>
      <c r="M966" s="121"/>
      <c r="N966" s="106"/>
      <c r="O966" s="106"/>
      <c r="P966" s="106"/>
      <c r="Q966" s="106"/>
      <c r="R966" s="106"/>
      <c r="S966" s="106"/>
      <c r="T966" s="106"/>
      <c r="U966" s="106"/>
      <c r="V966" s="106"/>
      <c r="W966" s="106"/>
      <c r="X966" s="106"/>
      <c r="Y966" s="106"/>
    </row>
    <row r="967" spans="1:25" ht="15.75" customHeight="1">
      <c r="A967" s="106"/>
      <c r="B967" s="106"/>
      <c r="C967" s="106"/>
      <c r="D967" s="106"/>
      <c r="E967" s="106"/>
      <c r="F967" s="106"/>
      <c r="G967" s="106"/>
      <c r="H967" s="106"/>
      <c r="I967" s="106"/>
      <c r="J967" s="154"/>
      <c r="K967" s="106"/>
      <c r="L967" s="121"/>
      <c r="M967" s="121"/>
      <c r="N967" s="106"/>
      <c r="O967" s="106"/>
      <c r="P967" s="106"/>
      <c r="Q967" s="106"/>
      <c r="R967" s="106"/>
      <c r="S967" s="106"/>
      <c r="T967" s="106"/>
      <c r="U967" s="106"/>
      <c r="V967" s="106"/>
      <c r="W967" s="106"/>
      <c r="X967" s="106"/>
      <c r="Y967" s="106"/>
    </row>
    <row r="968" spans="1:25" ht="15.75" customHeight="1">
      <c r="A968" s="106"/>
      <c r="B968" s="106"/>
      <c r="C968" s="106"/>
      <c r="D968" s="106"/>
      <c r="E968" s="106"/>
      <c r="F968" s="106"/>
      <c r="G968" s="106"/>
      <c r="H968" s="106"/>
      <c r="I968" s="106"/>
      <c r="J968" s="154"/>
      <c r="K968" s="106"/>
      <c r="L968" s="121"/>
      <c r="M968" s="121"/>
      <c r="N968" s="106"/>
      <c r="O968" s="106"/>
      <c r="P968" s="106"/>
      <c r="Q968" s="106"/>
      <c r="R968" s="106"/>
      <c r="S968" s="106"/>
      <c r="T968" s="106"/>
      <c r="U968" s="106"/>
      <c r="V968" s="106"/>
      <c r="W968" s="106"/>
      <c r="X968" s="106"/>
      <c r="Y968" s="106"/>
    </row>
    <row r="969" spans="1:25" ht="15.75" customHeight="1">
      <c r="A969" s="106"/>
      <c r="B969" s="106"/>
      <c r="C969" s="106"/>
      <c r="D969" s="106"/>
      <c r="E969" s="106"/>
      <c r="F969" s="106"/>
      <c r="G969" s="106"/>
      <c r="H969" s="106"/>
      <c r="I969" s="106"/>
      <c r="J969" s="154"/>
      <c r="K969" s="106"/>
      <c r="L969" s="121"/>
      <c r="M969" s="121"/>
      <c r="N969" s="106"/>
      <c r="O969" s="106"/>
      <c r="P969" s="106"/>
      <c r="Q969" s="106"/>
      <c r="R969" s="106"/>
      <c r="S969" s="106"/>
      <c r="T969" s="106"/>
      <c r="U969" s="106"/>
      <c r="V969" s="106"/>
      <c r="W969" s="106"/>
      <c r="X969" s="106"/>
      <c r="Y969" s="106"/>
    </row>
    <row r="970" spans="1:25" ht="15.75" customHeight="1">
      <c r="A970" s="106"/>
      <c r="B970" s="106"/>
      <c r="C970" s="106"/>
      <c r="D970" s="106"/>
      <c r="E970" s="106"/>
      <c r="F970" s="106"/>
      <c r="G970" s="106"/>
      <c r="H970" s="106"/>
      <c r="I970" s="106"/>
      <c r="J970" s="154"/>
      <c r="K970" s="106"/>
      <c r="L970" s="121"/>
      <c r="M970" s="121"/>
      <c r="N970" s="106"/>
      <c r="O970" s="106"/>
      <c r="P970" s="106"/>
      <c r="Q970" s="106"/>
      <c r="R970" s="106"/>
      <c r="S970" s="106"/>
      <c r="T970" s="106"/>
      <c r="U970" s="106"/>
      <c r="V970" s="106"/>
      <c r="W970" s="106"/>
      <c r="X970" s="106"/>
      <c r="Y970" s="106"/>
    </row>
    <row r="971" spans="1:25" ht="15.75" customHeight="1">
      <c r="A971" s="106"/>
      <c r="B971" s="106"/>
      <c r="C971" s="106"/>
      <c r="D971" s="106"/>
      <c r="E971" s="106"/>
      <c r="F971" s="106"/>
      <c r="G971" s="106"/>
      <c r="H971" s="106"/>
      <c r="I971" s="106"/>
      <c r="J971" s="154"/>
      <c r="K971" s="106"/>
      <c r="L971" s="121"/>
      <c r="M971" s="121"/>
      <c r="N971" s="106"/>
      <c r="O971" s="106"/>
      <c r="P971" s="106"/>
      <c r="Q971" s="106"/>
      <c r="R971" s="106"/>
      <c r="S971" s="106"/>
      <c r="T971" s="106"/>
      <c r="U971" s="106"/>
      <c r="V971" s="106"/>
      <c r="W971" s="106"/>
      <c r="X971" s="106"/>
      <c r="Y971" s="106"/>
    </row>
    <row r="972" spans="1:25" ht="15.75" customHeight="1">
      <c r="A972" s="106"/>
      <c r="B972" s="106"/>
      <c r="C972" s="106"/>
      <c r="D972" s="106"/>
      <c r="E972" s="106"/>
      <c r="F972" s="106"/>
      <c r="G972" s="106"/>
      <c r="H972" s="106"/>
      <c r="I972" s="106"/>
      <c r="J972" s="154"/>
      <c r="K972" s="106"/>
      <c r="L972" s="121"/>
      <c r="M972" s="121"/>
      <c r="N972" s="106"/>
      <c r="O972" s="106"/>
      <c r="P972" s="106"/>
      <c r="Q972" s="106"/>
      <c r="R972" s="106"/>
      <c r="S972" s="106"/>
      <c r="T972" s="106"/>
      <c r="U972" s="106"/>
      <c r="V972" s="106"/>
      <c r="W972" s="106"/>
      <c r="X972" s="106"/>
      <c r="Y972" s="106"/>
    </row>
    <row r="973" spans="1:25" ht="15.75" customHeight="1">
      <c r="A973" s="106"/>
      <c r="B973" s="106"/>
      <c r="C973" s="106"/>
      <c r="D973" s="106"/>
      <c r="E973" s="106"/>
      <c r="F973" s="106"/>
      <c r="G973" s="106"/>
      <c r="H973" s="106"/>
      <c r="I973" s="106"/>
      <c r="J973" s="154"/>
      <c r="K973" s="106"/>
      <c r="L973" s="121"/>
      <c r="M973" s="121"/>
      <c r="N973" s="106"/>
      <c r="O973" s="106"/>
      <c r="P973" s="106"/>
      <c r="Q973" s="106"/>
      <c r="R973" s="106"/>
      <c r="S973" s="106"/>
      <c r="T973" s="106"/>
      <c r="U973" s="106"/>
      <c r="V973" s="106"/>
      <c r="W973" s="106"/>
      <c r="X973" s="106"/>
      <c r="Y973" s="106"/>
    </row>
    <row r="974" spans="1:25" ht="15.75" customHeight="1">
      <c r="A974" s="106"/>
      <c r="B974" s="106"/>
      <c r="C974" s="106"/>
      <c r="D974" s="106"/>
      <c r="E974" s="106"/>
      <c r="F974" s="106"/>
      <c r="G974" s="106"/>
      <c r="H974" s="106"/>
      <c r="I974" s="106"/>
      <c r="J974" s="154"/>
      <c r="K974" s="106"/>
      <c r="L974" s="121"/>
      <c r="M974" s="121"/>
      <c r="N974" s="106"/>
      <c r="O974" s="106"/>
      <c r="P974" s="106"/>
      <c r="Q974" s="106"/>
      <c r="R974" s="106"/>
      <c r="S974" s="106"/>
      <c r="T974" s="106"/>
      <c r="U974" s="106"/>
      <c r="V974" s="106"/>
      <c r="W974" s="106"/>
      <c r="X974" s="106"/>
      <c r="Y974" s="106"/>
    </row>
    <row r="975" spans="1:25" ht="15.75" customHeight="1">
      <c r="A975" s="106"/>
      <c r="B975" s="106"/>
      <c r="C975" s="106"/>
      <c r="D975" s="106"/>
      <c r="E975" s="106"/>
      <c r="F975" s="106"/>
      <c r="G975" s="106"/>
      <c r="H975" s="106"/>
      <c r="I975" s="106"/>
      <c r="J975" s="154"/>
      <c r="K975" s="106"/>
      <c r="L975" s="121"/>
      <c r="M975" s="121"/>
      <c r="N975" s="106"/>
      <c r="O975" s="106"/>
      <c r="P975" s="106"/>
      <c r="Q975" s="106"/>
      <c r="R975" s="106"/>
      <c r="S975" s="106"/>
      <c r="T975" s="106"/>
      <c r="U975" s="106"/>
      <c r="V975" s="106"/>
      <c r="W975" s="106"/>
      <c r="X975" s="106"/>
      <c r="Y975" s="106"/>
    </row>
    <row r="976" spans="1:25" ht="15.75" customHeight="1">
      <c r="A976" s="106"/>
      <c r="B976" s="106"/>
      <c r="C976" s="106"/>
      <c r="D976" s="106"/>
      <c r="E976" s="106"/>
      <c r="F976" s="106"/>
      <c r="G976" s="106"/>
      <c r="H976" s="106"/>
      <c r="I976" s="106"/>
      <c r="J976" s="154"/>
      <c r="K976" s="106"/>
      <c r="L976" s="121"/>
      <c r="M976" s="121"/>
      <c r="N976" s="106"/>
      <c r="O976" s="106"/>
      <c r="P976" s="106"/>
      <c r="Q976" s="106"/>
      <c r="R976" s="106"/>
      <c r="S976" s="106"/>
      <c r="T976" s="106"/>
      <c r="U976" s="106"/>
      <c r="V976" s="106"/>
      <c r="W976" s="106"/>
      <c r="X976" s="106"/>
      <c r="Y976" s="106"/>
    </row>
    <row r="977" spans="1:25" ht="15.75" customHeight="1">
      <c r="A977" s="106"/>
      <c r="B977" s="106"/>
      <c r="C977" s="106"/>
      <c r="D977" s="106"/>
      <c r="E977" s="106"/>
      <c r="F977" s="106"/>
      <c r="G977" s="106"/>
      <c r="H977" s="106"/>
      <c r="I977" s="106"/>
      <c r="J977" s="154"/>
      <c r="K977" s="106"/>
      <c r="L977" s="121"/>
      <c r="M977" s="121"/>
      <c r="N977" s="106"/>
      <c r="O977" s="106"/>
      <c r="P977" s="106"/>
      <c r="Q977" s="106"/>
      <c r="R977" s="106"/>
      <c r="S977" s="106"/>
      <c r="T977" s="106"/>
      <c r="U977" s="106"/>
      <c r="V977" s="106"/>
      <c r="W977" s="106"/>
      <c r="X977" s="106"/>
      <c r="Y977" s="106"/>
    </row>
    <row r="978" spans="1:25" ht="15.75" customHeight="1">
      <c r="A978" s="106"/>
      <c r="B978" s="106"/>
      <c r="C978" s="106"/>
      <c r="D978" s="106"/>
      <c r="E978" s="106"/>
      <c r="F978" s="106"/>
      <c r="G978" s="106"/>
      <c r="H978" s="106"/>
      <c r="I978" s="106"/>
      <c r="J978" s="154"/>
      <c r="K978" s="106"/>
      <c r="L978" s="121"/>
      <c r="M978" s="121"/>
      <c r="N978" s="106"/>
      <c r="O978" s="106"/>
      <c r="P978" s="106"/>
      <c r="Q978" s="106"/>
      <c r="R978" s="106"/>
      <c r="S978" s="106"/>
      <c r="T978" s="106"/>
      <c r="U978" s="106"/>
      <c r="V978" s="106"/>
      <c r="W978" s="106"/>
      <c r="X978" s="106"/>
      <c r="Y978" s="106"/>
    </row>
    <row r="979" spans="1:25" ht="15.75" customHeight="1">
      <c r="A979" s="106"/>
      <c r="B979" s="106"/>
      <c r="C979" s="106"/>
      <c r="D979" s="106"/>
      <c r="E979" s="106"/>
      <c r="F979" s="106"/>
      <c r="G979" s="106"/>
      <c r="H979" s="106"/>
      <c r="I979" s="106"/>
      <c r="J979" s="154"/>
      <c r="K979" s="106"/>
      <c r="L979" s="121"/>
      <c r="M979" s="121"/>
      <c r="N979" s="106"/>
      <c r="O979" s="106"/>
      <c r="P979" s="106"/>
      <c r="Q979" s="106"/>
      <c r="R979" s="106"/>
      <c r="S979" s="106"/>
      <c r="T979" s="106"/>
      <c r="U979" s="106"/>
      <c r="V979" s="106"/>
      <c r="W979" s="106"/>
      <c r="X979" s="106"/>
      <c r="Y979" s="106"/>
    </row>
    <row r="980" spans="1:25" ht="15.75" customHeight="1">
      <c r="A980" s="106"/>
      <c r="B980" s="106"/>
      <c r="C980" s="106"/>
      <c r="D980" s="106"/>
      <c r="E980" s="106"/>
      <c r="F980" s="106"/>
      <c r="G980" s="106"/>
      <c r="H980" s="106"/>
      <c r="I980" s="106"/>
      <c r="J980" s="154"/>
      <c r="K980" s="106"/>
      <c r="L980" s="121"/>
      <c r="M980" s="121"/>
      <c r="N980" s="106"/>
      <c r="O980" s="106"/>
      <c r="P980" s="106"/>
      <c r="Q980" s="106"/>
      <c r="R980" s="106"/>
      <c r="S980" s="106"/>
      <c r="T980" s="106"/>
      <c r="U980" s="106"/>
      <c r="V980" s="106"/>
      <c r="W980" s="106"/>
      <c r="X980" s="106"/>
      <c r="Y980" s="106"/>
    </row>
    <row r="981" spans="1:25" ht="15.75" customHeight="1">
      <c r="A981" s="106"/>
      <c r="B981" s="106"/>
      <c r="C981" s="106"/>
      <c r="D981" s="106"/>
      <c r="E981" s="106"/>
      <c r="F981" s="106"/>
      <c r="G981" s="106"/>
      <c r="H981" s="106"/>
      <c r="I981" s="106"/>
      <c r="J981" s="154"/>
      <c r="K981" s="106"/>
      <c r="L981" s="121"/>
      <c r="M981" s="121"/>
      <c r="N981" s="106"/>
      <c r="O981" s="106"/>
      <c r="P981" s="106"/>
      <c r="Q981" s="106"/>
      <c r="R981" s="106"/>
      <c r="S981" s="106"/>
      <c r="T981" s="106"/>
      <c r="U981" s="106"/>
      <c r="V981" s="106"/>
      <c r="W981" s="106"/>
      <c r="X981" s="106"/>
      <c r="Y981" s="106"/>
    </row>
    <row r="982" spans="1:25" ht="15.75" customHeight="1">
      <c r="A982" s="106"/>
      <c r="B982" s="106"/>
      <c r="C982" s="106"/>
      <c r="D982" s="106"/>
      <c r="E982" s="106"/>
      <c r="F982" s="106"/>
      <c r="G982" s="106"/>
      <c r="H982" s="106"/>
      <c r="I982" s="106"/>
      <c r="J982" s="154"/>
      <c r="K982" s="106"/>
      <c r="L982" s="121"/>
      <c r="M982" s="121"/>
      <c r="N982" s="106"/>
      <c r="O982" s="106"/>
      <c r="P982" s="106"/>
      <c r="Q982" s="106"/>
      <c r="R982" s="106"/>
      <c r="S982" s="106"/>
      <c r="T982" s="106"/>
      <c r="U982" s="106"/>
      <c r="V982" s="106"/>
      <c r="W982" s="106"/>
      <c r="X982" s="106"/>
      <c r="Y982" s="106"/>
    </row>
    <row r="983" spans="1:25" ht="15.75" customHeight="1">
      <c r="A983" s="106"/>
      <c r="B983" s="106"/>
      <c r="C983" s="106"/>
      <c r="D983" s="106"/>
      <c r="E983" s="106"/>
      <c r="F983" s="106"/>
      <c r="G983" s="106"/>
      <c r="H983" s="106"/>
      <c r="I983" s="106"/>
      <c r="J983" s="154"/>
      <c r="K983" s="106"/>
      <c r="L983" s="121"/>
      <c r="M983" s="121"/>
      <c r="N983" s="106"/>
      <c r="O983" s="106"/>
      <c r="P983" s="106"/>
      <c r="Q983" s="106"/>
      <c r="R983" s="106"/>
      <c r="S983" s="106"/>
      <c r="T983" s="106"/>
      <c r="U983" s="106"/>
      <c r="V983" s="106"/>
      <c r="W983" s="106"/>
      <c r="X983" s="106"/>
      <c r="Y983" s="106"/>
    </row>
    <row r="984" spans="1:25" ht="15.75" customHeight="1">
      <c r="A984" s="106"/>
      <c r="B984" s="106"/>
      <c r="C984" s="106"/>
      <c r="D984" s="106"/>
      <c r="E984" s="106"/>
      <c r="F984" s="106"/>
      <c r="G984" s="106"/>
      <c r="H984" s="106"/>
      <c r="I984" s="106"/>
      <c r="J984" s="154"/>
      <c r="K984" s="106"/>
      <c r="L984" s="121"/>
      <c r="M984" s="121"/>
      <c r="N984" s="106"/>
      <c r="O984" s="106"/>
      <c r="P984" s="106"/>
      <c r="Q984" s="106"/>
      <c r="R984" s="106"/>
      <c r="S984" s="106"/>
      <c r="T984" s="106"/>
      <c r="U984" s="106"/>
      <c r="V984" s="106"/>
      <c r="W984" s="106"/>
      <c r="X984" s="106"/>
      <c r="Y984" s="106"/>
    </row>
    <row r="985" spans="1:25" ht="15.75" customHeight="1">
      <c r="A985" s="106"/>
      <c r="B985" s="106"/>
      <c r="C985" s="106"/>
      <c r="D985" s="106"/>
      <c r="E985" s="106"/>
      <c r="F985" s="106"/>
      <c r="G985" s="106"/>
      <c r="H985" s="106"/>
      <c r="I985" s="106"/>
      <c r="J985" s="154"/>
      <c r="K985" s="106"/>
      <c r="L985" s="121"/>
      <c r="M985" s="121"/>
      <c r="N985" s="106"/>
      <c r="O985" s="106"/>
      <c r="P985" s="106"/>
      <c r="Q985" s="106"/>
      <c r="R985" s="106"/>
      <c r="S985" s="106"/>
      <c r="T985" s="106"/>
      <c r="U985" s="106"/>
      <c r="V985" s="106"/>
      <c r="W985" s="106"/>
      <c r="X985" s="106"/>
      <c r="Y985" s="106"/>
    </row>
    <row r="986" spans="1:25" ht="15.75" customHeight="1">
      <c r="A986" s="106"/>
      <c r="B986" s="106"/>
      <c r="C986" s="106"/>
      <c r="D986" s="106"/>
      <c r="E986" s="106"/>
      <c r="F986" s="106"/>
      <c r="G986" s="106"/>
      <c r="H986" s="106"/>
      <c r="I986" s="106"/>
      <c r="J986" s="154"/>
      <c r="K986" s="106"/>
      <c r="L986" s="121"/>
      <c r="M986" s="121"/>
      <c r="N986" s="106"/>
      <c r="O986" s="106"/>
      <c r="P986" s="106"/>
      <c r="Q986" s="106"/>
      <c r="R986" s="106"/>
      <c r="S986" s="106"/>
      <c r="T986" s="106"/>
      <c r="U986" s="106"/>
      <c r="V986" s="106"/>
      <c r="W986" s="106"/>
      <c r="X986" s="106"/>
      <c r="Y986" s="106"/>
    </row>
    <row r="987" spans="1:25" ht="15.75" customHeight="1">
      <c r="A987" s="106"/>
      <c r="B987" s="106"/>
      <c r="C987" s="106"/>
      <c r="D987" s="106"/>
      <c r="E987" s="106"/>
      <c r="F987" s="106"/>
      <c r="G987" s="106"/>
      <c r="H987" s="106"/>
      <c r="I987" s="106"/>
      <c r="J987" s="154"/>
      <c r="K987" s="106"/>
      <c r="L987" s="121"/>
      <c r="M987" s="121"/>
      <c r="N987" s="106"/>
      <c r="O987" s="106"/>
      <c r="P987" s="106"/>
      <c r="Q987" s="106"/>
      <c r="R987" s="106"/>
      <c r="S987" s="106"/>
      <c r="T987" s="106"/>
      <c r="U987" s="106"/>
      <c r="V987" s="106"/>
      <c r="W987" s="106"/>
      <c r="X987" s="106"/>
      <c r="Y987" s="106"/>
    </row>
    <row r="988" spans="1:25" ht="15.75" customHeight="1">
      <c r="A988" s="106"/>
      <c r="B988" s="106"/>
      <c r="C988" s="106"/>
      <c r="D988" s="106"/>
      <c r="E988" s="106"/>
      <c r="F988" s="106"/>
      <c r="G988" s="106"/>
      <c r="H988" s="106"/>
      <c r="I988" s="106"/>
      <c r="J988" s="154"/>
      <c r="K988" s="106"/>
      <c r="L988" s="121"/>
      <c r="M988" s="121"/>
      <c r="N988" s="106"/>
      <c r="O988" s="106"/>
      <c r="P988" s="106"/>
      <c r="Q988" s="106"/>
      <c r="R988" s="106"/>
      <c r="S988" s="106"/>
      <c r="T988" s="106"/>
      <c r="U988" s="106"/>
      <c r="V988" s="106"/>
      <c r="W988" s="106"/>
      <c r="X988" s="106"/>
      <c r="Y988" s="106"/>
    </row>
    <row r="989" spans="1:25" ht="15.75" customHeight="1">
      <c r="A989" s="106"/>
      <c r="B989" s="106"/>
      <c r="C989" s="106"/>
      <c r="D989" s="106"/>
      <c r="E989" s="106"/>
      <c r="F989" s="106"/>
      <c r="G989" s="106"/>
      <c r="H989" s="106"/>
      <c r="I989" s="106"/>
      <c r="J989" s="154"/>
      <c r="K989" s="106"/>
      <c r="L989" s="121"/>
      <c r="M989" s="121"/>
      <c r="N989" s="106"/>
      <c r="O989" s="106"/>
      <c r="P989" s="106"/>
      <c r="Q989" s="106"/>
      <c r="R989" s="106"/>
      <c r="S989" s="106"/>
      <c r="T989" s="106"/>
      <c r="U989" s="106"/>
      <c r="V989" s="106"/>
      <c r="W989" s="106"/>
      <c r="X989" s="106"/>
      <c r="Y989" s="106"/>
    </row>
    <row r="990" spans="1:25" ht="15.75" customHeight="1">
      <c r="A990" s="106"/>
      <c r="B990" s="106"/>
      <c r="C990" s="106"/>
      <c r="D990" s="106"/>
      <c r="E990" s="106"/>
      <c r="F990" s="106"/>
      <c r="G990" s="106"/>
      <c r="H990" s="106"/>
      <c r="I990" s="106"/>
      <c r="J990" s="154"/>
      <c r="K990" s="106"/>
      <c r="L990" s="121"/>
      <c r="M990" s="121"/>
      <c r="N990" s="106"/>
      <c r="O990" s="106"/>
      <c r="P990" s="106"/>
      <c r="Q990" s="106"/>
      <c r="R990" s="106"/>
      <c r="S990" s="106"/>
      <c r="T990" s="106"/>
      <c r="U990" s="106"/>
      <c r="V990" s="106"/>
      <c r="W990" s="106"/>
      <c r="X990" s="106"/>
      <c r="Y990" s="106"/>
    </row>
    <row r="991" spans="1:25" ht="15.75" customHeight="1">
      <c r="A991" s="106"/>
      <c r="B991" s="106"/>
      <c r="C991" s="106"/>
      <c r="D991" s="106"/>
      <c r="E991" s="106"/>
      <c r="F991" s="106"/>
      <c r="G991" s="106"/>
      <c r="H991" s="106"/>
      <c r="I991" s="106"/>
      <c r="J991" s="154"/>
      <c r="K991" s="106"/>
      <c r="L991" s="121"/>
      <c r="M991" s="121"/>
      <c r="N991" s="106"/>
      <c r="O991" s="106"/>
      <c r="P991" s="106"/>
      <c r="Q991" s="106"/>
      <c r="R991" s="106"/>
      <c r="S991" s="106"/>
      <c r="T991" s="106"/>
      <c r="U991" s="106"/>
      <c r="V991" s="106"/>
      <c r="W991" s="106"/>
      <c r="X991" s="106"/>
      <c r="Y991" s="106"/>
    </row>
    <row r="992" spans="1:25" ht="15.75" customHeight="1">
      <c r="A992" s="106"/>
      <c r="B992" s="106"/>
      <c r="C992" s="106"/>
      <c r="D992" s="106"/>
      <c r="E992" s="106"/>
      <c r="F992" s="106"/>
      <c r="G992" s="106"/>
      <c r="H992" s="106"/>
      <c r="I992" s="106"/>
      <c r="J992" s="154"/>
      <c r="K992" s="106"/>
      <c r="L992" s="121"/>
      <c r="M992" s="121"/>
      <c r="N992" s="106"/>
      <c r="O992" s="106"/>
      <c r="P992" s="106"/>
      <c r="Q992" s="106"/>
      <c r="R992" s="106"/>
      <c r="S992" s="106"/>
      <c r="T992" s="106"/>
      <c r="U992" s="106"/>
      <c r="V992" s="106"/>
      <c r="W992" s="106"/>
      <c r="X992" s="106"/>
      <c r="Y992" s="106"/>
    </row>
    <row r="993" spans="1:25" ht="15.75" customHeight="1">
      <c r="A993" s="106"/>
      <c r="B993" s="106"/>
      <c r="C993" s="106"/>
      <c r="D993" s="106"/>
      <c r="E993" s="106"/>
      <c r="F993" s="106"/>
      <c r="G993" s="106"/>
      <c r="H993" s="106"/>
      <c r="I993" s="106"/>
      <c r="J993" s="154"/>
      <c r="K993" s="106"/>
      <c r="L993" s="121"/>
      <c r="M993" s="121"/>
      <c r="N993" s="106"/>
      <c r="O993" s="106"/>
      <c r="P993" s="106"/>
      <c r="Q993" s="106"/>
      <c r="R993" s="106"/>
      <c r="S993" s="106"/>
      <c r="T993" s="106"/>
      <c r="U993" s="106"/>
      <c r="V993" s="106"/>
      <c r="W993" s="106"/>
      <c r="X993" s="106"/>
      <c r="Y993" s="106"/>
    </row>
    <row r="994" spans="1:25" ht="15.75" customHeight="1">
      <c r="A994" s="106"/>
      <c r="B994" s="106"/>
      <c r="C994" s="106"/>
      <c r="D994" s="106"/>
      <c r="E994" s="106"/>
      <c r="F994" s="106"/>
      <c r="G994" s="106"/>
      <c r="H994" s="106"/>
      <c r="I994" s="106"/>
      <c r="J994" s="154"/>
      <c r="K994" s="106"/>
      <c r="L994" s="121"/>
      <c r="M994" s="121"/>
      <c r="N994" s="106"/>
      <c r="O994" s="106"/>
      <c r="P994" s="106"/>
      <c r="Q994" s="106"/>
      <c r="R994" s="106"/>
      <c r="S994" s="106"/>
      <c r="T994" s="106"/>
      <c r="U994" s="106"/>
      <c r="V994" s="106"/>
      <c r="W994" s="106"/>
      <c r="X994" s="106"/>
      <c r="Y994" s="106"/>
    </row>
    <row r="995" spans="1:25" ht="15.75" customHeight="1">
      <c r="A995" s="106"/>
      <c r="B995" s="106"/>
      <c r="C995" s="106"/>
      <c r="D995" s="106"/>
      <c r="E995" s="106"/>
      <c r="F995" s="106"/>
      <c r="G995" s="106"/>
      <c r="H995" s="106"/>
      <c r="I995" s="106"/>
      <c r="J995" s="154"/>
      <c r="K995" s="106"/>
      <c r="L995" s="121"/>
      <c r="M995" s="121"/>
      <c r="N995" s="106"/>
      <c r="O995" s="106"/>
      <c r="P995" s="106"/>
      <c r="Q995" s="106"/>
      <c r="R995" s="106"/>
      <c r="S995" s="106"/>
      <c r="T995" s="106"/>
      <c r="U995" s="106"/>
      <c r="V995" s="106"/>
      <c r="W995" s="106"/>
      <c r="X995" s="106"/>
      <c r="Y995" s="106"/>
    </row>
    <row r="996" spans="1:25" ht="15.75" customHeight="1">
      <c r="A996" s="106"/>
      <c r="B996" s="106"/>
      <c r="C996" s="106"/>
      <c r="D996" s="106"/>
      <c r="E996" s="106"/>
      <c r="F996" s="106"/>
      <c r="G996" s="106"/>
      <c r="H996" s="106"/>
      <c r="I996" s="106"/>
      <c r="J996" s="154"/>
      <c r="K996" s="106"/>
      <c r="L996" s="121"/>
      <c r="M996" s="121"/>
      <c r="N996" s="106"/>
      <c r="O996" s="106"/>
      <c r="P996" s="106"/>
      <c r="Q996" s="106"/>
      <c r="R996" s="106"/>
      <c r="S996" s="106"/>
      <c r="T996" s="106"/>
      <c r="U996" s="106"/>
      <c r="V996" s="106"/>
      <c r="W996" s="106"/>
      <c r="X996" s="106"/>
      <c r="Y996" s="106"/>
    </row>
    <row r="997" spans="1:25" ht="15.75" customHeight="1">
      <c r="A997" s="106"/>
      <c r="B997" s="106"/>
      <c r="C997" s="106"/>
      <c r="D997" s="106"/>
      <c r="E997" s="106"/>
      <c r="F997" s="106"/>
      <c r="G997" s="106"/>
      <c r="H997" s="106"/>
      <c r="I997" s="106"/>
      <c r="J997" s="154"/>
      <c r="K997" s="106"/>
      <c r="L997" s="121"/>
      <c r="M997" s="121"/>
      <c r="N997" s="106"/>
      <c r="O997" s="106"/>
      <c r="P997" s="106"/>
      <c r="Q997" s="106"/>
      <c r="R997" s="106"/>
      <c r="S997" s="106"/>
      <c r="T997" s="106"/>
      <c r="U997" s="106"/>
      <c r="V997" s="106"/>
      <c r="W997" s="106"/>
      <c r="X997" s="106"/>
      <c r="Y997" s="106"/>
    </row>
    <row r="998" spans="1:25" ht="15.75" customHeight="1">
      <c r="A998" s="106"/>
      <c r="B998" s="106"/>
      <c r="C998" s="106"/>
      <c r="D998" s="106"/>
      <c r="E998" s="106"/>
      <c r="F998" s="106"/>
      <c r="G998" s="106"/>
      <c r="H998" s="106"/>
      <c r="I998" s="106"/>
      <c r="J998" s="154"/>
      <c r="K998" s="106"/>
      <c r="L998" s="121"/>
      <c r="M998" s="121"/>
      <c r="N998" s="106"/>
      <c r="O998" s="106"/>
      <c r="P998" s="106"/>
      <c r="Q998" s="106"/>
      <c r="R998" s="106"/>
      <c r="S998" s="106"/>
      <c r="T998" s="106"/>
      <c r="U998" s="106"/>
      <c r="V998" s="106"/>
      <c r="W998" s="106"/>
      <c r="X998" s="106"/>
      <c r="Y998" s="106"/>
    </row>
    <row r="999" spans="1:25" ht="15.75" customHeight="1">
      <c r="A999" s="106"/>
      <c r="B999" s="106"/>
      <c r="C999" s="106"/>
      <c r="D999" s="106"/>
      <c r="E999" s="106"/>
      <c r="F999" s="106"/>
      <c r="G999" s="106"/>
      <c r="H999" s="106"/>
      <c r="I999" s="106"/>
      <c r="J999" s="154"/>
      <c r="K999" s="106"/>
      <c r="L999" s="121"/>
      <c r="M999" s="121"/>
      <c r="N999" s="106"/>
      <c r="O999" s="106"/>
      <c r="P999" s="106"/>
      <c r="Q999" s="106"/>
      <c r="R999" s="106"/>
      <c r="S999" s="106"/>
      <c r="T999" s="106"/>
      <c r="U999" s="106"/>
      <c r="V999" s="106"/>
      <c r="W999" s="106"/>
      <c r="X999" s="106"/>
      <c r="Y999" s="106"/>
    </row>
    <row r="1000" spans="1:25" ht="15.75" customHeight="1">
      <c r="A1000" s="106"/>
      <c r="B1000" s="106"/>
      <c r="C1000" s="106"/>
      <c r="D1000" s="106"/>
      <c r="E1000" s="106"/>
      <c r="F1000" s="106"/>
      <c r="G1000" s="106"/>
      <c r="H1000" s="106"/>
      <c r="I1000" s="106"/>
      <c r="J1000" s="154"/>
      <c r="K1000" s="106"/>
      <c r="L1000" s="121"/>
      <c r="M1000" s="121"/>
      <c r="N1000" s="106"/>
      <c r="O1000" s="106"/>
      <c r="P1000" s="106"/>
      <c r="Q1000" s="106"/>
      <c r="R1000" s="106"/>
      <c r="S1000" s="106"/>
      <c r="T1000" s="106"/>
      <c r="U1000" s="106"/>
      <c r="V1000" s="106"/>
      <c r="W1000" s="106"/>
      <c r="X1000" s="106"/>
      <c r="Y1000" s="106"/>
    </row>
  </sheetData>
  <autoFilter ref="A1:Y121" xr:uid="{00000000-0009-0000-0000-000002000000}"/>
  <customSheetViews>
    <customSheetView guid="{F05A81A4-6578-44A4-8272-038EE39689EA}" filter="1" showAutoFilter="1">
      <pageMargins left="0.7" right="0.7" top="0.75" bottom="0.75" header="0.3" footer="0.3"/>
      <autoFilter ref="A1:Y121" xr:uid="{9CA64C27-594A-8A40-9376-B51EB9C773B2}">
        <filterColumn colId="14">
          <filters>
            <filter val="Insert/Update"/>
          </filters>
        </filterColumn>
      </autoFilter>
    </customSheetView>
    <customSheetView guid="{D2464F85-EDE4-4567-AE99-72086A9419EC}" filter="1" showAutoFilter="1">
      <pageMargins left="0.7" right="0.7" top="0.75" bottom="0.75" header="0.3" footer="0.3"/>
      <autoFilter ref="A1:O121" xr:uid="{E634C3FE-1D07-9D4A-B77E-06163140B92C}"/>
    </customSheetView>
    <customSheetView guid="{B6CC7702-36CF-47B7-ADA2-1CC0A983C11D}" filter="1" showAutoFilter="1">
      <pageMargins left="0.7" right="0.7" top="0.75" bottom="0.75" header="0.3" footer="0.3"/>
      <autoFilter ref="A1:O121" xr:uid="{05AB1948-DCB9-D84C-B315-8468320D393C}"/>
    </customSheetView>
    <customSheetView guid="{A0CA8EE6-C3FD-483E-B827-5E17CF54F8CF}" filter="1" showAutoFilter="1">
      <pageMargins left="0.7" right="0.7" top="0.75" bottom="0.75" header="0.3" footer="0.3"/>
      <autoFilter ref="A1:O121" xr:uid="{C38421A4-B91B-9E4D-98B1-37F9FBF98833}">
        <filterColumn colId="14">
          <filters>
            <filter val="Full refresh"/>
          </filters>
        </filterColumn>
      </autoFilter>
    </customSheetView>
    <customSheetView guid="{E96974DA-9B5B-461A-B8C1-DC954E19D43B}" filter="1" showAutoFilter="1">
      <pageMargins left="0.7" right="0.7" top="0.75" bottom="0.75" header="0.3" footer="0.3"/>
      <autoFilter ref="A1:O121" xr:uid="{A3F2C08B-B595-E947-AF4E-CA79503F3E47}">
        <filterColumn colId="13">
          <filters blank="1">
            <filter val="create_date"/>
            <filter val="Createon"/>
            <filter val="Update_date"/>
            <filter val="updateon"/>
          </filters>
        </filterColumn>
        <filterColumn colId="14">
          <filters>
            <filter val="Insert/Update"/>
          </filters>
        </filterColumn>
      </autoFilter>
    </customSheetView>
  </customSheetViews>
  <pageMargins left="0.7" right="0.7" top="0.75" bottom="0.75" header="0" footer="0"/>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G3824"/>
  <sheetViews>
    <sheetView workbookViewId="0"/>
  </sheetViews>
  <sheetFormatPr baseColWidth="10" defaultColWidth="12.6640625" defaultRowHeight="15" customHeight="1"/>
  <cols>
    <col min="1" max="1" width="14.1640625" customWidth="1"/>
    <col min="2" max="4" width="22.6640625" customWidth="1"/>
    <col min="5" max="6" width="7.6640625" customWidth="1"/>
    <col min="7" max="7" width="28.1640625" customWidth="1"/>
  </cols>
  <sheetData>
    <row r="1" spans="1:7">
      <c r="A1" s="276" t="s">
        <v>10171</v>
      </c>
      <c r="B1" s="276" t="s">
        <v>466</v>
      </c>
      <c r="C1" s="276" t="s">
        <v>467</v>
      </c>
      <c r="D1" s="276" t="s">
        <v>468</v>
      </c>
      <c r="E1" s="276" t="s">
        <v>10172</v>
      </c>
      <c r="F1" s="276" t="s">
        <v>474</v>
      </c>
      <c r="G1" s="276" t="s">
        <v>10173</v>
      </c>
    </row>
    <row r="2" spans="1:7">
      <c r="A2" s="159" t="s">
        <v>9275</v>
      </c>
      <c r="B2" s="159" t="s">
        <v>9276</v>
      </c>
      <c r="C2" s="159" t="s">
        <v>3897</v>
      </c>
      <c r="D2" s="159" t="s">
        <v>484</v>
      </c>
      <c r="E2" s="159">
        <v>10</v>
      </c>
      <c r="F2" s="159" t="s">
        <v>5665</v>
      </c>
      <c r="G2" s="159" t="s">
        <v>10174</v>
      </c>
    </row>
    <row r="3" spans="1:7">
      <c r="A3" s="159" t="s">
        <v>9275</v>
      </c>
      <c r="B3" s="159" t="s">
        <v>9276</v>
      </c>
      <c r="C3" s="159" t="s">
        <v>10175</v>
      </c>
      <c r="D3" s="159" t="s">
        <v>477</v>
      </c>
      <c r="E3" s="159">
        <v>50</v>
      </c>
      <c r="F3" s="159" t="s">
        <v>5665</v>
      </c>
      <c r="G3" s="159" t="s">
        <v>10176</v>
      </c>
    </row>
    <row r="4" spans="1:7">
      <c r="A4" s="159" t="s">
        <v>9275</v>
      </c>
      <c r="B4" s="159" t="s">
        <v>9280</v>
      </c>
      <c r="C4" s="159" t="s">
        <v>10177</v>
      </c>
      <c r="D4" s="159" t="s">
        <v>484</v>
      </c>
      <c r="E4" s="159">
        <v>10</v>
      </c>
      <c r="F4" s="159" t="s">
        <v>5665</v>
      </c>
      <c r="G4" s="159" t="s">
        <v>10178</v>
      </c>
    </row>
    <row r="5" spans="1:7">
      <c r="A5" s="159" t="s">
        <v>9275</v>
      </c>
      <c r="B5" s="159" t="s">
        <v>9280</v>
      </c>
      <c r="C5" s="159" t="s">
        <v>5693</v>
      </c>
      <c r="D5" s="159" t="s">
        <v>484</v>
      </c>
      <c r="E5" s="159">
        <v>10</v>
      </c>
      <c r="F5" s="159" t="s">
        <v>5665</v>
      </c>
      <c r="G5" s="159" t="s">
        <v>10179</v>
      </c>
    </row>
    <row r="6" spans="1:7">
      <c r="A6" s="159" t="s">
        <v>9275</v>
      </c>
      <c r="B6" s="159" t="s">
        <v>9280</v>
      </c>
      <c r="C6" s="159" t="s">
        <v>10180</v>
      </c>
      <c r="D6" s="159" t="s">
        <v>477</v>
      </c>
      <c r="E6" s="159">
        <v>255</v>
      </c>
      <c r="F6" s="159" t="s">
        <v>5667</v>
      </c>
      <c r="G6" s="159" t="s">
        <v>10181</v>
      </c>
    </row>
    <row r="7" spans="1:7">
      <c r="A7" s="159" t="s">
        <v>9275</v>
      </c>
      <c r="B7" s="159" t="s">
        <v>9280</v>
      </c>
      <c r="C7" s="159" t="s">
        <v>10182</v>
      </c>
      <c r="D7" s="159" t="s">
        <v>484</v>
      </c>
      <c r="E7" s="159">
        <v>10</v>
      </c>
      <c r="F7" s="159" t="s">
        <v>5665</v>
      </c>
      <c r="G7" s="159" t="s">
        <v>10183</v>
      </c>
    </row>
    <row r="8" spans="1:7">
      <c r="A8" s="159" t="s">
        <v>9275</v>
      </c>
      <c r="B8" s="159" t="s">
        <v>9280</v>
      </c>
      <c r="C8" s="159" t="s">
        <v>10184</v>
      </c>
      <c r="D8" s="159" t="s">
        <v>484</v>
      </c>
      <c r="E8" s="159">
        <v>10</v>
      </c>
      <c r="F8" s="159" t="s">
        <v>5665</v>
      </c>
      <c r="G8" s="159" t="s">
        <v>10185</v>
      </c>
    </row>
    <row r="9" spans="1:7">
      <c r="A9" s="159" t="s">
        <v>9275</v>
      </c>
      <c r="B9" s="159" t="s">
        <v>9282</v>
      </c>
      <c r="C9" s="159" t="s">
        <v>10186</v>
      </c>
      <c r="D9" s="159" t="s">
        <v>477</v>
      </c>
      <c r="E9" s="159">
        <v>100</v>
      </c>
      <c r="F9" s="159" t="s">
        <v>5665</v>
      </c>
      <c r="G9" s="159" t="s">
        <v>10187</v>
      </c>
    </row>
    <row r="10" spans="1:7">
      <c r="A10" s="159" t="s">
        <v>9275</v>
      </c>
      <c r="B10" s="159" t="s">
        <v>9282</v>
      </c>
      <c r="C10" s="159" t="s">
        <v>10188</v>
      </c>
      <c r="D10" s="159" t="s">
        <v>978</v>
      </c>
      <c r="E10" s="159">
        <v>5</v>
      </c>
      <c r="F10" s="159" t="s">
        <v>5665</v>
      </c>
      <c r="G10" s="159" t="s">
        <v>10189</v>
      </c>
    </row>
    <row r="11" spans="1:7">
      <c r="A11" s="159" t="s">
        <v>9275</v>
      </c>
      <c r="B11" s="159" t="s">
        <v>9282</v>
      </c>
      <c r="C11" s="159" t="s">
        <v>10190</v>
      </c>
      <c r="D11" s="159" t="s">
        <v>1413</v>
      </c>
      <c r="E11" s="159"/>
      <c r="F11" s="159" t="s">
        <v>5665</v>
      </c>
      <c r="G11" s="159" t="s">
        <v>10191</v>
      </c>
    </row>
    <row r="12" spans="1:7">
      <c r="A12" s="159" t="s">
        <v>9275</v>
      </c>
      <c r="B12" s="159" t="s">
        <v>9284</v>
      </c>
      <c r="C12" s="159" t="s">
        <v>5693</v>
      </c>
      <c r="D12" s="159" t="s">
        <v>484</v>
      </c>
      <c r="E12" s="159">
        <v>10</v>
      </c>
      <c r="F12" s="159" t="s">
        <v>5665</v>
      </c>
      <c r="G12" s="159" t="s">
        <v>10179</v>
      </c>
    </row>
    <row r="13" spans="1:7">
      <c r="A13" s="159" t="s">
        <v>9275</v>
      </c>
      <c r="B13" s="159" t="s">
        <v>9284</v>
      </c>
      <c r="C13" s="159" t="s">
        <v>10192</v>
      </c>
      <c r="D13" s="159" t="s">
        <v>477</v>
      </c>
      <c r="E13" s="159">
        <v>32</v>
      </c>
      <c r="F13" s="159" t="s">
        <v>5667</v>
      </c>
      <c r="G13" s="159" t="s">
        <v>10193</v>
      </c>
    </row>
    <row r="14" spans="1:7">
      <c r="A14" s="159" t="s">
        <v>9275</v>
      </c>
      <c r="B14" s="159" t="s">
        <v>9284</v>
      </c>
      <c r="C14" s="159" t="s">
        <v>10194</v>
      </c>
      <c r="D14" s="159" t="s">
        <v>477</v>
      </c>
      <c r="E14" s="159">
        <v>32</v>
      </c>
      <c r="F14" s="159" t="s">
        <v>5667</v>
      </c>
      <c r="G14" s="159" t="s">
        <v>10195</v>
      </c>
    </row>
    <row r="15" spans="1:7">
      <c r="A15" s="159" t="s">
        <v>9275</v>
      </c>
      <c r="B15" s="159" t="s">
        <v>9284</v>
      </c>
      <c r="C15" s="159" t="s">
        <v>3545</v>
      </c>
      <c r="D15" s="159" t="s">
        <v>477</v>
      </c>
      <c r="E15" s="159">
        <v>128</v>
      </c>
      <c r="F15" s="159" t="s">
        <v>5667</v>
      </c>
      <c r="G15" s="159" t="s">
        <v>10196</v>
      </c>
    </row>
    <row r="16" spans="1:7">
      <c r="A16" s="159" t="s">
        <v>9275</v>
      </c>
      <c r="B16" s="159" t="s">
        <v>9284</v>
      </c>
      <c r="C16" s="159" t="s">
        <v>10197</v>
      </c>
      <c r="D16" s="159" t="s">
        <v>477</v>
      </c>
      <c r="E16" s="159">
        <v>40</v>
      </c>
      <c r="F16" s="159" t="s">
        <v>5667</v>
      </c>
      <c r="G16" s="159" t="s">
        <v>10198</v>
      </c>
    </row>
    <row r="17" spans="1:7">
      <c r="A17" s="159" t="s">
        <v>9275</v>
      </c>
      <c r="B17" s="159" t="s">
        <v>9284</v>
      </c>
      <c r="C17" s="159" t="s">
        <v>10199</v>
      </c>
      <c r="D17" s="159" t="s">
        <v>477</v>
      </c>
      <c r="E17" s="159">
        <v>255</v>
      </c>
      <c r="F17" s="159" t="s">
        <v>5665</v>
      </c>
      <c r="G17" s="159" t="s">
        <v>10200</v>
      </c>
    </row>
    <row r="18" spans="1:7">
      <c r="A18" s="159" t="s">
        <v>9275</v>
      </c>
      <c r="B18" s="159" t="s">
        <v>9284</v>
      </c>
      <c r="C18" s="159" t="s">
        <v>10201</v>
      </c>
      <c r="D18" s="159" t="s">
        <v>1413</v>
      </c>
      <c r="E18" s="159"/>
      <c r="F18" s="159" t="s">
        <v>5665</v>
      </c>
      <c r="G18" s="159" t="s">
        <v>10202</v>
      </c>
    </row>
    <row r="19" spans="1:7">
      <c r="A19" s="159" t="s">
        <v>9275</v>
      </c>
      <c r="B19" s="159" t="s">
        <v>9284</v>
      </c>
      <c r="C19" s="159" t="s">
        <v>10203</v>
      </c>
      <c r="D19" s="159" t="s">
        <v>1413</v>
      </c>
      <c r="E19" s="159"/>
      <c r="F19" s="159" t="s">
        <v>5665</v>
      </c>
      <c r="G19" s="159" t="s">
        <v>10204</v>
      </c>
    </row>
    <row r="20" spans="1:7">
      <c r="A20" s="159" t="s">
        <v>9275</v>
      </c>
      <c r="B20" s="159" t="s">
        <v>9284</v>
      </c>
      <c r="C20" s="159" t="s">
        <v>10205</v>
      </c>
      <c r="D20" s="159" t="s">
        <v>1413</v>
      </c>
      <c r="E20" s="159"/>
      <c r="F20" s="159" t="s">
        <v>5667</v>
      </c>
      <c r="G20" s="159" t="s">
        <v>10206</v>
      </c>
    </row>
    <row r="21" spans="1:7" ht="15.75" customHeight="1">
      <c r="A21" s="159" t="s">
        <v>9275</v>
      </c>
      <c r="B21" s="159" t="s">
        <v>9284</v>
      </c>
      <c r="C21" s="159" t="s">
        <v>10207</v>
      </c>
      <c r="D21" s="159" t="s">
        <v>978</v>
      </c>
      <c r="E21" s="159">
        <v>5</v>
      </c>
      <c r="F21" s="159" t="s">
        <v>5665</v>
      </c>
      <c r="G21" s="159" t="s">
        <v>10208</v>
      </c>
    </row>
    <row r="22" spans="1:7" ht="15.75" customHeight="1">
      <c r="A22" s="159" t="s">
        <v>9275</v>
      </c>
      <c r="B22" s="159" t="s">
        <v>9284</v>
      </c>
      <c r="C22" s="159" t="s">
        <v>10209</v>
      </c>
      <c r="D22" s="159" t="s">
        <v>978</v>
      </c>
      <c r="E22" s="159">
        <v>5</v>
      </c>
      <c r="F22" s="159" t="s">
        <v>5665</v>
      </c>
      <c r="G22" s="159" t="s">
        <v>10210</v>
      </c>
    </row>
    <row r="23" spans="1:7" ht="15.75" customHeight="1">
      <c r="A23" s="159" t="s">
        <v>9275</v>
      </c>
      <c r="B23" s="159" t="s">
        <v>9284</v>
      </c>
      <c r="C23" s="159" t="s">
        <v>10211</v>
      </c>
      <c r="D23" s="159" t="s">
        <v>978</v>
      </c>
      <c r="E23" s="159">
        <v>5</v>
      </c>
      <c r="F23" s="159" t="s">
        <v>5665</v>
      </c>
      <c r="G23" s="159" t="s">
        <v>10212</v>
      </c>
    </row>
    <row r="24" spans="1:7" ht="15.75" customHeight="1">
      <c r="A24" s="159" t="s">
        <v>9275</v>
      </c>
      <c r="B24" s="159" t="s">
        <v>9284</v>
      </c>
      <c r="C24" s="159" t="s">
        <v>10213</v>
      </c>
      <c r="D24" s="159" t="s">
        <v>3893</v>
      </c>
      <c r="E24" s="159">
        <v>65535</v>
      </c>
      <c r="F24" s="159" t="s">
        <v>5667</v>
      </c>
      <c r="G24" s="159" t="s">
        <v>10214</v>
      </c>
    </row>
    <row r="25" spans="1:7" ht="15.75" customHeight="1">
      <c r="A25" s="159" t="s">
        <v>9275</v>
      </c>
      <c r="B25" s="159" t="s">
        <v>9284</v>
      </c>
      <c r="C25" s="159" t="s">
        <v>10215</v>
      </c>
      <c r="D25" s="159" t="s">
        <v>3893</v>
      </c>
      <c r="E25" s="159">
        <v>65535</v>
      </c>
      <c r="F25" s="159" t="s">
        <v>5667</v>
      </c>
      <c r="G25" s="159" t="s">
        <v>10216</v>
      </c>
    </row>
    <row r="26" spans="1:7" ht="15.75" customHeight="1">
      <c r="A26" s="159" t="s">
        <v>9275</v>
      </c>
      <c r="B26" s="159" t="s">
        <v>9284</v>
      </c>
      <c r="C26" s="159" t="s">
        <v>10217</v>
      </c>
      <c r="D26" s="159" t="s">
        <v>1413</v>
      </c>
      <c r="E26" s="159"/>
      <c r="F26" s="159" t="s">
        <v>5667</v>
      </c>
      <c r="G26" s="159" t="s">
        <v>10218</v>
      </c>
    </row>
    <row r="27" spans="1:7" ht="15.75" customHeight="1">
      <c r="A27" s="159" t="s">
        <v>9275</v>
      </c>
      <c r="B27" s="159" t="s">
        <v>9284</v>
      </c>
      <c r="C27" s="159" t="s">
        <v>10219</v>
      </c>
      <c r="D27" s="159" t="s">
        <v>477</v>
      </c>
      <c r="E27" s="159">
        <v>16</v>
      </c>
      <c r="F27" s="159" t="s">
        <v>5665</v>
      </c>
      <c r="G27" s="159" t="s">
        <v>10220</v>
      </c>
    </row>
    <row r="28" spans="1:7" ht="15.75" customHeight="1">
      <c r="A28" s="159" t="s">
        <v>9275</v>
      </c>
      <c r="B28" s="159" t="s">
        <v>9284</v>
      </c>
      <c r="C28" s="159" t="s">
        <v>10221</v>
      </c>
      <c r="D28" s="159" t="s">
        <v>978</v>
      </c>
      <c r="E28" s="159">
        <v>5</v>
      </c>
      <c r="F28" s="159" t="s">
        <v>5667</v>
      </c>
      <c r="G28" s="159" t="s">
        <v>10222</v>
      </c>
    </row>
    <row r="29" spans="1:7" ht="15.75" customHeight="1">
      <c r="A29" s="159" t="s">
        <v>9275</v>
      </c>
      <c r="B29" s="159" t="s">
        <v>9284</v>
      </c>
      <c r="C29" s="159" t="s">
        <v>10223</v>
      </c>
      <c r="D29" s="159" t="s">
        <v>1413</v>
      </c>
      <c r="E29" s="159"/>
      <c r="F29" s="159" t="s">
        <v>5667</v>
      </c>
      <c r="G29" s="159" t="s">
        <v>10224</v>
      </c>
    </row>
    <row r="30" spans="1:7" ht="15.75" customHeight="1">
      <c r="A30" s="159" t="s">
        <v>9275</v>
      </c>
      <c r="B30" s="159" t="s">
        <v>9284</v>
      </c>
      <c r="C30" s="159" t="s">
        <v>10225</v>
      </c>
      <c r="D30" s="159" t="s">
        <v>1413</v>
      </c>
      <c r="E30" s="159"/>
      <c r="F30" s="159" t="s">
        <v>5667</v>
      </c>
      <c r="G30" s="159" t="s">
        <v>10226</v>
      </c>
    </row>
    <row r="31" spans="1:7" ht="15.75" customHeight="1">
      <c r="A31" s="159" t="s">
        <v>9275</v>
      </c>
      <c r="B31" s="159" t="s">
        <v>9284</v>
      </c>
      <c r="C31" s="159" t="s">
        <v>10227</v>
      </c>
      <c r="D31" s="159" t="s">
        <v>3893</v>
      </c>
      <c r="E31" s="159">
        <v>65535</v>
      </c>
      <c r="F31" s="159" t="s">
        <v>5667</v>
      </c>
      <c r="G31" s="159" t="s">
        <v>10228</v>
      </c>
    </row>
    <row r="32" spans="1:7" ht="15.75" customHeight="1">
      <c r="A32" s="159" t="s">
        <v>9275</v>
      </c>
      <c r="B32" s="159" t="s">
        <v>9284</v>
      </c>
      <c r="C32" s="159" t="s">
        <v>10229</v>
      </c>
      <c r="D32" s="159" t="s">
        <v>484</v>
      </c>
      <c r="E32" s="159">
        <v>10</v>
      </c>
      <c r="F32" s="159" t="s">
        <v>5667</v>
      </c>
      <c r="G32" s="159" t="s">
        <v>10230</v>
      </c>
    </row>
    <row r="33" spans="1:7" ht="15.75" customHeight="1">
      <c r="A33" s="159" t="s">
        <v>9275</v>
      </c>
      <c r="B33" s="159" t="s">
        <v>9284</v>
      </c>
      <c r="C33" s="159" t="s">
        <v>10231</v>
      </c>
      <c r="D33" s="159" t="s">
        <v>477</v>
      </c>
      <c r="E33" s="159">
        <v>255</v>
      </c>
      <c r="F33" s="159" t="s">
        <v>5667</v>
      </c>
      <c r="G33" s="159" t="s">
        <v>10232</v>
      </c>
    </row>
    <row r="34" spans="1:7" ht="15.75" customHeight="1">
      <c r="A34" s="159" t="s">
        <v>9275</v>
      </c>
      <c r="B34" s="159" t="s">
        <v>9284</v>
      </c>
      <c r="C34" s="159" t="s">
        <v>10233</v>
      </c>
      <c r="D34" s="159" t="s">
        <v>484</v>
      </c>
      <c r="E34" s="159">
        <v>10</v>
      </c>
      <c r="F34" s="159" t="s">
        <v>5667</v>
      </c>
      <c r="G34" s="159" t="s">
        <v>10234</v>
      </c>
    </row>
    <row r="35" spans="1:7" ht="15.75" customHeight="1">
      <c r="A35" s="159" t="s">
        <v>9275</v>
      </c>
      <c r="B35" s="159" t="s">
        <v>9286</v>
      </c>
      <c r="C35" s="159" t="s">
        <v>5693</v>
      </c>
      <c r="D35" s="159" t="s">
        <v>484</v>
      </c>
      <c r="E35" s="159">
        <v>10</v>
      </c>
      <c r="F35" s="159" t="s">
        <v>5665</v>
      </c>
      <c r="G35" s="159" t="s">
        <v>10179</v>
      </c>
    </row>
    <row r="36" spans="1:7" ht="15.75" customHeight="1">
      <c r="A36" s="159" t="s">
        <v>9275</v>
      </c>
      <c r="B36" s="159" t="s">
        <v>9286</v>
      </c>
      <c r="C36" s="159" t="s">
        <v>10235</v>
      </c>
      <c r="D36" s="159" t="s">
        <v>1413</v>
      </c>
      <c r="E36" s="159"/>
      <c r="F36" s="159" t="s">
        <v>5665</v>
      </c>
      <c r="G36" s="159" t="s">
        <v>10236</v>
      </c>
    </row>
    <row r="37" spans="1:7" ht="15.75" customHeight="1">
      <c r="A37" s="159" t="s">
        <v>9275</v>
      </c>
      <c r="B37" s="159" t="s">
        <v>9288</v>
      </c>
      <c r="C37" s="159" t="s">
        <v>3897</v>
      </c>
      <c r="D37" s="159" t="s">
        <v>484</v>
      </c>
      <c r="E37" s="159">
        <v>10</v>
      </c>
      <c r="F37" s="159" t="s">
        <v>5665</v>
      </c>
      <c r="G37" s="159" t="s">
        <v>10237</v>
      </c>
    </row>
    <row r="38" spans="1:7" ht="15.75" customHeight="1">
      <c r="A38" s="159" t="s">
        <v>9275</v>
      </c>
      <c r="B38" s="159" t="s">
        <v>9288</v>
      </c>
      <c r="C38" s="159" t="s">
        <v>5797</v>
      </c>
      <c r="D38" s="159" t="s">
        <v>477</v>
      </c>
      <c r="E38" s="159">
        <v>128</v>
      </c>
      <c r="F38" s="159" t="s">
        <v>5665</v>
      </c>
      <c r="G38" s="159" t="s">
        <v>10238</v>
      </c>
    </row>
    <row r="39" spans="1:7" ht="15.75" customHeight="1">
      <c r="A39" s="159" t="s">
        <v>9275</v>
      </c>
      <c r="B39" s="159" t="s">
        <v>9288</v>
      </c>
      <c r="C39" s="159" t="s">
        <v>5693</v>
      </c>
      <c r="D39" s="159" t="s">
        <v>484</v>
      </c>
      <c r="E39" s="159">
        <v>10</v>
      </c>
      <c r="F39" s="159" t="s">
        <v>5667</v>
      </c>
      <c r="G39" s="159" t="s">
        <v>10239</v>
      </c>
    </row>
    <row r="40" spans="1:7" ht="15.75" customHeight="1">
      <c r="A40" s="159" t="s">
        <v>9275</v>
      </c>
      <c r="B40" s="159" t="s">
        <v>9288</v>
      </c>
      <c r="C40" s="159" t="s">
        <v>1419</v>
      </c>
      <c r="D40" s="159" t="s">
        <v>978</v>
      </c>
      <c r="E40" s="159">
        <v>5</v>
      </c>
      <c r="F40" s="159" t="s">
        <v>5665</v>
      </c>
      <c r="G40" s="159" t="s">
        <v>10240</v>
      </c>
    </row>
    <row r="41" spans="1:7" ht="15.75" customHeight="1">
      <c r="A41" s="159" t="s">
        <v>9275</v>
      </c>
      <c r="B41" s="159" t="s">
        <v>9288</v>
      </c>
      <c r="C41" s="159" t="s">
        <v>10190</v>
      </c>
      <c r="D41" s="159" t="s">
        <v>1413</v>
      </c>
      <c r="E41" s="159"/>
      <c r="F41" s="159" t="s">
        <v>5665</v>
      </c>
      <c r="G41" s="159" t="s">
        <v>10241</v>
      </c>
    </row>
    <row r="42" spans="1:7" ht="15.75" customHeight="1">
      <c r="A42" s="159" t="s">
        <v>9275</v>
      </c>
      <c r="B42" s="159" t="s">
        <v>9288</v>
      </c>
      <c r="C42" s="159" t="s">
        <v>10242</v>
      </c>
      <c r="D42" s="159" t="s">
        <v>1413</v>
      </c>
      <c r="E42" s="159"/>
      <c r="F42" s="159" t="s">
        <v>5665</v>
      </c>
      <c r="G42" s="159" t="s">
        <v>10243</v>
      </c>
    </row>
    <row r="43" spans="1:7" ht="15.75" customHeight="1">
      <c r="A43" s="159" t="s">
        <v>9275</v>
      </c>
      <c r="B43" s="159" t="s">
        <v>9288</v>
      </c>
      <c r="C43" s="159" t="s">
        <v>10244</v>
      </c>
      <c r="D43" s="159" t="s">
        <v>477</v>
      </c>
      <c r="E43" s="159">
        <v>15</v>
      </c>
      <c r="F43" s="159" t="s">
        <v>5665</v>
      </c>
      <c r="G43" s="159" t="s">
        <v>10245</v>
      </c>
    </row>
    <row r="44" spans="1:7" ht="15.75" customHeight="1">
      <c r="A44" s="159" t="s">
        <v>9275</v>
      </c>
      <c r="B44" s="159" t="s">
        <v>9290</v>
      </c>
      <c r="C44" s="159" t="s">
        <v>10246</v>
      </c>
      <c r="D44" s="159" t="s">
        <v>484</v>
      </c>
      <c r="E44" s="159">
        <v>10</v>
      </c>
      <c r="F44" s="159" t="s">
        <v>5665</v>
      </c>
      <c r="G44" s="159" t="s">
        <v>10247</v>
      </c>
    </row>
    <row r="45" spans="1:7" ht="15.75" customHeight="1">
      <c r="A45" s="159" t="s">
        <v>9275</v>
      </c>
      <c r="B45" s="159" t="s">
        <v>9290</v>
      </c>
      <c r="C45" s="159" t="s">
        <v>10188</v>
      </c>
      <c r="D45" s="159" t="s">
        <v>978</v>
      </c>
      <c r="E45" s="159">
        <v>5</v>
      </c>
      <c r="F45" s="159" t="s">
        <v>5665</v>
      </c>
      <c r="G45" s="159" t="s">
        <v>10189</v>
      </c>
    </row>
    <row r="46" spans="1:7" ht="15.75" customHeight="1">
      <c r="A46" s="159" t="s">
        <v>9275</v>
      </c>
      <c r="B46" s="159" t="s">
        <v>9290</v>
      </c>
      <c r="C46" s="159" t="s">
        <v>10248</v>
      </c>
      <c r="D46" s="159" t="s">
        <v>1413</v>
      </c>
      <c r="E46" s="159"/>
      <c r="F46" s="159" t="s">
        <v>5665</v>
      </c>
      <c r="G46" s="159" t="s">
        <v>10191</v>
      </c>
    </row>
    <row r="47" spans="1:7" ht="15.75" customHeight="1">
      <c r="A47" s="159" t="s">
        <v>9275</v>
      </c>
      <c r="B47" s="159" t="s">
        <v>9290</v>
      </c>
      <c r="C47" s="159" t="s">
        <v>5676</v>
      </c>
      <c r="D47" s="159" t="s">
        <v>477</v>
      </c>
      <c r="E47" s="159">
        <v>255</v>
      </c>
      <c r="F47" s="159" t="s">
        <v>5665</v>
      </c>
      <c r="G47" s="159" t="s">
        <v>5186</v>
      </c>
    </row>
    <row r="48" spans="1:7" ht="15.75" customHeight="1">
      <c r="A48" s="159" t="s">
        <v>9275</v>
      </c>
      <c r="B48" s="159" t="s">
        <v>9290</v>
      </c>
      <c r="C48" s="159" t="s">
        <v>5891</v>
      </c>
      <c r="D48" s="159" t="s">
        <v>3893</v>
      </c>
      <c r="E48" s="159">
        <v>65535</v>
      </c>
      <c r="F48" s="159" t="s">
        <v>5667</v>
      </c>
      <c r="G48" s="159" t="s">
        <v>1729</v>
      </c>
    </row>
    <row r="49" spans="1:7" ht="15.75" customHeight="1">
      <c r="A49" s="159" t="s">
        <v>9275</v>
      </c>
      <c r="B49" s="159" t="s">
        <v>9290</v>
      </c>
      <c r="C49" s="159" t="s">
        <v>10249</v>
      </c>
      <c r="D49" s="159" t="s">
        <v>477</v>
      </c>
      <c r="E49" s="159">
        <v>255</v>
      </c>
      <c r="F49" s="159" t="s">
        <v>5667</v>
      </c>
      <c r="G49" s="159" t="s">
        <v>10250</v>
      </c>
    </row>
    <row r="50" spans="1:7" ht="15.75" customHeight="1">
      <c r="A50" s="159" t="s">
        <v>9275</v>
      </c>
      <c r="B50" s="159" t="s">
        <v>9290</v>
      </c>
      <c r="C50" s="159" t="s">
        <v>10251</v>
      </c>
      <c r="D50" s="159" t="s">
        <v>978</v>
      </c>
      <c r="E50" s="159">
        <v>5</v>
      </c>
      <c r="F50" s="159" t="s">
        <v>5665</v>
      </c>
      <c r="G50" s="159" t="s">
        <v>10252</v>
      </c>
    </row>
    <row r="51" spans="1:7" ht="15.75" customHeight="1">
      <c r="A51" s="159" t="s">
        <v>9275</v>
      </c>
      <c r="B51" s="159" t="s">
        <v>9290</v>
      </c>
      <c r="C51" s="159" t="s">
        <v>10253</v>
      </c>
      <c r="D51" s="159" t="s">
        <v>978</v>
      </c>
      <c r="E51" s="159">
        <v>5</v>
      </c>
      <c r="F51" s="159" t="s">
        <v>5665</v>
      </c>
      <c r="G51" s="159" t="s">
        <v>10254</v>
      </c>
    </row>
    <row r="52" spans="1:7" ht="15.75" customHeight="1">
      <c r="A52" s="159" t="s">
        <v>9275</v>
      </c>
      <c r="B52" s="159" t="s">
        <v>9290</v>
      </c>
      <c r="C52" s="159" t="s">
        <v>10255</v>
      </c>
      <c r="D52" s="159" t="s">
        <v>978</v>
      </c>
      <c r="E52" s="159">
        <v>5</v>
      </c>
      <c r="F52" s="159" t="s">
        <v>5665</v>
      </c>
      <c r="G52" s="159" t="s">
        <v>10256</v>
      </c>
    </row>
    <row r="53" spans="1:7" ht="15.75" customHeight="1">
      <c r="A53" s="159" t="s">
        <v>9275</v>
      </c>
      <c r="B53" s="159" t="s">
        <v>9290</v>
      </c>
      <c r="C53" s="159" t="s">
        <v>10257</v>
      </c>
      <c r="D53" s="159" t="s">
        <v>538</v>
      </c>
      <c r="E53" s="159"/>
      <c r="F53" s="159" t="s">
        <v>5667</v>
      </c>
      <c r="G53" s="159" t="s">
        <v>10258</v>
      </c>
    </row>
    <row r="54" spans="1:7" ht="15.75" customHeight="1">
      <c r="A54" s="159" t="s">
        <v>9275</v>
      </c>
      <c r="B54" s="159" t="s">
        <v>9290</v>
      </c>
      <c r="C54" s="159" t="s">
        <v>8862</v>
      </c>
      <c r="D54" s="159" t="s">
        <v>3893</v>
      </c>
      <c r="E54" s="159">
        <v>65535</v>
      </c>
      <c r="F54" s="159" t="s">
        <v>5667</v>
      </c>
      <c r="G54" s="159" t="s">
        <v>10259</v>
      </c>
    </row>
    <row r="55" spans="1:7" ht="15.75" customHeight="1">
      <c r="A55" s="159" t="s">
        <v>9275</v>
      </c>
      <c r="B55" s="159" t="s">
        <v>9292</v>
      </c>
      <c r="C55" s="159" t="s">
        <v>3897</v>
      </c>
      <c r="D55" s="159" t="s">
        <v>484</v>
      </c>
      <c r="E55" s="159">
        <v>10</v>
      </c>
      <c r="F55" s="159" t="s">
        <v>5665</v>
      </c>
      <c r="G55" s="159" t="s">
        <v>10237</v>
      </c>
    </row>
    <row r="56" spans="1:7" ht="15.75" customHeight="1">
      <c r="A56" s="159" t="s">
        <v>9275</v>
      </c>
      <c r="B56" s="159" t="s">
        <v>9292</v>
      </c>
      <c r="C56" s="159" t="s">
        <v>10260</v>
      </c>
      <c r="D56" s="159" t="s">
        <v>484</v>
      </c>
      <c r="E56" s="159">
        <v>10</v>
      </c>
      <c r="F56" s="159" t="s">
        <v>5667</v>
      </c>
      <c r="G56" s="159" t="s">
        <v>10261</v>
      </c>
    </row>
    <row r="57" spans="1:7" ht="15.75" customHeight="1">
      <c r="A57" s="159" t="s">
        <v>9275</v>
      </c>
      <c r="B57" s="159" t="s">
        <v>9292</v>
      </c>
      <c r="C57" s="159" t="s">
        <v>10262</v>
      </c>
      <c r="D57" s="159" t="s">
        <v>484</v>
      </c>
      <c r="E57" s="159">
        <v>10</v>
      </c>
      <c r="F57" s="159" t="s">
        <v>5667</v>
      </c>
      <c r="G57" s="159" t="s">
        <v>10263</v>
      </c>
    </row>
    <row r="58" spans="1:7" ht="15.75" customHeight="1">
      <c r="A58" s="159" t="s">
        <v>9275</v>
      </c>
      <c r="B58" s="159" t="s">
        <v>9292</v>
      </c>
      <c r="C58" s="159" t="s">
        <v>10264</v>
      </c>
      <c r="D58" s="159" t="s">
        <v>484</v>
      </c>
      <c r="E58" s="159">
        <v>10</v>
      </c>
      <c r="F58" s="159" t="s">
        <v>5667</v>
      </c>
      <c r="G58" s="159" t="s">
        <v>10265</v>
      </c>
    </row>
    <row r="59" spans="1:7" ht="15.75" customHeight="1">
      <c r="A59" s="159" t="s">
        <v>9275</v>
      </c>
      <c r="B59" s="159" t="s">
        <v>9292</v>
      </c>
      <c r="C59" s="159" t="s">
        <v>10266</v>
      </c>
      <c r="D59" s="159" t="s">
        <v>484</v>
      </c>
      <c r="E59" s="159">
        <v>10</v>
      </c>
      <c r="F59" s="159" t="s">
        <v>5665</v>
      </c>
      <c r="G59" s="159" t="s">
        <v>10267</v>
      </c>
    </row>
    <row r="60" spans="1:7" ht="15.75" customHeight="1">
      <c r="A60" s="159" t="s">
        <v>9275</v>
      </c>
      <c r="B60" s="159" t="s">
        <v>9292</v>
      </c>
      <c r="C60" s="159" t="s">
        <v>10268</v>
      </c>
      <c r="D60" s="159" t="s">
        <v>477</v>
      </c>
      <c r="E60" s="159">
        <v>255</v>
      </c>
      <c r="F60" s="159" t="s">
        <v>5667</v>
      </c>
      <c r="G60" s="159" t="s">
        <v>10269</v>
      </c>
    </row>
    <row r="61" spans="1:7" ht="15.75" customHeight="1">
      <c r="A61" s="159" t="s">
        <v>9275</v>
      </c>
      <c r="B61" s="159" t="s">
        <v>9294</v>
      </c>
      <c r="C61" s="159" t="s">
        <v>3897</v>
      </c>
      <c r="D61" s="159" t="s">
        <v>484</v>
      </c>
      <c r="E61" s="159">
        <v>10</v>
      </c>
      <c r="F61" s="159" t="s">
        <v>5665</v>
      </c>
      <c r="G61" s="159" t="s">
        <v>10237</v>
      </c>
    </row>
    <row r="62" spans="1:7" ht="15.75" customHeight="1">
      <c r="A62" s="159" t="s">
        <v>9275</v>
      </c>
      <c r="B62" s="159" t="s">
        <v>9294</v>
      </c>
      <c r="C62" s="159" t="s">
        <v>156</v>
      </c>
      <c r="D62" s="159" t="s">
        <v>477</v>
      </c>
      <c r="E62" s="159">
        <v>255</v>
      </c>
      <c r="F62" s="159" t="s">
        <v>5667</v>
      </c>
      <c r="G62" s="159" t="s">
        <v>4306</v>
      </c>
    </row>
    <row r="63" spans="1:7" ht="15.75" customHeight="1">
      <c r="A63" s="159" t="s">
        <v>9275</v>
      </c>
      <c r="B63" s="159" t="s">
        <v>9296</v>
      </c>
      <c r="C63" s="159" t="s">
        <v>3897</v>
      </c>
      <c r="D63" s="159" t="s">
        <v>484</v>
      </c>
      <c r="E63" s="159">
        <v>10</v>
      </c>
      <c r="F63" s="159" t="s">
        <v>5665</v>
      </c>
      <c r="G63" s="159" t="s">
        <v>325</v>
      </c>
    </row>
    <row r="64" spans="1:7" ht="15.75" customHeight="1">
      <c r="A64" s="159" t="s">
        <v>9275</v>
      </c>
      <c r="B64" s="159" t="s">
        <v>9296</v>
      </c>
      <c r="C64" s="159" t="s">
        <v>156</v>
      </c>
      <c r="D64" s="159" t="s">
        <v>477</v>
      </c>
      <c r="E64" s="159">
        <v>255</v>
      </c>
      <c r="F64" s="159" t="s">
        <v>5667</v>
      </c>
      <c r="G64" s="159" t="s">
        <v>10270</v>
      </c>
    </row>
    <row r="65" spans="1:7" ht="15.75" customHeight="1">
      <c r="A65" s="159" t="s">
        <v>9275</v>
      </c>
      <c r="B65" s="159" t="s">
        <v>9298</v>
      </c>
      <c r="C65" s="159" t="s">
        <v>3897</v>
      </c>
      <c r="D65" s="159" t="s">
        <v>484</v>
      </c>
      <c r="E65" s="159">
        <v>10</v>
      </c>
      <c r="F65" s="159" t="s">
        <v>5665</v>
      </c>
      <c r="G65" s="159" t="s">
        <v>10237</v>
      </c>
    </row>
    <row r="66" spans="1:7" ht="15.75" customHeight="1">
      <c r="A66" s="159" t="s">
        <v>9275</v>
      </c>
      <c r="B66" s="159" t="s">
        <v>9298</v>
      </c>
      <c r="C66" s="159" t="s">
        <v>10271</v>
      </c>
      <c r="D66" s="159" t="s">
        <v>484</v>
      </c>
      <c r="E66" s="159">
        <v>10</v>
      </c>
      <c r="F66" s="159" t="s">
        <v>5665</v>
      </c>
      <c r="G66" s="159" t="s">
        <v>10272</v>
      </c>
    </row>
    <row r="67" spans="1:7" ht="15.75" customHeight="1">
      <c r="A67" s="159" t="s">
        <v>9275</v>
      </c>
      <c r="B67" s="159" t="s">
        <v>9298</v>
      </c>
      <c r="C67" s="159" t="s">
        <v>156</v>
      </c>
      <c r="D67" s="159" t="s">
        <v>477</v>
      </c>
      <c r="E67" s="159">
        <v>255</v>
      </c>
      <c r="F67" s="159" t="s">
        <v>5665</v>
      </c>
      <c r="G67" s="159" t="s">
        <v>10273</v>
      </c>
    </row>
    <row r="68" spans="1:7" ht="15.75" customHeight="1">
      <c r="A68" s="159" t="s">
        <v>9275</v>
      </c>
      <c r="B68" s="159" t="s">
        <v>9298</v>
      </c>
      <c r="C68" s="159" t="s">
        <v>3545</v>
      </c>
      <c r="D68" s="159" t="s">
        <v>477</v>
      </c>
      <c r="E68" s="159">
        <v>255</v>
      </c>
      <c r="F68" s="159" t="s">
        <v>5665</v>
      </c>
      <c r="G68" s="159" t="s">
        <v>10274</v>
      </c>
    </row>
    <row r="69" spans="1:7" ht="15.75" customHeight="1">
      <c r="A69" s="159" t="s">
        <v>9275</v>
      </c>
      <c r="B69" s="159" t="s">
        <v>9298</v>
      </c>
      <c r="C69" s="159" t="s">
        <v>10275</v>
      </c>
      <c r="D69" s="159" t="s">
        <v>477</v>
      </c>
      <c r="E69" s="159">
        <v>255</v>
      </c>
      <c r="F69" s="159" t="s">
        <v>5665</v>
      </c>
      <c r="G69" s="159" t="s">
        <v>10276</v>
      </c>
    </row>
    <row r="70" spans="1:7" ht="15.75" customHeight="1">
      <c r="A70" s="159" t="s">
        <v>9275</v>
      </c>
      <c r="B70" s="159" t="s">
        <v>9298</v>
      </c>
      <c r="C70" s="159" t="s">
        <v>1423</v>
      </c>
      <c r="D70" s="159" t="s">
        <v>477</v>
      </c>
      <c r="E70" s="159">
        <v>255</v>
      </c>
      <c r="F70" s="159" t="s">
        <v>5667</v>
      </c>
      <c r="G70" s="159" t="s">
        <v>10277</v>
      </c>
    </row>
    <row r="71" spans="1:7" ht="15.75" customHeight="1">
      <c r="A71" s="159" t="s">
        <v>9275</v>
      </c>
      <c r="B71" s="159" t="s">
        <v>9298</v>
      </c>
      <c r="C71" s="159" t="s">
        <v>10278</v>
      </c>
      <c r="D71" s="159" t="s">
        <v>3893</v>
      </c>
      <c r="E71" s="159">
        <v>65535</v>
      </c>
      <c r="F71" s="159" t="s">
        <v>5667</v>
      </c>
      <c r="G71" s="159" t="s">
        <v>10279</v>
      </c>
    </row>
    <row r="72" spans="1:7" ht="15.75" customHeight="1">
      <c r="A72" s="159" t="s">
        <v>9275</v>
      </c>
      <c r="B72" s="159" t="s">
        <v>9298</v>
      </c>
      <c r="C72" s="159" t="s">
        <v>10227</v>
      </c>
      <c r="D72" s="159" t="s">
        <v>3893</v>
      </c>
      <c r="E72" s="159">
        <v>65535</v>
      </c>
      <c r="F72" s="159" t="s">
        <v>5667</v>
      </c>
      <c r="G72" s="159" t="s">
        <v>10280</v>
      </c>
    </row>
    <row r="73" spans="1:7" ht="15.75" customHeight="1">
      <c r="A73" s="159" t="s">
        <v>9275</v>
      </c>
      <c r="B73" s="159" t="s">
        <v>9298</v>
      </c>
      <c r="C73" s="159" t="s">
        <v>10190</v>
      </c>
      <c r="D73" s="159" t="s">
        <v>1413</v>
      </c>
      <c r="E73" s="159"/>
      <c r="F73" s="159" t="s">
        <v>5665</v>
      </c>
      <c r="G73" s="159" t="s">
        <v>10281</v>
      </c>
    </row>
    <row r="74" spans="1:7" ht="15.75" customHeight="1">
      <c r="A74" s="159" t="s">
        <v>9275</v>
      </c>
      <c r="B74" s="159" t="s">
        <v>9298</v>
      </c>
      <c r="C74" s="159" t="s">
        <v>10242</v>
      </c>
      <c r="D74" s="159" t="s">
        <v>1413</v>
      </c>
      <c r="E74" s="159"/>
      <c r="F74" s="159" t="s">
        <v>5665</v>
      </c>
      <c r="G74" s="159" t="s">
        <v>10282</v>
      </c>
    </row>
    <row r="75" spans="1:7" ht="15.75" customHeight="1">
      <c r="A75" s="159" t="s">
        <v>9275</v>
      </c>
      <c r="B75" s="159" t="s">
        <v>9298</v>
      </c>
      <c r="C75" s="159" t="s">
        <v>10283</v>
      </c>
      <c r="D75" s="159" t="s">
        <v>1413</v>
      </c>
      <c r="E75" s="159"/>
      <c r="F75" s="159" t="s">
        <v>5665</v>
      </c>
      <c r="G75" s="159" t="s">
        <v>10284</v>
      </c>
    </row>
    <row r="76" spans="1:7" ht="15.75" customHeight="1">
      <c r="A76" s="159" t="s">
        <v>9275</v>
      </c>
      <c r="B76" s="159" t="s">
        <v>9300</v>
      </c>
      <c r="C76" s="159" t="s">
        <v>10285</v>
      </c>
      <c r="D76" s="159" t="s">
        <v>484</v>
      </c>
      <c r="E76" s="159">
        <v>10</v>
      </c>
      <c r="F76" s="159" t="s">
        <v>5665</v>
      </c>
      <c r="G76" s="159" t="s">
        <v>10286</v>
      </c>
    </row>
    <row r="77" spans="1:7" ht="15.75" customHeight="1">
      <c r="A77" s="159" t="s">
        <v>9275</v>
      </c>
      <c r="B77" s="159" t="s">
        <v>9300</v>
      </c>
      <c r="C77" s="159" t="s">
        <v>10287</v>
      </c>
      <c r="D77" s="159" t="s">
        <v>484</v>
      </c>
      <c r="E77" s="159">
        <v>10</v>
      </c>
      <c r="F77" s="159" t="s">
        <v>5665</v>
      </c>
      <c r="G77" s="159" t="s">
        <v>10237</v>
      </c>
    </row>
    <row r="78" spans="1:7" ht="15.75" customHeight="1">
      <c r="A78" s="159" t="s">
        <v>9275</v>
      </c>
      <c r="B78" s="159" t="s">
        <v>9301</v>
      </c>
      <c r="C78" s="159" t="s">
        <v>10285</v>
      </c>
      <c r="D78" s="159" t="s">
        <v>484</v>
      </c>
      <c r="E78" s="159">
        <v>10</v>
      </c>
      <c r="F78" s="159" t="s">
        <v>5665</v>
      </c>
      <c r="G78" s="159" t="s">
        <v>10286</v>
      </c>
    </row>
    <row r="79" spans="1:7" ht="15.75" customHeight="1">
      <c r="A79" s="159" t="s">
        <v>9275</v>
      </c>
      <c r="B79" s="159" t="s">
        <v>9301</v>
      </c>
      <c r="C79" s="159" t="s">
        <v>10287</v>
      </c>
      <c r="D79" s="159" t="s">
        <v>484</v>
      </c>
      <c r="E79" s="159">
        <v>10</v>
      </c>
      <c r="F79" s="159" t="s">
        <v>5665</v>
      </c>
      <c r="G79" s="159" t="s">
        <v>10237</v>
      </c>
    </row>
    <row r="80" spans="1:7" ht="15.75" customHeight="1">
      <c r="A80" s="159" t="s">
        <v>9275</v>
      </c>
      <c r="B80" s="159" t="s">
        <v>9302</v>
      </c>
      <c r="C80" s="159" t="s">
        <v>10285</v>
      </c>
      <c r="D80" s="159" t="s">
        <v>484</v>
      </c>
      <c r="E80" s="159">
        <v>10</v>
      </c>
      <c r="F80" s="159" t="s">
        <v>5665</v>
      </c>
      <c r="G80" s="159" t="s">
        <v>10286</v>
      </c>
    </row>
    <row r="81" spans="1:7" ht="15.75" customHeight="1">
      <c r="A81" s="159" t="s">
        <v>9275</v>
      </c>
      <c r="B81" s="159" t="s">
        <v>9302</v>
      </c>
      <c r="C81" s="159" t="s">
        <v>10287</v>
      </c>
      <c r="D81" s="159" t="s">
        <v>484</v>
      </c>
      <c r="E81" s="159">
        <v>10</v>
      </c>
      <c r="F81" s="159" t="s">
        <v>5665</v>
      </c>
      <c r="G81" s="159" t="s">
        <v>10237</v>
      </c>
    </row>
    <row r="82" spans="1:7" ht="15.75" customHeight="1">
      <c r="A82" s="159" t="s">
        <v>9275</v>
      </c>
      <c r="B82" s="159" t="s">
        <v>9303</v>
      </c>
      <c r="C82" s="159" t="s">
        <v>10285</v>
      </c>
      <c r="D82" s="159" t="s">
        <v>484</v>
      </c>
      <c r="E82" s="159">
        <v>10</v>
      </c>
      <c r="F82" s="159" t="s">
        <v>5665</v>
      </c>
      <c r="G82" s="159" t="s">
        <v>10286</v>
      </c>
    </row>
    <row r="83" spans="1:7" ht="15.75" customHeight="1">
      <c r="A83" s="159" t="s">
        <v>9275</v>
      </c>
      <c r="B83" s="159" t="s">
        <v>9303</v>
      </c>
      <c r="C83" s="159" t="s">
        <v>10287</v>
      </c>
      <c r="D83" s="159" t="s">
        <v>484</v>
      </c>
      <c r="E83" s="159">
        <v>10</v>
      </c>
      <c r="F83" s="159" t="s">
        <v>5665</v>
      </c>
      <c r="G83" s="159" t="s">
        <v>10237</v>
      </c>
    </row>
    <row r="84" spans="1:7" ht="15.75" customHeight="1">
      <c r="A84" s="159" t="s">
        <v>9275</v>
      </c>
      <c r="B84" s="159" t="s">
        <v>9304</v>
      </c>
      <c r="C84" s="159" t="s">
        <v>10285</v>
      </c>
      <c r="D84" s="159" t="s">
        <v>484</v>
      </c>
      <c r="E84" s="159">
        <v>10</v>
      </c>
      <c r="F84" s="159" t="s">
        <v>5665</v>
      </c>
      <c r="G84" s="159" t="s">
        <v>10286</v>
      </c>
    </row>
    <row r="85" spans="1:7" ht="15.75" customHeight="1">
      <c r="A85" s="159" t="s">
        <v>9275</v>
      </c>
      <c r="B85" s="159" t="s">
        <v>9304</v>
      </c>
      <c r="C85" s="159" t="s">
        <v>10287</v>
      </c>
      <c r="D85" s="159" t="s">
        <v>484</v>
      </c>
      <c r="E85" s="159">
        <v>10</v>
      </c>
      <c r="F85" s="159" t="s">
        <v>5665</v>
      </c>
      <c r="G85" s="159" t="s">
        <v>10237</v>
      </c>
    </row>
    <row r="86" spans="1:7" ht="15.75" customHeight="1">
      <c r="A86" s="159" t="s">
        <v>9275</v>
      </c>
      <c r="B86" s="159" t="s">
        <v>9305</v>
      </c>
      <c r="C86" s="159" t="s">
        <v>10285</v>
      </c>
      <c r="D86" s="159" t="s">
        <v>484</v>
      </c>
      <c r="E86" s="159">
        <v>10</v>
      </c>
      <c r="F86" s="159" t="s">
        <v>5665</v>
      </c>
      <c r="G86" s="159" t="s">
        <v>10286</v>
      </c>
    </row>
    <row r="87" spans="1:7" ht="15.75" customHeight="1">
      <c r="A87" s="159" t="s">
        <v>9275</v>
      </c>
      <c r="B87" s="159" t="s">
        <v>9305</v>
      </c>
      <c r="C87" s="159" t="s">
        <v>10287</v>
      </c>
      <c r="D87" s="159" t="s">
        <v>484</v>
      </c>
      <c r="E87" s="159">
        <v>10</v>
      </c>
      <c r="F87" s="159" t="s">
        <v>5665</v>
      </c>
      <c r="G87" s="159" t="s">
        <v>10237</v>
      </c>
    </row>
    <row r="88" spans="1:7" ht="15.75" customHeight="1">
      <c r="A88" s="159" t="s">
        <v>9275</v>
      </c>
      <c r="B88" s="159" t="s">
        <v>9306</v>
      </c>
      <c r="C88" s="159" t="s">
        <v>10285</v>
      </c>
      <c r="D88" s="159" t="s">
        <v>484</v>
      </c>
      <c r="E88" s="159">
        <v>10</v>
      </c>
      <c r="F88" s="159" t="s">
        <v>5665</v>
      </c>
      <c r="G88" s="159" t="s">
        <v>10286</v>
      </c>
    </row>
    <row r="89" spans="1:7" ht="15.75" customHeight="1">
      <c r="A89" s="159" t="s">
        <v>9275</v>
      </c>
      <c r="B89" s="159" t="s">
        <v>9306</v>
      </c>
      <c r="C89" s="159" t="s">
        <v>10287</v>
      </c>
      <c r="D89" s="159" t="s">
        <v>484</v>
      </c>
      <c r="E89" s="159">
        <v>10</v>
      </c>
      <c r="F89" s="159" t="s">
        <v>5665</v>
      </c>
      <c r="G89" s="159" t="s">
        <v>10237</v>
      </c>
    </row>
    <row r="90" spans="1:7" ht="15.75" customHeight="1">
      <c r="A90" s="159" t="s">
        <v>9275</v>
      </c>
      <c r="B90" s="159" t="s">
        <v>9307</v>
      </c>
      <c r="C90" s="159" t="s">
        <v>10288</v>
      </c>
      <c r="D90" s="159" t="s">
        <v>484</v>
      </c>
      <c r="E90" s="159">
        <v>10</v>
      </c>
      <c r="F90" s="159" t="s">
        <v>5665</v>
      </c>
      <c r="G90" s="159" t="s">
        <v>10289</v>
      </c>
    </row>
    <row r="91" spans="1:7" ht="15.75" customHeight="1">
      <c r="A91" s="159" t="s">
        <v>9275</v>
      </c>
      <c r="B91" s="159" t="s">
        <v>9307</v>
      </c>
      <c r="C91" s="159" t="s">
        <v>10290</v>
      </c>
      <c r="D91" s="159" t="s">
        <v>484</v>
      </c>
      <c r="E91" s="159">
        <v>10</v>
      </c>
      <c r="F91" s="159" t="s">
        <v>5665</v>
      </c>
      <c r="G91" s="159" t="s">
        <v>10291</v>
      </c>
    </row>
    <row r="92" spans="1:7" ht="15.75" customHeight="1">
      <c r="A92" s="159" t="s">
        <v>9275</v>
      </c>
      <c r="B92" s="159" t="s">
        <v>9307</v>
      </c>
      <c r="C92" s="159" t="s">
        <v>10292</v>
      </c>
      <c r="D92" s="159" t="s">
        <v>3893</v>
      </c>
      <c r="E92" s="159">
        <v>65535</v>
      </c>
      <c r="F92" s="159" t="s">
        <v>5665</v>
      </c>
      <c r="G92" s="159" t="s">
        <v>10293</v>
      </c>
    </row>
    <row r="93" spans="1:7" ht="15.75" customHeight="1">
      <c r="A93" s="159" t="s">
        <v>9275</v>
      </c>
      <c r="B93" s="159" t="s">
        <v>9307</v>
      </c>
      <c r="C93" s="159" t="s">
        <v>10211</v>
      </c>
      <c r="D93" s="159" t="s">
        <v>805</v>
      </c>
      <c r="E93" s="159">
        <v>3</v>
      </c>
      <c r="F93" s="159" t="s">
        <v>5665</v>
      </c>
      <c r="G93" s="159" t="s">
        <v>10294</v>
      </c>
    </row>
    <row r="94" spans="1:7" ht="15.75" customHeight="1">
      <c r="A94" s="159" t="s">
        <v>9275</v>
      </c>
      <c r="B94" s="159" t="s">
        <v>9307</v>
      </c>
      <c r="C94" s="159" t="s">
        <v>5676</v>
      </c>
      <c r="D94" s="159" t="s">
        <v>3893</v>
      </c>
      <c r="E94" s="159">
        <v>65535</v>
      </c>
      <c r="F94" s="159" t="s">
        <v>5665</v>
      </c>
      <c r="G94" s="159" t="s">
        <v>5186</v>
      </c>
    </row>
    <row r="95" spans="1:7" ht="15.75" customHeight="1">
      <c r="A95" s="159" t="s">
        <v>9275</v>
      </c>
      <c r="B95" s="159" t="s">
        <v>9307</v>
      </c>
      <c r="C95" s="159" t="s">
        <v>10295</v>
      </c>
      <c r="D95" s="159" t="s">
        <v>538</v>
      </c>
      <c r="E95" s="159"/>
      <c r="F95" s="159" t="s">
        <v>5667</v>
      </c>
      <c r="G95" s="159" t="s">
        <v>10296</v>
      </c>
    </row>
    <row r="96" spans="1:7" ht="15.75" customHeight="1">
      <c r="A96" s="159" t="s">
        <v>9275</v>
      </c>
      <c r="B96" s="159" t="s">
        <v>9307</v>
      </c>
      <c r="C96" s="159" t="s">
        <v>10297</v>
      </c>
      <c r="D96" s="159" t="s">
        <v>538</v>
      </c>
      <c r="E96" s="159"/>
      <c r="F96" s="159" t="s">
        <v>5667</v>
      </c>
      <c r="G96" s="159" t="s">
        <v>10298</v>
      </c>
    </row>
    <row r="97" spans="1:7" ht="15.75" customHeight="1">
      <c r="A97" s="159" t="s">
        <v>9275</v>
      </c>
      <c r="B97" s="159" t="s">
        <v>9307</v>
      </c>
      <c r="C97" s="159" t="s">
        <v>10299</v>
      </c>
      <c r="D97" s="159" t="s">
        <v>3893</v>
      </c>
      <c r="E97" s="159">
        <v>65535</v>
      </c>
      <c r="F97" s="159" t="s">
        <v>5667</v>
      </c>
      <c r="G97" s="159" t="s">
        <v>10300</v>
      </c>
    </row>
    <row r="98" spans="1:7" ht="15.75" customHeight="1">
      <c r="A98" s="159" t="s">
        <v>9275</v>
      </c>
      <c r="B98" s="159" t="s">
        <v>9307</v>
      </c>
      <c r="C98" s="159" t="s">
        <v>10301</v>
      </c>
      <c r="D98" s="159" t="s">
        <v>3893</v>
      </c>
      <c r="E98" s="159">
        <v>65535</v>
      </c>
      <c r="F98" s="159" t="s">
        <v>5667</v>
      </c>
      <c r="G98" s="159" t="s">
        <v>10302</v>
      </c>
    </row>
    <row r="99" spans="1:7" ht="15.75" customHeight="1">
      <c r="A99" s="159" t="s">
        <v>9275</v>
      </c>
      <c r="B99" s="159" t="s">
        <v>9307</v>
      </c>
      <c r="C99" s="159" t="s">
        <v>10303</v>
      </c>
      <c r="D99" s="159" t="s">
        <v>3893</v>
      </c>
      <c r="E99" s="159">
        <v>65535</v>
      </c>
      <c r="F99" s="159" t="s">
        <v>5667</v>
      </c>
      <c r="G99" s="159" t="s">
        <v>10304</v>
      </c>
    </row>
    <row r="100" spans="1:7" ht="15.75" customHeight="1">
      <c r="A100" s="159" t="s">
        <v>9275</v>
      </c>
      <c r="B100" s="159" t="s">
        <v>9307</v>
      </c>
      <c r="C100" s="159" t="s">
        <v>10305</v>
      </c>
      <c r="D100" s="159" t="s">
        <v>3893</v>
      </c>
      <c r="E100" s="159">
        <v>65535</v>
      </c>
      <c r="F100" s="159" t="s">
        <v>5667</v>
      </c>
      <c r="G100" s="159" t="s">
        <v>10306</v>
      </c>
    </row>
    <row r="101" spans="1:7" ht="15.75" customHeight="1">
      <c r="A101" s="159" t="s">
        <v>9275</v>
      </c>
      <c r="B101" s="159" t="s">
        <v>9307</v>
      </c>
      <c r="C101" s="159" t="s">
        <v>10307</v>
      </c>
      <c r="D101" s="159" t="s">
        <v>3893</v>
      </c>
      <c r="E101" s="159">
        <v>65535</v>
      </c>
      <c r="F101" s="159" t="s">
        <v>5667</v>
      </c>
      <c r="G101" s="159" t="s">
        <v>10308</v>
      </c>
    </row>
    <row r="102" spans="1:7" ht="15.75" customHeight="1">
      <c r="A102" s="159" t="s">
        <v>9275</v>
      </c>
      <c r="B102" s="159" t="s">
        <v>9307</v>
      </c>
      <c r="C102" s="159" t="s">
        <v>10309</v>
      </c>
      <c r="D102" s="159" t="s">
        <v>3893</v>
      </c>
      <c r="E102" s="159">
        <v>65535</v>
      </c>
      <c r="F102" s="159" t="s">
        <v>5665</v>
      </c>
      <c r="G102" s="159" t="s">
        <v>10310</v>
      </c>
    </row>
    <row r="103" spans="1:7" ht="15.75" customHeight="1">
      <c r="A103" s="159" t="s">
        <v>9275</v>
      </c>
      <c r="B103" s="159" t="s">
        <v>9307</v>
      </c>
      <c r="C103" s="159" t="s">
        <v>10311</v>
      </c>
      <c r="D103" s="159" t="s">
        <v>3893</v>
      </c>
      <c r="E103" s="159">
        <v>65535</v>
      </c>
      <c r="F103" s="159" t="s">
        <v>5667</v>
      </c>
      <c r="G103" s="159" t="s">
        <v>10312</v>
      </c>
    </row>
    <row r="104" spans="1:7" ht="15.75" customHeight="1">
      <c r="A104" s="159" t="s">
        <v>9275</v>
      </c>
      <c r="B104" s="159" t="s">
        <v>9307</v>
      </c>
      <c r="C104" s="159" t="s">
        <v>10313</v>
      </c>
      <c r="D104" s="159" t="s">
        <v>3893</v>
      </c>
      <c r="E104" s="159">
        <v>65535</v>
      </c>
      <c r="F104" s="159" t="s">
        <v>5667</v>
      </c>
      <c r="G104" s="159" t="s">
        <v>10314</v>
      </c>
    </row>
    <row r="105" spans="1:7" ht="15.75" customHeight="1">
      <c r="A105" s="159" t="s">
        <v>9275</v>
      </c>
      <c r="B105" s="159" t="s">
        <v>9308</v>
      </c>
      <c r="C105" s="159" t="s">
        <v>10315</v>
      </c>
      <c r="D105" s="159" t="s">
        <v>484</v>
      </c>
      <c r="E105" s="159">
        <v>10</v>
      </c>
      <c r="F105" s="159" t="s">
        <v>5665</v>
      </c>
      <c r="G105" s="159" t="s">
        <v>10316</v>
      </c>
    </row>
    <row r="106" spans="1:7" ht="15.75" customHeight="1">
      <c r="A106" s="159" t="s">
        <v>9275</v>
      </c>
      <c r="B106" s="159" t="s">
        <v>9308</v>
      </c>
      <c r="C106" s="159" t="s">
        <v>10290</v>
      </c>
      <c r="D106" s="159" t="s">
        <v>484</v>
      </c>
      <c r="E106" s="159">
        <v>10</v>
      </c>
      <c r="F106" s="159" t="s">
        <v>5665</v>
      </c>
      <c r="G106" s="159" t="s">
        <v>10291</v>
      </c>
    </row>
    <row r="107" spans="1:7" ht="15.75" customHeight="1">
      <c r="A107" s="159" t="s">
        <v>9275</v>
      </c>
      <c r="B107" s="159" t="s">
        <v>9308</v>
      </c>
      <c r="C107" s="159" t="s">
        <v>10317</v>
      </c>
      <c r="D107" s="159" t="s">
        <v>3893</v>
      </c>
      <c r="E107" s="159">
        <v>65535</v>
      </c>
      <c r="F107" s="159" t="s">
        <v>5665</v>
      </c>
      <c r="G107" s="159" t="s">
        <v>10318</v>
      </c>
    </row>
    <row r="108" spans="1:7" ht="15.75" customHeight="1">
      <c r="A108" s="159" t="s">
        <v>9275</v>
      </c>
      <c r="B108" s="159" t="s">
        <v>9308</v>
      </c>
      <c r="C108" s="159" t="s">
        <v>10319</v>
      </c>
      <c r="D108" s="159" t="s">
        <v>3893</v>
      </c>
      <c r="E108" s="159">
        <v>65535</v>
      </c>
      <c r="F108" s="159" t="s">
        <v>5667</v>
      </c>
      <c r="G108" s="159" t="s">
        <v>10320</v>
      </c>
    </row>
    <row r="109" spans="1:7" ht="15.75" customHeight="1">
      <c r="A109" s="159" t="s">
        <v>9275</v>
      </c>
      <c r="B109" s="159" t="s">
        <v>9308</v>
      </c>
      <c r="C109" s="159" t="s">
        <v>10321</v>
      </c>
      <c r="D109" s="159" t="s">
        <v>3893</v>
      </c>
      <c r="E109" s="159">
        <v>65535</v>
      </c>
      <c r="F109" s="159" t="s">
        <v>5667</v>
      </c>
      <c r="G109" s="159" t="s">
        <v>10322</v>
      </c>
    </row>
    <row r="110" spans="1:7" ht="15.75" customHeight="1">
      <c r="A110" s="159" t="s">
        <v>9275</v>
      </c>
      <c r="B110" s="159" t="s">
        <v>9308</v>
      </c>
      <c r="C110" s="159" t="s">
        <v>10323</v>
      </c>
      <c r="D110" s="159" t="s">
        <v>3893</v>
      </c>
      <c r="E110" s="159">
        <v>65535</v>
      </c>
      <c r="F110" s="159" t="s">
        <v>5667</v>
      </c>
      <c r="G110" s="159" t="s">
        <v>10324</v>
      </c>
    </row>
    <row r="111" spans="1:7" ht="15.75" customHeight="1">
      <c r="A111" s="159" t="s">
        <v>9275</v>
      </c>
      <c r="B111" s="159" t="s">
        <v>9308</v>
      </c>
      <c r="C111" s="159" t="s">
        <v>10325</v>
      </c>
      <c r="D111" s="159" t="s">
        <v>3893</v>
      </c>
      <c r="E111" s="159">
        <v>65535</v>
      </c>
      <c r="F111" s="159" t="s">
        <v>5667</v>
      </c>
      <c r="G111" s="159" t="s">
        <v>10326</v>
      </c>
    </row>
    <row r="112" spans="1:7" ht="15.75" customHeight="1">
      <c r="A112" s="159" t="s">
        <v>9275</v>
      </c>
      <c r="B112" s="159" t="s">
        <v>9308</v>
      </c>
      <c r="C112" s="159" t="s">
        <v>10190</v>
      </c>
      <c r="D112" s="159" t="s">
        <v>538</v>
      </c>
      <c r="E112" s="159"/>
      <c r="F112" s="159" t="s">
        <v>5667</v>
      </c>
      <c r="G112" s="159" t="s">
        <v>10327</v>
      </c>
    </row>
    <row r="113" spans="1:7" ht="15.75" customHeight="1">
      <c r="A113" s="159" t="s">
        <v>9275</v>
      </c>
      <c r="B113" s="159" t="s">
        <v>9309</v>
      </c>
      <c r="C113" s="159" t="s">
        <v>10328</v>
      </c>
      <c r="D113" s="159" t="s">
        <v>484</v>
      </c>
      <c r="E113" s="159">
        <v>10</v>
      </c>
      <c r="F113" s="159" t="s">
        <v>5665</v>
      </c>
      <c r="G113" s="159" t="s">
        <v>10329</v>
      </c>
    </row>
    <row r="114" spans="1:7" ht="15.75" customHeight="1">
      <c r="A114" s="159" t="s">
        <v>9275</v>
      </c>
      <c r="B114" s="159" t="s">
        <v>9309</v>
      </c>
      <c r="C114" s="159" t="s">
        <v>10201</v>
      </c>
      <c r="D114" s="159" t="s">
        <v>538</v>
      </c>
      <c r="E114" s="159"/>
      <c r="F114" s="159" t="s">
        <v>5667</v>
      </c>
      <c r="G114" s="159" t="s">
        <v>10330</v>
      </c>
    </row>
    <row r="115" spans="1:7" ht="15.75" customHeight="1">
      <c r="A115" s="159" t="s">
        <v>9275</v>
      </c>
      <c r="B115" s="159" t="s">
        <v>9309</v>
      </c>
      <c r="C115" s="159" t="s">
        <v>10331</v>
      </c>
      <c r="D115" s="159" t="s">
        <v>538</v>
      </c>
      <c r="E115" s="159"/>
      <c r="F115" s="159" t="s">
        <v>5667</v>
      </c>
      <c r="G115" s="159" t="s">
        <v>10332</v>
      </c>
    </row>
    <row r="116" spans="1:7" ht="15.75" customHeight="1">
      <c r="A116" s="159" t="s">
        <v>9275</v>
      </c>
      <c r="B116" s="159" t="s">
        <v>9309</v>
      </c>
      <c r="C116" s="159" t="s">
        <v>371</v>
      </c>
      <c r="D116" s="159" t="s">
        <v>484</v>
      </c>
      <c r="E116" s="159">
        <v>10</v>
      </c>
      <c r="F116" s="159" t="s">
        <v>5667</v>
      </c>
      <c r="G116" s="159" t="s">
        <v>335</v>
      </c>
    </row>
    <row r="117" spans="1:7" ht="15.75" customHeight="1">
      <c r="A117" s="159" t="s">
        <v>9275</v>
      </c>
      <c r="B117" s="159" t="s">
        <v>9309</v>
      </c>
      <c r="C117" s="159" t="s">
        <v>5592</v>
      </c>
      <c r="D117" s="159" t="s">
        <v>477</v>
      </c>
      <c r="E117" s="159">
        <v>50</v>
      </c>
      <c r="F117" s="159" t="s">
        <v>5665</v>
      </c>
      <c r="G117" s="159" t="s">
        <v>6126</v>
      </c>
    </row>
    <row r="118" spans="1:7" ht="15.75" customHeight="1">
      <c r="A118" s="159" t="s">
        <v>9275</v>
      </c>
      <c r="B118" s="159" t="s">
        <v>9309</v>
      </c>
      <c r="C118" s="159" t="s">
        <v>2078</v>
      </c>
      <c r="D118" s="159" t="s">
        <v>477</v>
      </c>
      <c r="E118" s="159">
        <v>50</v>
      </c>
      <c r="F118" s="159" t="s">
        <v>5665</v>
      </c>
      <c r="G118" s="159" t="s">
        <v>10333</v>
      </c>
    </row>
    <row r="119" spans="1:7" ht="15.75" customHeight="1">
      <c r="A119" s="159" t="s">
        <v>9275</v>
      </c>
      <c r="B119" s="159" t="s">
        <v>9309</v>
      </c>
      <c r="C119" s="159" t="s">
        <v>160</v>
      </c>
      <c r="D119" s="159" t="s">
        <v>10334</v>
      </c>
      <c r="E119" s="159">
        <v>16777215</v>
      </c>
      <c r="F119" s="159" t="s">
        <v>5667</v>
      </c>
      <c r="G119" s="159"/>
    </row>
    <row r="120" spans="1:7" ht="15.75" customHeight="1">
      <c r="A120" s="159" t="s">
        <v>9275</v>
      </c>
      <c r="B120" s="159" t="s">
        <v>9309</v>
      </c>
      <c r="C120" s="159" t="s">
        <v>10335</v>
      </c>
      <c r="D120" s="159" t="s">
        <v>484</v>
      </c>
      <c r="E120" s="159">
        <v>10</v>
      </c>
      <c r="F120" s="159" t="s">
        <v>5665</v>
      </c>
      <c r="G120" s="159" t="s">
        <v>10336</v>
      </c>
    </row>
    <row r="121" spans="1:7" ht="15.75" customHeight="1">
      <c r="A121" s="159" t="s">
        <v>9275</v>
      </c>
      <c r="B121" s="159" t="s">
        <v>9309</v>
      </c>
      <c r="C121" s="159" t="s">
        <v>10337</v>
      </c>
      <c r="D121" s="159" t="s">
        <v>484</v>
      </c>
      <c r="E121" s="159">
        <v>10</v>
      </c>
      <c r="F121" s="159" t="s">
        <v>5665</v>
      </c>
      <c r="G121" s="159" t="s">
        <v>10338</v>
      </c>
    </row>
    <row r="122" spans="1:7" ht="15.75" customHeight="1">
      <c r="A122" s="159" t="s">
        <v>9275</v>
      </c>
      <c r="B122" s="159" t="s">
        <v>9309</v>
      </c>
      <c r="C122" s="159" t="s">
        <v>10339</v>
      </c>
      <c r="D122" s="159" t="s">
        <v>3893</v>
      </c>
      <c r="E122" s="159">
        <v>65535</v>
      </c>
      <c r="F122" s="159" t="s">
        <v>5665</v>
      </c>
      <c r="G122" s="159" t="s">
        <v>10340</v>
      </c>
    </row>
    <row r="123" spans="1:7" ht="15.75" customHeight="1">
      <c r="A123" s="159" t="s">
        <v>9275</v>
      </c>
      <c r="B123" s="159" t="s">
        <v>9309</v>
      </c>
      <c r="C123" s="159" t="s">
        <v>10341</v>
      </c>
      <c r="D123" s="159" t="s">
        <v>484</v>
      </c>
      <c r="E123" s="159">
        <v>10</v>
      </c>
      <c r="F123" s="159" t="s">
        <v>5667</v>
      </c>
      <c r="G123" s="159" t="s">
        <v>10342</v>
      </c>
    </row>
    <row r="124" spans="1:7" ht="15.75" customHeight="1">
      <c r="A124" s="159" t="s">
        <v>9275</v>
      </c>
      <c r="B124" s="159" t="s">
        <v>9309</v>
      </c>
      <c r="C124" s="159" t="s">
        <v>10343</v>
      </c>
      <c r="D124" s="159" t="s">
        <v>484</v>
      </c>
      <c r="E124" s="159">
        <v>10</v>
      </c>
      <c r="F124" s="159" t="s">
        <v>5665</v>
      </c>
      <c r="G124" s="159" t="s">
        <v>10344</v>
      </c>
    </row>
    <row r="125" spans="1:7" ht="15.75" customHeight="1">
      <c r="A125" s="159" t="s">
        <v>9275</v>
      </c>
      <c r="B125" s="159" t="s">
        <v>9310</v>
      </c>
      <c r="C125" s="159" t="s">
        <v>371</v>
      </c>
      <c r="D125" s="159" t="s">
        <v>484</v>
      </c>
      <c r="E125" s="159">
        <v>10</v>
      </c>
      <c r="F125" s="159" t="s">
        <v>5667</v>
      </c>
      <c r="G125" s="159" t="s">
        <v>335</v>
      </c>
    </row>
    <row r="126" spans="1:7" ht="15.75" customHeight="1">
      <c r="A126" s="159" t="s">
        <v>9275</v>
      </c>
      <c r="B126" s="159" t="s">
        <v>9310</v>
      </c>
      <c r="C126" s="159" t="s">
        <v>5592</v>
      </c>
      <c r="D126" s="159" t="s">
        <v>477</v>
      </c>
      <c r="E126" s="159">
        <v>50</v>
      </c>
      <c r="F126" s="159" t="s">
        <v>5665</v>
      </c>
      <c r="G126" s="159" t="s">
        <v>6126</v>
      </c>
    </row>
    <row r="127" spans="1:7" ht="15.75" customHeight="1">
      <c r="A127" s="159" t="s">
        <v>9275</v>
      </c>
      <c r="B127" s="159" t="s">
        <v>9310</v>
      </c>
      <c r="C127" s="159" t="s">
        <v>2078</v>
      </c>
      <c r="D127" s="159" t="s">
        <v>477</v>
      </c>
      <c r="E127" s="159">
        <v>50</v>
      </c>
      <c r="F127" s="159" t="s">
        <v>5665</v>
      </c>
      <c r="G127" s="159" t="s">
        <v>10333</v>
      </c>
    </row>
    <row r="128" spans="1:7" ht="15.75" customHeight="1">
      <c r="A128" s="159" t="s">
        <v>9275</v>
      </c>
      <c r="B128" s="159" t="s">
        <v>9310</v>
      </c>
      <c r="C128" s="159" t="s">
        <v>160</v>
      </c>
      <c r="D128" s="159" t="s">
        <v>3893</v>
      </c>
      <c r="E128" s="159">
        <v>65535</v>
      </c>
      <c r="F128" s="159" t="s">
        <v>5665</v>
      </c>
      <c r="G128" s="159" t="s">
        <v>10345</v>
      </c>
    </row>
    <row r="129" spans="1:7" ht="15.75" customHeight="1">
      <c r="A129" s="159" t="s">
        <v>9275</v>
      </c>
      <c r="B129" s="159" t="s">
        <v>9310</v>
      </c>
      <c r="C129" s="159" t="s">
        <v>10339</v>
      </c>
      <c r="D129" s="159" t="s">
        <v>3893</v>
      </c>
      <c r="E129" s="159">
        <v>65535</v>
      </c>
      <c r="F129" s="159" t="s">
        <v>5665</v>
      </c>
      <c r="G129" s="159" t="s">
        <v>10340</v>
      </c>
    </row>
    <row r="130" spans="1:7" ht="15.75" customHeight="1">
      <c r="A130" s="159" t="s">
        <v>9275</v>
      </c>
      <c r="B130" s="159" t="s">
        <v>9310</v>
      </c>
      <c r="C130" s="159" t="s">
        <v>10341</v>
      </c>
      <c r="D130" s="159" t="s">
        <v>484</v>
      </c>
      <c r="E130" s="159">
        <v>10</v>
      </c>
      <c r="F130" s="159" t="s">
        <v>5667</v>
      </c>
      <c r="G130" s="159" t="s">
        <v>10342</v>
      </c>
    </row>
    <row r="131" spans="1:7" ht="15.75" customHeight="1">
      <c r="A131" s="159" t="s">
        <v>9275</v>
      </c>
      <c r="B131" s="159" t="s">
        <v>9310</v>
      </c>
      <c r="C131" s="159" t="s">
        <v>10190</v>
      </c>
      <c r="D131" s="159" t="s">
        <v>538</v>
      </c>
      <c r="E131" s="159"/>
      <c r="F131" s="159" t="s">
        <v>5665</v>
      </c>
      <c r="G131" s="159" t="s">
        <v>10327</v>
      </c>
    </row>
    <row r="132" spans="1:7" ht="15.75" customHeight="1">
      <c r="A132" s="159" t="s">
        <v>9275</v>
      </c>
      <c r="B132" s="159" t="s">
        <v>9311</v>
      </c>
      <c r="C132" s="159" t="s">
        <v>3897</v>
      </c>
      <c r="D132" s="159" t="s">
        <v>484</v>
      </c>
      <c r="E132" s="159">
        <v>10</v>
      </c>
      <c r="F132" s="159" t="s">
        <v>5665</v>
      </c>
      <c r="G132" s="159" t="s">
        <v>4304</v>
      </c>
    </row>
    <row r="133" spans="1:7" ht="15.75" customHeight="1">
      <c r="A133" s="159" t="s">
        <v>9275</v>
      </c>
      <c r="B133" s="159" t="s">
        <v>9311</v>
      </c>
      <c r="C133" s="159" t="s">
        <v>10346</v>
      </c>
      <c r="D133" s="159" t="s">
        <v>538</v>
      </c>
      <c r="E133" s="159"/>
      <c r="F133" s="159" t="s">
        <v>5665</v>
      </c>
      <c r="G133" s="159" t="s">
        <v>10347</v>
      </c>
    </row>
    <row r="134" spans="1:7" ht="15.75" customHeight="1">
      <c r="A134" s="159" t="s">
        <v>9275</v>
      </c>
      <c r="B134" s="159" t="s">
        <v>9311</v>
      </c>
      <c r="C134" s="159" t="s">
        <v>10348</v>
      </c>
      <c r="D134" s="159" t="s">
        <v>484</v>
      </c>
      <c r="E134" s="159">
        <v>10</v>
      </c>
      <c r="F134" s="159" t="s">
        <v>5665</v>
      </c>
      <c r="G134" s="159" t="s">
        <v>10349</v>
      </c>
    </row>
    <row r="135" spans="1:7" ht="15.75" customHeight="1">
      <c r="A135" s="159" t="s">
        <v>9275</v>
      </c>
      <c r="B135" s="159" t="s">
        <v>9311</v>
      </c>
      <c r="C135" s="159" t="s">
        <v>10350</v>
      </c>
      <c r="D135" s="159" t="s">
        <v>484</v>
      </c>
      <c r="E135" s="159">
        <v>10</v>
      </c>
      <c r="F135" s="159" t="s">
        <v>5665</v>
      </c>
      <c r="G135" s="159" t="s">
        <v>10351</v>
      </c>
    </row>
    <row r="136" spans="1:7" ht="15.75" customHeight="1">
      <c r="A136" s="159" t="s">
        <v>9275</v>
      </c>
      <c r="B136" s="159" t="s">
        <v>9311</v>
      </c>
      <c r="C136" s="159" t="s">
        <v>10352</v>
      </c>
      <c r="D136" s="159" t="s">
        <v>484</v>
      </c>
      <c r="E136" s="159">
        <v>10</v>
      </c>
      <c r="F136" s="159" t="s">
        <v>5665</v>
      </c>
      <c r="G136" s="159" t="s">
        <v>10353</v>
      </c>
    </row>
    <row r="137" spans="1:7" ht="15.75" customHeight="1">
      <c r="A137" s="159" t="s">
        <v>9275</v>
      </c>
      <c r="B137" s="159" t="s">
        <v>9312</v>
      </c>
      <c r="C137" s="159" t="s">
        <v>10287</v>
      </c>
      <c r="D137" s="159" t="s">
        <v>484</v>
      </c>
      <c r="E137" s="159">
        <v>10</v>
      </c>
      <c r="F137" s="159" t="s">
        <v>5665</v>
      </c>
      <c r="G137" s="159" t="s">
        <v>10237</v>
      </c>
    </row>
    <row r="138" spans="1:7" ht="15.75" customHeight="1">
      <c r="A138" s="159" t="s">
        <v>9275</v>
      </c>
      <c r="B138" s="159" t="s">
        <v>9312</v>
      </c>
      <c r="C138" s="159" t="s">
        <v>10354</v>
      </c>
      <c r="D138" s="159" t="s">
        <v>484</v>
      </c>
      <c r="E138" s="159">
        <v>10</v>
      </c>
      <c r="F138" s="159" t="s">
        <v>5665</v>
      </c>
      <c r="G138" s="159" t="s">
        <v>10355</v>
      </c>
    </row>
    <row r="139" spans="1:7" ht="15.75" customHeight="1">
      <c r="A139" s="159" t="s">
        <v>9275</v>
      </c>
      <c r="B139" s="159" t="s">
        <v>9312</v>
      </c>
      <c r="C139" s="159" t="s">
        <v>5624</v>
      </c>
      <c r="D139" s="159" t="s">
        <v>3893</v>
      </c>
      <c r="E139" s="159">
        <v>65535</v>
      </c>
      <c r="F139" s="159" t="s">
        <v>5665</v>
      </c>
      <c r="G139" s="159" t="s">
        <v>10356</v>
      </c>
    </row>
    <row r="140" spans="1:7" ht="15.75" customHeight="1">
      <c r="A140" s="159" t="s">
        <v>9275</v>
      </c>
      <c r="B140" s="159" t="s">
        <v>9312</v>
      </c>
      <c r="C140" s="159" t="s">
        <v>5609</v>
      </c>
      <c r="D140" s="159" t="s">
        <v>978</v>
      </c>
      <c r="E140" s="159">
        <v>5</v>
      </c>
      <c r="F140" s="159" t="s">
        <v>5665</v>
      </c>
      <c r="G140" s="159" t="s">
        <v>10357</v>
      </c>
    </row>
    <row r="141" spans="1:7" ht="15.75" customHeight="1">
      <c r="A141" s="159" t="s">
        <v>9275</v>
      </c>
      <c r="B141" s="159" t="s">
        <v>9312</v>
      </c>
      <c r="C141" s="159" t="s">
        <v>10358</v>
      </c>
      <c r="D141" s="159" t="s">
        <v>805</v>
      </c>
      <c r="E141" s="159">
        <v>3</v>
      </c>
      <c r="F141" s="159" t="s">
        <v>5665</v>
      </c>
      <c r="G141" s="159" t="s">
        <v>10359</v>
      </c>
    </row>
    <row r="142" spans="1:7" ht="15.75" customHeight="1">
      <c r="A142" s="159" t="s">
        <v>9275</v>
      </c>
      <c r="B142" s="159" t="s">
        <v>9312</v>
      </c>
      <c r="C142" s="159" t="s">
        <v>10360</v>
      </c>
      <c r="D142" s="159" t="s">
        <v>805</v>
      </c>
      <c r="E142" s="159">
        <v>3</v>
      </c>
      <c r="F142" s="159" t="s">
        <v>5665</v>
      </c>
      <c r="G142" s="159" t="s">
        <v>10359</v>
      </c>
    </row>
    <row r="143" spans="1:7" ht="15.75" customHeight="1">
      <c r="A143" s="159" t="s">
        <v>9275</v>
      </c>
      <c r="B143" s="159" t="s">
        <v>9312</v>
      </c>
      <c r="C143" s="159" t="s">
        <v>10361</v>
      </c>
      <c r="D143" s="159" t="s">
        <v>477</v>
      </c>
      <c r="E143" s="159">
        <v>255</v>
      </c>
      <c r="F143" s="159" t="s">
        <v>5667</v>
      </c>
      <c r="G143" s="159" t="s">
        <v>10362</v>
      </c>
    </row>
    <row r="144" spans="1:7" ht="15.75" customHeight="1">
      <c r="A144" s="159" t="s">
        <v>9275</v>
      </c>
      <c r="B144" s="159" t="s">
        <v>9312</v>
      </c>
      <c r="C144" s="159" t="s">
        <v>10363</v>
      </c>
      <c r="D144" s="159" t="s">
        <v>1807</v>
      </c>
      <c r="E144" s="159">
        <v>10</v>
      </c>
      <c r="F144" s="159" t="s">
        <v>5667</v>
      </c>
      <c r="G144" s="159" t="s">
        <v>10364</v>
      </c>
    </row>
    <row r="145" spans="1:7" ht="15.75" customHeight="1">
      <c r="A145" s="159" t="s">
        <v>9275</v>
      </c>
      <c r="B145" s="159" t="s">
        <v>9312</v>
      </c>
      <c r="C145" s="159" t="s">
        <v>10365</v>
      </c>
      <c r="D145" s="159" t="s">
        <v>805</v>
      </c>
      <c r="E145" s="159">
        <v>3</v>
      </c>
      <c r="F145" s="159" t="s">
        <v>5665</v>
      </c>
      <c r="G145" s="159" t="s">
        <v>10366</v>
      </c>
    </row>
    <row r="146" spans="1:7" ht="15.75" customHeight="1">
      <c r="A146" s="159" t="s">
        <v>9275</v>
      </c>
      <c r="B146" s="159" t="s">
        <v>9312</v>
      </c>
      <c r="C146" s="159" t="s">
        <v>10367</v>
      </c>
      <c r="D146" s="159" t="s">
        <v>805</v>
      </c>
      <c r="E146" s="159">
        <v>3</v>
      </c>
      <c r="F146" s="159" t="s">
        <v>5665</v>
      </c>
      <c r="G146" s="159" t="s">
        <v>10368</v>
      </c>
    </row>
    <row r="147" spans="1:7" ht="15.75" customHeight="1">
      <c r="A147" s="159" t="s">
        <v>9275</v>
      </c>
      <c r="B147" s="159" t="s">
        <v>9314</v>
      </c>
      <c r="C147" s="159" t="s">
        <v>10287</v>
      </c>
      <c r="D147" s="159" t="s">
        <v>484</v>
      </c>
      <c r="E147" s="159">
        <v>10</v>
      </c>
      <c r="F147" s="159" t="s">
        <v>5665</v>
      </c>
      <c r="G147" s="159" t="s">
        <v>10237</v>
      </c>
    </row>
    <row r="148" spans="1:7" ht="15.75" customHeight="1">
      <c r="A148" s="159" t="s">
        <v>9275</v>
      </c>
      <c r="B148" s="159" t="s">
        <v>9314</v>
      </c>
      <c r="C148" s="159" t="s">
        <v>10354</v>
      </c>
      <c r="D148" s="159" t="s">
        <v>484</v>
      </c>
      <c r="E148" s="159">
        <v>10</v>
      </c>
      <c r="F148" s="159" t="s">
        <v>5665</v>
      </c>
      <c r="G148" s="159" t="s">
        <v>10355</v>
      </c>
    </row>
    <row r="149" spans="1:7" ht="15.75" customHeight="1">
      <c r="A149" s="159" t="s">
        <v>9275</v>
      </c>
      <c r="B149" s="159" t="s">
        <v>9314</v>
      </c>
      <c r="C149" s="159" t="s">
        <v>10369</v>
      </c>
      <c r="D149" s="159" t="s">
        <v>3893</v>
      </c>
      <c r="E149" s="159">
        <v>65535</v>
      </c>
      <c r="F149" s="159" t="s">
        <v>5665</v>
      </c>
      <c r="G149" s="159" t="s">
        <v>10370</v>
      </c>
    </row>
    <row r="150" spans="1:7" ht="15.75" customHeight="1">
      <c r="A150" s="159" t="s">
        <v>9275</v>
      </c>
      <c r="B150" s="159" t="s">
        <v>9314</v>
      </c>
      <c r="C150" s="159" t="s">
        <v>10371</v>
      </c>
      <c r="D150" s="159" t="s">
        <v>978</v>
      </c>
      <c r="E150" s="159">
        <v>5</v>
      </c>
      <c r="F150" s="159" t="s">
        <v>5665</v>
      </c>
      <c r="G150" s="159" t="s">
        <v>10372</v>
      </c>
    </row>
    <row r="151" spans="1:7" ht="15.75" customHeight="1">
      <c r="A151" s="159" t="s">
        <v>9275</v>
      </c>
      <c r="B151" s="159" t="s">
        <v>9314</v>
      </c>
      <c r="C151" s="159" t="s">
        <v>10373</v>
      </c>
      <c r="D151" s="159" t="s">
        <v>3893</v>
      </c>
      <c r="E151" s="159">
        <v>65535</v>
      </c>
      <c r="F151" s="159" t="s">
        <v>5665</v>
      </c>
      <c r="G151" s="159" t="s">
        <v>10374</v>
      </c>
    </row>
    <row r="152" spans="1:7" ht="15.75" customHeight="1">
      <c r="A152" s="159" t="s">
        <v>9275</v>
      </c>
      <c r="B152" s="159" t="s">
        <v>9314</v>
      </c>
      <c r="C152" s="159" t="s">
        <v>10375</v>
      </c>
      <c r="D152" s="159" t="s">
        <v>3893</v>
      </c>
      <c r="E152" s="159">
        <v>65535</v>
      </c>
      <c r="F152" s="159" t="s">
        <v>5665</v>
      </c>
      <c r="G152" s="159" t="s">
        <v>10376</v>
      </c>
    </row>
    <row r="153" spans="1:7" ht="15.75" customHeight="1">
      <c r="A153" s="159" t="s">
        <v>9275</v>
      </c>
      <c r="B153" s="159" t="s">
        <v>9314</v>
      </c>
      <c r="C153" s="159" t="s">
        <v>10377</v>
      </c>
      <c r="D153" s="159" t="s">
        <v>3893</v>
      </c>
      <c r="E153" s="159">
        <v>65535</v>
      </c>
      <c r="F153" s="159" t="s">
        <v>5665</v>
      </c>
      <c r="G153" s="159" t="s">
        <v>10378</v>
      </c>
    </row>
    <row r="154" spans="1:7" ht="15.75" customHeight="1">
      <c r="A154" s="159" t="s">
        <v>9275</v>
      </c>
      <c r="B154" s="159" t="s">
        <v>9314</v>
      </c>
      <c r="C154" s="159" t="s">
        <v>10379</v>
      </c>
      <c r="D154" s="159" t="s">
        <v>3893</v>
      </c>
      <c r="E154" s="159">
        <v>65535</v>
      </c>
      <c r="F154" s="159" t="s">
        <v>5665</v>
      </c>
      <c r="G154" s="159" t="s">
        <v>10380</v>
      </c>
    </row>
    <row r="155" spans="1:7" ht="15.75" customHeight="1">
      <c r="A155" s="159" t="s">
        <v>9275</v>
      </c>
      <c r="B155" s="159" t="s">
        <v>9314</v>
      </c>
      <c r="C155" s="159" t="s">
        <v>10381</v>
      </c>
      <c r="D155" s="159" t="s">
        <v>3893</v>
      </c>
      <c r="E155" s="159">
        <v>65535</v>
      </c>
      <c r="F155" s="159" t="s">
        <v>5665</v>
      </c>
      <c r="G155" s="159" t="s">
        <v>10382</v>
      </c>
    </row>
    <row r="156" spans="1:7" ht="15.75" customHeight="1">
      <c r="A156" s="159" t="s">
        <v>9275</v>
      </c>
      <c r="B156" s="159" t="s">
        <v>9314</v>
      </c>
      <c r="C156" s="159" t="s">
        <v>10383</v>
      </c>
      <c r="D156" s="159" t="s">
        <v>477</v>
      </c>
      <c r="E156" s="159">
        <v>4</v>
      </c>
      <c r="F156" s="159" t="s">
        <v>5665</v>
      </c>
      <c r="G156" s="159" t="s">
        <v>10384</v>
      </c>
    </row>
    <row r="157" spans="1:7" ht="15.75" customHeight="1">
      <c r="A157" s="159" t="s">
        <v>9275</v>
      </c>
      <c r="B157" s="159" t="s">
        <v>9314</v>
      </c>
      <c r="C157" s="159" t="s">
        <v>10385</v>
      </c>
      <c r="D157" s="159" t="s">
        <v>978</v>
      </c>
      <c r="E157" s="159">
        <v>5</v>
      </c>
      <c r="F157" s="159" t="s">
        <v>5665</v>
      </c>
      <c r="G157" s="159" t="s">
        <v>10386</v>
      </c>
    </row>
    <row r="158" spans="1:7" ht="15.75" customHeight="1">
      <c r="A158" s="159" t="s">
        <v>9275</v>
      </c>
      <c r="B158" s="159" t="s">
        <v>9316</v>
      </c>
      <c r="C158" s="159" t="s">
        <v>10287</v>
      </c>
      <c r="D158" s="159" t="s">
        <v>484</v>
      </c>
      <c r="E158" s="159">
        <v>10</v>
      </c>
      <c r="F158" s="159" t="s">
        <v>5665</v>
      </c>
      <c r="G158" s="159" t="s">
        <v>10237</v>
      </c>
    </row>
    <row r="159" spans="1:7" ht="15.75" customHeight="1">
      <c r="A159" s="159" t="s">
        <v>9275</v>
      </c>
      <c r="B159" s="159" t="s">
        <v>9316</v>
      </c>
      <c r="C159" s="159" t="s">
        <v>10354</v>
      </c>
      <c r="D159" s="159" t="s">
        <v>484</v>
      </c>
      <c r="E159" s="159">
        <v>10</v>
      </c>
      <c r="F159" s="159" t="s">
        <v>5665</v>
      </c>
      <c r="G159" s="159" t="s">
        <v>10387</v>
      </c>
    </row>
    <row r="160" spans="1:7" ht="15.75" customHeight="1">
      <c r="A160" s="159" t="s">
        <v>9275</v>
      </c>
      <c r="B160" s="159" t="s">
        <v>9316</v>
      </c>
      <c r="C160" s="159" t="s">
        <v>10388</v>
      </c>
      <c r="D160" s="159" t="s">
        <v>484</v>
      </c>
      <c r="E160" s="159">
        <v>10</v>
      </c>
      <c r="F160" s="159" t="s">
        <v>5665</v>
      </c>
      <c r="G160" s="159" t="s">
        <v>10389</v>
      </c>
    </row>
    <row r="161" spans="1:7" ht="15.75" customHeight="1">
      <c r="A161" s="159" t="s">
        <v>9275</v>
      </c>
      <c r="B161" s="159" t="s">
        <v>9317</v>
      </c>
      <c r="C161" s="159" t="s">
        <v>10287</v>
      </c>
      <c r="D161" s="159" t="s">
        <v>484</v>
      </c>
      <c r="E161" s="159">
        <v>10</v>
      </c>
      <c r="F161" s="159" t="s">
        <v>5665</v>
      </c>
      <c r="G161" s="159" t="s">
        <v>10237</v>
      </c>
    </row>
    <row r="162" spans="1:7" ht="15.75" customHeight="1">
      <c r="A162" s="159" t="s">
        <v>9275</v>
      </c>
      <c r="B162" s="159" t="s">
        <v>9317</v>
      </c>
      <c r="C162" s="159" t="s">
        <v>10354</v>
      </c>
      <c r="D162" s="159" t="s">
        <v>484</v>
      </c>
      <c r="E162" s="159">
        <v>10</v>
      </c>
      <c r="F162" s="159" t="s">
        <v>5665</v>
      </c>
      <c r="G162" s="159" t="s">
        <v>10387</v>
      </c>
    </row>
    <row r="163" spans="1:7" ht="15.75" customHeight="1">
      <c r="A163" s="159" t="s">
        <v>9275</v>
      </c>
      <c r="B163" s="159" t="s">
        <v>9317</v>
      </c>
      <c r="C163" s="159" t="s">
        <v>10390</v>
      </c>
      <c r="D163" s="159" t="s">
        <v>484</v>
      </c>
      <c r="E163" s="159">
        <v>10</v>
      </c>
      <c r="F163" s="159" t="s">
        <v>5665</v>
      </c>
      <c r="G163" s="159" t="s">
        <v>10391</v>
      </c>
    </row>
    <row r="164" spans="1:7" ht="15.75" customHeight="1">
      <c r="A164" s="159" t="s">
        <v>9275</v>
      </c>
      <c r="B164" s="159" t="s">
        <v>9318</v>
      </c>
      <c r="C164" s="159" t="s">
        <v>10287</v>
      </c>
      <c r="D164" s="159" t="s">
        <v>978</v>
      </c>
      <c r="E164" s="159">
        <v>5</v>
      </c>
      <c r="F164" s="159" t="s">
        <v>5665</v>
      </c>
      <c r="G164" s="159" t="s">
        <v>10392</v>
      </c>
    </row>
    <row r="165" spans="1:7" ht="15.75" customHeight="1">
      <c r="A165" s="159" t="s">
        <v>9275</v>
      </c>
      <c r="B165" s="159" t="s">
        <v>9318</v>
      </c>
      <c r="C165" s="159" t="s">
        <v>10393</v>
      </c>
      <c r="D165" s="159" t="s">
        <v>978</v>
      </c>
      <c r="E165" s="159">
        <v>5</v>
      </c>
      <c r="F165" s="159" t="s">
        <v>5665</v>
      </c>
      <c r="G165" s="159" t="s">
        <v>10394</v>
      </c>
    </row>
    <row r="166" spans="1:7" ht="15.75" customHeight="1">
      <c r="A166" s="159" t="s">
        <v>9275</v>
      </c>
      <c r="B166" s="159" t="s">
        <v>9318</v>
      </c>
      <c r="C166" s="159" t="s">
        <v>10395</v>
      </c>
      <c r="D166" s="159" t="s">
        <v>805</v>
      </c>
      <c r="E166" s="159">
        <v>3</v>
      </c>
      <c r="F166" s="159" t="s">
        <v>5665</v>
      </c>
      <c r="G166" s="159" t="s">
        <v>10396</v>
      </c>
    </row>
    <row r="167" spans="1:7" ht="15.75" customHeight="1">
      <c r="A167" s="159" t="s">
        <v>9275</v>
      </c>
      <c r="B167" s="159" t="s">
        <v>9319</v>
      </c>
      <c r="C167" s="159" t="s">
        <v>10397</v>
      </c>
      <c r="D167" s="159" t="s">
        <v>978</v>
      </c>
      <c r="E167" s="159">
        <v>5</v>
      </c>
      <c r="F167" s="159" t="s">
        <v>5665</v>
      </c>
      <c r="G167" s="159" t="s">
        <v>10398</v>
      </c>
    </row>
    <row r="168" spans="1:7" ht="15.75" customHeight="1">
      <c r="A168" s="159" t="s">
        <v>9275</v>
      </c>
      <c r="B168" s="159" t="s">
        <v>9319</v>
      </c>
      <c r="C168" s="159" t="s">
        <v>10399</v>
      </c>
      <c r="D168" s="159" t="s">
        <v>477</v>
      </c>
      <c r="E168" s="159">
        <v>100</v>
      </c>
      <c r="F168" s="159" t="s">
        <v>5665</v>
      </c>
      <c r="G168" s="159" t="s">
        <v>10400</v>
      </c>
    </row>
    <row r="169" spans="1:7" ht="15.75" customHeight="1">
      <c r="A169" s="159" t="s">
        <v>9275</v>
      </c>
      <c r="B169" s="159" t="s">
        <v>9319</v>
      </c>
      <c r="C169" s="159" t="s">
        <v>10401</v>
      </c>
      <c r="D169" s="159" t="s">
        <v>978</v>
      </c>
      <c r="E169" s="159">
        <v>5</v>
      </c>
      <c r="F169" s="159" t="s">
        <v>5665</v>
      </c>
      <c r="G169" s="159" t="s">
        <v>10402</v>
      </c>
    </row>
    <row r="170" spans="1:7" ht="15.75" customHeight="1">
      <c r="A170" s="159" t="s">
        <v>9275</v>
      </c>
      <c r="B170" s="159" t="s">
        <v>9319</v>
      </c>
      <c r="C170" s="159" t="s">
        <v>10403</v>
      </c>
      <c r="D170" s="159" t="s">
        <v>978</v>
      </c>
      <c r="E170" s="159">
        <v>5</v>
      </c>
      <c r="F170" s="159" t="s">
        <v>5665</v>
      </c>
      <c r="G170" s="159" t="s">
        <v>10404</v>
      </c>
    </row>
    <row r="171" spans="1:7" ht="15.75" customHeight="1">
      <c r="A171" s="159" t="s">
        <v>9275</v>
      </c>
      <c r="B171" s="159" t="s">
        <v>9319</v>
      </c>
      <c r="C171" s="159" t="s">
        <v>10405</v>
      </c>
      <c r="D171" s="159" t="s">
        <v>978</v>
      </c>
      <c r="E171" s="159">
        <v>5</v>
      </c>
      <c r="F171" s="159" t="s">
        <v>5665</v>
      </c>
      <c r="G171" s="159" t="s">
        <v>10406</v>
      </c>
    </row>
    <row r="172" spans="1:7" ht="15.75" customHeight="1">
      <c r="A172" s="159" t="s">
        <v>9275</v>
      </c>
      <c r="B172" s="159" t="s">
        <v>9319</v>
      </c>
      <c r="C172" s="159" t="s">
        <v>10407</v>
      </c>
      <c r="D172" s="159" t="s">
        <v>481</v>
      </c>
      <c r="E172" s="159">
        <v>12</v>
      </c>
      <c r="F172" s="159" t="s">
        <v>5665</v>
      </c>
      <c r="G172" s="159" t="s">
        <v>10408</v>
      </c>
    </row>
    <row r="173" spans="1:7" ht="15.75" customHeight="1">
      <c r="A173" s="159" t="s">
        <v>9275</v>
      </c>
      <c r="B173" s="159" t="s">
        <v>9319</v>
      </c>
      <c r="C173" s="159" t="s">
        <v>10409</v>
      </c>
      <c r="D173" s="159" t="s">
        <v>805</v>
      </c>
      <c r="E173" s="159">
        <v>3</v>
      </c>
      <c r="F173" s="159" t="s">
        <v>5665</v>
      </c>
      <c r="G173" s="159" t="s">
        <v>10410</v>
      </c>
    </row>
    <row r="174" spans="1:7" ht="15.75" customHeight="1">
      <c r="A174" s="159" t="s">
        <v>9275</v>
      </c>
      <c r="B174" s="159" t="s">
        <v>9319</v>
      </c>
      <c r="C174" s="159" t="s">
        <v>10411</v>
      </c>
      <c r="D174" s="159" t="s">
        <v>477</v>
      </c>
      <c r="E174" s="159">
        <v>255</v>
      </c>
      <c r="F174" s="159" t="s">
        <v>5665</v>
      </c>
      <c r="G174" s="159" t="s">
        <v>10412</v>
      </c>
    </row>
    <row r="175" spans="1:7" ht="15.75" customHeight="1">
      <c r="A175" s="159" t="s">
        <v>9275</v>
      </c>
      <c r="B175" s="159" t="s">
        <v>9319</v>
      </c>
      <c r="C175" s="159" t="s">
        <v>10413</v>
      </c>
      <c r="D175" s="159" t="s">
        <v>484</v>
      </c>
      <c r="E175" s="159">
        <v>10</v>
      </c>
      <c r="F175" s="159" t="s">
        <v>5665</v>
      </c>
      <c r="G175" s="159" t="s">
        <v>10414</v>
      </c>
    </row>
    <row r="176" spans="1:7" ht="15.75" customHeight="1">
      <c r="A176" s="159" t="s">
        <v>9275</v>
      </c>
      <c r="B176" s="159" t="s">
        <v>9319</v>
      </c>
      <c r="C176" s="159" t="s">
        <v>10415</v>
      </c>
      <c r="D176" s="159" t="s">
        <v>484</v>
      </c>
      <c r="E176" s="159">
        <v>10</v>
      </c>
      <c r="F176" s="159" t="s">
        <v>5665</v>
      </c>
      <c r="G176" s="159" t="s">
        <v>10416</v>
      </c>
    </row>
    <row r="177" spans="1:7" ht="15.75" customHeight="1">
      <c r="A177" s="159" t="s">
        <v>9275</v>
      </c>
      <c r="B177" s="159" t="s">
        <v>9319</v>
      </c>
      <c r="C177" s="159" t="s">
        <v>10417</v>
      </c>
      <c r="D177" s="159" t="s">
        <v>978</v>
      </c>
      <c r="E177" s="159">
        <v>5</v>
      </c>
      <c r="F177" s="159" t="s">
        <v>5665</v>
      </c>
      <c r="G177" s="159" t="s">
        <v>10418</v>
      </c>
    </row>
    <row r="178" spans="1:7" ht="15.75" customHeight="1">
      <c r="A178" s="159" t="s">
        <v>9275</v>
      </c>
      <c r="B178" s="159" t="s">
        <v>9319</v>
      </c>
      <c r="C178" s="159" t="s">
        <v>10419</v>
      </c>
      <c r="D178" s="159" t="s">
        <v>978</v>
      </c>
      <c r="E178" s="159">
        <v>5</v>
      </c>
      <c r="F178" s="159" t="s">
        <v>5665</v>
      </c>
      <c r="G178" s="159" t="s">
        <v>10420</v>
      </c>
    </row>
    <row r="179" spans="1:7" ht="15.75" customHeight="1">
      <c r="A179" s="159" t="s">
        <v>9275</v>
      </c>
      <c r="B179" s="159" t="s">
        <v>9319</v>
      </c>
      <c r="C179" s="159" t="s">
        <v>10421</v>
      </c>
      <c r="D179" s="159" t="s">
        <v>978</v>
      </c>
      <c r="E179" s="159">
        <v>5</v>
      </c>
      <c r="F179" s="159" t="s">
        <v>5665</v>
      </c>
      <c r="G179" s="159" t="s">
        <v>10422</v>
      </c>
    </row>
    <row r="180" spans="1:7" ht="15.75" customHeight="1">
      <c r="A180" s="159" t="s">
        <v>9275</v>
      </c>
      <c r="B180" s="159" t="s">
        <v>9319</v>
      </c>
      <c r="C180" s="159" t="s">
        <v>10423</v>
      </c>
      <c r="D180" s="159" t="s">
        <v>978</v>
      </c>
      <c r="E180" s="159">
        <v>5</v>
      </c>
      <c r="F180" s="159" t="s">
        <v>5665</v>
      </c>
      <c r="G180" s="159" t="s">
        <v>10424</v>
      </c>
    </row>
    <row r="181" spans="1:7" ht="15.75" customHeight="1">
      <c r="A181" s="159" t="s">
        <v>9275</v>
      </c>
      <c r="B181" s="159" t="s">
        <v>9319</v>
      </c>
      <c r="C181" s="159" t="s">
        <v>10425</v>
      </c>
      <c r="D181" s="159" t="s">
        <v>978</v>
      </c>
      <c r="E181" s="159">
        <v>5</v>
      </c>
      <c r="F181" s="159" t="s">
        <v>5665</v>
      </c>
      <c r="G181" s="159" t="s">
        <v>10426</v>
      </c>
    </row>
    <row r="182" spans="1:7" ht="15.75" customHeight="1">
      <c r="A182" s="159" t="s">
        <v>9275</v>
      </c>
      <c r="B182" s="159" t="s">
        <v>9319</v>
      </c>
      <c r="C182" s="159" t="s">
        <v>10427</v>
      </c>
      <c r="D182" s="159" t="s">
        <v>3893</v>
      </c>
      <c r="E182" s="159">
        <v>65535</v>
      </c>
      <c r="F182" s="159" t="s">
        <v>5665</v>
      </c>
      <c r="G182" s="159" t="s">
        <v>10428</v>
      </c>
    </row>
    <row r="183" spans="1:7" ht="15.75" customHeight="1">
      <c r="A183" s="159" t="s">
        <v>9275</v>
      </c>
      <c r="B183" s="159" t="s">
        <v>9319</v>
      </c>
      <c r="C183" s="159" t="s">
        <v>10429</v>
      </c>
      <c r="D183" s="159" t="s">
        <v>978</v>
      </c>
      <c r="E183" s="159">
        <v>5</v>
      </c>
      <c r="F183" s="159" t="s">
        <v>5665</v>
      </c>
      <c r="G183" s="159" t="s">
        <v>10430</v>
      </c>
    </row>
    <row r="184" spans="1:7" ht="15.75" customHeight="1">
      <c r="A184" s="159" t="s">
        <v>9275</v>
      </c>
      <c r="B184" s="159" t="s">
        <v>9319</v>
      </c>
      <c r="C184" s="159" t="s">
        <v>10431</v>
      </c>
      <c r="D184" s="159" t="s">
        <v>805</v>
      </c>
      <c r="E184" s="159">
        <v>3</v>
      </c>
      <c r="F184" s="159" t="s">
        <v>5665</v>
      </c>
      <c r="G184" s="159" t="s">
        <v>10432</v>
      </c>
    </row>
    <row r="185" spans="1:7" ht="15.75" customHeight="1">
      <c r="A185" s="159" t="s">
        <v>9275</v>
      </c>
      <c r="B185" s="159" t="s">
        <v>9319</v>
      </c>
      <c r="C185" s="159" t="s">
        <v>10433</v>
      </c>
      <c r="D185" s="159" t="s">
        <v>477</v>
      </c>
      <c r="E185" s="159">
        <v>255</v>
      </c>
      <c r="F185" s="159" t="s">
        <v>5665</v>
      </c>
      <c r="G185" s="159" t="s">
        <v>10434</v>
      </c>
    </row>
    <row r="186" spans="1:7" ht="15.75" customHeight="1">
      <c r="A186" s="159" t="s">
        <v>9275</v>
      </c>
      <c r="B186" s="159" t="s">
        <v>9319</v>
      </c>
      <c r="C186" s="159" t="s">
        <v>10435</v>
      </c>
      <c r="D186" s="159" t="s">
        <v>3893</v>
      </c>
      <c r="E186" s="159">
        <v>65535</v>
      </c>
      <c r="F186" s="159" t="s">
        <v>5665</v>
      </c>
      <c r="G186" s="159" t="s">
        <v>10436</v>
      </c>
    </row>
    <row r="187" spans="1:7" ht="15.75" customHeight="1">
      <c r="A187" s="159" t="s">
        <v>9275</v>
      </c>
      <c r="B187" s="159" t="s">
        <v>9319</v>
      </c>
      <c r="C187" s="159" t="s">
        <v>10437</v>
      </c>
      <c r="D187" s="159" t="s">
        <v>3893</v>
      </c>
      <c r="E187" s="159">
        <v>65535</v>
      </c>
      <c r="F187" s="159" t="s">
        <v>5665</v>
      </c>
      <c r="G187" s="159" t="s">
        <v>10438</v>
      </c>
    </row>
    <row r="188" spans="1:7" ht="15.75" customHeight="1">
      <c r="A188" s="159" t="s">
        <v>9275</v>
      </c>
      <c r="B188" s="159" t="s">
        <v>9319</v>
      </c>
      <c r="C188" s="159" t="s">
        <v>10439</v>
      </c>
      <c r="D188" s="159" t="s">
        <v>3893</v>
      </c>
      <c r="E188" s="159">
        <v>65535</v>
      </c>
      <c r="F188" s="159" t="s">
        <v>5665</v>
      </c>
      <c r="G188" s="159" t="s">
        <v>10440</v>
      </c>
    </row>
    <row r="189" spans="1:7" ht="15.75" customHeight="1">
      <c r="A189" s="159" t="s">
        <v>9275</v>
      </c>
      <c r="B189" s="159" t="s">
        <v>9319</v>
      </c>
      <c r="C189" s="159" t="s">
        <v>10441</v>
      </c>
      <c r="D189" s="159" t="s">
        <v>978</v>
      </c>
      <c r="E189" s="159">
        <v>5</v>
      </c>
      <c r="F189" s="159" t="s">
        <v>5665</v>
      </c>
      <c r="G189" s="159" t="s">
        <v>10442</v>
      </c>
    </row>
    <row r="190" spans="1:7" ht="15.75" customHeight="1">
      <c r="A190" s="159" t="s">
        <v>9275</v>
      </c>
      <c r="B190" s="159" t="s">
        <v>9319</v>
      </c>
      <c r="C190" s="159" t="s">
        <v>10443</v>
      </c>
      <c r="D190" s="159" t="s">
        <v>481</v>
      </c>
      <c r="E190" s="159">
        <v>12</v>
      </c>
      <c r="F190" s="159" t="s">
        <v>5667</v>
      </c>
      <c r="G190" s="159" t="s">
        <v>10444</v>
      </c>
    </row>
    <row r="191" spans="1:7" ht="15.75" customHeight="1">
      <c r="A191" s="159" t="s">
        <v>9275</v>
      </c>
      <c r="B191" s="159" t="s">
        <v>9319</v>
      </c>
      <c r="C191" s="159" t="s">
        <v>10445</v>
      </c>
      <c r="D191" s="159" t="s">
        <v>481</v>
      </c>
      <c r="E191" s="159">
        <v>12</v>
      </c>
      <c r="F191" s="159" t="s">
        <v>5667</v>
      </c>
      <c r="G191" s="159" t="s">
        <v>10446</v>
      </c>
    </row>
    <row r="192" spans="1:7" ht="15.75" customHeight="1">
      <c r="A192" s="159" t="s">
        <v>9275</v>
      </c>
      <c r="B192" s="159" t="s">
        <v>9319</v>
      </c>
      <c r="C192" s="159" t="s">
        <v>10447</v>
      </c>
      <c r="D192" s="159" t="s">
        <v>978</v>
      </c>
      <c r="E192" s="159">
        <v>5</v>
      </c>
      <c r="F192" s="159" t="s">
        <v>5665</v>
      </c>
      <c r="G192" s="159" t="s">
        <v>10448</v>
      </c>
    </row>
    <row r="193" spans="1:7" ht="15.75" customHeight="1">
      <c r="A193" s="159" t="s">
        <v>9275</v>
      </c>
      <c r="B193" s="159" t="s">
        <v>9319</v>
      </c>
      <c r="C193" s="159" t="s">
        <v>10449</v>
      </c>
      <c r="D193" s="159" t="s">
        <v>805</v>
      </c>
      <c r="E193" s="159">
        <v>3</v>
      </c>
      <c r="F193" s="159" t="s">
        <v>5665</v>
      </c>
      <c r="G193" s="159" t="s">
        <v>10450</v>
      </c>
    </row>
    <row r="194" spans="1:7" ht="15.75" customHeight="1">
      <c r="A194" s="159" t="s">
        <v>9275</v>
      </c>
      <c r="B194" s="159" t="s">
        <v>9319</v>
      </c>
      <c r="C194" s="159" t="s">
        <v>10451</v>
      </c>
      <c r="D194" s="159" t="s">
        <v>978</v>
      </c>
      <c r="E194" s="159">
        <v>5</v>
      </c>
      <c r="F194" s="159" t="s">
        <v>5665</v>
      </c>
      <c r="G194" s="159" t="s">
        <v>10452</v>
      </c>
    </row>
    <row r="195" spans="1:7" ht="15.75" customHeight="1">
      <c r="A195" s="159" t="s">
        <v>9275</v>
      </c>
      <c r="B195" s="159" t="s">
        <v>9319</v>
      </c>
      <c r="C195" s="159" t="s">
        <v>10453</v>
      </c>
      <c r="D195" s="159" t="s">
        <v>978</v>
      </c>
      <c r="E195" s="159">
        <v>5</v>
      </c>
      <c r="F195" s="159" t="s">
        <v>5665</v>
      </c>
      <c r="G195" s="159" t="s">
        <v>10454</v>
      </c>
    </row>
    <row r="196" spans="1:7" ht="15.75" customHeight="1">
      <c r="A196" s="159" t="s">
        <v>9275</v>
      </c>
      <c r="B196" s="159" t="s">
        <v>9319</v>
      </c>
      <c r="C196" s="159" t="s">
        <v>10455</v>
      </c>
      <c r="D196" s="159" t="s">
        <v>1631</v>
      </c>
      <c r="E196" s="159">
        <v>19</v>
      </c>
      <c r="F196" s="159" t="s">
        <v>5665</v>
      </c>
      <c r="G196" s="159" t="s">
        <v>10456</v>
      </c>
    </row>
    <row r="197" spans="1:7" ht="15.75" customHeight="1">
      <c r="A197" s="159" t="s">
        <v>9275</v>
      </c>
      <c r="B197" s="159" t="s">
        <v>9320</v>
      </c>
      <c r="C197" s="159" t="s">
        <v>10457</v>
      </c>
      <c r="D197" s="159" t="s">
        <v>978</v>
      </c>
      <c r="E197" s="159">
        <v>5</v>
      </c>
      <c r="F197" s="159" t="s">
        <v>5665</v>
      </c>
      <c r="G197" s="159" t="s">
        <v>10458</v>
      </c>
    </row>
    <row r="198" spans="1:7" ht="15.75" customHeight="1">
      <c r="A198" s="159" t="s">
        <v>9275</v>
      </c>
      <c r="B198" s="159" t="s">
        <v>9320</v>
      </c>
      <c r="C198" s="159" t="s">
        <v>9217</v>
      </c>
      <c r="D198" s="159" t="s">
        <v>978</v>
      </c>
      <c r="E198" s="159">
        <v>5</v>
      </c>
      <c r="F198" s="159" t="s">
        <v>5665</v>
      </c>
      <c r="G198" s="159" t="s">
        <v>10459</v>
      </c>
    </row>
    <row r="199" spans="1:7" ht="15.75" customHeight="1">
      <c r="A199" s="159" t="s">
        <v>9275</v>
      </c>
      <c r="B199" s="159" t="s">
        <v>9320</v>
      </c>
      <c r="C199" s="159" t="s">
        <v>156</v>
      </c>
      <c r="D199" s="159" t="s">
        <v>477</v>
      </c>
      <c r="E199" s="159">
        <v>255</v>
      </c>
      <c r="F199" s="159" t="s">
        <v>5665</v>
      </c>
      <c r="G199" s="159" t="s">
        <v>4306</v>
      </c>
    </row>
    <row r="200" spans="1:7" ht="15.75" customHeight="1">
      <c r="A200" s="159" t="s">
        <v>9275</v>
      </c>
      <c r="B200" s="159" t="s">
        <v>9320</v>
      </c>
      <c r="C200" s="159" t="s">
        <v>10460</v>
      </c>
      <c r="D200" s="159" t="s">
        <v>477</v>
      </c>
      <c r="E200" s="159">
        <v>50</v>
      </c>
      <c r="F200" s="159" t="s">
        <v>5665</v>
      </c>
      <c r="G200" s="159" t="s">
        <v>10461</v>
      </c>
    </row>
    <row r="201" spans="1:7" ht="15.75" customHeight="1">
      <c r="A201" s="159" t="s">
        <v>9275</v>
      </c>
      <c r="B201" s="159" t="s">
        <v>9320</v>
      </c>
      <c r="C201" s="159" t="s">
        <v>10249</v>
      </c>
      <c r="D201" s="159" t="s">
        <v>477</v>
      </c>
      <c r="E201" s="159">
        <v>255</v>
      </c>
      <c r="F201" s="159" t="s">
        <v>5667</v>
      </c>
      <c r="G201" s="159" t="s">
        <v>10250</v>
      </c>
    </row>
    <row r="202" spans="1:7" ht="15.75" customHeight="1">
      <c r="A202" s="159" t="s">
        <v>9275</v>
      </c>
      <c r="B202" s="159" t="s">
        <v>9320</v>
      </c>
      <c r="C202" s="159" t="s">
        <v>3965</v>
      </c>
      <c r="D202" s="159" t="s">
        <v>978</v>
      </c>
      <c r="E202" s="159">
        <v>5</v>
      </c>
      <c r="F202" s="159" t="s">
        <v>5665</v>
      </c>
      <c r="G202" s="159" t="s">
        <v>10462</v>
      </c>
    </row>
    <row r="203" spans="1:7" ht="15.75" customHeight="1">
      <c r="A203" s="159" t="s">
        <v>9275</v>
      </c>
      <c r="B203" s="159" t="s">
        <v>9320</v>
      </c>
      <c r="C203" s="159" t="s">
        <v>10463</v>
      </c>
      <c r="D203" s="159" t="s">
        <v>477</v>
      </c>
      <c r="E203" s="159">
        <v>255</v>
      </c>
      <c r="F203" s="159" t="s">
        <v>5667</v>
      </c>
      <c r="G203" s="159" t="s">
        <v>10464</v>
      </c>
    </row>
    <row r="204" spans="1:7" ht="15.75" customHeight="1">
      <c r="A204" s="159" t="s">
        <v>9275</v>
      </c>
      <c r="B204" s="159" t="s">
        <v>9320</v>
      </c>
      <c r="C204" s="159" t="s">
        <v>5609</v>
      </c>
      <c r="D204" s="159" t="s">
        <v>978</v>
      </c>
      <c r="E204" s="159">
        <v>5</v>
      </c>
      <c r="F204" s="159" t="s">
        <v>5665</v>
      </c>
      <c r="G204" s="159" t="s">
        <v>1611</v>
      </c>
    </row>
    <row r="205" spans="1:7" ht="15.75" customHeight="1">
      <c r="A205" s="159" t="s">
        <v>9275</v>
      </c>
      <c r="B205" s="159" t="s">
        <v>9320</v>
      </c>
      <c r="C205" s="159" t="s">
        <v>10395</v>
      </c>
      <c r="D205" s="159" t="s">
        <v>805</v>
      </c>
      <c r="E205" s="159">
        <v>3</v>
      </c>
      <c r="F205" s="159" t="s">
        <v>5665</v>
      </c>
      <c r="G205" s="159" t="s">
        <v>10396</v>
      </c>
    </row>
    <row r="206" spans="1:7" ht="15.75" customHeight="1">
      <c r="A206" s="159" t="s">
        <v>9275</v>
      </c>
      <c r="B206" s="159" t="s">
        <v>9321</v>
      </c>
      <c r="C206" s="159" t="s">
        <v>10465</v>
      </c>
      <c r="D206" s="159" t="s">
        <v>978</v>
      </c>
      <c r="E206" s="159">
        <v>5</v>
      </c>
      <c r="F206" s="159" t="s">
        <v>5665</v>
      </c>
      <c r="G206" s="159" t="s">
        <v>10466</v>
      </c>
    </row>
    <row r="207" spans="1:7" ht="15.75" customHeight="1">
      <c r="A207" s="159" t="s">
        <v>9275</v>
      </c>
      <c r="B207" s="159" t="s">
        <v>9321</v>
      </c>
      <c r="C207" s="159" t="s">
        <v>10457</v>
      </c>
      <c r="D207" s="159" t="s">
        <v>978</v>
      </c>
      <c r="E207" s="159">
        <v>5</v>
      </c>
      <c r="F207" s="159" t="s">
        <v>5665</v>
      </c>
      <c r="G207" s="159" t="s">
        <v>10458</v>
      </c>
    </row>
    <row r="208" spans="1:7" ht="15.75" customHeight="1">
      <c r="A208" s="159" t="s">
        <v>9275</v>
      </c>
      <c r="B208" s="159" t="s">
        <v>9321</v>
      </c>
      <c r="C208" s="159" t="s">
        <v>10467</v>
      </c>
      <c r="D208" s="159" t="s">
        <v>484</v>
      </c>
      <c r="E208" s="159">
        <v>10</v>
      </c>
      <c r="F208" s="159" t="s">
        <v>5665</v>
      </c>
      <c r="G208" s="159" t="s">
        <v>10468</v>
      </c>
    </row>
    <row r="209" spans="1:7" ht="15.75" customHeight="1">
      <c r="A209" s="159" t="s">
        <v>9275</v>
      </c>
      <c r="B209" s="159" t="s">
        <v>9321</v>
      </c>
      <c r="C209" s="159" t="s">
        <v>10469</v>
      </c>
      <c r="D209" s="159" t="s">
        <v>978</v>
      </c>
      <c r="E209" s="159">
        <v>5</v>
      </c>
      <c r="F209" s="159" t="s">
        <v>5665</v>
      </c>
      <c r="G209" s="159" t="s">
        <v>10470</v>
      </c>
    </row>
    <row r="210" spans="1:7" ht="15.75" customHeight="1">
      <c r="A210" s="159" t="s">
        <v>9275</v>
      </c>
      <c r="B210" s="159" t="s">
        <v>9322</v>
      </c>
      <c r="C210" s="159" t="s">
        <v>10465</v>
      </c>
      <c r="D210" s="159" t="s">
        <v>978</v>
      </c>
      <c r="E210" s="159">
        <v>5</v>
      </c>
      <c r="F210" s="159" t="s">
        <v>5665</v>
      </c>
      <c r="G210" s="159" t="s">
        <v>10466</v>
      </c>
    </row>
    <row r="211" spans="1:7" ht="15.75" customHeight="1">
      <c r="A211" s="159" t="s">
        <v>9275</v>
      </c>
      <c r="B211" s="159" t="s">
        <v>9322</v>
      </c>
      <c r="C211" s="159" t="s">
        <v>10457</v>
      </c>
      <c r="D211" s="159" t="s">
        <v>978</v>
      </c>
      <c r="E211" s="159">
        <v>5</v>
      </c>
      <c r="F211" s="159" t="s">
        <v>5665</v>
      </c>
      <c r="G211" s="159" t="s">
        <v>10458</v>
      </c>
    </row>
    <row r="212" spans="1:7" ht="15.75" customHeight="1">
      <c r="A212" s="159" t="s">
        <v>9275</v>
      </c>
      <c r="B212" s="159" t="s">
        <v>9322</v>
      </c>
      <c r="C212" s="159" t="s">
        <v>10471</v>
      </c>
      <c r="D212" s="159" t="s">
        <v>477</v>
      </c>
      <c r="E212" s="159">
        <v>20</v>
      </c>
      <c r="F212" s="159" t="s">
        <v>5665</v>
      </c>
      <c r="G212" s="159" t="s">
        <v>10472</v>
      </c>
    </row>
    <row r="213" spans="1:7" ht="15.75" customHeight="1">
      <c r="A213" s="159" t="s">
        <v>9275</v>
      </c>
      <c r="B213" s="159" t="s">
        <v>9322</v>
      </c>
      <c r="C213" s="159" t="s">
        <v>10469</v>
      </c>
      <c r="D213" s="159" t="s">
        <v>978</v>
      </c>
      <c r="E213" s="159">
        <v>5</v>
      </c>
      <c r="F213" s="159" t="s">
        <v>5665</v>
      </c>
      <c r="G213" s="159" t="s">
        <v>10470</v>
      </c>
    </row>
    <row r="214" spans="1:7" ht="15.75" customHeight="1">
      <c r="A214" s="159" t="s">
        <v>9275</v>
      </c>
      <c r="B214" s="159" t="s">
        <v>9323</v>
      </c>
      <c r="C214" s="159" t="s">
        <v>10473</v>
      </c>
      <c r="D214" s="159" t="s">
        <v>978</v>
      </c>
      <c r="E214" s="159">
        <v>5</v>
      </c>
      <c r="F214" s="159" t="s">
        <v>5665</v>
      </c>
      <c r="G214" s="159" t="s">
        <v>10474</v>
      </c>
    </row>
    <row r="215" spans="1:7" ht="15.75" customHeight="1">
      <c r="A215" s="159" t="s">
        <v>9275</v>
      </c>
      <c r="B215" s="159" t="s">
        <v>9323</v>
      </c>
      <c r="C215" s="159" t="s">
        <v>10399</v>
      </c>
      <c r="D215" s="159" t="s">
        <v>477</v>
      </c>
      <c r="E215" s="159">
        <v>255</v>
      </c>
      <c r="F215" s="159" t="s">
        <v>5665</v>
      </c>
      <c r="G215" s="159" t="s">
        <v>10400</v>
      </c>
    </row>
    <row r="216" spans="1:7" ht="15.75" customHeight="1">
      <c r="A216" s="159" t="s">
        <v>9275</v>
      </c>
      <c r="B216" s="159" t="s">
        <v>9323</v>
      </c>
      <c r="C216" s="159" t="s">
        <v>10471</v>
      </c>
      <c r="D216" s="159" t="s">
        <v>484</v>
      </c>
      <c r="E216" s="159">
        <v>10</v>
      </c>
      <c r="F216" s="159" t="s">
        <v>5665</v>
      </c>
      <c r="G216" s="159" t="s">
        <v>10475</v>
      </c>
    </row>
    <row r="217" spans="1:7" ht="15.75" customHeight="1">
      <c r="A217" s="159" t="s">
        <v>9275</v>
      </c>
      <c r="B217" s="159" t="s">
        <v>9323</v>
      </c>
      <c r="C217" s="159" t="s">
        <v>10290</v>
      </c>
      <c r="D217" s="159" t="s">
        <v>484</v>
      </c>
      <c r="E217" s="159">
        <v>10</v>
      </c>
      <c r="F217" s="159" t="s">
        <v>5665</v>
      </c>
      <c r="G217" s="159" t="s">
        <v>10291</v>
      </c>
    </row>
    <row r="218" spans="1:7" ht="15.75" customHeight="1">
      <c r="A218" s="159" t="s">
        <v>9275</v>
      </c>
      <c r="B218" s="159" t="s">
        <v>9323</v>
      </c>
      <c r="C218" s="159" t="s">
        <v>10476</v>
      </c>
      <c r="D218" s="159" t="s">
        <v>477</v>
      </c>
      <c r="E218" s="159">
        <v>255</v>
      </c>
      <c r="F218" s="159" t="s">
        <v>5665</v>
      </c>
      <c r="G218" s="159" t="s">
        <v>10477</v>
      </c>
    </row>
    <row r="219" spans="1:7" ht="15.75" customHeight="1">
      <c r="A219" s="159" t="s">
        <v>9275</v>
      </c>
      <c r="B219" s="159" t="s">
        <v>9323</v>
      </c>
      <c r="C219" s="159" t="s">
        <v>10478</v>
      </c>
      <c r="D219" s="159" t="s">
        <v>978</v>
      </c>
      <c r="E219" s="159">
        <v>5</v>
      </c>
      <c r="F219" s="159" t="s">
        <v>5665</v>
      </c>
      <c r="G219" s="159" t="s">
        <v>10479</v>
      </c>
    </row>
    <row r="220" spans="1:7" ht="15.75" customHeight="1">
      <c r="A220" s="159" t="s">
        <v>9275</v>
      </c>
      <c r="B220" s="159" t="s">
        <v>9323</v>
      </c>
      <c r="C220" s="159" t="s">
        <v>10299</v>
      </c>
      <c r="D220" s="159" t="s">
        <v>3893</v>
      </c>
      <c r="E220" s="159">
        <v>65535</v>
      </c>
      <c r="F220" s="159" t="s">
        <v>5665</v>
      </c>
      <c r="G220" s="159" t="s">
        <v>10300</v>
      </c>
    </row>
    <row r="221" spans="1:7" ht="15.75" customHeight="1">
      <c r="A221" s="159" t="s">
        <v>9275</v>
      </c>
      <c r="B221" s="159" t="s">
        <v>9323</v>
      </c>
      <c r="C221" s="159" t="s">
        <v>10301</v>
      </c>
      <c r="D221" s="159" t="s">
        <v>3893</v>
      </c>
      <c r="E221" s="159">
        <v>65535</v>
      </c>
      <c r="F221" s="159" t="s">
        <v>5667</v>
      </c>
      <c r="G221" s="159" t="s">
        <v>10302</v>
      </c>
    </row>
    <row r="222" spans="1:7" ht="15.75" customHeight="1">
      <c r="A222" s="159" t="s">
        <v>9275</v>
      </c>
      <c r="B222" s="159" t="s">
        <v>9323</v>
      </c>
      <c r="C222" s="159" t="s">
        <v>10303</v>
      </c>
      <c r="D222" s="159" t="s">
        <v>3893</v>
      </c>
      <c r="E222" s="159">
        <v>65535</v>
      </c>
      <c r="F222" s="159" t="s">
        <v>5667</v>
      </c>
      <c r="G222" s="159" t="s">
        <v>10304</v>
      </c>
    </row>
    <row r="223" spans="1:7" ht="15.75" customHeight="1">
      <c r="A223" s="159" t="s">
        <v>9275</v>
      </c>
      <c r="B223" s="159" t="s">
        <v>9323</v>
      </c>
      <c r="C223" s="159" t="s">
        <v>5676</v>
      </c>
      <c r="D223" s="159" t="s">
        <v>3893</v>
      </c>
      <c r="E223" s="159">
        <v>65535</v>
      </c>
      <c r="F223" s="159" t="s">
        <v>5665</v>
      </c>
      <c r="G223" s="159" t="s">
        <v>5186</v>
      </c>
    </row>
    <row r="224" spans="1:7" ht="15.75" customHeight="1">
      <c r="A224" s="159" t="s">
        <v>9275</v>
      </c>
      <c r="B224" s="159" t="s">
        <v>9323</v>
      </c>
      <c r="C224" s="159" t="s">
        <v>5891</v>
      </c>
      <c r="D224" s="159" t="s">
        <v>3893</v>
      </c>
      <c r="E224" s="159">
        <v>65535</v>
      </c>
      <c r="F224" s="159" t="s">
        <v>5667</v>
      </c>
      <c r="G224" s="159" t="s">
        <v>1729</v>
      </c>
    </row>
    <row r="225" spans="1:7" ht="15.75" customHeight="1">
      <c r="A225" s="159" t="s">
        <v>9275</v>
      </c>
      <c r="B225" s="159" t="s">
        <v>9323</v>
      </c>
      <c r="C225" s="159" t="s">
        <v>10275</v>
      </c>
      <c r="D225" s="159" t="s">
        <v>477</v>
      </c>
      <c r="E225" s="159">
        <v>255</v>
      </c>
      <c r="F225" s="159" t="s">
        <v>5667</v>
      </c>
      <c r="G225" s="159" t="s">
        <v>10480</v>
      </c>
    </row>
    <row r="226" spans="1:7" ht="15.75" customHeight="1">
      <c r="A226" s="159" t="s">
        <v>9275</v>
      </c>
      <c r="B226" s="159" t="s">
        <v>9323</v>
      </c>
      <c r="C226" s="159" t="s">
        <v>10481</v>
      </c>
      <c r="D226" s="159" t="s">
        <v>484</v>
      </c>
      <c r="E226" s="159">
        <v>10</v>
      </c>
      <c r="F226" s="159" t="s">
        <v>5667</v>
      </c>
      <c r="G226" s="159" t="s">
        <v>10482</v>
      </c>
    </row>
    <row r="227" spans="1:7" ht="15.75" customHeight="1">
      <c r="A227" s="159" t="s">
        <v>9275</v>
      </c>
      <c r="B227" s="159" t="s">
        <v>9323</v>
      </c>
      <c r="C227" s="159" t="s">
        <v>10483</v>
      </c>
      <c r="D227" s="159" t="s">
        <v>484</v>
      </c>
      <c r="E227" s="159">
        <v>10</v>
      </c>
      <c r="F227" s="159" t="s">
        <v>5667</v>
      </c>
      <c r="G227" s="159" t="s">
        <v>10484</v>
      </c>
    </row>
    <row r="228" spans="1:7" ht="15.75" customHeight="1">
      <c r="A228" s="159" t="s">
        <v>9275</v>
      </c>
      <c r="B228" s="159" t="s">
        <v>9323</v>
      </c>
      <c r="C228" s="159" t="s">
        <v>10485</v>
      </c>
      <c r="D228" s="159" t="s">
        <v>484</v>
      </c>
      <c r="E228" s="159">
        <v>10</v>
      </c>
      <c r="F228" s="159" t="s">
        <v>5665</v>
      </c>
      <c r="G228" s="159" t="s">
        <v>10486</v>
      </c>
    </row>
    <row r="229" spans="1:7" ht="15.75" customHeight="1">
      <c r="A229" s="159" t="s">
        <v>9275</v>
      </c>
      <c r="B229" s="159" t="s">
        <v>9323</v>
      </c>
      <c r="C229" s="159" t="s">
        <v>10487</v>
      </c>
      <c r="D229" s="159" t="s">
        <v>477</v>
      </c>
      <c r="E229" s="159">
        <v>255</v>
      </c>
      <c r="F229" s="159" t="s">
        <v>5667</v>
      </c>
      <c r="G229" s="159" t="s">
        <v>10488</v>
      </c>
    </row>
    <row r="230" spans="1:7" ht="15.75" customHeight="1">
      <c r="A230" s="159" t="s">
        <v>9275</v>
      </c>
      <c r="B230" s="159" t="s">
        <v>9323</v>
      </c>
      <c r="C230" s="159" t="s">
        <v>10489</v>
      </c>
      <c r="D230" s="159" t="s">
        <v>3893</v>
      </c>
      <c r="E230" s="159">
        <v>65535</v>
      </c>
      <c r="F230" s="159" t="s">
        <v>5665</v>
      </c>
      <c r="G230" s="159" t="s">
        <v>10490</v>
      </c>
    </row>
    <row r="231" spans="1:7" ht="15.75" customHeight="1">
      <c r="A231" s="159" t="s">
        <v>9275</v>
      </c>
      <c r="B231" s="159" t="s">
        <v>9323</v>
      </c>
      <c r="C231" s="159" t="s">
        <v>10491</v>
      </c>
      <c r="D231" s="159" t="s">
        <v>477</v>
      </c>
      <c r="E231" s="159">
        <v>255</v>
      </c>
      <c r="F231" s="159" t="s">
        <v>5665</v>
      </c>
      <c r="G231" s="159" t="s">
        <v>10492</v>
      </c>
    </row>
    <row r="232" spans="1:7" ht="15.75" customHeight="1">
      <c r="A232" s="159" t="s">
        <v>9275</v>
      </c>
      <c r="B232" s="159" t="s">
        <v>9323</v>
      </c>
      <c r="C232" s="159" t="s">
        <v>10493</v>
      </c>
      <c r="D232" s="159" t="s">
        <v>978</v>
      </c>
      <c r="E232" s="159">
        <v>5</v>
      </c>
      <c r="F232" s="159" t="s">
        <v>5665</v>
      </c>
      <c r="G232" s="159" t="s">
        <v>10494</v>
      </c>
    </row>
    <row r="233" spans="1:7" ht="15.75" customHeight="1">
      <c r="A233" s="159" t="s">
        <v>9275</v>
      </c>
      <c r="B233" s="159" t="s">
        <v>9324</v>
      </c>
      <c r="C233" s="159" t="s">
        <v>10393</v>
      </c>
      <c r="D233" s="159" t="s">
        <v>978</v>
      </c>
      <c r="E233" s="159">
        <v>5</v>
      </c>
      <c r="F233" s="159" t="s">
        <v>5665</v>
      </c>
      <c r="G233" s="159" t="s">
        <v>10495</v>
      </c>
    </row>
    <row r="234" spans="1:7" ht="15.75" customHeight="1">
      <c r="A234" s="159" t="s">
        <v>9275</v>
      </c>
      <c r="B234" s="159" t="s">
        <v>9324</v>
      </c>
      <c r="C234" s="159" t="s">
        <v>3965</v>
      </c>
      <c r="D234" s="159" t="s">
        <v>477</v>
      </c>
      <c r="E234" s="159">
        <v>255</v>
      </c>
      <c r="F234" s="159" t="s">
        <v>5665</v>
      </c>
      <c r="G234" s="159" t="s">
        <v>10462</v>
      </c>
    </row>
    <row r="235" spans="1:7" ht="15.75" customHeight="1">
      <c r="A235" s="159" t="s">
        <v>9275</v>
      </c>
      <c r="B235" s="159" t="s">
        <v>9324</v>
      </c>
      <c r="C235" s="159" t="s">
        <v>10249</v>
      </c>
      <c r="D235" s="159" t="s">
        <v>477</v>
      </c>
      <c r="E235" s="159">
        <v>255</v>
      </c>
      <c r="F235" s="159" t="s">
        <v>5667</v>
      </c>
      <c r="G235" s="159" t="s">
        <v>10250</v>
      </c>
    </row>
    <row r="236" spans="1:7" ht="15.75" customHeight="1">
      <c r="A236" s="159" t="s">
        <v>9275</v>
      </c>
      <c r="B236" s="159" t="s">
        <v>9324</v>
      </c>
      <c r="C236" s="159" t="s">
        <v>5676</v>
      </c>
      <c r="D236" s="159" t="s">
        <v>477</v>
      </c>
      <c r="E236" s="159">
        <v>255</v>
      </c>
      <c r="F236" s="159" t="s">
        <v>5667</v>
      </c>
      <c r="G236" s="159" t="s">
        <v>5186</v>
      </c>
    </row>
    <row r="237" spans="1:7" ht="15.75" customHeight="1">
      <c r="A237" s="159" t="s">
        <v>9275</v>
      </c>
      <c r="B237" s="159" t="s">
        <v>9324</v>
      </c>
      <c r="C237" s="159" t="s">
        <v>5891</v>
      </c>
      <c r="D237" s="159" t="s">
        <v>3893</v>
      </c>
      <c r="E237" s="159">
        <v>65535</v>
      </c>
      <c r="F237" s="159" t="s">
        <v>5667</v>
      </c>
      <c r="G237" s="159" t="s">
        <v>5891</v>
      </c>
    </row>
    <row r="238" spans="1:7" ht="15.75" customHeight="1">
      <c r="A238" s="159" t="s">
        <v>9275</v>
      </c>
      <c r="B238" s="159" t="s">
        <v>9324</v>
      </c>
      <c r="C238" s="159" t="s">
        <v>10299</v>
      </c>
      <c r="D238" s="159" t="s">
        <v>477</v>
      </c>
      <c r="E238" s="159">
        <v>255</v>
      </c>
      <c r="F238" s="159" t="s">
        <v>5667</v>
      </c>
      <c r="G238" s="159" t="s">
        <v>10496</v>
      </c>
    </row>
    <row r="239" spans="1:7" ht="15.75" customHeight="1">
      <c r="A239" s="159" t="s">
        <v>9275</v>
      </c>
      <c r="B239" s="159" t="s">
        <v>9324</v>
      </c>
      <c r="C239" s="159" t="s">
        <v>10303</v>
      </c>
      <c r="D239" s="159" t="s">
        <v>3893</v>
      </c>
      <c r="E239" s="159">
        <v>65535</v>
      </c>
      <c r="F239" s="159" t="s">
        <v>5667</v>
      </c>
      <c r="G239" s="159" t="s">
        <v>10497</v>
      </c>
    </row>
    <row r="240" spans="1:7" ht="15.75" customHeight="1">
      <c r="A240" s="159" t="s">
        <v>9275</v>
      </c>
      <c r="B240" s="159" t="s">
        <v>9324</v>
      </c>
      <c r="C240" s="159" t="s">
        <v>10301</v>
      </c>
      <c r="D240" s="159" t="s">
        <v>3893</v>
      </c>
      <c r="E240" s="159">
        <v>65535</v>
      </c>
      <c r="F240" s="159" t="s">
        <v>5667</v>
      </c>
      <c r="G240" s="159" t="s">
        <v>10498</v>
      </c>
    </row>
    <row r="241" spans="1:7" ht="15.75" customHeight="1">
      <c r="A241" s="159" t="s">
        <v>9275</v>
      </c>
      <c r="B241" s="159" t="s">
        <v>9324</v>
      </c>
      <c r="C241" s="159" t="s">
        <v>10499</v>
      </c>
      <c r="D241" s="159" t="s">
        <v>10334</v>
      </c>
      <c r="E241" s="159">
        <v>16777215</v>
      </c>
      <c r="F241" s="159" t="s">
        <v>5667</v>
      </c>
      <c r="G241" s="159" t="s">
        <v>10500</v>
      </c>
    </row>
    <row r="242" spans="1:7" ht="15.75" customHeight="1">
      <c r="A242" s="159" t="s">
        <v>9275</v>
      </c>
      <c r="B242" s="159" t="s">
        <v>9324</v>
      </c>
      <c r="C242" s="159" t="s">
        <v>10501</v>
      </c>
      <c r="D242" s="159" t="s">
        <v>477</v>
      </c>
      <c r="E242" s="159">
        <v>255</v>
      </c>
      <c r="F242" s="159" t="s">
        <v>5667</v>
      </c>
      <c r="G242" s="159" t="s">
        <v>10502</v>
      </c>
    </row>
    <row r="243" spans="1:7" ht="15.75" customHeight="1">
      <c r="A243" s="159" t="s">
        <v>9275</v>
      </c>
      <c r="B243" s="159" t="s">
        <v>9324</v>
      </c>
      <c r="C243" s="159" t="s">
        <v>10503</v>
      </c>
      <c r="D243" s="159" t="s">
        <v>978</v>
      </c>
      <c r="E243" s="159">
        <v>5</v>
      </c>
      <c r="F243" s="159" t="s">
        <v>5667</v>
      </c>
      <c r="G243" s="159" t="s">
        <v>10504</v>
      </c>
    </row>
    <row r="244" spans="1:7" ht="15.75" customHeight="1">
      <c r="A244" s="159" t="s">
        <v>9275</v>
      </c>
      <c r="B244" s="159" t="s">
        <v>9324</v>
      </c>
      <c r="C244" s="159" t="s">
        <v>10505</v>
      </c>
      <c r="D244" s="159" t="s">
        <v>978</v>
      </c>
      <c r="E244" s="159">
        <v>5</v>
      </c>
      <c r="F244" s="159" t="s">
        <v>5667</v>
      </c>
      <c r="G244" s="159" t="s">
        <v>10506</v>
      </c>
    </row>
    <row r="245" spans="1:7" ht="15.75" customHeight="1">
      <c r="A245" s="159" t="s">
        <v>9275</v>
      </c>
      <c r="B245" s="159" t="s">
        <v>9324</v>
      </c>
      <c r="C245" s="159" t="s">
        <v>10275</v>
      </c>
      <c r="D245" s="159" t="s">
        <v>477</v>
      </c>
      <c r="E245" s="159">
        <v>255</v>
      </c>
      <c r="F245" s="159" t="s">
        <v>5667</v>
      </c>
      <c r="G245" s="159" t="s">
        <v>10480</v>
      </c>
    </row>
    <row r="246" spans="1:7" ht="15.75" customHeight="1">
      <c r="A246" s="159" t="s">
        <v>9275</v>
      </c>
      <c r="B246" s="159" t="s">
        <v>9326</v>
      </c>
      <c r="C246" s="159" t="s">
        <v>10393</v>
      </c>
      <c r="D246" s="159" t="s">
        <v>978</v>
      </c>
      <c r="E246" s="159">
        <v>5</v>
      </c>
      <c r="F246" s="159" t="s">
        <v>5665</v>
      </c>
      <c r="G246" s="159" t="s">
        <v>10495</v>
      </c>
    </row>
    <row r="247" spans="1:7" ht="15.75" customHeight="1">
      <c r="A247" s="159" t="s">
        <v>9275</v>
      </c>
      <c r="B247" s="159" t="s">
        <v>9326</v>
      </c>
      <c r="C247" s="159" t="s">
        <v>10290</v>
      </c>
      <c r="D247" s="159" t="s">
        <v>978</v>
      </c>
      <c r="E247" s="159">
        <v>5</v>
      </c>
      <c r="F247" s="159" t="s">
        <v>5665</v>
      </c>
      <c r="G247" s="159" t="s">
        <v>10507</v>
      </c>
    </row>
    <row r="248" spans="1:7" ht="15.75" customHeight="1">
      <c r="A248" s="159" t="s">
        <v>9275</v>
      </c>
      <c r="B248" s="159" t="s">
        <v>9328</v>
      </c>
      <c r="C248" s="159" t="s">
        <v>10287</v>
      </c>
      <c r="D248" s="159" t="s">
        <v>484</v>
      </c>
      <c r="E248" s="159">
        <v>10</v>
      </c>
      <c r="F248" s="159" t="s">
        <v>5665</v>
      </c>
      <c r="G248" s="159" t="s">
        <v>10237</v>
      </c>
    </row>
    <row r="249" spans="1:7" ht="15.75" customHeight="1">
      <c r="A249" s="159" t="s">
        <v>9275</v>
      </c>
      <c r="B249" s="159" t="s">
        <v>9328</v>
      </c>
      <c r="C249" s="159" t="s">
        <v>10354</v>
      </c>
      <c r="D249" s="159" t="s">
        <v>484</v>
      </c>
      <c r="E249" s="159">
        <v>10</v>
      </c>
      <c r="F249" s="159" t="s">
        <v>5665</v>
      </c>
      <c r="G249" s="159" t="s">
        <v>10355</v>
      </c>
    </row>
    <row r="250" spans="1:7" ht="15.75" customHeight="1">
      <c r="A250" s="159" t="s">
        <v>9275</v>
      </c>
      <c r="B250" s="159" t="s">
        <v>9328</v>
      </c>
      <c r="C250" s="159" t="s">
        <v>10508</v>
      </c>
      <c r="D250" s="159" t="s">
        <v>484</v>
      </c>
      <c r="E250" s="159">
        <v>10</v>
      </c>
      <c r="F250" s="159" t="s">
        <v>5665</v>
      </c>
      <c r="G250" s="159" t="s">
        <v>10509</v>
      </c>
    </row>
    <row r="251" spans="1:7" ht="15.75" customHeight="1">
      <c r="A251" s="159" t="s">
        <v>9275</v>
      </c>
      <c r="B251" s="159" t="s">
        <v>9328</v>
      </c>
      <c r="C251" s="159" t="s">
        <v>10319</v>
      </c>
      <c r="D251" s="159" t="s">
        <v>3893</v>
      </c>
      <c r="E251" s="159">
        <v>65535</v>
      </c>
      <c r="F251" s="159" t="s">
        <v>5667</v>
      </c>
      <c r="G251" s="159" t="s">
        <v>10510</v>
      </c>
    </row>
    <row r="252" spans="1:7" ht="15.75" customHeight="1">
      <c r="A252" s="159" t="s">
        <v>9275</v>
      </c>
      <c r="B252" s="159" t="s">
        <v>9328</v>
      </c>
      <c r="C252" s="159" t="s">
        <v>10323</v>
      </c>
      <c r="D252" s="159" t="s">
        <v>477</v>
      </c>
      <c r="E252" s="159">
        <v>255</v>
      </c>
      <c r="F252" s="159" t="s">
        <v>5667</v>
      </c>
      <c r="G252" s="159" t="s">
        <v>10511</v>
      </c>
    </row>
    <row r="253" spans="1:7" ht="15.75" customHeight="1">
      <c r="A253" s="159" t="s">
        <v>9275</v>
      </c>
      <c r="B253" s="159" t="s">
        <v>9328</v>
      </c>
      <c r="C253" s="159" t="s">
        <v>10512</v>
      </c>
      <c r="D253" s="159" t="s">
        <v>477</v>
      </c>
      <c r="E253" s="159">
        <v>255</v>
      </c>
      <c r="F253" s="159" t="s">
        <v>5667</v>
      </c>
      <c r="G253" s="159" t="s">
        <v>10513</v>
      </c>
    </row>
    <row r="254" spans="1:7" ht="15.75" customHeight="1">
      <c r="A254" s="159" t="s">
        <v>9275</v>
      </c>
      <c r="B254" s="159" t="s">
        <v>9328</v>
      </c>
      <c r="C254" s="159" t="s">
        <v>10514</v>
      </c>
      <c r="D254" s="159" t="s">
        <v>477</v>
      </c>
      <c r="E254" s="159">
        <v>255</v>
      </c>
      <c r="F254" s="159" t="s">
        <v>5667</v>
      </c>
      <c r="G254" s="159" t="s">
        <v>10515</v>
      </c>
    </row>
    <row r="255" spans="1:7" ht="15.75" customHeight="1">
      <c r="A255" s="159" t="s">
        <v>9275</v>
      </c>
      <c r="B255" s="159" t="s">
        <v>9330</v>
      </c>
      <c r="C255" s="159" t="s">
        <v>10287</v>
      </c>
      <c r="D255" s="159" t="s">
        <v>484</v>
      </c>
      <c r="E255" s="159">
        <v>10</v>
      </c>
      <c r="F255" s="159" t="s">
        <v>5665</v>
      </c>
      <c r="G255" s="159" t="s">
        <v>10237</v>
      </c>
    </row>
    <row r="256" spans="1:7" ht="15.75" customHeight="1">
      <c r="A256" s="159" t="s">
        <v>9275</v>
      </c>
      <c r="B256" s="159" t="s">
        <v>9330</v>
      </c>
      <c r="C256" s="159" t="s">
        <v>10354</v>
      </c>
      <c r="D256" s="159" t="s">
        <v>484</v>
      </c>
      <c r="E256" s="159">
        <v>10</v>
      </c>
      <c r="F256" s="159" t="s">
        <v>5665</v>
      </c>
      <c r="G256" s="159" t="s">
        <v>10355</v>
      </c>
    </row>
    <row r="257" spans="1:7" ht="15.75" customHeight="1">
      <c r="A257" s="159" t="s">
        <v>9275</v>
      </c>
      <c r="B257" s="159" t="s">
        <v>9330</v>
      </c>
      <c r="C257" s="159" t="s">
        <v>10516</v>
      </c>
      <c r="D257" s="159" t="s">
        <v>3893</v>
      </c>
      <c r="E257" s="159">
        <v>65535</v>
      </c>
      <c r="F257" s="159" t="s">
        <v>5667</v>
      </c>
      <c r="G257" s="159" t="s">
        <v>10509</v>
      </c>
    </row>
    <row r="258" spans="1:7" ht="15.75" customHeight="1">
      <c r="A258" s="159" t="s">
        <v>9275</v>
      </c>
      <c r="B258" s="159" t="s">
        <v>9330</v>
      </c>
      <c r="C258" s="159" t="s">
        <v>10517</v>
      </c>
      <c r="D258" s="159" t="s">
        <v>3893</v>
      </c>
      <c r="E258" s="159">
        <v>65535</v>
      </c>
      <c r="F258" s="159" t="s">
        <v>5667</v>
      </c>
      <c r="G258" s="159" t="s">
        <v>10510</v>
      </c>
    </row>
    <row r="259" spans="1:7" ht="15.75" customHeight="1">
      <c r="A259" s="159" t="s">
        <v>9275</v>
      </c>
      <c r="B259" s="159" t="s">
        <v>9330</v>
      </c>
      <c r="C259" s="159" t="s">
        <v>10518</v>
      </c>
      <c r="D259" s="159" t="s">
        <v>484</v>
      </c>
      <c r="E259" s="159">
        <v>10</v>
      </c>
      <c r="F259" s="159" t="s">
        <v>5667</v>
      </c>
      <c r="G259" s="159" t="s">
        <v>10511</v>
      </c>
    </row>
    <row r="260" spans="1:7" ht="15.75" customHeight="1">
      <c r="A260" s="159" t="s">
        <v>9275</v>
      </c>
      <c r="B260" s="159" t="s">
        <v>9332</v>
      </c>
      <c r="C260" s="159" t="s">
        <v>3897</v>
      </c>
      <c r="D260" s="159" t="s">
        <v>484</v>
      </c>
      <c r="E260" s="159">
        <v>10</v>
      </c>
      <c r="F260" s="159" t="s">
        <v>5665</v>
      </c>
      <c r="G260" s="159" t="s">
        <v>10519</v>
      </c>
    </row>
    <row r="261" spans="1:7" ht="15.75" customHeight="1">
      <c r="A261" s="159" t="s">
        <v>9275</v>
      </c>
      <c r="B261" s="159" t="s">
        <v>9332</v>
      </c>
      <c r="C261" s="159" t="s">
        <v>5609</v>
      </c>
      <c r="D261" s="159" t="s">
        <v>477</v>
      </c>
      <c r="E261" s="159">
        <v>15</v>
      </c>
      <c r="F261" s="159" t="s">
        <v>5667</v>
      </c>
      <c r="G261" s="159" t="s">
        <v>10520</v>
      </c>
    </row>
    <row r="262" spans="1:7" ht="15.75" customHeight="1">
      <c r="A262" s="159" t="s">
        <v>9275</v>
      </c>
      <c r="B262" s="159" t="s">
        <v>9332</v>
      </c>
      <c r="C262" s="159" t="s">
        <v>10521</v>
      </c>
      <c r="D262" s="159" t="s">
        <v>484</v>
      </c>
      <c r="E262" s="159">
        <v>10</v>
      </c>
      <c r="F262" s="159" t="s">
        <v>5665</v>
      </c>
      <c r="G262" s="159" t="s">
        <v>10522</v>
      </c>
    </row>
    <row r="263" spans="1:7" ht="15.75" customHeight="1">
      <c r="A263" s="159" t="s">
        <v>9275</v>
      </c>
      <c r="B263" s="159" t="s">
        <v>9332</v>
      </c>
      <c r="C263" s="159" t="s">
        <v>10523</v>
      </c>
      <c r="D263" s="159" t="s">
        <v>484</v>
      </c>
      <c r="E263" s="159">
        <v>10</v>
      </c>
      <c r="F263" s="159" t="s">
        <v>5665</v>
      </c>
      <c r="G263" s="159" t="s">
        <v>10524</v>
      </c>
    </row>
    <row r="264" spans="1:7" ht="15.75" customHeight="1">
      <c r="A264" s="159" t="s">
        <v>9275</v>
      </c>
      <c r="B264" s="159" t="s">
        <v>9332</v>
      </c>
      <c r="C264" s="159" t="s">
        <v>10285</v>
      </c>
      <c r="D264" s="159" t="s">
        <v>484</v>
      </c>
      <c r="E264" s="159">
        <v>10</v>
      </c>
      <c r="F264" s="159" t="s">
        <v>5665</v>
      </c>
      <c r="G264" s="159" t="s">
        <v>10525</v>
      </c>
    </row>
    <row r="265" spans="1:7" ht="15.75" customHeight="1">
      <c r="A265" s="159" t="s">
        <v>9275</v>
      </c>
      <c r="B265" s="159" t="s">
        <v>9333</v>
      </c>
      <c r="C265" s="159" t="s">
        <v>3897</v>
      </c>
      <c r="D265" s="159" t="s">
        <v>484</v>
      </c>
      <c r="E265" s="159">
        <v>10</v>
      </c>
      <c r="F265" s="159" t="s">
        <v>5665</v>
      </c>
      <c r="G265" s="159" t="s">
        <v>325</v>
      </c>
    </row>
    <row r="266" spans="1:7" ht="15.75" customHeight="1">
      <c r="A266" s="159" t="s">
        <v>9275</v>
      </c>
      <c r="B266" s="159" t="s">
        <v>9333</v>
      </c>
      <c r="C266" s="159" t="s">
        <v>10523</v>
      </c>
      <c r="D266" s="159" t="s">
        <v>484</v>
      </c>
      <c r="E266" s="159">
        <v>10</v>
      </c>
      <c r="F266" s="159" t="s">
        <v>5665</v>
      </c>
      <c r="G266" s="159" t="s">
        <v>10524</v>
      </c>
    </row>
    <row r="267" spans="1:7" ht="15.75" customHeight="1">
      <c r="A267" s="159" t="s">
        <v>9275</v>
      </c>
      <c r="B267" s="159" t="s">
        <v>9334</v>
      </c>
      <c r="C267" s="159" t="s">
        <v>3897</v>
      </c>
      <c r="D267" s="159" t="s">
        <v>484</v>
      </c>
      <c r="E267" s="159">
        <v>10</v>
      </c>
      <c r="F267" s="159" t="s">
        <v>5665</v>
      </c>
      <c r="G267" s="159" t="s">
        <v>10524</v>
      </c>
    </row>
    <row r="268" spans="1:7" ht="15.75" customHeight="1">
      <c r="A268" s="159" t="s">
        <v>9275</v>
      </c>
      <c r="B268" s="159" t="s">
        <v>9334</v>
      </c>
      <c r="C268" s="159" t="s">
        <v>1419</v>
      </c>
      <c r="D268" s="159" t="s">
        <v>805</v>
      </c>
      <c r="E268" s="159">
        <v>3</v>
      </c>
      <c r="F268" s="159" t="s">
        <v>5665</v>
      </c>
      <c r="G268" s="159" t="s">
        <v>10526</v>
      </c>
    </row>
    <row r="269" spans="1:7" ht="15.75" customHeight="1">
      <c r="A269" s="159" t="s">
        <v>9275</v>
      </c>
      <c r="B269" s="159" t="s">
        <v>9334</v>
      </c>
      <c r="C269" s="159" t="s">
        <v>10275</v>
      </c>
      <c r="D269" s="159" t="s">
        <v>3893</v>
      </c>
      <c r="E269" s="159">
        <v>65535</v>
      </c>
      <c r="F269" s="159" t="s">
        <v>5665</v>
      </c>
      <c r="G269" s="159" t="s">
        <v>10510</v>
      </c>
    </row>
    <row r="270" spans="1:7" ht="15.75" customHeight="1">
      <c r="A270" s="159" t="s">
        <v>9275</v>
      </c>
      <c r="B270" s="159" t="s">
        <v>9334</v>
      </c>
      <c r="C270" s="159" t="s">
        <v>10527</v>
      </c>
      <c r="D270" s="159" t="s">
        <v>3893</v>
      </c>
      <c r="E270" s="159">
        <v>65535</v>
      </c>
      <c r="F270" s="159" t="s">
        <v>5667</v>
      </c>
      <c r="G270" s="159" t="s">
        <v>10528</v>
      </c>
    </row>
    <row r="271" spans="1:7" ht="15.75" customHeight="1">
      <c r="A271" s="159" t="s">
        <v>9275</v>
      </c>
      <c r="B271" s="159" t="s">
        <v>9334</v>
      </c>
      <c r="C271" s="159" t="s">
        <v>10529</v>
      </c>
      <c r="D271" s="159" t="s">
        <v>3893</v>
      </c>
      <c r="E271" s="159">
        <v>65535</v>
      </c>
      <c r="F271" s="159" t="s">
        <v>5667</v>
      </c>
      <c r="G271" s="159" t="s">
        <v>10530</v>
      </c>
    </row>
    <row r="272" spans="1:7" ht="15.75" customHeight="1">
      <c r="A272" s="159" t="s">
        <v>9275</v>
      </c>
      <c r="B272" s="159" t="s">
        <v>9334</v>
      </c>
      <c r="C272" s="159" t="s">
        <v>10531</v>
      </c>
      <c r="D272" s="159" t="s">
        <v>3893</v>
      </c>
      <c r="E272" s="159">
        <v>65535</v>
      </c>
      <c r="F272" s="159" t="s">
        <v>5667</v>
      </c>
      <c r="G272" s="159" t="s">
        <v>10532</v>
      </c>
    </row>
    <row r="273" spans="1:7" ht="15.75" customHeight="1">
      <c r="A273" s="159" t="s">
        <v>9275</v>
      </c>
      <c r="B273" s="159" t="s">
        <v>9334</v>
      </c>
      <c r="C273" s="159" t="s">
        <v>10290</v>
      </c>
      <c r="D273" s="159" t="s">
        <v>978</v>
      </c>
      <c r="E273" s="159">
        <v>5</v>
      </c>
      <c r="F273" s="159" t="s">
        <v>5665</v>
      </c>
      <c r="G273" s="159" t="s">
        <v>10533</v>
      </c>
    </row>
    <row r="274" spans="1:7" ht="15.75" customHeight="1">
      <c r="A274" s="159" t="s">
        <v>9275</v>
      </c>
      <c r="B274" s="159" t="s">
        <v>9336</v>
      </c>
      <c r="C274" s="159" t="s">
        <v>3897</v>
      </c>
      <c r="D274" s="159" t="s">
        <v>484</v>
      </c>
      <c r="E274" s="159">
        <v>10</v>
      </c>
      <c r="F274" s="159" t="s">
        <v>5665</v>
      </c>
      <c r="G274" s="159" t="s">
        <v>10524</v>
      </c>
    </row>
    <row r="275" spans="1:7" ht="15.75" customHeight="1">
      <c r="A275" s="159" t="s">
        <v>9275</v>
      </c>
      <c r="B275" s="159" t="s">
        <v>9336</v>
      </c>
      <c r="C275" s="159" t="s">
        <v>156</v>
      </c>
      <c r="D275" s="159" t="s">
        <v>3893</v>
      </c>
      <c r="E275" s="159">
        <v>65535</v>
      </c>
      <c r="F275" s="159" t="s">
        <v>5665</v>
      </c>
      <c r="G275" s="159" t="s">
        <v>10534</v>
      </c>
    </row>
    <row r="276" spans="1:7" ht="15.75" customHeight="1">
      <c r="A276" s="159" t="s">
        <v>9275</v>
      </c>
      <c r="B276" s="159" t="s">
        <v>9336</v>
      </c>
      <c r="C276" s="159" t="s">
        <v>9649</v>
      </c>
      <c r="D276" s="159" t="s">
        <v>3893</v>
      </c>
      <c r="E276" s="159">
        <v>65535</v>
      </c>
      <c r="F276" s="159" t="s">
        <v>5665</v>
      </c>
      <c r="G276" s="159" t="s">
        <v>10535</v>
      </c>
    </row>
    <row r="277" spans="1:7" ht="15.75" customHeight="1">
      <c r="A277" s="159" t="s">
        <v>9275</v>
      </c>
      <c r="B277" s="159" t="s">
        <v>9336</v>
      </c>
      <c r="C277" s="159" t="s">
        <v>10536</v>
      </c>
      <c r="D277" s="159" t="s">
        <v>978</v>
      </c>
      <c r="E277" s="159">
        <v>5</v>
      </c>
      <c r="F277" s="159" t="s">
        <v>5667</v>
      </c>
      <c r="G277" s="159" t="s">
        <v>10537</v>
      </c>
    </row>
    <row r="278" spans="1:7" ht="15.75" customHeight="1">
      <c r="A278" s="159" t="s">
        <v>9275</v>
      </c>
      <c r="B278" s="159" t="s">
        <v>9336</v>
      </c>
      <c r="C278" s="159" t="s">
        <v>10538</v>
      </c>
      <c r="D278" s="159" t="s">
        <v>477</v>
      </c>
      <c r="E278" s="159">
        <v>255</v>
      </c>
      <c r="F278" s="159" t="s">
        <v>5667</v>
      </c>
      <c r="G278" s="159" t="s">
        <v>10539</v>
      </c>
    </row>
    <row r="279" spans="1:7" ht="15.75" customHeight="1">
      <c r="A279" s="159" t="s">
        <v>9275</v>
      </c>
      <c r="B279" s="159" t="s">
        <v>9336</v>
      </c>
      <c r="C279" s="159" t="s">
        <v>1851</v>
      </c>
      <c r="D279" s="159" t="s">
        <v>1413</v>
      </c>
      <c r="E279" s="159"/>
      <c r="F279" s="159" t="s">
        <v>5667</v>
      </c>
      <c r="G279" s="159" t="s">
        <v>10540</v>
      </c>
    </row>
    <row r="280" spans="1:7" ht="15.75" customHeight="1">
      <c r="A280" s="159" t="s">
        <v>9275</v>
      </c>
      <c r="B280" s="159" t="s">
        <v>9336</v>
      </c>
      <c r="C280" s="159" t="s">
        <v>1852</v>
      </c>
      <c r="D280" s="159" t="s">
        <v>1413</v>
      </c>
      <c r="E280" s="159"/>
      <c r="F280" s="159" t="s">
        <v>5667</v>
      </c>
      <c r="G280" s="159" t="s">
        <v>10541</v>
      </c>
    </row>
    <row r="281" spans="1:7" ht="15.75" customHeight="1">
      <c r="A281" s="159" t="s">
        <v>9275</v>
      </c>
      <c r="B281" s="159" t="s">
        <v>9338</v>
      </c>
      <c r="C281" s="159" t="s">
        <v>3897</v>
      </c>
      <c r="D281" s="159" t="s">
        <v>484</v>
      </c>
      <c r="E281" s="159">
        <v>10</v>
      </c>
      <c r="F281" s="159" t="s">
        <v>5665</v>
      </c>
      <c r="G281" s="159" t="s">
        <v>325</v>
      </c>
    </row>
    <row r="282" spans="1:7" ht="15.75" customHeight="1">
      <c r="A282" s="159" t="s">
        <v>9275</v>
      </c>
      <c r="B282" s="159" t="s">
        <v>9338</v>
      </c>
      <c r="C282" s="159" t="s">
        <v>10523</v>
      </c>
      <c r="D282" s="159" t="s">
        <v>484</v>
      </c>
      <c r="E282" s="159">
        <v>10</v>
      </c>
      <c r="F282" s="159" t="s">
        <v>5665</v>
      </c>
      <c r="G282" s="159" t="s">
        <v>10524</v>
      </c>
    </row>
    <row r="283" spans="1:7" ht="15.75" customHeight="1">
      <c r="A283" s="159" t="s">
        <v>9275</v>
      </c>
      <c r="B283" s="159" t="s">
        <v>9339</v>
      </c>
      <c r="C283" s="159" t="s">
        <v>10542</v>
      </c>
      <c r="D283" s="159" t="s">
        <v>484</v>
      </c>
      <c r="E283" s="159">
        <v>10</v>
      </c>
      <c r="F283" s="159" t="s">
        <v>5665</v>
      </c>
      <c r="G283" s="159" t="s">
        <v>10543</v>
      </c>
    </row>
    <row r="284" spans="1:7" ht="15.75" customHeight="1">
      <c r="A284" s="159" t="s">
        <v>9275</v>
      </c>
      <c r="B284" s="159" t="s">
        <v>9339</v>
      </c>
      <c r="C284" s="159" t="s">
        <v>10523</v>
      </c>
      <c r="D284" s="159" t="s">
        <v>484</v>
      </c>
      <c r="E284" s="159">
        <v>10</v>
      </c>
      <c r="F284" s="159" t="s">
        <v>5665</v>
      </c>
      <c r="G284" s="159" t="s">
        <v>10524</v>
      </c>
    </row>
    <row r="285" spans="1:7" ht="15.75" customHeight="1">
      <c r="A285" s="159" t="s">
        <v>9275</v>
      </c>
      <c r="B285" s="159" t="s">
        <v>9339</v>
      </c>
      <c r="C285" s="159" t="s">
        <v>3965</v>
      </c>
      <c r="D285" s="159" t="s">
        <v>484</v>
      </c>
      <c r="E285" s="159">
        <v>10</v>
      </c>
      <c r="F285" s="159" t="s">
        <v>5665</v>
      </c>
      <c r="G285" s="159" t="s">
        <v>10544</v>
      </c>
    </row>
    <row r="286" spans="1:7" ht="15.75" customHeight="1">
      <c r="A286" s="159" t="s">
        <v>9275</v>
      </c>
      <c r="B286" s="159" t="s">
        <v>9341</v>
      </c>
      <c r="C286" s="159" t="s">
        <v>3897</v>
      </c>
      <c r="D286" s="159" t="s">
        <v>484</v>
      </c>
      <c r="E286" s="159">
        <v>10</v>
      </c>
      <c r="F286" s="159" t="s">
        <v>5665</v>
      </c>
      <c r="G286" s="159" t="s">
        <v>10543</v>
      </c>
    </row>
    <row r="287" spans="1:7" ht="15.75" customHeight="1">
      <c r="A287" s="159" t="s">
        <v>9275</v>
      </c>
      <c r="B287" s="159" t="s">
        <v>9341</v>
      </c>
      <c r="C287" s="159" t="s">
        <v>156</v>
      </c>
      <c r="D287" s="159" t="s">
        <v>3893</v>
      </c>
      <c r="E287" s="159">
        <v>65535</v>
      </c>
      <c r="F287" s="159" t="s">
        <v>5665</v>
      </c>
      <c r="G287" s="159" t="s">
        <v>10545</v>
      </c>
    </row>
    <row r="288" spans="1:7" ht="15.75" customHeight="1">
      <c r="A288" s="159" t="s">
        <v>9275</v>
      </c>
      <c r="B288" s="159" t="s">
        <v>9341</v>
      </c>
      <c r="C288" s="159" t="s">
        <v>1419</v>
      </c>
      <c r="D288" s="159" t="s">
        <v>805</v>
      </c>
      <c r="E288" s="159">
        <v>3</v>
      </c>
      <c r="F288" s="159" t="s">
        <v>5667</v>
      </c>
      <c r="G288" s="159" t="s">
        <v>10546</v>
      </c>
    </row>
    <row r="289" spans="1:7" ht="15.75" customHeight="1">
      <c r="A289" s="159" t="s">
        <v>9275</v>
      </c>
      <c r="B289" s="159" t="s">
        <v>9341</v>
      </c>
      <c r="C289" s="159" t="s">
        <v>10290</v>
      </c>
      <c r="D289" s="159" t="s">
        <v>978</v>
      </c>
      <c r="E289" s="159">
        <v>5</v>
      </c>
      <c r="F289" s="159" t="s">
        <v>5665</v>
      </c>
      <c r="G289" s="159" t="s">
        <v>10547</v>
      </c>
    </row>
    <row r="290" spans="1:7" ht="15.75" customHeight="1">
      <c r="A290" s="159" t="s">
        <v>9275</v>
      </c>
      <c r="B290" s="159" t="s">
        <v>9343</v>
      </c>
      <c r="C290" s="159" t="s">
        <v>3897</v>
      </c>
      <c r="D290" s="159" t="s">
        <v>484</v>
      </c>
      <c r="E290" s="159">
        <v>10</v>
      </c>
      <c r="F290" s="159" t="s">
        <v>5665</v>
      </c>
      <c r="G290" s="159" t="s">
        <v>10543</v>
      </c>
    </row>
    <row r="291" spans="1:7" ht="15.75" customHeight="1">
      <c r="A291" s="159" t="s">
        <v>9275</v>
      </c>
      <c r="B291" s="159" t="s">
        <v>9343</v>
      </c>
      <c r="C291" s="159" t="s">
        <v>10548</v>
      </c>
      <c r="D291" s="159" t="s">
        <v>805</v>
      </c>
      <c r="E291" s="159">
        <v>3</v>
      </c>
      <c r="F291" s="159" t="s">
        <v>5667</v>
      </c>
      <c r="G291" s="159" t="s">
        <v>10549</v>
      </c>
    </row>
    <row r="292" spans="1:7" ht="15.75" customHeight="1">
      <c r="A292" s="159" t="s">
        <v>9275</v>
      </c>
      <c r="B292" s="159" t="s">
        <v>9343</v>
      </c>
      <c r="C292" s="159" t="s">
        <v>10550</v>
      </c>
      <c r="D292" s="159" t="s">
        <v>978</v>
      </c>
      <c r="E292" s="159">
        <v>5</v>
      </c>
      <c r="F292" s="159" t="s">
        <v>5667</v>
      </c>
      <c r="G292" s="159" t="s">
        <v>10551</v>
      </c>
    </row>
    <row r="293" spans="1:7" ht="15.75" customHeight="1">
      <c r="A293" s="159" t="s">
        <v>9275</v>
      </c>
      <c r="B293" s="159" t="s">
        <v>9343</v>
      </c>
      <c r="C293" s="159" t="s">
        <v>10552</v>
      </c>
      <c r="D293" s="159" t="s">
        <v>978</v>
      </c>
      <c r="E293" s="159">
        <v>5</v>
      </c>
      <c r="F293" s="159" t="s">
        <v>5665</v>
      </c>
      <c r="G293" s="159" t="s">
        <v>10553</v>
      </c>
    </row>
    <row r="294" spans="1:7" ht="15.75" customHeight="1">
      <c r="A294" s="159" t="s">
        <v>9275</v>
      </c>
      <c r="B294" s="159" t="s">
        <v>9343</v>
      </c>
      <c r="C294" s="159" t="s">
        <v>10554</v>
      </c>
      <c r="D294" s="159" t="s">
        <v>978</v>
      </c>
      <c r="E294" s="159">
        <v>5</v>
      </c>
      <c r="F294" s="159" t="s">
        <v>5667</v>
      </c>
      <c r="G294" s="159" t="s">
        <v>10555</v>
      </c>
    </row>
    <row r="295" spans="1:7" ht="15.75" customHeight="1">
      <c r="A295" s="159" t="s">
        <v>9275</v>
      </c>
      <c r="B295" s="159" t="s">
        <v>9343</v>
      </c>
      <c r="C295" s="159" t="s">
        <v>10556</v>
      </c>
      <c r="D295" s="159" t="s">
        <v>805</v>
      </c>
      <c r="E295" s="159">
        <v>3</v>
      </c>
      <c r="F295" s="159" t="s">
        <v>5667</v>
      </c>
      <c r="G295" s="159" t="s">
        <v>10557</v>
      </c>
    </row>
    <row r="296" spans="1:7" ht="15.75" customHeight="1">
      <c r="A296" s="159" t="s">
        <v>9275</v>
      </c>
      <c r="B296" s="159" t="s">
        <v>9343</v>
      </c>
      <c r="C296" s="159" t="s">
        <v>10558</v>
      </c>
      <c r="D296" s="159" t="s">
        <v>978</v>
      </c>
      <c r="E296" s="159">
        <v>5</v>
      </c>
      <c r="F296" s="159" t="s">
        <v>5665</v>
      </c>
      <c r="G296" s="159" t="s">
        <v>10559</v>
      </c>
    </row>
    <row r="297" spans="1:7" ht="15.75" customHeight="1">
      <c r="A297" s="159" t="s">
        <v>9275</v>
      </c>
      <c r="B297" s="159" t="s">
        <v>9343</v>
      </c>
      <c r="C297" s="159" t="s">
        <v>10560</v>
      </c>
      <c r="D297" s="159" t="s">
        <v>805</v>
      </c>
      <c r="E297" s="159">
        <v>3</v>
      </c>
      <c r="F297" s="159" t="s">
        <v>5667</v>
      </c>
      <c r="G297" s="159" t="s">
        <v>10561</v>
      </c>
    </row>
    <row r="298" spans="1:7" ht="15.75" customHeight="1">
      <c r="A298" s="159" t="s">
        <v>9275</v>
      </c>
      <c r="B298" s="159" t="s">
        <v>9343</v>
      </c>
      <c r="C298" s="159" t="s">
        <v>10562</v>
      </c>
      <c r="D298" s="159" t="s">
        <v>978</v>
      </c>
      <c r="E298" s="159">
        <v>5</v>
      </c>
      <c r="F298" s="159" t="s">
        <v>5665</v>
      </c>
      <c r="G298" s="159" t="s">
        <v>10563</v>
      </c>
    </row>
    <row r="299" spans="1:7" ht="15.75" customHeight="1">
      <c r="A299" s="159" t="s">
        <v>9275</v>
      </c>
      <c r="B299" s="159" t="s">
        <v>9343</v>
      </c>
      <c r="C299" s="159" t="s">
        <v>10564</v>
      </c>
      <c r="D299" s="159" t="s">
        <v>978</v>
      </c>
      <c r="E299" s="159">
        <v>5</v>
      </c>
      <c r="F299" s="159" t="s">
        <v>5665</v>
      </c>
      <c r="G299" s="159" t="s">
        <v>10565</v>
      </c>
    </row>
    <row r="300" spans="1:7" ht="15.75" customHeight="1">
      <c r="A300" s="159" t="s">
        <v>9275</v>
      </c>
      <c r="B300" s="159" t="s">
        <v>9343</v>
      </c>
      <c r="C300" s="159" t="s">
        <v>10566</v>
      </c>
      <c r="D300" s="159" t="s">
        <v>978</v>
      </c>
      <c r="E300" s="159">
        <v>5</v>
      </c>
      <c r="F300" s="159" t="s">
        <v>5665</v>
      </c>
      <c r="G300" s="159" t="s">
        <v>10567</v>
      </c>
    </row>
    <row r="301" spans="1:7" ht="15.75" customHeight="1">
      <c r="A301" s="159" t="s">
        <v>9275</v>
      </c>
      <c r="B301" s="159" t="s">
        <v>9343</v>
      </c>
      <c r="C301" s="159" t="s">
        <v>10568</v>
      </c>
      <c r="D301" s="159" t="s">
        <v>805</v>
      </c>
      <c r="E301" s="159">
        <v>3</v>
      </c>
      <c r="F301" s="159" t="s">
        <v>5667</v>
      </c>
      <c r="G301" s="159" t="s">
        <v>10569</v>
      </c>
    </row>
    <row r="302" spans="1:7" ht="15.75" customHeight="1">
      <c r="A302" s="159" t="s">
        <v>9275</v>
      </c>
      <c r="B302" s="159" t="s">
        <v>9345</v>
      </c>
      <c r="C302" s="159" t="s">
        <v>3897</v>
      </c>
      <c r="D302" s="159" t="s">
        <v>484</v>
      </c>
      <c r="E302" s="159">
        <v>10</v>
      </c>
      <c r="F302" s="159" t="s">
        <v>5665</v>
      </c>
      <c r="G302" s="159" t="s">
        <v>325</v>
      </c>
    </row>
    <row r="303" spans="1:7" ht="15.75" customHeight="1">
      <c r="A303" s="159" t="s">
        <v>9275</v>
      </c>
      <c r="B303" s="159" t="s">
        <v>9345</v>
      </c>
      <c r="C303" s="159" t="s">
        <v>10570</v>
      </c>
      <c r="D303" s="159" t="s">
        <v>484</v>
      </c>
      <c r="E303" s="159">
        <v>10</v>
      </c>
      <c r="F303" s="159" t="s">
        <v>5667</v>
      </c>
      <c r="G303" s="159" t="s">
        <v>325</v>
      </c>
    </row>
    <row r="304" spans="1:7" ht="15.75" customHeight="1">
      <c r="A304" s="159" t="s">
        <v>9275</v>
      </c>
      <c r="B304" s="159" t="s">
        <v>9345</v>
      </c>
      <c r="C304" s="159" t="s">
        <v>2969</v>
      </c>
      <c r="D304" s="159" t="s">
        <v>3893</v>
      </c>
      <c r="E304" s="159">
        <v>65535</v>
      </c>
      <c r="F304" s="159" t="s">
        <v>5665</v>
      </c>
      <c r="G304" s="159" t="s">
        <v>10571</v>
      </c>
    </row>
    <row r="305" spans="1:7" ht="15.75" customHeight="1">
      <c r="A305" s="159" t="s">
        <v>9275</v>
      </c>
      <c r="B305" s="159" t="s">
        <v>9347</v>
      </c>
      <c r="C305" s="159" t="s">
        <v>10572</v>
      </c>
      <c r="D305" s="159" t="s">
        <v>484</v>
      </c>
      <c r="E305" s="159">
        <v>10</v>
      </c>
      <c r="F305" s="159" t="s">
        <v>5665</v>
      </c>
      <c r="G305" s="159" t="s">
        <v>10573</v>
      </c>
    </row>
    <row r="306" spans="1:7" ht="15.75" customHeight="1">
      <c r="A306" s="159" t="s">
        <v>9275</v>
      </c>
      <c r="B306" s="159" t="s">
        <v>9347</v>
      </c>
      <c r="C306" s="159" t="s">
        <v>5764</v>
      </c>
      <c r="D306" s="159" t="s">
        <v>477</v>
      </c>
      <c r="E306" s="159">
        <v>255</v>
      </c>
      <c r="F306" s="159" t="s">
        <v>5667</v>
      </c>
      <c r="G306" s="159" t="s">
        <v>4246</v>
      </c>
    </row>
    <row r="307" spans="1:7" ht="15.75" customHeight="1">
      <c r="A307" s="159" t="s">
        <v>9275</v>
      </c>
      <c r="B307" s="159" t="s">
        <v>9347</v>
      </c>
      <c r="C307" s="159" t="s">
        <v>156</v>
      </c>
      <c r="D307" s="159" t="s">
        <v>477</v>
      </c>
      <c r="E307" s="159">
        <v>255</v>
      </c>
      <c r="F307" s="159" t="s">
        <v>5667</v>
      </c>
      <c r="G307" s="159" t="s">
        <v>4306</v>
      </c>
    </row>
    <row r="308" spans="1:7" ht="15.75" customHeight="1">
      <c r="A308" s="159" t="s">
        <v>9275</v>
      </c>
      <c r="B308" s="159" t="s">
        <v>9347</v>
      </c>
      <c r="C308" s="159" t="s">
        <v>10574</v>
      </c>
      <c r="D308" s="159" t="s">
        <v>978</v>
      </c>
      <c r="E308" s="159">
        <v>5</v>
      </c>
      <c r="F308" s="159" t="s">
        <v>5665</v>
      </c>
      <c r="G308" s="159" t="s">
        <v>10575</v>
      </c>
    </row>
    <row r="309" spans="1:7" ht="15.75" customHeight="1">
      <c r="A309" s="159" t="s">
        <v>9275</v>
      </c>
      <c r="B309" s="159" t="s">
        <v>9347</v>
      </c>
      <c r="C309" s="159" t="s">
        <v>10576</v>
      </c>
      <c r="D309" s="159" t="s">
        <v>477</v>
      </c>
      <c r="E309" s="159">
        <v>25</v>
      </c>
      <c r="F309" s="159" t="s">
        <v>5665</v>
      </c>
      <c r="G309" s="159" t="s">
        <v>10577</v>
      </c>
    </row>
    <row r="310" spans="1:7" ht="15.75" customHeight="1">
      <c r="A310" s="159" t="s">
        <v>9275</v>
      </c>
      <c r="B310" s="159" t="s">
        <v>9348</v>
      </c>
      <c r="C310" s="159" t="s">
        <v>10287</v>
      </c>
      <c r="D310" s="159" t="s">
        <v>484</v>
      </c>
      <c r="E310" s="159">
        <v>10</v>
      </c>
      <c r="F310" s="159" t="s">
        <v>5665</v>
      </c>
      <c r="G310" s="159" t="s">
        <v>10578</v>
      </c>
    </row>
    <row r="311" spans="1:7" ht="15.75" customHeight="1">
      <c r="A311" s="159" t="s">
        <v>9275</v>
      </c>
      <c r="B311" s="159" t="s">
        <v>9348</v>
      </c>
      <c r="C311" s="159" t="s">
        <v>10572</v>
      </c>
      <c r="D311" s="159" t="s">
        <v>484</v>
      </c>
      <c r="E311" s="159">
        <v>10</v>
      </c>
      <c r="F311" s="159" t="s">
        <v>5665</v>
      </c>
      <c r="G311" s="159" t="s">
        <v>10579</v>
      </c>
    </row>
    <row r="312" spans="1:7" ht="15.75" customHeight="1">
      <c r="A312" s="159" t="s">
        <v>9275</v>
      </c>
      <c r="B312" s="159" t="s">
        <v>9348</v>
      </c>
      <c r="C312" s="159" t="s">
        <v>10262</v>
      </c>
      <c r="D312" s="159" t="s">
        <v>484</v>
      </c>
      <c r="E312" s="159">
        <v>10</v>
      </c>
      <c r="F312" s="159" t="s">
        <v>5665</v>
      </c>
      <c r="G312" s="159" t="s">
        <v>10263</v>
      </c>
    </row>
    <row r="313" spans="1:7" ht="15.75" customHeight="1">
      <c r="A313" s="159" t="s">
        <v>9275</v>
      </c>
      <c r="B313" s="159" t="s">
        <v>9348</v>
      </c>
      <c r="C313" s="159" t="s">
        <v>10116</v>
      </c>
      <c r="D313" s="159" t="s">
        <v>477</v>
      </c>
      <c r="E313" s="159">
        <v>255</v>
      </c>
      <c r="F313" s="159" t="s">
        <v>5667</v>
      </c>
      <c r="G313" s="159" t="s">
        <v>10580</v>
      </c>
    </row>
    <row r="314" spans="1:7" ht="15.75" customHeight="1">
      <c r="A314" s="159" t="s">
        <v>9275</v>
      </c>
      <c r="B314" s="159" t="s">
        <v>9348</v>
      </c>
      <c r="C314" s="159" t="s">
        <v>10581</v>
      </c>
      <c r="D314" s="159" t="s">
        <v>805</v>
      </c>
      <c r="E314" s="159">
        <v>3</v>
      </c>
      <c r="F314" s="159" t="s">
        <v>5665</v>
      </c>
      <c r="G314" s="159" t="s">
        <v>10582</v>
      </c>
    </row>
    <row r="315" spans="1:7" ht="15.75" customHeight="1">
      <c r="A315" s="159" t="s">
        <v>9275</v>
      </c>
      <c r="B315" s="159" t="s">
        <v>9349</v>
      </c>
      <c r="C315" s="159" t="s">
        <v>10287</v>
      </c>
      <c r="D315" s="159" t="s">
        <v>484</v>
      </c>
      <c r="E315" s="159">
        <v>10</v>
      </c>
      <c r="F315" s="159" t="s">
        <v>5665</v>
      </c>
      <c r="G315" s="159" t="s">
        <v>10578</v>
      </c>
    </row>
    <row r="316" spans="1:7" ht="15.75" customHeight="1">
      <c r="A316" s="159" t="s">
        <v>9275</v>
      </c>
      <c r="B316" s="159" t="s">
        <v>9349</v>
      </c>
      <c r="C316" s="159" t="s">
        <v>156</v>
      </c>
      <c r="D316" s="159" t="s">
        <v>477</v>
      </c>
      <c r="E316" s="159">
        <v>255</v>
      </c>
      <c r="F316" s="159" t="s">
        <v>5667</v>
      </c>
      <c r="G316" s="159" t="s">
        <v>4306</v>
      </c>
    </row>
    <row r="317" spans="1:7" ht="15.75" customHeight="1">
      <c r="A317" s="159" t="s">
        <v>9275</v>
      </c>
      <c r="B317" s="159" t="s">
        <v>9349</v>
      </c>
      <c r="C317" s="159" t="s">
        <v>10583</v>
      </c>
      <c r="D317" s="159" t="s">
        <v>477</v>
      </c>
      <c r="E317" s="159">
        <v>255</v>
      </c>
      <c r="F317" s="159" t="s">
        <v>5667</v>
      </c>
      <c r="G317" s="159" t="s">
        <v>10584</v>
      </c>
    </row>
    <row r="318" spans="1:7" ht="15.75" customHeight="1">
      <c r="A318" s="159" t="s">
        <v>9275</v>
      </c>
      <c r="B318" s="159" t="s">
        <v>9349</v>
      </c>
      <c r="C318" s="159" t="s">
        <v>10585</v>
      </c>
      <c r="D318" s="159" t="s">
        <v>477</v>
      </c>
      <c r="E318" s="159">
        <v>255</v>
      </c>
      <c r="F318" s="159" t="s">
        <v>5667</v>
      </c>
      <c r="G318" s="159" t="s">
        <v>10586</v>
      </c>
    </row>
    <row r="319" spans="1:7" ht="15.75" customHeight="1">
      <c r="A319" s="159" t="s">
        <v>9275</v>
      </c>
      <c r="B319" s="159" t="s">
        <v>9349</v>
      </c>
      <c r="C319" s="159" t="s">
        <v>10211</v>
      </c>
      <c r="D319" s="159" t="s">
        <v>978</v>
      </c>
      <c r="E319" s="159">
        <v>5</v>
      </c>
      <c r="F319" s="159" t="s">
        <v>5665</v>
      </c>
      <c r="G319" s="159" t="s">
        <v>10587</v>
      </c>
    </row>
    <row r="320" spans="1:7" ht="15.75" customHeight="1">
      <c r="A320" s="159" t="s">
        <v>9275</v>
      </c>
      <c r="B320" s="159" t="s">
        <v>9349</v>
      </c>
      <c r="C320" s="159" t="s">
        <v>10290</v>
      </c>
      <c r="D320" s="159" t="s">
        <v>978</v>
      </c>
      <c r="E320" s="159">
        <v>5</v>
      </c>
      <c r="F320" s="159" t="s">
        <v>5667</v>
      </c>
      <c r="G320" s="159" t="s">
        <v>10507</v>
      </c>
    </row>
    <row r="321" spans="1:7" ht="15.75" customHeight="1">
      <c r="A321" s="159" t="s">
        <v>9275</v>
      </c>
      <c r="B321" s="159" t="s">
        <v>9349</v>
      </c>
      <c r="C321" s="159" t="s">
        <v>10588</v>
      </c>
      <c r="D321" s="159" t="s">
        <v>477</v>
      </c>
      <c r="E321" s="159">
        <v>255</v>
      </c>
      <c r="F321" s="159" t="s">
        <v>5665</v>
      </c>
      <c r="G321" s="159" t="s">
        <v>10589</v>
      </c>
    </row>
    <row r="322" spans="1:7" ht="15.75" customHeight="1">
      <c r="A322" s="159" t="s">
        <v>9275</v>
      </c>
      <c r="B322" s="159" t="s">
        <v>9349</v>
      </c>
      <c r="C322" s="159" t="s">
        <v>10590</v>
      </c>
      <c r="D322" s="159" t="s">
        <v>978</v>
      </c>
      <c r="E322" s="159">
        <v>5</v>
      </c>
      <c r="F322" s="159" t="s">
        <v>5665</v>
      </c>
      <c r="G322" s="159" t="s">
        <v>10591</v>
      </c>
    </row>
    <row r="323" spans="1:7" ht="15.75" customHeight="1">
      <c r="A323" s="159" t="s">
        <v>9275</v>
      </c>
      <c r="B323" s="159" t="s">
        <v>9349</v>
      </c>
      <c r="C323" s="159" t="s">
        <v>10592</v>
      </c>
      <c r="D323" s="159" t="s">
        <v>3893</v>
      </c>
      <c r="E323" s="159">
        <v>65535</v>
      </c>
      <c r="F323" s="159" t="s">
        <v>5667</v>
      </c>
      <c r="G323" s="159" t="s">
        <v>10593</v>
      </c>
    </row>
    <row r="324" spans="1:7" ht="15.75" customHeight="1">
      <c r="A324" s="159" t="s">
        <v>9275</v>
      </c>
      <c r="B324" s="159" t="s">
        <v>9349</v>
      </c>
      <c r="C324" s="159" t="s">
        <v>10594</v>
      </c>
      <c r="D324" s="159" t="s">
        <v>477</v>
      </c>
      <c r="E324" s="159">
        <v>255</v>
      </c>
      <c r="F324" s="159" t="s">
        <v>5667</v>
      </c>
      <c r="G324" s="159" t="s">
        <v>10595</v>
      </c>
    </row>
    <row r="325" spans="1:7" ht="15.75" customHeight="1">
      <c r="A325" s="159" t="s">
        <v>9275</v>
      </c>
      <c r="B325" s="159" t="s">
        <v>9349</v>
      </c>
      <c r="C325" s="159" t="s">
        <v>10596</v>
      </c>
      <c r="D325" s="159" t="s">
        <v>477</v>
      </c>
      <c r="E325" s="159">
        <v>255</v>
      </c>
      <c r="F325" s="159" t="s">
        <v>5667</v>
      </c>
      <c r="G325" s="159" t="s">
        <v>10597</v>
      </c>
    </row>
    <row r="326" spans="1:7" ht="15.75" customHeight="1">
      <c r="A326" s="159" t="s">
        <v>9275</v>
      </c>
      <c r="B326" s="159" t="s">
        <v>9349</v>
      </c>
      <c r="C326" s="159" t="s">
        <v>10598</v>
      </c>
      <c r="D326" s="159" t="s">
        <v>477</v>
      </c>
      <c r="E326" s="159">
        <v>255</v>
      </c>
      <c r="F326" s="159" t="s">
        <v>5667</v>
      </c>
      <c r="G326" s="159" t="s">
        <v>10599</v>
      </c>
    </row>
    <row r="327" spans="1:7" ht="15.75" customHeight="1">
      <c r="A327" s="159" t="s">
        <v>9275</v>
      </c>
      <c r="B327" s="159" t="s">
        <v>9349</v>
      </c>
      <c r="C327" s="159" t="s">
        <v>10600</v>
      </c>
      <c r="D327" s="159" t="s">
        <v>10334</v>
      </c>
      <c r="E327" s="159">
        <v>16777215</v>
      </c>
      <c r="F327" s="159" t="s">
        <v>5667</v>
      </c>
      <c r="G327" s="159" t="s">
        <v>10601</v>
      </c>
    </row>
    <row r="328" spans="1:7" ht="15.75" customHeight="1">
      <c r="A328" s="159" t="s">
        <v>9275</v>
      </c>
      <c r="B328" s="159" t="s">
        <v>9349</v>
      </c>
      <c r="C328" s="159" t="s">
        <v>10602</v>
      </c>
      <c r="D328" s="159" t="s">
        <v>10334</v>
      </c>
      <c r="E328" s="159">
        <v>16777215</v>
      </c>
      <c r="F328" s="159" t="s">
        <v>5667</v>
      </c>
      <c r="G328" s="159" t="s">
        <v>10603</v>
      </c>
    </row>
    <row r="329" spans="1:7" ht="15.75" customHeight="1">
      <c r="A329" s="159" t="s">
        <v>9275</v>
      </c>
      <c r="B329" s="159" t="s">
        <v>9349</v>
      </c>
      <c r="C329" s="159" t="s">
        <v>10604</v>
      </c>
      <c r="D329" s="159" t="s">
        <v>477</v>
      </c>
      <c r="E329" s="159">
        <v>255</v>
      </c>
      <c r="F329" s="159" t="s">
        <v>5667</v>
      </c>
      <c r="G329" s="159" t="s">
        <v>10605</v>
      </c>
    </row>
    <row r="330" spans="1:7" ht="15.75" customHeight="1">
      <c r="A330" s="159" t="s">
        <v>9275</v>
      </c>
      <c r="B330" s="159" t="s">
        <v>9349</v>
      </c>
      <c r="C330" s="159" t="s">
        <v>10606</v>
      </c>
      <c r="D330" s="159" t="s">
        <v>10334</v>
      </c>
      <c r="E330" s="159">
        <v>16777215</v>
      </c>
      <c r="F330" s="159" t="s">
        <v>5667</v>
      </c>
      <c r="G330" s="159" t="s">
        <v>10607</v>
      </c>
    </row>
    <row r="331" spans="1:7" ht="15.75" customHeight="1">
      <c r="A331" s="159" t="s">
        <v>9275</v>
      </c>
      <c r="B331" s="159" t="s">
        <v>9349</v>
      </c>
      <c r="C331" s="159" t="s">
        <v>10608</v>
      </c>
      <c r="D331" s="159" t="s">
        <v>10334</v>
      </c>
      <c r="E331" s="159">
        <v>16777215</v>
      </c>
      <c r="F331" s="159" t="s">
        <v>5667</v>
      </c>
      <c r="G331" s="159" t="s">
        <v>10609</v>
      </c>
    </row>
    <row r="332" spans="1:7" ht="15.75" customHeight="1">
      <c r="A332" s="159" t="s">
        <v>9275</v>
      </c>
      <c r="B332" s="159" t="s">
        <v>9349</v>
      </c>
      <c r="C332" s="159" t="s">
        <v>10610</v>
      </c>
      <c r="D332" s="159" t="s">
        <v>978</v>
      </c>
      <c r="E332" s="159">
        <v>5</v>
      </c>
      <c r="F332" s="159" t="s">
        <v>5665</v>
      </c>
      <c r="G332" s="159" t="s">
        <v>10611</v>
      </c>
    </row>
    <row r="333" spans="1:7" ht="15.75" customHeight="1">
      <c r="A333" s="159" t="s">
        <v>9275</v>
      </c>
      <c r="B333" s="159" t="s">
        <v>9349</v>
      </c>
      <c r="C333" s="159" t="s">
        <v>10612</v>
      </c>
      <c r="D333" s="159" t="s">
        <v>477</v>
      </c>
      <c r="E333" s="159">
        <v>255</v>
      </c>
      <c r="F333" s="159" t="s">
        <v>5665</v>
      </c>
      <c r="G333" s="159" t="s">
        <v>10613</v>
      </c>
    </row>
    <row r="334" spans="1:7" ht="15.75" customHeight="1">
      <c r="A334" s="159" t="s">
        <v>9275</v>
      </c>
      <c r="B334" s="159" t="s">
        <v>9349</v>
      </c>
      <c r="C334" s="159" t="s">
        <v>10614</v>
      </c>
      <c r="D334" s="159" t="s">
        <v>477</v>
      </c>
      <c r="E334" s="159">
        <v>255</v>
      </c>
      <c r="F334" s="159" t="s">
        <v>5665</v>
      </c>
      <c r="G334" s="159" t="s">
        <v>10615</v>
      </c>
    </row>
    <row r="335" spans="1:7" ht="15.75" customHeight="1">
      <c r="A335" s="159" t="s">
        <v>9275</v>
      </c>
      <c r="B335" s="159" t="s">
        <v>9349</v>
      </c>
      <c r="C335" s="159" t="s">
        <v>10616</v>
      </c>
      <c r="D335" s="159" t="s">
        <v>477</v>
      </c>
      <c r="E335" s="159">
        <v>255</v>
      </c>
      <c r="F335" s="159" t="s">
        <v>5665</v>
      </c>
      <c r="G335" s="159" t="s">
        <v>10617</v>
      </c>
    </row>
    <row r="336" spans="1:7" ht="15.75" customHeight="1">
      <c r="A336" s="159" t="s">
        <v>9275</v>
      </c>
      <c r="B336" s="159" t="s">
        <v>9349</v>
      </c>
      <c r="C336" s="159" t="s">
        <v>10618</v>
      </c>
      <c r="D336" s="159" t="s">
        <v>477</v>
      </c>
      <c r="E336" s="159">
        <v>255</v>
      </c>
      <c r="F336" s="159" t="s">
        <v>5667</v>
      </c>
      <c r="G336" s="159" t="s">
        <v>10619</v>
      </c>
    </row>
    <row r="337" spans="1:7" ht="15.75" customHeight="1">
      <c r="A337" s="159" t="s">
        <v>9275</v>
      </c>
      <c r="B337" s="159" t="s">
        <v>9349</v>
      </c>
      <c r="C337" s="159" t="s">
        <v>10620</v>
      </c>
      <c r="D337" s="159" t="s">
        <v>10334</v>
      </c>
      <c r="E337" s="159">
        <v>16777215</v>
      </c>
      <c r="F337" s="159" t="s">
        <v>5667</v>
      </c>
      <c r="G337" s="159" t="s">
        <v>10621</v>
      </c>
    </row>
    <row r="338" spans="1:7" ht="15.75" customHeight="1">
      <c r="A338" s="159" t="s">
        <v>9275</v>
      </c>
      <c r="B338" s="159" t="s">
        <v>9349</v>
      </c>
      <c r="C338" s="159" t="s">
        <v>10622</v>
      </c>
      <c r="D338" s="159" t="s">
        <v>1413</v>
      </c>
      <c r="E338" s="159"/>
      <c r="F338" s="159" t="s">
        <v>5667</v>
      </c>
      <c r="G338" s="159" t="s">
        <v>10623</v>
      </c>
    </row>
    <row r="339" spans="1:7" ht="15.75" customHeight="1">
      <c r="A339" s="159" t="s">
        <v>9275</v>
      </c>
      <c r="B339" s="159" t="s">
        <v>9349</v>
      </c>
      <c r="C339" s="159" t="s">
        <v>10624</v>
      </c>
      <c r="D339" s="159" t="s">
        <v>978</v>
      </c>
      <c r="E339" s="159">
        <v>5</v>
      </c>
      <c r="F339" s="159" t="s">
        <v>5665</v>
      </c>
      <c r="G339" s="159" t="s">
        <v>10625</v>
      </c>
    </row>
    <row r="340" spans="1:7" ht="15.75" customHeight="1">
      <c r="A340" s="159" t="s">
        <v>9275</v>
      </c>
      <c r="B340" s="159" t="s">
        <v>9349</v>
      </c>
      <c r="C340" s="159" t="s">
        <v>10626</v>
      </c>
      <c r="D340" s="159" t="s">
        <v>477</v>
      </c>
      <c r="E340" s="159">
        <v>255</v>
      </c>
      <c r="F340" s="159" t="s">
        <v>5667</v>
      </c>
      <c r="G340" s="159" t="s">
        <v>10627</v>
      </c>
    </row>
    <row r="341" spans="1:7" ht="15.75" customHeight="1">
      <c r="A341" s="159" t="s">
        <v>9275</v>
      </c>
      <c r="B341" s="159" t="s">
        <v>9349</v>
      </c>
      <c r="C341" s="159" t="s">
        <v>2251</v>
      </c>
      <c r="D341" s="159" t="s">
        <v>477</v>
      </c>
      <c r="E341" s="159">
        <v>255</v>
      </c>
      <c r="F341" s="159" t="s">
        <v>5667</v>
      </c>
      <c r="G341" s="159" t="s">
        <v>10628</v>
      </c>
    </row>
    <row r="342" spans="1:7" ht="15.75" customHeight="1">
      <c r="A342" s="159" t="s">
        <v>9275</v>
      </c>
      <c r="B342" s="159" t="s">
        <v>9349</v>
      </c>
      <c r="C342" s="159" t="s">
        <v>10629</v>
      </c>
      <c r="D342" s="159" t="s">
        <v>477</v>
      </c>
      <c r="E342" s="159">
        <v>255</v>
      </c>
      <c r="F342" s="159" t="s">
        <v>5667</v>
      </c>
      <c r="G342" s="159" t="s">
        <v>10630</v>
      </c>
    </row>
    <row r="343" spans="1:7" ht="15.75" customHeight="1">
      <c r="A343" s="159" t="s">
        <v>9275</v>
      </c>
      <c r="B343" s="159" t="s">
        <v>9349</v>
      </c>
      <c r="C343" s="159" t="s">
        <v>10631</v>
      </c>
      <c r="D343" s="159" t="s">
        <v>477</v>
      </c>
      <c r="E343" s="159">
        <v>255</v>
      </c>
      <c r="F343" s="159" t="s">
        <v>5667</v>
      </c>
      <c r="G343" s="159" t="s">
        <v>10632</v>
      </c>
    </row>
    <row r="344" spans="1:7" ht="15.75" customHeight="1">
      <c r="A344" s="159" t="s">
        <v>9275</v>
      </c>
      <c r="B344" s="159" t="s">
        <v>9349</v>
      </c>
      <c r="C344" s="159" t="s">
        <v>10633</v>
      </c>
      <c r="D344" s="159" t="s">
        <v>477</v>
      </c>
      <c r="E344" s="159">
        <v>255</v>
      </c>
      <c r="F344" s="159" t="s">
        <v>5667</v>
      </c>
      <c r="G344" s="159" t="s">
        <v>10634</v>
      </c>
    </row>
    <row r="345" spans="1:7" ht="15.75" customHeight="1">
      <c r="A345" s="159" t="s">
        <v>9275</v>
      </c>
      <c r="B345" s="159" t="s">
        <v>9349</v>
      </c>
      <c r="C345" s="159" t="s">
        <v>10635</v>
      </c>
      <c r="D345" s="159" t="s">
        <v>978</v>
      </c>
      <c r="E345" s="159">
        <v>5</v>
      </c>
      <c r="F345" s="159" t="s">
        <v>5665</v>
      </c>
      <c r="G345" s="159" t="s">
        <v>10636</v>
      </c>
    </row>
    <row r="346" spans="1:7" ht="15.75" customHeight="1">
      <c r="A346" s="159" t="s">
        <v>9275</v>
      </c>
      <c r="B346" s="159" t="s">
        <v>9349</v>
      </c>
      <c r="C346" s="159" t="s">
        <v>10637</v>
      </c>
      <c r="D346" s="159" t="s">
        <v>477</v>
      </c>
      <c r="E346" s="159">
        <v>255</v>
      </c>
      <c r="F346" s="159" t="s">
        <v>5667</v>
      </c>
      <c r="G346" s="159" t="s">
        <v>10638</v>
      </c>
    </row>
    <row r="347" spans="1:7" ht="15.75" customHeight="1">
      <c r="A347" s="159" t="s">
        <v>9275</v>
      </c>
      <c r="B347" s="159" t="s">
        <v>9349</v>
      </c>
      <c r="C347" s="159" t="s">
        <v>10639</v>
      </c>
      <c r="D347" s="159" t="s">
        <v>477</v>
      </c>
      <c r="E347" s="159">
        <v>255</v>
      </c>
      <c r="F347" s="159" t="s">
        <v>5667</v>
      </c>
      <c r="G347" s="159" t="s">
        <v>10640</v>
      </c>
    </row>
    <row r="348" spans="1:7" ht="15.75" customHeight="1">
      <c r="A348" s="159" t="s">
        <v>9275</v>
      </c>
      <c r="B348" s="159" t="s">
        <v>9349</v>
      </c>
      <c r="C348" s="159" t="s">
        <v>10641</v>
      </c>
      <c r="D348" s="159" t="s">
        <v>477</v>
      </c>
      <c r="E348" s="159">
        <v>255</v>
      </c>
      <c r="F348" s="159" t="s">
        <v>5667</v>
      </c>
      <c r="G348" s="159" t="s">
        <v>10642</v>
      </c>
    </row>
    <row r="349" spans="1:7" ht="15.75" customHeight="1">
      <c r="A349" s="159" t="s">
        <v>9275</v>
      </c>
      <c r="B349" s="159" t="s">
        <v>9349</v>
      </c>
      <c r="C349" s="159" t="s">
        <v>10643</v>
      </c>
      <c r="D349" s="159" t="s">
        <v>477</v>
      </c>
      <c r="E349" s="159">
        <v>255</v>
      </c>
      <c r="F349" s="159" t="s">
        <v>5667</v>
      </c>
      <c r="G349" s="159" t="s">
        <v>10644</v>
      </c>
    </row>
    <row r="350" spans="1:7" ht="15.75" customHeight="1">
      <c r="A350" s="159" t="s">
        <v>9275</v>
      </c>
      <c r="B350" s="159" t="s">
        <v>9349</v>
      </c>
      <c r="C350" s="159" t="s">
        <v>10645</v>
      </c>
      <c r="D350" s="159" t="s">
        <v>477</v>
      </c>
      <c r="E350" s="159">
        <v>255</v>
      </c>
      <c r="F350" s="159" t="s">
        <v>5667</v>
      </c>
      <c r="G350" s="159" t="s">
        <v>10646</v>
      </c>
    </row>
    <row r="351" spans="1:7" ht="15.75" customHeight="1">
      <c r="A351" s="159" t="s">
        <v>9275</v>
      </c>
      <c r="B351" s="159" t="s">
        <v>9349</v>
      </c>
      <c r="C351" s="159" t="s">
        <v>10647</v>
      </c>
      <c r="D351" s="159" t="s">
        <v>978</v>
      </c>
      <c r="E351" s="159">
        <v>5</v>
      </c>
      <c r="F351" s="159" t="s">
        <v>5665</v>
      </c>
      <c r="G351" s="159" t="s">
        <v>10648</v>
      </c>
    </row>
    <row r="352" spans="1:7" ht="15.75" customHeight="1">
      <c r="A352" s="159" t="s">
        <v>9275</v>
      </c>
      <c r="B352" s="159" t="s">
        <v>9349</v>
      </c>
      <c r="C352" s="159" t="s">
        <v>10649</v>
      </c>
      <c r="D352" s="159" t="s">
        <v>477</v>
      </c>
      <c r="E352" s="159">
        <v>255</v>
      </c>
      <c r="F352" s="159" t="s">
        <v>5665</v>
      </c>
      <c r="G352" s="159" t="s">
        <v>10650</v>
      </c>
    </row>
    <row r="353" spans="1:7" ht="15.75" customHeight="1">
      <c r="A353" s="159" t="s">
        <v>9275</v>
      </c>
      <c r="B353" s="159" t="s">
        <v>9349</v>
      </c>
      <c r="C353" s="159" t="s">
        <v>10651</v>
      </c>
      <c r="D353" s="159" t="s">
        <v>805</v>
      </c>
      <c r="E353" s="159">
        <v>3</v>
      </c>
      <c r="F353" s="159" t="s">
        <v>5665</v>
      </c>
      <c r="G353" s="159" t="s">
        <v>10652</v>
      </c>
    </row>
    <row r="354" spans="1:7" ht="15.75" customHeight="1">
      <c r="A354" s="159" t="s">
        <v>9275</v>
      </c>
      <c r="B354" s="159" t="s">
        <v>9349</v>
      </c>
      <c r="C354" s="159" t="s">
        <v>10653</v>
      </c>
      <c r="D354" s="159" t="s">
        <v>805</v>
      </c>
      <c r="E354" s="159">
        <v>3</v>
      </c>
      <c r="F354" s="159" t="s">
        <v>5665</v>
      </c>
      <c r="G354" s="159" t="s">
        <v>10654</v>
      </c>
    </row>
    <row r="355" spans="1:7" ht="15.75" customHeight="1">
      <c r="A355" s="159" t="s">
        <v>9275</v>
      </c>
      <c r="B355" s="159" t="s">
        <v>9349</v>
      </c>
      <c r="C355" s="159" t="s">
        <v>10655</v>
      </c>
      <c r="D355" s="159" t="s">
        <v>805</v>
      </c>
      <c r="E355" s="159">
        <v>3</v>
      </c>
      <c r="F355" s="159" t="s">
        <v>5665</v>
      </c>
      <c r="G355" s="159" t="s">
        <v>10656</v>
      </c>
    </row>
    <row r="356" spans="1:7" ht="15.75" customHeight="1">
      <c r="A356" s="159" t="s">
        <v>9275</v>
      </c>
      <c r="B356" s="159" t="s">
        <v>9349</v>
      </c>
      <c r="C356" s="159" t="s">
        <v>10657</v>
      </c>
      <c r="D356" s="159" t="s">
        <v>484</v>
      </c>
      <c r="E356" s="159">
        <v>10</v>
      </c>
      <c r="F356" s="159" t="s">
        <v>5665</v>
      </c>
      <c r="G356" s="159" t="s">
        <v>10658</v>
      </c>
    </row>
    <row r="357" spans="1:7" ht="15.75" customHeight="1">
      <c r="A357" s="159" t="s">
        <v>9275</v>
      </c>
      <c r="B357" s="159" t="s">
        <v>9349</v>
      </c>
      <c r="C357" s="159" t="s">
        <v>10659</v>
      </c>
      <c r="D357" s="159" t="s">
        <v>477</v>
      </c>
      <c r="E357" s="159">
        <v>255</v>
      </c>
      <c r="F357" s="159" t="s">
        <v>5665</v>
      </c>
      <c r="G357" s="159" t="s">
        <v>10660</v>
      </c>
    </row>
    <row r="358" spans="1:7" ht="15.75" customHeight="1">
      <c r="A358" s="159" t="s">
        <v>9275</v>
      </c>
      <c r="B358" s="159" t="s">
        <v>9349</v>
      </c>
      <c r="C358" s="159" t="s">
        <v>1419</v>
      </c>
      <c r="D358" s="159" t="s">
        <v>978</v>
      </c>
      <c r="E358" s="159">
        <v>5</v>
      </c>
      <c r="F358" s="159" t="s">
        <v>5665</v>
      </c>
      <c r="G358" s="159" t="s">
        <v>10661</v>
      </c>
    </row>
    <row r="359" spans="1:7" ht="15.75" customHeight="1">
      <c r="A359" s="159" t="s">
        <v>9275</v>
      </c>
      <c r="B359" s="159" t="s">
        <v>9350</v>
      </c>
      <c r="C359" s="159" t="s">
        <v>10285</v>
      </c>
      <c r="D359" s="159" t="s">
        <v>484</v>
      </c>
      <c r="E359" s="159">
        <v>10</v>
      </c>
      <c r="F359" s="159" t="s">
        <v>5665</v>
      </c>
      <c r="G359" s="159" t="s">
        <v>10286</v>
      </c>
    </row>
    <row r="360" spans="1:7" ht="15.75" customHeight="1">
      <c r="A360" s="159" t="s">
        <v>9275</v>
      </c>
      <c r="B360" s="159" t="s">
        <v>9350</v>
      </c>
      <c r="C360" s="159" t="s">
        <v>10287</v>
      </c>
      <c r="D360" s="159" t="s">
        <v>484</v>
      </c>
      <c r="E360" s="159">
        <v>10</v>
      </c>
      <c r="F360" s="159" t="s">
        <v>5665</v>
      </c>
      <c r="G360" s="159" t="s">
        <v>10237</v>
      </c>
    </row>
    <row r="361" spans="1:7" ht="15.75" customHeight="1">
      <c r="A361" s="159" t="s">
        <v>9275</v>
      </c>
      <c r="B361" s="159" t="s">
        <v>9351</v>
      </c>
      <c r="C361" s="159" t="s">
        <v>10662</v>
      </c>
      <c r="D361" s="159" t="s">
        <v>484</v>
      </c>
      <c r="E361" s="159">
        <v>10</v>
      </c>
      <c r="F361" s="159" t="s">
        <v>5665</v>
      </c>
      <c r="G361" s="159" t="s">
        <v>10663</v>
      </c>
    </row>
    <row r="362" spans="1:7" ht="15.75" customHeight="1">
      <c r="A362" s="159" t="s">
        <v>9275</v>
      </c>
      <c r="B362" s="159" t="s">
        <v>9351</v>
      </c>
      <c r="C362" s="159" t="s">
        <v>5764</v>
      </c>
      <c r="D362" s="159" t="s">
        <v>477</v>
      </c>
      <c r="E362" s="159">
        <v>255</v>
      </c>
      <c r="F362" s="159" t="s">
        <v>5667</v>
      </c>
      <c r="G362" s="159" t="s">
        <v>4246</v>
      </c>
    </row>
    <row r="363" spans="1:7" ht="15.75" customHeight="1">
      <c r="A363" s="159" t="s">
        <v>9275</v>
      </c>
      <c r="B363" s="159" t="s">
        <v>9351</v>
      </c>
      <c r="C363" s="159" t="s">
        <v>156</v>
      </c>
      <c r="D363" s="159" t="s">
        <v>477</v>
      </c>
      <c r="E363" s="159">
        <v>255</v>
      </c>
      <c r="F363" s="159" t="s">
        <v>5667</v>
      </c>
      <c r="G363" s="159" t="s">
        <v>4306</v>
      </c>
    </row>
    <row r="364" spans="1:7" ht="15.75" customHeight="1">
      <c r="A364" s="159" t="s">
        <v>9275</v>
      </c>
      <c r="B364" s="159" t="s">
        <v>9352</v>
      </c>
      <c r="C364" s="159" t="s">
        <v>10287</v>
      </c>
      <c r="D364" s="159" t="s">
        <v>484</v>
      </c>
      <c r="E364" s="159">
        <v>10</v>
      </c>
      <c r="F364" s="159" t="s">
        <v>5665</v>
      </c>
      <c r="G364" s="159" t="s">
        <v>10664</v>
      </c>
    </row>
    <row r="365" spans="1:7" ht="15.75" customHeight="1">
      <c r="A365" s="159" t="s">
        <v>9275</v>
      </c>
      <c r="B365" s="159" t="s">
        <v>9352</v>
      </c>
      <c r="C365" s="159" t="s">
        <v>10662</v>
      </c>
      <c r="D365" s="159" t="s">
        <v>484</v>
      </c>
      <c r="E365" s="159">
        <v>10</v>
      </c>
      <c r="F365" s="159" t="s">
        <v>5665</v>
      </c>
      <c r="G365" s="159" t="s">
        <v>10663</v>
      </c>
    </row>
    <row r="366" spans="1:7" ht="15.75" customHeight="1">
      <c r="A366" s="159" t="s">
        <v>9275</v>
      </c>
      <c r="B366" s="159" t="s">
        <v>9352</v>
      </c>
      <c r="C366" s="159" t="s">
        <v>10620</v>
      </c>
      <c r="D366" s="159" t="s">
        <v>10334</v>
      </c>
      <c r="E366" s="159">
        <v>16777215</v>
      </c>
      <c r="F366" s="159" t="s">
        <v>5667</v>
      </c>
      <c r="G366" s="159" t="s">
        <v>10500</v>
      </c>
    </row>
    <row r="367" spans="1:7" ht="15.75" customHeight="1">
      <c r="A367" s="159" t="s">
        <v>9275</v>
      </c>
      <c r="B367" s="159" t="s">
        <v>9352</v>
      </c>
      <c r="C367" s="159" t="s">
        <v>10665</v>
      </c>
      <c r="D367" s="159" t="s">
        <v>10334</v>
      </c>
      <c r="E367" s="159">
        <v>16777215</v>
      </c>
      <c r="F367" s="159" t="s">
        <v>5667</v>
      </c>
      <c r="G367" s="159" t="s">
        <v>10666</v>
      </c>
    </row>
    <row r="368" spans="1:7" ht="15.75" customHeight="1">
      <c r="A368" s="159" t="s">
        <v>9275</v>
      </c>
      <c r="B368" s="159" t="s">
        <v>9353</v>
      </c>
      <c r="C368" s="159" t="s">
        <v>3897</v>
      </c>
      <c r="D368" s="159" t="s">
        <v>484</v>
      </c>
      <c r="E368" s="159">
        <v>10</v>
      </c>
      <c r="F368" s="159" t="s">
        <v>5665</v>
      </c>
      <c r="G368" s="159" t="s">
        <v>325</v>
      </c>
    </row>
    <row r="369" spans="1:7" ht="15.75" customHeight="1">
      <c r="A369" s="159" t="s">
        <v>9275</v>
      </c>
      <c r="B369" s="159" t="s">
        <v>9353</v>
      </c>
      <c r="C369" s="159" t="s">
        <v>10667</v>
      </c>
      <c r="D369" s="159" t="s">
        <v>3893</v>
      </c>
      <c r="E369" s="159">
        <v>65535</v>
      </c>
      <c r="F369" s="159" t="s">
        <v>5667</v>
      </c>
      <c r="G369" s="159" t="s">
        <v>4543</v>
      </c>
    </row>
    <row r="370" spans="1:7" ht="15.75" customHeight="1">
      <c r="A370" s="159" t="s">
        <v>9275</v>
      </c>
      <c r="B370" s="159" t="s">
        <v>9353</v>
      </c>
      <c r="C370" s="159" t="s">
        <v>10668</v>
      </c>
      <c r="D370" s="159" t="s">
        <v>3893</v>
      </c>
      <c r="E370" s="159">
        <v>65535</v>
      </c>
      <c r="F370" s="159" t="s">
        <v>5667</v>
      </c>
      <c r="G370" s="159" t="s">
        <v>10669</v>
      </c>
    </row>
    <row r="371" spans="1:7" ht="15.75" customHeight="1">
      <c r="A371" s="159" t="s">
        <v>9275</v>
      </c>
      <c r="B371" s="159" t="s">
        <v>9354</v>
      </c>
      <c r="C371" s="159" t="s">
        <v>10285</v>
      </c>
      <c r="D371" s="159" t="s">
        <v>484</v>
      </c>
      <c r="E371" s="159">
        <v>10</v>
      </c>
      <c r="F371" s="159" t="s">
        <v>5665</v>
      </c>
      <c r="G371" s="159" t="s">
        <v>10286</v>
      </c>
    </row>
    <row r="372" spans="1:7" ht="15.75" customHeight="1">
      <c r="A372" s="159" t="s">
        <v>9275</v>
      </c>
      <c r="B372" s="159" t="s">
        <v>9354</v>
      </c>
      <c r="C372" s="159" t="s">
        <v>10287</v>
      </c>
      <c r="D372" s="159" t="s">
        <v>484</v>
      </c>
      <c r="E372" s="159">
        <v>10</v>
      </c>
      <c r="F372" s="159" t="s">
        <v>5665</v>
      </c>
      <c r="G372" s="159" t="s">
        <v>10237</v>
      </c>
    </row>
    <row r="373" spans="1:7" ht="15.75" customHeight="1">
      <c r="A373" s="159" t="s">
        <v>9275</v>
      </c>
      <c r="B373" s="159" t="s">
        <v>9355</v>
      </c>
      <c r="C373" s="159" t="s">
        <v>3897</v>
      </c>
      <c r="D373" s="159" t="s">
        <v>484</v>
      </c>
      <c r="E373" s="159">
        <v>10</v>
      </c>
      <c r="F373" s="159" t="s">
        <v>5665</v>
      </c>
      <c r="G373" s="159" t="s">
        <v>325</v>
      </c>
    </row>
    <row r="374" spans="1:7" ht="15.75" customHeight="1">
      <c r="A374" s="159" t="s">
        <v>9275</v>
      </c>
      <c r="B374" s="159" t="s">
        <v>9355</v>
      </c>
      <c r="C374" s="159" t="s">
        <v>10670</v>
      </c>
      <c r="D374" s="159" t="s">
        <v>484</v>
      </c>
      <c r="E374" s="159">
        <v>10</v>
      </c>
      <c r="F374" s="159" t="s">
        <v>5667</v>
      </c>
      <c r="G374" s="159" t="s">
        <v>10671</v>
      </c>
    </row>
    <row r="375" spans="1:7" ht="15.75" customHeight="1">
      <c r="A375" s="159" t="s">
        <v>9275</v>
      </c>
      <c r="B375" s="159" t="s">
        <v>9355</v>
      </c>
      <c r="C375" s="159" t="s">
        <v>10672</v>
      </c>
      <c r="D375" s="159" t="s">
        <v>484</v>
      </c>
      <c r="E375" s="159">
        <v>10</v>
      </c>
      <c r="F375" s="159" t="s">
        <v>5667</v>
      </c>
      <c r="G375" s="159" t="s">
        <v>10673</v>
      </c>
    </row>
    <row r="376" spans="1:7" ht="15.75" customHeight="1">
      <c r="A376" s="159" t="s">
        <v>9275</v>
      </c>
      <c r="B376" s="159" t="s">
        <v>9355</v>
      </c>
      <c r="C376" s="159" t="s">
        <v>10674</v>
      </c>
      <c r="D376" s="159" t="s">
        <v>484</v>
      </c>
      <c r="E376" s="159">
        <v>10</v>
      </c>
      <c r="F376" s="159" t="s">
        <v>5665</v>
      </c>
      <c r="G376" s="159" t="s">
        <v>10675</v>
      </c>
    </row>
    <row r="377" spans="1:7" ht="15.75" customHeight="1">
      <c r="A377" s="159" t="s">
        <v>9275</v>
      </c>
      <c r="B377" s="159" t="s">
        <v>9357</v>
      </c>
      <c r="C377" s="159" t="s">
        <v>10287</v>
      </c>
      <c r="D377" s="159" t="s">
        <v>1631</v>
      </c>
      <c r="E377" s="159">
        <v>20</v>
      </c>
      <c r="F377" s="159" t="s">
        <v>5665</v>
      </c>
      <c r="G377" s="159" t="s">
        <v>10676</v>
      </c>
    </row>
    <row r="378" spans="1:7" ht="15.75" customHeight="1">
      <c r="A378" s="159" t="s">
        <v>9275</v>
      </c>
      <c r="B378" s="159" t="s">
        <v>9357</v>
      </c>
      <c r="C378" s="159" t="s">
        <v>10674</v>
      </c>
      <c r="D378" s="159" t="s">
        <v>484</v>
      </c>
      <c r="E378" s="159">
        <v>10</v>
      </c>
      <c r="F378" s="159" t="s">
        <v>5665</v>
      </c>
      <c r="G378" s="159" t="s">
        <v>10677</v>
      </c>
    </row>
    <row r="379" spans="1:7" ht="15.75" customHeight="1">
      <c r="A379" s="159" t="s">
        <v>9275</v>
      </c>
      <c r="B379" s="159" t="s">
        <v>9357</v>
      </c>
      <c r="C379" s="159" t="s">
        <v>10678</v>
      </c>
      <c r="D379" s="159" t="s">
        <v>484</v>
      </c>
      <c r="E379" s="159">
        <v>10</v>
      </c>
      <c r="F379" s="159" t="s">
        <v>5665</v>
      </c>
      <c r="G379" s="159" t="s">
        <v>10679</v>
      </c>
    </row>
    <row r="380" spans="1:7" ht="15.75" customHeight="1">
      <c r="A380" s="159" t="s">
        <v>9275</v>
      </c>
      <c r="B380" s="159" t="s">
        <v>9358</v>
      </c>
      <c r="C380" s="159" t="s">
        <v>3897</v>
      </c>
      <c r="D380" s="159" t="s">
        <v>484</v>
      </c>
      <c r="E380" s="159">
        <v>10</v>
      </c>
      <c r="F380" s="159" t="s">
        <v>5665</v>
      </c>
      <c r="G380" s="159" t="s">
        <v>4304</v>
      </c>
    </row>
    <row r="381" spans="1:7" ht="15.75" customHeight="1">
      <c r="A381" s="159" t="s">
        <v>9275</v>
      </c>
      <c r="B381" s="159" t="s">
        <v>9358</v>
      </c>
      <c r="C381" s="159" t="s">
        <v>10680</v>
      </c>
      <c r="D381" s="159" t="s">
        <v>484</v>
      </c>
      <c r="E381" s="159">
        <v>10</v>
      </c>
      <c r="F381" s="159" t="s">
        <v>5665</v>
      </c>
      <c r="G381" s="159" t="s">
        <v>10681</v>
      </c>
    </row>
    <row r="382" spans="1:7" ht="15.75" customHeight="1">
      <c r="A382" s="159" t="s">
        <v>9275</v>
      </c>
      <c r="B382" s="159" t="s">
        <v>9358</v>
      </c>
      <c r="C382" s="159" t="s">
        <v>10682</v>
      </c>
      <c r="D382" s="159" t="s">
        <v>805</v>
      </c>
      <c r="E382" s="159">
        <v>3</v>
      </c>
      <c r="F382" s="159" t="s">
        <v>5665</v>
      </c>
      <c r="G382" s="159" t="s">
        <v>10683</v>
      </c>
    </row>
    <row r="383" spans="1:7" ht="15.75" customHeight="1">
      <c r="A383" s="159" t="s">
        <v>9275</v>
      </c>
      <c r="B383" s="159" t="s">
        <v>9358</v>
      </c>
      <c r="C383" s="159" t="s">
        <v>10684</v>
      </c>
      <c r="D383" s="159" t="s">
        <v>3893</v>
      </c>
      <c r="E383" s="159">
        <v>65535</v>
      </c>
      <c r="F383" s="159" t="s">
        <v>5665</v>
      </c>
      <c r="G383" s="159" t="s">
        <v>10685</v>
      </c>
    </row>
    <row r="384" spans="1:7" ht="15.75" customHeight="1">
      <c r="A384" s="159" t="s">
        <v>9275</v>
      </c>
      <c r="B384" s="159" t="s">
        <v>9359</v>
      </c>
      <c r="C384" s="159" t="s">
        <v>3897</v>
      </c>
      <c r="D384" s="159" t="s">
        <v>484</v>
      </c>
      <c r="E384" s="159">
        <v>10</v>
      </c>
      <c r="F384" s="159" t="s">
        <v>5665</v>
      </c>
      <c r="G384" s="159" t="s">
        <v>4304</v>
      </c>
    </row>
    <row r="385" spans="1:7" ht="15.75" customHeight="1">
      <c r="A385" s="159" t="s">
        <v>9275</v>
      </c>
      <c r="B385" s="159" t="s">
        <v>9359</v>
      </c>
      <c r="C385" s="159" t="s">
        <v>3635</v>
      </c>
      <c r="D385" s="159" t="s">
        <v>484</v>
      </c>
      <c r="E385" s="159">
        <v>10</v>
      </c>
      <c r="F385" s="159" t="s">
        <v>5665</v>
      </c>
      <c r="G385" s="159" t="s">
        <v>10686</v>
      </c>
    </row>
    <row r="386" spans="1:7" ht="15.75" customHeight="1">
      <c r="A386" s="159" t="s">
        <v>9275</v>
      </c>
      <c r="B386" s="159" t="s">
        <v>9359</v>
      </c>
      <c r="C386" s="159" t="s">
        <v>10682</v>
      </c>
      <c r="D386" s="159" t="s">
        <v>805</v>
      </c>
      <c r="E386" s="159">
        <v>3</v>
      </c>
      <c r="F386" s="159" t="s">
        <v>5665</v>
      </c>
      <c r="G386" s="159" t="s">
        <v>10683</v>
      </c>
    </row>
    <row r="387" spans="1:7" ht="15.75" customHeight="1">
      <c r="A387" s="159" t="s">
        <v>9275</v>
      </c>
      <c r="B387" s="159" t="s">
        <v>9359</v>
      </c>
      <c r="C387" s="159" t="s">
        <v>10687</v>
      </c>
      <c r="D387" s="159" t="s">
        <v>3893</v>
      </c>
      <c r="E387" s="159">
        <v>65535</v>
      </c>
      <c r="F387" s="159" t="s">
        <v>5667</v>
      </c>
      <c r="G387" s="159" t="s">
        <v>10688</v>
      </c>
    </row>
    <row r="388" spans="1:7" ht="15.75" customHeight="1">
      <c r="A388" s="159" t="s">
        <v>9275</v>
      </c>
      <c r="B388" s="159" t="s">
        <v>9360</v>
      </c>
      <c r="C388" s="159" t="s">
        <v>10285</v>
      </c>
      <c r="D388" s="159" t="s">
        <v>484</v>
      </c>
      <c r="E388" s="159">
        <v>10</v>
      </c>
      <c r="F388" s="159" t="s">
        <v>5665</v>
      </c>
      <c r="G388" s="159" t="s">
        <v>10286</v>
      </c>
    </row>
    <row r="389" spans="1:7" ht="15.75" customHeight="1">
      <c r="A389" s="159" t="s">
        <v>9275</v>
      </c>
      <c r="B389" s="159" t="s">
        <v>9360</v>
      </c>
      <c r="C389" s="159" t="s">
        <v>10287</v>
      </c>
      <c r="D389" s="159" t="s">
        <v>484</v>
      </c>
      <c r="E389" s="159">
        <v>10</v>
      </c>
      <c r="F389" s="159" t="s">
        <v>5665</v>
      </c>
      <c r="G389" s="159" t="s">
        <v>10237</v>
      </c>
    </row>
    <row r="390" spans="1:7" ht="15.75" customHeight="1">
      <c r="A390" s="159" t="s">
        <v>9275</v>
      </c>
      <c r="B390" s="159" t="s">
        <v>9361</v>
      </c>
      <c r="C390" s="159" t="s">
        <v>1394</v>
      </c>
      <c r="D390" s="159" t="s">
        <v>484</v>
      </c>
      <c r="E390" s="159">
        <v>10</v>
      </c>
      <c r="F390" s="159" t="s">
        <v>5665</v>
      </c>
      <c r="G390" s="159" t="s">
        <v>4828</v>
      </c>
    </row>
    <row r="391" spans="1:7" ht="15.75" customHeight="1">
      <c r="A391" s="159" t="s">
        <v>9275</v>
      </c>
      <c r="B391" s="159" t="s">
        <v>9361</v>
      </c>
      <c r="C391" s="159" t="s">
        <v>10290</v>
      </c>
      <c r="D391" s="159" t="s">
        <v>978</v>
      </c>
      <c r="E391" s="159">
        <v>5</v>
      </c>
      <c r="F391" s="159" t="s">
        <v>5665</v>
      </c>
      <c r="G391" s="159" t="s">
        <v>10689</v>
      </c>
    </row>
    <row r="392" spans="1:7" ht="15.75" customHeight="1">
      <c r="A392" s="159" t="s">
        <v>9275</v>
      </c>
      <c r="B392" s="159" t="s">
        <v>9361</v>
      </c>
      <c r="C392" s="159" t="s">
        <v>10690</v>
      </c>
      <c r="D392" s="159" t="s">
        <v>481</v>
      </c>
      <c r="E392" s="159">
        <v>12</v>
      </c>
      <c r="F392" s="159" t="s">
        <v>5665</v>
      </c>
      <c r="G392" s="159" t="s">
        <v>10691</v>
      </c>
    </row>
    <row r="393" spans="1:7" ht="15.75" customHeight="1">
      <c r="A393" s="159" t="s">
        <v>9275</v>
      </c>
      <c r="B393" s="159" t="s">
        <v>9363</v>
      </c>
      <c r="C393" s="159" t="s">
        <v>1394</v>
      </c>
      <c r="D393" s="159" t="s">
        <v>484</v>
      </c>
      <c r="E393" s="159">
        <v>10</v>
      </c>
      <c r="F393" s="159" t="s">
        <v>5665</v>
      </c>
      <c r="G393" s="159" t="s">
        <v>4828</v>
      </c>
    </row>
    <row r="394" spans="1:7" ht="15.75" customHeight="1">
      <c r="A394" s="159" t="s">
        <v>9275</v>
      </c>
      <c r="B394" s="159" t="s">
        <v>9363</v>
      </c>
      <c r="C394" s="159" t="s">
        <v>10290</v>
      </c>
      <c r="D394" s="159" t="s">
        <v>978</v>
      </c>
      <c r="E394" s="159">
        <v>5</v>
      </c>
      <c r="F394" s="159" t="s">
        <v>5665</v>
      </c>
      <c r="G394" s="159" t="s">
        <v>10689</v>
      </c>
    </row>
    <row r="395" spans="1:7" ht="15.75" customHeight="1">
      <c r="A395" s="159" t="s">
        <v>9275</v>
      </c>
      <c r="B395" s="159" t="s">
        <v>9363</v>
      </c>
      <c r="C395" s="159" t="s">
        <v>10692</v>
      </c>
      <c r="D395" s="159" t="s">
        <v>484</v>
      </c>
      <c r="E395" s="159">
        <v>10</v>
      </c>
      <c r="F395" s="159" t="s">
        <v>5665</v>
      </c>
      <c r="G395" s="159" t="s">
        <v>10693</v>
      </c>
    </row>
    <row r="396" spans="1:7" ht="15.75" customHeight="1">
      <c r="A396" s="159" t="s">
        <v>9275</v>
      </c>
      <c r="B396" s="159" t="s">
        <v>9365</v>
      </c>
      <c r="C396" s="159" t="s">
        <v>10285</v>
      </c>
      <c r="D396" s="159" t="s">
        <v>484</v>
      </c>
      <c r="E396" s="159">
        <v>10</v>
      </c>
      <c r="F396" s="159" t="s">
        <v>5665</v>
      </c>
      <c r="G396" s="159" t="s">
        <v>10286</v>
      </c>
    </row>
    <row r="397" spans="1:7" ht="15.75" customHeight="1">
      <c r="A397" s="159" t="s">
        <v>9275</v>
      </c>
      <c r="B397" s="159" t="s">
        <v>9365</v>
      </c>
      <c r="C397" s="159" t="s">
        <v>10287</v>
      </c>
      <c r="D397" s="159" t="s">
        <v>484</v>
      </c>
      <c r="E397" s="159">
        <v>10</v>
      </c>
      <c r="F397" s="159" t="s">
        <v>5665</v>
      </c>
      <c r="G397" s="159" t="s">
        <v>10237</v>
      </c>
    </row>
    <row r="398" spans="1:7" ht="15.75" customHeight="1">
      <c r="A398" s="159" t="s">
        <v>9275</v>
      </c>
      <c r="B398" s="159" t="s">
        <v>9366</v>
      </c>
      <c r="C398" s="159" t="s">
        <v>1394</v>
      </c>
      <c r="D398" s="159" t="s">
        <v>484</v>
      </c>
      <c r="E398" s="159">
        <v>10</v>
      </c>
      <c r="F398" s="159" t="s">
        <v>5665</v>
      </c>
      <c r="G398" s="159" t="s">
        <v>4828</v>
      </c>
    </row>
    <row r="399" spans="1:7" ht="15.75" customHeight="1">
      <c r="A399" s="159" t="s">
        <v>9275</v>
      </c>
      <c r="B399" s="159" t="s">
        <v>9366</v>
      </c>
      <c r="C399" s="159" t="s">
        <v>10290</v>
      </c>
      <c r="D399" s="159" t="s">
        <v>978</v>
      </c>
      <c r="E399" s="159">
        <v>5</v>
      </c>
      <c r="F399" s="159" t="s">
        <v>5665</v>
      </c>
      <c r="G399" s="159" t="s">
        <v>10689</v>
      </c>
    </row>
    <row r="400" spans="1:7" ht="15.75" customHeight="1">
      <c r="A400" s="159" t="s">
        <v>9275</v>
      </c>
      <c r="B400" s="159" t="s">
        <v>9366</v>
      </c>
      <c r="C400" s="159" t="s">
        <v>10694</v>
      </c>
      <c r="D400" s="159" t="s">
        <v>484</v>
      </c>
      <c r="E400" s="159">
        <v>10</v>
      </c>
      <c r="F400" s="159" t="s">
        <v>5665</v>
      </c>
      <c r="G400" s="159" t="s">
        <v>10695</v>
      </c>
    </row>
    <row r="401" spans="1:7" ht="15.75" customHeight="1">
      <c r="A401" s="159" t="s">
        <v>9275</v>
      </c>
      <c r="B401" s="159" t="s">
        <v>9368</v>
      </c>
      <c r="C401" s="159" t="s">
        <v>10285</v>
      </c>
      <c r="D401" s="159" t="s">
        <v>484</v>
      </c>
      <c r="E401" s="159">
        <v>10</v>
      </c>
      <c r="F401" s="159" t="s">
        <v>5665</v>
      </c>
      <c r="G401" s="159" t="s">
        <v>10286</v>
      </c>
    </row>
    <row r="402" spans="1:7" ht="15.75" customHeight="1">
      <c r="A402" s="159" t="s">
        <v>9275</v>
      </c>
      <c r="B402" s="159" t="s">
        <v>9368</v>
      </c>
      <c r="C402" s="159" t="s">
        <v>10287</v>
      </c>
      <c r="D402" s="159" t="s">
        <v>484</v>
      </c>
      <c r="E402" s="159">
        <v>10</v>
      </c>
      <c r="F402" s="159" t="s">
        <v>5665</v>
      </c>
      <c r="G402" s="159" t="s">
        <v>10237</v>
      </c>
    </row>
    <row r="403" spans="1:7" ht="15.75" customHeight="1">
      <c r="A403" s="159" t="s">
        <v>9275</v>
      </c>
      <c r="B403" s="159" t="s">
        <v>9369</v>
      </c>
      <c r="C403" s="159" t="s">
        <v>10287</v>
      </c>
      <c r="D403" s="159" t="s">
        <v>484</v>
      </c>
      <c r="E403" s="159">
        <v>10</v>
      </c>
      <c r="F403" s="159" t="s">
        <v>5665</v>
      </c>
      <c r="G403" s="159" t="s">
        <v>10392</v>
      </c>
    </row>
    <row r="404" spans="1:7" ht="15.75" customHeight="1">
      <c r="A404" s="159" t="s">
        <v>9275</v>
      </c>
      <c r="B404" s="159" t="s">
        <v>9369</v>
      </c>
      <c r="C404" s="159" t="s">
        <v>3940</v>
      </c>
      <c r="D404" s="159" t="s">
        <v>484</v>
      </c>
      <c r="E404" s="159">
        <v>10</v>
      </c>
      <c r="F404" s="159" t="s">
        <v>5665</v>
      </c>
      <c r="G404" s="159" t="s">
        <v>10696</v>
      </c>
    </row>
    <row r="405" spans="1:7" ht="15.75" customHeight="1">
      <c r="A405" s="159" t="s">
        <v>9275</v>
      </c>
      <c r="B405" s="159" t="s">
        <v>9369</v>
      </c>
      <c r="C405" s="159" t="s">
        <v>10697</v>
      </c>
      <c r="D405" s="159" t="s">
        <v>477</v>
      </c>
      <c r="E405" s="159">
        <v>255</v>
      </c>
      <c r="F405" s="159" t="s">
        <v>5665</v>
      </c>
      <c r="G405" s="159" t="s">
        <v>10698</v>
      </c>
    </row>
    <row r="406" spans="1:7" ht="15.75" customHeight="1">
      <c r="A406" s="159" t="s">
        <v>9275</v>
      </c>
      <c r="B406" s="159" t="s">
        <v>9370</v>
      </c>
      <c r="C406" s="159" t="s">
        <v>10287</v>
      </c>
      <c r="D406" s="159" t="s">
        <v>484</v>
      </c>
      <c r="E406" s="159">
        <v>10</v>
      </c>
      <c r="F406" s="159" t="s">
        <v>5665</v>
      </c>
      <c r="G406" s="159" t="s">
        <v>10392</v>
      </c>
    </row>
    <row r="407" spans="1:7" ht="15.75" customHeight="1">
      <c r="A407" s="159" t="s">
        <v>9275</v>
      </c>
      <c r="B407" s="159" t="s">
        <v>9370</v>
      </c>
      <c r="C407" s="159" t="s">
        <v>3635</v>
      </c>
      <c r="D407" s="159" t="s">
        <v>484</v>
      </c>
      <c r="E407" s="159">
        <v>10</v>
      </c>
      <c r="F407" s="159" t="s">
        <v>5665</v>
      </c>
      <c r="G407" s="159" t="s">
        <v>10686</v>
      </c>
    </row>
    <row r="408" spans="1:7" ht="15.75" customHeight="1">
      <c r="A408" s="159" t="s">
        <v>9275</v>
      </c>
      <c r="B408" s="159" t="s">
        <v>9370</v>
      </c>
      <c r="C408" s="159" t="s">
        <v>10699</v>
      </c>
      <c r="D408" s="159" t="s">
        <v>484</v>
      </c>
      <c r="E408" s="159">
        <v>10</v>
      </c>
      <c r="F408" s="159" t="s">
        <v>5665</v>
      </c>
      <c r="G408" s="159" t="s">
        <v>10700</v>
      </c>
    </row>
    <row r="409" spans="1:7" ht="15.75" customHeight="1">
      <c r="A409" s="159" t="s">
        <v>9275</v>
      </c>
      <c r="B409" s="159" t="s">
        <v>9370</v>
      </c>
      <c r="C409" s="159" t="s">
        <v>10701</v>
      </c>
      <c r="D409" s="159" t="s">
        <v>477</v>
      </c>
      <c r="E409" s="159">
        <v>255</v>
      </c>
      <c r="F409" s="159" t="s">
        <v>5667</v>
      </c>
      <c r="G409" s="159" t="s">
        <v>10702</v>
      </c>
    </row>
    <row r="410" spans="1:7" ht="15.75" customHeight="1">
      <c r="A410" s="159" t="s">
        <v>9275</v>
      </c>
      <c r="B410" s="159" t="s">
        <v>9370</v>
      </c>
      <c r="C410" s="159" t="s">
        <v>10190</v>
      </c>
      <c r="D410" s="159" t="s">
        <v>538</v>
      </c>
      <c r="E410" s="159"/>
      <c r="F410" s="159" t="s">
        <v>5665</v>
      </c>
      <c r="G410" s="159" t="s">
        <v>10327</v>
      </c>
    </row>
    <row r="411" spans="1:7" ht="15.75" customHeight="1">
      <c r="A411" s="159" t="s">
        <v>9275</v>
      </c>
      <c r="B411" s="159" t="s">
        <v>9370</v>
      </c>
      <c r="C411" s="159" t="s">
        <v>10242</v>
      </c>
      <c r="D411" s="159" t="s">
        <v>538</v>
      </c>
      <c r="E411" s="159"/>
      <c r="F411" s="159" t="s">
        <v>5667</v>
      </c>
      <c r="G411" s="159" t="s">
        <v>10703</v>
      </c>
    </row>
    <row r="412" spans="1:7" ht="15.75" customHeight="1">
      <c r="A412" s="159" t="s">
        <v>9275</v>
      </c>
      <c r="B412" s="159" t="s">
        <v>9370</v>
      </c>
      <c r="C412" s="159" t="s">
        <v>10704</v>
      </c>
      <c r="D412" s="159" t="s">
        <v>978</v>
      </c>
      <c r="E412" s="159">
        <v>5</v>
      </c>
      <c r="F412" s="159" t="s">
        <v>5667</v>
      </c>
      <c r="G412" s="159" t="s">
        <v>10705</v>
      </c>
    </row>
    <row r="413" spans="1:7" ht="15.75" customHeight="1">
      <c r="A413" s="159" t="s">
        <v>9275</v>
      </c>
      <c r="B413" s="159" t="s">
        <v>9370</v>
      </c>
      <c r="C413" s="159" t="s">
        <v>10706</v>
      </c>
      <c r="D413" s="159" t="s">
        <v>978</v>
      </c>
      <c r="E413" s="159">
        <v>5</v>
      </c>
      <c r="F413" s="159" t="s">
        <v>5667</v>
      </c>
      <c r="G413" s="159" t="s">
        <v>10707</v>
      </c>
    </row>
    <row r="414" spans="1:7" ht="15.75" customHeight="1">
      <c r="A414" s="159" t="s">
        <v>9275</v>
      </c>
      <c r="B414" s="159" t="s">
        <v>9370</v>
      </c>
      <c r="C414" s="159" t="s">
        <v>10708</v>
      </c>
      <c r="D414" s="159" t="s">
        <v>477</v>
      </c>
      <c r="E414" s="159">
        <v>255</v>
      </c>
      <c r="F414" s="159" t="s">
        <v>5667</v>
      </c>
      <c r="G414" s="159" t="s">
        <v>10709</v>
      </c>
    </row>
    <row r="415" spans="1:7" ht="15.75" customHeight="1">
      <c r="A415" s="159" t="s">
        <v>9275</v>
      </c>
      <c r="B415" s="159" t="s">
        <v>9371</v>
      </c>
      <c r="C415" s="159" t="s">
        <v>10287</v>
      </c>
      <c r="D415" s="159" t="s">
        <v>484</v>
      </c>
      <c r="E415" s="159">
        <v>10</v>
      </c>
      <c r="F415" s="159" t="s">
        <v>5665</v>
      </c>
      <c r="G415" s="159" t="s">
        <v>10392</v>
      </c>
    </row>
    <row r="416" spans="1:7" ht="15.75" customHeight="1">
      <c r="A416" s="159" t="s">
        <v>9275</v>
      </c>
      <c r="B416" s="159" t="s">
        <v>9371</v>
      </c>
      <c r="C416" s="159" t="s">
        <v>10708</v>
      </c>
      <c r="D416" s="159" t="s">
        <v>477</v>
      </c>
      <c r="E416" s="159">
        <v>255</v>
      </c>
      <c r="F416" s="159" t="s">
        <v>5665</v>
      </c>
      <c r="G416" s="159" t="s">
        <v>10710</v>
      </c>
    </row>
    <row r="417" spans="1:7" ht="15.75" customHeight="1">
      <c r="A417" s="159" t="s">
        <v>9275</v>
      </c>
      <c r="B417" s="159" t="s">
        <v>9371</v>
      </c>
      <c r="C417" s="159" t="s">
        <v>10190</v>
      </c>
      <c r="D417" s="159" t="s">
        <v>538</v>
      </c>
      <c r="E417" s="159"/>
      <c r="F417" s="159" t="s">
        <v>5665</v>
      </c>
      <c r="G417" s="159" t="s">
        <v>10327</v>
      </c>
    </row>
    <row r="418" spans="1:7" ht="15.75" customHeight="1">
      <c r="A418" s="159" t="s">
        <v>9275</v>
      </c>
      <c r="B418" s="159" t="s">
        <v>9371</v>
      </c>
      <c r="C418" s="159" t="s">
        <v>3635</v>
      </c>
      <c r="D418" s="159" t="s">
        <v>484</v>
      </c>
      <c r="E418" s="159">
        <v>10</v>
      </c>
      <c r="F418" s="159" t="s">
        <v>5665</v>
      </c>
      <c r="G418" s="159" t="s">
        <v>10711</v>
      </c>
    </row>
    <row r="419" spans="1:7" ht="15.75" customHeight="1">
      <c r="A419" s="159" t="s">
        <v>9275</v>
      </c>
      <c r="B419" s="159" t="s">
        <v>9371</v>
      </c>
      <c r="C419" s="159" t="s">
        <v>10699</v>
      </c>
      <c r="D419" s="159" t="s">
        <v>484</v>
      </c>
      <c r="E419" s="159">
        <v>10</v>
      </c>
      <c r="F419" s="159" t="s">
        <v>5665</v>
      </c>
      <c r="G419" s="159" t="s">
        <v>10712</v>
      </c>
    </row>
    <row r="420" spans="1:7" ht="15.75" customHeight="1">
      <c r="A420" s="159" t="s">
        <v>9275</v>
      </c>
      <c r="B420" s="159" t="s">
        <v>9372</v>
      </c>
      <c r="C420" s="159" t="s">
        <v>10287</v>
      </c>
      <c r="D420" s="159" t="s">
        <v>484</v>
      </c>
      <c r="E420" s="159">
        <v>10</v>
      </c>
      <c r="F420" s="159" t="s">
        <v>5665</v>
      </c>
      <c r="G420" s="159" t="s">
        <v>10392</v>
      </c>
    </row>
    <row r="421" spans="1:7" ht="15.75" customHeight="1">
      <c r="A421" s="159" t="s">
        <v>9275</v>
      </c>
      <c r="B421" s="159" t="s">
        <v>9372</v>
      </c>
      <c r="C421" s="159" t="s">
        <v>10713</v>
      </c>
      <c r="D421" s="159" t="s">
        <v>477</v>
      </c>
      <c r="E421" s="159">
        <v>255</v>
      </c>
      <c r="F421" s="159" t="s">
        <v>5665</v>
      </c>
      <c r="G421" s="159" t="s">
        <v>10714</v>
      </c>
    </row>
    <row r="422" spans="1:7" ht="15.75" customHeight="1">
      <c r="A422" s="159" t="s">
        <v>9275</v>
      </c>
      <c r="B422" s="159" t="s">
        <v>9372</v>
      </c>
      <c r="C422" s="159" t="s">
        <v>10190</v>
      </c>
      <c r="D422" s="159" t="s">
        <v>538</v>
      </c>
      <c r="E422" s="159"/>
      <c r="F422" s="159" t="s">
        <v>5665</v>
      </c>
      <c r="G422" s="159" t="s">
        <v>10327</v>
      </c>
    </row>
    <row r="423" spans="1:7" ht="15.75" customHeight="1">
      <c r="A423" s="159" t="s">
        <v>9275</v>
      </c>
      <c r="B423" s="159" t="s">
        <v>9372</v>
      </c>
      <c r="C423" s="159" t="s">
        <v>3635</v>
      </c>
      <c r="D423" s="159" t="s">
        <v>484</v>
      </c>
      <c r="E423" s="159">
        <v>10</v>
      </c>
      <c r="F423" s="159" t="s">
        <v>5665</v>
      </c>
      <c r="G423" s="159" t="s">
        <v>10686</v>
      </c>
    </row>
    <row r="424" spans="1:7" ht="15.75" customHeight="1">
      <c r="A424" s="159" t="s">
        <v>9275</v>
      </c>
      <c r="B424" s="159" t="s">
        <v>9372</v>
      </c>
      <c r="C424" s="159" t="s">
        <v>10699</v>
      </c>
      <c r="D424" s="159" t="s">
        <v>484</v>
      </c>
      <c r="E424" s="159">
        <v>10</v>
      </c>
      <c r="F424" s="159" t="s">
        <v>5665</v>
      </c>
      <c r="G424" s="159" t="s">
        <v>10700</v>
      </c>
    </row>
    <row r="425" spans="1:7" ht="15.75" customHeight="1">
      <c r="A425" s="159" t="s">
        <v>9275</v>
      </c>
      <c r="B425" s="159" t="s">
        <v>9373</v>
      </c>
      <c r="C425" s="159" t="s">
        <v>10287</v>
      </c>
      <c r="D425" s="159" t="s">
        <v>484</v>
      </c>
      <c r="E425" s="159">
        <v>10</v>
      </c>
      <c r="F425" s="159" t="s">
        <v>5665</v>
      </c>
      <c r="G425" s="159" t="s">
        <v>10237</v>
      </c>
    </row>
    <row r="426" spans="1:7" ht="15.75" customHeight="1">
      <c r="A426" s="159" t="s">
        <v>9275</v>
      </c>
      <c r="B426" s="159" t="s">
        <v>9373</v>
      </c>
      <c r="C426" s="159" t="s">
        <v>10570</v>
      </c>
      <c r="D426" s="159" t="s">
        <v>484</v>
      </c>
      <c r="E426" s="159">
        <v>10</v>
      </c>
      <c r="F426" s="159" t="s">
        <v>5665</v>
      </c>
      <c r="G426" s="159" t="s">
        <v>10715</v>
      </c>
    </row>
    <row r="427" spans="1:7" ht="15.75" customHeight="1">
      <c r="A427" s="159" t="s">
        <v>9275</v>
      </c>
      <c r="B427" s="159" t="s">
        <v>9373</v>
      </c>
      <c r="C427" s="159" t="s">
        <v>10716</v>
      </c>
      <c r="D427" s="159" t="s">
        <v>477</v>
      </c>
      <c r="E427" s="159">
        <v>255</v>
      </c>
      <c r="F427" s="159" t="s">
        <v>5665</v>
      </c>
      <c r="G427" s="159" t="s">
        <v>10717</v>
      </c>
    </row>
    <row r="428" spans="1:7" ht="15.75" customHeight="1">
      <c r="A428" s="159" t="s">
        <v>9275</v>
      </c>
      <c r="B428" s="159" t="s">
        <v>9373</v>
      </c>
      <c r="C428" s="159" t="s">
        <v>10718</v>
      </c>
      <c r="D428" s="159" t="s">
        <v>477</v>
      </c>
      <c r="E428" s="159">
        <v>255</v>
      </c>
      <c r="F428" s="159" t="s">
        <v>5667</v>
      </c>
      <c r="G428" s="159" t="s">
        <v>10719</v>
      </c>
    </row>
    <row r="429" spans="1:7" ht="15.75" customHeight="1">
      <c r="A429" s="159" t="s">
        <v>9275</v>
      </c>
      <c r="B429" s="159" t="s">
        <v>9373</v>
      </c>
      <c r="C429" s="159" t="s">
        <v>10720</v>
      </c>
      <c r="D429" s="159" t="s">
        <v>978</v>
      </c>
      <c r="E429" s="159">
        <v>5</v>
      </c>
      <c r="F429" s="159" t="s">
        <v>5665</v>
      </c>
      <c r="G429" s="159" t="s">
        <v>10721</v>
      </c>
    </row>
    <row r="430" spans="1:7" ht="15.75" customHeight="1">
      <c r="A430" s="159" t="s">
        <v>9275</v>
      </c>
      <c r="B430" s="159" t="s">
        <v>9374</v>
      </c>
      <c r="C430" s="159" t="s">
        <v>10287</v>
      </c>
      <c r="D430" s="159" t="s">
        <v>484</v>
      </c>
      <c r="E430" s="159">
        <v>10</v>
      </c>
      <c r="F430" s="159" t="s">
        <v>5665</v>
      </c>
      <c r="G430" s="159" t="s">
        <v>10237</v>
      </c>
    </row>
    <row r="431" spans="1:7" ht="15.75" customHeight="1">
      <c r="A431" s="159" t="s">
        <v>9275</v>
      </c>
      <c r="B431" s="159" t="s">
        <v>9374</v>
      </c>
      <c r="C431" s="159" t="s">
        <v>3635</v>
      </c>
      <c r="D431" s="159" t="s">
        <v>484</v>
      </c>
      <c r="E431" s="159">
        <v>10</v>
      </c>
      <c r="F431" s="159" t="s">
        <v>5665</v>
      </c>
      <c r="G431" s="159" t="s">
        <v>10722</v>
      </c>
    </row>
    <row r="432" spans="1:7" ht="15.75" customHeight="1">
      <c r="A432" s="159" t="s">
        <v>9275</v>
      </c>
      <c r="B432" s="159" t="s">
        <v>9374</v>
      </c>
      <c r="C432" s="159" t="s">
        <v>10716</v>
      </c>
      <c r="D432" s="159" t="s">
        <v>477</v>
      </c>
      <c r="E432" s="159">
        <v>255</v>
      </c>
      <c r="F432" s="159" t="s">
        <v>5665</v>
      </c>
      <c r="G432" s="159" t="s">
        <v>10717</v>
      </c>
    </row>
    <row r="433" spans="1:7" ht="15.75" customHeight="1">
      <c r="A433" s="159" t="s">
        <v>9275</v>
      </c>
      <c r="B433" s="159" t="s">
        <v>9375</v>
      </c>
      <c r="C433" s="159" t="s">
        <v>10723</v>
      </c>
      <c r="D433" s="159" t="s">
        <v>484</v>
      </c>
      <c r="E433" s="159">
        <v>10</v>
      </c>
      <c r="F433" s="159" t="s">
        <v>5665</v>
      </c>
      <c r="G433" s="159" t="s">
        <v>10724</v>
      </c>
    </row>
    <row r="434" spans="1:7" ht="15.75" customHeight="1">
      <c r="A434" s="159" t="s">
        <v>9275</v>
      </c>
      <c r="B434" s="159" t="s">
        <v>9375</v>
      </c>
      <c r="C434" s="159" t="s">
        <v>5678</v>
      </c>
      <c r="D434" s="159" t="s">
        <v>484</v>
      </c>
      <c r="E434" s="159">
        <v>10</v>
      </c>
      <c r="F434" s="159" t="s">
        <v>5665</v>
      </c>
      <c r="G434" s="159" t="s">
        <v>10725</v>
      </c>
    </row>
    <row r="435" spans="1:7" ht="15.75" customHeight="1">
      <c r="A435" s="159" t="s">
        <v>9275</v>
      </c>
      <c r="B435" s="159" t="s">
        <v>9375</v>
      </c>
      <c r="C435" s="159" t="s">
        <v>10726</v>
      </c>
      <c r="D435" s="159" t="s">
        <v>978</v>
      </c>
      <c r="E435" s="159">
        <v>5</v>
      </c>
      <c r="F435" s="159" t="s">
        <v>5665</v>
      </c>
      <c r="G435" s="159" t="s">
        <v>10727</v>
      </c>
    </row>
    <row r="436" spans="1:7" ht="15.75" customHeight="1">
      <c r="A436" s="159" t="s">
        <v>9275</v>
      </c>
      <c r="B436" s="159" t="s">
        <v>9375</v>
      </c>
      <c r="C436" s="159" t="s">
        <v>10469</v>
      </c>
      <c r="D436" s="159" t="s">
        <v>978</v>
      </c>
      <c r="E436" s="159">
        <v>5</v>
      </c>
      <c r="F436" s="159" t="s">
        <v>5665</v>
      </c>
      <c r="G436" s="159" t="s">
        <v>10728</v>
      </c>
    </row>
    <row r="437" spans="1:7" ht="15.75" customHeight="1">
      <c r="A437" s="159" t="s">
        <v>9275</v>
      </c>
      <c r="B437" s="159" t="s">
        <v>9375</v>
      </c>
      <c r="C437" s="159" t="s">
        <v>10729</v>
      </c>
      <c r="D437" s="159" t="s">
        <v>477</v>
      </c>
      <c r="E437" s="159">
        <v>1</v>
      </c>
      <c r="F437" s="159" t="s">
        <v>5665</v>
      </c>
      <c r="G437" s="159" t="s">
        <v>10730</v>
      </c>
    </row>
    <row r="438" spans="1:7" ht="15.75" customHeight="1">
      <c r="A438" s="159" t="s">
        <v>9275</v>
      </c>
      <c r="B438" s="159" t="s">
        <v>9375</v>
      </c>
      <c r="C438" s="159" t="s">
        <v>5693</v>
      </c>
      <c r="D438" s="159" t="s">
        <v>484</v>
      </c>
      <c r="E438" s="159">
        <v>10</v>
      </c>
      <c r="F438" s="159" t="s">
        <v>5665</v>
      </c>
      <c r="G438" s="159" t="s">
        <v>10179</v>
      </c>
    </row>
    <row r="439" spans="1:7" ht="15.75" customHeight="1">
      <c r="A439" s="159" t="s">
        <v>9275</v>
      </c>
      <c r="B439" s="159" t="s">
        <v>9375</v>
      </c>
      <c r="C439" s="159" t="s">
        <v>10731</v>
      </c>
      <c r="D439" s="159" t="s">
        <v>477</v>
      </c>
      <c r="E439" s="159">
        <v>16</v>
      </c>
      <c r="F439" s="159" t="s">
        <v>5667</v>
      </c>
      <c r="G439" s="159" t="s">
        <v>10732</v>
      </c>
    </row>
    <row r="440" spans="1:7" ht="15.75" customHeight="1">
      <c r="A440" s="159" t="s">
        <v>9275</v>
      </c>
      <c r="B440" s="159" t="s">
        <v>9375</v>
      </c>
      <c r="C440" s="159" t="s">
        <v>10733</v>
      </c>
      <c r="D440" s="159" t="s">
        <v>477</v>
      </c>
      <c r="E440" s="159">
        <v>50</v>
      </c>
      <c r="F440" s="159" t="s">
        <v>5667</v>
      </c>
      <c r="G440" s="159" t="s">
        <v>10734</v>
      </c>
    </row>
    <row r="441" spans="1:7" ht="15.75" customHeight="1">
      <c r="A441" s="159" t="s">
        <v>9275</v>
      </c>
      <c r="B441" s="159" t="s">
        <v>9377</v>
      </c>
      <c r="C441" s="159" t="s">
        <v>10735</v>
      </c>
      <c r="D441" s="159" t="s">
        <v>484</v>
      </c>
      <c r="E441" s="159">
        <v>10</v>
      </c>
      <c r="F441" s="159" t="s">
        <v>5665</v>
      </c>
      <c r="G441" s="159" t="s">
        <v>10736</v>
      </c>
    </row>
    <row r="442" spans="1:7" ht="15.75" customHeight="1">
      <c r="A442" s="159" t="s">
        <v>9275</v>
      </c>
      <c r="B442" s="159" t="s">
        <v>9377</v>
      </c>
      <c r="C442" s="159" t="s">
        <v>10723</v>
      </c>
      <c r="D442" s="159" t="s">
        <v>484</v>
      </c>
      <c r="E442" s="159">
        <v>10</v>
      </c>
      <c r="F442" s="159" t="s">
        <v>5665</v>
      </c>
      <c r="G442" s="159" t="s">
        <v>10724</v>
      </c>
    </row>
    <row r="443" spans="1:7" ht="15.75" customHeight="1">
      <c r="A443" s="159" t="s">
        <v>9275</v>
      </c>
      <c r="B443" s="159" t="s">
        <v>9377</v>
      </c>
      <c r="C443" s="159" t="s">
        <v>10737</v>
      </c>
      <c r="D443" s="159" t="s">
        <v>477</v>
      </c>
      <c r="E443" s="159">
        <v>255</v>
      </c>
      <c r="F443" s="159" t="s">
        <v>5667</v>
      </c>
      <c r="G443" s="159" t="s">
        <v>10738</v>
      </c>
    </row>
    <row r="444" spans="1:7" ht="15.75" customHeight="1">
      <c r="A444" s="159" t="s">
        <v>9275</v>
      </c>
      <c r="B444" s="159" t="s">
        <v>9377</v>
      </c>
      <c r="C444" s="159" t="s">
        <v>10739</v>
      </c>
      <c r="D444" s="159" t="s">
        <v>477</v>
      </c>
      <c r="E444" s="159">
        <v>20</v>
      </c>
      <c r="F444" s="159" t="s">
        <v>5667</v>
      </c>
      <c r="G444" s="159" t="s">
        <v>10740</v>
      </c>
    </row>
    <row r="445" spans="1:7" ht="15.75" customHeight="1">
      <c r="A445" s="159" t="s">
        <v>9275</v>
      </c>
      <c r="B445" s="159" t="s">
        <v>9377</v>
      </c>
      <c r="C445" s="159" t="s">
        <v>10741</v>
      </c>
      <c r="D445" s="159" t="s">
        <v>477</v>
      </c>
      <c r="E445" s="159">
        <v>10</v>
      </c>
      <c r="F445" s="159" t="s">
        <v>5667</v>
      </c>
      <c r="G445" s="159" t="s">
        <v>10742</v>
      </c>
    </row>
    <row r="446" spans="1:7" ht="15.75" customHeight="1">
      <c r="A446" s="159" t="s">
        <v>9275</v>
      </c>
      <c r="B446" s="159" t="s">
        <v>9379</v>
      </c>
      <c r="C446" s="159" t="s">
        <v>10287</v>
      </c>
      <c r="D446" s="159" t="s">
        <v>484</v>
      </c>
      <c r="E446" s="159">
        <v>10</v>
      </c>
      <c r="F446" s="159" t="s">
        <v>5665</v>
      </c>
      <c r="G446" s="159" t="s">
        <v>10237</v>
      </c>
    </row>
    <row r="447" spans="1:7" ht="15.75" customHeight="1">
      <c r="A447" s="159" t="s">
        <v>9275</v>
      </c>
      <c r="B447" s="159" t="s">
        <v>9379</v>
      </c>
      <c r="C447" s="159" t="s">
        <v>156</v>
      </c>
      <c r="D447" s="159" t="s">
        <v>477</v>
      </c>
      <c r="E447" s="159">
        <v>255</v>
      </c>
      <c r="F447" s="159" t="s">
        <v>5665</v>
      </c>
      <c r="G447" s="159" t="s">
        <v>4306</v>
      </c>
    </row>
    <row r="448" spans="1:7" ht="15.75" customHeight="1">
      <c r="A448" s="159" t="s">
        <v>9275</v>
      </c>
      <c r="B448" s="159" t="s">
        <v>9379</v>
      </c>
      <c r="C448" s="159" t="s">
        <v>3948</v>
      </c>
      <c r="D448" s="159" t="s">
        <v>477</v>
      </c>
      <c r="E448" s="159">
        <v>255</v>
      </c>
      <c r="F448" s="159" t="s">
        <v>5665</v>
      </c>
      <c r="G448" s="159" t="s">
        <v>10743</v>
      </c>
    </row>
    <row r="449" spans="1:7" ht="15.75" customHeight="1">
      <c r="A449" s="159" t="s">
        <v>9275</v>
      </c>
      <c r="B449" s="159" t="s">
        <v>9379</v>
      </c>
      <c r="C449" s="159" t="s">
        <v>3545</v>
      </c>
      <c r="D449" s="159" t="s">
        <v>477</v>
      </c>
      <c r="E449" s="159">
        <v>255</v>
      </c>
      <c r="F449" s="159" t="s">
        <v>5665</v>
      </c>
      <c r="G449" s="159" t="s">
        <v>5204</v>
      </c>
    </row>
    <row r="450" spans="1:7" ht="15.75" customHeight="1">
      <c r="A450" s="159" t="s">
        <v>9275</v>
      </c>
      <c r="B450" s="159" t="s">
        <v>9379</v>
      </c>
      <c r="C450" s="159" t="s">
        <v>7223</v>
      </c>
      <c r="D450" s="159" t="s">
        <v>477</v>
      </c>
      <c r="E450" s="159">
        <v>255</v>
      </c>
      <c r="F450" s="159" t="s">
        <v>5665</v>
      </c>
      <c r="G450" s="159" t="s">
        <v>7222</v>
      </c>
    </row>
    <row r="451" spans="1:7" ht="15.75" customHeight="1">
      <c r="A451" s="159" t="s">
        <v>9275</v>
      </c>
      <c r="B451" s="159" t="s">
        <v>9379</v>
      </c>
      <c r="C451" s="159" t="s">
        <v>10744</v>
      </c>
      <c r="D451" s="159" t="s">
        <v>477</v>
      </c>
      <c r="E451" s="159">
        <v>255</v>
      </c>
      <c r="F451" s="159" t="s">
        <v>5665</v>
      </c>
      <c r="G451" s="159" t="s">
        <v>7132</v>
      </c>
    </row>
    <row r="452" spans="1:7" ht="15.75" customHeight="1">
      <c r="A452" s="159" t="s">
        <v>9275</v>
      </c>
      <c r="B452" s="159" t="s">
        <v>9379</v>
      </c>
      <c r="C452" s="159" t="s">
        <v>5668</v>
      </c>
      <c r="D452" s="159" t="s">
        <v>477</v>
      </c>
      <c r="E452" s="159">
        <v>255</v>
      </c>
      <c r="F452" s="159" t="s">
        <v>5665</v>
      </c>
      <c r="G452" s="159" t="s">
        <v>1182</v>
      </c>
    </row>
    <row r="453" spans="1:7" ht="15.75" customHeight="1">
      <c r="A453" s="159" t="s">
        <v>9275</v>
      </c>
      <c r="B453" s="159" t="s">
        <v>9379</v>
      </c>
      <c r="C453" s="159" t="s">
        <v>10190</v>
      </c>
      <c r="D453" s="159" t="s">
        <v>1413</v>
      </c>
      <c r="E453" s="159"/>
      <c r="F453" s="159" t="s">
        <v>5665</v>
      </c>
      <c r="G453" s="159" t="s">
        <v>10281</v>
      </c>
    </row>
    <row r="454" spans="1:7" ht="15.75" customHeight="1">
      <c r="A454" s="159" t="s">
        <v>9275</v>
      </c>
      <c r="B454" s="159" t="s">
        <v>9380</v>
      </c>
      <c r="C454" s="159" t="s">
        <v>10287</v>
      </c>
      <c r="D454" s="159" t="s">
        <v>484</v>
      </c>
      <c r="E454" s="159">
        <v>10</v>
      </c>
      <c r="F454" s="159" t="s">
        <v>5665</v>
      </c>
      <c r="G454" s="159" t="s">
        <v>10676</v>
      </c>
    </row>
    <row r="455" spans="1:7" ht="15.75" customHeight="1">
      <c r="A455" s="159" t="s">
        <v>9275</v>
      </c>
      <c r="B455" s="159" t="s">
        <v>9380</v>
      </c>
      <c r="C455" s="159" t="s">
        <v>3635</v>
      </c>
      <c r="D455" s="159" t="s">
        <v>484</v>
      </c>
      <c r="E455" s="159">
        <v>10</v>
      </c>
      <c r="F455" s="159" t="s">
        <v>5665</v>
      </c>
      <c r="G455" s="159" t="s">
        <v>10722</v>
      </c>
    </row>
    <row r="456" spans="1:7" ht="15.75" customHeight="1">
      <c r="A456" s="159" t="s">
        <v>9275</v>
      </c>
      <c r="B456" s="159" t="s">
        <v>9380</v>
      </c>
      <c r="C456" s="159" t="s">
        <v>1419</v>
      </c>
      <c r="D456" s="159" t="s">
        <v>477</v>
      </c>
      <c r="E456" s="159">
        <v>30</v>
      </c>
      <c r="F456" s="159" t="s">
        <v>5665</v>
      </c>
      <c r="G456" s="159" t="s">
        <v>811</v>
      </c>
    </row>
    <row r="457" spans="1:7" ht="15.75" customHeight="1">
      <c r="A457" s="159" t="s">
        <v>9275</v>
      </c>
      <c r="B457" s="159" t="s">
        <v>9380</v>
      </c>
      <c r="C457" s="159" t="s">
        <v>10745</v>
      </c>
      <c r="D457" s="159" t="s">
        <v>484</v>
      </c>
      <c r="E457" s="159">
        <v>10</v>
      </c>
      <c r="F457" s="159" t="s">
        <v>5665</v>
      </c>
      <c r="G457" s="159" t="s">
        <v>10746</v>
      </c>
    </row>
    <row r="458" spans="1:7" ht="15.75" customHeight="1">
      <c r="A458" s="159" t="s">
        <v>9275</v>
      </c>
      <c r="B458" s="159" t="s">
        <v>9380</v>
      </c>
      <c r="C458" s="159" t="s">
        <v>10190</v>
      </c>
      <c r="D458" s="159" t="s">
        <v>1413</v>
      </c>
      <c r="E458" s="159"/>
      <c r="F458" s="159" t="s">
        <v>5665</v>
      </c>
      <c r="G458" s="159" t="s">
        <v>10281</v>
      </c>
    </row>
    <row r="459" spans="1:7" ht="15.75" customHeight="1">
      <c r="A459" s="159" t="s">
        <v>9275</v>
      </c>
      <c r="B459" s="159" t="s">
        <v>9382</v>
      </c>
      <c r="C459" s="159" t="s">
        <v>10287</v>
      </c>
      <c r="D459" s="159" t="s">
        <v>484</v>
      </c>
      <c r="E459" s="159">
        <v>10</v>
      </c>
      <c r="F459" s="159" t="s">
        <v>5665</v>
      </c>
      <c r="G459" s="159" t="s">
        <v>10237</v>
      </c>
    </row>
    <row r="460" spans="1:7" ht="15.75" customHeight="1">
      <c r="A460" s="159" t="s">
        <v>9275</v>
      </c>
      <c r="B460" s="159" t="s">
        <v>9382</v>
      </c>
      <c r="C460" s="159" t="s">
        <v>3940</v>
      </c>
      <c r="D460" s="159" t="s">
        <v>484</v>
      </c>
      <c r="E460" s="159">
        <v>10</v>
      </c>
      <c r="F460" s="159" t="s">
        <v>5667</v>
      </c>
      <c r="G460" s="159" t="s">
        <v>10747</v>
      </c>
    </row>
    <row r="461" spans="1:7" ht="15.75" customHeight="1">
      <c r="A461" s="159" t="s">
        <v>9275</v>
      </c>
      <c r="B461" s="159" t="s">
        <v>9382</v>
      </c>
      <c r="C461" s="159" t="s">
        <v>3635</v>
      </c>
      <c r="D461" s="159" t="s">
        <v>484</v>
      </c>
      <c r="E461" s="159">
        <v>10</v>
      </c>
      <c r="F461" s="159" t="s">
        <v>5667</v>
      </c>
      <c r="G461" s="159" t="s">
        <v>10722</v>
      </c>
    </row>
    <row r="462" spans="1:7" ht="15.75" customHeight="1">
      <c r="A462" s="159" t="s">
        <v>9275</v>
      </c>
      <c r="B462" s="159" t="s">
        <v>9382</v>
      </c>
      <c r="C462" s="159" t="s">
        <v>10748</v>
      </c>
      <c r="D462" s="159" t="s">
        <v>477</v>
      </c>
      <c r="E462" s="159">
        <v>32</v>
      </c>
      <c r="F462" s="159" t="s">
        <v>5665</v>
      </c>
      <c r="G462" s="159" t="s">
        <v>10749</v>
      </c>
    </row>
    <row r="463" spans="1:7" ht="15.75" customHeight="1">
      <c r="A463" s="159" t="s">
        <v>9275</v>
      </c>
      <c r="B463" s="159" t="s">
        <v>9382</v>
      </c>
      <c r="C463" s="159" t="s">
        <v>3941</v>
      </c>
      <c r="D463" s="159" t="s">
        <v>477</v>
      </c>
      <c r="E463" s="159">
        <v>255</v>
      </c>
      <c r="F463" s="159" t="s">
        <v>5665</v>
      </c>
      <c r="G463" s="159" t="s">
        <v>10750</v>
      </c>
    </row>
    <row r="464" spans="1:7" ht="15.75" customHeight="1">
      <c r="A464" s="159" t="s">
        <v>9275</v>
      </c>
      <c r="B464" s="159" t="s">
        <v>9382</v>
      </c>
      <c r="C464" s="159" t="s">
        <v>5836</v>
      </c>
      <c r="D464" s="159" t="s">
        <v>477</v>
      </c>
      <c r="E464" s="159">
        <v>32</v>
      </c>
      <c r="F464" s="159" t="s">
        <v>5665</v>
      </c>
      <c r="G464" s="159" t="s">
        <v>10751</v>
      </c>
    </row>
    <row r="465" spans="1:7" ht="15.75" customHeight="1">
      <c r="A465" s="159" t="s">
        <v>9275</v>
      </c>
      <c r="B465" s="159" t="s">
        <v>9382</v>
      </c>
      <c r="C465" s="159" t="s">
        <v>10752</v>
      </c>
      <c r="D465" s="159" t="s">
        <v>477</v>
      </c>
      <c r="E465" s="159">
        <v>32</v>
      </c>
      <c r="F465" s="159" t="s">
        <v>5665</v>
      </c>
      <c r="G465" s="159" t="s">
        <v>10753</v>
      </c>
    </row>
    <row r="466" spans="1:7" ht="15.75" customHeight="1">
      <c r="A466" s="159" t="s">
        <v>9275</v>
      </c>
      <c r="B466" s="159" t="s">
        <v>9382</v>
      </c>
      <c r="C466" s="159" t="s">
        <v>10754</v>
      </c>
      <c r="D466" s="159" t="s">
        <v>477</v>
      </c>
      <c r="E466" s="159">
        <v>10</v>
      </c>
      <c r="F466" s="159" t="s">
        <v>5665</v>
      </c>
      <c r="G466" s="159" t="s">
        <v>10755</v>
      </c>
    </row>
    <row r="467" spans="1:7" ht="15.75" customHeight="1">
      <c r="A467" s="159" t="s">
        <v>9275</v>
      </c>
      <c r="B467" s="159" t="s">
        <v>9382</v>
      </c>
      <c r="C467" s="159" t="s">
        <v>10756</v>
      </c>
      <c r="D467" s="159" t="s">
        <v>477</v>
      </c>
      <c r="E467" s="159">
        <v>10</v>
      </c>
      <c r="F467" s="159" t="s">
        <v>5665</v>
      </c>
      <c r="G467" s="159" t="s">
        <v>10757</v>
      </c>
    </row>
    <row r="468" spans="1:7" ht="15.75" customHeight="1">
      <c r="A468" s="159" t="s">
        <v>9275</v>
      </c>
      <c r="B468" s="159" t="s">
        <v>9382</v>
      </c>
      <c r="C468" s="159" t="s">
        <v>10275</v>
      </c>
      <c r="D468" s="159" t="s">
        <v>477</v>
      </c>
      <c r="E468" s="159">
        <v>255</v>
      </c>
      <c r="F468" s="159" t="s">
        <v>5667</v>
      </c>
      <c r="G468" s="159" t="s">
        <v>10480</v>
      </c>
    </row>
    <row r="469" spans="1:7" ht="15.75" customHeight="1">
      <c r="A469" s="159" t="s">
        <v>9275</v>
      </c>
      <c r="B469" s="159" t="s">
        <v>9382</v>
      </c>
      <c r="C469" s="159" t="s">
        <v>10758</v>
      </c>
      <c r="D469" s="159" t="s">
        <v>481</v>
      </c>
      <c r="E469" s="159">
        <v>12</v>
      </c>
      <c r="F469" s="159" t="s">
        <v>5665</v>
      </c>
      <c r="G469" s="159" t="s">
        <v>10759</v>
      </c>
    </row>
    <row r="470" spans="1:7" ht="15.75" customHeight="1">
      <c r="A470" s="159" t="s">
        <v>9275</v>
      </c>
      <c r="B470" s="159" t="s">
        <v>9382</v>
      </c>
      <c r="C470" s="159" t="s">
        <v>10190</v>
      </c>
      <c r="D470" s="159" t="s">
        <v>1413</v>
      </c>
      <c r="E470" s="159"/>
      <c r="F470" s="159" t="s">
        <v>5665</v>
      </c>
      <c r="G470" s="159" t="s">
        <v>10281</v>
      </c>
    </row>
    <row r="471" spans="1:7" ht="15.75" customHeight="1">
      <c r="A471" s="159" t="s">
        <v>9275</v>
      </c>
      <c r="B471" s="159" t="s">
        <v>9382</v>
      </c>
      <c r="C471" s="159" t="s">
        <v>10242</v>
      </c>
      <c r="D471" s="159" t="s">
        <v>1413</v>
      </c>
      <c r="E471" s="159"/>
      <c r="F471" s="159" t="s">
        <v>5665</v>
      </c>
      <c r="G471" s="159" t="s">
        <v>10282</v>
      </c>
    </row>
    <row r="472" spans="1:7" ht="15.75" customHeight="1">
      <c r="A472" s="159" t="s">
        <v>9275</v>
      </c>
      <c r="B472" s="159" t="s">
        <v>9383</v>
      </c>
      <c r="C472" s="159" t="s">
        <v>10287</v>
      </c>
      <c r="D472" s="159" t="s">
        <v>484</v>
      </c>
      <c r="E472" s="159">
        <v>10</v>
      </c>
      <c r="F472" s="159" t="s">
        <v>5665</v>
      </c>
      <c r="G472" s="159" t="s">
        <v>10676</v>
      </c>
    </row>
    <row r="473" spans="1:7" ht="15.75" customHeight="1">
      <c r="A473" s="159" t="s">
        <v>9275</v>
      </c>
      <c r="B473" s="159" t="s">
        <v>9383</v>
      </c>
      <c r="C473" s="159" t="s">
        <v>3635</v>
      </c>
      <c r="D473" s="159" t="s">
        <v>484</v>
      </c>
      <c r="E473" s="159">
        <v>10</v>
      </c>
      <c r="F473" s="159" t="s">
        <v>5665</v>
      </c>
      <c r="G473" s="159" t="s">
        <v>10760</v>
      </c>
    </row>
    <row r="474" spans="1:7" ht="15.75" customHeight="1">
      <c r="A474" s="159" t="s">
        <v>9275</v>
      </c>
      <c r="B474" s="159" t="s">
        <v>9383</v>
      </c>
      <c r="C474" s="159" t="s">
        <v>10761</v>
      </c>
      <c r="D474" s="159" t="s">
        <v>484</v>
      </c>
      <c r="E474" s="159">
        <v>10</v>
      </c>
      <c r="F474" s="159" t="s">
        <v>5665</v>
      </c>
      <c r="G474" s="159" t="s">
        <v>10762</v>
      </c>
    </row>
    <row r="475" spans="1:7" ht="15.75" customHeight="1">
      <c r="A475" s="159" t="s">
        <v>9275</v>
      </c>
      <c r="B475" s="159" t="s">
        <v>9383</v>
      </c>
      <c r="C475" s="159" t="s">
        <v>1826</v>
      </c>
      <c r="D475" s="159" t="s">
        <v>484</v>
      </c>
      <c r="E475" s="159">
        <v>10</v>
      </c>
      <c r="F475" s="159" t="s">
        <v>5665</v>
      </c>
      <c r="G475" s="159" t="s">
        <v>10763</v>
      </c>
    </row>
    <row r="476" spans="1:7" ht="15.75" customHeight="1">
      <c r="A476" s="159" t="s">
        <v>9275</v>
      </c>
      <c r="B476" s="159" t="s">
        <v>9383</v>
      </c>
      <c r="C476" s="159" t="s">
        <v>1419</v>
      </c>
      <c r="D476" s="159" t="s">
        <v>477</v>
      </c>
      <c r="E476" s="159">
        <v>25</v>
      </c>
      <c r="F476" s="159" t="s">
        <v>5665</v>
      </c>
      <c r="G476" s="159" t="s">
        <v>10764</v>
      </c>
    </row>
    <row r="477" spans="1:7" ht="15.75" customHeight="1">
      <c r="A477" s="159" t="s">
        <v>9275</v>
      </c>
      <c r="B477" s="159" t="s">
        <v>9383</v>
      </c>
      <c r="C477" s="159" t="s">
        <v>10745</v>
      </c>
      <c r="D477" s="159" t="s">
        <v>484</v>
      </c>
      <c r="E477" s="159">
        <v>10</v>
      </c>
      <c r="F477" s="159" t="s">
        <v>5665</v>
      </c>
      <c r="G477" s="159" t="s">
        <v>10765</v>
      </c>
    </row>
    <row r="478" spans="1:7" ht="15.75" customHeight="1">
      <c r="A478" s="159" t="s">
        <v>9275</v>
      </c>
      <c r="B478" s="159" t="s">
        <v>9383</v>
      </c>
      <c r="C478" s="159" t="s">
        <v>10766</v>
      </c>
      <c r="D478" s="159" t="s">
        <v>477</v>
      </c>
      <c r="E478" s="159">
        <v>255</v>
      </c>
      <c r="F478" s="159" t="s">
        <v>5667</v>
      </c>
      <c r="G478" s="159" t="s">
        <v>10767</v>
      </c>
    </row>
    <row r="479" spans="1:7" ht="15.75" customHeight="1">
      <c r="A479" s="159" t="s">
        <v>9275</v>
      </c>
      <c r="B479" s="159" t="s">
        <v>9383</v>
      </c>
      <c r="C479" s="159" t="s">
        <v>10768</v>
      </c>
      <c r="D479" s="159" t="s">
        <v>477</v>
      </c>
      <c r="E479" s="159">
        <v>25</v>
      </c>
      <c r="F479" s="159" t="s">
        <v>5667</v>
      </c>
      <c r="G479" s="159" t="s">
        <v>10769</v>
      </c>
    </row>
    <row r="480" spans="1:7" ht="15.75" customHeight="1">
      <c r="A480" s="159" t="s">
        <v>9275</v>
      </c>
      <c r="B480" s="159" t="s">
        <v>9383</v>
      </c>
      <c r="C480" s="159" t="s">
        <v>10770</v>
      </c>
      <c r="D480" s="159" t="s">
        <v>477</v>
      </c>
      <c r="E480" s="159">
        <v>25</v>
      </c>
      <c r="F480" s="159" t="s">
        <v>5667</v>
      </c>
      <c r="G480" s="159" t="s">
        <v>10771</v>
      </c>
    </row>
    <row r="481" spans="1:7" ht="15.75" customHeight="1">
      <c r="A481" s="159" t="s">
        <v>9275</v>
      </c>
      <c r="B481" s="159" t="s">
        <v>9383</v>
      </c>
      <c r="C481" s="159" t="s">
        <v>10772</v>
      </c>
      <c r="D481" s="159" t="s">
        <v>1807</v>
      </c>
      <c r="E481" s="159">
        <v>12</v>
      </c>
      <c r="F481" s="159" t="s">
        <v>5667</v>
      </c>
      <c r="G481" s="159" t="s">
        <v>10773</v>
      </c>
    </row>
    <row r="482" spans="1:7" ht="15.75" customHeight="1">
      <c r="A482" s="159" t="s">
        <v>9275</v>
      </c>
      <c r="B482" s="159" t="s">
        <v>9383</v>
      </c>
      <c r="C482" s="159" t="s">
        <v>10774</v>
      </c>
      <c r="D482" s="159" t="s">
        <v>1807</v>
      </c>
      <c r="E482" s="159">
        <v>12</v>
      </c>
      <c r="F482" s="159" t="s">
        <v>5667</v>
      </c>
      <c r="G482" s="159" t="s">
        <v>10775</v>
      </c>
    </row>
    <row r="483" spans="1:7" ht="15.75" customHeight="1">
      <c r="A483" s="159" t="s">
        <v>9275</v>
      </c>
      <c r="B483" s="159" t="s">
        <v>9383</v>
      </c>
      <c r="C483" s="159" t="s">
        <v>10776</v>
      </c>
      <c r="D483" s="159" t="s">
        <v>1807</v>
      </c>
      <c r="E483" s="159">
        <v>12</v>
      </c>
      <c r="F483" s="159" t="s">
        <v>5667</v>
      </c>
      <c r="G483" s="159" t="s">
        <v>10777</v>
      </c>
    </row>
    <row r="484" spans="1:7" ht="15.75" customHeight="1">
      <c r="A484" s="159" t="s">
        <v>9275</v>
      </c>
      <c r="B484" s="159" t="s">
        <v>9383</v>
      </c>
      <c r="C484" s="159" t="s">
        <v>10190</v>
      </c>
      <c r="D484" s="159" t="s">
        <v>1413</v>
      </c>
      <c r="E484" s="159"/>
      <c r="F484" s="159" t="s">
        <v>5665</v>
      </c>
      <c r="G484" s="159" t="s">
        <v>10281</v>
      </c>
    </row>
    <row r="485" spans="1:7" ht="15.75" customHeight="1">
      <c r="A485" s="159" t="s">
        <v>9275</v>
      </c>
      <c r="B485" s="159" t="s">
        <v>9383</v>
      </c>
      <c r="C485" s="159" t="s">
        <v>10242</v>
      </c>
      <c r="D485" s="159" t="s">
        <v>1413</v>
      </c>
      <c r="E485" s="159"/>
      <c r="F485" s="159" t="s">
        <v>5665</v>
      </c>
      <c r="G485" s="159" t="s">
        <v>10282</v>
      </c>
    </row>
    <row r="486" spans="1:7" ht="15.75" customHeight="1">
      <c r="A486" s="159" t="s">
        <v>9275</v>
      </c>
      <c r="B486" s="159" t="s">
        <v>9385</v>
      </c>
      <c r="C486" s="159" t="s">
        <v>10287</v>
      </c>
      <c r="D486" s="159" t="s">
        <v>484</v>
      </c>
      <c r="E486" s="159">
        <v>10</v>
      </c>
      <c r="F486" s="159" t="s">
        <v>5665</v>
      </c>
      <c r="G486" s="159" t="s">
        <v>10676</v>
      </c>
    </row>
    <row r="487" spans="1:7" ht="15.75" customHeight="1">
      <c r="A487" s="159" t="s">
        <v>9275</v>
      </c>
      <c r="B487" s="159" t="s">
        <v>9385</v>
      </c>
      <c r="C487" s="159" t="s">
        <v>10761</v>
      </c>
      <c r="D487" s="159" t="s">
        <v>484</v>
      </c>
      <c r="E487" s="159">
        <v>10</v>
      </c>
      <c r="F487" s="159" t="s">
        <v>5665</v>
      </c>
      <c r="G487" s="159" t="s">
        <v>10778</v>
      </c>
    </row>
    <row r="488" spans="1:7" ht="15.75" customHeight="1">
      <c r="A488" s="159" t="s">
        <v>9275</v>
      </c>
      <c r="B488" s="159" t="s">
        <v>9385</v>
      </c>
      <c r="C488" s="159" t="s">
        <v>10779</v>
      </c>
      <c r="D488" s="159" t="s">
        <v>484</v>
      </c>
      <c r="E488" s="159">
        <v>10</v>
      </c>
      <c r="F488" s="159" t="s">
        <v>5667</v>
      </c>
      <c r="G488" s="159" t="s">
        <v>10780</v>
      </c>
    </row>
    <row r="489" spans="1:7" ht="15.75" customHeight="1">
      <c r="A489" s="159" t="s">
        <v>9275</v>
      </c>
      <c r="B489" s="159" t="s">
        <v>9385</v>
      </c>
      <c r="C489" s="159" t="s">
        <v>1826</v>
      </c>
      <c r="D489" s="159" t="s">
        <v>1807</v>
      </c>
      <c r="E489" s="159">
        <v>12</v>
      </c>
      <c r="F489" s="159" t="s">
        <v>5665</v>
      </c>
      <c r="G489" s="159" t="s">
        <v>10781</v>
      </c>
    </row>
    <row r="490" spans="1:7" ht="15.75" customHeight="1">
      <c r="A490" s="159" t="s">
        <v>9275</v>
      </c>
      <c r="B490" s="159" t="s">
        <v>9387</v>
      </c>
      <c r="C490" s="159" t="s">
        <v>3897</v>
      </c>
      <c r="D490" s="159" t="s">
        <v>484</v>
      </c>
      <c r="E490" s="159">
        <v>10</v>
      </c>
      <c r="F490" s="159" t="s">
        <v>5665</v>
      </c>
      <c r="G490" s="159" t="s">
        <v>10782</v>
      </c>
    </row>
    <row r="491" spans="1:7" ht="15.75" customHeight="1">
      <c r="A491" s="159" t="s">
        <v>9275</v>
      </c>
      <c r="B491" s="159" t="s">
        <v>9387</v>
      </c>
      <c r="C491" s="159" t="s">
        <v>1394</v>
      </c>
      <c r="D491" s="159" t="s">
        <v>484</v>
      </c>
      <c r="E491" s="159">
        <v>10</v>
      </c>
      <c r="F491" s="159" t="s">
        <v>5665</v>
      </c>
      <c r="G491" s="159" t="s">
        <v>4422</v>
      </c>
    </row>
    <row r="492" spans="1:7" ht="15.75" customHeight="1">
      <c r="A492" s="159" t="s">
        <v>9275</v>
      </c>
      <c r="B492" s="159" t="s">
        <v>9387</v>
      </c>
      <c r="C492" s="159" t="s">
        <v>10783</v>
      </c>
      <c r="D492" s="159" t="s">
        <v>484</v>
      </c>
      <c r="E492" s="159">
        <v>10</v>
      </c>
      <c r="F492" s="159" t="s">
        <v>5665</v>
      </c>
      <c r="G492" s="159" t="s">
        <v>10784</v>
      </c>
    </row>
    <row r="493" spans="1:7" ht="15.75" customHeight="1">
      <c r="A493" s="159" t="s">
        <v>9275</v>
      </c>
      <c r="B493" s="159" t="s">
        <v>9387</v>
      </c>
      <c r="C493" s="159" t="s">
        <v>10785</v>
      </c>
      <c r="D493" s="159" t="s">
        <v>481</v>
      </c>
      <c r="E493" s="159">
        <v>12</v>
      </c>
      <c r="F493" s="159" t="s">
        <v>5665</v>
      </c>
      <c r="G493" s="159" t="s">
        <v>10786</v>
      </c>
    </row>
    <row r="494" spans="1:7" ht="15.75" customHeight="1">
      <c r="A494" s="159" t="s">
        <v>9275</v>
      </c>
      <c r="B494" s="159" t="s">
        <v>9387</v>
      </c>
      <c r="C494" s="159" t="s">
        <v>10787</v>
      </c>
      <c r="D494" s="159" t="s">
        <v>481</v>
      </c>
      <c r="E494" s="159">
        <v>12</v>
      </c>
      <c r="F494" s="159" t="s">
        <v>5665</v>
      </c>
      <c r="G494" s="159" t="s">
        <v>10788</v>
      </c>
    </row>
    <row r="495" spans="1:7" ht="15.75" customHeight="1">
      <c r="A495" s="159" t="s">
        <v>9275</v>
      </c>
      <c r="B495" s="159" t="s">
        <v>9387</v>
      </c>
      <c r="C495" s="159" t="s">
        <v>10789</v>
      </c>
      <c r="D495" s="159" t="s">
        <v>481</v>
      </c>
      <c r="E495" s="159">
        <v>12</v>
      </c>
      <c r="F495" s="159" t="s">
        <v>5665</v>
      </c>
      <c r="G495" s="159" t="s">
        <v>10790</v>
      </c>
    </row>
    <row r="496" spans="1:7" ht="15.75" customHeight="1">
      <c r="A496" s="159" t="s">
        <v>9275</v>
      </c>
      <c r="B496" s="159" t="s">
        <v>9387</v>
      </c>
      <c r="C496" s="159" t="s">
        <v>10791</v>
      </c>
      <c r="D496" s="159" t="s">
        <v>481</v>
      </c>
      <c r="E496" s="159">
        <v>12</v>
      </c>
      <c r="F496" s="159" t="s">
        <v>5665</v>
      </c>
      <c r="G496" s="159" t="s">
        <v>10792</v>
      </c>
    </row>
    <row r="497" spans="1:7" ht="15.75" customHeight="1">
      <c r="A497" s="159" t="s">
        <v>9275</v>
      </c>
      <c r="B497" s="159" t="s">
        <v>9389</v>
      </c>
      <c r="C497" s="159" t="s">
        <v>10287</v>
      </c>
      <c r="D497" s="159" t="s">
        <v>484</v>
      </c>
      <c r="E497" s="159">
        <v>10</v>
      </c>
      <c r="F497" s="159" t="s">
        <v>5665</v>
      </c>
      <c r="G497" s="159" t="s">
        <v>10237</v>
      </c>
    </row>
    <row r="498" spans="1:7" ht="15.75" customHeight="1">
      <c r="A498" s="159" t="s">
        <v>9275</v>
      </c>
      <c r="B498" s="159" t="s">
        <v>9389</v>
      </c>
      <c r="C498" s="159" t="s">
        <v>3635</v>
      </c>
      <c r="D498" s="159" t="s">
        <v>484</v>
      </c>
      <c r="E498" s="159">
        <v>10</v>
      </c>
      <c r="F498" s="159" t="s">
        <v>5665</v>
      </c>
      <c r="G498" s="159" t="s">
        <v>10760</v>
      </c>
    </row>
    <row r="499" spans="1:7" ht="15.75" customHeight="1">
      <c r="A499" s="159" t="s">
        <v>9275</v>
      </c>
      <c r="B499" s="159" t="s">
        <v>9389</v>
      </c>
      <c r="C499" s="159" t="s">
        <v>10793</v>
      </c>
      <c r="D499" s="159" t="s">
        <v>477</v>
      </c>
      <c r="E499" s="159">
        <v>12</v>
      </c>
      <c r="F499" s="159" t="s">
        <v>5667</v>
      </c>
      <c r="G499" s="159" t="s">
        <v>10794</v>
      </c>
    </row>
    <row r="500" spans="1:7" ht="15.75" customHeight="1">
      <c r="A500" s="159" t="s">
        <v>9275</v>
      </c>
      <c r="B500" s="159" t="s">
        <v>9391</v>
      </c>
      <c r="C500" s="159" t="s">
        <v>3897</v>
      </c>
      <c r="D500" s="159" t="s">
        <v>477</v>
      </c>
      <c r="E500" s="159">
        <v>200</v>
      </c>
      <c r="F500" s="159" t="s">
        <v>5665</v>
      </c>
      <c r="G500" s="159" t="s">
        <v>10795</v>
      </c>
    </row>
    <row r="501" spans="1:7" ht="15.75" customHeight="1">
      <c r="A501" s="159" t="s">
        <v>9275</v>
      </c>
      <c r="B501" s="159" t="s">
        <v>9391</v>
      </c>
      <c r="C501" s="159" t="s">
        <v>160</v>
      </c>
      <c r="D501" s="159" t="s">
        <v>10796</v>
      </c>
      <c r="E501" s="159">
        <v>16777215</v>
      </c>
      <c r="F501" s="159" t="s">
        <v>5667</v>
      </c>
      <c r="G501" s="159" t="s">
        <v>10797</v>
      </c>
    </row>
    <row r="502" spans="1:7" ht="15.75" customHeight="1">
      <c r="A502" s="159" t="s">
        <v>9275</v>
      </c>
      <c r="B502" s="159" t="s">
        <v>9391</v>
      </c>
      <c r="C502" s="159" t="s">
        <v>10798</v>
      </c>
      <c r="D502" s="159" t="s">
        <v>484</v>
      </c>
      <c r="E502" s="159">
        <v>10</v>
      </c>
      <c r="F502" s="159" t="s">
        <v>5667</v>
      </c>
      <c r="G502" s="159" t="s">
        <v>10799</v>
      </c>
    </row>
    <row r="503" spans="1:7" ht="15.75" customHeight="1">
      <c r="A503" s="159" t="s">
        <v>9275</v>
      </c>
      <c r="B503" s="159" t="s">
        <v>9391</v>
      </c>
      <c r="C503" s="159" t="s">
        <v>10800</v>
      </c>
      <c r="D503" s="159" t="s">
        <v>484</v>
      </c>
      <c r="E503" s="159">
        <v>10</v>
      </c>
      <c r="F503" s="159" t="s">
        <v>5667</v>
      </c>
      <c r="G503" s="159" t="s">
        <v>10801</v>
      </c>
    </row>
    <row r="504" spans="1:7" ht="15.75" customHeight="1">
      <c r="A504" s="159" t="s">
        <v>9275</v>
      </c>
      <c r="B504" s="159" t="s">
        <v>9391</v>
      </c>
      <c r="C504" s="159" t="s">
        <v>10802</v>
      </c>
      <c r="D504" s="159" t="s">
        <v>484</v>
      </c>
      <c r="E504" s="159">
        <v>10</v>
      </c>
      <c r="F504" s="159" t="s">
        <v>5667</v>
      </c>
      <c r="G504" s="159" t="s">
        <v>10803</v>
      </c>
    </row>
    <row r="505" spans="1:7" ht="15.75" customHeight="1">
      <c r="A505" s="159" t="s">
        <v>9275</v>
      </c>
      <c r="B505" s="159" t="s">
        <v>9393</v>
      </c>
      <c r="C505" s="159" t="s">
        <v>10804</v>
      </c>
      <c r="D505" s="159" t="s">
        <v>477</v>
      </c>
      <c r="E505" s="159">
        <v>100</v>
      </c>
      <c r="F505" s="159" t="s">
        <v>5665</v>
      </c>
      <c r="G505" s="159" t="s">
        <v>10805</v>
      </c>
    </row>
    <row r="506" spans="1:7" ht="15.75" customHeight="1">
      <c r="A506" s="159" t="s">
        <v>9275</v>
      </c>
      <c r="B506" s="159" t="s">
        <v>9393</v>
      </c>
      <c r="C506" s="159" t="s">
        <v>10806</v>
      </c>
      <c r="D506" s="159" t="s">
        <v>477</v>
      </c>
      <c r="E506" s="159">
        <v>200</v>
      </c>
      <c r="F506" s="159" t="s">
        <v>5665</v>
      </c>
      <c r="G506" s="159" t="s">
        <v>10795</v>
      </c>
    </row>
    <row r="507" spans="1:7" ht="15.75" customHeight="1">
      <c r="A507" s="159" t="s">
        <v>9275</v>
      </c>
      <c r="B507" s="159" t="s">
        <v>9395</v>
      </c>
      <c r="C507" s="159" t="s">
        <v>5609</v>
      </c>
      <c r="D507" s="159" t="s">
        <v>477</v>
      </c>
      <c r="E507" s="159">
        <v>32</v>
      </c>
      <c r="F507" s="159" t="s">
        <v>5665</v>
      </c>
      <c r="G507" s="159" t="s">
        <v>1611</v>
      </c>
    </row>
    <row r="508" spans="1:7" ht="15.75" customHeight="1">
      <c r="A508" s="159" t="s">
        <v>9275</v>
      </c>
      <c r="B508" s="159" t="s">
        <v>9395</v>
      </c>
      <c r="C508" s="159" t="s">
        <v>10471</v>
      </c>
      <c r="D508" s="159" t="s">
        <v>477</v>
      </c>
      <c r="E508" s="159">
        <v>255</v>
      </c>
      <c r="F508" s="159" t="s">
        <v>5665</v>
      </c>
      <c r="G508" s="159" t="s">
        <v>10475</v>
      </c>
    </row>
    <row r="509" spans="1:7" ht="15.75" customHeight="1">
      <c r="A509" s="159" t="s">
        <v>9275</v>
      </c>
      <c r="B509" s="159" t="s">
        <v>9395</v>
      </c>
      <c r="C509" s="159" t="s">
        <v>10388</v>
      </c>
      <c r="D509" s="159" t="s">
        <v>484</v>
      </c>
      <c r="E509" s="159">
        <v>10</v>
      </c>
      <c r="F509" s="159" t="s">
        <v>5665</v>
      </c>
      <c r="G509" s="159" t="s">
        <v>10389</v>
      </c>
    </row>
    <row r="510" spans="1:7" ht="15.75" customHeight="1">
      <c r="A510" s="159" t="s">
        <v>9275</v>
      </c>
      <c r="B510" s="159" t="s">
        <v>9395</v>
      </c>
      <c r="C510" s="159" t="s">
        <v>10242</v>
      </c>
      <c r="D510" s="159" t="s">
        <v>1413</v>
      </c>
      <c r="E510" s="159"/>
      <c r="F510" s="159" t="s">
        <v>5667</v>
      </c>
      <c r="G510" s="159" t="s">
        <v>10243</v>
      </c>
    </row>
    <row r="511" spans="1:7" ht="15.75" customHeight="1">
      <c r="A511" s="159" t="s">
        <v>9275</v>
      </c>
      <c r="B511" s="159" t="s">
        <v>9397</v>
      </c>
      <c r="C511" s="159" t="s">
        <v>10287</v>
      </c>
      <c r="D511" s="159" t="s">
        <v>484</v>
      </c>
      <c r="E511" s="159">
        <v>10</v>
      </c>
      <c r="F511" s="159" t="s">
        <v>5665</v>
      </c>
      <c r="G511" s="159" t="s">
        <v>10237</v>
      </c>
    </row>
    <row r="512" spans="1:7" ht="15.75" customHeight="1">
      <c r="A512" s="159" t="s">
        <v>9275</v>
      </c>
      <c r="B512" s="159" t="s">
        <v>9397</v>
      </c>
      <c r="C512" s="159" t="s">
        <v>10807</v>
      </c>
      <c r="D512" s="159" t="s">
        <v>978</v>
      </c>
      <c r="E512" s="159">
        <v>5</v>
      </c>
      <c r="F512" s="159" t="s">
        <v>5665</v>
      </c>
      <c r="G512" s="159" t="s">
        <v>10808</v>
      </c>
    </row>
    <row r="513" spans="1:7" ht="15.75" customHeight="1">
      <c r="A513" s="159" t="s">
        <v>9275</v>
      </c>
      <c r="B513" s="159" t="s">
        <v>9397</v>
      </c>
      <c r="C513" s="159" t="s">
        <v>5678</v>
      </c>
      <c r="D513" s="159" t="s">
        <v>484</v>
      </c>
      <c r="E513" s="159">
        <v>10</v>
      </c>
      <c r="F513" s="159" t="s">
        <v>5665</v>
      </c>
      <c r="G513" s="159" t="s">
        <v>10809</v>
      </c>
    </row>
    <row r="514" spans="1:7" ht="15.75" customHeight="1">
      <c r="A514" s="159" t="s">
        <v>9275</v>
      </c>
      <c r="B514" s="159" t="s">
        <v>9397</v>
      </c>
      <c r="C514" s="159" t="s">
        <v>10190</v>
      </c>
      <c r="D514" s="159" t="s">
        <v>1413</v>
      </c>
      <c r="E514" s="159"/>
      <c r="F514" s="159" t="s">
        <v>5665</v>
      </c>
      <c r="G514" s="159" t="s">
        <v>10810</v>
      </c>
    </row>
    <row r="515" spans="1:7" ht="15.75" customHeight="1">
      <c r="A515" s="159" t="s">
        <v>9275</v>
      </c>
      <c r="B515" s="159" t="s">
        <v>9397</v>
      </c>
      <c r="C515" s="159" t="s">
        <v>10242</v>
      </c>
      <c r="D515" s="159" t="s">
        <v>1413</v>
      </c>
      <c r="E515" s="159"/>
      <c r="F515" s="159" t="s">
        <v>5665</v>
      </c>
      <c r="G515" s="159" t="s">
        <v>10243</v>
      </c>
    </row>
    <row r="516" spans="1:7" ht="15.75" customHeight="1">
      <c r="A516" s="159" t="s">
        <v>9275</v>
      </c>
      <c r="B516" s="159" t="s">
        <v>9397</v>
      </c>
      <c r="C516" s="159" t="s">
        <v>10811</v>
      </c>
      <c r="D516" s="159" t="s">
        <v>477</v>
      </c>
      <c r="E516" s="159">
        <v>255</v>
      </c>
      <c r="F516" s="159" t="s">
        <v>5665</v>
      </c>
      <c r="G516" s="159" t="s">
        <v>10812</v>
      </c>
    </row>
    <row r="517" spans="1:7" ht="15.75" customHeight="1">
      <c r="A517" s="159" t="s">
        <v>9275</v>
      </c>
      <c r="B517" s="159" t="s">
        <v>9397</v>
      </c>
      <c r="C517" s="159" t="s">
        <v>3965</v>
      </c>
      <c r="D517" s="159" t="s">
        <v>484</v>
      </c>
      <c r="E517" s="159">
        <v>10</v>
      </c>
      <c r="F517" s="159" t="s">
        <v>5665</v>
      </c>
      <c r="G517" s="159" t="s">
        <v>10462</v>
      </c>
    </row>
    <row r="518" spans="1:7" ht="15.75" customHeight="1">
      <c r="A518" s="159" t="s">
        <v>9275</v>
      </c>
      <c r="B518" s="159" t="s">
        <v>9397</v>
      </c>
      <c r="C518" s="159" t="s">
        <v>8772</v>
      </c>
      <c r="D518" s="159" t="s">
        <v>484</v>
      </c>
      <c r="E518" s="159">
        <v>10</v>
      </c>
      <c r="F518" s="159" t="s">
        <v>5665</v>
      </c>
      <c r="G518" s="159" t="s">
        <v>10813</v>
      </c>
    </row>
    <row r="519" spans="1:7" ht="15.75" customHeight="1">
      <c r="A519" s="159" t="s">
        <v>9275</v>
      </c>
      <c r="B519" s="159" t="s">
        <v>9397</v>
      </c>
      <c r="C519" s="159" t="s">
        <v>10814</v>
      </c>
      <c r="D519" s="159" t="s">
        <v>484</v>
      </c>
      <c r="E519" s="159">
        <v>10</v>
      </c>
      <c r="F519" s="159" t="s">
        <v>5665</v>
      </c>
      <c r="G519" s="159" t="s">
        <v>10815</v>
      </c>
    </row>
    <row r="520" spans="1:7" ht="15.75" customHeight="1">
      <c r="A520" s="159" t="s">
        <v>9275</v>
      </c>
      <c r="B520" s="159" t="s">
        <v>9399</v>
      </c>
      <c r="C520" s="159" t="s">
        <v>10816</v>
      </c>
      <c r="D520" s="159" t="s">
        <v>484</v>
      </c>
      <c r="E520" s="159">
        <v>10</v>
      </c>
      <c r="F520" s="159" t="s">
        <v>5665</v>
      </c>
      <c r="G520" s="159" t="s">
        <v>10817</v>
      </c>
    </row>
    <row r="521" spans="1:7" ht="15.75" customHeight="1">
      <c r="A521" s="159" t="s">
        <v>9275</v>
      </c>
      <c r="B521" s="159" t="s">
        <v>9399</v>
      </c>
      <c r="C521" s="159" t="s">
        <v>9217</v>
      </c>
      <c r="D521" s="159" t="s">
        <v>978</v>
      </c>
      <c r="E521" s="159">
        <v>5</v>
      </c>
      <c r="F521" s="159" t="s">
        <v>5665</v>
      </c>
      <c r="G521" s="159" t="s">
        <v>10818</v>
      </c>
    </row>
    <row r="522" spans="1:7" ht="15.75" customHeight="1">
      <c r="A522" s="159" t="s">
        <v>9275</v>
      </c>
      <c r="B522" s="159" t="s">
        <v>9399</v>
      </c>
      <c r="C522" s="159" t="s">
        <v>10290</v>
      </c>
      <c r="D522" s="159" t="s">
        <v>978</v>
      </c>
      <c r="E522" s="159">
        <v>5</v>
      </c>
      <c r="F522" s="159" t="s">
        <v>5665</v>
      </c>
      <c r="G522" s="159" t="s">
        <v>10507</v>
      </c>
    </row>
    <row r="523" spans="1:7" ht="15.75" customHeight="1">
      <c r="A523" s="159" t="s">
        <v>9275</v>
      </c>
      <c r="B523" s="159" t="s">
        <v>9399</v>
      </c>
      <c r="C523" s="159" t="s">
        <v>10287</v>
      </c>
      <c r="D523" s="159" t="s">
        <v>484</v>
      </c>
      <c r="E523" s="159">
        <v>10</v>
      </c>
      <c r="F523" s="159" t="s">
        <v>5665</v>
      </c>
      <c r="G523" s="159" t="s">
        <v>10237</v>
      </c>
    </row>
    <row r="524" spans="1:7" ht="15.75" customHeight="1">
      <c r="A524" s="159" t="s">
        <v>9275</v>
      </c>
      <c r="B524" s="159" t="s">
        <v>9399</v>
      </c>
      <c r="C524" s="159" t="s">
        <v>10471</v>
      </c>
      <c r="D524" s="159" t="s">
        <v>538</v>
      </c>
      <c r="E524" s="159"/>
      <c r="F524" s="159" t="s">
        <v>5667</v>
      </c>
      <c r="G524" s="159" t="s">
        <v>10475</v>
      </c>
    </row>
    <row r="525" spans="1:7" ht="15.75" customHeight="1">
      <c r="A525" s="159" t="s">
        <v>9275</v>
      </c>
      <c r="B525" s="159" t="s">
        <v>9401</v>
      </c>
      <c r="C525" s="159" t="s">
        <v>10816</v>
      </c>
      <c r="D525" s="159" t="s">
        <v>484</v>
      </c>
      <c r="E525" s="159">
        <v>10</v>
      </c>
      <c r="F525" s="159" t="s">
        <v>5665</v>
      </c>
      <c r="G525" s="159" t="s">
        <v>10817</v>
      </c>
    </row>
    <row r="526" spans="1:7" ht="15.75" customHeight="1">
      <c r="A526" s="159" t="s">
        <v>9275</v>
      </c>
      <c r="B526" s="159" t="s">
        <v>9401</v>
      </c>
      <c r="C526" s="159" t="s">
        <v>9217</v>
      </c>
      <c r="D526" s="159" t="s">
        <v>978</v>
      </c>
      <c r="E526" s="159">
        <v>5</v>
      </c>
      <c r="F526" s="159" t="s">
        <v>5665</v>
      </c>
      <c r="G526" s="159" t="s">
        <v>10818</v>
      </c>
    </row>
    <row r="527" spans="1:7" ht="15.75" customHeight="1">
      <c r="A527" s="159" t="s">
        <v>9275</v>
      </c>
      <c r="B527" s="159" t="s">
        <v>9401</v>
      </c>
      <c r="C527" s="159" t="s">
        <v>10290</v>
      </c>
      <c r="D527" s="159" t="s">
        <v>978</v>
      </c>
      <c r="E527" s="159">
        <v>5</v>
      </c>
      <c r="F527" s="159" t="s">
        <v>5665</v>
      </c>
      <c r="G527" s="159" t="s">
        <v>10507</v>
      </c>
    </row>
    <row r="528" spans="1:7" ht="15.75" customHeight="1">
      <c r="A528" s="159" t="s">
        <v>9275</v>
      </c>
      <c r="B528" s="159" t="s">
        <v>9401</v>
      </c>
      <c r="C528" s="159" t="s">
        <v>10287</v>
      </c>
      <c r="D528" s="159" t="s">
        <v>484</v>
      </c>
      <c r="E528" s="159">
        <v>10</v>
      </c>
      <c r="F528" s="159" t="s">
        <v>5665</v>
      </c>
      <c r="G528" s="159" t="s">
        <v>10237</v>
      </c>
    </row>
    <row r="529" spans="1:7" ht="15.75" customHeight="1">
      <c r="A529" s="159" t="s">
        <v>9275</v>
      </c>
      <c r="B529" s="159" t="s">
        <v>9401</v>
      </c>
      <c r="C529" s="159" t="s">
        <v>10471</v>
      </c>
      <c r="D529" s="159" t="s">
        <v>481</v>
      </c>
      <c r="E529" s="159">
        <v>20</v>
      </c>
      <c r="F529" s="159" t="s">
        <v>5667</v>
      </c>
      <c r="G529" s="159" t="s">
        <v>10475</v>
      </c>
    </row>
    <row r="530" spans="1:7" ht="15.75" customHeight="1">
      <c r="A530" s="159" t="s">
        <v>9275</v>
      </c>
      <c r="B530" s="159" t="s">
        <v>9403</v>
      </c>
      <c r="C530" s="159" t="s">
        <v>10816</v>
      </c>
      <c r="D530" s="159" t="s">
        <v>484</v>
      </c>
      <c r="E530" s="159">
        <v>10</v>
      </c>
      <c r="F530" s="159" t="s">
        <v>5665</v>
      </c>
      <c r="G530" s="159" t="s">
        <v>10817</v>
      </c>
    </row>
    <row r="531" spans="1:7" ht="15.75" customHeight="1">
      <c r="A531" s="159" t="s">
        <v>9275</v>
      </c>
      <c r="B531" s="159" t="s">
        <v>9403</v>
      </c>
      <c r="C531" s="159" t="s">
        <v>9217</v>
      </c>
      <c r="D531" s="159" t="s">
        <v>978</v>
      </c>
      <c r="E531" s="159">
        <v>5</v>
      </c>
      <c r="F531" s="159" t="s">
        <v>5665</v>
      </c>
      <c r="G531" s="159" t="s">
        <v>10818</v>
      </c>
    </row>
    <row r="532" spans="1:7" ht="15.75" customHeight="1">
      <c r="A532" s="159" t="s">
        <v>9275</v>
      </c>
      <c r="B532" s="159" t="s">
        <v>9403</v>
      </c>
      <c r="C532" s="159" t="s">
        <v>10290</v>
      </c>
      <c r="D532" s="159" t="s">
        <v>978</v>
      </c>
      <c r="E532" s="159">
        <v>5</v>
      </c>
      <c r="F532" s="159" t="s">
        <v>5665</v>
      </c>
      <c r="G532" s="159" t="s">
        <v>10507</v>
      </c>
    </row>
    <row r="533" spans="1:7" ht="15.75" customHeight="1">
      <c r="A533" s="159" t="s">
        <v>9275</v>
      </c>
      <c r="B533" s="159" t="s">
        <v>9403</v>
      </c>
      <c r="C533" s="159" t="s">
        <v>10287</v>
      </c>
      <c r="D533" s="159" t="s">
        <v>484</v>
      </c>
      <c r="E533" s="159">
        <v>10</v>
      </c>
      <c r="F533" s="159" t="s">
        <v>5665</v>
      </c>
      <c r="G533" s="159" t="s">
        <v>10237</v>
      </c>
    </row>
    <row r="534" spans="1:7" ht="15.75" customHeight="1">
      <c r="A534" s="159" t="s">
        <v>9275</v>
      </c>
      <c r="B534" s="159" t="s">
        <v>9403</v>
      </c>
      <c r="C534" s="159" t="s">
        <v>10471</v>
      </c>
      <c r="D534" s="159" t="s">
        <v>484</v>
      </c>
      <c r="E534" s="159">
        <v>10</v>
      </c>
      <c r="F534" s="159" t="s">
        <v>5667</v>
      </c>
      <c r="G534" s="159" t="s">
        <v>10475</v>
      </c>
    </row>
    <row r="535" spans="1:7" ht="15.75" customHeight="1">
      <c r="A535" s="159" t="s">
        <v>9275</v>
      </c>
      <c r="B535" s="159" t="s">
        <v>9405</v>
      </c>
      <c r="C535" s="159" t="s">
        <v>10816</v>
      </c>
      <c r="D535" s="159" t="s">
        <v>484</v>
      </c>
      <c r="E535" s="159">
        <v>10</v>
      </c>
      <c r="F535" s="159" t="s">
        <v>5665</v>
      </c>
      <c r="G535" s="159" t="s">
        <v>10817</v>
      </c>
    </row>
    <row r="536" spans="1:7" ht="15.75" customHeight="1">
      <c r="A536" s="159" t="s">
        <v>9275</v>
      </c>
      <c r="B536" s="159" t="s">
        <v>9405</v>
      </c>
      <c r="C536" s="159" t="s">
        <v>9217</v>
      </c>
      <c r="D536" s="159" t="s">
        <v>978</v>
      </c>
      <c r="E536" s="159">
        <v>5</v>
      </c>
      <c r="F536" s="159" t="s">
        <v>5665</v>
      </c>
      <c r="G536" s="159" t="s">
        <v>10818</v>
      </c>
    </row>
    <row r="537" spans="1:7" ht="15.75" customHeight="1">
      <c r="A537" s="159" t="s">
        <v>9275</v>
      </c>
      <c r="B537" s="159" t="s">
        <v>9405</v>
      </c>
      <c r="C537" s="159" t="s">
        <v>10290</v>
      </c>
      <c r="D537" s="159" t="s">
        <v>978</v>
      </c>
      <c r="E537" s="159">
        <v>5</v>
      </c>
      <c r="F537" s="159" t="s">
        <v>5665</v>
      </c>
      <c r="G537" s="159" t="s">
        <v>10507</v>
      </c>
    </row>
    <row r="538" spans="1:7" ht="15.75" customHeight="1">
      <c r="A538" s="159" t="s">
        <v>9275</v>
      </c>
      <c r="B538" s="159" t="s">
        <v>9405</v>
      </c>
      <c r="C538" s="159" t="s">
        <v>10287</v>
      </c>
      <c r="D538" s="159" t="s">
        <v>484</v>
      </c>
      <c r="E538" s="159">
        <v>10</v>
      </c>
      <c r="F538" s="159" t="s">
        <v>5665</v>
      </c>
      <c r="G538" s="159" t="s">
        <v>10237</v>
      </c>
    </row>
    <row r="539" spans="1:7" ht="15.75" customHeight="1">
      <c r="A539" s="159" t="s">
        <v>9275</v>
      </c>
      <c r="B539" s="159" t="s">
        <v>9405</v>
      </c>
      <c r="C539" s="159" t="s">
        <v>10471</v>
      </c>
      <c r="D539" s="159" t="s">
        <v>10334</v>
      </c>
      <c r="E539" s="159">
        <v>16777215</v>
      </c>
      <c r="F539" s="159" t="s">
        <v>5667</v>
      </c>
      <c r="G539" s="159" t="s">
        <v>10475</v>
      </c>
    </row>
    <row r="540" spans="1:7" ht="15.75" customHeight="1">
      <c r="A540" s="159" t="s">
        <v>9275</v>
      </c>
      <c r="B540" s="159" t="s">
        <v>9407</v>
      </c>
      <c r="C540" s="159" t="s">
        <v>10816</v>
      </c>
      <c r="D540" s="159" t="s">
        <v>484</v>
      </c>
      <c r="E540" s="159">
        <v>10</v>
      </c>
      <c r="F540" s="159" t="s">
        <v>5665</v>
      </c>
      <c r="G540" s="159" t="s">
        <v>10817</v>
      </c>
    </row>
    <row r="541" spans="1:7" ht="15.75" customHeight="1">
      <c r="A541" s="159" t="s">
        <v>9275</v>
      </c>
      <c r="B541" s="159" t="s">
        <v>9407</v>
      </c>
      <c r="C541" s="159" t="s">
        <v>9217</v>
      </c>
      <c r="D541" s="159" t="s">
        <v>978</v>
      </c>
      <c r="E541" s="159">
        <v>5</v>
      </c>
      <c r="F541" s="159" t="s">
        <v>5665</v>
      </c>
      <c r="G541" s="159" t="s">
        <v>10818</v>
      </c>
    </row>
    <row r="542" spans="1:7" ht="15.75" customHeight="1">
      <c r="A542" s="159" t="s">
        <v>9275</v>
      </c>
      <c r="B542" s="159" t="s">
        <v>9407</v>
      </c>
      <c r="C542" s="159" t="s">
        <v>10290</v>
      </c>
      <c r="D542" s="159" t="s">
        <v>978</v>
      </c>
      <c r="E542" s="159">
        <v>5</v>
      </c>
      <c r="F542" s="159" t="s">
        <v>5665</v>
      </c>
      <c r="G542" s="159" t="s">
        <v>10507</v>
      </c>
    </row>
    <row r="543" spans="1:7" ht="15.75" customHeight="1">
      <c r="A543" s="159" t="s">
        <v>9275</v>
      </c>
      <c r="B543" s="159" t="s">
        <v>9407</v>
      </c>
      <c r="C543" s="159" t="s">
        <v>10287</v>
      </c>
      <c r="D543" s="159" t="s">
        <v>484</v>
      </c>
      <c r="E543" s="159">
        <v>10</v>
      </c>
      <c r="F543" s="159" t="s">
        <v>5665</v>
      </c>
      <c r="G543" s="159" t="s">
        <v>10237</v>
      </c>
    </row>
    <row r="544" spans="1:7" ht="15.75" customHeight="1">
      <c r="A544" s="159" t="s">
        <v>9275</v>
      </c>
      <c r="B544" s="159" t="s">
        <v>9407</v>
      </c>
      <c r="C544" s="159" t="s">
        <v>10471</v>
      </c>
      <c r="D544" s="159" t="s">
        <v>477</v>
      </c>
      <c r="E544" s="159">
        <v>255</v>
      </c>
      <c r="F544" s="159" t="s">
        <v>5667</v>
      </c>
      <c r="G544" s="159" t="s">
        <v>10475</v>
      </c>
    </row>
    <row r="545" spans="1:7" ht="15.75" customHeight="1">
      <c r="A545" s="159" t="s">
        <v>9275</v>
      </c>
      <c r="B545" s="159" t="s">
        <v>9409</v>
      </c>
      <c r="C545" s="159" t="s">
        <v>10287</v>
      </c>
      <c r="D545" s="159" t="s">
        <v>484</v>
      </c>
      <c r="E545" s="159">
        <v>10</v>
      </c>
      <c r="F545" s="159" t="s">
        <v>5665</v>
      </c>
      <c r="G545" s="159" t="s">
        <v>10237</v>
      </c>
    </row>
    <row r="546" spans="1:7" ht="15.75" customHeight="1">
      <c r="A546" s="159" t="s">
        <v>9275</v>
      </c>
      <c r="B546" s="159" t="s">
        <v>9409</v>
      </c>
      <c r="C546" s="159" t="s">
        <v>10262</v>
      </c>
      <c r="D546" s="159" t="s">
        <v>484</v>
      </c>
      <c r="E546" s="159">
        <v>10</v>
      </c>
      <c r="F546" s="159" t="s">
        <v>5665</v>
      </c>
      <c r="G546" s="159" t="s">
        <v>10263</v>
      </c>
    </row>
    <row r="547" spans="1:7" ht="15.75" customHeight="1">
      <c r="A547" s="159" t="s">
        <v>9275</v>
      </c>
      <c r="B547" s="159" t="s">
        <v>9409</v>
      </c>
      <c r="C547" s="159" t="s">
        <v>1394</v>
      </c>
      <c r="D547" s="159" t="s">
        <v>484</v>
      </c>
      <c r="E547" s="159">
        <v>10</v>
      </c>
      <c r="F547" s="159" t="s">
        <v>5665</v>
      </c>
      <c r="G547" s="159" t="s">
        <v>4828</v>
      </c>
    </row>
    <row r="548" spans="1:7" ht="15.75" customHeight="1">
      <c r="A548" s="159" t="s">
        <v>9275</v>
      </c>
      <c r="B548" s="159" t="s">
        <v>9409</v>
      </c>
      <c r="C548" s="159" t="s">
        <v>3965</v>
      </c>
      <c r="D548" s="159" t="s">
        <v>484</v>
      </c>
      <c r="E548" s="159">
        <v>10</v>
      </c>
      <c r="F548" s="159" t="s">
        <v>5665</v>
      </c>
      <c r="G548" s="159" t="s">
        <v>10462</v>
      </c>
    </row>
    <row r="549" spans="1:7" ht="15.75" customHeight="1">
      <c r="A549" s="159" t="s">
        <v>9275</v>
      </c>
      <c r="B549" s="159" t="s">
        <v>9411</v>
      </c>
      <c r="C549" s="159" t="s">
        <v>10285</v>
      </c>
      <c r="D549" s="159" t="s">
        <v>484</v>
      </c>
      <c r="E549" s="159">
        <v>10</v>
      </c>
      <c r="F549" s="159" t="s">
        <v>5665</v>
      </c>
      <c r="G549" s="159" t="s">
        <v>10286</v>
      </c>
    </row>
    <row r="550" spans="1:7" ht="15.75" customHeight="1">
      <c r="A550" s="159" t="s">
        <v>9275</v>
      </c>
      <c r="B550" s="159" t="s">
        <v>9411</v>
      </c>
      <c r="C550" s="159" t="s">
        <v>10287</v>
      </c>
      <c r="D550" s="159" t="s">
        <v>484</v>
      </c>
      <c r="E550" s="159">
        <v>10</v>
      </c>
      <c r="F550" s="159" t="s">
        <v>5665</v>
      </c>
      <c r="G550" s="159" t="s">
        <v>10237</v>
      </c>
    </row>
    <row r="551" spans="1:7" ht="15.75" customHeight="1">
      <c r="A551" s="159" t="s">
        <v>9275</v>
      </c>
      <c r="B551" s="159" t="s">
        <v>9412</v>
      </c>
      <c r="C551" s="159" t="s">
        <v>10262</v>
      </c>
      <c r="D551" s="159" t="s">
        <v>484</v>
      </c>
      <c r="E551" s="159">
        <v>10</v>
      </c>
      <c r="F551" s="159" t="s">
        <v>5665</v>
      </c>
      <c r="G551" s="159" t="s">
        <v>10263</v>
      </c>
    </row>
    <row r="552" spans="1:7" ht="15.75" customHeight="1">
      <c r="A552" s="159" t="s">
        <v>9275</v>
      </c>
      <c r="B552" s="159" t="s">
        <v>9412</v>
      </c>
      <c r="C552" s="159" t="s">
        <v>1394</v>
      </c>
      <c r="D552" s="159" t="s">
        <v>484</v>
      </c>
      <c r="E552" s="159">
        <v>10</v>
      </c>
      <c r="F552" s="159" t="s">
        <v>5665</v>
      </c>
      <c r="G552" s="159" t="s">
        <v>4828</v>
      </c>
    </row>
    <row r="553" spans="1:7" ht="15.75" customHeight="1">
      <c r="A553" s="159" t="s">
        <v>9275</v>
      </c>
      <c r="B553" s="159" t="s">
        <v>9412</v>
      </c>
      <c r="C553" s="159" t="s">
        <v>3965</v>
      </c>
      <c r="D553" s="159" t="s">
        <v>484</v>
      </c>
      <c r="E553" s="159">
        <v>10</v>
      </c>
      <c r="F553" s="159" t="s">
        <v>5667</v>
      </c>
      <c r="G553" s="159" t="s">
        <v>10462</v>
      </c>
    </row>
    <row r="554" spans="1:7" ht="15.75" customHeight="1">
      <c r="A554" s="159" t="s">
        <v>9275</v>
      </c>
      <c r="B554" s="159" t="s">
        <v>9412</v>
      </c>
      <c r="C554" s="159" t="s">
        <v>10819</v>
      </c>
      <c r="D554" s="159" t="s">
        <v>978</v>
      </c>
      <c r="E554" s="159">
        <v>5</v>
      </c>
      <c r="F554" s="159" t="s">
        <v>5665</v>
      </c>
      <c r="G554" s="159" t="s">
        <v>10820</v>
      </c>
    </row>
    <row r="555" spans="1:7" ht="15.75" customHeight="1">
      <c r="A555" s="159" t="s">
        <v>9275</v>
      </c>
      <c r="B555" s="159" t="s">
        <v>9412</v>
      </c>
      <c r="C555" s="159" t="s">
        <v>10290</v>
      </c>
      <c r="D555" s="159" t="s">
        <v>978</v>
      </c>
      <c r="E555" s="159">
        <v>5</v>
      </c>
      <c r="F555" s="159" t="s">
        <v>5665</v>
      </c>
      <c r="G555" s="159" t="s">
        <v>10507</v>
      </c>
    </row>
    <row r="556" spans="1:7" ht="15.75" customHeight="1">
      <c r="A556" s="159" t="s">
        <v>9275</v>
      </c>
      <c r="B556" s="159" t="s">
        <v>9412</v>
      </c>
      <c r="C556" s="159" t="s">
        <v>10821</v>
      </c>
      <c r="D556" s="159" t="s">
        <v>978</v>
      </c>
      <c r="E556" s="159">
        <v>5</v>
      </c>
      <c r="F556" s="159" t="s">
        <v>5665</v>
      </c>
      <c r="G556" s="159" t="s">
        <v>10822</v>
      </c>
    </row>
    <row r="557" spans="1:7" ht="15.75" customHeight="1">
      <c r="A557" s="159" t="s">
        <v>9275</v>
      </c>
      <c r="B557" s="159" t="s">
        <v>9414</v>
      </c>
      <c r="C557" s="159" t="s">
        <v>10262</v>
      </c>
      <c r="D557" s="159" t="s">
        <v>484</v>
      </c>
      <c r="E557" s="159">
        <v>10</v>
      </c>
      <c r="F557" s="159" t="s">
        <v>5665</v>
      </c>
      <c r="G557" s="159" t="s">
        <v>10263</v>
      </c>
    </row>
    <row r="558" spans="1:7" ht="15.75" customHeight="1">
      <c r="A558" s="159" t="s">
        <v>9275</v>
      </c>
      <c r="B558" s="159" t="s">
        <v>9414</v>
      </c>
      <c r="C558" s="159" t="s">
        <v>1394</v>
      </c>
      <c r="D558" s="159" t="s">
        <v>484</v>
      </c>
      <c r="E558" s="159">
        <v>10</v>
      </c>
      <c r="F558" s="159" t="s">
        <v>5665</v>
      </c>
      <c r="G558" s="159" t="s">
        <v>4828</v>
      </c>
    </row>
    <row r="559" spans="1:7" ht="15.75" customHeight="1">
      <c r="A559" s="159" t="s">
        <v>9275</v>
      </c>
      <c r="B559" s="159" t="s">
        <v>9414</v>
      </c>
      <c r="C559" s="159" t="s">
        <v>3965</v>
      </c>
      <c r="D559" s="159" t="s">
        <v>484</v>
      </c>
      <c r="E559" s="159">
        <v>10</v>
      </c>
      <c r="F559" s="159" t="s">
        <v>5667</v>
      </c>
      <c r="G559" s="159" t="s">
        <v>10462</v>
      </c>
    </row>
    <row r="560" spans="1:7" ht="15.75" customHeight="1">
      <c r="A560" s="159" t="s">
        <v>9275</v>
      </c>
      <c r="B560" s="159" t="s">
        <v>9414</v>
      </c>
      <c r="C560" s="159" t="s">
        <v>10819</v>
      </c>
      <c r="D560" s="159" t="s">
        <v>978</v>
      </c>
      <c r="E560" s="159">
        <v>5</v>
      </c>
      <c r="F560" s="159" t="s">
        <v>5665</v>
      </c>
      <c r="G560" s="159" t="s">
        <v>10820</v>
      </c>
    </row>
    <row r="561" spans="1:7" ht="15.75" customHeight="1">
      <c r="A561" s="159" t="s">
        <v>9275</v>
      </c>
      <c r="B561" s="159" t="s">
        <v>9414</v>
      </c>
      <c r="C561" s="159" t="s">
        <v>10290</v>
      </c>
      <c r="D561" s="159" t="s">
        <v>978</v>
      </c>
      <c r="E561" s="159">
        <v>5</v>
      </c>
      <c r="F561" s="159" t="s">
        <v>5665</v>
      </c>
      <c r="G561" s="159" t="s">
        <v>10507</v>
      </c>
    </row>
    <row r="562" spans="1:7" ht="15.75" customHeight="1">
      <c r="A562" s="159" t="s">
        <v>9275</v>
      </c>
      <c r="B562" s="159" t="s">
        <v>9414</v>
      </c>
      <c r="C562" s="159" t="s">
        <v>10821</v>
      </c>
      <c r="D562" s="159" t="s">
        <v>978</v>
      </c>
      <c r="E562" s="159">
        <v>5</v>
      </c>
      <c r="F562" s="159" t="s">
        <v>5665</v>
      </c>
      <c r="G562" s="159" t="s">
        <v>10822</v>
      </c>
    </row>
    <row r="563" spans="1:7" ht="15.75" customHeight="1">
      <c r="A563" s="159" t="s">
        <v>9275</v>
      </c>
      <c r="B563" s="159" t="s">
        <v>9415</v>
      </c>
      <c r="C563" s="159" t="s">
        <v>10262</v>
      </c>
      <c r="D563" s="159" t="s">
        <v>484</v>
      </c>
      <c r="E563" s="159">
        <v>10</v>
      </c>
      <c r="F563" s="159" t="s">
        <v>5665</v>
      </c>
      <c r="G563" s="159" t="s">
        <v>10823</v>
      </c>
    </row>
    <row r="564" spans="1:7" ht="15.75" customHeight="1">
      <c r="A564" s="159" t="s">
        <v>9275</v>
      </c>
      <c r="B564" s="159" t="s">
        <v>9415</v>
      </c>
      <c r="C564" s="159" t="s">
        <v>1394</v>
      </c>
      <c r="D564" s="159" t="s">
        <v>484</v>
      </c>
      <c r="E564" s="159">
        <v>10</v>
      </c>
      <c r="F564" s="159" t="s">
        <v>5665</v>
      </c>
      <c r="G564" s="159" t="s">
        <v>4422</v>
      </c>
    </row>
    <row r="565" spans="1:7" ht="15.75" customHeight="1">
      <c r="A565" s="159" t="s">
        <v>9275</v>
      </c>
      <c r="B565" s="159" t="s">
        <v>9415</v>
      </c>
      <c r="C565" s="159" t="s">
        <v>3965</v>
      </c>
      <c r="D565" s="159" t="s">
        <v>484</v>
      </c>
      <c r="E565" s="159">
        <v>10</v>
      </c>
      <c r="F565" s="159" t="s">
        <v>5667</v>
      </c>
      <c r="G565" s="159" t="s">
        <v>10462</v>
      </c>
    </row>
    <row r="566" spans="1:7" ht="15.75" customHeight="1">
      <c r="A566" s="159" t="s">
        <v>9275</v>
      </c>
      <c r="B566" s="159" t="s">
        <v>9415</v>
      </c>
      <c r="C566" s="159" t="s">
        <v>10819</v>
      </c>
      <c r="D566" s="159" t="s">
        <v>978</v>
      </c>
      <c r="E566" s="159">
        <v>5</v>
      </c>
      <c r="F566" s="159" t="s">
        <v>5665</v>
      </c>
      <c r="G566" s="159" t="s">
        <v>10820</v>
      </c>
    </row>
    <row r="567" spans="1:7" ht="15.75" customHeight="1">
      <c r="A567" s="159" t="s">
        <v>9275</v>
      </c>
      <c r="B567" s="159" t="s">
        <v>9415</v>
      </c>
      <c r="C567" s="159" t="s">
        <v>10290</v>
      </c>
      <c r="D567" s="159" t="s">
        <v>978</v>
      </c>
      <c r="E567" s="159">
        <v>5</v>
      </c>
      <c r="F567" s="159" t="s">
        <v>5665</v>
      </c>
      <c r="G567" s="159" t="s">
        <v>10689</v>
      </c>
    </row>
    <row r="568" spans="1:7" ht="15.75" customHeight="1">
      <c r="A568" s="159" t="s">
        <v>9275</v>
      </c>
      <c r="B568" s="159" t="s">
        <v>9415</v>
      </c>
      <c r="C568" s="159" t="s">
        <v>10821</v>
      </c>
      <c r="D568" s="159" t="s">
        <v>978</v>
      </c>
      <c r="E568" s="159">
        <v>5</v>
      </c>
      <c r="F568" s="159" t="s">
        <v>5665</v>
      </c>
      <c r="G568" s="159" t="s">
        <v>10822</v>
      </c>
    </row>
    <row r="569" spans="1:7" ht="15.75" customHeight="1">
      <c r="A569" s="159" t="s">
        <v>9275</v>
      </c>
      <c r="B569" s="159" t="s">
        <v>9417</v>
      </c>
      <c r="C569" s="159" t="s">
        <v>10262</v>
      </c>
      <c r="D569" s="159" t="s">
        <v>484</v>
      </c>
      <c r="E569" s="159">
        <v>10</v>
      </c>
      <c r="F569" s="159" t="s">
        <v>5665</v>
      </c>
      <c r="G569" s="159" t="s">
        <v>10823</v>
      </c>
    </row>
    <row r="570" spans="1:7" ht="15.75" customHeight="1">
      <c r="A570" s="159" t="s">
        <v>9275</v>
      </c>
      <c r="B570" s="159" t="s">
        <v>9417</v>
      </c>
      <c r="C570" s="159" t="s">
        <v>1394</v>
      </c>
      <c r="D570" s="159" t="s">
        <v>484</v>
      </c>
      <c r="E570" s="159">
        <v>10</v>
      </c>
      <c r="F570" s="159" t="s">
        <v>5665</v>
      </c>
      <c r="G570" s="159" t="s">
        <v>4422</v>
      </c>
    </row>
    <row r="571" spans="1:7" ht="15.75" customHeight="1">
      <c r="A571" s="159" t="s">
        <v>9275</v>
      </c>
      <c r="B571" s="159" t="s">
        <v>9417</v>
      </c>
      <c r="C571" s="159" t="s">
        <v>3965</v>
      </c>
      <c r="D571" s="159" t="s">
        <v>484</v>
      </c>
      <c r="E571" s="159">
        <v>10</v>
      </c>
      <c r="F571" s="159" t="s">
        <v>5667</v>
      </c>
      <c r="G571" s="159" t="s">
        <v>10462</v>
      </c>
    </row>
    <row r="572" spans="1:7" ht="15.75" customHeight="1">
      <c r="A572" s="159" t="s">
        <v>9275</v>
      </c>
      <c r="B572" s="159" t="s">
        <v>9417</v>
      </c>
      <c r="C572" s="159" t="s">
        <v>10819</v>
      </c>
      <c r="D572" s="159" t="s">
        <v>978</v>
      </c>
      <c r="E572" s="159">
        <v>5</v>
      </c>
      <c r="F572" s="159" t="s">
        <v>5665</v>
      </c>
      <c r="G572" s="159" t="s">
        <v>10820</v>
      </c>
    </row>
    <row r="573" spans="1:7" ht="15.75" customHeight="1">
      <c r="A573" s="159" t="s">
        <v>9275</v>
      </c>
      <c r="B573" s="159" t="s">
        <v>9417</v>
      </c>
      <c r="C573" s="159" t="s">
        <v>10290</v>
      </c>
      <c r="D573" s="159" t="s">
        <v>978</v>
      </c>
      <c r="E573" s="159">
        <v>5</v>
      </c>
      <c r="F573" s="159" t="s">
        <v>5665</v>
      </c>
      <c r="G573" s="159" t="s">
        <v>10689</v>
      </c>
    </row>
    <row r="574" spans="1:7" ht="15.75" customHeight="1">
      <c r="A574" s="159" t="s">
        <v>9275</v>
      </c>
      <c r="B574" s="159" t="s">
        <v>9417</v>
      </c>
      <c r="C574" s="159" t="s">
        <v>10821</v>
      </c>
      <c r="D574" s="159" t="s">
        <v>978</v>
      </c>
      <c r="E574" s="159">
        <v>5</v>
      </c>
      <c r="F574" s="159" t="s">
        <v>5665</v>
      </c>
      <c r="G574" s="159" t="s">
        <v>10822</v>
      </c>
    </row>
    <row r="575" spans="1:7" ht="15.75" customHeight="1">
      <c r="A575" s="159" t="s">
        <v>9275</v>
      </c>
      <c r="B575" s="159" t="s">
        <v>9419</v>
      </c>
      <c r="C575" s="159" t="s">
        <v>10262</v>
      </c>
      <c r="D575" s="159" t="s">
        <v>484</v>
      </c>
      <c r="E575" s="159">
        <v>10</v>
      </c>
      <c r="F575" s="159" t="s">
        <v>5665</v>
      </c>
      <c r="G575" s="159" t="s">
        <v>10823</v>
      </c>
    </row>
    <row r="576" spans="1:7" ht="15.75" customHeight="1">
      <c r="A576" s="159" t="s">
        <v>9275</v>
      </c>
      <c r="B576" s="159" t="s">
        <v>9419</v>
      </c>
      <c r="C576" s="159" t="s">
        <v>1394</v>
      </c>
      <c r="D576" s="159" t="s">
        <v>484</v>
      </c>
      <c r="E576" s="159">
        <v>10</v>
      </c>
      <c r="F576" s="159" t="s">
        <v>5665</v>
      </c>
      <c r="G576" s="159" t="s">
        <v>4422</v>
      </c>
    </row>
    <row r="577" spans="1:7" ht="15.75" customHeight="1">
      <c r="A577" s="159" t="s">
        <v>9275</v>
      </c>
      <c r="B577" s="159" t="s">
        <v>9419</v>
      </c>
      <c r="C577" s="159" t="s">
        <v>3965</v>
      </c>
      <c r="D577" s="159" t="s">
        <v>484</v>
      </c>
      <c r="E577" s="159">
        <v>10</v>
      </c>
      <c r="F577" s="159" t="s">
        <v>5667</v>
      </c>
      <c r="G577" s="159" t="s">
        <v>10462</v>
      </c>
    </row>
    <row r="578" spans="1:7" ht="15.75" customHeight="1">
      <c r="A578" s="159" t="s">
        <v>9275</v>
      </c>
      <c r="B578" s="159" t="s">
        <v>9419</v>
      </c>
      <c r="C578" s="159" t="s">
        <v>10819</v>
      </c>
      <c r="D578" s="159" t="s">
        <v>978</v>
      </c>
      <c r="E578" s="159">
        <v>5</v>
      </c>
      <c r="F578" s="159" t="s">
        <v>5665</v>
      </c>
      <c r="G578" s="159" t="s">
        <v>10820</v>
      </c>
    </row>
    <row r="579" spans="1:7" ht="15.75" customHeight="1">
      <c r="A579" s="159" t="s">
        <v>9275</v>
      </c>
      <c r="B579" s="159" t="s">
        <v>9419</v>
      </c>
      <c r="C579" s="159" t="s">
        <v>10290</v>
      </c>
      <c r="D579" s="159" t="s">
        <v>978</v>
      </c>
      <c r="E579" s="159">
        <v>5</v>
      </c>
      <c r="F579" s="159" t="s">
        <v>5665</v>
      </c>
      <c r="G579" s="159" t="s">
        <v>10689</v>
      </c>
    </row>
    <row r="580" spans="1:7" ht="15.75" customHeight="1">
      <c r="A580" s="159" t="s">
        <v>9275</v>
      </c>
      <c r="B580" s="159" t="s">
        <v>9419</v>
      </c>
      <c r="C580" s="159" t="s">
        <v>10821</v>
      </c>
      <c r="D580" s="159" t="s">
        <v>978</v>
      </c>
      <c r="E580" s="159">
        <v>5</v>
      </c>
      <c r="F580" s="159" t="s">
        <v>5665</v>
      </c>
      <c r="G580" s="159" t="s">
        <v>10822</v>
      </c>
    </row>
    <row r="581" spans="1:7" ht="15.75" customHeight="1">
      <c r="A581" s="159" t="s">
        <v>9275</v>
      </c>
      <c r="B581" s="159" t="s">
        <v>9421</v>
      </c>
      <c r="C581" s="159" t="s">
        <v>10262</v>
      </c>
      <c r="D581" s="159" t="s">
        <v>484</v>
      </c>
      <c r="E581" s="159">
        <v>10</v>
      </c>
      <c r="F581" s="159" t="s">
        <v>5665</v>
      </c>
      <c r="G581" s="159" t="s">
        <v>10823</v>
      </c>
    </row>
    <row r="582" spans="1:7" ht="15.75" customHeight="1">
      <c r="A582" s="159" t="s">
        <v>9275</v>
      </c>
      <c r="B582" s="159" t="s">
        <v>9421</v>
      </c>
      <c r="C582" s="159" t="s">
        <v>1394</v>
      </c>
      <c r="D582" s="159" t="s">
        <v>484</v>
      </c>
      <c r="E582" s="159">
        <v>10</v>
      </c>
      <c r="F582" s="159" t="s">
        <v>5665</v>
      </c>
      <c r="G582" s="159" t="s">
        <v>4422</v>
      </c>
    </row>
    <row r="583" spans="1:7" ht="15.75" customHeight="1">
      <c r="A583" s="159" t="s">
        <v>9275</v>
      </c>
      <c r="B583" s="159" t="s">
        <v>9421</v>
      </c>
      <c r="C583" s="159" t="s">
        <v>3965</v>
      </c>
      <c r="D583" s="159" t="s">
        <v>484</v>
      </c>
      <c r="E583" s="159">
        <v>10</v>
      </c>
      <c r="F583" s="159" t="s">
        <v>5667</v>
      </c>
      <c r="G583" s="159" t="s">
        <v>10462</v>
      </c>
    </row>
    <row r="584" spans="1:7" ht="15.75" customHeight="1">
      <c r="A584" s="159" t="s">
        <v>9275</v>
      </c>
      <c r="B584" s="159" t="s">
        <v>9421</v>
      </c>
      <c r="C584" s="159" t="s">
        <v>10819</v>
      </c>
      <c r="D584" s="159" t="s">
        <v>978</v>
      </c>
      <c r="E584" s="159">
        <v>5</v>
      </c>
      <c r="F584" s="159" t="s">
        <v>5665</v>
      </c>
      <c r="G584" s="159" t="s">
        <v>10820</v>
      </c>
    </row>
    <row r="585" spans="1:7" ht="15.75" customHeight="1">
      <c r="A585" s="159" t="s">
        <v>9275</v>
      </c>
      <c r="B585" s="159" t="s">
        <v>9421</v>
      </c>
      <c r="C585" s="159" t="s">
        <v>10290</v>
      </c>
      <c r="D585" s="159" t="s">
        <v>978</v>
      </c>
      <c r="E585" s="159">
        <v>5</v>
      </c>
      <c r="F585" s="159" t="s">
        <v>5665</v>
      </c>
      <c r="G585" s="159" t="s">
        <v>10689</v>
      </c>
    </row>
    <row r="586" spans="1:7" ht="15.75" customHeight="1">
      <c r="A586" s="159" t="s">
        <v>9275</v>
      </c>
      <c r="B586" s="159" t="s">
        <v>9421</v>
      </c>
      <c r="C586" s="159" t="s">
        <v>10821</v>
      </c>
      <c r="D586" s="159" t="s">
        <v>978</v>
      </c>
      <c r="E586" s="159">
        <v>5</v>
      </c>
      <c r="F586" s="159" t="s">
        <v>5665</v>
      </c>
      <c r="G586" s="159" t="s">
        <v>10822</v>
      </c>
    </row>
    <row r="587" spans="1:7" ht="15.75" customHeight="1">
      <c r="A587" s="159" t="s">
        <v>9275</v>
      </c>
      <c r="B587" s="159" t="s">
        <v>9423</v>
      </c>
      <c r="C587" s="159" t="s">
        <v>10262</v>
      </c>
      <c r="D587" s="159" t="s">
        <v>484</v>
      </c>
      <c r="E587" s="159">
        <v>10</v>
      </c>
      <c r="F587" s="159" t="s">
        <v>5665</v>
      </c>
      <c r="G587" s="159" t="s">
        <v>10263</v>
      </c>
    </row>
    <row r="588" spans="1:7" ht="15.75" customHeight="1">
      <c r="A588" s="159" t="s">
        <v>9275</v>
      </c>
      <c r="B588" s="159" t="s">
        <v>9423</v>
      </c>
      <c r="C588" s="159" t="s">
        <v>1394</v>
      </c>
      <c r="D588" s="159" t="s">
        <v>484</v>
      </c>
      <c r="E588" s="159">
        <v>10</v>
      </c>
      <c r="F588" s="159" t="s">
        <v>5665</v>
      </c>
      <c r="G588" s="159" t="s">
        <v>4828</v>
      </c>
    </row>
    <row r="589" spans="1:7" ht="15.75" customHeight="1">
      <c r="A589" s="159" t="s">
        <v>9275</v>
      </c>
      <c r="B589" s="159" t="s">
        <v>9423</v>
      </c>
      <c r="C589" s="159" t="s">
        <v>3965</v>
      </c>
      <c r="D589" s="159" t="s">
        <v>484</v>
      </c>
      <c r="E589" s="159">
        <v>10</v>
      </c>
      <c r="F589" s="159" t="s">
        <v>5665</v>
      </c>
      <c r="G589" s="159" t="s">
        <v>10462</v>
      </c>
    </row>
    <row r="590" spans="1:7" ht="15.75" customHeight="1">
      <c r="A590" s="159" t="s">
        <v>9275</v>
      </c>
      <c r="B590" s="159" t="s">
        <v>9423</v>
      </c>
      <c r="C590" s="159" t="s">
        <v>10819</v>
      </c>
      <c r="D590" s="159" t="s">
        <v>978</v>
      </c>
      <c r="E590" s="159">
        <v>5</v>
      </c>
      <c r="F590" s="159" t="s">
        <v>5665</v>
      </c>
      <c r="G590" s="159" t="s">
        <v>10820</v>
      </c>
    </row>
    <row r="591" spans="1:7" ht="15.75" customHeight="1">
      <c r="A591" s="159" t="s">
        <v>9275</v>
      </c>
      <c r="B591" s="159" t="s">
        <v>9423</v>
      </c>
      <c r="C591" s="159" t="s">
        <v>10290</v>
      </c>
      <c r="D591" s="159" t="s">
        <v>978</v>
      </c>
      <c r="E591" s="159">
        <v>5</v>
      </c>
      <c r="F591" s="159" t="s">
        <v>5665</v>
      </c>
      <c r="G591" s="159" t="s">
        <v>10507</v>
      </c>
    </row>
    <row r="592" spans="1:7" ht="15.75" customHeight="1">
      <c r="A592" s="159" t="s">
        <v>9275</v>
      </c>
      <c r="B592" s="159" t="s">
        <v>9423</v>
      </c>
      <c r="C592" s="159" t="s">
        <v>10821</v>
      </c>
      <c r="D592" s="159" t="s">
        <v>978</v>
      </c>
      <c r="E592" s="159">
        <v>5</v>
      </c>
      <c r="F592" s="159" t="s">
        <v>5665</v>
      </c>
      <c r="G592" s="159" t="s">
        <v>10822</v>
      </c>
    </row>
    <row r="593" spans="1:7" ht="15.75" customHeight="1">
      <c r="A593" s="159" t="s">
        <v>9275</v>
      </c>
      <c r="B593" s="159" t="s">
        <v>9425</v>
      </c>
      <c r="C593" s="159" t="s">
        <v>10824</v>
      </c>
      <c r="D593" s="159" t="s">
        <v>484</v>
      </c>
      <c r="E593" s="159">
        <v>10</v>
      </c>
      <c r="F593" s="159" t="s">
        <v>5665</v>
      </c>
      <c r="G593" s="159" t="s">
        <v>10825</v>
      </c>
    </row>
    <row r="594" spans="1:7" ht="15.75" customHeight="1">
      <c r="A594" s="159" t="s">
        <v>9275</v>
      </c>
      <c r="B594" s="159" t="s">
        <v>9425</v>
      </c>
      <c r="C594" s="159" t="s">
        <v>10826</v>
      </c>
      <c r="D594" s="159" t="s">
        <v>484</v>
      </c>
      <c r="E594" s="159">
        <v>10</v>
      </c>
      <c r="F594" s="159" t="s">
        <v>5665</v>
      </c>
      <c r="G594" s="159" t="s">
        <v>10827</v>
      </c>
    </row>
    <row r="595" spans="1:7" ht="15.75" customHeight="1">
      <c r="A595" s="159" t="s">
        <v>9275</v>
      </c>
      <c r="B595" s="159" t="s">
        <v>9425</v>
      </c>
      <c r="C595" s="159" t="s">
        <v>3940</v>
      </c>
      <c r="D595" s="159" t="s">
        <v>484</v>
      </c>
      <c r="E595" s="159">
        <v>10</v>
      </c>
      <c r="F595" s="159" t="s">
        <v>5667</v>
      </c>
      <c r="G595" s="159" t="s">
        <v>10747</v>
      </c>
    </row>
    <row r="596" spans="1:7" ht="15.75" customHeight="1">
      <c r="A596" s="159" t="s">
        <v>9275</v>
      </c>
      <c r="B596" s="159" t="s">
        <v>9425</v>
      </c>
      <c r="C596" s="159" t="s">
        <v>1394</v>
      </c>
      <c r="D596" s="159" t="s">
        <v>484</v>
      </c>
      <c r="E596" s="159">
        <v>10</v>
      </c>
      <c r="F596" s="159" t="s">
        <v>5665</v>
      </c>
      <c r="G596" s="159" t="s">
        <v>4828</v>
      </c>
    </row>
    <row r="597" spans="1:7" ht="15.75" customHeight="1">
      <c r="A597" s="159" t="s">
        <v>9275</v>
      </c>
      <c r="B597" s="159" t="s">
        <v>9425</v>
      </c>
      <c r="C597" s="159" t="s">
        <v>10290</v>
      </c>
      <c r="D597" s="159" t="s">
        <v>978</v>
      </c>
      <c r="E597" s="159">
        <v>5</v>
      </c>
      <c r="F597" s="159" t="s">
        <v>5667</v>
      </c>
      <c r="G597" s="159" t="s">
        <v>10507</v>
      </c>
    </row>
    <row r="598" spans="1:7" ht="15.75" customHeight="1">
      <c r="A598" s="159" t="s">
        <v>9275</v>
      </c>
      <c r="B598" s="159" t="s">
        <v>9425</v>
      </c>
      <c r="C598" s="159" t="s">
        <v>10828</v>
      </c>
      <c r="D598" s="159" t="s">
        <v>484</v>
      </c>
      <c r="E598" s="159">
        <v>10</v>
      </c>
      <c r="F598" s="159" t="s">
        <v>5667</v>
      </c>
      <c r="G598" s="159" t="s">
        <v>10829</v>
      </c>
    </row>
    <row r="599" spans="1:7" ht="15.75" customHeight="1">
      <c r="A599" s="159" t="s">
        <v>9275</v>
      </c>
      <c r="B599" s="159" t="s">
        <v>9427</v>
      </c>
      <c r="C599" s="159" t="s">
        <v>10828</v>
      </c>
      <c r="D599" s="159" t="s">
        <v>484</v>
      </c>
      <c r="E599" s="159">
        <v>10</v>
      </c>
      <c r="F599" s="159" t="s">
        <v>5665</v>
      </c>
      <c r="G599" s="159" t="s">
        <v>10830</v>
      </c>
    </row>
    <row r="600" spans="1:7" ht="15.75" customHeight="1">
      <c r="A600" s="159" t="s">
        <v>9275</v>
      </c>
      <c r="B600" s="159" t="s">
        <v>9427</v>
      </c>
      <c r="C600" s="159" t="s">
        <v>10831</v>
      </c>
      <c r="D600" s="159" t="s">
        <v>477</v>
      </c>
      <c r="E600" s="159">
        <v>32</v>
      </c>
      <c r="F600" s="159" t="s">
        <v>5667</v>
      </c>
      <c r="G600" s="159" t="s">
        <v>10832</v>
      </c>
    </row>
    <row r="601" spans="1:7" ht="15.75" customHeight="1">
      <c r="A601" s="159" t="s">
        <v>9275</v>
      </c>
      <c r="B601" s="159" t="s">
        <v>9427</v>
      </c>
      <c r="C601" s="159" t="s">
        <v>3940</v>
      </c>
      <c r="D601" s="159" t="s">
        <v>484</v>
      </c>
      <c r="E601" s="159">
        <v>10</v>
      </c>
      <c r="F601" s="159" t="s">
        <v>5667</v>
      </c>
      <c r="G601" s="159" t="s">
        <v>10747</v>
      </c>
    </row>
    <row r="602" spans="1:7" ht="15.75" customHeight="1">
      <c r="A602" s="159" t="s">
        <v>9275</v>
      </c>
      <c r="B602" s="159" t="s">
        <v>9429</v>
      </c>
      <c r="C602" s="159" t="s">
        <v>9217</v>
      </c>
      <c r="D602" s="159" t="s">
        <v>978</v>
      </c>
      <c r="E602" s="159">
        <v>5</v>
      </c>
      <c r="F602" s="159" t="s">
        <v>5665</v>
      </c>
      <c r="G602" s="159" t="s">
        <v>10818</v>
      </c>
    </row>
    <row r="603" spans="1:7" ht="15.75" customHeight="1">
      <c r="A603" s="159" t="s">
        <v>9275</v>
      </c>
      <c r="B603" s="159" t="s">
        <v>9429</v>
      </c>
      <c r="C603" s="159" t="s">
        <v>10833</v>
      </c>
      <c r="D603" s="159" t="s">
        <v>477</v>
      </c>
      <c r="E603" s="159">
        <v>255</v>
      </c>
      <c r="F603" s="159" t="s">
        <v>5667</v>
      </c>
      <c r="G603" s="159" t="s">
        <v>10834</v>
      </c>
    </row>
    <row r="604" spans="1:7" ht="15.75" customHeight="1">
      <c r="A604" s="159" t="s">
        <v>9275</v>
      </c>
      <c r="B604" s="159" t="s">
        <v>9429</v>
      </c>
      <c r="C604" s="159" t="s">
        <v>10835</v>
      </c>
      <c r="D604" s="159" t="s">
        <v>978</v>
      </c>
      <c r="E604" s="159">
        <v>5</v>
      </c>
      <c r="F604" s="159" t="s">
        <v>5665</v>
      </c>
      <c r="G604" s="159" t="s">
        <v>10836</v>
      </c>
    </row>
    <row r="605" spans="1:7" ht="15.75" customHeight="1">
      <c r="A605" s="159" t="s">
        <v>9275</v>
      </c>
      <c r="B605" s="159" t="s">
        <v>9429</v>
      </c>
      <c r="C605" s="159" t="s">
        <v>10837</v>
      </c>
      <c r="D605" s="159" t="s">
        <v>978</v>
      </c>
      <c r="E605" s="159">
        <v>5</v>
      </c>
      <c r="F605" s="159" t="s">
        <v>5665</v>
      </c>
      <c r="G605" s="159" t="s">
        <v>10838</v>
      </c>
    </row>
    <row r="606" spans="1:7" ht="15.75" customHeight="1">
      <c r="A606" s="159" t="s">
        <v>9275</v>
      </c>
      <c r="B606" s="159" t="s">
        <v>9429</v>
      </c>
      <c r="C606" s="159" t="s">
        <v>10839</v>
      </c>
      <c r="D606" s="159" t="s">
        <v>978</v>
      </c>
      <c r="E606" s="159">
        <v>5</v>
      </c>
      <c r="F606" s="159" t="s">
        <v>5665</v>
      </c>
      <c r="G606" s="159" t="s">
        <v>10840</v>
      </c>
    </row>
    <row r="607" spans="1:7" ht="15.75" customHeight="1">
      <c r="A607" s="159" t="s">
        <v>9275</v>
      </c>
      <c r="B607" s="159" t="s">
        <v>9429</v>
      </c>
      <c r="C607" s="159" t="s">
        <v>10841</v>
      </c>
      <c r="D607" s="159" t="s">
        <v>978</v>
      </c>
      <c r="E607" s="159">
        <v>5</v>
      </c>
      <c r="F607" s="159" t="s">
        <v>5665</v>
      </c>
      <c r="G607" s="159" t="s">
        <v>10842</v>
      </c>
    </row>
    <row r="608" spans="1:7" ht="15.75" customHeight="1">
      <c r="A608" s="159" t="s">
        <v>9275</v>
      </c>
      <c r="B608" s="159" t="s">
        <v>9429</v>
      </c>
      <c r="C608" s="159" t="s">
        <v>10843</v>
      </c>
      <c r="D608" s="159" t="s">
        <v>978</v>
      </c>
      <c r="E608" s="159">
        <v>5</v>
      </c>
      <c r="F608" s="159" t="s">
        <v>5665</v>
      </c>
      <c r="G608" s="159" t="s">
        <v>10844</v>
      </c>
    </row>
    <row r="609" spans="1:7" ht="15.75" customHeight="1">
      <c r="A609" s="159" t="s">
        <v>9275</v>
      </c>
      <c r="B609" s="159" t="s">
        <v>9429</v>
      </c>
      <c r="C609" s="159" t="s">
        <v>10845</v>
      </c>
      <c r="D609" s="159" t="s">
        <v>978</v>
      </c>
      <c r="E609" s="159">
        <v>5</v>
      </c>
      <c r="F609" s="159" t="s">
        <v>5665</v>
      </c>
      <c r="G609" s="159" t="s">
        <v>10846</v>
      </c>
    </row>
    <row r="610" spans="1:7" ht="15.75" customHeight="1">
      <c r="A610" s="159" t="s">
        <v>9275</v>
      </c>
      <c r="B610" s="159" t="s">
        <v>9429</v>
      </c>
      <c r="C610" s="159" t="s">
        <v>10847</v>
      </c>
      <c r="D610" s="159" t="s">
        <v>978</v>
      </c>
      <c r="E610" s="159">
        <v>5</v>
      </c>
      <c r="F610" s="159" t="s">
        <v>5665</v>
      </c>
      <c r="G610" s="159" t="s">
        <v>10848</v>
      </c>
    </row>
    <row r="611" spans="1:7" ht="15.75" customHeight="1">
      <c r="A611" s="159" t="s">
        <v>9275</v>
      </c>
      <c r="B611" s="159" t="s">
        <v>9429</v>
      </c>
      <c r="C611" s="159" t="s">
        <v>10849</v>
      </c>
      <c r="D611" s="159" t="s">
        <v>978</v>
      </c>
      <c r="E611" s="159">
        <v>5</v>
      </c>
      <c r="F611" s="159" t="s">
        <v>5665</v>
      </c>
      <c r="G611" s="159" t="s">
        <v>10850</v>
      </c>
    </row>
    <row r="612" spans="1:7" ht="15.75" customHeight="1">
      <c r="A612" s="159" t="s">
        <v>9275</v>
      </c>
      <c r="B612" s="159" t="s">
        <v>9429</v>
      </c>
      <c r="C612" s="159" t="s">
        <v>10851</v>
      </c>
      <c r="D612" s="159" t="s">
        <v>978</v>
      </c>
      <c r="E612" s="159">
        <v>5</v>
      </c>
      <c r="F612" s="159" t="s">
        <v>5665</v>
      </c>
      <c r="G612" s="159" t="s">
        <v>10852</v>
      </c>
    </row>
    <row r="613" spans="1:7" ht="15.75" customHeight="1">
      <c r="A613" s="159" t="s">
        <v>9275</v>
      </c>
      <c r="B613" s="159" t="s">
        <v>9429</v>
      </c>
      <c r="C613" s="159" t="s">
        <v>10853</v>
      </c>
      <c r="D613" s="159" t="s">
        <v>978</v>
      </c>
      <c r="E613" s="159">
        <v>5</v>
      </c>
      <c r="F613" s="159" t="s">
        <v>5665</v>
      </c>
      <c r="G613" s="159" t="s">
        <v>10854</v>
      </c>
    </row>
    <row r="614" spans="1:7" ht="15.75" customHeight="1">
      <c r="A614" s="159" t="s">
        <v>9275</v>
      </c>
      <c r="B614" s="159" t="s">
        <v>9429</v>
      </c>
      <c r="C614" s="159" t="s">
        <v>10855</v>
      </c>
      <c r="D614" s="159" t="s">
        <v>978</v>
      </c>
      <c r="E614" s="159">
        <v>5</v>
      </c>
      <c r="F614" s="159" t="s">
        <v>5665</v>
      </c>
      <c r="G614" s="159" t="s">
        <v>10856</v>
      </c>
    </row>
    <row r="615" spans="1:7" ht="15.75" customHeight="1">
      <c r="A615" s="159" t="s">
        <v>9275</v>
      </c>
      <c r="B615" s="159" t="s">
        <v>9429</v>
      </c>
      <c r="C615" s="159" t="s">
        <v>10857</v>
      </c>
      <c r="D615" s="159" t="s">
        <v>477</v>
      </c>
      <c r="E615" s="159">
        <v>255</v>
      </c>
      <c r="F615" s="159" t="s">
        <v>5667</v>
      </c>
      <c r="G615" s="159" t="s">
        <v>10858</v>
      </c>
    </row>
    <row r="616" spans="1:7" ht="15.75" customHeight="1">
      <c r="A616" s="159" t="s">
        <v>9275</v>
      </c>
      <c r="B616" s="159" t="s">
        <v>9429</v>
      </c>
      <c r="C616" s="159" t="s">
        <v>10859</v>
      </c>
      <c r="D616" s="159" t="s">
        <v>978</v>
      </c>
      <c r="E616" s="159">
        <v>5</v>
      </c>
      <c r="F616" s="159" t="s">
        <v>5665</v>
      </c>
      <c r="G616" s="159" t="s">
        <v>10860</v>
      </c>
    </row>
    <row r="617" spans="1:7" ht="15.75" customHeight="1">
      <c r="A617" s="159" t="s">
        <v>9275</v>
      </c>
      <c r="B617" s="159" t="s">
        <v>9429</v>
      </c>
      <c r="C617" s="159" t="s">
        <v>3965</v>
      </c>
      <c r="D617" s="159" t="s">
        <v>484</v>
      </c>
      <c r="E617" s="159">
        <v>10</v>
      </c>
      <c r="F617" s="159" t="s">
        <v>5665</v>
      </c>
      <c r="G617" s="159" t="s">
        <v>10462</v>
      </c>
    </row>
    <row r="618" spans="1:7" ht="15.75" customHeight="1">
      <c r="A618" s="159" t="s">
        <v>9275</v>
      </c>
      <c r="B618" s="159" t="s">
        <v>9429</v>
      </c>
      <c r="C618" s="159" t="s">
        <v>10861</v>
      </c>
      <c r="D618" s="159" t="s">
        <v>978</v>
      </c>
      <c r="E618" s="159">
        <v>5</v>
      </c>
      <c r="F618" s="159" t="s">
        <v>5665</v>
      </c>
      <c r="G618" s="159" t="s">
        <v>10862</v>
      </c>
    </row>
    <row r="619" spans="1:7" ht="15.75" customHeight="1">
      <c r="A619" s="159" t="s">
        <v>9275</v>
      </c>
      <c r="B619" s="159" t="s">
        <v>9429</v>
      </c>
      <c r="C619" s="159" t="s">
        <v>10863</v>
      </c>
      <c r="D619" s="159" t="s">
        <v>978</v>
      </c>
      <c r="E619" s="159">
        <v>5</v>
      </c>
      <c r="F619" s="159" t="s">
        <v>5665</v>
      </c>
      <c r="G619" s="159" t="s">
        <v>10864</v>
      </c>
    </row>
    <row r="620" spans="1:7" ht="15.75" customHeight="1">
      <c r="A620" s="159" t="s">
        <v>9275</v>
      </c>
      <c r="B620" s="159" t="s">
        <v>9429</v>
      </c>
      <c r="C620" s="159" t="s">
        <v>10865</v>
      </c>
      <c r="D620" s="159" t="s">
        <v>978</v>
      </c>
      <c r="E620" s="159">
        <v>5</v>
      </c>
      <c r="F620" s="159" t="s">
        <v>5665</v>
      </c>
      <c r="G620" s="159" t="s">
        <v>10866</v>
      </c>
    </row>
    <row r="621" spans="1:7" ht="15.75" customHeight="1">
      <c r="A621" s="159" t="s">
        <v>9275</v>
      </c>
      <c r="B621" s="159" t="s">
        <v>9429</v>
      </c>
      <c r="C621" s="159" t="s">
        <v>10867</v>
      </c>
      <c r="D621" s="159" t="s">
        <v>978</v>
      </c>
      <c r="E621" s="159">
        <v>5</v>
      </c>
      <c r="F621" s="159" t="s">
        <v>5665</v>
      </c>
      <c r="G621" s="159" t="s">
        <v>10868</v>
      </c>
    </row>
    <row r="622" spans="1:7" ht="15.75" customHeight="1">
      <c r="A622" s="159" t="s">
        <v>9275</v>
      </c>
      <c r="B622" s="159" t="s">
        <v>9429</v>
      </c>
      <c r="C622" s="159" t="s">
        <v>10869</v>
      </c>
      <c r="D622" s="159" t="s">
        <v>978</v>
      </c>
      <c r="E622" s="159">
        <v>5</v>
      </c>
      <c r="F622" s="159" t="s">
        <v>5665</v>
      </c>
      <c r="G622" s="159" t="s">
        <v>10870</v>
      </c>
    </row>
    <row r="623" spans="1:7" ht="15.75" customHeight="1">
      <c r="A623" s="159" t="s">
        <v>9275</v>
      </c>
      <c r="B623" s="159" t="s">
        <v>9429</v>
      </c>
      <c r="C623" s="159" t="s">
        <v>10871</v>
      </c>
      <c r="D623" s="159" t="s">
        <v>978</v>
      </c>
      <c r="E623" s="159">
        <v>5</v>
      </c>
      <c r="F623" s="159" t="s">
        <v>5665</v>
      </c>
      <c r="G623" s="159" t="s">
        <v>10872</v>
      </c>
    </row>
    <row r="624" spans="1:7" ht="15.75" customHeight="1">
      <c r="A624" s="159" t="s">
        <v>9275</v>
      </c>
      <c r="B624" s="159" t="s">
        <v>9429</v>
      </c>
      <c r="C624" s="159" t="s">
        <v>10873</v>
      </c>
      <c r="D624" s="159" t="s">
        <v>1807</v>
      </c>
      <c r="E624" s="159">
        <v>12</v>
      </c>
      <c r="F624" s="159" t="s">
        <v>5665</v>
      </c>
      <c r="G624" s="159" t="s">
        <v>10874</v>
      </c>
    </row>
    <row r="625" spans="1:7" ht="15.75" customHeight="1">
      <c r="A625" s="159" t="s">
        <v>9275</v>
      </c>
      <c r="B625" s="159" t="s">
        <v>9429</v>
      </c>
      <c r="C625" s="159" t="s">
        <v>10875</v>
      </c>
      <c r="D625" s="159" t="s">
        <v>3893</v>
      </c>
      <c r="E625" s="159">
        <v>65535</v>
      </c>
      <c r="F625" s="159" t="s">
        <v>5667</v>
      </c>
      <c r="G625" s="159" t="s">
        <v>10876</v>
      </c>
    </row>
    <row r="626" spans="1:7" ht="15.75" customHeight="1">
      <c r="A626" s="159" t="s">
        <v>9275</v>
      </c>
      <c r="B626" s="159" t="s">
        <v>9431</v>
      </c>
      <c r="C626" s="159" t="s">
        <v>10285</v>
      </c>
      <c r="D626" s="159" t="s">
        <v>484</v>
      </c>
      <c r="E626" s="159">
        <v>10</v>
      </c>
      <c r="F626" s="159" t="s">
        <v>5665</v>
      </c>
      <c r="G626" s="159" t="s">
        <v>10286</v>
      </c>
    </row>
    <row r="627" spans="1:7" ht="15.75" customHeight="1">
      <c r="A627" s="159" t="s">
        <v>9275</v>
      </c>
      <c r="B627" s="159" t="s">
        <v>9431</v>
      </c>
      <c r="C627" s="159" t="s">
        <v>10287</v>
      </c>
      <c r="D627" s="159" t="s">
        <v>484</v>
      </c>
      <c r="E627" s="159">
        <v>10</v>
      </c>
      <c r="F627" s="159" t="s">
        <v>5665</v>
      </c>
      <c r="G627" s="159" t="s">
        <v>10237</v>
      </c>
    </row>
    <row r="628" spans="1:7" ht="15.75" customHeight="1">
      <c r="A628" s="159" t="s">
        <v>9275</v>
      </c>
      <c r="B628" s="159" t="s">
        <v>9432</v>
      </c>
      <c r="C628" s="159" t="s">
        <v>10467</v>
      </c>
      <c r="D628" s="159" t="s">
        <v>484</v>
      </c>
      <c r="E628" s="159">
        <v>10</v>
      </c>
      <c r="F628" s="159" t="s">
        <v>5665</v>
      </c>
      <c r="G628" s="159" t="s">
        <v>10468</v>
      </c>
    </row>
    <row r="629" spans="1:7" ht="15.75" customHeight="1">
      <c r="A629" s="159" t="s">
        <v>9275</v>
      </c>
      <c r="B629" s="159" t="s">
        <v>9432</v>
      </c>
      <c r="C629" s="159" t="s">
        <v>5678</v>
      </c>
      <c r="D629" s="159" t="s">
        <v>484</v>
      </c>
      <c r="E629" s="159">
        <v>10</v>
      </c>
      <c r="F629" s="159" t="s">
        <v>5665</v>
      </c>
      <c r="G629" s="159" t="s">
        <v>10877</v>
      </c>
    </row>
    <row r="630" spans="1:7" ht="15.75" customHeight="1">
      <c r="A630" s="159" t="s">
        <v>9275</v>
      </c>
      <c r="B630" s="159" t="s">
        <v>9432</v>
      </c>
      <c r="C630" s="159" t="s">
        <v>10878</v>
      </c>
      <c r="D630" s="159" t="s">
        <v>978</v>
      </c>
      <c r="E630" s="159">
        <v>5</v>
      </c>
      <c r="F630" s="159" t="s">
        <v>5665</v>
      </c>
      <c r="G630" s="159" t="s">
        <v>10879</v>
      </c>
    </row>
    <row r="631" spans="1:7" ht="15.75" customHeight="1">
      <c r="A631" s="159" t="s">
        <v>9275</v>
      </c>
      <c r="B631" s="159" t="s">
        <v>9432</v>
      </c>
      <c r="C631" s="159" t="s">
        <v>3965</v>
      </c>
      <c r="D631" s="159" t="s">
        <v>484</v>
      </c>
      <c r="E631" s="159">
        <v>10</v>
      </c>
      <c r="F631" s="159" t="s">
        <v>5665</v>
      </c>
      <c r="G631" s="159" t="s">
        <v>10462</v>
      </c>
    </row>
    <row r="632" spans="1:7" ht="15.75" customHeight="1">
      <c r="A632" s="159" t="s">
        <v>9275</v>
      </c>
      <c r="B632" s="159" t="s">
        <v>9432</v>
      </c>
      <c r="C632" s="159" t="s">
        <v>5609</v>
      </c>
      <c r="D632" s="159" t="s">
        <v>477</v>
      </c>
      <c r="E632" s="159">
        <v>255</v>
      </c>
      <c r="F632" s="159" t="s">
        <v>5667</v>
      </c>
      <c r="G632" s="159" t="s">
        <v>1611</v>
      </c>
    </row>
    <row r="633" spans="1:7" ht="15.75" customHeight="1">
      <c r="A633" s="159" t="s">
        <v>9275</v>
      </c>
      <c r="B633" s="159" t="s">
        <v>9434</v>
      </c>
      <c r="C633" s="159" t="s">
        <v>10816</v>
      </c>
      <c r="D633" s="159" t="s">
        <v>484</v>
      </c>
      <c r="E633" s="159">
        <v>10</v>
      </c>
      <c r="F633" s="159" t="s">
        <v>5665</v>
      </c>
      <c r="G633" s="159" t="s">
        <v>10817</v>
      </c>
    </row>
    <row r="634" spans="1:7" ht="15.75" customHeight="1">
      <c r="A634" s="159" t="s">
        <v>9275</v>
      </c>
      <c r="B634" s="159" t="s">
        <v>9434</v>
      </c>
      <c r="C634" s="159" t="s">
        <v>10467</v>
      </c>
      <c r="D634" s="159" t="s">
        <v>484</v>
      </c>
      <c r="E634" s="159">
        <v>10</v>
      </c>
      <c r="F634" s="159" t="s">
        <v>5665</v>
      </c>
      <c r="G634" s="159" t="s">
        <v>10468</v>
      </c>
    </row>
    <row r="635" spans="1:7" ht="15.75" customHeight="1">
      <c r="A635" s="159" t="s">
        <v>9275</v>
      </c>
      <c r="B635" s="159" t="s">
        <v>9434</v>
      </c>
      <c r="C635" s="159" t="s">
        <v>10290</v>
      </c>
      <c r="D635" s="159" t="s">
        <v>978</v>
      </c>
      <c r="E635" s="159">
        <v>5</v>
      </c>
      <c r="F635" s="159" t="s">
        <v>5665</v>
      </c>
      <c r="G635" s="159" t="s">
        <v>10507</v>
      </c>
    </row>
    <row r="636" spans="1:7" ht="15.75" customHeight="1">
      <c r="A636" s="159" t="s">
        <v>9275</v>
      </c>
      <c r="B636" s="159" t="s">
        <v>9434</v>
      </c>
      <c r="C636" s="159" t="s">
        <v>5676</v>
      </c>
      <c r="D636" s="159" t="s">
        <v>477</v>
      </c>
      <c r="E636" s="159">
        <v>255</v>
      </c>
      <c r="F636" s="159" t="s">
        <v>5667</v>
      </c>
      <c r="G636" s="159" t="s">
        <v>5186</v>
      </c>
    </row>
    <row r="637" spans="1:7" ht="15.75" customHeight="1">
      <c r="A637" s="159" t="s">
        <v>9275</v>
      </c>
      <c r="B637" s="159" t="s">
        <v>9434</v>
      </c>
      <c r="C637" s="159" t="s">
        <v>10880</v>
      </c>
      <c r="D637" s="159" t="s">
        <v>484</v>
      </c>
      <c r="E637" s="159">
        <v>10</v>
      </c>
      <c r="F637" s="159" t="s">
        <v>5665</v>
      </c>
      <c r="G637" s="159" t="s">
        <v>10881</v>
      </c>
    </row>
    <row r="638" spans="1:7" ht="15.75" customHeight="1">
      <c r="A638" s="159" t="s">
        <v>9275</v>
      </c>
      <c r="B638" s="159" t="s">
        <v>9436</v>
      </c>
      <c r="C638" s="159" t="s">
        <v>10287</v>
      </c>
      <c r="D638" s="159" t="s">
        <v>484</v>
      </c>
      <c r="E638" s="159">
        <v>10</v>
      </c>
      <c r="F638" s="159" t="s">
        <v>5665</v>
      </c>
      <c r="G638" s="159" t="s">
        <v>10237</v>
      </c>
    </row>
    <row r="639" spans="1:7" ht="15.75" customHeight="1">
      <c r="A639" s="159" t="s">
        <v>9275</v>
      </c>
      <c r="B639" s="159" t="s">
        <v>9436</v>
      </c>
      <c r="C639" s="159" t="s">
        <v>10882</v>
      </c>
      <c r="D639" s="159" t="s">
        <v>978</v>
      </c>
      <c r="E639" s="159">
        <v>5</v>
      </c>
      <c r="F639" s="159" t="s">
        <v>5665</v>
      </c>
      <c r="G639" s="159" t="s">
        <v>10883</v>
      </c>
    </row>
    <row r="640" spans="1:7" ht="15.75" customHeight="1">
      <c r="A640" s="159" t="s">
        <v>9275</v>
      </c>
      <c r="B640" s="159" t="s">
        <v>9436</v>
      </c>
      <c r="C640" s="159" t="s">
        <v>10884</v>
      </c>
      <c r="D640" s="159" t="s">
        <v>484</v>
      </c>
      <c r="E640" s="159">
        <v>10</v>
      </c>
      <c r="F640" s="159" t="s">
        <v>5665</v>
      </c>
      <c r="G640" s="159" t="s">
        <v>10885</v>
      </c>
    </row>
    <row r="641" spans="1:7" ht="15.75" customHeight="1">
      <c r="A641" s="159" t="s">
        <v>9275</v>
      </c>
      <c r="B641" s="159" t="s">
        <v>9436</v>
      </c>
      <c r="C641" s="159" t="s">
        <v>10886</v>
      </c>
      <c r="D641" s="159" t="s">
        <v>481</v>
      </c>
      <c r="E641" s="159">
        <v>20</v>
      </c>
      <c r="F641" s="159" t="s">
        <v>5665</v>
      </c>
      <c r="G641" s="159" t="s">
        <v>10887</v>
      </c>
    </row>
    <row r="642" spans="1:7" ht="15.75" customHeight="1">
      <c r="A642" s="159" t="s">
        <v>9275</v>
      </c>
      <c r="B642" s="159" t="s">
        <v>9436</v>
      </c>
      <c r="C642" s="159" t="s">
        <v>10888</v>
      </c>
      <c r="D642" s="159" t="s">
        <v>481</v>
      </c>
      <c r="E642" s="159">
        <v>20</v>
      </c>
      <c r="F642" s="159" t="s">
        <v>5665</v>
      </c>
      <c r="G642" s="159" t="s">
        <v>10889</v>
      </c>
    </row>
    <row r="643" spans="1:7" ht="15.75" customHeight="1">
      <c r="A643" s="159" t="s">
        <v>9275</v>
      </c>
      <c r="B643" s="159" t="s">
        <v>9438</v>
      </c>
      <c r="C643" s="159" t="s">
        <v>10890</v>
      </c>
      <c r="D643" s="159" t="s">
        <v>484</v>
      </c>
      <c r="E643" s="159">
        <v>10</v>
      </c>
      <c r="F643" s="159" t="s">
        <v>5665</v>
      </c>
      <c r="G643" s="159" t="s">
        <v>10891</v>
      </c>
    </row>
    <row r="644" spans="1:7" ht="15.75" customHeight="1">
      <c r="A644" s="159" t="s">
        <v>9275</v>
      </c>
      <c r="B644" s="159" t="s">
        <v>9438</v>
      </c>
      <c r="C644" s="159" t="s">
        <v>10467</v>
      </c>
      <c r="D644" s="159" t="s">
        <v>484</v>
      </c>
      <c r="E644" s="159">
        <v>10</v>
      </c>
      <c r="F644" s="159" t="s">
        <v>5665</v>
      </c>
      <c r="G644" s="159" t="s">
        <v>10468</v>
      </c>
    </row>
    <row r="645" spans="1:7" ht="15.75" customHeight="1">
      <c r="A645" s="159" t="s">
        <v>9275</v>
      </c>
      <c r="B645" s="159" t="s">
        <v>9438</v>
      </c>
      <c r="C645" s="159" t="s">
        <v>10880</v>
      </c>
      <c r="D645" s="159" t="s">
        <v>484</v>
      </c>
      <c r="E645" s="159">
        <v>10</v>
      </c>
      <c r="F645" s="159" t="s">
        <v>5665</v>
      </c>
      <c r="G645" s="159" t="s">
        <v>10881</v>
      </c>
    </row>
    <row r="646" spans="1:7" ht="15.75" customHeight="1">
      <c r="A646" s="159" t="s">
        <v>9275</v>
      </c>
      <c r="B646" s="159" t="s">
        <v>9438</v>
      </c>
      <c r="C646" s="159" t="s">
        <v>1394</v>
      </c>
      <c r="D646" s="159" t="s">
        <v>484</v>
      </c>
      <c r="E646" s="159">
        <v>10</v>
      </c>
      <c r="F646" s="159" t="s">
        <v>5665</v>
      </c>
      <c r="G646" s="159" t="s">
        <v>4828</v>
      </c>
    </row>
    <row r="647" spans="1:7" ht="15.75" customHeight="1">
      <c r="A647" s="159" t="s">
        <v>9275</v>
      </c>
      <c r="B647" s="159" t="s">
        <v>9438</v>
      </c>
      <c r="C647" s="159" t="s">
        <v>3965</v>
      </c>
      <c r="D647" s="159" t="s">
        <v>484</v>
      </c>
      <c r="E647" s="159">
        <v>10</v>
      </c>
      <c r="F647" s="159" t="s">
        <v>5665</v>
      </c>
      <c r="G647" s="159" t="s">
        <v>10462</v>
      </c>
    </row>
    <row r="648" spans="1:7" ht="15.75" customHeight="1">
      <c r="A648" s="159" t="s">
        <v>9275</v>
      </c>
      <c r="B648" s="159" t="s">
        <v>9438</v>
      </c>
      <c r="C648" s="159" t="s">
        <v>10892</v>
      </c>
      <c r="D648" s="159" t="s">
        <v>978</v>
      </c>
      <c r="E648" s="159">
        <v>5</v>
      </c>
      <c r="F648" s="159" t="s">
        <v>5665</v>
      </c>
      <c r="G648" s="159" t="s">
        <v>10893</v>
      </c>
    </row>
    <row r="649" spans="1:7" ht="15.75" customHeight="1">
      <c r="A649" s="159" t="s">
        <v>9275</v>
      </c>
      <c r="B649" s="159" t="s">
        <v>9438</v>
      </c>
      <c r="C649" s="159" t="s">
        <v>10894</v>
      </c>
      <c r="D649" s="159" t="s">
        <v>978</v>
      </c>
      <c r="E649" s="159">
        <v>5</v>
      </c>
      <c r="F649" s="159" t="s">
        <v>5665</v>
      </c>
      <c r="G649" s="159" t="s">
        <v>10895</v>
      </c>
    </row>
    <row r="650" spans="1:7" ht="15.75" customHeight="1">
      <c r="A650" s="159" t="s">
        <v>9275</v>
      </c>
      <c r="B650" s="159" t="s">
        <v>9438</v>
      </c>
      <c r="C650" s="159" t="s">
        <v>10896</v>
      </c>
      <c r="D650" s="159" t="s">
        <v>481</v>
      </c>
      <c r="E650" s="159">
        <v>12</v>
      </c>
      <c r="F650" s="159" t="s">
        <v>5665</v>
      </c>
      <c r="G650" s="159" t="s">
        <v>10897</v>
      </c>
    </row>
    <row r="651" spans="1:7" ht="15.75" customHeight="1">
      <c r="A651" s="159" t="s">
        <v>9275</v>
      </c>
      <c r="B651" s="159" t="s">
        <v>9438</v>
      </c>
      <c r="C651" s="159" t="s">
        <v>10898</v>
      </c>
      <c r="D651" s="159" t="s">
        <v>481</v>
      </c>
      <c r="E651" s="159">
        <v>12</v>
      </c>
      <c r="F651" s="159" t="s">
        <v>5667</v>
      </c>
      <c r="G651" s="159" t="s">
        <v>10899</v>
      </c>
    </row>
    <row r="652" spans="1:7" ht="15.75" customHeight="1">
      <c r="A652" s="159" t="s">
        <v>9275</v>
      </c>
      <c r="B652" s="159" t="s">
        <v>9438</v>
      </c>
      <c r="C652" s="159" t="s">
        <v>10900</v>
      </c>
      <c r="D652" s="159" t="s">
        <v>978</v>
      </c>
      <c r="E652" s="159">
        <v>5</v>
      </c>
      <c r="F652" s="159" t="s">
        <v>5665</v>
      </c>
      <c r="G652" s="159" t="s">
        <v>10901</v>
      </c>
    </row>
    <row r="653" spans="1:7" ht="15.75" customHeight="1">
      <c r="A653" s="159" t="s">
        <v>9275</v>
      </c>
      <c r="B653" s="159" t="s">
        <v>9440</v>
      </c>
      <c r="C653" s="159" t="s">
        <v>10890</v>
      </c>
      <c r="D653" s="159" t="s">
        <v>484</v>
      </c>
      <c r="E653" s="159">
        <v>10</v>
      </c>
      <c r="F653" s="159" t="s">
        <v>5665</v>
      </c>
      <c r="G653" s="159" t="s">
        <v>10891</v>
      </c>
    </row>
    <row r="654" spans="1:7" ht="15.75" customHeight="1">
      <c r="A654" s="159" t="s">
        <v>9275</v>
      </c>
      <c r="B654" s="159" t="s">
        <v>9440</v>
      </c>
      <c r="C654" s="159" t="s">
        <v>10882</v>
      </c>
      <c r="D654" s="159" t="s">
        <v>978</v>
      </c>
      <c r="E654" s="159">
        <v>5</v>
      </c>
      <c r="F654" s="159" t="s">
        <v>5665</v>
      </c>
      <c r="G654" s="159" t="s">
        <v>10883</v>
      </c>
    </row>
    <row r="655" spans="1:7" ht="15.75" customHeight="1">
      <c r="A655" s="159" t="s">
        <v>9275</v>
      </c>
      <c r="B655" s="159" t="s">
        <v>9440</v>
      </c>
      <c r="C655" s="159" t="s">
        <v>10894</v>
      </c>
      <c r="D655" s="159" t="s">
        <v>978</v>
      </c>
      <c r="E655" s="159">
        <v>5</v>
      </c>
      <c r="F655" s="159" t="s">
        <v>5665</v>
      </c>
      <c r="G655" s="159" t="s">
        <v>10895</v>
      </c>
    </row>
    <row r="656" spans="1:7" ht="15.75" customHeight="1">
      <c r="A656" s="159" t="s">
        <v>9275</v>
      </c>
      <c r="B656" s="159" t="s">
        <v>9440</v>
      </c>
      <c r="C656" s="159" t="s">
        <v>10896</v>
      </c>
      <c r="D656" s="159" t="s">
        <v>481</v>
      </c>
      <c r="E656" s="159">
        <v>20</v>
      </c>
      <c r="F656" s="159" t="s">
        <v>5665</v>
      </c>
      <c r="G656" s="159" t="s">
        <v>10897</v>
      </c>
    </row>
    <row r="657" spans="1:7" ht="15.75" customHeight="1">
      <c r="A657" s="159" t="s">
        <v>9275</v>
      </c>
      <c r="B657" s="159" t="s">
        <v>9440</v>
      </c>
      <c r="C657" s="159" t="s">
        <v>10880</v>
      </c>
      <c r="D657" s="159" t="s">
        <v>484</v>
      </c>
      <c r="E657" s="159">
        <v>10</v>
      </c>
      <c r="F657" s="159" t="s">
        <v>5665</v>
      </c>
      <c r="G657" s="159" t="s">
        <v>10881</v>
      </c>
    </row>
    <row r="658" spans="1:7" ht="15.75" customHeight="1">
      <c r="A658" s="159" t="s">
        <v>9275</v>
      </c>
      <c r="B658" s="159" t="s">
        <v>9442</v>
      </c>
      <c r="C658" s="159" t="s">
        <v>10287</v>
      </c>
      <c r="D658" s="159" t="s">
        <v>484</v>
      </c>
      <c r="E658" s="159">
        <v>10</v>
      </c>
      <c r="F658" s="159" t="s">
        <v>5665</v>
      </c>
      <c r="G658" s="159" t="s">
        <v>10237</v>
      </c>
    </row>
    <row r="659" spans="1:7" ht="15.75" customHeight="1">
      <c r="A659" s="159" t="s">
        <v>9275</v>
      </c>
      <c r="B659" s="159" t="s">
        <v>9442</v>
      </c>
      <c r="C659" s="159" t="s">
        <v>10882</v>
      </c>
      <c r="D659" s="159" t="s">
        <v>978</v>
      </c>
      <c r="E659" s="159">
        <v>5</v>
      </c>
      <c r="F659" s="159" t="s">
        <v>5665</v>
      </c>
      <c r="G659" s="159" t="s">
        <v>10883</v>
      </c>
    </row>
    <row r="660" spans="1:7" ht="15.75" customHeight="1">
      <c r="A660" s="159" t="s">
        <v>9275</v>
      </c>
      <c r="B660" s="159" t="s">
        <v>9442</v>
      </c>
      <c r="C660" s="159" t="s">
        <v>10902</v>
      </c>
      <c r="D660" s="159" t="s">
        <v>978</v>
      </c>
      <c r="E660" s="159">
        <v>5</v>
      </c>
      <c r="F660" s="159" t="s">
        <v>5665</v>
      </c>
      <c r="G660" s="159" t="s">
        <v>10903</v>
      </c>
    </row>
    <row r="661" spans="1:7" ht="15.75" customHeight="1">
      <c r="A661" s="159" t="s">
        <v>9275</v>
      </c>
      <c r="B661" s="159" t="s">
        <v>9442</v>
      </c>
      <c r="C661" s="159" t="s">
        <v>10467</v>
      </c>
      <c r="D661" s="159" t="s">
        <v>484</v>
      </c>
      <c r="E661" s="159">
        <v>10</v>
      </c>
      <c r="F661" s="159" t="s">
        <v>5665</v>
      </c>
      <c r="G661" s="159" t="s">
        <v>10468</v>
      </c>
    </row>
    <row r="662" spans="1:7" ht="15.75" customHeight="1">
      <c r="A662" s="159" t="s">
        <v>9275</v>
      </c>
      <c r="B662" s="159" t="s">
        <v>9442</v>
      </c>
      <c r="C662" s="159" t="s">
        <v>10904</v>
      </c>
      <c r="D662" s="159" t="s">
        <v>978</v>
      </c>
      <c r="E662" s="159">
        <v>5</v>
      </c>
      <c r="F662" s="159" t="s">
        <v>5667</v>
      </c>
      <c r="G662" s="159" t="s">
        <v>10905</v>
      </c>
    </row>
    <row r="663" spans="1:7" ht="15.75" customHeight="1">
      <c r="A663" s="159" t="s">
        <v>9275</v>
      </c>
      <c r="B663" s="159" t="s">
        <v>9444</v>
      </c>
      <c r="C663" s="159" t="s">
        <v>10285</v>
      </c>
      <c r="D663" s="159" t="s">
        <v>484</v>
      </c>
      <c r="E663" s="159">
        <v>10</v>
      </c>
      <c r="F663" s="159" t="s">
        <v>5665</v>
      </c>
      <c r="G663" s="159" t="s">
        <v>10286</v>
      </c>
    </row>
    <row r="664" spans="1:7" ht="15.75" customHeight="1">
      <c r="A664" s="159" t="s">
        <v>9275</v>
      </c>
      <c r="B664" s="159" t="s">
        <v>9444</v>
      </c>
      <c r="C664" s="159" t="s">
        <v>10287</v>
      </c>
      <c r="D664" s="159" t="s">
        <v>484</v>
      </c>
      <c r="E664" s="159">
        <v>10</v>
      </c>
      <c r="F664" s="159" t="s">
        <v>5665</v>
      </c>
      <c r="G664" s="159" t="s">
        <v>10237</v>
      </c>
    </row>
    <row r="665" spans="1:7" ht="15.75" customHeight="1">
      <c r="A665" s="159" t="s">
        <v>9275</v>
      </c>
      <c r="B665" s="159" t="s">
        <v>9445</v>
      </c>
      <c r="C665" s="159" t="s">
        <v>10287</v>
      </c>
      <c r="D665" s="159" t="s">
        <v>484</v>
      </c>
      <c r="E665" s="159">
        <v>10</v>
      </c>
      <c r="F665" s="159" t="s">
        <v>5665</v>
      </c>
      <c r="G665" s="159" t="s">
        <v>10237</v>
      </c>
    </row>
    <row r="666" spans="1:7" ht="15.75" customHeight="1">
      <c r="A666" s="159" t="s">
        <v>9275</v>
      </c>
      <c r="B666" s="159" t="s">
        <v>9445</v>
      </c>
      <c r="C666" s="159" t="s">
        <v>10807</v>
      </c>
      <c r="D666" s="159" t="s">
        <v>978</v>
      </c>
      <c r="E666" s="159">
        <v>5</v>
      </c>
      <c r="F666" s="159" t="s">
        <v>5665</v>
      </c>
      <c r="G666" s="159" t="s">
        <v>10808</v>
      </c>
    </row>
    <row r="667" spans="1:7" ht="15.75" customHeight="1">
      <c r="A667" s="159" t="s">
        <v>9275</v>
      </c>
      <c r="B667" s="159" t="s">
        <v>9445</v>
      </c>
      <c r="C667" s="159" t="s">
        <v>10906</v>
      </c>
      <c r="D667" s="159" t="s">
        <v>477</v>
      </c>
      <c r="E667" s="159">
        <v>32</v>
      </c>
      <c r="F667" s="159" t="s">
        <v>5665</v>
      </c>
      <c r="G667" s="159" t="s">
        <v>10907</v>
      </c>
    </row>
    <row r="668" spans="1:7" ht="15.75" customHeight="1">
      <c r="A668" s="159" t="s">
        <v>9275</v>
      </c>
      <c r="B668" s="159" t="s">
        <v>9445</v>
      </c>
      <c r="C668" s="159" t="s">
        <v>5624</v>
      </c>
      <c r="D668" s="159" t="s">
        <v>477</v>
      </c>
      <c r="E668" s="159">
        <v>64</v>
      </c>
      <c r="F668" s="159" t="s">
        <v>5667</v>
      </c>
      <c r="G668" s="159" t="s">
        <v>6137</v>
      </c>
    </row>
    <row r="669" spans="1:7" ht="15.75" customHeight="1">
      <c r="A669" s="159" t="s">
        <v>9275</v>
      </c>
      <c r="B669" s="159" t="s">
        <v>9445</v>
      </c>
      <c r="C669" s="159" t="s">
        <v>10908</v>
      </c>
      <c r="D669" s="159" t="s">
        <v>978</v>
      </c>
      <c r="E669" s="159">
        <v>5</v>
      </c>
      <c r="F669" s="159" t="s">
        <v>5665</v>
      </c>
      <c r="G669" s="159" t="s">
        <v>10909</v>
      </c>
    </row>
    <row r="670" spans="1:7" ht="15.75" customHeight="1">
      <c r="A670" s="159" t="s">
        <v>9275</v>
      </c>
      <c r="B670" s="159" t="s">
        <v>9445</v>
      </c>
      <c r="C670" s="159" t="s">
        <v>10910</v>
      </c>
      <c r="D670" s="159" t="s">
        <v>978</v>
      </c>
      <c r="E670" s="159">
        <v>5</v>
      </c>
      <c r="F670" s="159" t="s">
        <v>5665</v>
      </c>
      <c r="G670" s="159" t="s">
        <v>10911</v>
      </c>
    </row>
    <row r="671" spans="1:7" ht="15.75" customHeight="1">
      <c r="A671" s="159" t="s">
        <v>9275</v>
      </c>
      <c r="B671" s="159" t="s">
        <v>9445</v>
      </c>
      <c r="C671" s="159" t="s">
        <v>10190</v>
      </c>
      <c r="D671" s="159" t="s">
        <v>1413</v>
      </c>
      <c r="E671" s="159"/>
      <c r="F671" s="159" t="s">
        <v>5665</v>
      </c>
      <c r="G671" s="159" t="s">
        <v>10810</v>
      </c>
    </row>
    <row r="672" spans="1:7" ht="15.75" customHeight="1">
      <c r="A672" s="159" t="s">
        <v>9275</v>
      </c>
      <c r="B672" s="159" t="s">
        <v>9445</v>
      </c>
      <c r="C672" s="159" t="s">
        <v>10242</v>
      </c>
      <c r="D672" s="159" t="s">
        <v>1413</v>
      </c>
      <c r="E672" s="159"/>
      <c r="F672" s="159" t="s">
        <v>5665</v>
      </c>
      <c r="G672" s="159" t="s">
        <v>10243</v>
      </c>
    </row>
    <row r="673" spans="1:7" ht="15.75" customHeight="1">
      <c r="A673" s="159" t="s">
        <v>9275</v>
      </c>
      <c r="B673" s="159" t="s">
        <v>9447</v>
      </c>
      <c r="C673" s="159" t="s">
        <v>10816</v>
      </c>
      <c r="D673" s="159" t="s">
        <v>484</v>
      </c>
      <c r="E673" s="159">
        <v>10</v>
      </c>
      <c r="F673" s="159" t="s">
        <v>5665</v>
      </c>
      <c r="G673" s="159" t="s">
        <v>10817</v>
      </c>
    </row>
    <row r="674" spans="1:7" ht="15.75" customHeight="1">
      <c r="A674" s="159" t="s">
        <v>9275</v>
      </c>
      <c r="B674" s="159" t="s">
        <v>9447</v>
      </c>
      <c r="C674" s="159" t="s">
        <v>9217</v>
      </c>
      <c r="D674" s="159" t="s">
        <v>978</v>
      </c>
      <c r="E674" s="159">
        <v>5</v>
      </c>
      <c r="F674" s="159" t="s">
        <v>5665</v>
      </c>
      <c r="G674" s="159" t="s">
        <v>10818</v>
      </c>
    </row>
    <row r="675" spans="1:7" ht="15.75" customHeight="1">
      <c r="A675" s="159" t="s">
        <v>9275</v>
      </c>
      <c r="B675" s="159" t="s">
        <v>9447</v>
      </c>
      <c r="C675" s="159" t="s">
        <v>10290</v>
      </c>
      <c r="D675" s="159" t="s">
        <v>978</v>
      </c>
      <c r="E675" s="159">
        <v>5</v>
      </c>
      <c r="F675" s="159" t="s">
        <v>5665</v>
      </c>
      <c r="G675" s="159" t="s">
        <v>10507</v>
      </c>
    </row>
    <row r="676" spans="1:7" ht="15.75" customHeight="1">
      <c r="A676" s="159" t="s">
        <v>9275</v>
      </c>
      <c r="B676" s="159" t="s">
        <v>9447</v>
      </c>
      <c r="C676" s="159" t="s">
        <v>10287</v>
      </c>
      <c r="D676" s="159" t="s">
        <v>484</v>
      </c>
      <c r="E676" s="159">
        <v>10</v>
      </c>
      <c r="F676" s="159" t="s">
        <v>5665</v>
      </c>
      <c r="G676" s="159" t="s">
        <v>10237</v>
      </c>
    </row>
    <row r="677" spans="1:7" ht="15.75" customHeight="1">
      <c r="A677" s="159" t="s">
        <v>9275</v>
      </c>
      <c r="B677" s="159" t="s">
        <v>9447</v>
      </c>
      <c r="C677" s="159" t="s">
        <v>10471</v>
      </c>
      <c r="D677" s="159" t="s">
        <v>538</v>
      </c>
      <c r="E677" s="159"/>
      <c r="F677" s="159" t="s">
        <v>5667</v>
      </c>
      <c r="G677" s="159" t="s">
        <v>10475</v>
      </c>
    </row>
    <row r="678" spans="1:7" ht="15.75" customHeight="1">
      <c r="A678" s="159" t="s">
        <v>9275</v>
      </c>
      <c r="B678" s="159" t="s">
        <v>9449</v>
      </c>
      <c r="C678" s="159" t="s">
        <v>10816</v>
      </c>
      <c r="D678" s="159" t="s">
        <v>484</v>
      </c>
      <c r="E678" s="159">
        <v>10</v>
      </c>
      <c r="F678" s="159" t="s">
        <v>5665</v>
      </c>
      <c r="G678" s="159" t="s">
        <v>10817</v>
      </c>
    </row>
    <row r="679" spans="1:7" ht="15.75" customHeight="1">
      <c r="A679" s="159" t="s">
        <v>9275</v>
      </c>
      <c r="B679" s="159" t="s">
        <v>9449</v>
      </c>
      <c r="C679" s="159" t="s">
        <v>9217</v>
      </c>
      <c r="D679" s="159" t="s">
        <v>978</v>
      </c>
      <c r="E679" s="159">
        <v>5</v>
      </c>
      <c r="F679" s="159" t="s">
        <v>5665</v>
      </c>
      <c r="G679" s="159" t="s">
        <v>10818</v>
      </c>
    </row>
    <row r="680" spans="1:7" ht="15.75" customHeight="1">
      <c r="A680" s="159" t="s">
        <v>9275</v>
      </c>
      <c r="B680" s="159" t="s">
        <v>9449</v>
      </c>
      <c r="C680" s="159" t="s">
        <v>10290</v>
      </c>
      <c r="D680" s="159" t="s">
        <v>978</v>
      </c>
      <c r="E680" s="159">
        <v>5</v>
      </c>
      <c r="F680" s="159" t="s">
        <v>5665</v>
      </c>
      <c r="G680" s="159" t="s">
        <v>10507</v>
      </c>
    </row>
    <row r="681" spans="1:7" ht="15.75" customHeight="1">
      <c r="A681" s="159" t="s">
        <v>9275</v>
      </c>
      <c r="B681" s="159" t="s">
        <v>9449</v>
      </c>
      <c r="C681" s="159" t="s">
        <v>10287</v>
      </c>
      <c r="D681" s="159" t="s">
        <v>484</v>
      </c>
      <c r="E681" s="159">
        <v>10</v>
      </c>
      <c r="F681" s="159" t="s">
        <v>5665</v>
      </c>
      <c r="G681" s="159" t="s">
        <v>10237</v>
      </c>
    </row>
    <row r="682" spans="1:7" ht="15.75" customHeight="1">
      <c r="A682" s="159" t="s">
        <v>9275</v>
      </c>
      <c r="B682" s="159" t="s">
        <v>9449</v>
      </c>
      <c r="C682" s="159" t="s">
        <v>10471</v>
      </c>
      <c r="D682" s="159" t="s">
        <v>481</v>
      </c>
      <c r="E682" s="159">
        <v>20</v>
      </c>
      <c r="F682" s="159" t="s">
        <v>5667</v>
      </c>
      <c r="G682" s="159" t="s">
        <v>10475</v>
      </c>
    </row>
    <row r="683" spans="1:7" ht="15.75" customHeight="1">
      <c r="A683" s="159" t="s">
        <v>9275</v>
      </c>
      <c r="B683" s="159" t="s">
        <v>9451</v>
      </c>
      <c r="C683" s="159" t="s">
        <v>10816</v>
      </c>
      <c r="D683" s="159" t="s">
        <v>484</v>
      </c>
      <c r="E683" s="159">
        <v>10</v>
      </c>
      <c r="F683" s="159" t="s">
        <v>5665</v>
      </c>
      <c r="G683" s="159" t="s">
        <v>10817</v>
      </c>
    </row>
    <row r="684" spans="1:7" ht="15.75" customHeight="1">
      <c r="A684" s="159" t="s">
        <v>9275</v>
      </c>
      <c r="B684" s="159" t="s">
        <v>9451</v>
      </c>
      <c r="C684" s="159" t="s">
        <v>9217</v>
      </c>
      <c r="D684" s="159" t="s">
        <v>978</v>
      </c>
      <c r="E684" s="159">
        <v>5</v>
      </c>
      <c r="F684" s="159" t="s">
        <v>5665</v>
      </c>
      <c r="G684" s="159" t="s">
        <v>10818</v>
      </c>
    </row>
    <row r="685" spans="1:7" ht="15.75" customHeight="1">
      <c r="A685" s="159" t="s">
        <v>9275</v>
      </c>
      <c r="B685" s="159" t="s">
        <v>9451</v>
      </c>
      <c r="C685" s="159" t="s">
        <v>10290</v>
      </c>
      <c r="D685" s="159" t="s">
        <v>978</v>
      </c>
      <c r="E685" s="159">
        <v>5</v>
      </c>
      <c r="F685" s="159" t="s">
        <v>5665</v>
      </c>
      <c r="G685" s="159" t="s">
        <v>10507</v>
      </c>
    </row>
    <row r="686" spans="1:7" ht="15.75" customHeight="1">
      <c r="A686" s="159" t="s">
        <v>9275</v>
      </c>
      <c r="B686" s="159" t="s">
        <v>9451</v>
      </c>
      <c r="C686" s="159" t="s">
        <v>10287</v>
      </c>
      <c r="D686" s="159" t="s">
        <v>484</v>
      </c>
      <c r="E686" s="159">
        <v>10</v>
      </c>
      <c r="F686" s="159" t="s">
        <v>5665</v>
      </c>
      <c r="G686" s="159" t="s">
        <v>10237</v>
      </c>
    </row>
    <row r="687" spans="1:7" ht="15.75" customHeight="1">
      <c r="A687" s="159" t="s">
        <v>9275</v>
      </c>
      <c r="B687" s="159" t="s">
        <v>9451</v>
      </c>
      <c r="C687" s="159" t="s">
        <v>3965</v>
      </c>
      <c r="D687" s="159" t="s">
        <v>484</v>
      </c>
      <c r="E687" s="159">
        <v>10</v>
      </c>
      <c r="F687" s="159" t="s">
        <v>5665</v>
      </c>
      <c r="G687" s="159" t="s">
        <v>10462</v>
      </c>
    </row>
    <row r="688" spans="1:7" ht="15.75" customHeight="1">
      <c r="A688" s="159" t="s">
        <v>9275</v>
      </c>
      <c r="B688" s="159" t="s">
        <v>9451</v>
      </c>
      <c r="C688" s="159" t="s">
        <v>10471</v>
      </c>
      <c r="D688" s="159" t="s">
        <v>477</v>
      </c>
      <c r="E688" s="159">
        <v>255</v>
      </c>
      <c r="F688" s="159" t="s">
        <v>5667</v>
      </c>
      <c r="G688" s="159" t="s">
        <v>10475</v>
      </c>
    </row>
    <row r="689" spans="1:7" ht="15.75" customHeight="1">
      <c r="A689" s="159" t="s">
        <v>9275</v>
      </c>
      <c r="B689" s="159" t="s">
        <v>9453</v>
      </c>
      <c r="C689" s="159" t="s">
        <v>10816</v>
      </c>
      <c r="D689" s="159" t="s">
        <v>484</v>
      </c>
      <c r="E689" s="159">
        <v>10</v>
      </c>
      <c r="F689" s="159" t="s">
        <v>5665</v>
      </c>
      <c r="G689" s="159" t="s">
        <v>10817</v>
      </c>
    </row>
    <row r="690" spans="1:7" ht="15.75" customHeight="1">
      <c r="A690" s="159" t="s">
        <v>9275</v>
      </c>
      <c r="B690" s="159" t="s">
        <v>9453</v>
      </c>
      <c r="C690" s="159" t="s">
        <v>9217</v>
      </c>
      <c r="D690" s="159" t="s">
        <v>978</v>
      </c>
      <c r="E690" s="159">
        <v>5</v>
      </c>
      <c r="F690" s="159" t="s">
        <v>5665</v>
      </c>
      <c r="G690" s="159" t="s">
        <v>10818</v>
      </c>
    </row>
    <row r="691" spans="1:7" ht="15.75" customHeight="1">
      <c r="A691" s="159" t="s">
        <v>9275</v>
      </c>
      <c r="B691" s="159" t="s">
        <v>9453</v>
      </c>
      <c r="C691" s="159" t="s">
        <v>10290</v>
      </c>
      <c r="D691" s="159" t="s">
        <v>978</v>
      </c>
      <c r="E691" s="159">
        <v>5</v>
      </c>
      <c r="F691" s="159" t="s">
        <v>5665</v>
      </c>
      <c r="G691" s="159" t="s">
        <v>10507</v>
      </c>
    </row>
    <row r="692" spans="1:7" ht="15.75" customHeight="1">
      <c r="A692" s="159" t="s">
        <v>9275</v>
      </c>
      <c r="B692" s="159" t="s">
        <v>9453</v>
      </c>
      <c r="C692" s="159" t="s">
        <v>10287</v>
      </c>
      <c r="D692" s="159" t="s">
        <v>484</v>
      </c>
      <c r="E692" s="159">
        <v>10</v>
      </c>
      <c r="F692" s="159" t="s">
        <v>5665</v>
      </c>
      <c r="G692" s="159" t="s">
        <v>10237</v>
      </c>
    </row>
    <row r="693" spans="1:7" ht="15.75" customHeight="1">
      <c r="A693" s="159" t="s">
        <v>9275</v>
      </c>
      <c r="B693" s="159" t="s">
        <v>9453</v>
      </c>
      <c r="C693" s="159" t="s">
        <v>10471</v>
      </c>
      <c r="D693" s="159" t="s">
        <v>484</v>
      </c>
      <c r="E693" s="159">
        <v>10</v>
      </c>
      <c r="F693" s="159" t="s">
        <v>5667</v>
      </c>
      <c r="G693" s="159" t="s">
        <v>10475</v>
      </c>
    </row>
    <row r="694" spans="1:7" ht="15.75" customHeight="1">
      <c r="A694" s="159" t="s">
        <v>9275</v>
      </c>
      <c r="B694" s="159" t="s">
        <v>9455</v>
      </c>
      <c r="C694" s="159" t="s">
        <v>10816</v>
      </c>
      <c r="D694" s="159" t="s">
        <v>484</v>
      </c>
      <c r="E694" s="159">
        <v>10</v>
      </c>
      <c r="F694" s="159" t="s">
        <v>5665</v>
      </c>
      <c r="G694" s="159" t="s">
        <v>10817</v>
      </c>
    </row>
    <row r="695" spans="1:7" ht="15.75" customHeight="1">
      <c r="A695" s="159" t="s">
        <v>9275</v>
      </c>
      <c r="B695" s="159" t="s">
        <v>9455</v>
      </c>
      <c r="C695" s="159" t="s">
        <v>9217</v>
      </c>
      <c r="D695" s="159" t="s">
        <v>978</v>
      </c>
      <c r="E695" s="159">
        <v>5</v>
      </c>
      <c r="F695" s="159" t="s">
        <v>5665</v>
      </c>
      <c r="G695" s="159" t="s">
        <v>10818</v>
      </c>
    </row>
    <row r="696" spans="1:7" ht="15.75" customHeight="1">
      <c r="A696" s="159" t="s">
        <v>9275</v>
      </c>
      <c r="B696" s="159" t="s">
        <v>9455</v>
      </c>
      <c r="C696" s="159" t="s">
        <v>10471</v>
      </c>
      <c r="D696" s="159" t="s">
        <v>477</v>
      </c>
      <c r="E696" s="159">
        <v>255</v>
      </c>
      <c r="F696" s="159" t="s">
        <v>5667</v>
      </c>
      <c r="G696" s="159" t="s">
        <v>10475</v>
      </c>
    </row>
    <row r="697" spans="1:7" ht="15.75" customHeight="1">
      <c r="A697" s="159" t="s">
        <v>9275</v>
      </c>
      <c r="B697" s="159" t="s">
        <v>9455</v>
      </c>
      <c r="C697" s="159" t="s">
        <v>10912</v>
      </c>
      <c r="D697" s="159" t="s">
        <v>477</v>
      </c>
      <c r="E697" s="159">
        <v>32</v>
      </c>
      <c r="F697" s="159" t="s">
        <v>5665</v>
      </c>
      <c r="G697" s="159" t="s">
        <v>10913</v>
      </c>
    </row>
    <row r="698" spans="1:7" ht="15.75" customHeight="1">
      <c r="A698" s="159" t="s">
        <v>9275</v>
      </c>
      <c r="B698" s="159" t="s">
        <v>9455</v>
      </c>
      <c r="C698" s="159" t="s">
        <v>10914</v>
      </c>
      <c r="D698" s="159" t="s">
        <v>978</v>
      </c>
      <c r="E698" s="159">
        <v>5</v>
      </c>
      <c r="F698" s="159" t="s">
        <v>5665</v>
      </c>
      <c r="G698" s="159" t="s">
        <v>10915</v>
      </c>
    </row>
    <row r="699" spans="1:7" ht="15.75" customHeight="1">
      <c r="A699" s="159" t="s">
        <v>9275</v>
      </c>
      <c r="B699" s="159" t="s">
        <v>9457</v>
      </c>
      <c r="C699" s="159" t="s">
        <v>10816</v>
      </c>
      <c r="D699" s="159" t="s">
        <v>484</v>
      </c>
      <c r="E699" s="159">
        <v>10</v>
      </c>
      <c r="F699" s="159" t="s">
        <v>5665</v>
      </c>
      <c r="G699" s="159" t="s">
        <v>10817</v>
      </c>
    </row>
    <row r="700" spans="1:7" ht="15.75" customHeight="1">
      <c r="A700" s="159" t="s">
        <v>9275</v>
      </c>
      <c r="B700" s="159" t="s">
        <v>9457</v>
      </c>
      <c r="C700" s="159" t="s">
        <v>10290</v>
      </c>
      <c r="D700" s="159" t="s">
        <v>978</v>
      </c>
      <c r="E700" s="159">
        <v>5</v>
      </c>
      <c r="F700" s="159" t="s">
        <v>5665</v>
      </c>
      <c r="G700" s="159" t="s">
        <v>10507</v>
      </c>
    </row>
    <row r="701" spans="1:7" ht="15.75" customHeight="1">
      <c r="A701" s="159" t="s">
        <v>9275</v>
      </c>
      <c r="B701" s="159" t="s">
        <v>9457</v>
      </c>
      <c r="C701" s="159" t="s">
        <v>10287</v>
      </c>
      <c r="D701" s="159" t="s">
        <v>484</v>
      </c>
      <c r="E701" s="159">
        <v>10</v>
      </c>
      <c r="F701" s="159" t="s">
        <v>5665</v>
      </c>
      <c r="G701" s="159" t="s">
        <v>10237</v>
      </c>
    </row>
    <row r="702" spans="1:7" ht="15.75" customHeight="1">
      <c r="A702" s="159" t="s">
        <v>9275</v>
      </c>
      <c r="B702" s="159" t="s">
        <v>9457</v>
      </c>
      <c r="C702" s="159" t="s">
        <v>10916</v>
      </c>
      <c r="D702" s="159" t="s">
        <v>477</v>
      </c>
      <c r="E702" s="159">
        <v>255</v>
      </c>
      <c r="F702" s="159" t="s">
        <v>5667</v>
      </c>
      <c r="G702" s="159" t="s">
        <v>10917</v>
      </c>
    </row>
    <row r="703" spans="1:7" ht="15.75" customHeight="1">
      <c r="A703" s="159" t="s">
        <v>9275</v>
      </c>
      <c r="B703" s="159" t="s">
        <v>9457</v>
      </c>
      <c r="C703" s="159" t="s">
        <v>3965</v>
      </c>
      <c r="D703" s="159" t="s">
        <v>484</v>
      </c>
      <c r="E703" s="159">
        <v>10</v>
      </c>
      <c r="F703" s="159" t="s">
        <v>5667</v>
      </c>
      <c r="G703" s="159" t="s">
        <v>10462</v>
      </c>
    </row>
    <row r="704" spans="1:7" ht="15.75" customHeight="1">
      <c r="A704" s="159" t="s">
        <v>9275</v>
      </c>
      <c r="B704" s="159" t="s">
        <v>9457</v>
      </c>
      <c r="C704" s="159" t="s">
        <v>10914</v>
      </c>
      <c r="D704" s="159" t="s">
        <v>978</v>
      </c>
      <c r="E704" s="159">
        <v>5</v>
      </c>
      <c r="F704" s="159" t="s">
        <v>5665</v>
      </c>
      <c r="G704" s="159" t="s">
        <v>10918</v>
      </c>
    </row>
    <row r="705" spans="1:7" ht="15.75" customHeight="1">
      <c r="A705" s="159" t="s">
        <v>9275</v>
      </c>
      <c r="B705" s="159" t="s">
        <v>9457</v>
      </c>
      <c r="C705" s="159" t="s">
        <v>10919</v>
      </c>
      <c r="D705" s="159" t="s">
        <v>484</v>
      </c>
      <c r="E705" s="159">
        <v>10</v>
      </c>
      <c r="F705" s="159" t="s">
        <v>5665</v>
      </c>
      <c r="G705" s="159" t="s">
        <v>10920</v>
      </c>
    </row>
    <row r="706" spans="1:7" ht="15.75" customHeight="1">
      <c r="A706" s="159" t="s">
        <v>9275</v>
      </c>
      <c r="B706" s="159" t="s">
        <v>9459</v>
      </c>
      <c r="C706" s="159" t="s">
        <v>10816</v>
      </c>
      <c r="D706" s="159" t="s">
        <v>484</v>
      </c>
      <c r="E706" s="159">
        <v>10</v>
      </c>
      <c r="F706" s="159" t="s">
        <v>5665</v>
      </c>
      <c r="G706" s="159" t="s">
        <v>10921</v>
      </c>
    </row>
    <row r="707" spans="1:7" ht="15.75" customHeight="1">
      <c r="A707" s="159" t="s">
        <v>9275</v>
      </c>
      <c r="B707" s="159" t="s">
        <v>9459</v>
      </c>
      <c r="C707" s="159" t="s">
        <v>10287</v>
      </c>
      <c r="D707" s="159" t="s">
        <v>484</v>
      </c>
      <c r="E707" s="159">
        <v>10</v>
      </c>
      <c r="F707" s="159" t="s">
        <v>5665</v>
      </c>
      <c r="G707" s="159" t="s">
        <v>10922</v>
      </c>
    </row>
    <row r="708" spans="1:7" ht="15.75" customHeight="1">
      <c r="A708" s="159" t="s">
        <v>9275</v>
      </c>
      <c r="B708" s="159" t="s">
        <v>9461</v>
      </c>
      <c r="C708" s="159" t="s">
        <v>10816</v>
      </c>
      <c r="D708" s="159" t="s">
        <v>484</v>
      </c>
      <c r="E708" s="159">
        <v>10</v>
      </c>
      <c r="F708" s="159" t="s">
        <v>5665</v>
      </c>
      <c r="G708" s="159" t="s">
        <v>10923</v>
      </c>
    </row>
    <row r="709" spans="1:7" ht="15.75" customHeight="1">
      <c r="A709" s="159" t="s">
        <v>9275</v>
      </c>
      <c r="B709" s="159" t="s">
        <v>9461</v>
      </c>
      <c r="C709" s="159" t="s">
        <v>10290</v>
      </c>
      <c r="D709" s="159" t="s">
        <v>978</v>
      </c>
      <c r="E709" s="159">
        <v>5</v>
      </c>
      <c r="F709" s="159" t="s">
        <v>5665</v>
      </c>
      <c r="G709" s="159" t="s">
        <v>10507</v>
      </c>
    </row>
    <row r="710" spans="1:7" ht="15.75" customHeight="1">
      <c r="A710" s="159" t="s">
        <v>9275</v>
      </c>
      <c r="B710" s="159" t="s">
        <v>9461</v>
      </c>
      <c r="C710" s="159" t="s">
        <v>10924</v>
      </c>
      <c r="D710" s="159" t="s">
        <v>477</v>
      </c>
      <c r="E710" s="159">
        <v>32</v>
      </c>
      <c r="F710" s="159" t="s">
        <v>5667</v>
      </c>
      <c r="G710" s="159" t="s">
        <v>10925</v>
      </c>
    </row>
    <row r="711" spans="1:7" ht="15.75" customHeight="1">
      <c r="A711" s="159" t="s">
        <v>9275</v>
      </c>
      <c r="B711" s="159" t="s">
        <v>9461</v>
      </c>
      <c r="C711" s="159" t="s">
        <v>10249</v>
      </c>
      <c r="D711" s="159" t="s">
        <v>3893</v>
      </c>
      <c r="E711" s="159">
        <v>65535</v>
      </c>
      <c r="F711" s="159" t="s">
        <v>5667</v>
      </c>
      <c r="G711" s="159" t="s">
        <v>10926</v>
      </c>
    </row>
    <row r="712" spans="1:7" ht="15.75" customHeight="1">
      <c r="A712" s="159" t="s">
        <v>9275</v>
      </c>
      <c r="B712" s="159" t="s">
        <v>9461</v>
      </c>
      <c r="C712" s="159" t="s">
        <v>5676</v>
      </c>
      <c r="D712" s="159" t="s">
        <v>477</v>
      </c>
      <c r="E712" s="159">
        <v>255</v>
      </c>
      <c r="F712" s="159" t="s">
        <v>5667</v>
      </c>
      <c r="G712" s="159" t="s">
        <v>5186</v>
      </c>
    </row>
    <row r="713" spans="1:7" ht="15.75" customHeight="1">
      <c r="A713" s="159" t="s">
        <v>9275</v>
      </c>
      <c r="B713" s="159" t="s">
        <v>9461</v>
      </c>
      <c r="C713" s="159" t="s">
        <v>5891</v>
      </c>
      <c r="D713" s="159" t="s">
        <v>3893</v>
      </c>
      <c r="E713" s="159">
        <v>65535</v>
      </c>
      <c r="F713" s="159" t="s">
        <v>5667</v>
      </c>
      <c r="G713" s="159" t="s">
        <v>10498</v>
      </c>
    </row>
    <row r="714" spans="1:7" ht="15.75" customHeight="1">
      <c r="A714" s="159" t="s">
        <v>9275</v>
      </c>
      <c r="B714" s="159" t="s">
        <v>9461</v>
      </c>
      <c r="C714" s="159" t="s">
        <v>10927</v>
      </c>
      <c r="D714" s="159" t="s">
        <v>3893</v>
      </c>
      <c r="E714" s="159">
        <v>65535</v>
      </c>
      <c r="F714" s="159" t="s">
        <v>5667</v>
      </c>
      <c r="G714" s="159" t="s">
        <v>10928</v>
      </c>
    </row>
    <row r="715" spans="1:7" ht="15.75" customHeight="1">
      <c r="A715" s="159" t="s">
        <v>9275</v>
      </c>
      <c r="B715" s="159" t="s">
        <v>9463</v>
      </c>
      <c r="C715" s="159" t="s">
        <v>10816</v>
      </c>
      <c r="D715" s="159" t="s">
        <v>484</v>
      </c>
      <c r="E715" s="159">
        <v>10</v>
      </c>
      <c r="F715" s="159" t="s">
        <v>5665</v>
      </c>
      <c r="G715" s="159" t="s">
        <v>10817</v>
      </c>
    </row>
    <row r="716" spans="1:7" ht="15.75" customHeight="1">
      <c r="A716" s="159" t="s">
        <v>9275</v>
      </c>
      <c r="B716" s="159" t="s">
        <v>9463</v>
      </c>
      <c r="C716" s="159" t="s">
        <v>9217</v>
      </c>
      <c r="D716" s="159" t="s">
        <v>978</v>
      </c>
      <c r="E716" s="159">
        <v>5</v>
      </c>
      <c r="F716" s="159" t="s">
        <v>5665</v>
      </c>
      <c r="G716" s="159" t="s">
        <v>10818</v>
      </c>
    </row>
    <row r="717" spans="1:7" ht="15.75" customHeight="1">
      <c r="A717" s="159" t="s">
        <v>9275</v>
      </c>
      <c r="B717" s="159" t="s">
        <v>9463</v>
      </c>
      <c r="C717" s="159" t="s">
        <v>10290</v>
      </c>
      <c r="D717" s="159" t="s">
        <v>978</v>
      </c>
      <c r="E717" s="159">
        <v>5</v>
      </c>
      <c r="F717" s="159" t="s">
        <v>5665</v>
      </c>
      <c r="G717" s="159" t="s">
        <v>10507</v>
      </c>
    </row>
    <row r="718" spans="1:7" ht="15.75" customHeight="1">
      <c r="A718" s="159" t="s">
        <v>9275</v>
      </c>
      <c r="B718" s="159" t="s">
        <v>9463</v>
      </c>
      <c r="C718" s="159" t="s">
        <v>10287</v>
      </c>
      <c r="D718" s="159" t="s">
        <v>484</v>
      </c>
      <c r="E718" s="159">
        <v>10</v>
      </c>
      <c r="F718" s="159" t="s">
        <v>5665</v>
      </c>
      <c r="G718" s="159" t="s">
        <v>10237</v>
      </c>
    </row>
    <row r="719" spans="1:7" ht="15.75" customHeight="1">
      <c r="A719" s="159" t="s">
        <v>9275</v>
      </c>
      <c r="B719" s="159" t="s">
        <v>9463</v>
      </c>
      <c r="C719" s="159" t="s">
        <v>10471</v>
      </c>
      <c r="D719" s="159" t="s">
        <v>10334</v>
      </c>
      <c r="E719" s="159">
        <v>16777215</v>
      </c>
      <c r="F719" s="159" t="s">
        <v>5667</v>
      </c>
      <c r="G719" s="159" t="s">
        <v>10475</v>
      </c>
    </row>
    <row r="720" spans="1:7" ht="15.75" customHeight="1">
      <c r="A720" s="159" t="s">
        <v>9275</v>
      </c>
      <c r="B720" s="159" t="s">
        <v>9465</v>
      </c>
      <c r="C720" s="159" t="s">
        <v>10816</v>
      </c>
      <c r="D720" s="159" t="s">
        <v>484</v>
      </c>
      <c r="E720" s="159">
        <v>10</v>
      </c>
      <c r="F720" s="159" t="s">
        <v>5665</v>
      </c>
      <c r="G720" s="159" t="s">
        <v>10817</v>
      </c>
    </row>
    <row r="721" spans="1:7" ht="15.75" customHeight="1">
      <c r="A721" s="159" t="s">
        <v>9275</v>
      </c>
      <c r="B721" s="159" t="s">
        <v>9465</v>
      </c>
      <c r="C721" s="159" t="s">
        <v>10287</v>
      </c>
      <c r="D721" s="159" t="s">
        <v>484</v>
      </c>
      <c r="E721" s="159">
        <v>10</v>
      </c>
      <c r="F721" s="159" t="s">
        <v>5665</v>
      </c>
      <c r="G721" s="159" t="s">
        <v>10237</v>
      </c>
    </row>
    <row r="722" spans="1:7" ht="15.75" customHeight="1">
      <c r="A722" s="159" t="s">
        <v>9275</v>
      </c>
      <c r="B722" s="159" t="s">
        <v>9465</v>
      </c>
      <c r="C722" s="159" t="s">
        <v>10929</v>
      </c>
      <c r="D722" s="159" t="s">
        <v>978</v>
      </c>
      <c r="E722" s="159">
        <v>5</v>
      </c>
      <c r="F722" s="159" t="s">
        <v>5665</v>
      </c>
      <c r="G722" s="159" t="s">
        <v>10930</v>
      </c>
    </row>
    <row r="723" spans="1:7" ht="15.75" customHeight="1">
      <c r="A723" s="159" t="s">
        <v>9275</v>
      </c>
      <c r="B723" s="159" t="s">
        <v>9465</v>
      </c>
      <c r="C723" s="159" t="s">
        <v>10884</v>
      </c>
      <c r="D723" s="159" t="s">
        <v>484</v>
      </c>
      <c r="E723" s="159">
        <v>10</v>
      </c>
      <c r="F723" s="159" t="s">
        <v>5665</v>
      </c>
      <c r="G723" s="159" t="s">
        <v>10885</v>
      </c>
    </row>
    <row r="724" spans="1:7" ht="15.75" customHeight="1">
      <c r="A724" s="159" t="s">
        <v>9275</v>
      </c>
      <c r="B724" s="159" t="s">
        <v>9465</v>
      </c>
      <c r="C724" s="159" t="s">
        <v>1826</v>
      </c>
      <c r="D724" s="159" t="s">
        <v>481</v>
      </c>
      <c r="E724" s="159">
        <v>12</v>
      </c>
      <c r="F724" s="159" t="s">
        <v>5665</v>
      </c>
      <c r="G724" s="159" t="s">
        <v>6163</v>
      </c>
    </row>
    <row r="725" spans="1:7" ht="15.75" customHeight="1">
      <c r="A725" s="159" t="s">
        <v>9275</v>
      </c>
      <c r="B725" s="159" t="s">
        <v>9465</v>
      </c>
      <c r="C725" s="159" t="s">
        <v>10471</v>
      </c>
      <c r="D725" s="159" t="s">
        <v>481</v>
      </c>
      <c r="E725" s="159">
        <v>20</v>
      </c>
      <c r="F725" s="159" t="s">
        <v>5665</v>
      </c>
      <c r="G725" s="159" t="s">
        <v>10475</v>
      </c>
    </row>
    <row r="726" spans="1:7" ht="15.75" customHeight="1">
      <c r="A726" s="159" t="s">
        <v>9275</v>
      </c>
      <c r="B726" s="159" t="s">
        <v>9465</v>
      </c>
      <c r="C726" s="159" t="s">
        <v>10882</v>
      </c>
      <c r="D726" s="159" t="s">
        <v>978</v>
      </c>
      <c r="E726" s="159">
        <v>5</v>
      </c>
      <c r="F726" s="159" t="s">
        <v>5665</v>
      </c>
      <c r="G726" s="159" t="s">
        <v>10883</v>
      </c>
    </row>
    <row r="727" spans="1:7" ht="15.75" customHeight="1">
      <c r="A727" s="159" t="s">
        <v>9275</v>
      </c>
      <c r="B727" s="159" t="s">
        <v>9465</v>
      </c>
      <c r="C727" s="159" t="s">
        <v>10931</v>
      </c>
      <c r="D727" s="159" t="s">
        <v>481</v>
      </c>
      <c r="E727" s="159">
        <v>5</v>
      </c>
      <c r="F727" s="159" t="s">
        <v>5667</v>
      </c>
      <c r="G727" s="159" t="s">
        <v>10932</v>
      </c>
    </row>
    <row r="728" spans="1:7" ht="15.75" customHeight="1">
      <c r="A728" s="159" t="s">
        <v>9275</v>
      </c>
      <c r="B728" s="159" t="s">
        <v>9467</v>
      </c>
      <c r="C728" s="159" t="s">
        <v>10816</v>
      </c>
      <c r="D728" s="159" t="s">
        <v>484</v>
      </c>
      <c r="E728" s="159">
        <v>10</v>
      </c>
      <c r="F728" s="159" t="s">
        <v>5665</v>
      </c>
      <c r="G728" s="159" t="s">
        <v>10817</v>
      </c>
    </row>
    <row r="729" spans="1:7" ht="15.75" customHeight="1">
      <c r="A729" s="159" t="s">
        <v>9275</v>
      </c>
      <c r="B729" s="159" t="s">
        <v>9467</v>
      </c>
      <c r="C729" s="159" t="s">
        <v>9217</v>
      </c>
      <c r="D729" s="159" t="s">
        <v>978</v>
      </c>
      <c r="E729" s="159">
        <v>5</v>
      </c>
      <c r="F729" s="159" t="s">
        <v>5665</v>
      </c>
      <c r="G729" s="159" t="s">
        <v>10818</v>
      </c>
    </row>
    <row r="730" spans="1:7" ht="15.75" customHeight="1">
      <c r="A730" s="159" t="s">
        <v>9275</v>
      </c>
      <c r="B730" s="159" t="s">
        <v>9467</v>
      </c>
      <c r="C730" s="159" t="s">
        <v>10290</v>
      </c>
      <c r="D730" s="159" t="s">
        <v>978</v>
      </c>
      <c r="E730" s="159">
        <v>5</v>
      </c>
      <c r="F730" s="159" t="s">
        <v>5665</v>
      </c>
      <c r="G730" s="159" t="s">
        <v>10507</v>
      </c>
    </row>
    <row r="731" spans="1:7" ht="15.75" customHeight="1">
      <c r="A731" s="159" t="s">
        <v>9275</v>
      </c>
      <c r="B731" s="159" t="s">
        <v>9467</v>
      </c>
      <c r="C731" s="159" t="s">
        <v>10287</v>
      </c>
      <c r="D731" s="159" t="s">
        <v>484</v>
      </c>
      <c r="E731" s="159">
        <v>10</v>
      </c>
      <c r="F731" s="159" t="s">
        <v>5665</v>
      </c>
      <c r="G731" s="159" t="s">
        <v>10237</v>
      </c>
    </row>
    <row r="732" spans="1:7" ht="15.75" customHeight="1">
      <c r="A732" s="159" t="s">
        <v>9275</v>
      </c>
      <c r="B732" s="159" t="s">
        <v>9467</v>
      </c>
      <c r="C732" s="159" t="s">
        <v>10471</v>
      </c>
      <c r="D732" s="159" t="s">
        <v>477</v>
      </c>
      <c r="E732" s="159">
        <v>255</v>
      </c>
      <c r="F732" s="159" t="s">
        <v>5667</v>
      </c>
      <c r="G732" s="159" t="s">
        <v>10475</v>
      </c>
    </row>
    <row r="733" spans="1:7" ht="15.75" customHeight="1">
      <c r="A733" s="159" t="s">
        <v>9275</v>
      </c>
      <c r="B733" s="159" t="s">
        <v>9469</v>
      </c>
      <c r="C733" s="159" t="s">
        <v>10933</v>
      </c>
      <c r="D733" s="159" t="s">
        <v>1631</v>
      </c>
      <c r="E733" s="159">
        <v>20</v>
      </c>
      <c r="F733" s="159" t="s">
        <v>5665</v>
      </c>
      <c r="G733" s="159" t="s">
        <v>10934</v>
      </c>
    </row>
    <row r="734" spans="1:7" ht="15.75" customHeight="1">
      <c r="A734" s="159" t="s">
        <v>9275</v>
      </c>
      <c r="B734" s="159" t="s">
        <v>9469</v>
      </c>
      <c r="C734" s="159" t="s">
        <v>10906</v>
      </c>
      <c r="D734" s="159" t="s">
        <v>477</v>
      </c>
      <c r="E734" s="159">
        <v>64</v>
      </c>
      <c r="F734" s="159" t="s">
        <v>5665</v>
      </c>
      <c r="G734" s="159" t="s">
        <v>10935</v>
      </c>
    </row>
    <row r="735" spans="1:7" ht="15.75" customHeight="1">
      <c r="A735" s="159" t="s">
        <v>9275</v>
      </c>
      <c r="B735" s="159" t="s">
        <v>9469</v>
      </c>
      <c r="C735" s="159" t="s">
        <v>10826</v>
      </c>
      <c r="D735" s="159" t="s">
        <v>484</v>
      </c>
      <c r="E735" s="159">
        <v>10</v>
      </c>
      <c r="F735" s="159" t="s">
        <v>5667</v>
      </c>
      <c r="G735" s="159" t="s">
        <v>10827</v>
      </c>
    </row>
    <row r="736" spans="1:7" ht="15.75" customHeight="1">
      <c r="A736" s="159" t="s">
        <v>9275</v>
      </c>
      <c r="B736" s="159" t="s">
        <v>9469</v>
      </c>
      <c r="C736" s="159" t="s">
        <v>3940</v>
      </c>
      <c r="D736" s="159" t="s">
        <v>484</v>
      </c>
      <c r="E736" s="159">
        <v>10</v>
      </c>
      <c r="F736" s="159" t="s">
        <v>5667</v>
      </c>
      <c r="G736" s="159" t="s">
        <v>10747</v>
      </c>
    </row>
    <row r="737" spans="1:7" ht="15.75" customHeight="1">
      <c r="A737" s="159" t="s">
        <v>9275</v>
      </c>
      <c r="B737" s="159" t="s">
        <v>9469</v>
      </c>
      <c r="C737" s="159" t="s">
        <v>1394</v>
      </c>
      <c r="D737" s="159" t="s">
        <v>484</v>
      </c>
      <c r="E737" s="159">
        <v>10</v>
      </c>
      <c r="F737" s="159" t="s">
        <v>5665</v>
      </c>
      <c r="G737" s="159" t="s">
        <v>4828</v>
      </c>
    </row>
    <row r="738" spans="1:7" ht="15.75" customHeight="1">
      <c r="A738" s="159" t="s">
        <v>9275</v>
      </c>
      <c r="B738" s="159" t="s">
        <v>9469</v>
      </c>
      <c r="C738" s="159" t="s">
        <v>10936</v>
      </c>
      <c r="D738" s="159" t="s">
        <v>1631</v>
      </c>
      <c r="E738" s="159">
        <v>19</v>
      </c>
      <c r="F738" s="159" t="s">
        <v>5665</v>
      </c>
      <c r="G738" s="159" t="s">
        <v>10937</v>
      </c>
    </row>
    <row r="739" spans="1:7" ht="15.75" customHeight="1">
      <c r="A739" s="159" t="s">
        <v>9275</v>
      </c>
      <c r="B739" s="159" t="s">
        <v>9471</v>
      </c>
      <c r="C739" s="159" t="s">
        <v>10287</v>
      </c>
      <c r="D739" s="159" t="s">
        <v>484</v>
      </c>
      <c r="E739" s="159">
        <v>10</v>
      </c>
      <c r="F739" s="159" t="s">
        <v>5665</v>
      </c>
      <c r="G739" s="159" t="s">
        <v>10237</v>
      </c>
    </row>
    <row r="740" spans="1:7" ht="15.75" customHeight="1">
      <c r="A740" s="159" t="s">
        <v>9275</v>
      </c>
      <c r="B740" s="159" t="s">
        <v>9471</v>
      </c>
      <c r="C740" s="159" t="s">
        <v>9217</v>
      </c>
      <c r="D740" s="159" t="s">
        <v>978</v>
      </c>
      <c r="E740" s="159">
        <v>5</v>
      </c>
      <c r="F740" s="159" t="s">
        <v>5665</v>
      </c>
      <c r="G740" s="159" t="s">
        <v>10818</v>
      </c>
    </row>
    <row r="741" spans="1:7" ht="15.75" customHeight="1">
      <c r="A741" s="159" t="s">
        <v>9275</v>
      </c>
      <c r="B741" s="159" t="s">
        <v>9471</v>
      </c>
      <c r="C741" s="159" t="s">
        <v>10290</v>
      </c>
      <c r="D741" s="159" t="s">
        <v>978</v>
      </c>
      <c r="E741" s="159">
        <v>5</v>
      </c>
      <c r="F741" s="159" t="s">
        <v>5665</v>
      </c>
      <c r="G741" s="159" t="s">
        <v>10507</v>
      </c>
    </row>
    <row r="742" spans="1:7" ht="15.75" customHeight="1">
      <c r="A742" s="159" t="s">
        <v>9275</v>
      </c>
      <c r="B742" s="159" t="s">
        <v>9471</v>
      </c>
      <c r="C742" s="159" t="s">
        <v>10471</v>
      </c>
      <c r="D742" s="159" t="s">
        <v>484</v>
      </c>
      <c r="E742" s="159">
        <v>10</v>
      </c>
      <c r="F742" s="159" t="s">
        <v>5665</v>
      </c>
      <c r="G742" s="159" t="s">
        <v>10475</v>
      </c>
    </row>
    <row r="743" spans="1:7" ht="15.75" customHeight="1">
      <c r="A743" s="159" t="s">
        <v>9275</v>
      </c>
      <c r="B743" s="159" t="s">
        <v>9471</v>
      </c>
      <c r="C743" s="159" t="s">
        <v>10938</v>
      </c>
      <c r="D743" s="159" t="s">
        <v>484</v>
      </c>
      <c r="E743" s="159">
        <v>10</v>
      </c>
      <c r="F743" s="159" t="s">
        <v>5665</v>
      </c>
      <c r="G743" s="159" t="s">
        <v>10939</v>
      </c>
    </row>
    <row r="744" spans="1:7" ht="15.75" customHeight="1">
      <c r="A744" s="159" t="s">
        <v>9275</v>
      </c>
      <c r="B744" s="159" t="s">
        <v>9473</v>
      </c>
      <c r="C744" s="159" t="s">
        <v>10287</v>
      </c>
      <c r="D744" s="159" t="s">
        <v>484</v>
      </c>
      <c r="E744" s="159">
        <v>10</v>
      </c>
      <c r="F744" s="159" t="s">
        <v>5665</v>
      </c>
      <c r="G744" s="159" t="s">
        <v>10237</v>
      </c>
    </row>
    <row r="745" spans="1:7" ht="15.75" customHeight="1">
      <c r="A745" s="159" t="s">
        <v>9275</v>
      </c>
      <c r="B745" s="159" t="s">
        <v>9473</v>
      </c>
      <c r="C745" s="159" t="s">
        <v>9217</v>
      </c>
      <c r="D745" s="159" t="s">
        <v>978</v>
      </c>
      <c r="E745" s="159">
        <v>5</v>
      </c>
      <c r="F745" s="159" t="s">
        <v>5665</v>
      </c>
      <c r="G745" s="159" t="s">
        <v>10818</v>
      </c>
    </row>
    <row r="746" spans="1:7" ht="15.75" customHeight="1">
      <c r="A746" s="159" t="s">
        <v>9275</v>
      </c>
      <c r="B746" s="159" t="s">
        <v>9473</v>
      </c>
      <c r="C746" s="159" t="s">
        <v>10290</v>
      </c>
      <c r="D746" s="159" t="s">
        <v>978</v>
      </c>
      <c r="E746" s="159">
        <v>5</v>
      </c>
      <c r="F746" s="159" t="s">
        <v>5665</v>
      </c>
      <c r="G746" s="159" t="s">
        <v>10507</v>
      </c>
    </row>
    <row r="747" spans="1:7" ht="15.75" customHeight="1">
      <c r="A747" s="159" t="s">
        <v>9275</v>
      </c>
      <c r="B747" s="159" t="s">
        <v>9473</v>
      </c>
      <c r="C747" s="159" t="s">
        <v>10471</v>
      </c>
      <c r="D747" s="159" t="s">
        <v>481</v>
      </c>
      <c r="E747" s="159">
        <v>12</v>
      </c>
      <c r="F747" s="159" t="s">
        <v>5665</v>
      </c>
      <c r="G747" s="159" t="s">
        <v>10475</v>
      </c>
    </row>
    <row r="748" spans="1:7" ht="15.75" customHeight="1">
      <c r="A748" s="159" t="s">
        <v>9275</v>
      </c>
      <c r="B748" s="159" t="s">
        <v>9473</v>
      </c>
      <c r="C748" s="159" t="s">
        <v>10938</v>
      </c>
      <c r="D748" s="159" t="s">
        <v>484</v>
      </c>
      <c r="E748" s="159">
        <v>10</v>
      </c>
      <c r="F748" s="159" t="s">
        <v>5665</v>
      </c>
      <c r="G748" s="159" t="s">
        <v>10939</v>
      </c>
    </row>
    <row r="749" spans="1:7" ht="15.75" customHeight="1">
      <c r="A749" s="159" t="s">
        <v>9275</v>
      </c>
      <c r="B749" s="159" t="s">
        <v>9475</v>
      </c>
      <c r="C749" s="159" t="s">
        <v>10287</v>
      </c>
      <c r="D749" s="159" t="s">
        <v>484</v>
      </c>
      <c r="E749" s="159">
        <v>10</v>
      </c>
      <c r="F749" s="159" t="s">
        <v>5665</v>
      </c>
      <c r="G749" s="159" t="s">
        <v>10237</v>
      </c>
    </row>
    <row r="750" spans="1:7" ht="15.75" customHeight="1">
      <c r="A750" s="159" t="s">
        <v>9275</v>
      </c>
      <c r="B750" s="159" t="s">
        <v>9475</v>
      </c>
      <c r="C750" s="159" t="s">
        <v>9217</v>
      </c>
      <c r="D750" s="159" t="s">
        <v>978</v>
      </c>
      <c r="E750" s="159">
        <v>5</v>
      </c>
      <c r="F750" s="159" t="s">
        <v>5665</v>
      </c>
      <c r="G750" s="159" t="s">
        <v>10818</v>
      </c>
    </row>
    <row r="751" spans="1:7" ht="15.75" customHeight="1">
      <c r="A751" s="159" t="s">
        <v>9275</v>
      </c>
      <c r="B751" s="159" t="s">
        <v>9475</v>
      </c>
      <c r="C751" s="159" t="s">
        <v>10290</v>
      </c>
      <c r="D751" s="159" t="s">
        <v>978</v>
      </c>
      <c r="E751" s="159">
        <v>5</v>
      </c>
      <c r="F751" s="159" t="s">
        <v>5665</v>
      </c>
      <c r="G751" s="159" t="s">
        <v>10507</v>
      </c>
    </row>
    <row r="752" spans="1:7" ht="15.75" customHeight="1">
      <c r="A752" s="159" t="s">
        <v>9275</v>
      </c>
      <c r="B752" s="159" t="s">
        <v>9475</v>
      </c>
      <c r="C752" s="159" t="s">
        <v>10471</v>
      </c>
      <c r="D752" s="159" t="s">
        <v>481</v>
      </c>
      <c r="E752" s="159">
        <v>12</v>
      </c>
      <c r="F752" s="159" t="s">
        <v>5665</v>
      </c>
      <c r="G752" s="159" t="s">
        <v>10475</v>
      </c>
    </row>
    <row r="753" spans="1:7" ht="15.75" customHeight="1">
      <c r="A753" s="159" t="s">
        <v>9275</v>
      </c>
      <c r="B753" s="159" t="s">
        <v>9475</v>
      </c>
      <c r="C753" s="159" t="s">
        <v>10938</v>
      </c>
      <c r="D753" s="159" t="s">
        <v>484</v>
      </c>
      <c r="E753" s="159">
        <v>10</v>
      </c>
      <c r="F753" s="159" t="s">
        <v>5665</v>
      </c>
      <c r="G753" s="159" t="s">
        <v>10939</v>
      </c>
    </row>
    <row r="754" spans="1:7" ht="15.75" customHeight="1">
      <c r="A754" s="159" t="s">
        <v>9275</v>
      </c>
      <c r="B754" s="159" t="s">
        <v>9477</v>
      </c>
      <c r="C754" s="159" t="s">
        <v>10287</v>
      </c>
      <c r="D754" s="159" t="s">
        <v>484</v>
      </c>
      <c r="E754" s="159">
        <v>10</v>
      </c>
      <c r="F754" s="159" t="s">
        <v>5665</v>
      </c>
      <c r="G754" s="159" t="s">
        <v>10237</v>
      </c>
    </row>
    <row r="755" spans="1:7" ht="15.75" customHeight="1">
      <c r="A755" s="159" t="s">
        <v>9275</v>
      </c>
      <c r="B755" s="159" t="s">
        <v>9477</v>
      </c>
      <c r="C755" s="159" t="s">
        <v>9217</v>
      </c>
      <c r="D755" s="159" t="s">
        <v>978</v>
      </c>
      <c r="E755" s="159">
        <v>5</v>
      </c>
      <c r="F755" s="159" t="s">
        <v>5665</v>
      </c>
      <c r="G755" s="159" t="s">
        <v>10818</v>
      </c>
    </row>
    <row r="756" spans="1:7" ht="15.75" customHeight="1">
      <c r="A756" s="159" t="s">
        <v>9275</v>
      </c>
      <c r="B756" s="159" t="s">
        <v>9477</v>
      </c>
      <c r="C756" s="159" t="s">
        <v>10290</v>
      </c>
      <c r="D756" s="159" t="s">
        <v>978</v>
      </c>
      <c r="E756" s="159">
        <v>5</v>
      </c>
      <c r="F756" s="159" t="s">
        <v>5665</v>
      </c>
      <c r="G756" s="159" t="s">
        <v>10507</v>
      </c>
    </row>
    <row r="757" spans="1:7" ht="15.75" customHeight="1">
      <c r="A757" s="159" t="s">
        <v>9275</v>
      </c>
      <c r="B757" s="159" t="s">
        <v>9477</v>
      </c>
      <c r="C757" s="159" t="s">
        <v>10471</v>
      </c>
      <c r="D757" s="159" t="s">
        <v>481</v>
      </c>
      <c r="E757" s="159">
        <v>12</v>
      </c>
      <c r="F757" s="159" t="s">
        <v>5665</v>
      </c>
      <c r="G757" s="159" t="s">
        <v>10475</v>
      </c>
    </row>
    <row r="758" spans="1:7" ht="15.75" customHeight="1">
      <c r="A758" s="159" t="s">
        <v>9275</v>
      </c>
      <c r="B758" s="159" t="s">
        <v>9477</v>
      </c>
      <c r="C758" s="159" t="s">
        <v>10938</v>
      </c>
      <c r="D758" s="159" t="s">
        <v>484</v>
      </c>
      <c r="E758" s="159">
        <v>10</v>
      </c>
      <c r="F758" s="159" t="s">
        <v>5665</v>
      </c>
      <c r="G758" s="159" t="s">
        <v>10939</v>
      </c>
    </row>
    <row r="759" spans="1:7" ht="15.75" customHeight="1">
      <c r="A759" s="159" t="s">
        <v>9275</v>
      </c>
      <c r="B759" s="159" t="s">
        <v>9478</v>
      </c>
      <c r="C759" s="159" t="s">
        <v>10287</v>
      </c>
      <c r="D759" s="159" t="s">
        <v>484</v>
      </c>
      <c r="E759" s="159">
        <v>10</v>
      </c>
      <c r="F759" s="159" t="s">
        <v>5665</v>
      </c>
      <c r="G759" s="159" t="s">
        <v>10237</v>
      </c>
    </row>
    <row r="760" spans="1:7" ht="15.75" customHeight="1">
      <c r="A760" s="159" t="s">
        <v>9275</v>
      </c>
      <c r="B760" s="159" t="s">
        <v>9478</v>
      </c>
      <c r="C760" s="159" t="s">
        <v>9217</v>
      </c>
      <c r="D760" s="159" t="s">
        <v>978</v>
      </c>
      <c r="E760" s="159">
        <v>5</v>
      </c>
      <c r="F760" s="159" t="s">
        <v>5665</v>
      </c>
      <c r="G760" s="159" t="s">
        <v>10818</v>
      </c>
    </row>
    <row r="761" spans="1:7" ht="15.75" customHeight="1">
      <c r="A761" s="159" t="s">
        <v>9275</v>
      </c>
      <c r="B761" s="159" t="s">
        <v>9478</v>
      </c>
      <c r="C761" s="159" t="s">
        <v>10290</v>
      </c>
      <c r="D761" s="159" t="s">
        <v>978</v>
      </c>
      <c r="E761" s="159">
        <v>5</v>
      </c>
      <c r="F761" s="159" t="s">
        <v>5665</v>
      </c>
      <c r="G761" s="159" t="s">
        <v>10507</v>
      </c>
    </row>
    <row r="762" spans="1:7" ht="15.75" customHeight="1">
      <c r="A762" s="159" t="s">
        <v>9275</v>
      </c>
      <c r="B762" s="159" t="s">
        <v>9478</v>
      </c>
      <c r="C762" s="159" t="s">
        <v>10471</v>
      </c>
      <c r="D762" s="159" t="s">
        <v>481</v>
      </c>
      <c r="E762" s="159">
        <v>12</v>
      </c>
      <c r="F762" s="159" t="s">
        <v>5665</v>
      </c>
      <c r="G762" s="159" t="s">
        <v>10475</v>
      </c>
    </row>
    <row r="763" spans="1:7" ht="15.75" customHeight="1">
      <c r="A763" s="159" t="s">
        <v>9275</v>
      </c>
      <c r="B763" s="159" t="s">
        <v>9478</v>
      </c>
      <c r="C763" s="159" t="s">
        <v>10938</v>
      </c>
      <c r="D763" s="159" t="s">
        <v>484</v>
      </c>
      <c r="E763" s="159">
        <v>10</v>
      </c>
      <c r="F763" s="159" t="s">
        <v>5665</v>
      </c>
      <c r="G763" s="159" t="s">
        <v>10939</v>
      </c>
    </row>
    <row r="764" spans="1:7" ht="15.75" customHeight="1">
      <c r="A764" s="159" t="s">
        <v>9275</v>
      </c>
      <c r="B764" s="159" t="s">
        <v>9480</v>
      </c>
      <c r="C764" s="159" t="s">
        <v>10287</v>
      </c>
      <c r="D764" s="159" t="s">
        <v>484</v>
      </c>
      <c r="E764" s="159">
        <v>10</v>
      </c>
      <c r="F764" s="159" t="s">
        <v>5665</v>
      </c>
      <c r="G764" s="159" t="s">
        <v>10237</v>
      </c>
    </row>
    <row r="765" spans="1:7" ht="15.75" customHeight="1">
      <c r="A765" s="159" t="s">
        <v>9275</v>
      </c>
      <c r="B765" s="159" t="s">
        <v>9480</v>
      </c>
      <c r="C765" s="159" t="s">
        <v>9217</v>
      </c>
      <c r="D765" s="159" t="s">
        <v>978</v>
      </c>
      <c r="E765" s="159">
        <v>5</v>
      </c>
      <c r="F765" s="159" t="s">
        <v>5665</v>
      </c>
      <c r="G765" s="159" t="s">
        <v>10818</v>
      </c>
    </row>
    <row r="766" spans="1:7" ht="15.75" customHeight="1">
      <c r="A766" s="159" t="s">
        <v>9275</v>
      </c>
      <c r="B766" s="159" t="s">
        <v>9480</v>
      </c>
      <c r="C766" s="159" t="s">
        <v>10290</v>
      </c>
      <c r="D766" s="159" t="s">
        <v>978</v>
      </c>
      <c r="E766" s="159">
        <v>5</v>
      </c>
      <c r="F766" s="159" t="s">
        <v>5665</v>
      </c>
      <c r="G766" s="159" t="s">
        <v>10507</v>
      </c>
    </row>
    <row r="767" spans="1:7" ht="15.75" customHeight="1">
      <c r="A767" s="159" t="s">
        <v>9275</v>
      </c>
      <c r="B767" s="159" t="s">
        <v>9480</v>
      </c>
      <c r="C767" s="159" t="s">
        <v>10471</v>
      </c>
      <c r="D767" s="159" t="s">
        <v>484</v>
      </c>
      <c r="E767" s="159">
        <v>10</v>
      </c>
      <c r="F767" s="159" t="s">
        <v>5665</v>
      </c>
      <c r="G767" s="159" t="s">
        <v>10475</v>
      </c>
    </row>
    <row r="768" spans="1:7" ht="15.75" customHeight="1">
      <c r="A768" s="159" t="s">
        <v>9275</v>
      </c>
      <c r="B768" s="159" t="s">
        <v>9480</v>
      </c>
      <c r="C768" s="159" t="s">
        <v>10938</v>
      </c>
      <c r="D768" s="159" t="s">
        <v>484</v>
      </c>
      <c r="E768" s="159">
        <v>10</v>
      </c>
      <c r="F768" s="159" t="s">
        <v>5665</v>
      </c>
      <c r="G768" s="159" t="s">
        <v>10939</v>
      </c>
    </row>
    <row r="769" spans="1:7" ht="15.75" customHeight="1">
      <c r="A769" s="159" t="s">
        <v>9275</v>
      </c>
      <c r="B769" s="159" t="s">
        <v>9482</v>
      </c>
      <c r="C769" s="159" t="s">
        <v>10287</v>
      </c>
      <c r="D769" s="159" t="s">
        <v>484</v>
      </c>
      <c r="E769" s="159">
        <v>10</v>
      </c>
      <c r="F769" s="159" t="s">
        <v>5665</v>
      </c>
      <c r="G769" s="159" t="s">
        <v>10237</v>
      </c>
    </row>
    <row r="770" spans="1:7" ht="15.75" customHeight="1">
      <c r="A770" s="159" t="s">
        <v>9275</v>
      </c>
      <c r="B770" s="159" t="s">
        <v>9482</v>
      </c>
      <c r="C770" s="159" t="s">
        <v>9217</v>
      </c>
      <c r="D770" s="159" t="s">
        <v>978</v>
      </c>
      <c r="E770" s="159">
        <v>5</v>
      </c>
      <c r="F770" s="159" t="s">
        <v>5665</v>
      </c>
      <c r="G770" s="159" t="s">
        <v>10818</v>
      </c>
    </row>
    <row r="771" spans="1:7" ht="15.75" customHeight="1">
      <c r="A771" s="159" t="s">
        <v>9275</v>
      </c>
      <c r="B771" s="159" t="s">
        <v>9482</v>
      </c>
      <c r="C771" s="159" t="s">
        <v>10290</v>
      </c>
      <c r="D771" s="159" t="s">
        <v>978</v>
      </c>
      <c r="E771" s="159">
        <v>5</v>
      </c>
      <c r="F771" s="159" t="s">
        <v>5665</v>
      </c>
      <c r="G771" s="159" t="s">
        <v>10507</v>
      </c>
    </row>
    <row r="772" spans="1:7" ht="15.75" customHeight="1">
      <c r="A772" s="159" t="s">
        <v>9275</v>
      </c>
      <c r="B772" s="159" t="s">
        <v>9482</v>
      </c>
      <c r="C772" s="159" t="s">
        <v>10471</v>
      </c>
      <c r="D772" s="159" t="s">
        <v>484</v>
      </c>
      <c r="E772" s="159">
        <v>10</v>
      </c>
      <c r="F772" s="159" t="s">
        <v>5665</v>
      </c>
      <c r="G772" s="159" t="s">
        <v>10475</v>
      </c>
    </row>
    <row r="773" spans="1:7" ht="15.75" customHeight="1">
      <c r="A773" s="159" t="s">
        <v>9275</v>
      </c>
      <c r="B773" s="159" t="s">
        <v>9482</v>
      </c>
      <c r="C773" s="159" t="s">
        <v>10938</v>
      </c>
      <c r="D773" s="159" t="s">
        <v>484</v>
      </c>
      <c r="E773" s="159">
        <v>10</v>
      </c>
      <c r="F773" s="159" t="s">
        <v>5665</v>
      </c>
      <c r="G773" s="159" t="s">
        <v>10939</v>
      </c>
    </row>
    <row r="774" spans="1:7" ht="15.75" customHeight="1">
      <c r="A774" s="159" t="s">
        <v>9275</v>
      </c>
      <c r="B774" s="159" t="s">
        <v>9483</v>
      </c>
      <c r="C774" s="159" t="s">
        <v>10287</v>
      </c>
      <c r="D774" s="159" t="s">
        <v>484</v>
      </c>
      <c r="E774" s="159">
        <v>10</v>
      </c>
      <c r="F774" s="159" t="s">
        <v>5665</v>
      </c>
      <c r="G774" s="159" t="s">
        <v>10237</v>
      </c>
    </row>
    <row r="775" spans="1:7" ht="15.75" customHeight="1">
      <c r="A775" s="159" t="s">
        <v>9275</v>
      </c>
      <c r="B775" s="159" t="s">
        <v>9483</v>
      </c>
      <c r="C775" s="159" t="s">
        <v>9217</v>
      </c>
      <c r="D775" s="159" t="s">
        <v>978</v>
      </c>
      <c r="E775" s="159">
        <v>5</v>
      </c>
      <c r="F775" s="159" t="s">
        <v>5665</v>
      </c>
      <c r="G775" s="159" t="s">
        <v>10818</v>
      </c>
    </row>
    <row r="776" spans="1:7" ht="15.75" customHeight="1">
      <c r="A776" s="159" t="s">
        <v>9275</v>
      </c>
      <c r="B776" s="159" t="s">
        <v>9483</v>
      </c>
      <c r="C776" s="159" t="s">
        <v>10290</v>
      </c>
      <c r="D776" s="159" t="s">
        <v>978</v>
      </c>
      <c r="E776" s="159">
        <v>5</v>
      </c>
      <c r="F776" s="159" t="s">
        <v>5665</v>
      </c>
      <c r="G776" s="159" t="s">
        <v>10507</v>
      </c>
    </row>
    <row r="777" spans="1:7" ht="15.75" customHeight="1">
      <c r="A777" s="159" t="s">
        <v>9275</v>
      </c>
      <c r="B777" s="159" t="s">
        <v>9483</v>
      </c>
      <c r="C777" s="159" t="s">
        <v>10471</v>
      </c>
      <c r="D777" s="159" t="s">
        <v>484</v>
      </c>
      <c r="E777" s="159">
        <v>10</v>
      </c>
      <c r="F777" s="159" t="s">
        <v>5665</v>
      </c>
      <c r="G777" s="159" t="s">
        <v>10475</v>
      </c>
    </row>
    <row r="778" spans="1:7" ht="15.75" customHeight="1">
      <c r="A778" s="159" t="s">
        <v>9275</v>
      </c>
      <c r="B778" s="159" t="s">
        <v>9483</v>
      </c>
      <c r="C778" s="159" t="s">
        <v>10938</v>
      </c>
      <c r="D778" s="159" t="s">
        <v>484</v>
      </c>
      <c r="E778" s="159">
        <v>10</v>
      </c>
      <c r="F778" s="159" t="s">
        <v>5665</v>
      </c>
      <c r="G778" s="159" t="s">
        <v>10939</v>
      </c>
    </row>
    <row r="779" spans="1:7" ht="15.75" customHeight="1">
      <c r="A779" s="159" t="s">
        <v>9275</v>
      </c>
      <c r="B779" s="159" t="s">
        <v>9485</v>
      </c>
      <c r="C779" s="159" t="s">
        <v>10287</v>
      </c>
      <c r="D779" s="159" t="s">
        <v>484</v>
      </c>
      <c r="E779" s="159">
        <v>10</v>
      </c>
      <c r="F779" s="159" t="s">
        <v>5665</v>
      </c>
      <c r="G779" s="159" t="s">
        <v>10237</v>
      </c>
    </row>
    <row r="780" spans="1:7" ht="15.75" customHeight="1">
      <c r="A780" s="159" t="s">
        <v>9275</v>
      </c>
      <c r="B780" s="159" t="s">
        <v>9485</v>
      </c>
      <c r="C780" s="159" t="s">
        <v>10884</v>
      </c>
      <c r="D780" s="159" t="s">
        <v>484</v>
      </c>
      <c r="E780" s="159">
        <v>10</v>
      </c>
      <c r="F780" s="159" t="s">
        <v>5665</v>
      </c>
      <c r="G780" s="159" t="s">
        <v>10885</v>
      </c>
    </row>
    <row r="781" spans="1:7" ht="15.75" customHeight="1">
      <c r="A781" s="159" t="s">
        <v>9275</v>
      </c>
      <c r="B781" s="159" t="s">
        <v>9485</v>
      </c>
      <c r="C781" s="159" t="s">
        <v>10882</v>
      </c>
      <c r="D781" s="159" t="s">
        <v>978</v>
      </c>
      <c r="E781" s="159">
        <v>5</v>
      </c>
      <c r="F781" s="159" t="s">
        <v>5665</v>
      </c>
      <c r="G781" s="159" t="s">
        <v>10883</v>
      </c>
    </row>
    <row r="782" spans="1:7" ht="15.75" customHeight="1">
      <c r="A782" s="159" t="s">
        <v>9275</v>
      </c>
      <c r="B782" s="159" t="s">
        <v>9485</v>
      </c>
      <c r="C782" s="159" t="s">
        <v>10940</v>
      </c>
      <c r="D782" s="159" t="s">
        <v>978</v>
      </c>
      <c r="E782" s="159">
        <v>5</v>
      </c>
      <c r="F782" s="159" t="s">
        <v>5667</v>
      </c>
      <c r="G782" s="159" t="s">
        <v>10941</v>
      </c>
    </row>
    <row r="783" spans="1:7" ht="15.75" customHeight="1">
      <c r="A783" s="159" t="s">
        <v>9275</v>
      </c>
      <c r="B783" s="159" t="s">
        <v>9485</v>
      </c>
      <c r="C783" s="159" t="s">
        <v>10942</v>
      </c>
      <c r="D783" s="159" t="s">
        <v>481</v>
      </c>
      <c r="E783" s="159">
        <v>20</v>
      </c>
      <c r="F783" s="159" t="s">
        <v>5667</v>
      </c>
      <c r="G783" s="159" t="s">
        <v>3497</v>
      </c>
    </row>
    <row r="784" spans="1:7" ht="15.75" customHeight="1">
      <c r="A784" s="159" t="s">
        <v>9275</v>
      </c>
      <c r="B784" s="159" t="s">
        <v>9485</v>
      </c>
      <c r="C784" s="159" t="s">
        <v>10943</v>
      </c>
      <c r="D784" s="159" t="s">
        <v>481</v>
      </c>
      <c r="E784" s="159">
        <v>20</v>
      </c>
      <c r="F784" s="159" t="s">
        <v>5667</v>
      </c>
      <c r="G784" s="159" t="s">
        <v>10944</v>
      </c>
    </row>
    <row r="785" spans="1:7" ht="15.75" customHeight="1">
      <c r="A785" s="159" t="s">
        <v>9275</v>
      </c>
      <c r="B785" s="159" t="s">
        <v>9485</v>
      </c>
      <c r="C785" s="159" t="s">
        <v>10886</v>
      </c>
      <c r="D785" s="159" t="s">
        <v>481</v>
      </c>
      <c r="E785" s="159">
        <v>20</v>
      </c>
      <c r="F785" s="159" t="s">
        <v>5667</v>
      </c>
      <c r="G785" s="159" t="s">
        <v>10887</v>
      </c>
    </row>
    <row r="786" spans="1:7" ht="15.75" customHeight="1">
      <c r="A786" s="159" t="s">
        <v>9275</v>
      </c>
      <c r="B786" s="159" t="s">
        <v>9485</v>
      </c>
      <c r="C786" s="159" t="s">
        <v>10888</v>
      </c>
      <c r="D786" s="159" t="s">
        <v>481</v>
      </c>
      <c r="E786" s="159">
        <v>20</v>
      </c>
      <c r="F786" s="159" t="s">
        <v>5667</v>
      </c>
      <c r="G786" s="159" t="s">
        <v>10889</v>
      </c>
    </row>
    <row r="787" spans="1:7" ht="15.75" customHeight="1">
      <c r="A787" s="159" t="s">
        <v>9275</v>
      </c>
      <c r="B787" s="159" t="s">
        <v>9485</v>
      </c>
      <c r="C787" s="159" t="s">
        <v>10945</v>
      </c>
      <c r="D787" s="159" t="s">
        <v>481</v>
      </c>
      <c r="E787" s="159">
        <v>20</v>
      </c>
      <c r="F787" s="159" t="s">
        <v>5667</v>
      </c>
      <c r="G787" s="159" t="s">
        <v>10946</v>
      </c>
    </row>
    <row r="788" spans="1:7" ht="15.75" customHeight="1">
      <c r="A788" s="159" t="s">
        <v>9275</v>
      </c>
      <c r="B788" s="159" t="s">
        <v>9487</v>
      </c>
      <c r="C788" s="159" t="s">
        <v>10287</v>
      </c>
      <c r="D788" s="159" t="s">
        <v>484</v>
      </c>
      <c r="E788" s="159">
        <v>10</v>
      </c>
      <c r="F788" s="159" t="s">
        <v>5665</v>
      </c>
      <c r="G788" s="159" t="s">
        <v>10237</v>
      </c>
    </row>
    <row r="789" spans="1:7" ht="15.75" customHeight="1">
      <c r="A789" s="159" t="s">
        <v>9275</v>
      </c>
      <c r="B789" s="159" t="s">
        <v>9487</v>
      </c>
      <c r="C789" s="159" t="s">
        <v>10884</v>
      </c>
      <c r="D789" s="159" t="s">
        <v>484</v>
      </c>
      <c r="E789" s="159">
        <v>10</v>
      </c>
      <c r="F789" s="159" t="s">
        <v>5665</v>
      </c>
      <c r="G789" s="159"/>
    </row>
    <row r="790" spans="1:7" ht="15.75" customHeight="1">
      <c r="A790" s="159" t="s">
        <v>9275</v>
      </c>
      <c r="B790" s="159" t="s">
        <v>9487</v>
      </c>
      <c r="C790" s="159" t="s">
        <v>10882</v>
      </c>
      <c r="D790" s="159" t="s">
        <v>978</v>
      </c>
      <c r="E790" s="159">
        <v>5</v>
      </c>
      <c r="F790" s="159" t="s">
        <v>5665</v>
      </c>
      <c r="G790" s="159" t="s">
        <v>10883</v>
      </c>
    </row>
    <row r="791" spans="1:7" ht="15.75" customHeight="1">
      <c r="A791" s="159" t="s">
        <v>9275</v>
      </c>
      <c r="B791" s="159" t="s">
        <v>9487</v>
      </c>
      <c r="C791" s="159" t="s">
        <v>10940</v>
      </c>
      <c r="D791" s="159" t="s">
        <v>978</v>
      </c>
      <c r="E791" s="159">
        <v>5</v>
      </c>
      <c r="F791" s="159" t="s">
        <v>5667</v>
      </c>
      <c r="G791" s="159" t="s">
        <v>10941</v>
      </c>
    </row>
    <row r="792" spans="1:7" ht="15.75" customHeight="1">
      <c r="A792" s="159" t="s">
        <v>9275</v>
      </c>
      <c r="B792" s="159" t="s">
        <v>9487</v>
      </c>
      <c r="C792" s="159" t="s">
        <v>2794</v>
      </c>
      <c r="D792" s="159" t="s">
        <v>978</v>
      </c>
      <c r="E792" s="159">
        <v>5</v>
      </c>
      <c r="F792" s="159" t="s">
        <v>5665</v>
      </c>
      <c r="G792" s="159" t="s">
        <v>10947</v>
      </c>
    </row>
    <row r="793" spans="1:7" ht="15.75" customHeight="1">
      <c r="A793" s="159" t="s">
        <v>9275</v>
      </c>
      <c r="B793" s="159" t="s">
        <v>9487</v>
      </c>
      <c r="C793" s="159" t="s">
        <v>10948</v>
      </c>
      <c r="D793" s="159" t="s">
        <v>481</v>
      </c>
      <c r="E793" s="159">
        <v>20</v>
      </c>
      <c r="F793" s="159" t="s">
        <v>5667</v>
      </c>
      <c r="G793" s="159" t="s">
        <v>10949</v>
      </c>
    </row>
    <row r="794" spans="1:7" ht="15.75" customHeight="1">
      <c r="A794" s="159" t="s">
        <v>9275</v>
      </c>
      <c r="B794" s="159" t="s">
        <v>9487</v>
      </c>
      <c r="C794" s="159" t="s">
        <v>10950</v>
      </c>
      <c r="D794" s="159" t="s">
        <v>481</v>
      </c>
      <c r="E794" s="159">
        <v>20</v>
      </c>
      <c r="F794" s="159" t="s">
        <v>5667</v>
      </c>
      <c r="G794" s="159" t="s">
        <v>10951</v>
      </c>
    </row>
    <row r="795" spans="1:7" ht="15.75" customHeight="1">
      <c r="A795" s="159" t="s">
        <v>9275</v>
      </c>
      <c r="B795" s="159" t="s">
        <v>9487</v>
      </c>
      <c r="C795" s="159" t="s">
        <v>10952</v>
      </c>
      <c r="D795" s="159" t="s">
        <v>481</v>
      </c>
      <c r="E795" s="159">
        <v>20</v>
      </c>
      <c r="F795" s="159" t="s">
        <v>5667</v>
      </c>
      <c r="G795" s="159" t="s">
        <v>10953</v>
      </c>
    </row>
    <row r="796" spans="1:7" ht="15.75" customHeight="1">
      <c r="A796" s="159" t="s">
        <v>9275</v>
      </c>
      <c r="B796" s="159" t="s">
        <v>9487</v>
      </c>
      <c r="C796" s="159" t="s">
        <v>10942</v>
      </c>
      <c r="D796" s="159" t="s">
        <v>481</v>
      </c>
      <c r="E796" s="159">
        <v>20</v>
      </c>
      <c r="F796" s="159" t="s">
        <v>5667</v>
      </c>
      <c r="G796" s="159" t="s">
        <v>3497</v>
      </c>
    </row>
    <row r="797" spans="1:7" ht="15.75" customHeight="1">
      <c r="A797" s="159" t="s">
        <v>9275</v>
      </c>
      <c r="B797" s="159" t="s">
        <v>9487</v>
      </c>
      <c r="C797" s="159" t="s">
        <v>10886</v>
      </c>
      <c r="D797" s="159" t="s">
        <v>481</v>
      </c>
      <c r="E797" s="159">
        <v>20</v>
      </c>
      <c r="F797" s="159" t="s">
        <v>5667</v>
      </c>
      <c r="G797" s="159" t="s">
        <v>10887</v>
      </c>
    </row>
    <row r="798" spans="1:7" ht="15.75" customHeight="1">
      <c r="A798" s="159" t="s">
        <v>9275</v>
      </c>
      <c r="B798" s="159" t="s">
        <v>9487</v>
      </c>
      <c r="C798" s="159" t="s">
        <v>10888</v>
      </c>
      <c r="D798" s="159" t="s">
        <v>481</v>
      </c>
      <c r="E798" s="159">
        <v>20</v>
      </c>
      <c r="F798" s="159" t="s">
        <v>5667</v>
      </c>
      <c r="G798" s="159" t="s">
        <v>10889</v>
      </c>
    </row>
    <row r="799" spans="1:7" ht="15.75" customHeight="1">
      <c r="A799" s="159" t="s">
        <v>9275</v>
      </c>
      <c r="B799" s="159" t="s">
        <v>9487</v>
      </c>
      <c r="C799" s="159" t="s">
        <v>10945</v>
      </c>
      <c r="D799" s="159" t="s">
        <v>481</v>
      </c>
      <c r="E799" s="159">
        <v>20</v>
      </c>
      <c r="F799" s="159" t="s">
        <v>5667</v>
      </c>
      <c r="G799" s="159" t="s">
        <v>10946</v>
      </c>
    </row>
    <row r="800" spans="1:7" ht="15.75" customHeight="1">
      <c r="A800" s="159" t="s">
        <v>9275</v>
      </c>
      <c r="B800" s="159" t="s">
        <v>9487</v>
      </c>
      <c r="C800" s="159" t="s">
        <v>10954</v>
      </c>
      <c r="D800" s="159" t="s">
        <v>481</v>
      </c>
      <c r="E800" s="159">
        <v>20</v>
      </c>
      <c r="F800" s="159" t="s">
        <v>5667</v>
      </c>
      <c r="G800" s="159" t="s">
        <v>10955</v>
      </c>
    </row>
    <row r="801" spans="1:7" ht="15.75" customHeight="1">
      <c r="A801" s="159" t="s">
        <v>9275</v>
      </c>
      <c r="B801" s="159" t="s">
        <v>9489</v>
      </c>
      <c r="C801" s="159" t="s">
        <v>10287</v>
      </c>
      <c r="D801" s="159" t="s">
        <v>484</v>
      </c>
      <c r="E801" s="159">
        <v>10</v>
      </c>
      <c r="F801" s="159" t="s">
        <v>5665</v>
      </c>
      <c r="G801" s="159" t="s">
        <v>10237</v>
      </c>
    </row>
    <row r="802" spans="1:7" ht="15.75" customHeight="1">
      <c r="A802" s="159" t="s">
        <v>9275</v>
      </c>
      <c r="B802" s="159" t="s">
        <v>9489</v>
      </c>
      <c r="C802" s="159" t="s">
        <v>10884</v>
      </c>
      <c r="D802" s="159" t="s">
        <v>484</v>
      </c>
      <c r="E802" s="159">
        <v>10</v>
      </c>
      <c r="F802" s="159" t="s">
        <v>5665</v>
      </c>
      <c r="G802" s="159"/>
    </row>
    <row r="803" spans="1:7" ht="15.75" customHeight="1">
      <c r="A803" s="159" t="s">
        <v>9275</v>
      </c>
      <c r="B803" s="159" t="s">
        <v>9489</v>
      </c>
      <c r="C803" s="159" t="s">
        <v>10882</v>
      </c>
      <c r="D803" s="159" t="s">
        <v>978</v>
      </c>
      <c r="E803" s="159">
        <v>5</v>
      </c>
      <c r="F803" s="159" t="s">
        <v>5665</v>
      </c>
      <c r="G803" s="159" t="s">
        <v>10883</v>
      </c>
    </row>
    <row r="804" spans="1:7" ht="15.75" customHeight="1">
      <c r="A804" s="159" t="s">
        <v>9275</v>
      </c>
      <c r="B804" s="159" t="s">
        <v>9489</v>
      </c>
      <c r="C804" s="159" t="s">
        <v>10467</v>
      </c>
      <c r="D804" s="159" t="s">
        <v>484</v>
      </c>
      <c r="E804" s="159">
        <v>10</v>
      </c>
      <c r="F804" s="159" t="s">
        <v>5665</v>
      </c>
      <c r="G804" s="159" t="s">
        <v>10468</v>
      </c>
    </row>
    <row r="805" spans="1:7" ht="15.75" customHeight="1">
      <c r="A805" s="159" t="s">
        <v>9275</v>
      </c>
      <c r="B805" s="159" t="s">
        <v>9489</v>
      </c>
      <c r="C805" s="159" t="s">
        <v>10886</v>
      </c>
      <c r="D805" s="159" t="s">
        <v>481</v>
      </c>
      <c r="E805" s="159">
        <v>20</v>
      </c>
      <c r="F805" s="159" t="s">
        <v>5667</v>
      </c>
      <c r="G805" s="159" t="s">
        <v>10887</v>
      </c>
    </row>
    <row r="806" spans="1:7" ht="15.75" customHeight="1">
      <c r="A806" s="159" t="s">
        <v>9275</v>
      </c>
      <c r="B806" s="159" t="s">
        <v>9489</v>
      </c>
      <c r="C806" s="159" t="s">
        <v>10956</v>
      </c>
      <c r="D806" s="159" t="s">
        <v>481</v>
      </c>
      <c r="E806" s="159">
        <v>20</v>
      </c>
      <c r="F806" s="159" t="s">
        <v>5667</v>
      </c>
      <c r="G806" s="159" t="s">
        <v>10957</v>
      </c>
    </row>
    <row r="807" spans="1:7" ht="15.75" customHeight="1">
      <c r="A807" s="159" t="s">
        <v>9275</v>
      </c>
      <c r="B807" s="159" t="s">
        <v>9489</v>
      </c>
      <c r="C807" s="159" t="s">
        <v>10888</v>
      </c>
      <c r="D807" s="159" t="s">
        <v>481</v>
      </c>
      <c r="E807" s="159">
        <v>20</v>
      </c>
      <c r="F807" s="159" t="s">
        <v>5667</v>
      </c>
      <c r="G807" s="159" t="s">
        <v>10889</v>
      </c>
    </row>
    <row r="808" spans="1:7" ht="15.75" customHeight="1">
      <c r="A808" s="159" t="s">
        <v>9275</v>
      </c>
      <c r="B808" s="159" t="s">
        <v>9489</v>
      </c>
      <c r="C808" s="159" t="s">
        <v>10945</v>
      </c>
      <c r="D808" s="159" t="s">
        <v>481</v>
      </c>
      <c r="E808" s="159">
        <v>20</v>
      </c>
      <c r="F808" s="159" t="s">
        <v>5667</v>
      </c>
      <c r="G808" s="159" t="s">
        <v>10946</v>
      </c>
    </row>
    <row r="809" spans="1:7" ht="15.75" customHeight="1">
      <c r="A809" s="159" t="s">
        <v>9275</v>
      </c>
      <c r="B809" s="159" t="s">
        <v>9489</v>
      </c>
      <c r="C809" s="159" t="s">
        <v>10958</v>
      </c>
      <c r="D809" s="159" t="s">
        <v>481</v>
      </c>
      <c r="E809" s="159">
        <v>20</v>
      </c>
      <c r="F809" s="159" t="s">
        <v>5667</v>
      </c>
      <c r="G809" s="159" t="s">
        <v>10959</v>
      </c>
    </row>
    <row r="810" spans="1:7" ht="15.75" customHeight="1">
      <c r="A810" s="159" t="s">
        <v>9275</v>
      </c>
      <c r="B810" s="159" t="s">
        <v>9491</v>
      </c>
      <c r="C810" s="159" t="s">
        <v>10287</v>
      </c>
      <c r="D810" s="159" t="s">
        <v>484</v>
      </c>
      <c r="E810" s="159">
        <v>10</v>
      </c>
      <c r="F810" s="159" t="s">
        <v>5665</v>
      </c>
      <c r="G810" s="159" t="s">
        <v>10237</v>
      </c>
    </row>
    <row r="811" spans="1:7" ht="15.75" customHeight="1">
      <c r="A811" s="159" t="s">
        <v>9275</v>
      </c>
      <c r="B811" s="159" t="s">
        <v>9491</v>
      </c>
      <c r="C811" s="159" t="s">
        <v>10884</v>
      </c>
      <c r="D811" s="159" t="s">
        <v>484</v>
      </c>
      <c r="E811" s="159">
        <v>10</v>
      </c>
      <c r="F811" s="159" t="s">
        <v>5665</v>
      </c>
      <c r="G811" s="159"/>
    </row>
    <row r="812" spans="1:7" ht="15.75" customHeight="1">
      <c r="A812" s="159" t="s">
        <v>9275</v>
      </c>
      <c r="B812" s="159" t="s">
        <v>9491</v>
      </c>
      <c r="C812" s="159" t="s">
        <v>10882</v>
      </c>
      <c r="D812" s="159" t="s">
        <v>978</v>
      </c>
      <c r="E812" s="159">
        <v>5</v>
      </c>
      <c r="F812" s="159" t="s">
        <v>5665</v>
      </c>
      <c r="G812" s="159" t="s">
        <v>10883</v>
      </c>
    </row>
    <row r="813" spans="1:7" ht="15.75" customHeight="1">
      <c r="A813" s="159" t="s">
        <v>9275</v>
      </c>
      <c r="B813" s="159" t="s">
        <v>9491</v>
      </c>
      <c r="C813" s="159" t="s">
        <v>10467</v>
      </c>
      <c r="D813" s="159" t="s">
        <v>484</v>
      </c>
      <c r="E813" s="159">
        <v>10</v>
      </c>
      <c r="F813" s="159" t="s">
        <v>5665</v>
      </c>
      <c r="G813" s="159" t="s">
        <v>10468</v>
      </c>
    </row>
    <row r="814" spans="1:7" ht="15.75" customHeight="1">
      <c r="A814" s="159" t="s">
        <v>9275</v>
      </c>
      <c r="B814" s="159" t="s">
        <v>9491</v>
      </c>
      <c r="C814" s="159" t="s">
        <v>10886</v>
      </c>
      <c r="D814" s="159" t="s">
        <v>481</v>
      </c>
      <c r="E814" s="159">
        <v>20</v>
      </c>
      <c r="F814" s="159" t="s">
        <v>5667</v>
      </c>
      <c r="G814" s="159" t="s">
        <v>10887</v>
      </c>
    </row>
    <row r="815" spans="1:7" ht="15.75" customHeight="1">
      <c r="A815" s="159" t="s">
        <v>9275</v>
      </c>
      <c r="B815" s="159" t="s">
        <v>9491</v>
      </c>
      <c r="C815" s="159" t="s">
        <v>10956</v>
      </c>
      <c r="D815" s="159" t="s">
        <v>481</v>
      </c>
      <c r="E815" s="159">
        <v>20</v>
      </c>
      <c r="F815" s="159" t="s">
        <v>5667</v>
      </c>
      <c r="G815" s="159" t="s">
        <v>10957</v>
      </c>
    </row>
    <row r="816" spans="1:7" ht="15.75" customHeight="1">
      <c r="A816" s="159" t="s">
        <v>9275</v>
      </c>
      <c r="B816" s="159" t="s">
        <v>9491</v>
      </c>
      <c r="C816" s="159" t="s">
        <v>10888</v>
      </c>
      <c r="D816" s="159" t="s">
        <v>481</v>
      </c>
      <c r="E816" s="159">
        <v>20</v>
      </c>
      <c r="F816" s="159" t="s">
        <v>5667</v>
      </c>
      <c r="G816" s="159" t="s">
        <v>10889</v>
      </c>
    </row>
    <row r="817" spans="1:7" ht="15.75" customHeight="1">
      <c r="A817" s="159" t="s">
        <v>9275</v>
      </c>
      <c r="B817" s="159" t="s">
        <v>9491</v>
      </c>
      <c r="C817" s="159" t="s">
        <v>10945</v>
      </c>
      <c r="D817" s="159" t="s">
        <v>481</v>
      </c>
      <c r="E817" s="159">
        <v>20</v>
      </c>
      <c r="F817" s="159" t="s">
        <v>5667</v>
      </c>
      <c r="G817" s="159" t="s">
        <v>10946</v>
      </c>
    </row>
    <row r="818" spans="1:7" ht="15.75" customHeight="1">
      <c r="A818" s="159" t="s">
        <v>9275</v>
      </c>
      <c r="B818" s="159" t="s">
        <v>9491</v>
      </c>
      <c r="C818" s="159" t="s">
        <v>10958</v>
      </c>
      <c r="D818" s="159" t="s">
        <v>481</v>
      </c>
      <c r="E818" s="159">
        <v>20</v>
      </c>
      <c r="F818" s="159" t="s">
        <v>5667</v>
      </c>
      <c r="G818" s="159" t="s">
        <v>10959</v>
      </c>
    </row>
    <row r="819" spans="1:7" ht="15.75" customHeight="1">
      <c r="A819" s="159" t="s">
        <v>9275</v>
      </c>
      <c r="B819" s="159" t="s">
        <v>9493</v>
      </c>
      <c r="C819" s="159" t="s">
        <v>10287</v>
      </c>
      <c r="D819" s="159" t="s">
        <v>484</v>
      </c>
      <c r="E819" s="159">
        <v>10</v>
      </c>
      <c r="F819" s="159" t="s">
        <v>5665</v>
      </c>
      <c r="G819" s="159" t="s">
        <v>10237</v>
      </c>
    </row>
    <row r="820" spans="1:7" ht="15.75" customHeight="1">
      <c r="A820" s="159" t="s">
        <v>9275</v>
      </c>
      <c r="B820" s="159" t="s">
        <v>9493</v>
      </c>
      <c r="C820" s="159" t="s">
        <v>10884</v>
      </c>
      <c r="D820" s="159" t="s">
        <v>484</v>
      </c>
      <c r="E820" s="159">
        <v>10</v>
      </c>
      <c r="F820" s="159" t="s">
        <v>5665</v>
      </c>
      <c r="G820" s="159"/>
    </row>
    <row r="821" spans="1:7" ht="15.75" customHeight="1">
      <c r="A821" s="159" t="s">
        <v>9275</v>
      </c>
      <c r="B821" s="159" t="s">
        <v>9493</v>
      </c>
      <c r="C821" s="159" t="s">
        <v>10882</v>
      </c>
      <c r="D821" s="159" t="s">
        <v>978</v>
      </c>
      <c r="E821" s="159">
        <v>5</v>
      </c>
      <c r="F821" s="159" t="s">
        <v>5665</v>
      </c>
      <c r="G821" s="159" t="s">
        <v>10883</v>
      </c>
    </row>
    <row r="822" spans="1:7" ht="15.75" customHeight="1">
      <c r="A822" s="159" t="s">
        <v>9275</v>
      </c>
      <c r="B822" s="159" t="s">
        <v>9493</v>
      </c>
      <c r="C822" s="159" t="s">
        <v>10467</v>
      </c>
      <c r="D822" s="159" t="s">
        <v>484</v>
      </c>
      <c r="E822" s="159">
        <v>10</v>
      </c>
      <c r="F822" s="159" t="s">
        <v>5665</v>
      </c>
      <c r="G822" s="159" t="s">
        <v>10468</v>
      </c>
    </row>
    <row r="823" spans="1:7" ht="15.75" customHeight="1">
      <c r="A823" s="159" t="s">
        <v>9275</v>
      </c>
      <c r="B823" s="159" t="s">
        <v>9493</v>
      </c>
      <c r="C823" s="159" t="s">
        <v>10890</v>
      </c>
      <c r="D823" s="159" t="s">
        <v>484</v>
      </c>
      <c r="E823" s="159">
        <v>10</v>
      </c>
      <c r="F823" s="159" t="s">
        <v>5665</v>
      </c>
      <c r="G823" s="159" t="s">
        <v>10891</v>
      </c>
    </row>
    <row r="824" spans="1:7" ht="15.75" customHeight="1">
      <c r="A824" s="159" t="s">
        <v>9275</v>
      </c>
      <c r="B824" s="159" t="s">
        <v>9493</v>
      </c>
      <c r="C824" s="159" t="s">
        <v>10960</v>
      </c>
      <c r="D824" s="159" t="s">
        <v>978</v>
      </c>
      <c r="E824" s="159">
        <v>5</v>
      </c>
      <c r="F824" s="159" t="s">
        <v>5667</v>
      </c>
      <c r="G824" s="159" t="s">
        <v>10961</v>
      </c>
    </row>
    <row r="825" spans="1:7" ht="15.75" customHeight="1">
      <c r="A825" s="159" t="s">
        <v>9275</v>
      </c>
      <c r="B825" s="159" t="s">
        <v>9493</v>
      </c>
      <c r="C825" s="159" t="s">
        <v>10962</v>
      </c>
      <c r="D825" s="159" t="s">
        <v>978</v>
      </c>
      <c r="E825" s="159">
        <v>5</v>
      </c>
      <c r="F825" s="159" t="s">
        <v>5667</v>
      </c>
      <c r="G825" s="159" t="s">
        <v>10963</v>
      </c>
    </row>
    <row r="826" spans="1:7" ht="15.75" customHeight="1">
      <c r="A826" s="159" t="s">
        <v>9275</v>
      </c>
      <c r="B826" s="159" t="s">
        <v>9493</v>
      </c>
      <c r="C826" s="159" t="s">
        <v>10942</v>
      </c>
      <c r="D826" s="159" t="s">
        <v>481</v>
      </c>
      <c r="E826" s="159">
        <v>20</v>
      </c>
      <c r="F826" s="159" t="s">
        <v>5667</v>
      </c>
      <c r="G826" s="159" t="s">
        <v>3497</v>
      </c>
    </row>
    <row r="827" spans="1:7" ht="15.75" customHeight="1">
      <c r="A827" s="159" t="s">
        <v>9275</v>
      </c>
      <c r="B827" s="159" t="s">
        <v>9493</v>
      </c>
      <c r="C827" s="159" t="s">
        <v>10945</v>
      </c>
      <c r="D827" s="159" t="s">
        <v>481</v>
      </c>
      <c r="E827" s="159">
        <v>20</v>
      </c>
      <c r="F827" s="159" t="s">
        <v>5667</v>
      </c>
      <c r="G827" s="159" t="s">
        <v>10946</v>
      </c>
    </row>
    <row r="828" spans="1:7" ht="15.75" customHeight="1">
      <c r="A828" s="159" t="s">
        <v>9275</v>
      </c>
      <c r="B828" s="159" t="s">
        <v>9495</v>
      </c>
      <c r="C828" s="159" t="s">
        <v>10287</v>
      </c>
      <c r="D828" s="159" t="s">
        <v>484</v>
      </c>
      <c r="E828" s="159">
        <v>10</v>
      </c>
      <c r="F828" s="159" t="s">
        <v>5665</v>
      </c>
      <c r="G828" s="159" t="s">
        <v>10237</v>
      </c>
    </row>
    <row r="829" spans="1:7" ht="15.75" customHeight="1">
      <c r="A829" s="159" t="s">
        <v>9275</v>
      </c>
      <c r="B829" s="159" t="s">
        <v>9495</v>
      </c>
      <c r="C829" s="159" t="s">
        <v>10884</v>
      </c>
      <c r="D829" s="159" t="s">
        <v>484</v>
      </c>
      <c r="E829" s="159">
        <v>10</v>
      </c>
      <c r="F829" s="159" t="s">
        <v>5665</v>
      </c>
      <c r="G829" s="159"/>
    </row>
    <row r="830" spans="1:7" ht="15.75" customHeight="1">
      <c r="A830" s="159" t="s">
        <v>9275</v>
      </c>
      <c r="B830" s="159" t="s">
        <v>9495</v>
      </c>
      <c r="C830" s="159" t="s">
        <v>10882</v>
      </c>
      <c r="D830" s="159" t="s">
        <v>978</v>
      </c>
      <c r="E830" s="159">
        <v>5</v>
      </c>
      <c r="F830" s="159" t="s">
        <v>5665</v>
      </c>
      <c r="G830" s="159" t="s">
        <v>10883</v>
      </c>
    </row>
    <row r="831" spans="1:7" ht="15.75" customHeight="1">
      <c r="A831" s="159" t="s">
        <v>9275</v>
      </c>
      <c r="B831" s="159" t="s">
        <v>9495</v>
      </c>
      <c r="C831" s="159" t="s">
        <v>10467</v>
      </c>
      <c r="D831" s="159" t="s">
        <v>484</v>
      </c>
      <c r="E831" s="159">
        <v>10</v>
      </c>
      <c r="F831" s="159" t="s">
        <v>5665</v>
      </c>
      <c r="G831" s="159" t="s">
        <v>10468</v>
      </c>
    </row>
    <row r="832" spans="1:7" ht="15.75" customHeight="1">
      <c r="A832" s="159" t="s">
        <v>9275</v>
      </c>
      <c r="B832" s="159" t="s">
        <v>9495</v>
      </c>
      <c r="C832" s="159" t="s">
        <v>10890</v>
      </c>
      <c r="D832" s="159" t="s">
        <v>484</v>
      </c>
      <c r="E832" s="159">
        <v>10</v>
      </c>
      <c r="F832" s="159" t="s">
        <v>5665</v>
      </c>
      <c r="G832" s="159" t="s">
        <v>10891</v>
      </c>
    </row>
    <row r="833" spans="1:7" ht="15.75" customHeight="1">
      <c r="A833" s="159" t="s">
        <v>9275</v>
      </c>
      <c r="B833" s="159" t="s">
        <v>9495</v>
      </c>
      <c r="C833" s="159" t="s">
        <v>10960</v>
      </c>
      <c r="D833" s="159" t="s">
        <v>978</v>
      </c>
      <c r="E833" s="159">
        <v>5</v>
      </c>
      <c r="F833" s="159" t="s">
        <v>5667</v>
      </c>
      <c r="G833" s="159" t="s">
        <v>10961</v>
      </c>
    </row>
    <row r="834" spans="1:7" ht="15.75" customHeight="1">
      <c r="A834" s="159" t="s">
        <v>9275</v>
      </c>
      <c r="B834" s="159" t="s">
        <v>9495</v>
      </c>
      <c r="C834" s="159" t="s">
        <v>10962</v>
      </c>
      <c r="D834" s="159" t="s">
        <v>978</v>
      </c>
      <c r="E834" s="159">
        <v>5</v>
      </c>
      <c r="F834" s="159" t="s">
        <v>5667</v>
      </c>
      <c r="G834" s="159" t="s">
        <v>10963</v>
      </c>
    </row>
    <row r="835" spans="1:7" ht="15.75" customHeight="1">
      <c r="A835" s="159" t="s">
        <v>9275</v>
      </c>
      <c r="B835" s="159" t="s">
        <v>9495</v>
      </c>
      <c r="C835" s="159" t="s">
        <v>10942</v>
      </c>
      <c r="D835" s="159" t="s">
        <v>481</v>
      </c>
      <c r="E835" s="159">
        <v>20</v>
      </c>
      <c r="F835" s="159" t="s">
        <v>5667</v>
      </c>
      <c r="G835" s="159" t="s">
        <v>3497</v>
      </c>
    </row>
    <row r="836" spans="1:7" ht="15.75" customHeight="1">
      <c r="A836" s="159" t="s">
        <v>9275</v>
      </c>
      <c r="B836" s="159" t="s">
        <v>9495</v>
      </c>
      <c r="C836" s="159" t="s">
        <v>10945</v>
      </c>
      <c r="D836" s="159" t="s">
        <v>481</v>
      </c>
      <c r="E836" s="159">
        <v>20</v>
      </c>
      <c r="F836" s="159" t="s">
        <v>5667</v>
      </c>
      <c r="G836" s="159" t="s">
        <v>10946</v>
      </c>
    </row>
    <row r="837" spans="1:7" ht="15.75" customHeight="1">
      <c r="A837" s="159" t="s">
        <v>9275</v>
      </c>
      <c r="B837" s="159" t="s">
        <v>9497</v>
      </c>
      <c r="C837" s="159" t="s">
        <v>10287</v>
      </c>
      <c r="D837" s="159" t="s">
        <v>484</v>
      </c>
      <c r="E837" s="159">
        <v>10</v>
      </c>
      <c r="F837" s="159" t="s">
        <v>5665</v>
      </c>
      <c r="G837" s="159" t="s">
        <v>10237</v>
      </c>
    </row>
    <row r="838" spans="1:7" ht="15.75" customHeight="1">
      <c r="A838" s="159" t="s">
        <v>9275</v>
      </c>
      <c r="B838" s="159" t="s">
        <v>9497</v>
      </c>
      <c r="C838" s="159" t="s">
        <v>10884</v>
      </c>
      <c r="D838" s="159" t="s">
        <v>484</v>
      </c>
      <c r="E838" s="159">
        <v>10</v>
      </c>
      <c r="F838" s="159" t="s">
        <v>5665</v>
      </c>
      <c r="G838" s="159"/>
    </row>
    <row r="839" spans="1:7" ht="15.75" customHeight="1">
      <c r="A839" s="159" t="s">
        <v>9275</v>
      </c>
      <c r="B839" s="159" t="s">
        <v>9497</v>
      </c>
      <c r="C839" s="159" t="s">
        <v>10882</v>
      </c>
      <c r="D839" s="159" t="s">
        <v>978</v>
      </c>
      <c r="E839" s="159">
        <v>5</v>
      </c>
      <c r="F839" s="159" t="s">
        <v>5665</v>
      </c>
      <c r="G839" s="159" t="s">
        <v>10883</v>
      </c>
    </row>
    <row r="840" spans="1:7" ht="15.75" customHeight="1">
      <c r="A840" s="159" t="s">
        <v>9275</v>
      </c>
      <c r="B840" s="159" t="s">
        <v>9497</v>
      </c>
      <c r="C840" s="159" t="s">
        <v>10940</v>
      </c>
      <c r="D840" s="159" t="s">
        <v>978</v>
      </c>
      <c r="E840" s="159">
        <v>5</v>
      </c>
      <c r="F840" s="159" t="s">
        <v>5667</v>
      </c>
      <c r="G840" s="159" t="s">
        <v>10941</v>
      </c>
    </row>
    <row r="841" spans="1:7" ht="15.75" customHeight="1">
      <c r="A841" s="159" t="s">
        <v>9275</v>
      </c>
      <c r="B841" s="159" t="s">
        <v>9497</v>
      </c>
      <c r="C841" s="159" t="s">
        <v>2794</v>
      </c>
      <c r="D841" s="159" t="s">
        <v>978</v>
      </c>
      <c r="E841" s="159">
        <v>5</v>
      </c>
      <c r="F841" s="159" t="s">
        <v>5665</v>
      </c>
      <c r="G841" s="159" t="s">
        <v>10947</v>
      </c>
    </row>
    <row r="842" spans="1:7" ht="15.75" customHeight="1">
      <c r="A842" s="159" t="s">
        <v>9275</v>
      </c>
      <c r="B842" s="159" t="s">
        <v>9497</v>
      </c>
      <c r="C842" s="159" t="s">
        <v>10948</v>
      </c>
      <c r="D842" s="159" t="s">
        <v>481</v>
      </c>
      <c r="E842" s="159">
        <v>20</v>
      </c>
      <c r="F842" s="159" t="s">
        <v>5667</v>
      </c>
      <c r="G842" s="159" t="s">
        <v>10949</v>
      </c>
    </row>
    <row r="843" spans="1:7" ht="15.75" customHeight="1">
      <c r="A843" s="159" t="s">
        <v>9275</v>
      </c>
      <c r="B843" s="159" t="s">
        <v>9497</v>
      </c>
      <c r="C843" s="159" t="s">
        <v>10950</v>
      </c>
      <c r="D843" s="159" t="s">
        <v>481</v>
      </c>
      <c r="E843" s="159">
        <v>20</v>
      </c>
      <c r="F843" s="159" t="s">
        <v>5667</v>
      </c>
      <c r="G843" s="159" t="s">
        <v>10951</v>
      </c>
    </row>
    <row r="844" spans="1:7" ht="15.75" customHeight="1">
      <c r="A844" s="159" t="s">
        <v>9275</v>
      </c>
      <c r="B844" s="159" t="s">
        <v>9497</v>
      </c>
      <c r="C844" s="159" t="s">
        <v>10952</v>
      </c>
      <c r="D844" s="159" t="s">
        <v>481</v>
      </c>
      <c r="E844" s="159">
        <v>20</v>
      </c>
      <c r="F844" s="159" t="s">
        <v>5667</v>
      </c>
      <c r="G844" s="159" t="s">
        <v>10953</v>
      </c>
    </row>
    <row r="845" spans="1:7" ht="15.75" customHeight="1">
      <c r="A845" s="159" t="s">
        <v>9275</v>
      </c>
      <c r="B845" s="159" t="s">
        <v>9497</v>
      </c>
      <c r="C845" s="159" t="s">
        <v>10942</v>
      </c>
      <c r="D845" s="159" t="s">
        <v>481</v>
      </c>
      <c r="E845" s="159">
        <v>20</v>
      </c>
      <c r="F845" s="159" t="s">
        <v>5667</v>
      </c>
      <c r="G845" s="159" t="s">
        <v>3497</v>
      </c>
    </row>
    <row r="846" spans="1:7" ht="15.75" customHeight="1">
      <c r="A846" s="159" t="s">
        <v>9275</v>
      </c>
      <c r="B846" s="159" t="s">
        <v>9497</v>
      </c>
      <c r="C846" s="159" t="s">
        <v>10886</v>
      </c>
      <c r="D846" s="159" t="s">
        <v>481</v>
      </c>
      <c r="E846" s="159">
        <v>20</v>
      </c>
      <c r="F846" s="159" t="s">
        <v>5667</v>
      </c>
      <c r="G846" s="159" t="s">
        <v>10887</v>
      </c>
    </row>
    <row r="847" spans="1:7" ht="15.75" customHeight="1">
      <c r="A847" s="159" t="s">
        <v>9275</v>
      </c>
      <c r="B847" s="159" t="s">
        <v>9497</v>
      </c>
      <c r="C847" s="159" t="s">
        <v>10888</v>
      </c>
      <c r="D847" s="159" t="s">
        <v>481</v>
      </c>
      <c r="E847" s="159">
        <v>20</v>
      </c>
      <c r="F847" s="159" t="s">
        <v>5667</v>
      </c>
      <c r="G847" s="159" t="s">
        <v>10889</v>
      </c>
    </row>
    <row r="848" spans="1:7" ht="15.75" customHeight="1">
      <c r="A848" s="159" t="s">
        <v>9275</v>
      </c>
      <c r="B848" s="159" t="s">
        <v>9497</v>
      </c>
      <c r="C848" s="159" t="s">
        <v>10945</v>
      </c>
      <c r="D848" s="159" t="s">
        <v>481</v>
      </c>
      <c r="E848" s="159">
        <v>20</v>
      </c>
      <c r="F848" s="159" t="s">
        <v>5667</v>
      </c>
      <c r="G848" s="159" t="s">
        <v>10946</v>
      </c>
    </row>
    <row r="849" spans="1:7" ht="15.75" customHeight="1">
      <c r="A849" s="159" t="s">
        <v>9275</v>
      </c>
      <c r="B849" s="159" t="s">
        <v>9497</v>
      </c>
      <c r="C849" s="159" t="s">
        <v>10954</v>
      </c>
      <c r="D849" s="159" t="s">
        <v>481</v>
      </c>
      <c r="E849" s="159">
        <v>20</v>
      </c>
      <c r="F849" s="159" t="s">
        <v>5667</v>
      </c>
      <c r="G849" s="159" t="s">
        <v>10955</v>
      </c>
    </row>
    <row r="850" spans="1:7" ht="15.75" customHeight="1">
      <c r="A850" s="159" t="s">
        <v>9275</v>
      </c>
      <c r="B850" s="159" t="s">
        <v>9499</v>
      </c>
      <c r="C850" s="159" t="s">
        <v>5678</v>
      </c>
      <c r="D850" s="159" t="s">
        <v>484</v>
      </c>
      <c r="E850" s="159">
        <v>10</v>
      </c>
      <c r="F850" s="159" t="s">
        <v>5665</v>
      </c>
      <c r="G850" s="159" t="s">
        <v>10877</v>
      </c>
    </row>
    <row r="851" spans="1:7" ht="15.75" customHeight="1">
      <c r="A851" s="159" t="s">
        <v>9275</v>
      </c>
      <c r="B851" s="159" t="s">
        <v>9499</v>
      </c>
      <c r="C851" s="159" t="s">
        <v>10964</v>
      </c>
      <c r="D851" s="159" t="s">
        <v>484</v>
      </c>
      <c r="E851" s="159">
        <v>10</v>
      </c>
      <c r="F851" s="159" t="s">
        <v>5665</v>
      </c>
      <c r="G851" s="159" t="s">
        <v>10965</v>
      </c>
    </row>
    <row r="852" spans="1:7" ht="15.75" customHeight="1">
      <c r="A852" s="159" t="s">
        <v>9275</v>
      </c>
      <c r="B852" s="159" t="s">
        <v>9499</v>
      </c>
      <c r="C852" s="159" t="s">
        <v>10884</v>
      </c>
      <c r="D852" s="159" t="s">
        <v>484</v>
      </c>
      <c r="E852" s="159">
        <v>10</v>
      </c>
      <c r="F852" s="159" t="s">
        <v>5665</v>
      </c>
      <c r="G852" s="159" t="s">
        <v>10885</v>
      </c>
    </row>
    <row r="853" spans="1:7" ht="15.75" customHeight="1">
      <c r="A853" s="159" t="s">
        <v>9275</v>
      </c>
      <c r="B853" s="159" t="s">
        <v>9499</v>
      </c>
      <c r="C853" s="159" t="s">
        <v>10882</v>
      </c>
      <c r="D853" s="159" t="s">
        <v>978</v>
      </c>
      <c r="E853" s="159">
        <v>5</v>
      </c>
      <c r="F853" s="159" t="s">
        <v>5665</v>
      </c>
      <c r="G853" s="159" t="s">
        <v>10883</v>
      </c>
    </row>
    <row r="854" spans="1:7" ht="15.75" customHeight="1">
      <c r="A854" s="159" t="s">
        <v>9275</v>
      </c>
      <c r="B854" s="159" t="s">
        <v>9499</v>
      </c>
      <c r="C854" s="159" t="s">
        <v>10942</v>
      </c>
      <c r="D854" s="159" t="s">
        <v>481</v>
      </c>
      <c r="E854" s="159">
        <v>20</v>
      </c>
      <c r="F854" s="159" t="s">
        <v>5667</v>
      </c>
      <c r="G854" s="159" t="s">
        <v>3497</v>
      </c>
    </row>
    <row r="855" spans="1:7" ht="15.75" customHeight="1">
      <c r="A855" s="159" t="s">
        <v>9275</v>
      </c>
      <c r="B855" s="159" t="s">
        <v>9499</v>
      </c>
      <c r="C855" s="159" t="s">
        <v>10945</v>
      </c>
      <c r="D855" s="159" t="s">
        <v>481</v>
      </c>
      <c r="E855" s="159">
        <v>20</v>
      </c>
      <c r="F855" s="159" t="s">
        <v>5667</v>
      </c>
      <c r="G855" s="159" t="s">
        <v>10946</v>
      </c>
    </row>
    <row r="856" spans="1:7" ht="15.75" customHeight="1">
      <c r="A856" s="159" t="s">
        <v>9275</v>
      </c>
      <c r="B856" s="159" t="s">
        <v>9501</v>
      </c>
      <c r="C856" s="159" t="s">
        <v>5678</v>
      </c>
      <c r="D856" s="159" t="s">
        <v>484</v>
      </c>
      <c r="E856" s="159">
        <v>10</v>
      </c>
      <c r="F856" s="159" t="s">
        <v>5665</v>
      </c>
      <c r="G856" s="159" t="s">
        <v>10877</v>
      </c>
    </row>
    <row r="857" spans="1:7" ht="15.75" customHeight="1">
      <c r="A857" s="159" t="s">
        <v>9275</v>
      </c>
      <c r="B857" s="159" t="s">
        <v>9501</v>
      </c>
      <c r="C857" s="159" t="s">
        <v>10964</v>
      </c>
      <c r="D857" s="159" t="s">
        <v>484</v>
      </c>
      <c r="E857" s="159">
        <v>10</v>
      </c>
      <c r="F857" s="159" t="s">
        <v>5665</v>
      </c>
      <c r="G857" s="159" t="s">
        <v>10965</v>
      </c>
    </row>
    <row r="858" spans="1:7" ht="15.75" customHeight="1">
      <c r="A858" s="159" t="s">
        <v>9275</v>
      </c>
      <c r="B858" s="159" t="s">
        <v>9501</v>
      </c>
      <c r="C858" s="159" t="s">
        <v>10884</v>
      </c>
      <c r="D858" s="159" t="s">
        <v>484</v>
      </c>
      <c r="E858" s="159">
        <v>10</v>
      </c>
      <c r="F858" s="159" t="s">
        <v>5665</v>
      </c>
      <c r="G858" s="159" t="s">
        <v>10885</v>
      </c>
    </row>
    <row r="859" spans="1:7" ht="15.75" customHeight="1">
      <c r="A859" s="159" t="s">
        <v>9275</v>
      </c>
      <c r="B859" s="159" t="s">
        <v>9501</v>
      </c>
      <c r="C859" s="159" t="s">
        <v>10882</v>
      </c>
      <c r="D859" s="159" t="s">
        <v>978</v>
      </c>
      <c r="E859" s="159">
        <v>5</v>
      </c>
      <c r="F859" s="159" t="s">
        <v>5665</v>
      </c>
      <c r="G859" s="159" t="s">
        <v>10883</v>
      </c>
    </row>
    <row r="860" spans="1:7" ht="15.75" customHeight="1">
      <c r="A860" s="159" t="s">
        <v>9275</v>
      </c>
      <c r="B860" s="159" t="s">
        <v>9501</v>
      </c>
      <c r="C860" s="159" t="s">
        <v>10942</v>
      </c>
      <c r="D860" s="159" t="s">
        <v>481</v>
      </c>
      <c r="E860" s="159">
        <v>20</v>
      </c>
      <c r="F860" s="159" t="s">
        <v>5667</v>
      </c>
      <c r="G860" s="159" t="s">
        <v>3497</v>
      </c>
    </row>
    <row r="861" spans="1:7" ht="15.75" customHeight="1">
      <c r="A861" s="159" t="s">
        <v>9275</v>
      </c>
      <c r="B861" s="159" t="s">
        <v>9501</v>
      </c>
      <c r="C861" s="159" t="s">
        <v>10945</v>
      </c>
      <c r="D861" s="159" t="s">
        <v>481</v>
      </c>
      <c r="E861" s="159">
        <v>20</v>
      </c>
      <c r="F861" s="159" t="s">
        <v>5667</v>
      </c>
      <c r="G861" s="159" t="s">
        <v>10946</v>
      </c>
    </row>
    <row r="862" spans="1:7" ht="15.75" customHeight="1">
      <c r="A862" s="159" t="s">
        <v>9275</v>
      </c>
      <c r="B862" s="159" t="s">
        <v>9503</v>
      </c>
      <c r="C862" s="159" t="s">
        <v>10287</v>
      </c>
      <c r="D862" s="159" t="s">
        <v>484</v>
      </c>
      <c r="E862" s="159">
        <v>10</v>
      </c>
      <c r="F862" s="159" t="s">
        <v>5665</v>
      </c>
      <c r="G862" s="159" t="s">
        <v>10237</v>
      </c>
    </row>
    <row r="863" spans="1:7" ht="15.75" customHeight="1">
      <c r="A863" s="159" t="s">
        <v>9275</v>
      </c>
      <c r="B863" s="159" t="s">
        <v>9503</v>
      </c>
      <c r="C863" s="159" t="s">
        <v>10884</v>
      </c>
      <c r="D863" s="159" t="s">
        <v>484</v>
      </c>
      <c r="E863" s="159">
        <v>10</v>
      </c>
      <c r="F863" s="159" t="s">
        <v>5665</v>
      </c>
      <c r="G863" s="159" t="s">
        <v>10885</v>
      </c>
    </row>
    <row r="864" spans="1:7" ht="15.75" customHeight="1">
      <c r="A864" s="159" t="s">
        <v>9275</v>
      </c>
      <c r="B864" s="159" t="s">
        <v>9503</v>
      </c>
      <c r="C864" s="159" t="s">
        <v>10882</v>
      </c>
      <c r="D864" s="159" t="s">
        <v>978</v>
      </c>
      <c r="E864" s="159">
        <v>5</v>
      </c>
      <c r="F864" s="159" t="s">
        <v>5665</v>
      </c>
      <c r="G864" s="159" t="s">
        <v>10883</v>
      </c>
    </row>
    <row r="865" spans="1:7" ht="15.75" customHeight="1">
      <c r="A865" s="159" t="s">
        <v>9275</v>
      </c>
      <c r="B865" s="159" t="s">
        <v>9503</v>
      </c>
      <c r="C865" s="159" t="s">
        <v>10886</v>
      </c>
      <c r="D865" s="159" t="s">
        <v>481</v>
      </c>
      <c r="E865" s="159">
        <v>20</v>
      </c>
      <c r="F865" s="159" t="s">
        <v>5667</v>
      </c>
      <c r="G865" s="159" t="s">
        <v>10887</v>
      </c>
    </row>
    <row r="866" spans="1:7" ht="15.75" customHeight="1">
      <c r="A866" s="159" t="s">
        <v>9275</v>
      </c>
      <c r="B866" s="159" t="s">
        <v>9503</v>
      </c>
      <c r="C866" s="159" t="s">
        <v>10888</v>
      </c>
      <c r="D866" s="159" t="s">
        <v>481</v>
      </c>
      <c r="E866" s="159">
        <v>20</v>
      </c>
      <c r="F866" s="159" t="s">
        <v>5667</v>
      </c>
      <c r="G866" s="159" t="s">
        <v>10889</v>
      </c>
    </row>
    <row r="867" spans="1:7" ht="15.75" customHeight="1">
      <c r="A867" s="159" t="s">
        <v>9275</v>
      </c>
      <c r="B867" s="159" t="s">
        <v>9503</v>
      </c>
      <c r="C867" s="159" t="s">
        <v>10945</v>
      </c>
      <c r="D867" s="159" t="s">
        <v>481</v>
      </c>
      <c r="E867" s="159">
        <v>20</v>
      </c>
      <c r="F867" s="159" t="s">
        <v>5667</v>
      </c>
      <c r="G867" s="159" t="s">
        <v>10946</v>
      </c>
    </row>
    <row r="868" spans="1:7" ht="15.75" customHeight="1">
      <c r="A868" s="159" t="s">
        <v>9275</v>
      </c>
      <c r="B868" s="159" t="s">
        <v>9505</v>
      </c>
      <c r="C868" s="159" t="s">
        <v>10287</v>
      </c>
      <c r="D868" s="159" t="s">
        <v>484</v>
      </c>
      <c r="E868" s="159">
        <v>10</v>
      </c>
      <c r="F868" s="159" t="s">
        <v>5665</v>
      </c>
      <c r="G868" s="159" t="s">
        <v>10237</v>
      </c>
    </row>
    <row r="869" spans="1:7" ht="15.75" customHeight="1">
      <c r="A869" s="159" t="s">
        <v>9275</v>
      </c>
      <c r="B869" s="159" t="s">
        <v>9505</v>
      </c>
      <c r="C869" s="159" t="s">
        <v>10884</v>
      </c>
      <c r="D869" s="159" t="s">
        <v>484</v>
      </c>
      <c r="E869" s="159">
        <v>10</v>
      </c>
      <c r="F869" s="159" t="s">
        <v>5665</v>
      </c>
      <c r="G869" s="159" t="s">
        <v>10885</v>
      </c>
    </row>
    <row r="870" spans="1:7" ht="15.75" customHeight="1">
      <c r="A870" s="159" t="s">
        <v>9275</v>
      </c>
      <c r="B870" s="159" t="s">
        <v>9505</v>
      </c>
      <c r="C870" s="159" t="s">
        <v>10882</v>
      </c>
      <c r="D870" s="159" t="s">
        <v>978</v>
      </c>
      <c r="E870" s="159">
        <v>5</v>
      </c>
      <c r="F870" s="159" t="s">
        <v>5665</v>
      </c>
      <c r="G870" s="159" t="s">
        <v>10883</v>
      </c>
    </row>
    <row r="871" spans="1:7" ht="15.75" customHeight="1">
      <c r="A871" s="159" t="s">
        <v>9275</v>
      </c>
      <c r="B871" s="159" t="s">
        <v>9505</v>
      </c>
      <c r="C871" s="159" t="s">
        <v>10886</v>
      </c>
      <c r="D871" s="159" t="s">
        <v>481</v>
      </c>
      <c r="E871" s="159">
        <v>20</v>
      </c>
      <c r="F871" s="159" t="s">
        <v>5667</v>
      </c>
      <c r="G871" s="159" t="s">
        <v>10887</v>
      </c>
    </row>
    <row r="872" spans="1:7" ht="15.75" customHeight="1">
      <c r="A872" s="159" t="s">
        <v>9275</v>
      </c>
      <c r="B872" s="159" t="s">
        <v>9505</v>
      </c>
      <c r="C872" s="159" t="s">
        <v>10888</v>
      </c>
      <c r="D872" s="159" t="s">
        <v>481</v>
      </c>
      <c r="E872" s="159">
        <v>20</v>
      </c>
      <c r="F872" s="159" t="s">
        <v>5667</v>
      </c>
      <c r="G872" s="159" t="s">
        <v>10889</v>
      </c>
    </row>
    <row r="873" spans="1:7" ht="15.75" customHeight="1">
      <c r="A873" s="159" t="s">
        <v>9275</v>
      </c>
      <c r="B873" s="159" t="s">
        <v>9505</v>
      </c>
      <c r="C873" s="159" t="s">
        <v>10945</v>
      </c>
      <c r="D873" s="159" t="s">
        <v>481</v>
      </c>
      <c r="E873" s="159">
        <v>20</v>
      </c>
      <c r="F873" s="159" t="s">
        <v>5667</v>
      </c>
      <c r="G873" s="159" t="s">
        <v>10946</v>
      </c>
    </row>
    <row r="874" spans="1:7" ht="15.75" customHeight="1">
      <c r="A874" s="159" t="s">
        <v>9275</v>
      </c>
      <c r="B874" s="159" t="s">
        <v>9507</v>
      </c>
      <c r="C874" s="159" t="s">
        <v>10287</v>
      </c>
      <c r="D874" s="159" t="s">
        <v>484</v>
      </c>
      <c r="E874" s="159">
        <v>10</v>
      </c>
      <c r="F874" s="159" t="s">
        <v>5665</v>
      </c>
      <c r="G874" s="159" t="s">
        <v>10237</v>
      </c>
    </row>
    <row r="875" spans="1:7" ht="15.75" customHeight="1">
      <c r="A875" s="159" t="s">
        <v>9275</v>
      </c>
      <c r="B875" s="159" t="s">
        <v>9507</v>
      </c>
      <c r="C875" s="159" t="s">
        <v>10884</v>
      </c>
      <c r="D875" s="159" t="s">
        <v>484</v>
      </c>
      <c r="E875" s="159">
        <v>10</v>
      </c>
      <c r="F875" s="159" t="s">
        <v>5665</v>
      </c>
      <c r="G875" s="159"/>
    </row>
    <row r="876" spans="1:7" ht="15.75" customHeight="1">
      <c r="A876" s="159" t="s">
        <v>9275</v>
      </c>
      <c r="B876" s="159" t="s">
        <v>9507</v>
      </c>
      <c r="C876" s="159" t="s">
        <v>10882</v>
      </c>
      <c r="D876" s="159" t="s">
        <v>978</v>
      </c>
      <c r="E876" s="159">
        <v>5</v>
      </c>
      <c r="F876" s="159" t="s">
        <v>5665</v>
      </c>
      <c r="G876" s="159" t="s">
        <v>10883</v>
      </c>
    </row>
    <row r="877" spans="1:7" ht="15.75" customHeight="1">
      <c r="A877" s="159" t="s">
        <v>9275</v>
      </c>
      <c r="B877" s="159" t="s">
        <v>9507</v>
      </c>
      <c r="C877" s="159" t="s">
        <v>10886</v>
      </c>
      <c r="D877" s="159" t="s">
        <v>481</v>
      </c>
      <c r="E877" s="159">
        <v>20</v>
      </c>
      <c r="F877" s="159" t="s">
        <v>5665</v>
      </c>
      <c r="G877" s="159" t="s">
        <v>10966</v>
      </c>
    </row>
    <row r="878" spans="1:7" ht="15.75" customHeight="1">
      <c r="A878" s="159" t="s">
        <v>9275</v>
      </c>
      <c r="B878" s="159" t="s">
        <v>9507</v>
      </c>
      <c r="C878" s="159" t="s">
        <v>10888</v>
      </c>
      <c r="D878" s="159" t="s">
        <v>481</v>
      </c>
      <c r="E878" s="159">
        <v>20</v>
      </c>
      <c r="F878" s="159" t="s">
        <v>5665</v>
      </c>
      <c r="G878" s="159" t="s">
        <v>10967</v>
      </c>
    </row>
    <row r="879" spans="1:7" ht="15.75" customHeight="1">
      <c r="A879" s="159" t="s">
        <v>9275</v>
      </c>
      <c r="B879" s="159" t="s">
        <v>9509</v>
      </c>
      <c r="C879" s="159" t="s">
        <v>10287</v>
      </c>
      <c r="D879" s="159" t="s">
        <v>484</v>
      </c>
      <c r="E879" s="159">
        <v>10</v>
      </c>
      <c r="F879" s="159" t="s">
        <v>5665</v>
      </c>
      <c r="G879" s="159" t="s">
        <v>10237</v>
      </c>
    </row>
    <row r="880" spans="1:7" ht="15.75" customHeight="1">
      <c r="A880" s="159" t="s">
        <v>9275</v>
      </c>
      <c r="B880" s="159" t="s">
        <v>9509</v>
      </c>
      <c r="C880" s="159" t="s">
        <v>10884</v>
      </c>
      <c r="D880" s="159" t="s">
        <v>484</v>
      </c>
      <c r="E880" s="159">
        <v>10</v>
      </c>
      <c r="F880" s="159" t="s">
        <v>5665</v>
      </c>
      <c r="G880" s="159"/>
    </row>
    <row r="881" spans="1:7" ht="15.75" customHeight="1">
      <c r="A881" s="159" t="s">
        <v>9275</v>
      </c>
      <c r="B881" s="159" t="s">
        <v>9509</v>
      </c>
      <c r="C881" s="159" t="s">
        <v>10882</v>
      </c>
      <c r="D881" s="159" t="s">
        <v>978</v>
      </c>
      <c r="E881" s="159">
        <v>5</v>
      </c>
      <c r="F881" s="159" t="s">
        <v>5665</v>
      </c>
      <c r="G881" s="159" t="s">
        <v>10883</v>
      </c>
    </row>
    <row r="882" spans="1:7" ht="15.75" customHeight="1">
      <c r="A882" s="159" t="s">
        <v>9275</v>
      </c>
      <c r="B882" s="159" t="s">
        <v>9509</v>
      </c>
      <c r="C882" s="159" t="s">
        <v>10886</v>
      </c>
      <c r="D882" s="159" t="s">
        <v>481</v>
      </c>
      <c r="E882" s="159">
        <v>20</v>
      </c>
      <c r="F882" s="159" t="s">
        <v>5665</v>
      </c>
      <c r="G882" s="159" t="s">
        <v>10966</v>
      </c>
    </row>
    <row r="883" spans="1:7" ht="15.75" customHeight="1">
      <c r="A883" s="159" t="s">
        <v>9275</v>
      </c>
      <c r="B883" s="159" t="s">
        <v>9509</v>
      </c>
      <c r="C883" s="159" t="s">
        <v>10888</v>
      </c>
      <c r="D883" s="159" t="s">
        <v>481</v>
      </c>
      <c r="E883" s="159">
        <v>20</v>
      </c>
      <c r="F883" s="159" t="s">
        <v>5665</v>
      </c>
      <c r="G883" s="159" t="s">
        <v>10967</v>
      </c>
    </row>
    <row r="884" spans="1:7" ht="15.75" customHeight="1">
      <c r="A884" s="159" t="s">
        <v>9275</v>
      </c>
      <c r="B884" s="159" t="s">
        <v>9511</v>
      </c>
      <c r="C884" s="159" t="s">
        <v>10287</v>
      </c>
      <c r="D884" s="159" t="s">
        <v>484</v>
      </c>
      <c r="E884" s="159">
        <v>10</v>
      </c>
      <c r="F884" s="159" t="s">
        <v>5665</v>
      </c>
      <c r="G884" s="159" t="s">
        <v>10237</v>
      </c>
    </row>
    <row r="885" spans="1:7" ht="15.75" customHeight="1">
      <c r="A885" s="159" t="s">
        <v>9275</v>
      </c>
      <c r="B885" s="159" t="s">
        <v>9511</v>
      </c>
      <c r="C885" s="159" t="s">
        <v>10884</v>
      </c>
      <c r="D885" s="159" t="s">
        <v>484</v>
      </c>
      <c r="E885" s="159">
        <v>10</v>
      </c>
      <c r="F885" s="159" t="s">
        <v>5665</v>
      </c>
      <c r="G885" s="159" t="s">
        <v>10885</v>
      </c>
    </row>
    <row r="886" spans="1:7" ht="15.75" customHeight="1">
      <c r="A886" s="159" t="s">
        <v>9275</v>
      </c>
      <c r="B886" s="159" t="s">
        <v>9511</v>
      </c>
      <c r="C886" s="159" t="s">
        <v>10882</v>
      </c>
      <c r="D886" s="159" t="s">
        <v>978</v>
      </c>
      <c r="E886" s="159">
        <v>5</v>
      </c>
      <c r="F886" s="159" t="s">
        <v>5665</v>
      </c>
      <c r="G886" s="159" t="s">
        <v>10883</v>
      </c>
    </row>
    <row r="887" spans="1:7" ht="15.75" customHeight="1">
      <c r="A887" s="159" t="s">
        <v>9275</v>
      </c>
      <c r="B887" s="159" t="s">
        <v>9511</v>
      </c>
      <c r="C887" s="159" t="s">
        <v>10940</v>
      </c>
      <c r="D887" s="159" t="s">
        <v>978</v>
      </c>
      <c r="E887" s="159">
        <v>5</v>
      </c>
      <c r="F887" s="159" t="s">
        <v>5667</v>
      </c>
      <c r="G887" s="159" t="s">
        <v>10941</v>
      </c>
    </row>
    <row r="888" spans="1:7" ht="15.75" customHeight="1">
      <c r="A888" s="159" t="s">
        <v>9275</v>
      </c>
      <c r="B888" s="159" t="s">
        <v>9511</v>
      </c>
      <c r="C888" s="159" t="s">
        <v>10952</v>
      </c>
      <c r="D888" s="159" t="s">
        <v>481</v>
      </c>
      <c r="E888" s="159">
        <v>20</v>
      </c>
      <c r="F888" s="159" t="s">
        <v>5667</v>
      </c>
      <c r="G888" s="159" t="s">
        <v>10968</v>
      </c>
    </row>
    <row r="889" spans="1:7" ht="15.75" customHeight="1">
      <c r="A889" s="159" t="s">
        <v>9275</v>
      </c>
      <c r="B889" s="159" t="s">
        <v>9511</v>
      </c>
      <c r="C889" s="159" t="s">
        <v>10942</v>
      </c>
      <c r="D889" s="159" t="s">
        <v>481</v>
      </c>
      <c r="E889" s="159">
        <v>20</v>
      </c>
      <c r="F889" s="159" t="s">
        <v>5667</v>
      </c>
      <c r="G889" s="159" t="s">
        <v>3497</v>
      </c>
    </row>
    <row r="890" spans="1:7" ht="15.75" customHeight="1">
      <c r="A890" s="159" t="s">
        <v>9275</v>
      </c>
      <c r="B890" s="159" t="s">
        <v>9511</v>
      </c>
      <c r="C890" s="159" t="s">
        <v>10886</v>
      </c>
      <c r="D890" s="159" t="s">
        <v>481</v>
      </c>
      <c r="E890" s="159">
        <v>20</v>
      </c>
      <c r="F890" s="159" t="s">
        <v>5667</v>
      </c>
      <c r="G890" s="159" t="s">
        <v>10887</v>
      </c>
    </row>
    <row r="891" spans="1:7" ht="15.75" customHeight="1">
      <c r="A891" s="159" t="s">
        <v>9275</v>
      </c>
      <c r="B891" s="159" t="s">
        <v>9511</v>
      </c>
      <c r="C891" s="159" t="s">
        <v>10888</v>
      </c>
      <c r="D891" s="159" t="s">
        <v>481</v>
      </c>
      <c r="E891" s="159">
        <v>20</v>
      </c>
      <c r="F891" s="159" t="s">
        <v>5667</v>
      </c>
      <c r="G891" s="159" t="s">
        <v>10889</v>
      </c>
    </row>
    <row r="892" spans="1:7" ht="15.75" customHeight="1">
      <c r="A892" s="159" t="s">
        <v>9275</v>
      </c>
      <c r="B892" s="159" t="s">
        <v>9511</v>
      </c>
      <c r="C892" s="159" t="s">
        <v>10945</v>
      </c>
      <c r="D892" s="159" t="s">
        <v>481</v>
      </c>
      <c r="E892" s="159">
        <v>20</v>
      </c>
      <c r="F892" s="159" t="s">
        <v>5667</v>
      </c>
      <c r="G892" s="159" t="s">
        <v>10946</v>
      </c>
    </row>
    <row r="893" spans="1:7" ht="15.75" customHeight="1">
      <c r="A893" s="159" t="s">
        <v>9275</v>
      </c>
      <c r="B893" s="159" t="s">
        <v>9511</v>
      </c>
      <c r="C893" s="159" t="s">
        <v>10954</v>
      </c>
      <c r="D893" s="159" t="s">
        <v>481</v>
      </c>
      <c r="E893" s="159">
        <v>20</v>
      </c>
      <c r="F893" s="159" t="s">
        <v>5667</v>
      </c>
      <c r="G893" s="159" t="s">
        <v>10955</v>
      </c>
    </row>
    <row r="894" spans="1:7" ht="15.75" customHeight="1">
      <c r="A894" s="159" t="s">
        <v>9275</v>
      </c>
      <c r="B894" s="159" t="s">
        <v>9513</v>
      </c>
      <c r="C894" s="159" t="s">
        <v>10287</v>
      </c>
      <c r="D894" s="159" t="s">
        <v>484</v>
      </c>
      <c r="E894" s="159">
        <v>10</v>
      </c>
      <c r="F894" s="159" t="s">
        <v>5665</v>
      </c>
      <c r="G894" s="159" t="s">
        <v>10237</v>
      </c>
    </row>
    <row r="895" spans="1:7" ht="15.75" customHeight="1">
      <c r="A895" s="159" t="s">
        <v>9275</v>
      </c>
      <c r="B895" s="159" t="s">
        <v>9513</v>
      </c>
      <c r="C895" s="159" t="s">
        <v>10884</v>
      </c>
      <c r="D895" s="159" t="s">
        <v>484</v>
      </c>
      <c r="E895" s="159">
        <v>10</v>
      </c>
      <c r="F895" s="159" t="s">
        <v>5665</v>
      </c>
      <c r="G895" s="159" t="s">
        <v>10885</v>
      </c>
    </row>
    <row r="896" spans="1:7" ht="15.75" customHeight="1">
      <c r="A896" s="159" t="s">
        <v>9275</v>
      </c>
      <c r="B896" s="159" t="s">
        <v>9513</v>
      </c>
      <c r="C896" s="159" t="s">
        <v>10882</v>
      </c>
      <c r="D896" s="159" t="s">
        <v>978</v>
      </c>
      <c r="E896" s="159">
        <v>5</v>
      </c>
      <c r="F896" s="159" t="s">
        <v>5665</v>
      </c>
      <c r="G896" s="159" t="s">
        <v>10883</v>
      </c>
    </row>
    <row r="897" spans="1:7" ht="15.75" customHeight="1">
      <c r="A897" s="159" t="s">
        <v>9275</v>
      </c>
      <c r="B897" s="159" t="s">
        <v>9513</v>
      </c>
      <c r="C897" s="159" t="s">
        <v>10940</v>
      </c>
      <c r="D897" s="159" t="s">
        <v>978</v>
      </c>
      <c r="E897" s="159">
        <v>5</v>
      </c>
      <c r="F897" s="159" t="s">
        <v>5667</v>
      </c>
      <c r="G897" s="159" t="s">
        <v>10941</v>
      </c>
    </row>
    <row r="898" spans="1:7" ht="15.75" customHeight="1">
      <c r="A898" s="159" t="s">
        <v>9275</v>
      </c>
      <c r="B898" s="159" t="s">
        <v>9513</v>
      </c>
      <c r="C898" s="159" t="s">
        <v>10952</v>
      </c>
      <c r="D898" s="159" t="s">
        <v>481</v>
      </c>
      <c r="E898" s="159">
        <v>20</v>
      </c>
      <c r="F898" s="159" t="s">
        <v>5667</v>
      </c>
      <c r="G898" s="159" t="s">
        <v>10968</v>
      </c>
    </row>
    <row r="899" spans="1:7" ht="15.75" customHeight="1">
      <c r="A899" s="159" t="s">
        <v>9275</v>
      </c>
      <c r="B899" s="159" t="s">
        <v>9513</v>
      </c>
      <c r="C899" s="159" t="s">
        <v>10942</v>
      </c>
      <c r="D899" s="159" t="s">
        <v>481</v>
      </c>
      <c r="E899" s="159">
        <v>20</v>
      </c>
      <c r="F899" s="159" t="s">
        <v>5667</v>
      </c>
      <c r="G899" s="159" t="s">
        <v>3497</v>
      </c>
    </row>
    <row r="900" spans="1:7" ht="15.75" customHeight="1">
      <c r="A900" s="159" t="s">
        <v>9275</v>
      </c>
      <c r="B900" s="159" t="s">
        <v>9513</v>
      </c>
      <c r="C900" s="159" t="s">
        <v>10886</v>
      </c>
      <c r="D900" s="159" t="s">
        <v>481</v>
      </c>
      <c r="E900" s="159">
        <v>20</v>
      </c>
      <c r="F900" s="159" t="s">
        <v>5667</v>
      </c>
      <c r="G900" s="159" t="s">
        <v>10887</v>
      </c>
    </row>
    <row r="901" spans="1:7" ht="15.75" customHeight="1">
      <c r="A901" s="159" t="s">
        <v>9275</v>
      </c>
      <c r="B901" s="159" t="s">
        <v>9513</v>
      </c>
      <c r="C901" s="159" t="s">
        <v>10888</v>
      </c>
      <c r="D901" s="159" t="s">
        <v>481</v>
      </c>
      <c r="E901" s="159">
        <v>20</v>
      </c>
      <c r="F901" s="159" t="s">
        <v>5667</v>
      </c>
      <c r="G901" s="159" t="s">
        <v>10889</v>
      </c>
    </row>
    <row r="902" spans="1:7" ht="15.75" customHeight="1">
      <c r="A902" s="159" t="s">
        <v>9275</v>
      </c>
      <c r="B902" s="159" t="s">
        <v>9513</v>
      </c>
      <c r="C902" s="159" t="s">
        <v>10945</v>
      </c>
      <c r="D902" s="159" t="s">
        <v>481</v>
      </c>
      <c r="E902" s="159">
        <v>20</v>
      </c>
      <c r="F902" s="159" t="s">
        <v>5667</v>
      </c>
      <c r="G902" s="159" t="s">
        <v>10946</v>
      </c>
    </row>
    <row r="903" spans="1:7" ht="15.75" customHeight="1">
      <c r="A903" s="159" t="s">
        <v>9275</v>
      </c>
      <c r="B903" s="159" t="s">
        <v>9513</v>
      </c>
      <c r="C903" s="159" t="s">
        <v>10954</v>
      </c>
      <c r="D903" s="159" t="s">
        <v>481</v>
      </c>
      <c r="E903" s="159">
        <v>20</v>
      </c>
      <c r="F903" s="159" t="s">
        <v>5667</v>
      </c>
      <c r="G903" s="159" t="s">
        <v>10955</v>
      </c>
    </row>
    <row r="904" spans="1:7" ht="15.75" customHeight="1">
      <c r="A904" s="159" t="s">
        <v>9275</v>
      </c>
      <c r="B904" s="159" t="s">
        <v>9515</v>
      </c>
      <c r="C904" s="159" t="s">
        <v>10287</v>
      </c>
      <c r="D904" s="159" t="s">
        <v>484</v>
      </c>
      <c r="E904" s="159">
        <v>10</v>
      </c>
      <c r="F904" s="159" t="s">
        <v>5665</v>
      </c>
      <c r="G904" s="159" t="s">
        <v>10237</v>
      </c>
    </row>
    <row r="905" spans="1:7" ht="15.75" customHeight="1">
      <c r="A905" s="159" t="s">
        <v>9275</v>
      </c>
      <c r="B905" s="159" t="s">
        <v>9515</v>
      </c>
      <c r="C905" s="159" t="s">
        <v>10884</v>
      </c>
      <c r="D905" s="159" t="s">
        <v>484</v>
      </c>
      <c r="E905" s="159">
        <v>10</v>
      </c>
      <c r="F905" s="159" t="s">
        <v>5665</v>
      </c>
      <c r="G905" s="159" t="s">
        <v>10885</v>
      </c>
    </row>
    <row r="906" spans="1:7" ht="15.75" customHeight="1">
      <c r="A906" s="159" t="s">
        <v>9275</v>
      </c>
      <c r="B906" s="159" t="s">
        <v>9515</v>
      </c>
      <c r="C906" s="159" t="s">
        <v>10882</v>
      </c>
      <c r="D906" s="159" t="s">
        <v>978</v>
      </c>
      <c r="E906" s="159">
        <v>5</v>
      </c>
      <c r="F906" s="159" t="s">
        <v>5665</v>
      </c>
      <c r="G906" s="159" t="s">
        <v>10883</v>
      </c>
    </row>
    <row r="907" spans="1:7" ht="15.75" customHeight="1">
      <c r="A907" s="159" t="s">
        <v>9275</v>
      </c>
      <c r="B907" s="159" t="s">
        <v>9515</v>
      </c>
      <c r="C907" s="159" t="s">
        <v>10940</v>
      </c>
      <c r="D907" s="159" t="s">
        <v>978</v>
      </c>
      <c r="E907" s="159">
        <v>5</v>
      </c>
      <c r="F907" s="159" t="s">
        <v>5667</v>
      </c>
      <c r="G907" s="159" t="s">
        <v>10941</v>
      </c>
    </row>
    <row r="908" spans="1:7" ht="15.75" customHeight="1">
      <c r="A908" s="159" t="s">
        <v>9275</v>
      </c>
      <c r="B908" s="159" t="s">
        <v>9515</v>
      </c>
      <c r="C908" s="159" t="s">
        <v>10942</v>
      </c>
      <c r="D908" s="159" t="s">
        <v>481</v>
      </c>
      <c r="E908" s="159">
        <v>20</v>
      </c>
      <c r="F908" s="159" t="s">
        <v>5667</v>
      </c>
      <c r="G908" s="159" t="s">
        <v>3497</v>
      </c>
    </row>
    <row r="909" spans="1:7" ht="15.75" customHeight="1">
      <c r="A909" s="159" t="s">
        <v>9275</v>
      </c>
      <c r="B909" s="159" t="s">
        <v>9515</v>
      </c>
      <c r="C909" s="159" t="s">
        <v>10943</v>
      </c>
      <c r="D909" s="159" t="s">
        <v>481</v>
      </c>
      <c r="E909" s="159">
        <v>20</v>
      </c>
      <c r="F909" s="159" t="s">
        <v>5667</v>
      </c>
      <c r="G909" s="159" t="s">
        <v>10944</v>
      </c>
    </row>
    <row r="910" spans="1:7" ht="15.75" customHeight="1">
      <c r="A910" s="159" t="s">
        <v>9275</v>
      </c>
      <c r="B910" s="159" t="s">
        <v>9515</v>
      </c>
      <c r="C910" s="159" t="s">
        <v>10886</v>
      </c>
      <c r="D910" s="159" t="s">
        <v>481</v>
      </c>
      <c r="E910" s="159">
        <v>20</v>
      </c>
      <c r="F910" s="159" t="s">
        <v>5667</v>
      </c>
      <c r="G910" s="159" t="s">
        <v>10887</v>
      </c>
    </row>
    <row r="911" spans="1:7" ht="15.75" customHeight="1">
      <c r="A911" s="159" t="s">
        <v>9275</v>
      </c>
      <c r="B911" s="159" t="s">
        <v>9515</v>
      </c>
      <c r="C911" s="159" t="s">
        <v>10888</v>
      </c>
      <c r="D911" s="159" t="s">
        <v>481</v>
      </c>
      <c r="E911" s="159">
        <v>20</v>
      </c>
      <c r="F911" s="159" t="s">
        <v>5667</v>
      </c>
      <c r="G911" s="159" t="s">
        <v>10889</v>
      </c>
    </row>
    <row r="912" spans="1:7" ht="15.75" customHeight="1">
      <c r="A912" s="159" t="s">
        <v>9275</v>
      </c>
      <c r="B912" s="159" t="s">
        <v>9515</v>
      </c>
      <c r="C912" s="159" t="s">
        <v>10945</v>
      </c>
      <c r="D912" s="159" t="s">
        <v>481</v>
      </c>
      <c r="E912" s="159">
        <v>20</v>
      </c>
      <c r="F912" s="159" t="s">
        <v>5667</v>
      </c>
      <c r="G912" s="159" t="s">
        <v>10946</v>
      </c>
    </row>
    <row r="913" spans="1:7" ht="15.75" customHeight="1">
      <c r="A913" s="159" t="s">
        <v>9275</v>
      </c>
      <c r="B913" s="159" t="s">
        <v>9517</v>
      </c>
      <c r="C913" s="159" t="s">
        <v>10287</v>
      </c>
      <c r="D913" s="159" t="s">
        <v>484</v>
      </c>
      <c r="E913" s="159">
        <v>10</v>
      </c>
      <c r="F913" s="159" t="s">
        <v>5665</v>
      </c>
      <c r="G913" s="159" t="s">
        <v>10237</v>
      </c>
    </row>
    <row r="914" spans="1:7" ht="15.75" customHeight="1">
      <c r="A914" s="159" t="s">
        <v>9275</v>
      </c>
      <c r="B914" s="159" t="s">
        <v>9517</v>
      </c>
      <c r="C914" s="159" t="s">
        <v>10884</v>
      </c>
      <c r="D914" s="159" t="s">
        <v>484</v>
      </c>
      <c r="E914" s="159">
        <v>10</v>
      </c>
      <c r="F914" s="159" t="s">
        <v>5665</v>
      </c>
      <c r="G914" s="159" t="s">
        <v>10885</v>
      </c>
    </row>
    <row r="915" spans="1:7" ht="15.75" customHeight="1">
      <c r="A915" s="159" t="s">
        <v>9275</v>
      </c>
      <c r="B915" s="159" t="s">
        <v>9517</v>
      </c>
      <c r="C915" s="159" t="s">
        <v>10882</v>
      </c>
      <c r="D915" s="159" t="s">
        <v>978</v>
      </c>
      <c r="E915" s="159">
        <v>5</v>
      </c>
      <c r="F915" s="159" t="s">
        <v>5665</v>
      </c>
      <c r="G915" s="159" t="s">
        <v>10883</v>
      </c>
    </row>
    <row r="916" spans="1:7" ht="15.75" customHeight="1">
      <c r="A916" s="159" t="s">
        <v>9275</v>
      </c>
      <c r="B916" s="159" t="s">
        <v>9517</v>
      </c>
      <c r="C916" s="159" t="s">
        <v>10467</v>
      </c>
      <c r="D916" s="159" t="s">
        <v>484</v>
      </c>
      <c r="E916" s="159">
        <v>10</v>
      </c>
      <c r="F916" s="159" t="s">
        <v>5665</v>
      </c>
      <c r="G916" s="159" t="s">
        <v>10468</v>
      </c>
    </row>
    <row r="917" spans="1:7" ht="15.75" customHeight="1">
      <c r="A917" s="159" t="s">
        <v>9275</v>
      </c>
      <c r="B917" s="159" t="s">
        <v>9517</v>
      </c>
      <c r="C917" s="159" t="s">
        <v>10886</v>
      </c>
      <c r="D917" s="159" t="s">
        <v>481</v>
      </c>
      <c r="E917" s="159">
        <v>20</v>
      </c>
      <c r="F917" s="159" t="s">
        <v>5667</v>
      </c>
      <c r="G917" s="159" t="s">
        <v>10887</v>
      </c>
    </row>
    <row r="918" spans="1:7" ht="15.75" customHeight="1">
      <c r="A918" s="159" t="s">
        <v>9275</v>
      </c>
      <c r="B918" s="159" t="s">
        <v>9517</v>
      </c>
      <c r="C918" s="159" t="s">
        <v>10888</v>
      </c>
      <c r="D918" s="159" t="s">
        <v>481</v>
      </c>
      <c r="E918" s="159">
        <v>20</v>
      </c>
      <c r="F918" s="159" t="s">
        <v>5667</v>
      </c>
      <c r="G918" s="159" t="s">
        <v>10889</v>
      </c>
    </row>
    <row r="919" spans="1:7" ht="15.75" customHeight="1">
      <c r="A919" s="159" t="s">
        <v>9275</v>
      </c>
      <c r="B919" s="159" t="s">
        <v>9517</v>
      </c>
      <c r="C919" s="159" t="s">
        <v>10945</v>
      </c>
      <c r="D919" s="159" t="s">
        <v>481</v>
      </c>
      <c r="E919" s="159">
        <v>20</v>
      </c>
      <c r="F919" s="159" t="s">
        <v>5667</v>
      </c>
      <c r="G919" s="159" t="s">
        <v>10946</v>
      </c>
    </row>
    <row r="920" spans="1:7" ht="15.75" customHeight="1">
      <c r="A920" s="159" t="s">
        <v>9275</v>
      </c>
      <c r="B920" s="159" t="s">
        <v>9519</v>
      </c>
      <c r="C920" s="159" t="s">
        <v>10287</v>
      </c>
      <c r="D920" s="159" t="s">
        <v>484</v>
      </c>
      <c r="E920" s="159">
        <v>10</v>
      </c>
      <c r="F920" s="159" t="s">
        <v>5665</v>
      </c>
      <c r="G920" s="159" t="s">
        <v>10237</v>
      </c>
    </row>
    <row r="921" spans="1:7" ht="15.75" customHeight="1">
      <c r="A921" s="159" t="s">
        <v>9275</v>
      </c>
      <c r="B921" s="159" t="s">
        <v>9519</v>
      </c>
      <c r="C921" s="159" t="s">
        <v>10884</v>
      </c>
      <c r="D921" s="159" t="s">
        <v>484</v>
      </c>
      <c r="E921" s="159">
        <v>10</v>
      </c>
      <c r="F921" s="159" t="s">
        <v>5665</v>
      </c>
      <c r="G921" s="159" t="s">
        <v>10885</v>
      </c>
    </row>
    <row r="922" spans="1:7" ht="15.75" customHeight="1">
      <c r="A922" s="159" t="s">
        <v>9275</v>
      </c>
      <c r="B922" s="159" t="s">
        <v>9519</v>
      </c>
      <c r="C922" s="159" t="s">
        <v>10882</v>
      </c>
      <c r="D922" s="159" t="s">
        <v>978</v>
      </c>
      <c r="E922" s="159">
        <v>5</v>
      </c>
      <c r="F922" s="159" t="s">
        <v>5665</v>
      </c>
      <c r="G922" s="159" t="s">
        <v>10883</v>
      </c>
    </row>
    <row r="923" spans="1:7" ht="15.75" customHeight="1">
      <c r="A923" s="159" t="s">
        <v>9275</v>
      </c>
      <c r="B923" s="159" t="s">
        <v>9519</v>
      </c>
      <c r="C923" s="159" t="s">
        <v>10467</v>
      </c>
      <c r="D923" s="159" t="s">
        <v>484</v>
      </c>
      <c r="E923" s="159">
        <v>10</v>
      </c>
      <c r="F923" s="159" t="s">
        <v>5665</v>
      </c>
      <c r="G923" s="159" t="s">
        <v>10468</v>
      </c>
    </row>
    <row r="924" spans="1:7" ht="15.75" customHeight="1">
      <c r="A924" s="159" t="s">
        <v>9275</v>
      </c>
      <c r="B924" s="159" t="s">
        <v>9519</v>
      </c>
      <c r="C924" s="159" t="s">
        <v>10886</v>
      </c>
      <c r="D924" s="159" t="s">
        <v>481</v>
      </c>
      <c r="E924" s="159">
        <v>20</v>
      </c>
      <c r="F924" s="159" t="s">
        <v>5667</v>
      </c>
      <c r="G924" s="159" t="s">
        <v>10887</v>
      </c>
    </row>
    <row r="925" spans="1:7" ht="15.75" customHeight="1">
      <c r="A925" s="159" t="s">
        <v>9275</v>
      </c>
      <c r="B925" s="159" t="s">
        <v>9519</v>
      </c>
      <c r="C925" s="159" t="s">
        <v>10888</v>
      </c>
      <c r="D925" s="159" t="s">
        <v>481</v>
      </c>
      <c r="E925" s="159">
        <v>20</v>
      </c>
      <c r="F925" s="159" t="s">
        <v>5667</v>
      </c>
      <c r="G925" s="159" t="s">
        <v>10889</v>
      </c>
    </row>
    <row r="926" spans="1:7" ht="15.75" customHeight="1">
      <c r="A926" s="159" t="s">
        <v>9275</v>
      </c>
      <c r="B926" s="159" t="s">
        <v>9519</v>
      </c>
      <c r="C926" s="159" t="s">
        <v>10945</v>
      </c>
      <c r="D926" s="159" t="s">
        <v>481</v>
      </c>
      <c r="E926" s="159">
        <v>20</v>
      </c>
      <c r="F926" s="159" t="s">
        <v>5667</v>
      </c>
      <c r="G926" s="159" t="s">
        <v>10946</v>
      </c>
    </row>
    <row r="927" spans="1:7" ht="15.75" customHeight="1">
      <c r="A927" s="159" t="s">
        <v>9275</v>
      </c>
      <c r="B927" s="159" t="s">
        <v>9521</v>
      </c>
      <c r="C927" s="159" t="s">
        <v>10287</v>
      </c>
      <c r="D927" s="159" t="s">
        <v>484</v>
      </c>
      <c r="E927" s="159">
        <v>10</v>
      </c>
      <c r="F927" s="159" t="s">
        <v>5665</v>
      </c>
      <c r="G927" s="159" t="s">
        <v>10237</v>
      </c>
    </row>
    <row r="928" spans="1:7" ht="15.75" customHeight="1">
      <c r="A928" s="159" t="s">
        <v>9275</v>
      </c>
      <c r="B928" s="159" t="s">
        <v>9521</v>
      </c>
      <c r="C928" s="159" t="s">
        <v>10884</v>
      </c>
      <c r="D928" s="159" t="s">
        <v>484</v>
      </c>
      <c r="E928" s="159">
        <v>10</v>
      </c>
      <c r="F928" s="159" t="s">
        <v>5665</v>
      </c>
      <c r="G928" s="159" t="s">
        <v>10885</v>
      </c>
    </row>
    <row r="929" spans="1:7" ht="15.75" customHeight="1">
      <c r="A929" s="159" t="s">
        <v>9275</v>
      </c>
      <c r="B929" s="159" t="s">
        <v>9521</v>
      </c>
      <c r="C929" s="159" t="s">
        <v>10882</v>
      </c>
      <c r="D929" s="159" t="s">
        <v>978</v>
      </c>
      <c r="E929" s="159">
        <v>5</v>
      </c>
      <c r="F929" s="159" t="s">
        <v>5665</v>
      </c>
      <c r="G929" s="159" t="s">
        <v>10883</v>
      </c>
    </row>
    <row r="930" spans="1:7" ht="15.75" customHeight="1">
      <c r="A930" s="159" t="s">
        <v>9275</v>
      </c>
      <c r="B930" s="159" t="s">
        <v>9521</v>
      </c>
      <c r="C930" s="159" t="s">
        <v>10886</v>
      </c>
      <c r="D930" s="159" t="s">
        <v>481</v>
      </c>
      <c r="E930" s="159">
        <v>20</v>
      </c>
      <c r="F930" s="159" t="s">
        <v>5667</v>
      </c>
      <c r="G930" s="159" t="s">
        <v>10887</v>
      </c>
    </row>
    <row r="931" spans="1:7" ht="15.75" customHeight="1">
      <c r="A931" s="159" t="s">
        <v>9275</v>
      </c>
      <c r="B931" s="159" t="s">
        <v>9521</v>
      </c>
      <c r="C931" s="159" t="s">
        <v>10888</v>
      </c>
      <c r="D931" s="159" t="s">
        <v>481</v>
      </c>
      <c r="E931" s="159">
        <v>20</v>
      </c>
      <c r="F931" s="159" t="s">
        <v>5667</v>
      </c>
      <c r="G931" s="159" t="s">
        <v>10889</v>
      </c>
    </row>
    <row r="932" spans="1:7" ht="15.75" customHeight="1">
      <c r="A932" s="159" t="s">
        <v>9275</v>
      </c>
      <c r="B932" s="159" t="s">
        <v>9521</v>
      </c>
      <c r="C932" s="159" t="s">
        <v>10945</v>
      </c>
      <c r="D932" s="159" t="s">
        <v>481</v>
      </c>
      <c r="E932" s="159">
        <v>20</v>
      </c>
      <c r="F932" s="159" t="s">
        <v>5667</v>
      </c>
      <c r="G932" s="159" t="s">
        <v>10946</v>
      </c>
    </row>
    <row r="933" spans="1:7" ht="15.75" customHeight="1">
      <c r="A933" s="159" t="s">
        <v>9275</v>
      </c>
      <c r="B933" s="159" t="s">
        <v>9523</v>
      </c>
      <c r="C933" s="159" t="s">
        <v>10287</v>
      </c>
      <c r="D933" s="159" t="s">
        <v>484</v>
      </c>
      <c r="E933" s="159">
        <v>10</v>
      </c>
      <c r="F933" s="159" t="s">
        <v>5665</v>
      </c>
      <c r="G933" s="159" t="s">
        <v>10237</v>
      </c>
    </row>
    <row r="934" spans="1:7" ht="15.75" customHeight="1">
      <c r="A934" s="159" t="s">
        <v>9275</v>
      </c>
      <c r="B934" s="159" t="s">
        <v>9523</v>
      </c>
      <c r="C934" s="159" t="s">
        <v>10884</v>
      </c>
      <c r="D934" s="159" t="s">
        <v>484</v>
      </c>
      <c r="E934" s="159">
        <v>10</v>
      </c>
      <c r="F934" s="159" t="s">
        <v>5665</v>
      </c>
      <c r="G934" s="159" t="s">
        <v>10885</v>
      </c>
    </row>
    <row r="935" spans="1:7" ht="15.75" customHeight="1">
      <c r="A935" s="159" t="s">
        <v>9275</v>
      </c>
      <c r="B935" s="159" t="s">
        <v>9523</v>
      </c>
      <c r="C935" s="159" t="s">
        <v>10882</v>
      </c>
      <c r="D935" s="159" t="s">
        <v>978</v>
      </c>
      <c r="E935" s="159">
        <v>5</v>
      </c>
      <c r="F935" s="159" t="s">
        <v>5665</v>
      </c>
      <c r="G935" s="159" t="s">
        <v>10883</v>
      </c>
    </row>
    <row r="936" spans="1:7" ht="15.75" customHeight="1">
      <c r="A936" s="159" t="s">
        <v>9275</v>
      </c>
      <c r="B936" s="159" t="s">
        <v>9523</v>
      </c>
      <c r="C936" s="159" t="s">
        <v>10886</v>
      </c>
      <c r="D936" s="159" t="s">
        <v>481</v>
      </c>
      <c r="E936" s="159">
        <v>20</v>
      </c>
      <c r="F936" s="159" t="s">
        <v>5667</v>
      </c>
      <c r="G936" s="159" t="s">
        <v>10887</v>
      </c>
    </row>
    <row r="937" spans="1:7" ht="15.75" customHeight="1">
      <c r="A937" s="159" t="s">
        <v>9275</v>
      </c>
      <c r="B937" s="159" t="s">
        <v>9523</v>
      </c>
      <c r="C937" s="159" t="s">
        <v>10888</v>
      </c>
      <c r="D937" s="159" t="s">
        <v>481</v>
      </c>
      <c r="E937" s="159">
        <v>20</v>
      </c>
      <c r="F937" s="159" t="s">
        <v>5667</v>
      </c>
      <c r="G937" s="159" t="s">
        <v>10889</v>
      </c>
    </row>
    <row r="938" spans="1:7" ht="15.75" customHeight="1">
      <c r="A938" s="159" t="s">
        <v>9275</v>
      </c>
      <c r="B938" s="159" t="s">
        <v>9523</v>
      </c>
      <c r="C938" s="159" t="s">
        <v>10945</v>
      </c>
      <c r="D938" s="159" t="s">
        <v>481</v>
      </c>
      <c r="E938" s="159">
        <v>20</v>
      </c>
      <c r="F938" s="159" t="s">
        <v>5667</v>
      </c>
      <c r="G938" s="159" t="s">
        <v>10946</v>
      </c>
    </row>
    <row r="939" spans="1:7" ht="15.75" customHeight="1">
      <c r="A939" s="159" t="s">
        <v>9275</v>
      </c>
      <c r="B939" s="159" t="s">
        <v>9525</v>
      </c>
      <c r="C939" s="159" t="s">
        <v>10287</v>
      </c>
      <c r="D939" s="159" t="s">
        <v>484</v>
      </c>
      <c r="E939" s="159">
        <v>10</v>
      </c>
      <c r="F939" s="159" t="s">
        <v>5665</v>
      </c>
      <c r="G939" s="159" t="s">
        <v>10237</v>
      </c>
    </row>
    <row r="940" spans="1:7" ht="15.75" customHeight="1">
      <c r="A940" s="159" t="s">
        <v>9275</v>
      </c>
      <c r="B940" s="159" t="s">
        <v>9525</v>
      </c>
      <c r="C940" s="159" t="s">
        <v>10884</v>
      </c>
      <c r="D940" s="159" t="s">
        <v>484</v>
      </c>
      <c r="E940" s="159">
        <v>10</v>
      </c>
      <c r="F940" s="159" t="s">
        <v>5665</v>
      </c>
      <c r="G940" s="159" t="s">
        <v>10885</v>
      </c>
    </row>
    <row r="941" spans="1:7" ht="15.75" customHeight="1">
      <c r="A941" s="159" t="s">
        <v>9275</v>
      </c>
      <c r="B941" s="159" t="s">
        <v>9525</v>
      </c>
      <c r="C941" s="159" t="s">
        <v>10882</v>
      </c>
      <c r="D941" s="159" t="s">
        <v>978</v>
      </c>
      <c r="E941" s="159">
        <v>5</v>
      </c>
      <c r="F941" s="159" t="s">
        <v>5665</v>
      </c>
      <c r="G941" s="159" t="s">
        <v>10883</v>
      </c>
    </row>
    <row r="942" spans="1:7" ht="15.75" customHeight="1">
      <c r="A942" s="159" t="s">
        <v>9275</v>
      </c>
      <c r="B942" s="159" t="s">
        <v>9525</v>
      </c>
      <c r="C942" s="159" t="s">
        <v>10940</v>
      </c>
      <c r="D942" s="159" t="s">
        <v>978</v>
      </c>
      <c r="E942" s="159">
        <v>5</v>
      </c>
      <c r="F942" s="159" t="s">
        <v>5667</v>
      </c>
      <c r="G942" s="159" t="s">
        <v>10941</v>
      </c>
    </row>
    <row r="943" spans="1:7" ht="15.75" customHeight="1">
      <c r="A943" s="159" t="s">
        <v>9275</v>
      </c>
      <c r="B943" s="159" t="s">
        <v>9525</v>
      </c>
      <c r="C943" s="159" t="s">
        <v>10942</v>
      </c>
      <c r="D943" s="159" t="s">
        <v>481</v>
      </c>
      <c r="E943" s="159">
        <v>20</v>
      </c>
      <c r="F943" s="159" t="s">
        <v>5667</v>
      </c>
      <c r="G943" s="159" t="s">
        <v>3497</v>
      </c>
    </row>
    <row r="944" spans="1:7" ht="15.75" customHeight="1">
      <c r="A944" s="159" t="s">
        <v>9275</v>
      </c>
      <c r="B944" s="159" t="s">
        <v>9525</v>
      </c>
      <c r="C944" s="159" t="s">
        <v>10943</v>
      </c>
      <c r="D944" s="159" t="s">
        <v>481</v>
      </c>
      <c r="E944" s="159">
        <v>20</v>
      </c>
      <c r="F944" s="159" t="s">
        <v>5667</v>
      </c>
      <c r="G944" s="159" t="s">
        <v>10944</v>
      </c>
    </row>
    <row r="945" spans="1:7" ht="15.75" customHeight="1">
      <c r="A945" s="159" t="s">
        <v>9275</v>
      </c>
      <c r="B945" s="159" t="s">
        <v>9525</v>
      </c>
      <c r="C945" s="159" t="s">
        <v>10886</v>
      </c>
      <c r="D945" s="159" t="s">
        <v>481</v>
      </c>
      <c r="E945" s="159">
        <v>20</v>
      </c>
      <c r="F945" s="159" t="s">
        <v>5667</v>
      </c>
      <c r="G945" s="159" t="s">
        <v>10887</v>
      </c>
    </row>
    <row r="946" spans="1:7" ht="15.75" customHeight="1">
      <c r="A946" s="159" t="s">
        <v>9275</v>
      </c>
      <c r="B946" s="159" t="s">
        <v>9525</v>
      </c>
      <c r="C946" s="159" t="s">
        <v>10888</v>
      </c>
      <c r="D946" s="159" t="s">
        <v>481</v>
      </c>
      <c r="E946" s="159">
        <v>20</v>
      </c>
      <c r="F946" s="159" t="s">
        <v>5667</v>
      </c>
      <c r="G946" s="159" t="s">
        <v>10889</v>
      </c>
    </row>
    <row r="947" spans="1:7" ht="15.75" customHeight="1">
      <c r="A947" s="159" t="s">
        <v>9275</v>
      </c>
      <c r="B947" s="159" t="s">
        <v>9525</v>
      </c>
      <c r="C947" s="159" t="s">
        <v>10945</v>
      </c>
      <c r="D947" s="159" t="s">
        <v>481</v>
      </c>
      <c r="E947" s="159">
        <v>20</v>
      </c>
      <c r="F947" s="159" t="s">
        <v>5667</v>
      </c>
      <c r="G947" s="159" t="s">
        <v>10946</v>
      </c>
    </row>
    <row r="948" spans="1:7" ht="15.75" customHeight="1">
      <c r="A948" s="159" t="s">
        <v>9275</v>
      </c>
      <c r="B948" s="159" t="s">
        <v>9526</v>
      </c>
      <c r="C948" s="159" t="s">
        <v>10287</v>
      </c>
      <c r="D948" s="159" t="s">
        <v>484</v>
      </c>
      <c r="E948" s="159">
        <v>10</v>
      </c>
      <c r="F948" s="159" t="s">
        <v>5665</v>
      </c>
      <c r="G948" s="159" t="s">
        <v>10237</v>
      </c>
    </row>
    <row r="949" spans="1:7" ht="15.75" customHeight="1">
      <c r="A949" s="159" t="s">
        <v>9275</v>
      </c>
      <c r="B949" s="159" t="s">
        <v>9526</v>
      </c>
      <c r="C949" s="159" t="s">
        <v>10884</v>
      </c>
      <c r="D949" s="159" t="s">
        <v>484</v>
      </c>
      <c r="E949" s="159">
        <v>10</v>
      </c>
      <c r="F949" s="159" t="s">
        <v>5665</v>
      </c>
      <c r="G949" s="159" t="s">
        <v>10885</v>
      </c>
    </row>
    <row r="950" spans="1:7" ht="15.75" customHeight="1">
      <c r="A950" s="159" t="s">
        <v>9275</v>
      </c>
      <c r="B950" s="159" t="s">
        <v>9526</v>
      </c>
      <c r="C950" s="159" t="s">
        <v>10882</v>
      </c>
      <c r="D950" s="159" t="s">
        <v>978</v>
      </c>
      <c r="E950" s="159">
        <v>5</v>
      </c>
      <c r="F950" s="159" t="s">
        <v>5665</v>
      </c>
      <c r="G950" s="159" t="s">
        <v>10883</v>
      </c>
    </row>
    <row r="951" spans="1:7" ht="15.75" customHeight="1">
      <c r="A951" s="159" t="s">
        <v>9275</v>
      </c>
      <c r="B951" s="159" t="s">
        <v>9526</v>
      </c>
      <c r="C951" s="159" t="s">
        <v>10940</v>
      </c>
      <c r="D951" s="159" t="s">
        <v>978</v>
      </c>
      <c r="E951" s="159">
        <v>5</v>
      </c>
      <c r="F951" s="159" t="s">
        <v>5667</v>
      </c>
      <c r="G951" s="159" t="s">
        <v>10941</v>
      </c>
    </row>
    <row r="952" spans="1:7" ht="15.75" customHeight="1">
      <c r="A952" s="159" t="s">
        <v>9275</v>
      </c>
      <c r="B952" s="159" t="s">
        <v>9526</v>
      </c>
      <c r="C952" s="159" t="s">
        <v>10942</v>
      </c>
      <c r="D952" s="159" t="s">
        <v>481</v>
      </c>
      <c r="E952" s="159">
        <v>20</v>
      </c>
      <c r="F952" s="159" t="s">
        <v>5667</v>
      </c>
      <c r="G952" s="159" t="s">
        <v>3497</v>
      </c>
    </row>
    <row r="953" spans="1:7" ht="15.75" customHeight="1">
      <c r="A953" s="159" t="s">
        <v>9275</v>
      </c>
      <c r="B953" s="159" t="s">
        <v>9526</v>
      </c>
      <c r="C953" s="159" t="s">
        <v>10943</v>
      </c>
      <c r="D953" s="159" t="s">
        <v>481</v>
      </c>
      <c r="E953" s="159">
        <v>20</v>
      </c>
      <c r="F953" s="159" t="s">
        <v>5667</v>
      </c>
      <c r="G953" s="159" t="s">
        <v>10944</v>
      </c>
    </row>
    <row r="954" spans="1:7" ht="15.75" customHeight="1">
      <c r="A954" s="159" t="s">
        <v>9275</v>
      </c>
      <c r="B954" s="159" t="s">
        <v>9526</v>
      </c>
      <c r="C954" s="159" t="s">
        <v>10886</v>
      </c>
      <c r="D954" s="159" t="s">
        <v>481</v>
      </c>
      <c r="E954" s="159">
        <v>20</v>
      </c>
      <c r="F954" s="159" t="s">
        <v>5667</v>
      </c>
      <c r="G954" s="159" t="s">
        <v>10887</v>
      </c>
    </row>
    <row r="955" spans="1:7" ht="15.75" customHeight="1">
      <c r="A955" s="159" t="s">
        <v>9275</v>
      </c>
      <c r="B955" s="159" t="s">
        <v>9526</v>
      </c>
      <c r="C955" s="159" t="s">
        <v>10888</v>
      </c>
      <c r="D955" s="159" t="s">
        <v>481</v>
      </c>
      <c r="E955" s="159">
        <v>20</v>
      </c>
      <c r="F955" s="159" t="s">
        <v>5667</v>
      </c>
      <c r="G955" s="159" t="s">
        <v>10889</v>
      </c>
    </row>
    <row r="956" spans="1:7" ht="15.75" customHeight="1">
      <c r="A956" s="159" t="s">
        <v>9275</v>
      </c>
      <c r="B956" s="159" t="s">
        <v>9526</v>
      </c>
      <c r="C956" s="159" t="s">
        <v>10945</v>
      </c>
      <c r="D956" s="159" t="s">
        <v>481</v>
      </c>
      <c r="E956" s="159">
        <v>20</v>
      </c>
      <c r="F956" s="159" t="s">
        <v>5667</v>
      </c>
      <c r="G956" s="159" t="s">
        <v>10946</v>
      </c>
    </row>
    <row r="957" spans="1:7" ht="15.75" customHeight="1">
      <c r="A957" s="159" t="s">
        <v>9275</v>
      </c>
      <c r="B957" s="159" t="s">
        <v>9528</v>
      </c>
      <c r="C957" s="159" t="s">
        <v>10287</v>
      </c>
      <c r="D957" s="159" t="s">
        <v>484</v>
      </c>
      <c r="E957" s="159">
        <v>10</v>
      </c>
      <c r="F957" s="159" t="s">
        <v>5665</v>
      </c>
      <c r="G957" s="159" t="s">
        <v>10237</v>
      </c>
    </row>
    <row r="958" spans="1:7" ht="15.75" customHeight="1">
      <c r="A958" s="159" t="s">
        <v>9275</v>
      </c>
      <c r="B958" s="159" t="s">
        <v>9528</v>
      </c>
      <c r="C958" s="159" t="s">
        <v>10884</v>
      </c>
      <c r="D958" s="159" t="s">
        <v>484</v>
      </c>
      <c r="E958" s="159">
        <v>10</v>
      </c>
      <c r="F958" s="159" t="s">
        <v>5665</v>
      </c>
      <c r="G958" s="159" t="s">
        <v>10885</v>
      </c>
    </row>
    <row r="959" spans="1:7" ht="15.75" customHeight="1">
      <c r="A959" s="159" t="s">
        <v>9275</v>
      </c>
      <c r="B959" s="159" t="s">
        <v>9528</v>
      </c>
      <c r="C959" s="159" t="s">
        <v>10882</v>
      </c>
      <c r="D959" s="159" t="s">
        <v>978</v>
      </c>
      <c r="E959" s="159">
        <v>5</v>
      </c>
      <c r="F959" s="159" t="s">
        <v>5665</v>
      </c>
      <c r="G959" s="159" t="s">
        <v>10883</v>
      </c>
    </row>
    <row r="960" spans="1:7" ht="15.75" customHeight="1">
      <c r="A960" s="159" t="s">
        <v>9275</v>
      </c>
      <c r="B960" s="159" t="s">
        <v>9528</v>
      </c>
      <c r="C960" s="159" t="s">
        <v>10886</v>
      </c>
      <c r="D960" s="159" t="s">
        <v>481</v>
      </c>
      <c r="E960" s="159">
        <v>20</v>
      </c>
      <c r="F960" s="159" t="s">
        <v>5667</v>
      </c>
      <c r="G960" s="159" t="s">
        <v>10887</v>
      </c>
    </row>
    <row r="961" spans="1:7" ht="15.75" customHeight="1">
      <c r="A961" s="159" t="s">
        <v>9275</v>
      </c>
      <c r="B961" s="159" t="s">
        <v>9530</v>
      </c>
      <c r="C961" s="159" t="s">
        <v>10882</v>
      </c>
      <c r="D961" s="159" t="s">
        <v>978</v>
      </c>
      <c r="E961" s="159">
        <v>5</v>
      </c>
      <c r="F961" s="159" t="s">
        <v>5665</v>
      </c>
      <c r="G961" s="159" t="s">
        <v>10883</v>
      </c>
    </row>
    <row r="962" spans="1:7" ht="15.75" customHeight="1">
      <c r="A962" s="159" t="s">
        <v>9275</v>
      </c>
      <c r="B962" s="159" t="s">
        <v>9530</v>
      </c>
      <c r="C962" s="159" t="s">
        <v>10969</v>
      </c>
      <c r="D962" s="159" t="s">
        <v>978</v>
      </c>
      <c r="E962" s="159">
        <v>5</v>
      </c>
      <c r="F962" s="159" t="s">
        <v>5665</v>
      </c>
      <c r="G962" s="159" t="s">
        <v>10970</v>
      </c>
    </row>
    <row r="963" spans="1:7" ht="15.75" customHeight="1">
      <c r="A963" s="159" t="s">
        <v>9275</v>
      </c>
      <c r="B963" s="159" t="s">
        <v>9530</v>
      </c>
      <c r="C963" s="159" t="s">
        <v>10971</v>
      </c>
      <c r="D963" s="159" t="s">
        <v>1974</v>
      </c>
      <c r="E963" s="159"/>
      <c r="F963" s="159" t="s">
        <v>5667</v>
      </c>
      <c r="G963" s="159" t="s">
        <v>10972</v>
      </c>
    </row>
    <row r="964" spans="1:7" ht="15.75" customHeight="1">
      <c r="A964" s="159" t="s">
        <v>9275</v>
      </c>
      <c r="B964" s="159" t="s">
        <v>9530</v>
      </c>
      <c r="C964" s="159" t="s">
        <v>10973</v>
      </c>
      <c r="D964" s="159" t="s">
        <v>1807</v>
      </c>
      <c r="E964" s="159">
        <v>12</v>
      </c>
      <c r="F964" s="159" t="s">
        <v>5667</v>
      </c>
      <c r="G964" s="159" t="s">
        <v>10974</v>
      </c>
    </row>
    <row r="965" spans="1:7" ht="15.75" customHeight="1">
      <c r="A965" s="159" t="s">
        <v>9275</v>
      </c>
      <c r="B965" s="159" t="s">
        <v>9532</v>
      </c>
      <c r="C965" s="159" t="s">
        <v>10975</v>
      </c>
      <c r="D965" s="159" t="s">
        <v>484</v>
      </c>
      <c r="E965" s="159">
        <v>10</v>
      </c>
      <c r="F965" s="159" t="s">
        <v>5665</v>
      </c>
      <c r="G965" s="159" t="s">
        <v>10976</v>
      </c>
    </row>
    <row r="966" spans="1:7" ht="15.75" customHeight="1">
      <c r="A966" s="159" t="s">
        <v>9275</v>
      </c>
      <c r="B966" s="159" t="s">
        <v>9532</v>
      </c>
      <c r="C966" s="159" t="s">
        <v>1394</v>
      </c>
      <c r="D966" s="159" t="s">
        <v>484</v>
      </c>
      <c r="E966" s="159">
        <v>10</v>
      </c>
      <c r="F966" s="159" t="s">
        <v>5665</v>
      </c>
      <c r="G966" s="159" t="s">
        <v>4828</v>
      </c>
    </row>
    <row r="967" spans="1:7" ht="15.75" customHeight="1">
      <c r="A967" s="159" t="s">
        <v>9275</v>
      </c>
      <c r="B967" s="159" t="s">
        <v>9532</v>
      </c>
      <c r="C967" s="159" t="s">
        <v>10977</v>
      </c>
      <c r="D967" s="159" t="s">
        <v>484</v>
      </c>
      <c r="E967" s="159">
        <v>10</v>
      </c>
      <c r="F967" s="159" t="s">
        <v>5665</v>
      </c>
      <c r="G967" s="159" t="s">
        <v>10978</v>
      </c>
    </row>
    <row r="968" spans="1:7" ht="15.75" customHeight="1">
      <c r="A968" s="159" t="s">
        <v>9275</v>
      </c>
      <c r="B968" s="159" t="s">
        <v>9532</v>
      </c>
      <c r="C968" s="159" t="s">
        <v>10979</v>
      </c>
      <c r="D968" s="159" t="s">
        <v>978</v>
      </c>
      <c r="E968" s="159">
        <v>5</v>
      </c>
      <c r="F968" s="159" t="s">
        <v>5665</v>
      </c>
      <c r="G968" s="159" t="s">
        <v>10980</v>
      </c>
    </row>
    <row r="969" spans="1:7" ht="15.75" customHeight="1">
      <c r="A969" s="159" t="s">
        <v>9275</v>
      </c>
      <c r="B969" s="159" t="s">
        <v>9534</v>
      </c>
      <c r="C969" s="159" t="s">
        <v>10981</v>
      </c>
      <c r="D969" s="159" t="s">
        <v>978</v>
      </c>
      <c r="E969" s="159">
        <v>5</v>
      </c>
      <c r="F969" s="159" t="s">
        <v>5665</v>
      </c>
      <c r="G969" s="159" t="s">
        <v>10982</v>
      </c>
    </row>
    <row r="970" spans="1:7" ht="15.75" customHeight="1">
      <c r="A970" s="159" t="s">
        <v>9275</v>
      </c>
      <c r="B970" s="159" t="s">
        <v>9534</v>
      </c>
      <c r="C970" s="159" t="s">
        <v>10979</v>
      </c>
      <c r="D970" s="159" t="s">
        <v>978</v>
      </c>
      <c r="E970" s="159">
        <v>5</v>
      </c>
      <c r="F970" s="159" t="s">
        <v>5665</v>
      </c>
      <c r="G970" s="159" t="s">
        <v>10980</v>
      </c>
    </row>
    <row r="971" spans="1:7" ht="15.75" customHeight="1">
      <c r="A971" s="159" t="s">
        <v>9275</v>
      </c>
      <c r="B971" s="159" t="s">
        <v>9534</v>
      </c>
      <c r="C971" s="159" t="s">
        <v>10983</v>
      </c>
      <c r="D971" s="159" t="s">
        <v>477</v>
      </c>
      <c r="E971" s="159">
        <v>32</v>
      </c>
      <c r="F971" s="159" t="s">
        <v>5667</v>
      </c>
      <c r="G971" s="159" t="s">
        <v>10984</v>
      </c>
    </row>
    <row r="972" spans="1:7" ht="15.75" customHeight="1">
      <c r="A972" s="159" t="s">
        <v>9275</v>
      </c>
      <c r="B972" s="159" t="s">
        <v>9534</v>
      </c>
      <c r="C972" s="159" t="s">
        <v>10985</v>
      </c>
      <c r="D972" s="159" t="s">
        <v>477</v>
      </c>
      <c r="E972" s="159">
        <v>32</v>
      </c>
      <c r="F972" s="159" t="s">
        <v>5667</v>
      </c>
      <c r="G972" s="159" t="s">
        <v>10986</v>
      </c>
    </row>
    <row r="973" spans="1:7" ht="15.75" customHeight="1">
      <c r="A973" s="159" t="s">
        <v>9275</v>
      </c>
      <c r="B973" s="159" t="s">
        <v>9536</v>
      </c>
      <c r="C973" s="159" t="s">
        <v>10816</v>
      </c>
      <c r="D973" s="159" t="s">
        <v>484</v>
      </c>
      <c r="E973" s="159">
        <v>10</v>
      </c>
      <c r="F973" s="159" t="s">
        <v>5665</v>
      </c>
      <c r="G973" s="159" t="s">
        <v>10817</v>
      </c>
    </row>
    <row r="974" spans="1:7" ht="15.75" customHeight="1">
      <c r="A974" s="159" t="s">
        <v>9275</v>
      </c>
      <c r="B974" s="159" t="s">
        <v>9536</v>
      </c>
      <c r="C974" s="159" t="s">
        <v>10981</v>
      </c>
      <c r="D974" s="159" t="s">
        <v>978</v>
      </c>
      <c r="E974" s="159">
        <v>5</v>
      </c>
      <c r="F974" s="159" t="s">
        <v>5667</v>
      </c>
      <c r="G974" s="159" t="s">
        <v>10982</v>
      </c>
    </row>
    <row r="975" spans="1:7" ht="15.75" customHeight="1">
      <c r="A975" s="159" t="s">
        <v>9275</v>
      </c>
      <c r="B975" s="159" t="s">
        <v>9536</v>
      </c>
      <c r="C975" s="159" t="s">
        <v>10975</v>
      </c>
      <c r="D975" s="159" t="s">
        <v>484</v>
      </c>
      <c r="E975" s="159">
        <v>10</v>
      </c>
      <c r="F975" s="159" t="s">
        <v>5665</v>
      </c>
      <c r="G975" s="159" t="s">
        <v>10976</v>
      </c>
    </row>
    <row r="976" spans="1:7" ht="15.75" customHeight="1">
      <c r="A976" s="159" t="s">
        <v>9275</v>
      </c>
      <c r="B976" s="159" t="s">
        <v>9536</v>
      </c>
      <c r="C976" s="159" t="s">
        <v>10471</v>
      </c>
      <c r="D976" s="159" t="s">
        <v>481</v>
      </c>
      <c r="E976" s="159">
        <v>20</v>
      </c>
      <c r="F976" s="159" t="s">
        <v>5665</v>
      </c>
      <c r="G976" s="159" t="s">
        <v>10475</v>
      </c>
    </row>
    <row r="977" spans="1:7" ht="15.75" customHeight="1">
      <c r="A977" s="159" t="s">
        <v>9275</v>
      </c>
      <c r="B977" s="159" t="s">
        <v>9538</v>
      </c>
      <c r="C977" s="159" t="s">
        <v>10816</v>
      </c>
      <c r="D977" s="159" t="s">
        <v>484</v>
      </c>
      <c r="E977" s="159">
        <v>10</v>
      </c>
      <c r="F977" s="159" t="s">
        <v>5665</v>
      </c>
      <c r="G977" s="159" t="s">
        <v>10817</v>
      </c>
    </row>
    <row r="978" spans="1:7" ht="15.75" customHeight="1">
      <c r="A978" s="159" t="s">
        <v>9275</v>
      </c>
      <c r="B978" s="159" t="s">
        <v>9538</v>
      </c>
      <c r="C978" s="159" t="s">
        <v>10981</v>
      </c>
      <c r="D978" s="159" t="s">
        <v>978</v>
      </c>
      <c r="E978" s="159">
        <v>5</v>
      </c>
      <c r="F978" s="159" t="s">
        <v>5667</v>
      </c>
      <c r="G978" s="159" t="s">
        <v>10982</v>
      </c>
    </row>
    <row r="979" spans="1:7" ht="15.75" customHeight="1">
      <c r="A979" s="159" t="s">
        <v>9275</v>
      </c>
      <c r="B979" s="159" t="s">
        <v>9538</v>
      </c>
      <c r="C979" s="159" t="s">
        <v>10975</v>
      </c>
      <c r="D979" s="159" t="s">
        <v>484</v>
      </c>
      <c r="E979" s="159">
        <v>10</v>
      </c>
      <c r="F979" s="159" t="s">
        <v>5665</v>
      </c>
      <c r="G979" s="159" t="s">
        <v>10976</v>
      </c>
    </row>
    <row r="980" spans="1:7" ht="15.75" customHeight="1">
      <c r="A980" s="159" t="s">
        <v>9275</v>
      </c>
      <c r="B980" s="159" t="s">
        <v>9538</v>
      </c>
      <c r="C980" s="159" t="s">
        <v>10471</v>
      </c>
      <c r="D980" s="159" t="s">
        <v>484</v>
      </c>
      <c r="E980" s="159">
        <v>10</v>
      </c>
      <c r="F980" s="159" t="s">
        <v>5665</v>
      </c>
      <c r="G980" s="159" t="s">
        <v>10475</v>
      </c>
    </row>
    <row r="981" spans="1:7" ht="15.75" customHeight="1">
      <c r="A981" s="159" t="s">
        <v>9275</v>
      </c>
      <c r="B981" s="159" t="s">
        <v>9540</v>
      </c>
      <c r="C981" s="159" t="s">
        <v>10816</v>
      </c>
      <c r="D981" s="159" t="s">
        <v>484</v>
      </c>
      <c r="E981" s="159">
        <v>10</v>
      </c>
      <c r="F981" s="159" t="s">
        <v>5665</v>
      </c>
      <c r="G981" s="159" t="s">
        <v>10817</v>
      </c>
    </row>
    <row r="982" spans="1:7" ht="15.75" customHeight="1">
      <c r="A982" s="159" t="s">
        <v>9275</v>
      </c>
      <c r="B982" s="159" t="s">
        <v>9540</v>
      </c>
      <c r="C982" s="159" t="s">
        <v>10981</v>
      </c>
      <c r="D982" s="159" t="s">
        <v>978</v>
      </c>
      <c r="E982" s="159">
        <v>5</v>
      </c>
      <c r="F982" s="159" t="s">
        <v>5665</v>
      </c>
      <c r="G982" s="159" t="s">
        <v>10982</v>
      </c>
    </row>
    <row r="983" spans="1:7" ht="15.75" customHeight="1">
      <c r="A983" s="159" t="s">
        <v>9275</v>
      </c>
      <c r="B983" s="159" t="s">
        <v>9540</v>
      </c>
      <c r="C983" s="159" t="s">
        <v>10975</v>
      </c>
      <c r="D983" s="159" t="s">
        <v>484</v>
      </c>
      <c r="E983" s="159">
        <v>10</v>
      </c>
      <c r="F983" s="159" t="s">
        <v>5665</v>
      </c>
      <c r="G983" s="159" t="s">
        <v>10976</v>
      </c>
    </row>
    <row r="984" spans="1:7" ht="15.75" customHeight="1">
      <c r="A984" s="159" t="s">
        <v>9275</v>
      </c>
      <c r="B984" s="159" t="s">
        <v>9540</v>
      </c>
      <c r="C984" s="159" t="s">
        <v>10471</v>
      </c>
      <c r="D984" s="159" t="s">
        <v>477</v>
      </c>
      <c r="E984" s="159">
        <v>255</v>
      </c>
      <c r="F984" s="159" t="s">
        <v>5667</v>
      </c>
      <c r="G984" s="159" t="s">
        <v>10475</v>
      </c>
    </row>
    <row r="985" spans="1:7" ht="15.75" customHeight="1">
      <c r="A985" s="159" t="s">
        <v>9275</v>
      </c>
      <c r="B985" s="159" t="s">
        <v>9542</v>
      </c>
      <c r="C985" s="159" t="s">
        <v>10979</v>
      </c>
      <c r="D985" s="159" t="s">
        <v>978</v>
      </c>
      <c r="E985" s="159">
        <v>5</v>
      </c>
      <c r="F985" s="159" t="s">
        <v>5665</v>
      </c>
      <c r="G985" s="159" t="s">
        <v>10980</v>
      </c>
    </row>
    <row r="986" spans="1:7" ht="15.75" customHeight="1">
      <c r="A986" s="159" t="s">
        <v>9275</v>
      </c>
      <c r="B986" s="159" t="s">
        <v>9542</v>
      </c>
      <c r="C986" s="159" t="s">
        <v>5764</v>
      </c>
      <c r="D986" s="159" t="s">
        <v>477</v>
      </c>
      <c r="E986" s="159">
        <v>32</v>
      </c>
      <c r="F986" s="159" t="s">
        <v>5667</v>
      </c>
      <c r="G986" s="159" t="s">
        <v>4246</v>
      </c>
    </row>
    <row r="987" spans="1:7" ht="15.75" customHeight="1">
      <c r="A987" s="159" t="s">
        <v>9275</v>
      </c>
      <c r="B987" s="159" t="s">
        <v>9544</v>
      </c>
      <c r="C987" s="159" t="s">
        <v>10467</v>
      </c>
      <c r="D987" s="159" t="s">
        <v>484</v>
      </c>
      <c r="E987" s="159">
        <v>10</v>
      </c>
      <c r="F987" s="159" t="s">
        <v>5665</v>
      </c>
      <c r="G987" s="159" t="s">
        <v>10468</v>
      </c>
    </row>
    <row r="988" spans="1:7" ht="15.75" customHeight="1">
      <c r="A988" s="159" t="s">
        <v>9275</v>
      </c>
      <c r="B988" s="159" t="s">
        <v>9544</v>
      </c>
      <c r="C988" s="159" t="s">
        <v>1394</v>
      </c>
      <c r="D988" s="159" t="s">
        <v>484</v>
      </c>
      <c r="E988" s="159">
        <v>10</v>
      </c>
      <c r="F988" s="159" t="s">
        <v>5665</v>
      </c>
      <c r="G988" s="159" t="s">
        <v>4828</v>
      </c>
    </row>
    <row r="989" spans="1:7" ht="15.75" customHeight="1">
      <c r="A989" s="159" t="s">
        <v>9275</v>
      </c>
      <c r="B989" s="159" t="s">
        <v>9544</v>
      </c>
      <c r="C989" s="159" t="s">
        <v>5609</v>
      </c>
      <c r="D989" s="159" t="s">
        <v>477</v>
      </c>
      <c r="E989" s="159">
        <v>50</v>
      </c>
      <c r="F989" s="159" t="s">
        <v>5667</v>
      </c>
      <c r="G989" s="159" t="s">
        <v>1611</v>
      </c>
    </row>
    <row r="990" spans="1:7" ht="15.75" customHeight="1">
      <c r="A990" s="159" t="s">
        <v>9275</v>
      </c>
      <c r="B990" s="159" t="s">
        <v>9544</v>
      </c>
      <c r="C990" s="159" t="s">
        <v>10987</v>
      </c>
      <c r="D990" s="159" t="s">
        <v>978</v>
      </c>
      <c r="E990" s="159">
        <v>5</v>
      </c>
      <c r="F990" s="159" t="s">
        <v>5665</v>
      </c>
      <c r="G990" s="159" t="s">
        <v>10963</v>
      </c>
    </row>
    <row r="991" spans="1:7" ht="15.75" customHeight="1">
      <c r="A991" s="159" t="s">
        <v>9275</v>
      </c>
      <c r="B991" s="159" t="s">
        <v>9544</v>
      </c>
      <c r="C991" s="159" t="s">
        <v>5624</v>
      </c>
      <c r="D991" s="159" t="s">
        <v>477</v>
      </c>
      <c r="E991" s="159">
        <v>64</v>
      </c>
      <c r="F991" s="159" t="s">
        <v>5667</v>
      </c>
      <c r="G991" s="159" t="s">
        <v>6137</v>
      </c>
    </row>
    <row r="992" spans="1:7" ht="15.75" customHeight="1">
      <c r="A992" s="159" t="s">
        <v>9275</v>
      </c>
      <c r="B992" s="159" t="s">
        <v>9544</v>
      </c>
      <c r="C992" s="159" t="s">
        <v>10988</v>
      </c>
      <c r="D992" s="159" t="s">
        <v>484</v>
      </c>
      <c r="E992" s="159">
        <v>10</v>
      </c>
      <c r="F992" s="159" t="s">
        <v>5667</v>
      </c>
      <c r="G992" s="159" t="s">
        <v>10989</v>
      </c>
    </row>
    <row r="993" spans="1:7" ht="15.75" customHeight="1">
      <c r="A993" s="159" t="s">
        <v>9275</v>
      </c>
      <c r="B993" s="159" t="s">
        <v>9544</v>
      </c>
      <c r="C993" s="159" t="s">
        <v>10990</v>
      </c>
      <c r="D993" s="159" t="s">
        <v>477</v>
      </c>
      <c r="E993" s="159">
        <v>50</v>
      </c>
      <c r="F993" s="159" t="s">
        <v>5667</v>
      </c>
      <c r="G993" s="159" t="s">
        <v>10991</v>
      </c>
    </row>
    <row r="994" spans="1:7" ht="15.75" customHeight="1">
      <c r="A994" s="159" t="s">
        <v>9275</v>
      </c>
      <c r="B994" s="159" t="s">
        <v>9544</v>
      </c>
      <c r="C994" s="159" t="s">
        <v>10992</v>
      </c>
      <c r="D994" s="159" t="s">
        <v>978</v>
      </c>
      <c r="E994" s="159">
        <v>5</v>
      </c>
      <c r="F994" s="159" t="s">
        <v>5667</v>
      </c>
      <c r="G994" s="159" t="s">
        <v>10993</v>
      </c>
    </row>
    <row r="995" spans="1:7" ht="15.75" customHeight="1">
      <c r="A995" s="159" t="s">
        <v>9275</v>
      </c>
      <c r="B995" s="159" t="s">
        <v>9544</v>
      </c>
      <c r="C995" s="159" t="s">
        <v>10994</v>
      </c>
      <c r="D995" s="159" t="s">
        <v>978</v>
      </c>
      <c r="E995" s="159">
        <v>5</v>
      </c>
      <c r="F995" s="159" t="s">
        <v>5667</v>
      </c>
      <c r="G995" s="159" t="s">
        <v>10995</v>
      </c>
    </row>
    <row r="996" spans="1:7" ht="15.75" customHeight="1">
      <c r="A996" s="159" t="s">
        <v>9275</v>
      </c>
      <c r="B996" s="159" t="s">
        <v>9544</v>
      </c>
      <c r="C996" s="159" t="s">
        <v>10469</v>
      </c>
      <c r="D996" s="159" t="s">
        <v>484</v>
      </c>
      <c r="E996" s="159">
        <v>10</v>
      </c>
      <c r="F996" s="159" t="s">
        <v>5665</v>
      </c>
      <c r="G996" s="159" t="s">
        <v>10470</v>
      </c>
    </row>
    <row r="997" spans="1:7" ht="15.75" customHeight="1">
      <c r="A997" s="159" t="s">
        <v>9275</v>
      </c>
      <c r="B997" s="159" t="s">
        <v>9546</v>
      </c>
      <c r="C997" s="159" t="s">
        <v>10996</v>
      </c>
      <c r="D997" s="159" t="s">
        <v>484</v>
      </c>
      <c r="E997" s="159">
        <v>10</v>
      </c>
      <c r="F997" s="159" t="s">
        <v>5665</v>
      </c>
      <c r="G997" s="159" t="s">
        <v>10997</v>
      </c>
    </row>
    <row r="998" spans="1:7" ht="15.75" customHeight="1">
      <c r="A998" s="159" t="s">
        <v>9275</v>
      </c>
      <c r="B998" s="159" t="s">
        <v>9546</v>
      </c>
      <c r="C998" s="159" t="s">
        <v>10467</v>
      </c>
      <c r="D998" s="159" t="s">
        <v>484</v>
      </c>
      <c r="E998" s="159">
        <v>10</v>
      </c>
      <c r="F998" s="159" t="s">
        <v>5665</v>
      </c>
      <c r="G998" s="159" t="s">
        <v>10468</v>
      </c>
    </row>
    <row r="999" spans="1:7" ht="15.75" customHeight="1">
      <c r="A999" s="159" t="s">
        <v>9275</v>
      </c>
      <c r="B999" s="159" t="s">
        <v>9546</v>
      </c>
      <c r="C999" s="159" t="s">
        <v>10290</v>
      </c>
      <c r="D999" s="159" t="s">
        <v>978</v>
      </c>
      <c r="E999" s="159">
        <v>5</v>
      </c>
      <c r="F999" s="159" t="s">
        <v>5665</v>
      </c>
      <c r="G999" s="159" t="s">
        <v>10507</v>
      </c>
    </row>
    <row r="1000" spans="1:7" ht="15.75" customHeight="1">
      <c r="A1000" s="159" t="s">
        <v>9275</v>
      </c>
      <c r="B1000" s="159" t="s">
        <v>9546</v>
      </c>
      <c r="C1000" s="159" t="s">
        <v>10942</v>
      </c>
      <c r="D1000" s="159" t="s">
        <v>481</v>
      </c>
      <c r="E1000" s="159">
        <v>20</v>
      </c>
      <c r="F1000" s="159" t="s">
        <v>5665</v>
      </c>
      <c r="G1000" s="159" t="s">
        <v>3497</v>
      </c>
    </row>
    <row r="1001" spans="1:7" ht="15.75" customHeight="1">
      <c r="A1001" s="159" t="s">
        <v>9275</v>
      </c>
      <c r="B1001" s="159" t="s">
        <v>9546</v>
      </c>
      <c r="C1001" s="159" t="s">
        <v>2794</v>
      </c>
      <c r="D1001" s="159" t="s">
        <v>477</v>
      </c>
      <c r="E1001" s="159">
        <v>7</v>
      </c>
      <c r="F1001" s="159" t="s">
        <v>5665</v>
      </c>
      <c r="G1001" s="159" t="s">
        <v>10947</v>
      </c>
    </row>
    <row r="1002" spans="1:7" ht="15.75" customHeight="1">
      <c r="A1002" s="159" t="s">
        <v>9275</v>
      </c>
      <c r="B1002" s="159" t="s">
        <v>9548</v>
      </c>
      <c r="C1002" s="159" t="s">
        <v>10998</v>
      </c>
      <c r="D1002" s="159" t="s">
        <v>484</v>
      </c>
      <c r="E1002" s="159">
        <v>10</v>
      </c>
      <c r="F1002" s="159" t="s">
        <v>5665</v>
      </c>
      <c r="G1002" s="159" t="s">
        <v>10999</v>
      </c>
    </row>
    <row r="1003" spans="1:7" ht="15.75" customHeight="1">
      <c r="A1003" s="159" t="s">
        <v>9275</v>
      </c>
      <c r="B1003" s="159" t="s">
        <v>9548</v>
      </c>
      <c r="C1003" s="159" t="s">
        <v>10467</v>
      </c>
      <c r="D1003" s="159" t="s">
        <v>484</v>
      </c>
      <c r="E1003" s="159">
        <v>10</v>
      </c>
      <c r="F1003" s="159" t="s">
        <v>5665</v>
      </c>
      <c r="G1003" s="159" t="s">
        <v>10468</v>
      </c>
    </row>
    <row r="1004" spans="1:7" ht="15.75" customHeight="1">
      <c r="A1004" s="159" t="s">
        <v>9275</v>
      </c>
      <c r="B1004" s="159" t="s">
        <v>9548</v>
      </c>
      <c r="C1004" s="159" t="s">
        <v>10290</v>
      </c>
      <c r="D1004" s="159" t="s">
        <v>978</v>
      </c>
      <c r="E1004" s="159">
        <v>5</v>
      </c>
      <c r="F1004" s="159" t="s">
        <v>5665</v>
      </c>
      <c r="G1004" s="159" t="s">
        <v>10507</v>
      </c>
    </row>
    <row r="1005" spans="1:7" ht="15.75" customHeight="1">
      <c r="A1005" s="159" t="s">
        <v>9275</v>
      </c>
      <c r="B1005" s="159" t="s">
        <v>9548</v>
      </c>
      <c r="C1005" s="159" t="s">
        <v>5676</v>
      </c>
      <c r="D1005" s="159" t="s">
        <v>477</v>
      </c>
      <c r="E1005" s="159">
        <v>255</v>
      </c>
      <c r="F1005" s="159" t="s">
        <v>5667</v>
      </c>
      <c r="G1005" s="159" t="s">
        <v>5186</v>
      </c>
    </row>
    <row r="1006" spans="1:7" ht="15.75" customHeight="1">
      <c r="A1006" s="159" t="s">
        <v>9275</v>
      </c>
      <c r="B1006" s="159" t="s">
        <v>9550</v>
      </c>
      <c r="C1006" s="159" t="s">
        <v>11000</v>
      </c>
      <c r="D1006" s="159" t="s">
        <v>484</v>
      </c>
      <c r="E1006" s="159">
        <v>10</v>
      </c>
      <c r="F1006" s="159" t="s">
        <v>5665</v>
      </c>
      <c r="G1006" s="159" t="s">
        <v>11001</v>
      </c>
    </row>
    <row r="1007" spans="1:7" ht="15.75" customHeight="1">
      <c r="A1007" s="159" t="s">
        <v>9275</v>
      </c>
      <c r="B1007" s="159" t="s">
        <v>9550</v>
      </c>
      <c r="C1007" s="159" t="s">
        <v>11002</v>
      </c>
      <c r="D1007" s="159" t="s">
        <v>484</v>
      </c>
      <c r="E1007" s="159">
        <v>10</v>
      </c>
      <c r="F1007" s="159" t="s">
        <v>5665</v>
      </c>
      <c r="G1007" s="159" t="s">
        <v>11003</v>
      </c>
    </row>
    <row r="1008" spans="1:7" ht="15.75" customHeight="1">
      <c r="A1008" s="159" t="s">
        <v>9275</v>
      </c>
      <c r="B1008" s="159" t="s">
        <v>9550</v>
      </c>
      <c r="C1008" s="159" t="s">
        <v>10290</v>
      </c>
      <c r="D1008" s="159" t="s">
        <v>978</v>
      </c>
      <c r="E1008" s="159">
        <v>5</v>
      </c>
      <c r="F1008" s="159" t="s">
        <v>5665</v>
      </c>
      <c r="G1008" s="159" t="s">
        <v>10507</v>
      </c>
    </row>
    <row r="1009" spans="1:7" ht="15.75" customHeight="1">
      <c r="A1009" s="159" t="s">
        <v>9275</v>
      </c>
      <c r="B1009" s="159" t="s">
        <v>9550</v>
      </c>
      <c r="C1009" s="159" t="s">
        <v>10942</v>
      </c>
      <c r="D1009" s="159" t="s">
        <v>481</v>
      </c>
      <c r="E1009" s="159">
        <v>20</v>
      </c>
      <c r="F1009" s="159" t="s">
        <v>5665</v>
      </c>
      <c r="G1009" s="159" t="s">
        <v>3497</v>
      </c>
    </row>
    <row r="1010" spans="1:7" ht="15.75" customHeight="1">
      <c r="A1010" s="159" t="s">
        <v>9275</v>
      </c>
      <c r="B1010" s="159" t="s">
        <v>9550</v>
      </c>
      <c r="C1010" s="159" t="s">
        <v>2794</v>
      </c>
      <c r="D1010" s="159" t="s">
        <v>477</v>
      </c>
      <c r="E1010" s="159">
        <v>7</v>
      </c>
      <c r="F1010" s="159" t="s">
        <v>5665</v>
      </c>
      <c r="G1010" s="159" t="s">
        <v>10947</v>
      </c>
    </row>
    <row r="1011" spans="1:7" ht="15.75" customHeight="1">
      <c r="A1011" s="159" t="s">
        <v>9275</v>
      </c>
      <c r="B1011" s="159" t="s">
        <v>9552</v>
      </c>
      <c r="C1011" s="159" t="s">
        <v>11004</v>
      </c>
      <c r="D1011" s="159" t="s">
        <v>484</v>
      </c>
      <c r="E1011" s="159">
        <v>10</v>
      </c>
      <c r="F1011" s="159" t="s">
        <v>5665</v>
      </c>
      <c r="G1011" s="159" t="s">
        <v>11005</v>
      </c>
    </row>
    <row r="1012" spans="1:7" ht="15.75" customHeight="1">
      <c r="A1012" s="159" t="s">
        <v>9275</v>
      </c>
      <c r="B1012" s="159" t="s">
        <v>9552</v>
      </c>
      <c r="C1012" s="159" t="s">
        <v>11002</v>
      </c>
      <c r="D1012" s="159" t="s">
        <v>484</v>
      </c>
      <c r="E1012" s="159">
        <v>10</v>
      </c>
      <c r="F1012" s="159" t="s">
        <v>5665</v>
      </c>
      <c r="G1012" s="159" t="s">
        <v>11003</v>
      </c>
    </row>
    <row r="1013" spans="1:7" ht="15.75" customHeight="1">
      <c r="A1013" s="159" t="s">
        <v>9275</v>
      </c>
      <c r="B1013" s="159" t="s">
        <v>9552</v>
      </c>
      <c r="C1013" s="159" t="s">
        <v>10290</v>
      </c>
      <c r="D1013" s="159" t="s">
        <v>978</v>
      </c>
      <c r="E1013" s="159">
        <v>5</v>
      </c>
      <c r="F1013" s="159" t="s">
        <v>5665</v>
      </c>
      <c r="G1013" s="159" t="s">
        <v>10507</v>
      </c>
    </row>
    <row r="1014" spans="1:7" ht="15.75" customHeight="1">
      <c r="A1014" s="159" t="s">
        <v>9275</v>
      </c>
      <c r="B1014" s="159" t="s">
        <v>9552</v>
      </c>
      <c r="C1014" s="159" t="s">
        <v>5676</v>
      </c>
      <c r="D1014" s="159" t="s">
        <v>477</v>
      </c>
      <c r="E1014" s="159">
        <v>255</v>
      </c>
      <c r="F1014" s="159" t="s">
        <v>5667</v>
      </c>
      <c r="G1014" s="159" t="s">
        <v>5186</v>
      </c>
    </row>
    <row r="1015" spans="1:7" ht="15.75" customHeight="1">
      <c r="A1015" s="159" t="s">
        <v>9275</v>
      </c>
      <c r="B1015" s="159" t="s">
        <v>9554</v>
      </c>
      <c r="C1015" s="159" t="s">
        <v>11002</v>
      </c>
      <c r="D1015" s="159" t="s">
        <v>484</v>
      </c>
      <c r="E1015" s="159">
        <v>10</v>
      </c>
      <c r="F1015" s="159" t="s">
        <v>5665</v>
      </c>
      <c r="G1015" s="159" t="s">
        <v>11003</v>
      </c>
    </row>
    <row r="1016" spans="1:7" ht="15.75" customHeight="1">
      <c r="A1016" s="159" t="s">
        <v>9275</v>
      </c>
      <c r="B1016" s="159" t="s">
        <v>9554</v>
      </c>
      <c r="C1016" s="159" t="s">
        <v>10467</v>
      </c>
      <c r="D1016" s="159" t="s">
        <v>484</v>
      </c>
      <c r="E1016" s="159">
        <v>10</v>
      </c>
      <c r="F1016" s="159" t="s">
        <v>5665</v>
      </c>
      <c r="G1016" s="159" t="s">
        <v>10468</v>
      </c>
    </row>
    <row r="1017" spans="1:7" ht="15.75" customHeight="1">
      <c r="A1017" s="159" t="s">
        <v>9275</v>
      </c>
      <c r="B1017" s="159" t="s">
        <v>9554</v>
      </c>
      <c r="C1017" s="159" t="s">
        <v>5624</v>
      </c>
      <c r="D1017" s="159" t="s">
        <v>477</v>
      </c>
      <c r="E1017" s="159">
        <v>64</v>
      </c>
      <c r="F1017" s="159" t="s">
        <v>5667</v>
      </c>
      <c r="G1017" s="159" t="s">
        <v>6137</v>
      </c>
    </row>
    <row r="1018" spans="1:7" ht="15.75" customHeight="1">
      <c r="A1018" s="159" t="s">
        <v>9275</v>
      </c>
      <c r="B1018" s="159" t="s">
        <v>9554</v>
      </c>
      <c r="C1018" s="159" t="s">
        <v>10469</v>
      </c>
      <c r="D1018" s="159" t="s">
        <v>484</v>
      </c>
      <c r="E1018" s="159">
        <v>10</v>
      </c>
      <c r="F1018" s="159" t="s">
        <v>5665</v>
      </c>
      <c r="G1018" s="159" t="s">
        <v>10470</v>
      </c>
    </row>
    <row r="1019" spans="1:7" ht="15.75" customHeight="1">
      <c r="A1019" s="159" t="s">
        <v>9275</v>
      </c>
      <c r="B1019" s="159" t="s">
        <v>9556</v>
      </c>
      <c r="C1019" s="159" t="s">
        <v>10285</v>
      </c>
      <c r="D1019" s="159" t="s">
        <v>484</v>
      </c>
      <c r="E1019" s="159">
        <v>10</v>
      </c>
      <c r="F1019" s="159" t="s">
        <v>5665</v>
      </c>
      <c r="G1019" s="159" t="s">
        <v>10286</v>
      </c>
    </row>
    <row r="1020" spans="1:7" ht="15.75" customHeight="1">
      <c r="A1020" s="159" t="s">
        <v>9275</v>
      </c>
      <c r="B1020" s="159" t="s">
        <v>9556</v>
      </c>
      <c r="C1020" s="159" t="s">
        <v>10287</v>
      </c>
      <c r="D1020" s="159" t="s">
        <v>484</v>
      </c>
      <c r="E1020" s="159">
        <v>10</v>
      </c>
      <c r="F1020" s="159" t="s">
        <v>5665</v>
      </c>
      <c r="G1020" s="159" t="s">
        <v>10237</v>
      </c>
    </row>
    <row r="1021" spans="1:7" ht="15.75" customHeight="1">
      <c r="A1021" s="159" t="s">
        <v>9275</v>
      </c>
      <c r="B1021" s="159" t="s">
        <v>9557</v>
      </c>
      <c r="C1021" s="159" t="s">
        <v>5678</v>
      </c>
      <c r="D1021" s="159" t="s">
        <v>484</v>
      </c>
      <c r="E1021" s="159">
        <v>10</v>
      </c>
      <c r="F1021" s="159" t="s">
        <v>5665</v>
      </c>
      <c r="G1021" s="159" t="s">
        <v>10877</v>
      </c>
    </row>
    <row r="1022" spans="1:7" ht="15.75" customHeight="1">
      <c r="A1022" s="159" t="s">
        <v>9275</v>
      </c>
      <c r="B1022" s="159" t="s">
        <v>9557</v>
      </c>
      <c r="C1022" s="159" t="s">
        <v>10964</v>
      </c>
      <c r="D1022" s="159" t="s">
        <v>484</v>
      </c>
      <c r="E1022" s="159">
        <v>10</v>
      </c>
      <c r="F1022" s="159" t="s">
        <v>5665</v>
      </c>
      <c r="G1022" s="159" t="s">
        <v>10965</v>
      </c>
    </row>
    <row r="1023" spans="1:7" ht="15.75" customHeight="1">
      <c r="A1023" s="159" t="s">
        <v>9275</v>
      </c>
      <c r="B1023" s="159" t="s">
        <v>9559</v>
      </c>
      <c r="C1023" s="159" t="s">
        <v>11006</v>
      </c>
      <c r="D1023" s="159" t="s">
        <v>484</v>
      </c>
      <c r="E1023" s="159">
        <v>10</v>
      </c>
      <c r="F1023" s="159" t="s">
        <v>5665</v>
      </c>
      <c r="G1023" s="159" t="s">
        <v>11007</v>
      </c>
    </row>
    <row r="1024" spans="1:7" ht="15.75" customHeight="1">
      <c r="A1024" s="159" t="s">
        <v>9275</v>
      </c>
      <c r="B1024" s="159" t="s">
        <v>9559</v>
      </c>
      <c r="C1024" s="159" t="s">
        <v>1394</v>
      </c>
      <c r="D1024" s="159" t="s">
        <v>484</v>
      </c>
      <c r="E1024" s="159">
        <v>10</v>
      </c>
      <c r="F1024" s="159" t="s">
        <v>5665</v>
      </c>
      <c r="G1024" s="159" t="s">
        <v>4828</v>
      </c>
    </row>
    <row r="1025" spans="1:7" ht="15.75" customHeight="1">
      <c r="A1025" s="159" t="s">
        <v>9275</v>
      </c>
      <c r="B1025" s="159" t="s">
        <v>9559</v>
      </c>
      <c r="C1025" s="159" t="s">
        <v>9217</v>
      </c>
      <c r="D1025" s="159" t="s">
        <v>978</v>
      </c>
      <c r="E1025" s="159">
        <v>5</v>
      </c>
      <c r="F1025" s="159" t="s">
        <v>5665</v>
      </c>
      <c r="G1025" s="159" t="s">
        <v>10818</v>
      </c>
    </row>
    <row r="1026" spans="1:7" ht="15.75" customHeight="1">
      <c r="A1026" s="159" t="s">
        <v>9275</v>
      </c>
      <c r="B1026" s="159" t="s">
        <v>9559</v>
      </c>
      <c r="C1026" s="159" t="s">
        <v>3965</v>
      </c>
      <c r="D1026" s="159" t="s">
        <v>978</v>
      </c>
      <c r="E1026" s="159">
        <v>5</v>
      </c>
      <c r="F1026" s="159" t="s">
        <v>5665</v>
      </c>
      <c r="G1026" s="159" t="s">
        <v>10462</v>
      </c>
    </row>
    <row r="1027" spans="1:7" ht="15.75" customHeight="1">
      <c r="A1027" s="159" t="s">
        <v>9275</v>
      </c>
      <c r="B1027" s="159" t="s">
        <v>9561</v>
      </c>
      <c r="C1027" s="159" t="s">
        <v>10816</v>
      </c>
      <c r="D1027" s="159" t="s">
        <v>484</v>
      </c>
      <c r="E1027" s="159">
        <v>10</v>
      </c>
      <c r="F1027" s="159" t="s">
        <v>5665</v>
      </c>
      <c r="G1027" s="159" t="s">
        <v>10817</v>
      </c>
    </row>
    <row r="1028" spans="1:7" ht="15.75" customHeight="1">
      <c r="A1028" s="159" t="s">
        <v>9275</v>
      </c>
      <c r="B1028" s="159" t="s">
        <v>9561</v>
      </c>
      <c r="C1028" s="159" t="s">
        <v>11006</v>
      </c>
      <c r="D1028" s="159" t="s">
        <v>484</v>
      </c>
      <c r="E1028" s="159">
        <v>10</v>
      </c>
      <c r="F1028" s="159" t="s">
        <v>5665</v>
      </c>
      <c r="G1028" s="159" t="s">
        <v>11007</v>
      </c>
    </row>
    <row r="1029" spans="1:7" ht="15.75" customHeight="1">
      <c r="A1029" s="159" t="s">
        <v>9275</v>
      </c>
      <c r="B1029" s="159" t="s">
        <v>9561</v>
      </c>
      <c r="C1029" s="159" t="s">
        <v>10290</v>
      </c>
      <c r="D1029" s="159" t="s">
        <v>978</v>
      </c>
      <c r="E1029" s="159">
        <v>5</v>
      </c>
      <c r="F1029" s="159" t="s">
        <v>5665</v>
      </c>
      <c r="G1029" s="159" t="s">
        <v>10507</v>
      </c>
    </row>
    <row r="1030" spans="1:7" ht="15.75" customHeight="1">
      <c r="A1030" s="159" t="s">
        <v>9275</v>
      </c>
      <c r="B1030" s="159" t="s">
        <v>9561</v>
      </c>
      <c r="C1030" s="159" t="s">
        <v>11008</v>
      </c>
      <c r="D1030" s="159" t="s">
        <v>978</v>
      </c>
      <c r="E1030" s="159">
        <v>5</v>
      </c>
      <c r="F1030" s="159" t="s">
        <v>5667</v>
      </c>
      <c r="G1030" s="159" t="s">
        <v>11009</v>
      </c>
    </row>
    <row r="1031" spans="1:7" ht="15.75" customHeight="1">
      <c r="A1031" s="159" t="s">
        <v>9275</v>
      </c>
      <c r="B1031" s="159" t="s">
        <v>9561</v>
      </c>
      <c r="C1031" s="159" t="s">
        <v>10471</v>
      </c>
      <c r="D1031" s="159" t="s">
        <v>477</v>
      </c>
      <c r="E1031" s="159">
        <v>255</v>
      </c>
      <c r="F1031" s="159" t="s">
        <v>5667</v>
      </c>
      <c r="G1031" s="159" t="s">
        <v>10475</v>
      </c>
    </row>
    <row r="1032" spans="1:7" ht="15.75" customHeight="1">
      <c r="A1032" s="159" t="s">
        <v>9275</v>
      </c>
      <c r="B1032" s="159" t="s">
        <v>9563</v>
      </c>
      <c r="C1032" s="159" t="s">
        <v>10975</v>
      </c>
      <c r="D1032" s="159" t="s">
        <v>484</v>
      </c>
      <c r="E1032" s="159">
        <v>10</v>
      </c>
      <c r="F1032" s="159" t="s">
        <v>5665</v>
      </c>
      <c r="G1032" s="159" t="s">
        <v>10976</v>
      </c>
    </row>
    <row r="1033" spans="1:7" ht="15.75" customHeight="1">
      <c r="A1033" s="159" t="s">
        <v>9275</v>
      </c>
      <c r="B1033" s="159" t="s">
        <v>9563</v>
      </c>
      <c r="C1033" s="159" t="s">
        <v>1394</v>
      </c>
      <c r="D1033" s="159" t="s">
        <v>484</v>
      </c>
      <c r="E1033" s="159">
        <v>10</v>
      </c>
      <c r="F1033" s="159" t="s">
        <v>5665</v>
      </c>
      <c r="G1033" s="159" t="s">
        <v>4828</v>
      </c>
    </row>
    <row r="1034" spans="1:7" ht="15.75" customHeight="1">
      <c r="A1034" s="159" t="s">
        <v>9275</v>
      </c>
      <c r="B1034" s="159" t="s">
        <v>9563</v>
      </c>
      <c r="C1034" s="159" t="s">
        <v>5678</v>
      </c>
      <c r="D1034" s="159" t="s">
        <v>484</v>
      </c>
      <c r="E1034" s="159">
        <v>10</v>
      </c>
      <c r="F1034" s="159" t="s">
        <v>5665</v>
      </c>
      <c r="G1034" s="159" t="s">
        <v>10877</v>
      </c>
    </row>
    <row r="1035" spans="1:7" ht="15.75" customHeight="1">
      <c r="A1035" s="159" t="s">
        <v>9275</v>
      </c>
      <c r="B1035" s="159" t="s">
        <v>9565</v>
      </c>
      <c r="C1035" s="159" t="s">
        <v>1394</v>
      </c>
      <c r="D1035" s="159" t="s">
        <v>484</v>
      </c>
      <c r="E1035" s="159">
        <v>10</v>
      </c>
      <c r="F1035" s="159" t="s">
        <v>5665</v>
      </c>
      <c r="G1035" s="159" t="s">
        <v>4828</v>
      </c>
    </row>
    <row r="1036" spans="1:7" ht="15.75" customHeight="1">
      <c r="A1036" s="159" t="s">
        <v>9275</v>
      </c>
      <c r="B1036" s="159" t="s">
        <v>9565</v>
      </c>
      <c r="C1036" s="159" t="s">
        <v>10882</v>
      </c>
      <c r="D1036" s="159" t="s">
        <v>978</v>
      </c>
      <c r="E1036" s="159">
        <v>5</v>
      </c>
      <c r="F1036" s="159" t="s">
        <v>5665</v>
      </c>
      <c r="G1036" s="159" t="s">
        <v>10883</v>
      </c>
    </row>
    <row r="1037" spans="1:7" ht="15.75" customHeight="1">
      <c r="A1037" s="159" t="s">
        <v>9275</v>
      </c>
      <c r="B1037" s="159" t="s">
        <v>9567</v>
      </c>
      <c r="C1037" s="159" t="s">
        <v>11010</v>
      </c>
      <c r="D1037" s="159" t="s">
        <v>484</v>
      </c>
      <c r="E1037" s="159">
        <v>10</v>
      </c>
      <c r="F1037" s="159" t="s">
        <v>5665</v>
      </c>
      <c r="G1037" s="159" t="s">
        <v>11010</v>
      </c>
    </row>
    <row r="1038" spans="1:7" ht="15.75" customHeight="1">
      <c r="A1038" s="159" t="s">
        <v>9275</v>
      </c>
      <c r="B1038" s="159" t="s">
        <v>9567</v>
      </c>
      <c r="C1038" s="159" t="s">
        <v>10262</v>
      </c>
      <c r="D1038" s="159" t="s">
        <v>484</v>
      </c>
      <c r="E1038" s="159">
        <v>10</v>
      </c>
      <c r="F1038" s="159" t="s">
        <v>5665</v>
      </c>
      <c r="G1038" s="159" t="s">
        <v>10262</v>
      </c>
    </row>
    <row r="1039" spans="1:7" ht="15.75" customHeight="1">
      <c r="A1039" s="159" t="s">
        <v>9275</v>
      </c>
      <c r="B1039" s="159" t="s">
        <v>9567</v>
      </c>
      <c r="C1039" s="159" t="s">
        <v>1394</v>
      </c>
      <c r="D1039" s="159" t="s">
        <v>484</v>
      </c>
      <c r="E1039" s="159">
        <v>10</v>
      </c>
      <c r="F1039" s="159" t="s">
        <v>5665</v>
      </c>
      <c r="G1039" s="159" t="s">
        <v>1394</v>
      </c>
    </row>
    <row r="1040" spans="1:7" ht="15.75" customHeight="1">
      <c r="A1040" s="159" t="s">
        <v>9275</v>
      </c>
      <c r="B1040" s="159" t="s">
        <v>9569</v>
      </c>
      <c r="C1040" s="159" t="s">
        <v>10902</v>
      </c>
      <c r="D1040" s="159" t="s">
        <v>978</v>
      </c>
      <c r="E1040" s="159">
        <v>5</v>
      </c>
      <c r="F1040" s="159" t="s">
        <v>5665</v>
      </c>
      <c r="G1040" s="159" t="s">
        <v>10903</v>
      </c>
    </row>
    <row r="1041" spans="1:7" ht="15.75" customHeight="1">
      <c r="A1041" s="159" t="s">
        <v>9275</v>
      </c>
      <c r="B1041" s="159" t="s">
        <v>9569</v>
      </c>
      <c r="C1041" s="159" t="s">
        <v>10882</v>
      </c>
      <c r="D1041" s="159" t="s">
        <v>978</v>
      </c>
      <c r="E1041" s="159">
        <v>5</v>
      </c>
      <c r="F1041" s="159" t="s">
        <v>5665</v>
      </c>
      <c r="G1041" s="159" t="s">
        <v>10883</v>
      </c>
    </row>
    <row r="1042" spans="1:7" ht="15.75" customHeight="1">
      <c r="A1042" s="159" t="s">
        <v>9275</v>
      </c>
      <c r="B1042" s="159" t="s">
        <v>9569</v>
      </c>
      <c r="C1042" s="159" t="s">
        <v>11011</v>
      </c>
      <c r="D1042" s="159" t="s">
        <v>477</v>
      </c>
      <c r="E1042" s="159">
        <v>255</v>
      </c>
      <c r="F1042" s="159" t="s">
        <v>5667</v>
      </c>
      <c r="G1042" s="159" t="s">
        <v>11012</v>
      </c>
    </row>
    <row r="1043" spans="1:7" ht="15.75" customHeight="1">
      <c r="A1043" s="159" t="s">
        <v>9275</v>
      </c>
      <c r="B1043" s="159" t="s">
        <v>9571</v>
      </c>
      <c r="C1043" s="159" t="s">
        <v>10285</v>
      </c>
      <c r="D1043" s="159" t="s">
        <v>484</v>
      </c>
      <c r="E1043" s="159">
        <v>10</v>
      </c>
      <c r="F1043" s="159" t="s">
        <v>5665</v>
      </c>
      <c r="G1043" s="159" t="s">
        <v>10286</v>
      </c>
    </row>
    <row r="1044" spans="1:7" ht="15.75" customHeight="1">
      <c r="A1044" s="159" t="s">
        <v>9275</v>
      </c>
      <c r="B1044" s="159" t="s">
        <v>9571</v>
      </c>
      <c r="C1044" s="159" t="s">
        <v>10287</v>
      </c>
      <c r="D1044" s="159" t="s">
        <v>484</v>
      </c>
      <c r="E1044" s="159">
        <v>10</v>
      </c>
      <c r="F1044" s="159" t="s">
        <v>5665</v>
      </c>
      <c r="G1044" s="159" t="s">
        <v>10237</v>
      </c>
    </row>
    <row r="1045" spans="1:7" ht="15.75" customHeight="1">
      <c r="A1045" s="159" t="s">
        <v>9275</v>
      </c>
      <c r="B1045" s="159" t="s">
        <v>9572</v>
      </c>
      <c r="C1045" s="159" t="s">
        <v>10761</v>
      </c>
      <c r="D1045" s="159" t="s">
        <v>484</v>
      </c>
      <c r="E1045" s="159">
        <v>10</v>
      </c>
      <c r="F1045" s="159" t="s">
        <v>5665</v>
      </c>
      <c r="G1045" s="159" t="s">
        <v>10762</v>
      </c>
    </row>
    <row r="1046" spans="1:7" ht="15.75" customHeight="1">
      <c r="A1046" s="159" t="s">
        <v>9275</v>
      </c>
      <c r="B1046" s="159" t="s">
        <v>9572</v>
      </c>
      <c r="C1046" s="159" t="s">
        <v>1394</v>
      </c>
      <c r="D1046" s="159" t="s">
        <v>484</v>
      </c>
      <c r="E1046" s="159">
        <v>10</v>
      </c>
      <c r="F1046" s="159" t="s">
        <v>5665</v>
      </c>
      <c r="G1046" s="159" t="s">
        <v>4828</v>
      </c>
    </row>
    <row r="1047" spans="1:7" ht="15.75" customHeight="1">
      <c r="A1047" s="159" t="s">
        <v>9275</v>
      </c>
      <c r="B1047" s="159" t="s">
        <v>9572</v>
      </c>
      <c r="C1047" s="159" t="s">
        <v>10902</v>
      </c>
      <c r="D1047" s="159" t="s">
        <v>978</v>
      </c>
      <c r="E1047" s="159">
        <v>5</v>
      </c>
      <c r="F1047" s="159" t="s">
        <v>5665</v>
      </c>
      <c r="G1047" s="159" t="s">
        <v>10903</v>
      </c>
    </row>
    <row r="1048" spans="1:7" ht="15.75" customHeight="1">
      <c r="A1048" s="159" t="s">
        <v>9275</v>
      </c>
      <c r="B1048" s="159" t="s">
        <v>9572</v>
      </c>
      <c r="C1048" s="159" t="s">
        <v>1826</v>
      </c>
      <c r="D1048" s="159" t="s">
        <v>481</v>
      </c>
      <c r="E1048" s="159">
        <v>12</v>
      </c>
      <c r="F1048" s="159" t="s">
        <v>5667</v>
      </c>
      <c r="G1048" s="159" t="s">
        <v>2415</v>
      </c>
    </row>
    <row r="1049" spans="1:7" ht="15.75" customHeight="1">
      <c r="A1049" s="159" t="s">
        <v>9275</v>
      </c>
      <c r="B1049" s="159" t="s">
        <v>9572</v>
      </c>
      <c r="C1049" s="159" t="s">
        <v>2089</v>
      </c>
      <c r="D1049" s="159" t="s">
        <v>481</v>
      </c>
      <c r="E1049" s="159">
        <v>12</v>
      </c>
      <c r="F1049" s="159" t="s">
        <v>5665</v>
      </c>
      <c r="G1049" s="159" t="s">
        <v>11013</v>
      </c>
    </row>
    <row r="1050" spans="1:7" ht="15.75" customHeight="1">
      <c r="A1050" s="159" t="s">
        <v>9275</v>
      </c>
      <c r="B1050" s="159" t="s">
        <v>9572</v>
      </c>
      <c r="C1050" s="159" t="s">
        <v>11014</v>
      </c>
      <c r="D1050" s="159" t="s">
        <v>978</v>
      </c>
      <c r="E1050" s="159">
        <v>5</v>
      </c>
      <c r="F1050" s="159" t="s">
        <v>5665</v>
      </c>
      <c r="G1050" s="159" t="s">
        <v>11015</v>
      </c>
    </row>
    <row r="1051" spans="1:7" ht="15.75" customHeight="1">
      <c r="A1051" s="159" t="s">
        <v>9275</v>
      </c>
      <c r="B1051" s="159" t="s">
        <v>9572</v>
      </c>
      <c r="C1051" s="159" t="s">
        <v>11016</v>
      </c>
      <c r="D1051" s="159" t="s">
        <v>978</v>
      </c>
      <c r="E1051" s="159">
        <v>5</v>
      </c>
      <c r="F1051" s="159" t="s">
        <v>5665</v>
      </c>
      <c r="G1051" s="159" t="s">
        <v>11017</v>
      </c>
    </row>
    <row r="1052" spans="1:7" ht="15.75" customHeight="1">
      <c r="A1052" s="159" t="s">
        <v>9275</v>
      </c>
      <c r="B1052" s="159" t="s">
        <v>9572</v>
      </c>
      <c r="C1052" s="159" t="s">
        <v>11018</v>
      </c>
      <c r="D1052" s="159" t="s">
        <v>978</v>
      </c>
      <c r="E1052" s="159">
        <v>5</v>
      </c>
      <c r="F1052" s="159" t="s">
        <v>5665</v>
      </c>
      <c r="G1052" s="159" t="s">
        <v>11019</v>
      </c>
    </row>
    <row r="1053" spans="1:7" ht="15.75" customHeight="1">
      <c r="A1053" s="159" t="s">
        <v>9275</v>
      </c>
      <c r="B1053" s="159" t="s">
        <v>9572</v>
      </c>
      <c r="C1053" s="159" t="s">
        <v>11020</v>
      </c>
      <c r="D1053" s="159" t="s">
        <v>978</v>
      </c>
      <c r="E1053" s="159">
        <v>5</v>
      </c>
      <c r="F1053" s="159" t="s">
        <v>5665</v>
      </c>
      <c r="G1053" s="159" t="s">
        <v>11021</v>
      </c>
    </row>
    <row r="1054" spans="1:7" ht="15.75" customHeight="1">
      <c r="A1054" s="159" t="s">
        <v>9275</v>
      </c>
      <c r="B1054" s="159" t="s">
        <v>9572</v>
      </c>
      <c r="C1054" s="159" t="s">
        <v>11022</v>
      </c>
      <c r="D1054" s="159" t="s">
        <v>481</v>
      </c>
      <c r="E1054" s="159">
        <v>12</v>
      </c>
      <c r="F1054" s="159" t="s">
        <v>5665</v>
      </c>
      <c r="G1054" s="159" t="s">
        <v>11023</v>
      </c>
    </row>
    <row r="1055" spans="1:7" ht="15.75" customHeight="1">
      <c r="A1055" s="159" t="s">
        <v>9275</v>
      </c>
      <c r="B1055" s="159" t="s">
        <v>9572</v>
      </c>
      <c r="C1055" s="159" t="s">
        <v>11024</v>
      </c>
      <c r="D1055" s="159" t="s">
        <v>978</v>
      </c>
      <c r="E1055" s="159">
        <v>5</v>
      </c>
      <c r="F1055" s="159" t="s">
        <v>5665</v>
      </c>
      <c r="G1055" s="159" t="s">
        <v>11025</v>
      </c>
    </row>
    <row r="1056" spans="1:7" ht="15.75" customHeight="1">
      <c r="A1056" s="159" t="s">
        <v>9275</v>
      </c>
      <c r="B1056" s="159" t="s">
        <v>9572</v>
      </c>
      <c r="C1056" s="159" t="s">
        <v>11026</v>
      </c>
      <c r="D1056" s="159" t="s">
        <v>481</v>
      </c>
      <c r="E1056" s="159">
        <v>12</v>
      </c>
      <c r="F1056" s="159" t="s">
        <v>5665</v>
      </c>
      <c r="G1056" s="159" t="s">
        <v>11027</v>
      </c>
    </row>
    <row r="1057" spans="1:7" ht="15.75" customHeight="1">
      <c r="A1057" s="159" t="s">
        <v>9275</v>
      </c>
      <c r="B1057" s="159" t="s">
        <v>9572</v>
      </c>
      <c r="C1057" s="159" t="s">
        <v>11028</v>
      </c>
      <c r="D1057" s="159" t="s">
        <v>978</v>
      </c>
      <c r="E1057" s="159">
        <v>5</v>
      </c>
      <c r="F1057" s="159" t="s">
        <v>5665</v>
      </c>
      <c r="G1057" s="159" t="s">
        <v>11029</v>
      </c>
    </row>
    <row r="1058" spans="1:7" ht="15.75" customHeight="1">
      <c r="A1058" s="159" t="s">
        <v>9275</v>
      </c>
      <c r="B1058" s="159" t="s">
        <v>9572</v>
      </c>
      <c r="C1058" s="159" t="s">
        <v>11030</v>
      </c>
      <c r="D1058" s="159" t="s">
        <v>978</v>
      </c>
      <c r="E1058" s="159">
        <v>5</v>
      </c>
      <c r="F1058" s="159" t="s">
        <v>5665</v>
      </c>
      <c r="G1058" s="159" t="s">
        <v>11031</v>
      </c>
    </row>
    <row r="1059" spans="1:7" ht="15.75" customHeight="1">
      <c r="A1059" s="159" t="s">
        <v>9275</v>
      </c>
      <c r="B1059" s="159" t="s">
        <v>9572</v>
      </c>
      <c r="C1059" s="159" t="s">
        <v>11032</v>
      </c>
      <c r="D1059" s="159" t="s">
        <v>1413</v>
      </c>
      <c r="E1059" s="159"/>
      <c r="F1059" s="159" t="s">
        <v>5667</v>
      </c>
      <c r="G1059" s="159" t="s">
        <v>11033</v>
      </c>
    </row>
    <row r="1060" spans="1:7" ht="15.75" customHeight="1">
      <c r="A1060" s="159" t="s">
        <v>9275</v>
      </c>
      <c r="B1060" s="159" t="s">
        <v>9572</v>
      </c>
      <c r="C1060" s="159" t="s">
        <v>11034</v>
      </c>
      <c r="D1060" s="159" t="s">
        <v>481</v>
      </c>
      <c r="E1060" s="159">
        <v>12</v>
      </c>
      <c r="F1060" s="159" t="s">
        <v>5667</v>
      </c>
      <c r="G1060" s="159" t="s">
        <v>11035</v>
      </c>
    </row>
    <row r="1061" spans="1:7" ht="15.75" customHeight="1">
      <c r="A1061" s="159" t="s">
        <v>9275</v>
      </c>
      <c r="B1061" s="159" t="s">
        <v>9572</v>
      </c>
      <c r="C1061" s="159" t="s">
        <v>11036</v>
      </c>
      <c r="D1061" s="159" t="s">
        <v>978</v>
      </c>
      <c r="E1061" s="159">
        <v>5</v>
      </c>
      <c r="F1061" s="159" t="s">
        <v>5665</v>
      </c>
      <c r="G1061" s="159" t="s">
        <v>11037</v>
      </c>
    </row>
    <row r="1062" spans="1:7" ht="15.75" customHeight="1">
      <c r="A1062" s="159" t="s">
        <v>9275</v>
      </c>
      <c r="B1062" s="159" t="s">
        <v>9572</v>
      </c>
      <c r="C1062" s="159" t="s">
        <v>11038</v>
      </c>
      <c r="D1062" s="159" t="s">
        <v>978</v>
      </c>
      <c r="E1062" s="159">
        <v>5</v>
      </c>
      <c r="F1062" s="159" t="s">
        <v>5665</v>
      </c>
      <c r="G1062" s="159" t="s">
        <v>11039</v>
      </c>
    </row>
    <row r="1063" spans="1:7" ht="15.75" customHeight="1">
      <c r="A1063" s="159" t="s">
        <v>9275</v>
      </c>
      <c r="B1063" s="159" t="s">
        <v>9572</v>
      </c>
      <c r="C1063" s="159" t="s">
        <v>11040</v>
      </c>
      <c r="D1063" s="159" t="s">
        <v>978</v>
      </c>
      <c r="E1063" s="159">
        <v>5</v>
      </c>
      <c r="F1063" s="159" t="s">
        <v>5665</v>
      </c>
      <c r="G1063" s="159" t="s">
        <v>11041</v>
      </c>
    </row>
    <row r="1064" spans="1:7" ht="15.75" customHeight="1">
      <c r="A1064" s="159" t="s">
        <v>9275</v>
      </c>
      <c r="B1064" s="159" t="s">
        <v>9572</v>
      </c>
      <c r="C1064" s="159" t="s">
        <v>11042</v>
      </c>
      <c r="D1064" s="159" t="s">
        <v>978</v>
      </c>
      <c r="E1064" s="159">
        <v>5</v>
      </c>
      <c r="F1064" s="159" t="s">
        <v>5665</v>
      </c>
      <c r="G1064" s="159" t="s">
        <v>11043</v>
      </c>
    </row>
    <row r="1065" spans="1:7" ht="15.75" customHeight="1">
      <c r="A1065" s="159" t="s">
        <v>9275</v>
      </c>
      <c r="B1065" s="159" t="s">
        <v>9572</v>
      </c>
      <c r="C1065" s="159" t="s">
        <v>11044</v>
      </c>
      <c r="D1065" s="159" t="s">
        <v>978</v>
      </c>
      <c r="E1065" s="159">
        <v>5</v>
      </c>
      <c r="F1065" s="159" t="s">
        <v>5665</v>
      </c>
      <c r="G1065" s="159" t="s">
        <v>11045</v>
      </c>
    </row>
    <row r="1066" spans="1:7" ht="15.75" customHeight="1">
      <c r="A1066" s="159" t="s">
        <v>9275</v>
      </c>
      <c r="B1066" s="159" t="s">
        <v>9572</v>
      </c>
      <c r="C1066" s="159" t="s">
        <v>11046</v>
      </c>
      <c r="D1066" s="159" t="s">
        <v>481</v>
      </c>
      <c r="E1066" s="159">
        <v>12</v>
      </c>
      <c r="F1066" s="159" t="s">
        <v>5665</v>
      </c>
      <c r="G1066" s="159" t="s">
        <v>11047</v>
      </c>
    </row>
    <row r="1067" spans="1:7" ht="15.75" customHeight="1">
      <c r="A1067" s="159" t="s">
        <v>9275</v>
      </c>
      <c r="B1067" s="159" t="s">
        <v>9572</v>
      </c>
      <c r="C1067" s="159" t="s">
        <v>11048</v>
      </c>
      <c r="D1067" s="159" t="s">
        <v>978</v>
      </c>
      <c r="E1067" s="159">
        <v>5</v>
      </c>
      <c r="F1067" s="159" t="s">
        <v>5665</v>
      </c>
      <c r="G1067" s="159" t="s">
        <v>11049</v>
      </c>
    </row>
    <row r="1068" spans="1:7" ht="15.75" customHeight="1">
      <c r="A1068" s="159" t="s">
        <v>9275</v>
      </c>
      <c r="B1068" s="159" t="s">
        <v>9572</v>
      </c>
      <c r="C1068" s="159" t="s">
        <v>11050</v>
      </c>
      <c r="D1068" s="159" t="s">
        <v>978</v>
      </c>
      <c r="E1068" s="159">
        <v>5</v>
      </c>
      <c r="F1068" s="159" t="s">
        <v>5665</v>
      </c>
      <c r="G1068" s="159" t="s">
        <v>11051</v>
      </c>
    </row>
    <row r="1069" spans="1:7" ht="15.75" customHeight="1">
      <c r="A1069" s="159" t="s">
        <v>9275</v>
      </c>
      <c r="B1069" s="159" t="s">
        <v>9572</v>
      </c>
      <c r="C1069" s="159" t="s">
        <v>11052</v>
      </c>
      <c r="D1069" s="159" t="s">
        <v>978</v>
      </c>
      <c r="E1069" s="159">
        <v>5</v>
      </c>
      <c r="F1069" s="159" t="s">
        <v>5665</v>
      </c>
      <c r="G1069" s="159" t="s">
        <v>11053</v>
      </c>
    </row>
    <row r="1070" spans="1:7" ht="15.75" customHeight="1">
      <c r="A1070" s="159" t="s">
        <v>9275</v>
      </c>
      <c r="B1070" s="159" t="s">
        <v>9572</v>
      </c>
      <c r="C1070" s="159" t="s">
        <v>10882</v>
      </c>
      <c r="D1070" s="159" t="s">
        <v>978</v>
      </c>
      <c r="E1070" s="159">
        <v>5</v>
      </c>
      <c r="F1070" s="159" t="s">
        <v>5665</v>
      </c>
      <c r="G1070" s="159" t="s">
        <v>10883</v>
      </c>
    </row>
    <row r="1071" spans="1:7" ht="15.75" customHeight="1">
      <c r="A1071" s="159" t="s">
        <v>9275</v>
      </c>
      <c r="B1071" s="159" t="s">
        <v>9574</v>
      </c>
      <c r="C1071" s="159" t="s">
        <v>1394</v>
      </c>
      <c r="D1071" s="159" t="s">
        <v>484</v>
      </c>
      <c r="E1071" s="159">
        <v>10</v>
      </c>
      <c r="F1071" s="159" t="s">
        <v>5665</v>
      </c>
      <c r="G1071" s="159" t="s">
        <v>4828</v>
      </c>
    </row>
    <row r="1072" spans="1:7" ht="15.75" customHeight="1">
      <c r="A1072" s="159" t="s">
        <v>9275</v>
      </c>
      <c r="B1072" s="159" t="s">
        <v>9574</v>
      </c>
      <c r="C1072" s="159" t="s">
        <v>10882</v>
      </c>
      <c r="D1072" s="159" t="s">
        <v>978</v>
      </c>
      <c r="E1072" s="159">
        <v>5</v>
      </c>
      <c r="F1072" s="159" t="s">
        <v>5665</v>
      </c>
      <c r="G1072" s="159" t="s">
        <v>10883</v>
      </c>
    </row>
    <row r="1073" spans="1:7" ht="15.75" customHeight="1">
      <c r="A1073" s="159" t="s">
        <v>9275</v>
      </c>
      <c r="B1073" s="159" t="s">
        <v>9574</v>
      </c>
      <c r="C1073" s="159" t="s">
        <v>10902</v>
      </c>
      <c r="D1073" s="159" t="s">
        <v>978</v>
      </c>
      <c r="E1073" s="159">
        <v>5</v>
      </c>
      <c r="F1073" s="159" t="s">
        <v>5665</v>
      </c>
      <c r="G1073" s="159" t="s">
        <v>10903</v>
      </c>
    </row>
    <row r="1074" spans="1:7" ht="15.75" customHeight="1">
      <c r="A1074" s="159" t="s">
        <v>9275</v>
      </c>
      <c r="B1074" s="159" t="s">
        <v>9574</v>
      </c>
      <c r="C1074" s="159" t="s">
        <v>1826</v>
      </c>
      <c r="D1074" s="159" t="s">
        <v>481</v>
      </c>
      <c r="E1074" s="159">
        <v>12</v>
      </c>
      <c r="F1074" s="159" t="s">
        <v>5665</v>
      </c>
      <c r="G1074" s="159" t="s">
        <v>2415</v>
      </c>
    </row>
    <row r="1075" spans="1:7" ht="15.75" customHeight="1">
      <c r="A1075" s="159" t="s">
        <v>9275</v>
      </c>
      <c r="B1075" s="159" t="s">
        <v>9574</v>
      </c>
      <c r="C1075" s="159" t="s">
        <v>10904</v>
      </c>
      <c r="D1075" s="159" t="s">
        <v>978</v>
      </c>
      <c r="E1075" s="159">
        <v>5</v>
      </c>
      <c r="F1075" s="159" t="s">
        <v>5665</v>
      </c>
      <c r="G1075" s="159" t="s">
        <v>10905</v>
      </c>
    </row>
    <row r="1076" spans="1:7" ht="15.75" customHeight="1">
      <c r="A1076" s="159" t="s">
        <v>9275</v>
      </c>
      <c r="B1076" s="159" t="s">
        <v>9576</v>
      </c>
      <c r="C1076" s="159" t="s">
        <v>1394</v>
      </c>
      <c r="D1076" s="159" t="s">
        <v>484</v>
      </c>
      <c r="E1076" s="159">
        <v>10</v>
      </c>
      <c r="F1076" s="159" t="s">
        <v>5665</v>
      </c>
      <c r="G1076" s="159" t="s">
        <v>4828</v>
      </c>
    </row>
    <row r="1077" spans="1:7" ht="15.75" customHeight="1">
      <c r="A1077" s="159" t="s">
        <v>9275</v>
      </c>
      <c r="B1077" s="159" t="s">
        <v>9576</v>
      </c>
      <c r="C1077" s="159" t="s">
        <v>10882</v>
      </c>
      <c r="D1077" s="159" t="s">
        <v>978</v>
      </c>
      <c r="E1077" s="159">
        <v>5</v>
      </c>
      <c r="F1077" s="159" t="s">
        <v>5665</v>
      </c>
      <c r="G1077" s="159" t="s">
        <v>10883</v>
      </c>
    </row>
    <row r="1078" spans="1:7" ht="15.75" customHeight="1">
      <c r="A1078" s="159" t="s">
        <v>9275</v>
      </c>
      <c r="B1078" s="159" t="s">
        <v>9576</v>
      </c>
      <c r="C1078" s="159" t="s">
        <v>10902</v>
      </c>
      <c r="D1078" s="159" t="s">
        <v>978</v>
      </c>
      <c r="E1078" s="159">
        <v>5</v>
      </c>
      <c r="F1078" s="159" t="s">
        <v>5665</v>
      </c>
      <c r="G1078" s="159" t="s">
        <v>10903</v>
      </c>
    </row>
    <row r="1079" spans="1:7" ht="15.75" customHeight="1">
      <c r="A1079" s="159" t="s">
        <v>9275</v>
      </c>
      <c r="B1079" s="159" t="s">
        <v>9576</v>
      </c>
      <c r="C1079" s="159" t="s">
        <v>1826</v>
      </c>
      <c r="D1079" s="159" t="s">
        <v>481</v>
      </c>
      <c r="E1079" s="159">
        <v>12</v>
      </c>
      <c r="F1079" s="159" t="s">
        <v>5665</v>
      </c>
      <c r="G1079" s="159" t="s">
        <v>2415</v>
      </c>
    </row>
    <row r="1080" spans="1:7" ht="15.75" customHeight="1">
      <c r="A1080" s="159" t="s">
        <v>9275</v>
      </c>
      <c r="B1080" s="159" t="s">
        <v>9576</v>
      </c>
      <c r="C1080" s="159" t="s">
        <v>10904</v>
      </c>
      <c r="D1080" s="159" t="s">
        <v>978</v>
      </c>
      <c r="E1080" s="159">
        <v>5</v>
      </c>
      <c r="F1080" s="159" t="s">
        <v>5665</v>
      </c>
      <c r="G1080" s="159" t="s">
        <v>10905</v>
      </c>
    </row>
    <row r="1081" spans="1:7" ht="15.75" customHeight="1">
      <c r="A1081" s="159" t="s">
        <v>9275</v>
      </c>
      <c r="B1081" s="159" t="s">
        <v>9578</v>
      </c>
      <c r="C1081" s="159" t="s">
        <v>1394</v>
      </c>
      <c r="D1081" s="159" t="s">
        <v>484</v>
      </c>
      <c r="E1081" s="159">
        <v>10</v>
      </c>
      <c r="F1081" s="159" t="s">
        <v>5665</v>
      </c>
      <c r="G1081" s="159" t="s">
        <v>4828</v>
      </c>
    </row>
    <row r="1082" spans="1:7" ht="15.75" customHeight="1">
      <c r="A1082" s="159" t="s">
        <v>9275</v>
      </c>
      <c r="B1082" s="159" t="s">
        <v>9578</v>
      </c>
      <c r="C1082" s="159" t="s">
        <v>10882</v>
      </c>
      <c r="D1082" s="159" t="s">
        <v>978</v>
      </c>
      <c r="E1082" s="159">
        <v>5</v>
      </c>
      <c r="F1082" s="159" t="s">
        <v>5665</v>
      </c>
      <c r="G1082" s="159" t="s">
        <v>10883</v>
      </c>
    </row>
    <row r="1083" spans="1:7" ht="15.75" customHeight="1">
      <c r="A1083" s="159" t="s">
        <v>9275</v>
      </c>
      <c r="B1083" s="159" t="s">
        <v>9578</v>
      </c>
      <c r="C1083" s="159" t="s">
        <v>10902</v>
      </c>
      <c r="D1083" s="159" t="s">
        <v>978</v>
      </c>
      <c r="E1083" s="159">
        <v>5</v>
      </c>
      <c r="F1083" s="159" t="s">
        <v>5665</v>
      </c>
      <c r="G1083" s="159" t="s">
        <v>10903</v>
      </c>
    </row>
    <row r="1084" spans="1:7" ht="15.75" customHeight="1">
      <c r="A1084" s="159" t="s">
        <v>9275</v>
      </c>
      <c r="B1084" s="159" t="s">
        <v>9578</v>
      </c>
      <c r="C1084" s="159" t="s">
        <v>1826</v>
      </c>
      <c r="D1084" s="159" t="s">
        <v>481</v>
      </c>
      <c r="E1084" s="159">
        <v>12</v>
      </c>
      <c r="F1084" s="159" t="s">
        <v>5665</v>
      </c>
      <c r="G1084" s="159" t="s">
        <v>2415</v>
      </c>
    </row>
    <row r="1085" spans="1:7" ht="15.75" customHeight="1">
      <c r="A1085" s="159" t="s">
        <v>9275</v>
      </c>
      <c r="B1085" s="159" t="s">
        <v>9578</v>
      </c>
      <c r="C1085" s="159" t="s">
        <v>10904</v>
      </c>
      <c r="D1085" s="159" t="s">
        <v>978</v>
      </c>
      <c r="E1085" s="159">
        <v>5</v>
      </c>
      <c r="F1085" s="159" t="s">
        <v>5665</v>
      </c>
      <c r="G1085" s="159" t="s">
        <v>10905</v>
      </c>
    </row>
    <row r="1086" spans="1:7" ht="15.75" customHeight="1">
      <c r="A1086" s="159" t="s">
        <v>9275</v>
      </c>
      <c r="B1086" s="159" t="s">
        <v>9579</v>
      </c>
      <c r="C1086" s="159" t="s">
        <v>1394</v>
      </c>
      <c r="D1086" s="159" t="s">
        <v>484</v>
      </c>
      <c r="E1086" s="159">
        <v>10</v>
      </c>
      <c r="F1086" s="159" t="s">
        <v>5665</v>
      </c>
      <c r="G1086" s="159" t="s">
        <v>4828</v>
      </c>
    </row>
    <row r="1087" spans="1:7" ht="15.75" customHeight="1">
      <c r="A1087" s="159" t="s">
        <v>9275</v>
      </c>
      <c r="B1087" s="159" t="s">
        <v>9579</v>
      </c>
      <c r="C1087" s="159" t="s">
        <v>10882</v>
      </c>
      <c r="D1087" s="159" t="s">
        <v>978</v>
      </c>
      <c r="E1087" s="159">
        <v>5</v>
      </c>
      <c r="F1087" s="159" t="s">
        <v>5665</v>
      </c>
      <c r="G1087" s="159" t="s">
        <v>10883</v>
      </c>
    </row>
    <row r="1088" spans="1:7" ht="15.75" customHeight="1">
      <c r="A1088" s="159" t="s">
        <v>9275</v>
      </c>
      <c r="B1088" s="159" t="s">
        <v>9579</v>
      </c>
      <c r="C1088" s="159" t="s">
        <v>10902</v>
      </c>
      <c r="D1088" s="159" t="s">
        <v>978</v>
      </c>
      <c r="E1088" s="159">
        <v>5</v>
      </c>
      <c r="F1088" s="159" t="s">
        <v>5665</v>
      </c>
      <c r="G1088" s="159" t="s">
        <v>10903</v>
      </c>
    </row>
    <row r="1089" spans="1:7" ht="15.75" customHeight="1">
      <c r="A1089" s="159" t="s">
        <v>9275</v>
      </c>
      <c r="B1089" s="159" t="s">
        <v>9579</v>
      </c>
      <c r="C1089" s="159" t="s">
        <v>1826</v>
      </c>
      <c r="D1089" s="159" t="s">
        <v>481</v>
      </c>
      <c r="E1089" s="159">
        <v>12</v>
      </c>
      <c r="F1089" s="159" t="s">
        <v>5665</v>
      </c>
      <c r="G1089" s="159" t="s">
        <v>2415</v>
      </c>
    </row>
    <row r="1090" spans="1:7" ht="15.75" customHeight="1">
      <c r="A1090" s="159" t="s">
        <v>9275</v>
      </c>
      <c r="B1090" s="159" t="s">
        <v>9579</v>
      </c>
      <c r="C1090" s="159" t="s">
        <v>10904</v>
      </c>
      <c r="D1090" s="159" t="s">
        <v>978</v>
      </c>
      <c r="E1090" s="159">
        <v>5</v>
      </c>
      <c r="F1090" s="159" t="s">
        <v>5665</v>
      </c>
      <c r="G1090" s="159" t="s">
        <v>10905</v>
      </c>
    </row>
    <row r="1091" spans="1:7" ht="15.75" customHeight="1">
      <c r="A1091" s="159" t="s">
        <v>9275</v>
      </c>
      <c r="B1091" s="159" t="s">
        <v>9581</v>
      </c>
      <c r="C1091" s="159" t="s">
        <v>10735</v>
      </c>
      <c r="D1091" s="159" t="s">
        <v>484</v>
      </c>
      <c r="E1091" s="159">
        <v>10</v>
      </c>
      <c r="F1091" s="159" t="s">
        <v>5665</v>
      </c>
      <c r="G1091" s="159" t="s">
        <v>10237</v>
      </c>
    </row>
    <row r="1092" spans="1:7" ht="15.75" customHeight="1">
      <c r="A1092" s="159" t="s">
        <v>9275</v>
      </c>
      <c r="B1092" s="159" t="s">
        <v>9581</v>
      </c>
      <c r="C1092" s="159" t="s">
        <v>156</v>
      </c>
      <c r="D1092" s="159" t="s">
        <v>477</v>
      </c>
      <c r="E1092" s="159">
        <v>255</v>
      </c>
      <c r="F1092" s="159" t="s">
        <v>5667</v>
      </c>
      <c r="G1092" s="159" t="s">
        <v>4306</v>
      </c>
    </row>
    <row r="1093" spans="1:7" ht="15.75" customHeight="1">
      <c r="A1093" s="159" t="s">
        <v>9275</v>
      </c>
      <c r="B1093" s="159" t="s">
        <v>9581</v>
      </c>
      <c r="C1093" s="159" t="s">
        <v>5891</v>
      </c>
      <c r="D1093" s="159" t="s">
        <v>3893</v>
      </c>
      <c r="E1093" s="159">
        <v>65535</v>
      </c>
      <c r="F1093" s="159" t="s">
        <v>5667</v>
      </c>
      <c r="G1093" s="159" t="s">
        <v>1729</v>
      </c>
    </row>
    <row r="1094" spans="1:7" ht="15.75" customHeight="1">
      <c r="A1094" s="159" t="s">
        <v>9275</v>
      </c>
      <c r="B1094" s="159" t="s">
        <v>9581</v>
      </c>
      <c r="C1094" s="159" t="s">
        <v>11054</v>
      </c>
      <c r="D1094" s="159" t="s">
        <v>1974</v>
      </c>
      <c r="E1094" s="159"/>
      <c r="F1094" s="159" t="s">
        <v>5667</v>
      </c>
      <c r="G1094" s="159" t="s">
        <v>11055</v>
      </c>
    </row>
    <row r="1095" spans="1:7" ht="15.75" customHeight="1">
      <c r="A1095" s="159" t="s">
        <v>9275</v>
      </c>
      <c r="B1095" s="159" t="s">
        <v>9581</v>
      </c>
      <c r="C1095" s="159" t="s">
        <v>11056</v>
      </c>
      <c r="D1095" s="159" t="s">
        <v>1974</v>
      </c>
      <c r="E1095" s="159"/>
      <c r="F1095" s="159" t="s">
        <v>5667</v>
      </c>
      <c r="G1095" s="159" t="s">
        <v>11057</v>
      </c>
    </row>
    <row r="1096" spans="1:7" ht="15.75" customHeight="1">
      <c r="A1096" s="159" t="s">
        <v>9275</v>
      </c>
      <c r="B1096" s="159" t="s">
        <v>9581</v>
      </c>
      <c r="C1096" s="159" t="s">
        <v>10211</v>
      </c>
      <c r="D1096" s="159" t="s">
        <v>978</v>
      </c>
      <c r="E1096" s="159">
        <v>5</v>
      </c>
      <c r="F1096" s="159" t="s">
        <v>5665</v>
      </c>
      <c r="G1096" s="159" t="s">
        <v>10587</v>
      </c>
    </row>
    <row r="1097" spans="1:7" ht="15.75" customHeight="1">
      <c r="A1097" s="159" t="s">
        <v>9275</v>
      </c>
      <c r="B1097" s="159" t="s">
        <v>9581</v>
      </c>
      <c r="C1097" s="159" t="s">
        <v>10620</v>
      </c>
      <c r="D1097" s="159" t="s">
        <v>10334</v>
      </c>
      <c r="E1097" s="159">
        <v>16777215</v>
      </c>
      <c r="F1097" s="159" t="s">
        <v>5667</v>
      </c>
      <c r="G1097" s="159" t="s">
        <v>10621</v>
      </c>
    </row>
    <row r="1098" spans="1:7" ht="15.75" customHeight="1">
      <c r="A1098" s="159" t="s">
        <v>9275</v>
      </c>
      <c r="B1098" s="159" t="s">
        <v>9581</v>
      </c>
      <c r="C1098" s="159" t="s">
        <v>11058</v>
      </c>
      <c r="D1098" s="159" t="s">
        <v>10334</v>
      </c>
      <c r="E1098" s="159">
        <v>16777215</v>
      </c>
      <c r="F1098" s="159" t="s">
        <v>5667</v>
      </c>
      <c r="G1098" s="159" t="s">
        <v>11059</v>
      </c>
    </row>
    <row r="1099" spans="1:7" ht="15.75" customHeight="1">
      <c r="A1099" s="159" t="s">
        <v>9275</v>
      </c>
      <c r="B1099" s="159" t="s">
        <v>9581</v>
      </c>
      <c r="C1099" s="159" t="s">
        <v>11060</v>
      </c>
      <c r="D1099" s="159" t="s">
        <v>978</v>
      </c>
      <c r="E1099" s="159">
        <v>5</v>
      </c>
      <c r="F1099" s="159" t="s">
        <v>5665</v>
      </c>
      <c r="G1099" s="159" t="s">
        <v>11061</v>
      </c>
    </row>
    <row r="1100" spans="1:7" ht="15.75" customHeight="1">
      <c r="A1100" s="159" t="s">
        <v>9275</v>
      </c>
      <c r="B1100" s="159" t="s">
        <v>9581</v>
      </c>
      <c r="C1100" s="159" t="s">
        <v>10469</v>
      </c>
      <c r="D1100" s="159" t="s">
        <v>484</v>
      </c>
      <c r="E1100" s="159">
        <v>10</v>
      </c>
      <c r="F1100" s="159" t="s">
        <v>5665</v>
      </c>
      <c r="G1100" s="159" t="s">
        <v>10470</v>
      </c>
    </row>
    <row r="1101" spans="1:7" ht="15.75" customHeight="1">
      <c r="A1101" s="159" t="s">
        <v>9275</v>
      </c>
      <c r="B1101" s="159" t="s">
        <v>9581</v>
      </c>
      <c r="C1101" s="159" t="s">
        <v>11062</v>
      </c>
      <c r="D1101" s="159" t="s">
        <v>477</v>
      </c>
      <c r="E1101" s="159">
        <v>32</v>
      </c>
      <c r="F1101" s="159" t="s">
        <v>5667</v>
      </c>
      <c r="G1101" s="159" t="s">
        <v>11063</v>
      </c>
    </row>
    <row r="1102" spans="1:7" ht="15.75" customHeight="1">
      <c r="A1102" s="159" t="s">
        <v>9275</v>
      </c>
      <c r="B1102" s="159" t="s">
        <v>9581</v>
      </c>
      <c r="C1102" s="159" t="s">
        <v>5845</v>
      </c>
      <c r="D1102" s="159" t="s">
        <v>481</v>
      </c>
      <c r="E1102" s="159">
        <v>20</v>
      </c>
      <c r="F1102" s="159" t="s">
        <v>5665</v>
      </c>
      <c r="G1102" s="159" t="s">
        <v>11064</v>
      </c>
    </row>
    <row r="1103" spans="1:7" ht="15.75" customHeight="1">
      <c r="A1103" s="159" t="s">
        <v>9275</v>
      </c>
      <c r="B1103" s="159" t="s">
        <v>9583</v>
      </c>
      <c r="C1103" s="159" t="s">
        <v>10735</v>
      </c>
      <c r="D1103" s="159" t="s">
        <v>484</v>
      </c>
      <c r="E1103" s="159">
        <v>10</v>
      </c>
      <c r="F1103" s="159" t="s">
        <v>5665</v>
      </c>
      <c r="G1103" s="159" t="s">
        <v>10736</v>
      </c>
    </row>
    <row r="1104" spans="1:7" ht="15.75" customHeight="1">
      <c r="A1104" s="159" t="s">
        <v>9275</v>
      </c>
      <c r="B1104" s="159" t="s">
        <v>9583</v>
      </c>
      <c r="C1104" s="159" t="s">
        <v>10884</v>
      </c>
      <c r="D1104" s="159" t="s">
        <v>484</v>
      </c>
      <c r="E1104" s="159">
        <v>10</v>
      </c>
      <c r="F1104" s="159" t="s">
        <v>5665</v>
      </c>
      <c r="G1104" s="159" t="s">
        <v>10885</v>
      </c>
    </row>
    <row r="1105" spans="1:7" ht="15.75" customHeight="1">
      <c r="A1105" s="159" t="s">
        <v>9275</v>
      </c>
      <c r="B1105" s="159" t="s">
        <v>9585</v>
      </c>
      <c r="C1105" s="159" t="s">
        <v>10735</v>
      </c>
      <c r="D1105" s="159" t="s">
        <v>484</v>
      </c>
      <c r="E1105" s="159">
        <v>10</v>
      </c>
      <c r="F1105" s="159" t="s">
        <v>5665</v>
      </c>
      <c r="G1105" s="159" t="s">
        <v>10736</v>
      </c>
    </row>
    <row r="1106" spans="1:7" ht="15.75" customHeight="1">
      <c r="A1106" s="159" t="s">
        <v>9275</v>
      </c>
      <c r="B1106" s="159" t="s">
        <v>9585</v>
      </c>
      <c r="C1106" s="159" t="s">
        <v>10884</v>
      </c>
      <c r="D1106" s="159" t="s">
        <v>484</v>
      </c>
      <c r="E1106" s="159">
        <v>10</v>
      </c>
      <c r="F1106" s="159" t="s">
        <v>5665</v>
      </c>
      <c r="G1106" s="159" t="s">
        <v>10885</v>
      </c>
    </row>
    <row r="1107" spans="1:7" ht="15.75" customHeight="1">
      <c r="A1107" s="159" t="s">
        <v>9275</v>
      </c>
      <c r="B1107" s="159" t="s">
        <v>9585</v>
      </c>
      <c r="C1107" s="159" t="s">
        <v>10882</v>
      </c>
      <c r="D1107" s="159" t="s">
        <v>978</v>
      </c>
      <c r="E1107" s="159">
        <v>5</v>
      </c>
      <c r="F1107" s="159" t="s">
        <v>5665</v>
      </c>
      <c r="G1107" s="159" t="s">
        <v>10883</v>
      </c>
    </row>
    <row r="1108" spans="1:7" ht="15.75" customHeight="1">
      <c r="A1108" s="159" t="s">
        <v>9275</v>
      </c>
      <c r="B1108" s="159" t="s">
        <v>9587</v>
      </c>
      <c r="C1108" s="159" t="s">
        <v>10735</v>
      </c>
      <c r="D1108" s="159" t="s">
        <v>484</v>
      </c>
      <c r="E1108" s="159">
        <v>10</v>
      </c>
      <c r="F1108" s="159" t="s">
        <v>5665</v>
      </c>
      <c r="G1108" s="159" t="s">
        <v>10736</v>
      </c>
    </row>
    <row r="1109" spans="1:7" ht="15.75" customHeight="1">
      <c r="A1109" s="159" t="s">
        <v>9275</v>
      </c>
      <c r="B1109" s="159" t="s">
        <v>9587</v>
      </c>
      <c r="C1109" s="159" t="s">
        <v>10884</v>
      </c>
      <c r="D1109" s="159" t="s">
        <v>484</v>
      </c>
      <c r="E1109" s="159">
        <v>10</v>
      </c>
      <c r="F1109" s="159" t="s">
        <v>5665</v>
      </c>
      <c r="G1109" s="159" t="s">
        <v>10885</v>
      </c>
    </row>
    <row r="1110" spans="1:7" ht="15.75" customHeight="1">
      <c r="A1110" s="159" t="s">
        <v>9275</v>
      </c>
      <c r="B1110" s="159" t="s">
        <v>9587</v>
      </c>
      <c r="C1110" s="159" t="s">
        <v>10882</v>
      </c>
      <c r="D1110" s="159" t="s">
        <v>978</v>
      </c>
      <c r="E1110" s="159">
        <v>5</v>
      </c>
      <c r="F1110" s="159" t="s">
        <v>5665</v>
      </c>
      <c r="G1110" s="159" t="s">
        <v>10883</v>
      </c>
    </row>
    <row r="1111" spans="1:7" ht="15.75" customHeight="1">
      <c r="A1111" s="159" t="s">
        <v>9275</v>
      </c>
      <c r="B1111" s="159" t="s">
        <v>9588</v>
      </c>
      <c r="C1111" s="159" t="s">
        <v>11065</v>
      </c>
      <c r="D1111" s="159" t="s">
        <v>484</v>
      </c>
      <c r="E1111" s="159">
        <v>10</v>
      </c>
      <c r="F1111" s="159" t="s">
        <v>5665</v>
      </c>
      <c r="G1111" s="159" t="s">
        <v>11066</v>
      </c>
    </row>
    <row r="1112" spans="1:7" ht="15.75" customHeight="1">
      <c r="A1112" s="159" t="s">
        <v>9275</v>
      </c>
      <c r="B1112" s="159" t="s">
        <v>9588</v>
      </c>
      <c r="C1112" s="159" t="s">
        <v>10735</v>
      </c>
      <c r="D1112" s="159" t="s">
        <v>484</v>
      </c>
      <c r="E1112" s="159">
        <v>10</v>
      </c>
      <c r="F1112" s="159" t="s">
        <v>5665</v>
      </c>
      <c r="G1112" s="159" t="s">
        <v>10736</v>
      </c>
    </row>
    <row r="1113" spans="1:7" ht="15.75" customHeight="1">
      <c r="A1113" s="159" t="s">
        <v>9275</v>
      </c>
      <c r="B1113" s="159" t="s">
        <v>9588</v>
      </c>
      <c r="C1113" s="159" t="s">
        <v>11067</v>
      </c>
      <c r="D1113" s="159" t="s">
        <v>484</v>
      </c>
      <c r="E1113" s="159">
        <v>10</v>
      </c>
      <c r="F1113" s="159" t="s">
        <v>5665</v>
      </c>
      <c r="G1113" s="159" t="s">
        <v>11068</v>
      </c>
    </row>
    <row r="1114" spans="1:7" ht="15.75" customHeight="1">
      <c r="A1114" s="159" t="s">
        <v>9275</v>
      </c>
      <c r="B1114" s="159" t="s">
        <v>9588</v>
      </c>
      <c r="C1114" s="159" t="s">
        <v>11069</v>
      </c>
      <c r="D1114" s="159" t="s">
        <v>484</v>
      </c>
      <c r="E1114" s="159">
        <v>10</v>
      </c>
      <c r="F1114" s="159" t="s">
        <v>5665</v>
      </c>
      <c r="G1114" s="159" t="s">
        <v>11070</v>
      </c>
    </row>
    <row r="1115" spans="1:7" ht="15.75" customHeight="1">
      <c r="A1115" s="159" t="s">
        <v>9275</v>
      </c>
      <c r="B1115" s="159" t="s">
        <v>9588</v>
      </c>
      <c r="C1115" s="159" t="s">
        <v>10884</v>
      </c>
      <c r="D1115" s="159" t="s">
        <v>484</v>
      </c>
      <c r="E1115" s="159">
        <v>10</v>
      </c>
      <c r="F1115" s="159" t="s">
        <v>5667</v>
      </c>
      <c r="G1115" s="159"/>
    </row>
    <row r="1116" spans="1:7" ht="15.75" customHeight="1">
      <c r="A1116" s="159" t="s">
        <v>9275</v>
      </c>
      <c r="B1116" s="159" t="s">
        <v>9588</v>
      </c>
      <c r="C1116" s="159" t="s">
        <v>1394</v>
      </c>
      <c r="D1116" s="159" t="s">
        <v>484</v>
      </c>
      <c r="E1116" s="159">
        <v>10</v>
      </c>
      <c r="F1116" s="159" t="s">
        <v>5665</v>
      </c>
      <c r="G1116" s="159" t="s">
        <v>4828</v>
      </c>
    </row>
    <row r="1117" spans="1:7" ht="15.75" customHeight="1">
      <c r="A1117" s="159" t="s">
        <v>9275</v>
      </c>
      <c r="B1117" s="159" t="s">
        <v>9588</v>
      </c>
      <c r="C1117" s="159" t="s">
        <v>11071</v>
      </c>
      <c r="D1117" s="159" t="s">
        <v>477</v>
      </c>
      <c r="E1117" s="159">
        <v>10</v>
      </c>
      <c r="F1117" s="159" t="s">
        <v>5667</v>
      </c>
      <c r="G1117" s="159" t="s">
        <v>11072</v>
      </c>
    </row>
    <row r="1118" spans="1:7" ht="15.75" customHeight="1">
      <c r="A1118" s="159" t="s">
        <v>9275</v>
      </c>
      <c r="B1118" s="159" t="s">
        <v>9588</v>
      </c>
      <c r="C1118" s="159" t="s">
        <v>11073</v>
      </c>
      <c r="D1118" s="159" t="s">
        <v>481</v>
      </c>
      <c r="E1118" s="159">
        <v>20</v>
      </c>
      <c r="F1118" s="159" t="s">
        <v>5665</v>
      </c>
      <c r="G1118" s="159" t="s">
        <v>11074</v>
      </c>
    </row>
    <row r="1119" spans="1:7" ht="15.75" customHeight="1">
      <c r="A1119" s="159" t="s">
        <v>9275</v>
      </c>
      <c r="B1119" s="159" t="s">
        <v>9588</v>
      </c>
      <c r="C1119" s="159" t="s">
        <v>11075</v>
      </c>
      <c r="D1119" s="159" t="s">
        <v>978</v>
      </c>
      <c r="E1119" s="159">
        <v>5</v>
      </c>
      <c r="F1119" s="159" t="s">
        <v>5665</v>
      </c>
      <c r="G1119" s="159" t="s">
        <v>11076</v>
      </c>
    </row>
    <row r="1120" spans="1:7" ht="15.75" customHeight="1">
      <c r="A1120" s="159" t="s">
        <v>9275</v>
      </c>
      <c r="B1120" s="159" t="s">
        <v>9588</v>
      </c>
      <c r="C1120" s="159" t="s">
        <v>10469</v>
      </c>
      <c r="D1120" s="159" t="s">
        <v>484</v>
      </c>
      <c r="E1120" s="159">
        <v>10</v>
      </c>
      <c r="F1120" s="159" t="s">
        <v>5665</v>
      </c>
      <c r="G1120" s="159" t="s">
        <v>10470</v>
      </c>
    </row>
    <row r="1121" spans="1:7" ht="15.75" customHeight="1">
      <c r="A1121" s="159" t="s">
        <v>9275</v>
      </c>
      <c r="B1121" s="159" t="s">
        <v>9588</v>
      </c>
      <c r="C1121" s="159" t="s">
        <v>10882</v>
      </c>
      <c r="D1121" s="159" t="s">
        <v>978</v>
      </c>
      <c r="E1121" s="159">
        <v>5</v>
      </c>
      <c r="F1121" s="159" t="s">
        <v>5665</v>
      </c>
      <c r="G1121" s="159" t="s">
        <v>10883</v>
      </c>
    </row>
    <row r="1122" spans="1:7" ht="15.75" customHeight="1">
      <c r="A1122" s="159" t="s">
        <v>9275</v>
      </c>
      <c r="B1122" s="159" t="s">
        <v>9590</v>
      </c>
      <c r="C1122" s="159" t="s">
        <v>10285</v>
      </c>
      <c r="D1122" s="159" t="s">
        <v>484</v>
      </c>
      <c r="E1122" s="159">
        <v>10</v>
      </c>
      <c r="F1122" s="159" t="s">
        <v>5665</v>
      </c>
      <c r="G1122" s="159" t="s">
        <v>10286</v>
      </c>
    </row>
    <row r="1123" spans="1:7" ht="15.75" customHeight="1">
      <c r="A1123" s="159" t="s">
        <v>9275</v>
      </c>
      <c r="B1123" s="159" t="s">
        <v>9590</v>
      </c>
      <c r="C1123" s="159" t="s">
        <v>10287</v>
      </c>
      <c r="D1123" s="159" t="s">
        <v>484</v>
      </c>
      <c r="E1123" s="159">
        <v>10</v>
      </c>
      <c r="F1123" s="159" t="s">
        <v>5665</v>
      </c>
      <c r="G1123" s="159" t="s">
        <v>10237</v>
      </c>
    </row>
    <row r="1124" spans="1:7" ht="15.75" customHeight="1">
      <c r="A1124" s="159" t="s">
        <v>9275</v>
      </c>
      <c r="B1124" s="159" t="s">
        <v>9591</v>
      </c>
      <c r="C1124" s="159" t="s">
        <v>11077</v>
      </c>
      <c r="D1124" s="159" t="s">
        <v>484</v>
      </c>
      <c r="E1124" s="159">
        <v>10</v>
      </c>
      <c r="F1124" s="159" t="s">
        <v>5665</v>
      </c>
      <c r="G1124" s="159" t="s">
        <v>11078</v>
      </c>
    </row>
    <row r="1125" spans="1:7" ht="15.75" customHeight="1">
      <c r="A1125" s="159" t="s">
        <v>9275</v>
      </c>
      <c r="B1125" s="159" t="s">
        <v>9591</v>
      </c>
      <c r="C1125" s="159" t="s">
        <v>11079</v>
      </c>
      <c r="D1125" s="159" t="s">
        <v>1974</v>
      </c>
      <c r="E1125" s="159"/>
      <c r="F1125" s="159" t="s">
        <v>5665</v>
      </c>
      <c r="G1125" s="159" t="s">
        <v>11080</v>
      </c>
    </row>
    <row r="1126" spans="1:7" ht="15.75" customHeight="1">
      <c r="A1126" s="159" t="s">
        <v>9275</v>
      </c>
      <c r="B1126" s="159" t="s">
        <v>9591</v>
      </c>
      <c r="C1126" s="159" t="s">
        <v>10884</v>
      </c>
      <c r="D1126" s="159" t="s">
        <v>484</v>
      </c>
      <c r="E1126" s="159">
        <v>10</v>
      </c>
      <c r="F1126" s="159" t="s">
        <v>5667</v>
      </c>
      <c r="G1126" s="159"/>
    </row>
    <row r="1127" spans="1:7" ht="15.75" customHeight="1">
      <c r="A1127" s="159" t="s">
        <v>9275</v>
      </c>
      <c r="B1127" s="159" t="s">
        <v>9591</v>
      </c>
      <c r="C1127" s="159" t="s">
        <v>1394</v>
      </c>
      <c r="D1127" s="159" t="s">
        <v>484</v>
      </c>
      <c r="E1127" s="159">
        <v>10</v>
      </c>
      <c r="F1127" s="159" t="s">
        <v>5665</v>
      </c>
      <c r="G1127" s="159" t="s">
        <v>4828</v>
      </c>
    </row>
    <row r="1128" spans="1:7" ht="15.75" customHeight="1">
      <c r="A1128" s="159" t="s">
        <v>9275</v>
      </c>
      <c r="B1128" s="159" t="s">
        <v>9591</v>
      </c>
      <c r="C1128" s="159" t="s">
        <v>11081</v>
      </c>
      <c r="D1128" s="159" t="s">
        <v>481</v>
      </c>
      <c r="E1128" s="159">
        <v>20</v>
      </c>
      <c r="F1128" s="159" t="s">
        <v>5665</v>
      </c>
      <c r="G1128" s="159" t="s">
        <v>11082</v>
      </c>
    </row>
    <row r="1129" spans="1:7" ht="15.75" customHeight="1">
      <c r="A1129" s="159" t="s">
        <v>9275</v>
      </c>
      <c r="B1129" s="159" t="s">
        <v>9591</v>
      </c>
      <c r="C1129" s="159" t="s">
        <v>10882</v>
      </c>
      <c r="D1129" s="159" t="s">
        <v>978</v>
      </c>
      <c r="E1129" s="159">
        <v>5</v>
      </c>
      <c r="F1129" s="159" t="s">
        <v>5665</v>
      </c>
      <c r="G1129" s="159" t="s">
        <v>10883</v>
      </c>
    </row>
    <row r="1130" spans="1:7" ht="15.75" customHeight="1">
      <c r="A1130" s="159" t="s">
        <v>9275</v>
      </c>
      <c r="B1130" s="159" t="s">
        <v>9591</v>
      </c>
      <c r="C1130" s="159" t="s">
        <v>11083</v>
      </c>
      <c r="D1130" s="159" t="s">
        <v>1974</v>
      </c>
      <c r="E1130" s="159"/>
      <c r="F1130" s="159" t="s">
        <v>5667</v>
      </c>
      <c r="G1130" s="159" t="s">
        <v>11084</v>
      </c>
    </row>
    <row r="1131" spans="1:7" ht="15.75" customHeight="1">
      <c r="A1131" s="159" t="s">
        <v>9275</v>
      </c>
      <c r="B1131" s="159" t="s">
        <v>9591</v>
      </c>
      <c r="C1131" s="159" t="s">
        <v>11085</v>
      </c>
      <c r="D1131" s="159" t="s">
        <v>1974</v>
      </c>
      <c r="E1131" s="159"/>
      <c r="F1131" s="159" t="s">
        <v>5667</v>
      </c>
      <c r="G1131" s="159" t="s">
        <v>11086</v>
      </c>
    </row>
    <row r="1132" spans="1:7" ht="15.75" customHeight="1">
      <c r="A1132" s="159" t="s">
        <v>9275</v>
      </c>
      <c r="B1132" s="159" t="s">
        <v>9593</v>
      </c>
      <c r="C1132" s="159" t="s">
        <v>11077</v>
      </c>
      <c r="D1132" s="159" t="s">
        <v>484</v>
      </c>
      <c r="E1132" s="159">
        <v>10</v>
      </c>
      <c r="F1132" s="159" t="s">
        <v>5665</v>
      </c>
      <c r="G1132" s="159" t="s">
        <v>11078</v>
      </c>
    </row>
    <row r="1133" spans="1:7" ht="15.75" customHeight="1">
      <c r="A1133" s="159" t="s">
        <v>9275</v>
      </c>
      <c r="B1133" s="159" t="s">
        <v>9593</v>
      </c>
      <c r="C1133" s="159" t="s">
        <v>11079</v>
      </c>
      <c r="D1133" s="159" t="s">
        <v>1974</v>
      </c>
      <c r="E1133" s="159"/>
      <c r="F1133" s="159" t="s">
        <v>5665</v>
      </c>
      <c r="G1133" s="159" t="s">
        <v>11080</v>
      </c>
    </row>
    <row r="1134" spans="1:7" ht="15.75" customHeight="1">
      <c r="A1134" s="159" t="s">
        <v>9275</v>
      </c>
      <c r="B1134" s="159" t="s">
        <v>9593</v>
      </c>
      <c r="C1134" s="159" t="s">
        <v>10884</v>
      </c>
      <c r="D1134" s="159" t="s">
        <v>484</v>
      </c>
      <c r="E1134" s="159">
        <v>10</v>
      </c>
      <c r="F1134" s="159" t="s">
        <v>5667</v>
      </c>
      <c r="G1134" s="159"/>
    </row>
    <row r="1135" spans="1:7" ht="15.75" customHeight="1">
      <c r="A1135" s="159" t="s">
        <v>9275</v>
      </c>
      <c r="B1135" s="159" t="s">
        <v>9593</v>
      </c>
      <c r="C1135" s="159" t="s">
        <v>1394</v>
      </c>
      <c r="D1135" s="159" t="s">
        <v>484</v>
      </c>
      <c r="E1135" s="159">
        <v>10</v>
      </c>
      <c r="F1135" s="159" t="s">
        <v>5665</v>
      </c>
      <c r="G1135" s="159" t="s">
        <v>4828</v>
      </c>
    </row>
    <row r="1136" spans="1:7" ht="15.75" customHeight="1">
      <c r="A1136" s="159" t="s">
        <v>9275</v>
      </c>
      <c r="B1136" s="159" t="s">
        <v>9593</v>
      </c>
      <c r="C1136" s="159" t="s">
        <v>11081</v>
      </c>
      <c r="D1136" s="159" t="s">
        <v>481</v>
      </c>
      <c r="E1136" s="159">
        <v>20</v>
      </c>
      <c r="F1136" s="159" t="s">
        <v>5665</v>
      </c>
      <c r="G1136" s="159" t="s">
        <v>11082</v>
      </c>
    </row>
    <row r="1137" spans="1:7" ht="15.75" customHeight="1">
      <c r="A1137" s="159" t="s">
        <v>9275</v>
      </c>
      <c r="B1137" s="159" t="s">
        <v>9593</v>
      </c>
      <c r="C1137" s="159" t="s">
        <v>10882</v>
      </c>
      <c r="D1137" s="159" t="s">
        <v>978</v>
      </c>
      <c r="E1137" s="159">
        <v>5</v>
      </c>
      <c r="F1137" s="159" t="s">
        <v>5665</v>
      </c>
      <c r="G1137" s="159" t="s">
        <v>10883</v>
      </c>
    </row>
    <row r="1138" spans="1:7" ht="15.75" customHeight="1">
      <c r="A1138" s="159" t="s">
        <v>9275</v>
      </c>
      <c r="B1138" s="159" t="s">
        <v>9593</v>
      </c>
      <c r="C1138" s="159" t="s">
        <v>11083</v>
      </c>
      <c r="D1138" s="159" t="s">
        <v>1974</v>
      </c>
      <c r="E1138" s="159"/>
      <c r="F1138" s="159" t="s">
        <v>5667</v>
      </c>
      <c r="G1138" s="159" t="s">
        <v>11084</v>
      </c>
    </row>
    <row r="1139" spans="1:7" ht="15.75" customHeight="1">
      <c r="A1139" s="159" t="s">
        <v>9275</v>
      </c>
      <c r="B1139" s="159" t="s">
        <v>9593</v>
      </c>
      <c r="C1139" s="159" t="s">
        <v>11085</v>
      </c>
      <c r="D1139" s="159" t="s">
        <v>1974</v>
      </c>
      <c r="E1139" s="159"/>
      <c r="F1139" s="159" t="s">
        <v>5667</v>
      </c>
      <c r="G1139" s="159" t="s">
        <v>11086</v>
      </c>
    </row>
    <row r="1140" spans="1:7" ht="15.75" customHeight="1">
      <c r="A1140" s="159" t="s">
        <v>9275</v>
      </c>
      <c r="B1140" s="159" t="s">
        <v>9594</v>
      </c>
      <c r="C1140" s="159" t="s">
        <v>11065</v>
      </c>
      <c r="D1140" s="159" t="s">
        <v>484</v>
      </c>
      <c r="E1140" s="159">
        <v>10</v>
      </c>
      <c r="F1140" s="159" t="s">
        <v>5665</v>
      </c>
      <c r="G1140" s="159" t="s">
        <v>11066</v>
      </c>
    </row>
    <row r="1141" spans="1:7" ht="15.75" customHeight="1">
      <c r="A1141" s="159" t="s">
        <v>9275</v>
      </c>
      <c r="B1141" s="159" t="s">
        <v>9594</v>
      </c>
      <c r="C1141" s="159" t="s">
        <v>10735</v>
      </c>
      <c r="D1141" s="159" t="s">
        <v>484</v>
      </c>
      <c r="E1141" s="159">
        <v>10</v>
      </c>
      <c r="F1141" s="159" t="s">
        <v>5665</v>
      </c>
      <c r="G1141" s="159" t="s">
        <v>10736</v>
      </c>
    </row>
    <row r="1142" spans="1:7" ht="15.75" customHeight="1">
      <c r="A1142" s="159" t="s">
        <v>9275</v>
      </c>
      <c r="B1142" s="159" t="s">
        <v>9594</v>
      </c>
      <c r="C1142" s="159" t="s">
        <v>11067</v>
      </c>
      <c r="D1142" s="159" t="s">
        <v>484</v>
      </c>
      <c r="E1142" s="159">
        <v>10</v>
      </c>
      <c r="F1142" s="159" t="s">
        <v>5665</v>
      </c>
      <c r="G1142" s="159" t="s">
        <v>11068</v>
      </c>
    </row>
    <row r="1143" spans="1:7" ht="15.75" customHeight="1">
      <c r="A1143" s="159" t="s">
        <v>9275</v>
      </c>
      <c r="B1143" s="159" t="s">
        <v>9594</v>
      </c>
      <c r="C1143" s="159" t="s">
        <v>11069</v>
      </c>
      <c r="D1143" s="159" t="s">
        <v>484</v>
      </c>
      <c r="E1143" s="159">
        <v>10</v>
      </c>
      <c r="F1143" s="159" t="s">
        <v>5665</v>
      </c>
      <c r="G1143" s="159" t="s">
        <v>11070</v>
      </c>
    </row>
    <row r="1144" spans="1:7" ht="15.75" customHeight="1">
      <c r="A1144" s="159" t="s">
        <v>9275</v>
      </c>
      <c r="B1144" s="159" t="s">
        <v>9594</v>
      </c>
      <c r="C1144" s="159" t="s">
        <v>10884</v>
      </c>
      <c r="D1144" s="159" t="s">
        <v>484</v>
      </c>
      <c r="E1144" s="159">
        <v>10</v>
      </c>
      <c r="F1144" s="159" t="s">
        <v>5667</v>
      </c>
      <c r="G1144" s="159"/>
    </row>
    <row r="1145" spans="1:7" ht="15.75" customHeight="1">
      <c r="A1145" s="159" t="s">
        <v>9275</v>
      </c>
      <c r="B1145" s="159" t="s">
        <v>9594</v>
      </c>
      <c r="C1145" s="159" t="s">
        <v>1394</v>
      </c>
      <c r="D1145" s="159" t="s">
        <v>484</v>
      </c>
      <c r="E1145" s="159">
        <v>10</v>
      </c>
      <c r="F1145" s="159" t="s">
        <v>5665</v>
      </c>
      <c r="G1145" s="159" t="s">
        <v>4828</v>
      </c>
    </row>
    <row r="1146" spans="1:7" ht="15.75" customHeight="1">
      <c r="A1146" s="159" t="s">
        <v>9275</v>
      </c>
      <c r="B1146" s="159" t="s">
        <v>9594</v>
      </c>
      <c r="C1146" s="159" t="s">
        <v>11071</v>
      </c>
      <c r="D1146" s="159" t="s">
        <v>477</v>
      </c>
      <c r="E1146" s="159">
        <v>10</v>
      </c>
      <c r="F1146" s="159" t="s">
        <v>5667</v>
      </c>
      <c r="G1146" s="159" t="s">
        <v>11072</v>
      </c>
    </row>
    <row r="1147" spans="1:7" ht="15.75" customHeight="1">
      <c r="A1147" s="159" t="s">
        <v>9275</v>
      </c>
      <c r="B1147" s="159" t="s">
        <v>9594</v>
      </c>
      <c r="C1147" s="159" t="s">
        <v>11073</v>
      </c>
      <c r="D1147" s="159" t="s">
        <v>481</v>
      </c>
      <c r="E1147" s="159">
        <v>20</v>
      </c>
      <c r="F1147" s="159" t="s">
        <v>5665</v>
      </c>
      <c r="G1147" s="159" t="s">
        <v>11074</v>
      </c>
    </row>
    <row r="1148" spans="1:7" ht="15.75" customHeight="1">
      <c r="A1148" s="159" t="s">
        <v>9275</v>
      </c>
      <c r="B1148" s="159" t="s">
        <v>9594</v>
      </c>
      <c r="C1148" s="159" t="s">
        <v>11075</v>
      </c>
      <c r="D1148" s="159" t="s">
        <v>978</v>
      </c>
      <c r="E1148" s="159">
        <v>5</v>
      </c>
      <c r="F1148" s="159" t="s">
        <v>5665</v>
      </c>
      <c r="G1148" s="159" t="s">
        <v>11076</v>
      </c>
    </row>
    <row r="1149" spans="1:7" ht="15.75" customHeight="1">
      <c r="A1149" s="159" t="s">
        <v>9275</v>
      </c>
      <c r="B1149" s="159" t="s">
        <v>9594</v>
      </c>
      <c r="C1149" s="159" t="s">
        <v>10469</v>
      </c>
      <c r="D1149" s="159" t="s">
        <v>484</v>
      </c>
      <c r="E1149" s="159">
        <v>10</v>
      </c>
      <c r="F1149" s="159" t="s">
        <v>5665</v>
      </c>
      <c r="G1149" s="159" t="s">
        <v>10470</v>
      </c>
    </row>
    <row r="1150" spans="1:7" ht="15.75" customHeight="1">
      <c r="A1150" s="159" t="s">
        <v>9275</v>
      </c>
      <c r="B1150" s="159" t="s">
        <v>9594</v>
      </c>
      <c r="C1150" s="159" t="s">
        <v>10882</v>
      </c>
      <c r="D1150" s="159" t="s">
        <v>978</v>
      </c>
      <c r="E1150" s="159">
        <v>5</v>
      </c>
      <c r="F1150" s="159" t="s">
        <v>5665</v>
      </c>
      <c r="G1150" s="159" t="s">
        <v>10883</v>
      </c>
    </row>
    <row r="1151" spans="1:7" ht="15.75" customHeight="1">
      <c r="A1151" s="159" t="s">
        <v>9275</v>
      </c>
      <c r="B1151" s="159" t="s">
        <v>9595</v>
      </c>
      <c r="C1151" s="159" t="s">
        <v>10285</v>
      </c>
      <c r="D1151" s="159" t="s">
        <v>484</v>
      </c>
      <c r="E1151" s="159">
        <v>10</v>
      </c>
      <c r="F1151" s="159" t="s">
        <v>5665</v>
      </c>
      <c r="G1151" s="159" t="s">
        <v>10286</v>
      </c>
    </row>
    <row r="1152" spans="1:7" ht="15.75" customHeight="1">
      <c r="A1152" s="159" t="s">
        <v>9275</v>
      </c>
      <c r="B1152" s="159" t="s">
        <v>9595</v>
      </c>
      <c r="C1152" s="159" t="s">
        <v>10287</v>
      </c>
      <c r="D1152" s="159" t="s">
        <v>484</v>
      </c>
      <c r="E1152" s="159">
        <v>10</v>
      </c>
      <c r="F1152" s="159" t="s">
        <v>5665</v>
      </c>
      <c r="G1152" s="159" t="s">
        <v>10237</v>
      </c>
    </row>
    <row r="1153" spans="1:7" ht="15.75" customHeight="1">
      <c r="A1153" s="159" t="s">
        <v>9275</v>
      </c>
      <c r="B1153" s="159" t="s">
        <v>9596</v>
      </c>
      <c r="C1153" s="159" t="s">
        <v>10735</v>
      </c>
      <c r="D1153" s="159" t="s">
        <v>484</v>
      </c>
      <c r="E1153" s="159">
        <v>10</v>
      </c>
      <c r="F1153" s="159" t="s">
        <v>5665</v>
      </c>
      <c r="G1153" s="159" t="s">
        <v>10736</v>
      </c>
    </row>
    <row r="1154" spans="1:7" ht="15.75" customHeight="1">
      <c r="A1154" s="159" t="s">
        <v>9275</v>
      </c>
      <c r="B1154" s="159" t="s">
        <v>9596</v>
      </c>
      <c r="C1154" s="159" t="s">
        <v>10882</v>
      </c>
      <c r="D1154" s="159" t="s">
        <v>978</v>
      </c>
      <c r="E1154" s="159">
        <v>5</v>
      </c>
      <c r="F1154" s="159" t="s">
        <v>5665</v>
      </c>
      <c r="G1154" s="159" t="s">
        <v>10883</v>
      </c>
    </row>
    <row r="1155" spans="1:7" ht="15.75" customHeight="1">
      <c r="A1155" s="159" t="s">
        <v>9275</v>
      </c>
      <c r="B1155" s="159" t="s">
        <v>9598</v>
      </c>
      <c r="C1155" s="159" t="s">
        <v>10285</v>
      </c>
      <c r="D1155" s="159" t="s">
        <v>484</v>
      </c>
      <c r="E1155" s="159">
        <v>10</v>
      </c>
      <c r="F1155" s="159" t="s">
        <v>5665</v>
      </c>
      <c r="G1155" s="159" t="s">
        <v>10286</v>
      </c>
    </row>
    <row r="1156" spans="1:7" ht="15.75" customHeight="1">
      <c r="A1156" s="159" t="s">
        <v>9275</v>
      </c>
      <c r="B1156" s="159" t="s">
        <v>9598</v>
      </c>
      <c r="C1156" s="159" t="s">
        <v>10287</v>
      </c>
      <c r="D1156" s="159" t="s">
        <v>484</v>
      </c>
      <c r="E1156" s="159">
        <v>10</v>
      </c>
      <c r="F1156" s="159" t="s">
        <v>5665</v>
      </c>
      <c r="G1156" s="159" t="s">
        <v>10237</v>
      </c>
    </row>
    <row r="1157" spans="1:7" ht="15.75" customHeight="1">
      <c r="A1157" s="159" t="s">
        <v>9275</v>
      </c>
      <c r="B1157" s="159" t="s">
        <v>9599</v>
      </c>
      <c r="C1157" s="159" t="s">
        <v>3897</v>
      </c>
      <c r="D1157" s="159" t="s">
        <v>484</v>
      </c>
      <c r="E1157" s="159">
        <v>10</v>
      </c>
      <c r="F1157" s="159" t="s">
        <v>5665</v>
      </c>
      <c r="G1157" s="159" t="s">
        <v>325</v>
      </c>
    </row>
    <row r="1158" spans="1:7" ht="15.75" customHeight="1">
      <c r="A1158" s="159" t="s">
        <v>9275</v>
      </c>
      <c r="B1158" s="159" t="s">
        <v>9599</v>
      </c>
      <c r="C1158" s="159" t="s">
        <v>10315</v>
      </c>
      <c r="D1158" s="159" t="s">
        <v>484</v>
      </c>
      <c r="E1158" s="159">
        <v>10</v>
      </c>
      <c r="F1158" s="159" t="s">
        <v>5665</v>
      </c>
      <c r="G1158" s="159" t="s">
        <v>11087</v>
      </c>
    </row>
    <row r="1159" spans="1:7" ht="15.75" customHeight="1">
      <c r="A1159" s="159" t="s">
        <v>9275</v>
      </c>
      <c r="B1159" s="159" t="s">
        <v>9599</v>
      </c>
      <c r="C1159" s="159" t="s">
        <v>11088</v>
      </c>
      <c r="D1159" s="159" t="s">
        <v>484</v>
      </c>
      <c r="E1159" s="159">
        <v>10</v>
      </c>
      <c r="F1159" s="159" t="s">
        <v>5665</v>
      </c>
      <c r="G1159" s="159" t="s">
        <v>11089</v>
      </c>
    </row>
    <row r="1160" spans="1:7" ht="15.75" customHeight="1">
      <c r="A1160" s="159" t="s">
        <v>9275</v>
      </c>
      <c r="B1160" s="159" t="s">
        <v>9601</v>
      </c>
      <c r="C1160" s="159" t="s">
        <v>11090</v>
      </c>
      <c r="D1160" s="159" t="s">
        <v>484</v>
      </c>
      <c r="E1160" s="159">
        <v>10</v>
      </c>
      <c r="F1160" s="159" t="s">
        <v>5665</v>
      </c>
      <c r="G1160" s="159" t="s">
        <v>11091</v>
      </c>
    </row>
    <row r="1161" spans="1:7" ht="15.75" customHeight="1">
      <c r="A1161" s="159" t="s">
        <v>9275</v>
      </c>
      <c r="B1161" s="159" t="s">
        <v>9601</v>
      </c>
      <c r="C1161" s="159" t="s">
        <v>156</v>
      </c>
      <c r="D1161" s="159" t="s">
        <v>477</v>
      </c>
      <c r="E1161" s="159">
        <v>255</v>
      </c>
      <c r="F1161" s="159" t="s">
        <v>5667</v>
      </c>
      <c r="G1161" s="159" t="s">
        <v>4306</v>
      </c>
    </row>
    <row r="1162" spans="1:7" ht="15.75" customHeight="1">
      <c r="A1162" s="159" t="s">
        <v>9275</v>
      </c>
      <c r="B1162" s="159" t="s">
        <v>9601</v>
      </c>
      <c r="C1162" s="159" t="s">
        <v>10305</v>
      </c>
      <c r="D1162" s="159" t="s">
        <v>3893</v>
      </c>
      <c r="E1162" s="159">
        <v>65535</v>
      </c>
      <c r="F1162" s="159" t="s">
        <v>5667</v>
      </c>
      <c r="G1162" s="159" t="s">
        <v>10306</v>
      </c>
    </row>
    <row r="1163" spans="1:7" ht="15.75" customHeight="1">
      <c r="A1163" s="159" t="s">
        <v>9275</v>
      </c>
      <c r="B1163" s="159" t="s">
        <v>9601</v>
      </c>
      <c r="C1163" s="159" t="s">
        <v>11092</v>
      </c>
      <c r="D1163" s="159" t="s">
        <v>477</v>
      </c>
      <c r="E1163" s="159">
        <v>25</v>
      </c>
      <c r="F1163" s="159" t="s">
        <v>5667</v>
      </c>
      <c r="G1163" s="159" t="s">
        <v>11093</v>
      </c>
    </row>
    <row r="1164" spans="1:7" ht="15.75" customHeight="1">
      <c r="A1164" s="159" t="s">
        <v>9275</v>
      </c>
      <c r="B1164" s="159" t="s">
        <v>9601</v>
      </c>
      <c r="C1164" s="159" t="s">
        <v>11094</v>
      </c>
      <c r="D1164" s="159" t="s">
        <v>3893</v>
      </c>
      <c r="E1164" s="159">
        <v>65535</v>
      </c>
      <c r="F1164" s="159" t="s">
        <v>5667</v>
      </c>
      <c r="G1164" s="159" t="s">
        <v>11095</v>
      </c>
    </row>
    <row r="1165" spans="1:7" ht="15.75" customHeight="1">
      <c r="A1165" s="159" t="s">
        <v>9275</v>
      </c>
      <c r="B1165" s="159" t="s">
        <v>9601</v>
      </c>
      <c r="C1165" s="159" t="s">
        <v>10211</v>
      </c>
      <c r="D1165" s="159" t="s">
        <v>978</v>
      </c>
      <c r="E1165" s="159">
        <v>5</v>
      </c>
      <c r="F1165" s="159" t="s">
        <v>5665</v>
      </c>
      <c r="G1165" s="159" t="s">
        <v>10587</v>
      </c>
    </row>
    <row r="1166" spans="1:7" ht="15.75" customHeight="1">
      <c r="A1166" s="159" t="s">
        <v>9275</v>
      </c>
      <c r="B1166" s="159" t="s">
        <v>9601</v>
      </c>
      <c r="C1166" s="159" t="s">
        <v>11096</v>
      </c>
      <c r="D1166" s="159" t="s">
        <v>978</v>
      </c>
      <c r="E1166" s="159">
        <v>5</v>
      </c>
      <c r="F1166" s="159" t="s">
        <v>5665</v>
      </c>
      <c r="G1166" s="159" t="s">
        <v>11097</v>
      </c>
    </row>
    <row r="1167" spans="1:7" ht="15.75" customHeight="1">
      <c r="A1167" s="159" t="s">
        <v>9275</v>
      </c>
      <c r="B1167" s="159" t="s">
        <v>9601</v>
      </c>
      <c r="C1167" s="159" t="s">
        <v>11098</v>
      </c>
      <c r="D1167" s="159" t="s">
        <v>978</v>
      </c>
      <c r="E1167" s="159">
        <v>5</v>
      </c>
      <c r="F1167" s="159" t="s">
        <v>5665</v>
      </c>
      <c r="G1167" s="159" t="s">
        <v>11099</v>
      </c>
    </row>
    <row r="1168" spans="1:7" ht="15.75" customHeight="1">
      <c r="A1168" s="159" t="s">
        <v>9275</v>
      </c>
      <c r="B1168" s="159" t="s">
        <v>9603</v>
      </c>
      <c r="C1168" s="159" t="s">
        <v>11090</v>
      </c>
      <c r="D1168" s="159" t="s">
        <v>484</v>
      </c>
      <c r="E1168" s="159">
        <v>10</v>
      </c>
      <c r="F1168" s="159" t="s">
        <v>5665</v>
      </c>
      <c r="G1168" s="159" t="s">
        <v>11091</v>
      </c>
    </row>
    <row r="1169" spans="1:7" ht="15.75" customHeight="1">
      <c r="A1169" s="159" t="s">
        <v>9275</v>
      </c>
      <c r="B1169" s="159" t="s">
        <v>9603</v>
      </c>
      <c r="C1169" s="159" t="s">
        <v>10290</v>
      </c>
      <c r="D1169" s="159" t="s">
        <v>978</v>
      </c>
      <c r="E1169" s="159">
        <v>5</v>
      </c>
      <c r="F1169" s="159" t="s">
        <v>5665</v>
      </c>
      <c r="G1169" s="159" t="s">
        <v>10507</v>
      </c>
    </row>
    <row r="1170" spans="1:7" ht="15.75" customHeight="1">
      <c r="A1170" s="159" t="s">
        <v>9275</v>
      </c>
      <c r="B1170" s="159" t="s">
        <v>9605</v>
      </c>
      <c r="C1170" s="159" t="s">
        <v>11100</v>
      </c>
      <c r="D1170" s="159" t="s">
        <v>978</v>
      </c>
      <c r="E1170" s="159">
        <v>5</v>
      </c>
      <c r="F1170" s="159" t="s">
        <v>5665</v>
      </c>
      <c r="G1170" s="159" t="s">
        <v>10237</v>
      </c>
    </row>
    <row r="1171" spans="1:7" ht="15.75" customHeight="1">
      <c r="A1171" s="159" t="s">
        <v>9275</v>
      </c>
      <c r="B1171" s="159" t="s">
        <v>9605</v>
      </c>
      <c r="C1171" s="159" t="s">
        <v>5676</v>
      </c>
      <c r="D1171" s="159" t="s">
        <v>477</v>
      </c>
      <c r="E1171" s="159">
        <v>255</v>
      </c>
      <c r="F1171" s="159" t="s">
        <v>5665</v>
      </c>
      <c r="G1171" s="159" t="s">
        <v>11101</v>
      </c>
    </row>
    <row r="1172" spans="1:7" ht="15.75" customHeight="1">
      <c r="A1172" s="159" t="s">
        <v>9275</v>
      </c>
      <c r="B1172" s="159" t="s">
        <v>9605</v>
      </c>
      <c r="C1172" s="159" t="s">
        <v>11102</v>
      </c>
      <c r="D1172" s="159" t="s">
        <v>477</v>
      </c>
      <c r="E1172" s="159">
        <v>255</v>
      </c>
      <c r="F1172" s="159" t="s">
        <v>5665</v>
      </c>
      <c r="G1172" s="159" t="s">
        <v>11103</v>
      </c>
    </row>
    <row r="1173" spans="1:7" ht="15.75" customHeight="1">
      <c r="A1173" s="159" t="s">
        <v>9275</v>
      </c>
      <c r="B1173" s="159" t="s">
        <v>9605</v>
      </c>
      <c r="C1173" s="159" t="s">
        <v>10305</v>
      </c>
      <c r="D1173" s="159" t="s">
        <v>10334</v>
      </c>
      <c r="E1173" s="159">
        <v>16777215</v>
      </c>
      <c r="F1173" s="159" t="s">
        <v>5667</v>
      </c>
      <c r="G1173" s="159" t="s">
        <v>11104</v>
      </c>
    </row>
    <row r="1174" spans="1:7" ht="15.75" customHeight="1">
      <c r="A1174" s="159" t="s">
        <v>9275</v>
      </c>
      <c r="B1174" s="159" t="s">
        <v>9605</v>
      </c>
      <c r="C1174" s="159" t="s">
        <v>11105</v>
      </c>
      <c r="D1174" s="159" t="s">
        <v>1413</v>
      </c>
      <c r="E1174" s="159"/>
      <c r="F1174" s="159" t="s">
        <v>5665</v>
      </c>
      <c r="G1174" s="159" t="s">
        <v>11106</v>
      </c>
    </row>
    <row r="1175" spans="1:7" ht="15.75" customHeight="1">
      <c r="A1175" s="159" t="s">
        <v>9275</v>
      </c>
      <c r="B1175" s="159" t="s">
        <v>9605</v>
      </c>
      <c r="C1175" s="159" t="s">
        <v>10800</v>
      </c>
      <c r="D1175" s="159" t="s">
        <v>1413</v>
      </c>
      <c r="E1175" s="159"/>
      <c r="F1175" s="159" t="s">
        <v>5665</v>
      </c>
      <c r="G1175" s="159" t="s">
        <v>11107</v>
      </c>
    </row>
    <row r="1176" spans="1:7" ht="15.75" customHeight="1">
      <c r="A1176" s="159" t="s">
        <v>9275</v>
      </c>
      <c r="B1176" s="159" t="s">
        <v>9605</v>
      </c>
      <c r="C1176" s="159" t="s">
        <v>10211</v>
      </c>
      <c r="D1176" s="159" t="s">
        <v>978</v>
      </c>
      <c r="E1176" s="159">
        <v>5</v>
      </c>
      <c r="F1176" s="159" t="s">
        <v>5665</v>
      </c>
      <c r="G1176" s="159" t="s">
        <v>11108</v>
      </c>
    </row>
    <row r="1177" spans="1:7" ht="15.75" customHeight="1">
      <c r="A1177" s="159" t="s">
        <v>9275</v>
      </c>
      <c r="B1177" s="159" t="s">
        <v>9607</v>
      </c>
      <c r="C1177" s="159" t="s">
        <v>11100</v>
      </c>
      <c r="D1177" s="159" t="s">
        <v>978</v>
      </c>
      <c r="E1177" s="159">
        <v>5</v>
      </c>
      <c r="F1177" s="159" t="s">
        <v>5665</v>
      </c>
      <c r="G1177" s="159"/>
    </row>
    <row r="1178" spans="1:7" ht="15.75" customHeight="1">
      <c r="A1178" s="159" t="s">
        <v>9275</v>
      </c>
      <c r="B1178" s="159" t="s">
        <v>9607</v>
      </c>
      <c r="C1178" s="159" t="s">
        <v>10290</v>
      </c>
      <c r="D1178" s="159" t="s">
        <v>978</v>
      </c>
      <c r="E1178" s="159">
        <v>5</v>
      </c>
      <c r="F1178" s="159" t="s">
        <v>5665</v>
      </c>
      <c r="G1178" s="159" t="s">
        <v>10507</v>
      </c>
    </row>
    <row r="1179" spans="1:7" ht="15.75" customHeight="1">
      <c r="A1179" s="159" t="s">
        <v>9275</v>
      </c>
      <c r="B1179" s="159" t="s">
        <v>9609</v>
      </c>
      <c r="C1179" s="159" t="s">
        <v>10393</v>
      </c>
      <c r="D1179" s="159" t="s">
        <v>978</v>
      </c>
      <c r="E1179" s="159">
        <v>5</v>
      </c>
      <c r="F1179" s="159" t="s">
        <v>5665</v>
      </c>
      <c r="G1179" s="159" t="s">
        <v>10237</v>
      </c>
    </row>
    <row r="1180" spans="1:7" ht="15.75" customHeight="1">
      <c r="A1180" s="159" t="s">
        <v>9275</v>
      </c>
      <c r="B1180" s="159" t="s">
        <v>9609</v>
      </c>
      <c r="C1180" s="159" t="s">
        <v>5676</v>
      </c>
      <c r="D1180" s="159" t="s">
        <v>477</v>
      </c>
      <c r="E1180" s="159">
        <v>255</v>
      </c>
      <c r="F1180" s="159" t="s">
        <v>5667</v>
      </c>
      <c r="G1180" s="159" t="s">
        <v>11109</v>
      </c>
    </row>
    <row r="1181" spans="1:7" ht="15.75" customHeight="1">
      <c r="A1181" s="159" t="s">
        <v>9275</v>
      </c>
      <c r="B1181" s="159" t="s">
        <v>9609</v>
      </c>
      <c r="C1181" s="159" t="s">
        <v>11110</v>
      </c>
      <c r="D1181" s="159" t="s">
        <v>477</v>
      </c>
      <c r="E1181" s="159">
        <v>255</v>
      </c>
      <c r="F1181" s="159" t="s">
        <v>5667</v>
      </c>
      <c r="G1181" s="159" t="s">
        <v>11111</v>
      </c>
    </row>
    <row r="1182" spans="1:7" ht="15.75" customHeight="1">
      <c r="A1182" s="159" t="s">
        <v>9275</v>
      </c>
      <c r="B1182" s="159" t="s">
        <v>9609</v>
      </c>
      <c r="C1182" s="159" t="s">
        <v>10303</v>
      </c>
      <c r="D1182" s="159" t="s">
        <v>3893</v>
      </c>
      <c r="E1182" s="159">
        <v>65535</v>
      </c>
      <c r="F1182" s="159" t="s">
        <v>5667</v>
      </c>
      <c r="G1182" s="159" t="s">
        <v>10497</v>
      </c>
    </row>
    <row r="1183" spans="1:7" ht="15.75" customHeight="1">
      <c r="A1183" s="159" t="s">
        <v>9275</v>
      </c>
      <c r="B1183" s="159" t="s">
        <v>9609</v>
      </c>
      <c r="C1183" s="159" t="s">
        <v>10301</v>
      </c>
      <c r="D1183" s="159" t="s">
        <v>3893</v>
      </c>
      <c r="E1183" s="159">
        <v>65535</v>
      </c>
      <c r="F1183" s="159" t="s">
        <v>5667</v>
      </c>
      <c r="G1183" s="159" t="s">
        <v>10498</v>
      </c>
    </row>
    <row r="1184" spans="1:7" ht="15.75" customHeight="1">
      <c r="A1184" s="159" t="s">
        <v>9275</v>
      </c>
      <c r="B1184" s="159" t="s">
        <v>9609</v>
      </c>
      <c r="C1184" s="159" t="s">
        <v>11102</v>
      </c>
      <c r="D1184" s="159" t="s">
        <v>477</v>
      </c>
      <c r="E1184" s="159">
        <v>100</v>
      </c>
      <c r="F1184" s="159" t="s">
        <v>5667</v>
      </c>
      <c r="G1184" s="159" t="s">
        <v>11112</v>
      </c>
    </row>
    <row r="1185" spans="1:7" ht="15.75" customHeight="1">
      <c r="A1185" s="159" t="s">
        <v>9275</v>
      </c>
      <c r="B1185" s="159" t="s">
        <v>9609</v>
      </c>
      <c r="C1185" s="159" t="s">
        <v>11113</v>
      </c>
      <c r="D1185" s="159" t="s">
        <v>477</v>
      </c>
      <c r="E1185" s="159">
        <v>255</v>
      </c>
      <c r="F1185" s="159" t="s">
        <v>5667</v>
      </c>
      <c r="G1185" s="159" t="s">
        <v>11114</v>
      </c>
    </row>
    <row r="1186" spans="1:7" ht="15.75" customHeight="1">
      <c r="A1186" s="159" t="s">
        <v>9275</v>
      </c>
      <c r="B1186" s="159" t="s">
        <v>9609</v>
      </c>
      <c r="C1186" s="159" t="s">
        <v>10305</v>
      </c>
      <c r="D1186" s="159" t="s">
        <v>10334</v>
      </c>
      <c r="E1186" s="159">
        <v>16777215</v>
      </c>
      <c r="F1186" s="159" t="s">
        <v>5667</v>
      </c>
      <c r="G1186" s="159" t="s">
        <v>11115</v>
      </c>
    </row>
    <row r="1187" spans="1:7" ht="15.75" customHeight="1">
      <c r="A1187" s="159" t="s">
        <v>9275</v>
      </c>
      <c r="B1187" s="159" t="s">
        <v>9609</v>
      </c>
      <c r="C1187" s="159" t="s">
        <v>11105</v>
      </c>
      <c r="D1187" s="159" t="s">
        <v>1413</v>
      </c>
      <c r="E1187" s="159"/>
      <c r="F1187" s="159" t="s">
        <v>5665</v>
      </c>
      <c r="G1187" s="159" t="s">
        <v>11116</v>
      </c>
    </row>
    <row r="1188" spans="1:7" ht="15.75" customHeight="1">
      <c r="A1188" s="159" t="s">
        <v>9275</v>
      </c>
      <c r="B1188" s="159" t="s">
        <v>9609</v>
      </c>
      <c r="C1188" s="159" t="s">
        <v>10800</v>
      </c>
      <c r="D1188" s="159" t="s">
        <v>1413</v>
      </c>
      <c r="E1188" s="159"/>
      <c r="F1188" s="159" t="s">
        <v>5665</v>
      </c>
      <c r="G1188" s="159" t="s">
        <v>11117</v>
      </c>
    </row>
    <row r="1189" spans="1:7" ht="15.75" customHeight="1">
      <c r="A1189" s="159" t="s">
        <v>9275</v>
      </c>
      <c r="B1189" s="159" t="s">
        <v>9609</v>
      </c>
      <c r="C1189" s="159" t="s">
        <v>10211</v>
      </c>
      <c r="D1189" s="159" t="s">
        <v>978</v>
      </c>
      <c r="E1189" s="159">
        <v>5</v>
      </c>
      <c r="F1189" s="159" t="s">
        <v>5665</v>
      </c>
      <c r="G1189" s="159" t="s">
        <v>11118</v>
      </c>
    </row>
    <row r="1190" spans="1:7" ht="15.75" customHeight="1">
      <c r="A1190" s="159" t="s">
        <v>9275</v>
      </c>
      <c r="B1190" s="159" t="s">
        <v>9609</v>
      </c>
      <c r="C1190" s="159" t="s">
        <v>10469</v>
      </c>
      <c r="D1190" s="159" t="s">
        <v>978</v>
      </c>
      <c r="E1190" s="159">
        <v>5</v>
      </c>
      <c r="F1190" s="159" t="s">
        <v>5665</v>
      </c>
      <c r="G1190" s="159" t="s">
        <v>11119</v>
      </c>
    </row>
    <row r="1191" spans="1:7" ht="15.75" customHeight="1">
      <c r="A1191" s="159" t="s">
        <v>9275</v>
      </c>
      <c r="B1191" s="159" t="s">
        <v>9609</v>
      </c>
      <c r="C1191" s="159" t="s">
        <v>11120</v>
      </c>
      <c r="D1191" s="159" t="s">
        <v>3893</v>
      </c>
      <c r="E1191" s="159">
        <v>65535</v>
      </c>
      <c r="F1191" s="159" t="s">
        <v>5667</v>
      </c>
      <c r="G1191" s="159" t="s">
        <v>11121</v>
      </c>
    </row>
    <row r="1192" spans="1:7" ht="15.75" customHeight="1">
      <c r="A1192" s="159" t="s">
        <v>9275</v>
      </c>
      <c r="B1192" s="159" t="s">
        <v>9609</v>
      </c>
      <c r="C1192" s="159" t="s">
        <v>11122</v>
      </c>
      <c r="D1192" s="159" t="s">
        <v>477</v>
      </c>
      <c r="E1192" s="159">
        <v>100</v>
      </c>
      <c r="F1192" s="159" t="s">
        <v>5667</v>
      </c>
      <c r="G1192" s="159" t="s">
        <v>11123</v>
      </c>
    </row>
    <row r="1193" spans="1:7" ht="15.75" customHeight="1">
      <c r="A1193" s="159" t="s">
        <v>9275</v>
      </c>
      <c r="B1193" s="159" t="s">
        <v>9609</v>
      </c>
      <c r="C1193" s="159" t="s">
        <v>11124</v>
      </c>
      <c r="D1193" s="159" t="s">
        <v>477</v>
      </c>
      <c r="E1193" s="159">
        <v>255</v>
      </c>
      <c r="F1193" s="159" t="s">
        <v>5667</v>
      </c>
      <c r="G1193" s="159" t="s">
        <v>11125</v>
      </c>
    </row>
    <row r="1194" spans="1:7" ht="15.75" customHeight="1">
      <c r="A1194" s="159" t="s">
        <v>9275</v>
      </c>
      <c r="B1194" s="159" t="s">
        <v>9609</v>
      </c>
      <c r="C1194" s="159" t="s">
        <v>11126</v>
      </c>
      <c r="D1194" s="159" t="s">
        <v>3893</v>
      </c>
      <c r="E1194" s="159">
        <v>65535</v>
      </c>
      <c r="F1194" s="159" t="s">
        <v>5667</v>
      </c>
      <c r="G1194" s="159" t="s">
        <v>11127</v>
      </c>
    </row>
    <row r="1195" spans="1:7" ht="15.75" customHeight="1">
      <c r="A1195" s="159" t="s">
        <v>9275</v>
      </c>
      <c r="B1195" s="159" t="s">
        <v>9609</v>
      </c>
      <c r="C1195" s="159" t="s">
        <v>11128</v>
      </c>
      <c r="D1195" s="159" t="s">
        <v>477</v>
      </c>
      <c r="E1195" s="159">
        <v>128</v>
      </c>
      <c r="F1195" s="159" t="s">
        <v>5667</v>
      </c>
      <c r="G1195" s="159" t="s">
        <v>11129</v>
      </c>
    </row>
    <row r="1196" spans="1:7" ht="15.75" customHeight="1">
      <c r="A1196" s="159" t="s">
        <v>9275</v>
      </c>
      <c r="B1196" s="159" t="s">
        <v>9609</v>
      </c>
      <c r="C1196" s="159" t="s">
        <v>11130</v>
      </c>
      <c r="D1196" s="159" t="s">
        <v>1974</v>
      </c>
      <c r="E1196" s="159"/>
      <c r="F1196" s="159" t="s">
        <v>5667</v>
      </c>
      <c r="G1196" s="159" t="s">
        <v>11131</v>
      </c>
    </row>
    <row r="1197" spans="1:7" ht="15.75" customHeight="1">
      <c r="A1197" s="159" t="s">
        <v>9275</v>
      </c>
      <c r="B1197" s="159" t="s">
        <v>9609</v>
      </c>
      <c r="C1197" s="159" t="s">
        <v>11132</v>
      </c>
      <c r="D1197" s="159" t="s">
        <v>1974</v>
      </c>
      <c r="E1197" s="159"/>
      <c r="F1197" s="159" t="s">
        <v>5667</v>
      </c>
      <c r="G1197" s="159" t="s">
        <v>11133</v>
      </c>
    </row>
    <row r="1198" spans="1:7" ht="15.75" customHeight="1">
      <c r="A1198" s="159" t="s">
        <v>9275</v>
      </c>
      <c r="B1198" s="159" t="s">
        <v>9609</v>
      </c>
      <c r="C1198" s="159" t="s">
        <v>10299</v>
      </c>
      <c r="D1198" s="159" t="s">
        <v>477</v>
      </c>
      <c r="E1198" s="159">
        <v>255</v>
      </c>
      <c r="F1198" s="159" t="s">
        <v>5667</v>
      </c>
      <c r="G1198" s="159" t="s">
        <v>11134</v>
      </c>
    </row>
    <row r="1199" spans="1:7" ht="15.75" customHeight="1">
      <c r="A1199" s="159" t="s">
        <v>9275</v>
      </c>
      <c r="B1199" s="159" t="s">
        <v>9611</v>
      </c>
      <c r="C1199" s="159" t="s">
        <v>10393</v>
      </c>
      <c r="D1199" s="159" t="s">
        <v>978</v>
      </c>
      <c r="E1199" s="159">
        <v>5</v>
      </c>
      <c r="F1199" s="159" t="s">
        <v>5665</v>
      </c>
      <c r="G1199" s="159" t="s">
        <v>10237</v>
      </c>
    </row>
    <row r="1200" spans="1:7" ht="15.75" customHeight="1">
      <c r="A1200" s="159" t="s">
        <v>9275</v>
      </c>
      <c r="B1200" s="159" t="s">
        <v>9611</v>
      </c>
      <c r="C1200" s="159" t="s">
        <v>10290</v>
      </c>
      <c r="D1200" s="159" t="s">
        <v>978</v>
      </c>
      <c r="E1200" s="159">
        <v>5</v>
      </c>
      <c r="F1200" s="159" t="s">
        <v>5665</v>
      </c>
      <c r="G1200" s="159" t="s">
        <v>10507</v>
      </c>
    </row>
    <row r="1201" spans="1:7" ht="15.75" customHeight="1">
      <c r="A1201" s="159" t="s">
        <v>9275</v>
      </c>
      <c r="B1201" s="159" t="s">
        <v>9613</v>
      </c>
      <c r="C1201" s="159" t="s">
        <v>11135</v>
      </c>
      <c r="D1201" s="159" t="s">
        <v>484</v>
      </c>
      <c r="E1201" s="159">
        <v>10</v>
      </c>
      <c r="F1201" s="159" t="s">
        <v>5665</v>
      </c>
      <c r="G1201" s="159" t="s">
        <v>11136</v>
      </c>
    </row>
    <row r="1202" spans="1:7" ht="15.75" customHeight="1">
      <c r="A1202" s="159" t="s">
        <v>9275</v>
      </c>
      <c r="B1202" s="159" t="s">
        <v>9613</v>
      </c>
      <c r="C1202" s="159" t="s">
        <v>11137</v>
      </c>
      <c r="D1202" s="159" t="s">
        <v>477</v>
      </c>
      <c r="E1202" s="159">
        <v>8</v>
      </c>
      <c r="F1202" s="159" t="s">
        <v>5665</v>
      </c>
      <c r="G1202" s="159" t="s">
        <v>11138</v>
      </c>
    </row>
    <row r="1203" spans="1:7" ht="15.75" customHeight="1">
      <c r="A1203" s="159" t="s">
        <v>9275</v>
      </c>
      <c r="B1203" s="159" t="s">
        <v>9613</v>
      </c>
      <c r="C1203" s="159" t="s">
        <v>11139</v>
      </c>
      <c r="D1203" s="159" t="s">
        <v>484</v>
      </c>
      <c r="E1203" s="159">
        <v>10</v>
      </c>
      <c r="F1203" s="159" t="s">
        <v>5665</v>
      </c>
      <c r="G1203" s="159" t="s">
        <v>11140</v>
      </c>
    </row>
    <row r="1204" spans="1:7" ht="15.75" customHeight="1">
      <c r="A1204" s="159" t="s">
        <v>9275</v>
      </c>
      <c r="B1204" s="159" t="s">
        <v>9613</v>
      </c>
      <c r="C1204" s="159" t="s">
        <v>10811</v>
      </c>
      <c r="D1204" s="159" t="s">
        <v>477</v>
      </c>
      <c r="E1204" s="159">
        <v>255</v>
      </c>
      <c r="F1204" s="159" t="s">
        <v>5665</v>
      </c>
      <c r="G1204" s="159" t="s">
        <v>11141</v>
      </c>
    </row>
    <row r="1205" spans="1:7" ht="15.75" customHeight="1">
      <c r="A1205" s="159" t="s">
        <v>9275</v>
      </c>
      <c r="B1205" s="159" t="s">
        <v>9613</v>
      </c>
      <c r="C1205" s="159" t="s">
        <v>10471</v>
      </c>
      <c r="D1205" s="159" t="s">
        <v>3893</v>
      </c>
      <c r="E1205" s="159">
        <v>65535</v>
      </c>
      <c r="F1205" s="159" t="s">
        <v>5667</v>
      </c>
      <c r="G1205" s="159" t="s">
        <v>11142</v>
      </c>
    </row>
    <row r="1206" spans="1:7" ht="15.75" customHeight="1">
      <c r="A1206" s="159" t="s">
        <v>9275</v>
      </c>
      <c r="B1206" s="159" t="s">
        <v>9613</v>
      </c>
      <c r="C1206" s="159" t="s">
        <v>10242</v>
      </c>
      <c r="D1206" s="159" t="s">
        <v>1413</v>
      </c>
      <c r="E1206" s="159"/>
      <c r="F1206" s="159" t="s">
        <v>5665</v>
      </c>
      <c r="G1206" s="159" t="s">
        <v>10282</v>
      </c>
    </row>
    <row r="1207" spans="1:7" ht="15.75" customHeight="1">
      <c r="A1207" s="159" t="s">
        <v>9275</v>
      </c>
      <c r="B1207" s="159" t="s">
        <v>9615</v>
      </c>
      <c r="C1207" s="159" t="s">
        <v>11143</v>
      </c>
      <c r="D1207" s="159" t="s">
        <v>484</v>
      </c>
      <c r="E1207" s="159">
        <v>10</v>
      </c>
      <c r="F1207" s="159" t="s">
        <v>5665</v>
      </c>
      <c r="G1207" s="159" t="s">
        <v>11144</v>
      </c>
    </row>
    <row r="1208" spans="1:7" ht="15.75" customHeight="1">
      <c r="A1208" s="159" t="s">
        <v>9275</v>
      </c>
      <c r="B1208" s="159" t="s">
        <v>9615</v>
      </c>
      <c r="C1208" s="159" t="s">
        <v>11145</v>
      </c>
      <c r="D1208" s="159" t="s">
        <v>477</v>
      </c>
      <c r="E1208" s="159">
        <v>255</v>
      </c>
      <c r="F1208" s="159" t="s">
        <v>5665</v>
      </c>
      <c r="G1208" s="159" t="s">
        <v>11146</v>
      </c>
    </row>
    <row r="1209" spans="1:7" ht="15.75" customHeight="1">
      <c r="A1209" s="159" t="s">
        <v>9275</v>
      </c>
      <c r="B1209" s="159" t="s">
        <v>9615</v>
      </c>
      <c r="C1209" s="159" t="s">
        <v>1419</v>
      </c>
      <c r="D1209" s="159" t="s">
        <v>477</v>
      </c>
      <c r="E1209" s="159">
        <v>7</v>
      </c>
      <c r="F1209" s="159" t="s">
        <v>5665</v>
      </c>
      <c r="G1209" s="159" t="s">
        <v>811</v>
      </c>
    </row>
    <row r="1210" spans="1:7" ht="15.75" customHeight="1">
      <c r="A1210" s="159" t="s">
        <v>9275</v>
      </c>
      <c r="B1210" s="159" t="s">
        <v>9615</v>
      </c>
      <c r="C1210" s="159" t="s">
        <v>11147</v>
      </c>
      <c r="D1210" s="159" t="s">
        <v>3893</v>
      </c>
      <c r="E1210" s="159">
        <v>65535</v>
      </c>
      <c r="F1210" s="159" t="s">
        <v>5667</v>
      </c>
      <c r="G1210" s="159" t="s">
        <v>11148</v>
      </c>
    </row>
    <row r="1211" spans="1:7" ht="15.75" customHeight="1">
      <c r="A1211" s="159" t="s">
        <v>9275</v>
      </c>
      <c r="B1211" s="159" t="s">
        <v>9615</v>
      </c>
      <c r="C1211" s="159" t="s">
        <v>10190</v>
      </c>
      <c r="D1211" s="159" t="s">
        <v>1413</v>
      </c>
      <c r="E1211" s="159"/>
      <c r="F1211" s="159" t="s">
        <v>5665</v>
      </c>
      <c r="G1211" s="159" t="s">
        <v>10281</v>
      </c>
    </row>
    <row r="1212" spans="1:7" ht="15.75" customHeight="1">
      <c r="A1212" s="159" t="s">
        <v>9275</v>
      </c>
      <c r="B1212" s="159" t="s">
        <v>9615</v>
      </c>
      <c r="C1212" s="159" t="s">
        <v>11149</v>
      </c>
      <c r="D1212" s="159" t="s">
        <v>1413</v>
      </c>
      <c r="E1212" s="159"/>
      <c r="F1212" s="159" t="s">
        <v>5667</v>
      </c>
      <c r="G1212" s="159" t="s">
        <v>11150</v>
      </c>
    </row>
    <row r="1213" spans="1:7" ht="15.75" customHeight="1">
      <c r="A1213" s="159" t="s">
        <v>9275</v>
      </c>
      <c r="B1213" s="159" t="s">
        <v>9615</v>
      </c>
      <c r="C1213" s="159" t="s">
        <v>11151</v>
      </c>
      <c r="D1213" s="159" t="s">
        <v>1413</v>
      </c>
      <c r="E1213" s="159"/>
      <c r="F1213" s="159" t="s">
        <v>5667</v>
      </c>
      <c r="G1213" s="159" t="s">
        <v>11152</v>
      </c>
    </row>
    <row r="1214" spans="1:7" ht="15.75" customHeight="1">
      <c r="A1214" s="159" t="s">
        <v>9275</v>
      </c>
      <c r="B1214" s="159" t="s">
        <v>9615</v>
      </c>
      <c r="C1214" s="159" t="s">
        <v>11153</v>
      </c>
      <c r="D1214" s="159" t="s">
        <v>1413</v>
      </c>
      <c r="E1214" s="159"/>
      <c r="F1214" s="159" t="s">
        <v>5667</v>
      </c>
      <c r="G1214" s="159" t="s">
        <v>11154</v>
      </c>
    </row>
    <row r="1215" spans="1:7" ht="15.75" customHeight="1">
      <c r="A1215" s="159" t="s">
        <v>9275</v>
      </c>
      <c r="B1215" s="159" t="s">
        <v>9617</v>
      </c>
      <c r="C1215" s="159" t="s">
        <v>10287</v>
      </c>
      <c r="D1215" s="159" t="s">
        <v>484</v>
      </c>
      <c r="E1215" s="159">
        <v>10</v>
      </c>
      <c r="F1215" s="159" t="s">
        <v>5665</v>
      </c>
      <c r="G1215" s="159" t="s">
        <v>10237</v>
      </c>
    </row>
    <row r="1216" spans="1:7" ht="15.75" customHeight="1">
      <c r="A1216" s="159" t="s">
        <v>9275</v>
      </c>
      <c r="B1216" s="159" t="s">
        <v>9617</v>
      </c>
      <c r="C1216" s="159" t="s">
        <v>11155</v>
      </c>
      <c r="D1216" s="159" t="s">
        <v>477</v>
      </c>
      <c r="E1216" s="159">
        <v>50</v>
      </c>
      <c r="F1216" s="159" t="s">
        <v>5667</v>
      </c>
      <c r="G1216" s="159" t="s">
        <v>11156</v>
      </c>
    </row>
    <row r="1217" spans="1:7" ht="15.75" customHeight="1">
      <c r="A1217" s="159" t="s">
        <v>9275</v>
      </c>
      <c r="B1217" s="159" t="s">
        <v>9617</v>
      </c>
      <c r="C1217" s="159" t="s">
        <v>5678</v>
      </c>
      <c r="D1217" s="159" t="s">
        <v>484</v>
      </c>
      <c r="E1217" s="159">
        <v>10</v>
      </c>
      <c r="F1217" s="159" t="s">
        <v>5667</v>
      </c>
      <c r="G1217" s="159" t="s">
        <v>10877</v>
      </c>
    </row>
    <row r="1218" spans="1:7" ht="15.75" customHeight="1">
      <c r="A1218" s="159" t="s">
        <v>9275</v>
      </c>
      <c r="B1218" s="159" t="s">
        <v>9617</v>
      </c>
      <c r="C1218" s="159" t="s">
        <v>10190</v>
      </c>
      <c r="D1218" s="159" t="s">
        <v>1413</v>
      </c>
      <c r="E1218" s="159"/>
      <c r="F1218" s="159" t="s">
        <v>5665</v>
      </c>
      <c r="G1218" s="159" t="s">
        <v>10281</v>
      </c>
    </row>
    <row r="1219" spans="1:7" ht="15.75" customHeight="1">
      <c r="A1219" s="159" t="s">
        <v>9275</v>
      </c>
      <c r="B1219" s="159" t="s">
        <v>9617</v>
      </c>
      <c r="C1219" s="159" t="s">
        <v>10242</v>
      </c>
      <c r="D1219" s="159" t="s">
        <v>1413</v>
      </c>
      <c r="E1219" s="159"/>
      <c r="F1219" s="159" t="s">
        <v>5665</v>
      </c>
      <c r="G1219" s="159" t="s">
        <v>10282</v>
      </c>
    </row>
    <row r="1220" spans="1:7" ht="15.75" customHeight="1">
      <c r="A1220" s="159" t="s">
        <v>9275</v>
      </c>
      <c r="B1220" s="159" t="s">
        <v>9617</v>
      </c>
      <c r="C1220" s="159" t="s">
        <v>10211</v>
      </c>
      <c r="D1220" s="159" t="s">
        <v>978</v>
      </c>
      <c r="E1220" s="159">
        <v>5</v>
      </c>
      <c r="F1220" s="159" t="s">
        <v>5665</v>
      </c>
      <c r="G1220" s="159" t="s">
        <v>10587</v>
      </c>
    </row>
    <row r="1221" spans="1:7" ht="15.75" customHeight="1">
      <c r="A1221" s="159" t="s">
        <v>9275</v>
      </c>
      <c r="B1221" s="159" t="s">
        <v>9617</v>
      </c>
      <c r="C1221" s="159" t="s">
        <v>3944</v>
      </c>
      <c r="D1221" s="159" t="s">
        <v>477</v>
      </c>
      <c r="E1221" s="159">
        <v>255</v>
      </c>
      <c r="F1221" s="159" t="s">
        <v>5667</v>
      </c>
      <c r="G1221" s="159" t="s">
        <v>1584</v>
      </c>
    </row>
    <row r="1222" spans="1:7" ht="15.75" customHeight="1">
      <c r="A1222" s="159" t="s">
        <v>9275</v>
      </c>
      <c r="B1222" s="159" t="s">
        <v>9617</v>
      </c>
      <c r="C1222" s="159" t="s">
        <v>8682</v>
      </c>
      <c r="D1222" s="159" t="s">
        <v>477</v>
      </c>
      <c r="E1222" s="159">
        <v>255</v>
      </c>
      <c r="F1222" s="159" t="s">
        <v>5667</v>
      </c>
      <c r="G1222" s="159" t="s">
        <v>2317</v>
      </c>
    </row>
    <row r="1223" spans="1:7" ht="15.75" customHeight="1">
      <c r="A1223" s="159" t="s">
        <v>9275</v>
      </c>
      <c r="B1223" s="159" t="s">
        <v>9617</v>
      </c>
      <c r="C1223" s="159" t="s">
        <v>3945</v>
      </c>
      <c r="D1223" s="159" t="s">
        <v>477</v>
      </c>
      <c r="E1223" s="159">
        <v>255</v>
      </c>
      <c r="F1223" s="159" t="s">
        <v>5665</v>
      </c>
      <c r="G1223" s="159" t="s">
        <v>1013</v>
      </c>
    </row>
    <row r="1224" spans="1:7" ht="15.75" customHeight="1">
      <c r="A1224" s="159" t="s">
        <v>9275</v>
      </c>
      <c r="B1224" s="159" t="s">
        <v>9617</v>
      </c>
      <c r="C1224" s="159" t="s">
        <v>3963</v>
      </c>
      <c r="D1224" s="159" t="s">
        <v>477</v>
      </c>
      <c r="E1224" s="159">
        <v>255</v>
      </c>
      <c r="F1224" s="159" t="s">
        <v>5667</v>
      </c>
      <c r="G1224" s="159" t="s">
        <v>7225</v>
      </c>
    </row>
    <row r="1225" spans="1:7" ht="15.75" customHeight="1">
      <c r="A1225" s="159" t="s">
        <v>9275</v>
      </c>
      <c r="B1225" s="159" t="s">
        <v>9617</v>
      </c>
      <c r="C1225" s="159" t="s">
        <v>10192</v>
      </c>
      <c r="D1225" s="159" t="s">
        <v>477</v>
      </c>
      <c r="E1225" s="159">
        <v>255</v>
      </c>
      <c r="F1225" s="159" t="s">
        <v>5665</v>
      </c>
      <c r="G1225" s="159" t="s">
        <v>11157</v>
      </c>
    </row>
    <row r="1226" spans="1:7" ht="15.75" customHeight="1">
      <c r="A1226" s="159" t="s">
        <v>9275</v>
      </c>
      <c r="B1226" s="159" t="s">
        <v>9617</v>
      </c>
      <c r="C1226" s="159" t="s">
        <v>10194</v>
      </c>
      <c r="D1226" s="159" t="s">
        <v>477</v>
      </c>
      <c r="E1226" s="159">
        <v>255</v>
      </c>
      <c r="F1226" s="159" t="s">
        <v>5665</v>
      </c>
      <c r="G1226" s="159" t="s">
        <v>11158</v>
      </c>
    </row>
    <row r="1227" spans="1:7" ht="15.75" customHeight="1">
      <c r="A1227" s="159" t="s">
        <v>9275</v>
      </c>
      <c r="B1227" s="159" t="s">
        <v>9617</v>
      </c>
      <c r="C1227" s="159" t="s">
        <v>11159</v>
      </c>
      <c r="D1227" s="159" t="s">
        <v>477</v>
      </c>
      <c r="E1227" s="159">
        <v>255</v>
      </c>
      <c r="F1227" s="159" t="s">
        <v>5667</v>
      </c>
      <c r="G1227" s="159" t="s">
        <v>11160</v>
      </c>
    </row>
    <row r="1228" spans="1:7" ht="15.75" customHeight="1">
      <c r="A1228" s="159" t="s">
        <v>9275</v>
      </c>
      <c r="B1228" s="159" t="s">
        <v>9617</v>
      </c>
      <c r="C1228" s="159" t="s">
        <v>3947</v>
      </c>
      <c r="D1228" s="159" t="s">
        <v>477</v>
      </c>
      <c r="E1228" s="159">
        <v>255</v>
      </c>
      <c r="F1228" s="159" t="s">
        <v>5667</v>
      </c>
      <c r="G1228" s="159" t="s">
        <v>11161</v>
      </c>
    </row>
    <row r="1229" spans="1:7" ht="15.75" customHeight="1">
      <c r="A1229" s="159" t="s">
        <v>9275</v>
      </c>
      <c r="B1229" s="159" t="s">
        <v>9617</v>
      </c>
      <c r="C1229" s="159" t="s">
        <v>11162</v>
      </c>
      <c r="D1229" s="159" t="s">
        <v>477</v>
      </c>
      <c r="E1229" s="159">
        <v>40</v>
      </c>
      <c r="F1229" s="159" t="s">
        <v>5667</v>
      </c>
      <c r="G1229" s="159" t="s">
        <v>11163</v>
      </c>
    </row>
    <row r="1230" spans="1:7" ht="15.75" customHeight="1">
      <c r="A1230" s="159" t="s">
        <v>9275</v>
      </c>
      <c r="B1230" s="159" t="s">
        <v>9617</v>
      </c>
      <c r="C1230" s="159" t="s">
        <v>3946</v>
      </c>
      <c r="D1230" s="159" t="s">
        <v>477</v>
      </c>
      <c r="E1230" s="159">
        <v>255</v>
      </c>
      <c r="F1230" s="159" t="s">
        <v>5667</v>
      </c>
      <c r="G1230" s="159" t="s">
        <v>11164</v>
      </c>
    </row>
    <row r="1231" spans="1:7" ht="15.75" customHeight="1">
      <c r="A1231" s="159" t="s">
        <v>9275</v>
      </c>
      <c r="B1231" s="159" t="s">
        <v>9617</v>
      </c>
      <c r="C1231" s="159" t="s">
        <v>11165</v>
      </c>
      <c r="D1231" s="159" t="s">
        <v>484</v>
      </c>
      <c r="E1231" s="159">
        <v>10</v>
      </c>
      <c r="F1231" s="159" t="s">
        <v>5667</v>
      </c>
      <c r="G1231" s="159" t="s">
        <v>11164</v>
      </c>
    </row>
    <row r="1232" spans="1:7" ht="15.75" customHeight="1">
      <c r="A1232" s="159" t="s">
        <v>9275</v>
      </c>
      <c r="B1232" s="159" t="s">
        <v>9617</v>
      </c>
      <c r="C1232" s="159" t="s">
        <v>3943</v>
      </c>
      <c r="D1232" s="159" t="s">
        <v>3893</v>
      </c>
      <c r="E1232" s="159">
        <v>65535</v>
      </c>
      <c r="F1232" s="159" t="s">
        <v>5665</v>
      </c>
      <c r="G1232" s="159" t="s">
        <v>11166</v>
      </c>
    </row>
    <row r="1233" spans="1:7" ht="15.75" customHeight="1">
      <c r="A1233" s="159" t="s">
        <v>9275</v>
      </c>
      <c r="B1233" s="159" t="s">
        <v>9617</v>
      </c>
      <c r="C1233" s="159" t="s">
        <v>11167</v>
      </c>
      <c r="D1233" s="159" t="s">
        <v>477</v>
      </c>
      <c r="E1233" s="159">
        <v>40</v>
      </c>
      <c r="F1233" s="159" t="s">
        <v>5667</v>
      </c>
      <c r="G1233" s="159" t="s">
        <v>11168</v>
      </c>
    </row>
    <row r="1234" spans="1:7" ht="15.75" customHeight="1">
      <c r="A1234" s="159" t="s">
        <v>9275</v>
      </c>
      <c r="B1234" s="159" t="s">
        <v>9617</v>
      </c>
      <c r="C1234" s="159" t="s">
        <v>3948</v>
      </c>
      <c r="D1234" s="159" t="s">
        <v>477</v>
      </c>
      <c r="E1234" s="159">
        <v>255</v>
      </c>
      <c r="F1234" s="159" t="s">
        <v>5665</v>
      </c>
      <c r="G1234" s="159" t="s">
        <v>10751</v>
      </c>
    </row>
    <row r="1235" spans="1:7" ht="15.75" customHeight="1">
      <c r="A1235" s="159" t="s">
        <v>9275</v>
      </c>
      <c r="B1235" s="159" t="s">
        <v>9617</v>
      </c>
      <c r="C1235" s="159" t="s">
        <v>11169</v>
      </c>
      <c r="D1235" s="159" t="s">
        <v>477</v>
      </c>
      <c r="E1235" s="159">
        <v>255</v>
      </c>
      <c r="F1235" s="159" t="s">
        <v>5667</v>
      </c>
      <c r="G1235" s="159" t="s">
        <v>11170</v>
      </c>
    </row>
    <row r="1236" spans="1:7" ht="15.75" customHeight="1">
      <c r="A1236" s="159" t="s">
        <v>9275</v>
      </c>
      <c r="B1236" s="159" t="s">
        <v>9617</v>
      </c>
      <c r="C1236" s="159" t="s">
        <v>11171</v>
      </c>
      <c r="D1236" s="159" t="s">
        <v>484</v>
      </c>
      <c r="E1236" s="159">
        <v>10</v>
      </c>
      <c r="F1236" s="159" t="s">
        <v>5667</v>
      </c>
      <c r="G1236" s="159" t="s">
        <v>11172</v>
      </c>
    </row>
    <row r="1237" spans="1:7" ht="15.75" customHeight="1">
      <c r="A1237" s="159" t="s">
        <v>9275</v>
      </c>
      <c r="B1237" s="159" t="s">
        <v>9617</v>
      </c>
      <c r="C1237" s="159" t="s">
        <v>11173</v>
      </c>
      <c r="D1237" s="159" t="s">
        <v>477</v>
      </c>
      <c r="E1237" s="159">
        <v>255</v>
      </c>
      <c r="F1237" s="159" t="s">
        <v>5667</v>
      </c>
      <c r="G1237" s="159" t="s">
        <v>11174</v>
      </c>
    </row>
    <row r="1238" spans="1:7" ht="15.75" customHeight="1">
      <c r="A1238" s="159" t="s">
        <v>9275</v>
      </c>
      <c r="B1238" s="159" t="s">
        <v>9617</v>
      </c>
      <c r="C1238" s="159" t="s">
        <v>11175</v>
      </c>
      <c r="D1238" s="159" t="s">
        <v>477</v>
      </c>
      <c r="E1238" s="159">
        <v>255</v>
      </c>
      <c r="F1238" s="159" t="s">
        <v>5667</v>
      </c>
      <c r="G1238" s="159" t="s">
        <v>11176</v>
      </c>
    </row>
    <row r="1239" spans="1:7" ht="15.75" customHeight="1">
      <c r="A1239" s="159" t="s">
        <v>9275</v>
      </c>
      <c r="B1239" s="159" t="s">
        <v>9617</v>
      </c>
      <c r="C1239" s="159" t="s">
        <v>11177</v>
      </c>
      <c r="D1239" s="159" t="s">
        <v>484</v>
      </c>
      <c r="E1239" s="159">
        <v>10</v>
      </c>
      <c r="F1239" s="159" t="s">
        <v>5667</v>
      </c>
      <c r="G1239" s="159" t="s">
        <v>11178</v>
      </c>
    </row>
    <row r="1240" spans="1:7" ht="15.75" customHeight="1">
      <c r="A1240" s="159" t="s">
        <v>9275</v>
      </c>
      <c r="B1240" s="159" t="s">
        <v>9617</v>
      </c>
      <c r="C1240" s="159" t="s">
        <v>11179</v>
      </c>
      <c r="D1240" s="159" t="s">
        <v>484</v>
      </c>
      <c r="E1240" s="159">
        <v>10</v>
      </c>
      <c r="F1240" s="159" t="s">
        <v>5667</v>
      </c>
      <c r="G1240" s="159" t="s">
        <v>11180</v>
      </c>
    </row>
    <row r="1241" spans="1:7" ht="15.75" customHeight="1">
      <c r="A1241" s="159" t="s">
        <v>9275</v>
      </c>
      <c r="B1241" s="159" t="s">
        <v>9617</v>
      </c>
      <c r="C1241" s="159" t="s">
        <v>11181</v>
      </c>
      <c r="D1241" s="159" t="s">
        <v>484</v>
      </c>
      <c r="E1241" s="159">
        <v>10</v>
      </c>
      <c r="F1241" s="159" t="s">
        <v>5667</v>
      </c>
      <c r="G1241" s="159" t="s">
        <v>11180</v>
      </c>
    </row>
    <row r="1242" spans="1:7" ht="15.75" customHeight="1">
      <c r="A1242" s="159" t="s">
        <v>9275</v>
      </c>
      <c r="B1242" s="159" t="s">
        <v>9617</v>
      </c>
      <c r="C1242" s="159" t="s">
        <v>11182</v>
      </c>
      <c r="D1242" s="159" t="s">
        <v>477</v>
      </c>
      <c r="E1242" s="159">
        <v>255</v>
      </c>
      <c r="F1242" s="159" t="s">
        <v>5667</v>
      </c>
      <c r="G1242" s="159" t="s">
        <v>11183</v>
      </c>
    </row>
    <row r="1243" spans="1:7" ht="15.75" customHeight="1">
      <c r="A1243" s="159" t="s">
        <v>9275</v>
      </c>
      <c r="B1243" s="159" t="s">
        <v>9619</v>
      </c>
      <c r="C1243" s="159" t="s">
        <v>10816</v>
      </c>
      <c r="D1243" s="159" t="s">
        <v>484</v>
      </c>
      <c r="E1243" s="159">
        <v>10</v>
      </c>
      <c r="F1243" s="159" t="s">
        <v>5665</v>
      </c>
      <c r="G1243" s="159" t="s">
        <v>10817</v>
      </c>
    </row>
    <row r="1244" spans="1:7" ht="15.75" customHeight="1">
      <c r="A1244" s="159" t="s">
        <v>9275</v>
      </c>
      <c r="B1244" s="159" t="s">
        <v>9619</v>
      </c>
      <c r="C1244" s="159" t="s">
        <v>9217</v>
      </c>
      <c r="D1244" s="159" t="s">
        <v>978</v>
      </c>
      <c r="E1244" s="159">
        <v>5</v>
      </c>
      <c r="F1244" s="159" t="s">
        <v>5665</v>
      </c>
      <c r="G1244" s="159" t="s">
        <v>10818</v>
      </c>
    </row>
    <row r="1245" spans="1:7" ht="15.75" customHeight="1">
      <c r="A1245" s="159" t="s">
        <v>9275</v>
      </c>
      <c r="B1245" s="159" t="s">
        <v>9619</v>
      </c>
      <c r="C1245" s="159" t="s">
        <v>10287</v>
      </c>
      <c r="D1245" s="159" t="s">
        <v>484</v>
      </c>
      <c r="E1245" s="159">
        <v>10</v>
      </c>
      <c r="F1245" s="159" t="s">
        <v>5665</v>
      </c>
      <c r="G1245" s="159" t="s">
        <v>10237</v>
      </c>
    </row>
    <row r="1246" spans="1:7" ht="15.75" customHeight="1">
      <c r="A1246" s="159" t="s">
        <v>9275</v>
      </c>
      <c r="B1246" s="159" t="s">
        <v>9619</v>
      </c>
      <c r="C1246" s="159" t="s">
        <v>10471</v>
      </c>
      <c r="D1246" s="159" t="s">
        <v>538</v>
      </c>
      <c r="E1246" s="159"/>
      <c r="F1246" s="159" t="s">
        <v>5667</v>
      </c>
      <c r="G1246" s="159" t="s">
        <v>10475</v>
      </c>
    </row>
    <row r="1247" spans="1:7" ht="15.75" customHeight="1">
      <c r="A1247" s="159" t="s">
        <v>9275</v>
      </c>
      <c r="B1247" s="159" t="s">
        <v>9621</v>
      </c>
      <c r="C1247" s="159" t="s">
        <v>10816</v>
      </c>
      <c r="D1247" s="159" t="s">
        <v>484</v>
      </c>
      <c r="E1247" s="159">
        <v>10</v>
      </c>
      <c r="F1247" s="159" t="s">
        <v>5665</v>
      </c>
      <c r="G1247" s="159" t="s">
        <v>10817</v>
      </c>
    </row>
    <row r="1248" spans="1:7" ht="15.75" customHeight="1">
      <c r="A1248" s="159" t="s">
        <v>9275</v>
      </c>
      <c r="B1248" s="159" t="s">
        <v>9621</v>
      </c>
      <c r="C1248" s="159" t="s">
        <v>9217</v>
      </c>
      <c r="D1248" s="159" t="s">
        <v>978</v>
      </c>
      <c r="E1248" s="159">
        <v>5</v>
      </c>
      <c r="F1248" s="159" t="s">
        <v>5665</v>
      </c>
      <c r="G1248" s="159" t="s">
        <v>10818</v>
      </c>
    </row>
    <row r="1249" spans="1:7" ht="15.75" customHeight="1">
      <c r="A1249" s="159" t="s">
        <v>9275</v>
      </c>
      <c r="B1249" s="159" t="s">
        <v>9621</v>
      </c>
      <c r="C1249" s="159" t="s">
        <v>10287</v>
      </c>
      <c r="D1249" s="159" t="s">
        <v>484</v>
      </c>
      <c r="E1249" s="159">
        <v>10</v>
      </c>
      <c r="F1249" s="159" t="s">
        <v>5665</v>
      </c>
      <c r="G1249" s="159" t="s">
        <v>10237</v>
      </c>
    </row>
    <row r="1250" spans="1:7" ht="15.75" customHeight="1">
      <c r="A1250" s="159" t="s">
        <v>9275</v>
      </c>
      <c r="B1250" s="159" t="s">
        <v>9621</v>
      </c>
      <c r="C1250" s="159" t="s">
        <v>10471</v>
      </c>
      <c r="D1250" s="159" t="s">
        <v>481</v>
      </c>
      <c r="E1250" s="159">
        <v>12</v>
      </c>
      <c r="F1250" s="159" t="s">
        <v>5665</v>
      </c>
      <c r="G1250" s="159" t="s">
        <v>10475</v>
      </c>
    </row>
    <row r="1251" spans="1:7" ht="15.75" customHeight="1">
      <c r="A1251" s="159" t="s">
        <v>9275</v>
      </c>
      <c r="B1251" s="159" t="s">
        <v>9623</v>
      </c>
      <c r="C1251" s="159" t="s">
        <v>10816</v>
      </c>
      <c r="D1251" s="159" t="s">
        <v>484</v>
      </c>
      <c r="E1251" s="159">
        <v>10</v>
      </c>
      <c r="F1251" s="159" t="s">
        <v>5665</v>
      </c>
      <c r="G1251" s="159" t="s">
        <v>10817</v>
      </c>
    </row>
    <row r="1252" spans="1:7" ht="15.75" customHeight="1">
      <c r="A1252" s="159" t="s">
        <v>9275</v>
      </c>
      <c r="B1252" s="159" t="s">
        <v>9623</v>
      </c>
      <c r="C1252" s="159" t="s">
        <v>9217</v>
      </c>
      <c r="D1252" s="159" t="s">
        <v>978</v>
      </c>
      <c r="E1252" s="159">
        <v>5</v>
      </c>
      <c r="F1252" s="159" t="s">
        <v>5665</v>
      </c>
      <c r="G1252" s="159" t="s">
        <v>10818</v>
      </c>
    </row>
    <row r="1253" spans="1:7" ht="15.75" customHeight="1">
      <c r="A1253" s="159" t="s">
        <v>9275</v>
      </c>
      <c r="B1253" s="159" t="s">
        <v>9623</v>
      </c>
      <c r="C1253" s="159" t="s">
        <v>10287</v>
      </c>
      <c r="D1253" s="159" t="s">
        <v>484</v>
      </c>
      <c r="E1253" s="159">
        <v>10</v>
      </c>
      <c r="F1253" s="159" t="s">
        <v>5665</v>
      </c>
      <c r="G1253" s="159" t="s">
        <v>10237</v>
      </c>
    </row>
    <row r="1254" spans="1:7" ht="15.75" customHeight="1">
      <c r="A1254" s="159" t="s">
        <v>9275</v>
      </c>
      <c r="B1254" s="159" t="s">
        <v>9623</v>
      </c>
      <c r="C1254" s="159" t="s">
        <v>10471</v>
      </c>
      <c r="D1254" s="159" t="s">
        <v>484</v>
      </c>
      <c r="E1254" s="159">
        <v>10</v>
      </c>
      <c r="F1254" s="159" t="s">
        <v>5665</v>
      </c>
      <c r="G1254" s="159" t="s">
        <v>10475</v>
      </c>
    </row>
    <row r="1255" spans="1:7" ht="15.75" customHeight="1">
      <c r="A1255" s="159" t="s">
        <v>9275</v>
      </c>
      <c r="B1255" s="159" t="s">
        <v>9625</v>
      </c>
      <c r="C1255" s="159" t="s">
        <v>10816</v>
      </c>
      <c r="D1255" s="159" t="s">
        <v>484</v>
      </c>
      <c r="E1255" s="159">
        <v>10</v>
      </c>
      <c r="F1255" s="159" t="s">
        <v>5665</v>
      </c>
      <c r="G1255" s="159" t="s">
        <v>10817</v>
      </c>
    </row>
    <row r="1256" spans="1:7" ht="15.75" customHeight="1">
      <c r="A1256" s="159" t="s">
        <v>9275</v>
      </c>
      <c r="B1256" s="159" t="s">
        <v>9625</v>
      </c>
      <c r="C1256" s="159" t="s">
        <v>9217</v>
      </c>
      <c r="D1256" s="159" t="s">
        <v>978</v>
      </c>
      <c r="E1256" s="159">
        <v>5</v>
      </c>
      <c r="F1256" s="159" t="s">
        <v>5665</v>
      </c>
      <c r="G1256" s="159" t="s">
        <v>10818</v>
      </c>
    </row>
    <row r="1257" spans="1:7" ht="15.75" customHeight="1">
      <c r="A1257" s="159" t="s">
        <v>9275</v>
      </c>
      <c r="B1257" s="159" t="s">
        <v>9625</v>
      </c>
      <c r="C1257" s="159" t="s">
        <v>10287</v>
      </c>
      <c r="D1257" s="159" t="s">
        <v>484</v>
      </c>
      <c r="E1257" s="159">
        <v>10</v>
      </c>
      <c r="F1257" s="159" t="s">
        <v>5665</v>
      </c>
      <c r="G1257" s="159" t="s">
        <v>10237</v>
      </c>
    </row>
    <row r="1258" spans="1:7" ht="15.75" customHeight="1">
      <c r="A1258" s="159" t="s">
        <v>9275</v>
      </c>
      <c r="B1258" s="159" t="s">
        <v>9625</v>
      </c>
      <c r="C1258" s="159" t="s">
        <v>10471</v>
      </c>
      <c r="D1258" s="159" t="s">
        <v>3893</v>
      </c>
      <c r="E1258" s="159">
        <v>65535</v>
      </c>
      <c r="F1258" s="159" t="s">
        <v>5665</v>
      </c>
      <c r="G1258" s="159" t="s">
        <v>10475</v>
      </c>
    </row>
    <row r="1259" spans="1:7" ht="15.75" customHeight="1">
      <c r="A1259" s="159" t="s">
        <v>9275</v>
      </c>
      <c r="B1259" s="159" t="s">
        <v>9627</v>
      </c>
      <c r="C1259" s="159" t="s">
        <v>10816</v>
      </c>
      <c r="D1259" s="159" t="s">
        <v>484</v>
      </c>
      <c r="E1259" s="159">
        <v>10</v>
      </c>
      <c r="F1259" s="159" t="s">
        <v>5665</v>
      </c>
      <c r="G1259" s="159" t="s">
        <v>10817</v>
      </c>
    </row>
    <row r="1260" spans="1:7" ht="15.75" customHeight="1">
      <c r="A1260" s="159" t="s">
        <v>9275</v>
      </c>
      <c r="B1260" s="159" t="s">
        <v>9627</v>
      </c>
      <c r="C1260" s="159" t="s">
        <v>9217</v>
      </c>
      <c r="D1260" s="159" t="s">
        <v>978</v>
      </c>
      <c r="E1260" s="159">
        <v>5</v>
      </c>
      <c r="F1260" s="159" t="s">
        <v>5665</v>
      </c>
      <c r="G1260" s="159" t="s">
        <v>10818</v>
      </c>
    </row>
    <row r="1261" spans="1:7" ht="15.75" customHeight="1">
      <c r="A1261" s="159" t="s">
        <v>9275</v>
      </c>
      <c r="B1261" s="159" t="s">
        <v>9627</v>
      </c>
      <c r="C1261" s="159" t="s">
        <v>10287</v>
      </c>
      <c r="D1261" s="159" t="s">
        <v>484</v>
      </c>
      <c r="E1261" s="159">
        <v>10</v>
      </c>
      <c r="F1261" s="159" t="s">
        <v>5665</v>
      </c>
      <c r="G1261" s="159" t="s">
        <v>10237</v>
      </c>
    </row>
    <row r="1262" spans="1:7" ht="15.75" customHeight="1">
      <c r="A1262" s="159" t="s">
        <v>9275</v>
      </c>
      <c r="B1262" s="159" t="s">
        <v>9627</v>
      </c>
      <c r="C1262" s="159" t="s">
        <v>10471</v>
      </c>
      <c r="D1262" s="159" t="s">
        <v>477</v>
      </c>
      <c r="E1262" s="159">
        <v>255</v>
      </c>
      <c r="F1262" s="159" t="s">
        <v>5667</v>
      </c>
      <c r="G1262" s="159" t="s">
        <v>10475</v>
      </c>
    </row>
    <row r="1263" spans="1:7" ht="15.75" customHeight="1">
      <c r="A1263" s="159" t="s">
        <v>9275</v>
      </c>
      <c r="B1263" s="159" t="s">
        <v>9629</v>
      </c>
      <c r="C1263" s="159" t="s">
        <v>10285</v>
      </c>
      <c r="D1263" s="159" t="s">
        <v>484</v>
      </c>
      <c r="E1263" s="159">
        <v>10</v>
      </c>
      <c r="F1263" s="159" t="s">
        <v>5665</v>
      </c>
      <c r="G1263" s="159" t="s">
        <v>10286</v>
      </c>
    </row>
    <row r="1264" spans="1:7" ht="15.75" customHeight="1">
      <c r="A1264" s="159" t="s">
        <v>9275</v>
      </c>
      <c r="B1264" s="159" t="s">
        <v>9629</v>
      </c>
      <c r="C1264" s="159" t="s">
        <v>10287</v>
      </c>
      <c r="D1264" s="159" t="s">
        <v>484</v>
      </c>
      <c r="E1264" s="159">
        <v>10</v>
      </c>
      <c r="F1264" s="159" t="s">
        <v>5665</v>
      </c>
      <c r="G1264" s="159" t="s">
        <v>10237</v>
      </c>
    </row>
    <row r="1265" spans="1:7" ht="15.75" customHeight="1">
      <c r="A1265" s="159" t="s">
        <v>9275</v>
      </c>
      <c r="B1265" s="159" t="s">
        <v>9630</v>
      </c>
      <c r="C1265" s="159" t="s">
        <v>9217</v>
      </c>
      <c r="D1265" s="159" t="s">
        <v>978</v>
      </c>
      <c r="E1265" s="159">
        <v>5</v>
      </c>
      <c r="F1265" s="159" t="s">
        <v>5665</v>
      </c>
      <c r="G1265" s="159" t="s">
        <v>10818</v>
      </c>
    </row>
    <row r="1266" spans="1:7" ht="15.75" customHeight="1">
      <c r="A1266" s="159" t="s">
        <v>9275</v>
      </c>
      <c r="B1266" s="159" t="s">
        <v>9630</v>
      </c>
      <c r="C1266" s="159" t="s">
        <v>10837</v>
      </c>
      <c r="D1266" s="159" t="s">
        <v>978</v>
      </c>
      <c r="E1266" s="159">
        <v>5</v>
      </c>
      <c r="F1266" s="159" t="s">
        <v>5665</v>
      </c>
      <c r="G1266" s="159" t="s">
        <v>10838</v>
      </c>
    </row>
    <row r="1267" spans="1:7" ht="15.75" customHeight="1">
      <c r="A1267" s="159" t="s">
        <v>9275</v>
      </c>
      <c r="B1267" s="159" t="s">
        <v>9630</v>
      </c>
      <c r="C1267" s="159" t="s">
        <v>11184</v>
      </c>
      <c r="D1267" s="159" t="s">
        <v>477</v>
      </c>
      <c r="E1267" s="159">
        <v>255</v>
      </c>
      <c r="F1267" s="159" t="s">
        <v>5667</v>
      </c>
      <c r="G1267" s="159" t="s">
        <v>11185</v>
      </c>
    </row>
    <row r="1268" spans="1:7" ht="15.75" customHeight="1">
      <c r="A1268" s="159" t="s">
        <v>9275</v>
      </c>
      <c r="B1268" s="159" t="s">
        <v>9630</v>
      </c>
      <c r="C1268" s="159" t="s">
        <v>11186</v>
      </c>
      <c r="D1268" s="159" t="s">
        <v>978</v>
      </c>
      <c r="E1268" s="159">
        <v>5</v>
      </c>
      <c r="F1268" s="159" t="s">
        <v>5665</v>
      </c>
      <c r="G1268" s="159" t="s">
        <v>11187</v>
      </c>
    </row>
    <row r="1269" spans="1:7" ht="15.75" customHeight="1">
      <c r="A1269" s="159" t="s">
        <v>9275</v>
      </c>
      <c r="B1269" s="159" t="s">
        <v>9630</v>
      </c>
      <c r="C1269" s="159" t="s">
        <v>11188</v>
      </c>
      <c r="D1269" s="159" t="s">
        <v>3893</v>
      </c>
      <c r="E1269" s="159">
        <v>65535</v>
      </c>
      <c r="F1269" s="159" t="s">
        <v>5667</v>
      </c>
      <c r="G1269" s="159" t="s">
        <v>11189</v>
      </c>
    </row>
    <row r="1270" spans="1:7" ht="15.75" customHeight="1">
      <c r="A1270" s="159" t="s">
        <v>9275</v>
      </c>
      <c r="B1270" s="159" t="s">
        <v>9630</v>
      </c>
      <c r="C1270" s="159" t="s">
        <v>11190</v>
      </c>
      <c r="D1270" s="159" t="s">
        <v>978</v>
      </c>
      <c r="E1270" s="159">
        <v>5</v>
      </c>
      <c r="F1270" s="159" t="s">
        <v>5665</v>
      </c>
      <c r="G1270" s="159" t="s">
        <v>11191</v>
      </c>
    </row>
    <row r="1271" spans="1:7" ht="15.75" customHeight="1">
      <c r="A1271" s="159" t="s">
        <v>9275</v>
      </c>
      <c r="B1271" s="159" t="s">
        <v>9630</v>
      </c>
      <c r="C1271" s="159" t="s">
        <v>10469</v>
      </c>
      <c r="D1271" s="159" t="s">
        <v>484</v>
      </c>
      <c r="E1271" s="159">
        <v>10</v>
      </c>
      <c r="F1271" s="159" t="s">
        <v>5665</v>
      </c>
      <c r="G1271" s="159" t="s">
        <v>10470</v>
      </c>
    </row>
    <row r="1272" spans="1:7" ht="15.75" customHeight="1">
      <c r="A1272" s="159" t="s">
        <v>9275</v>
      </c>
      <c r="B1272" s="159" t="s">
        <v>9630</v>
      </c>
      <c r="C1272" s="159" t="s">
        <v>11192</v>
      </c>
      <c r="D1272" s="159" t="s">
        <v>477</v>
      </c>
      <c r="E1272" s="159">
        <v>255</v>
      </c>
      <c r="F1272" s="159" t="s">
        <v>5667</v>
      </c>
      <c r="G1272" s="159" t="s">
        <v>11193</v>
      </c>
    </row>
    <row r="1273" spans="1:7" ht="15.75" customHeight="1">
      <c r="A1273" s="159" t="s">
        <v>9275</v>
      </c>
      <c r="B1273" s="159" t="s">
        <v>9630</v>
      </c>
      <c r="C1273" s="159" t="s">
        <v>10867</v>
      </c>
      <c r="D1273" s="159" t="s">
        <v>978</v>
      </c>
      <c r="E1273" s="159">
        <v>5</v>
      </c>
      <c r="F1273" s="159" t="s">
        <v>5665</v>
      </c>
      <c r="G1273" s="159" t="s">
        <v>10868</v>
      </c>
    </row>
    <row r="1274" spans="1:7" ht="15.75" customHeight="1">
      <c r="A1274" s="159" t="s">
        <v>9275</v>
      </c>
      <c r="B1274" s="159" t="s">
        <v>9630</v>
      </c>
      <c r="C1274" s="159" t="s">
        <v>10869</v>
      </c>
      <c r="D1274" s="159" t="s">
        <v>978</v>
      </c>
      <c r="E1274" s="159">
        <v>5</v>
      </c>
      <c r="F1274" s="159" t="s">
        <v>5665</v>
      </c>
      <c r="G1274" s="159" t="s">
        <v>10870</v>
      </c>
    </row>
    <row r="1275" spans="1:7" ht="15.75" customHeight="1">
      <c r="A1275" s="159" t="s">
        <v>9275</v>
      </c>
      <c r="B1275" s="159" t="s">
        <v>9630</v>
      </c>
      <c r="C1275" s="159" t="s">
        <v>10871</v>
      </c>
      <c r="D1275" s="159" t="s">
        <v>978</v>
      </c>
      <c r="E1275" s="159">
        <v>5</v>
      </c>
      <c r="F1275" s="159" t="s">
        <v>5665</v>
      </c>
      <c r="G1275" s="159" t="s">
        <v>10872</v>
      </c>
    </row>
    <row r="1276" spans="1:7" ht="15.75" customHeight="1">
      <c r="A1276" s="159" t="s">
        <v>9275</v>
      </c>
      <c r="B1276" s="159" t="s">
        <v>9630</v>
      </c>
      <c r="C1276" s="159" t="s">
        <v>11194</v>
      </c>
      <c r="D1276" s="159" t="s">
        <v>978</v>
      </c>
      <c r="E1276" s="159">
        <v>5</v>
      </c>
      <c r="F1276" s="159" t="s">
        <v>5665</v>
      </c>
      <c r="G1276" s="159" t="s">
        <v>11195</v>
      </c>
    </row>
    <row r="1277" spans="1:7" ht="15.75" customHeight="1">
      <c r="A1277" s="159" t="s">
        <v>9275</v>
      </c>
      <c r="B1277" s="159" t="s">
        <v>9632</v>
      </c>
      <c r="C1277" s="159" t="s">
        <v>9217</v>
      </c>
      <c r="D1277" s="159" t="s">
        <v>978</v>
      </c>
      <c r="E1277" s="159">
        <v>5</v>
      </c>
      <c r="F1277" s="159" t="s">
        <v>5665</v>
      </c>
      <c r="G1277" s="159" t="s">
        <v>10818</v>
      </c>
    </row>
    <row r="1278" spans="1:7" ht="15.75" customHeight="1">
      <c r="A1278" s="159" t="s">
        <v>9275</v>
      </c>
      <c r="B1278" s="159" t="s">
        <v>9632</v>
      </c>
      <c r="C1278" s="159" t="s">
        <v>10882</v>
      </c>
      <c r="D1278" s="159" t="s">
        <v>978</v>
      </c>
      <c r="E1278" s="159">
        <v>5</v>
      </c>
      <c r="F1278" s="159" t="s">
        <v>5665</v>
      </c>
      <c r="G1278" s="159" t="s">
        <v>10883</v>
      </c>
    </row>
    <row r="1279" spans="1:7" ht="15.75" customHeight="1">
      <c r="A1279" s="159" t="s">
        <v>9275</v>
      </c>
      <c r="B1279" s="159" t="s">
        <v>9632</v>
      </c>
      <c r="C1279" s="159" t="s">
        <v>10837</v>
      </c>
      <c r="D1279" s="159" t="s">
        <v>978</v>
      </c>
      <c r="E1279" s="159">
        <v>5</v>
      </c>
      <c r="F1279" s="159" t="s">
        <v>5667</v>
      </c>
      <c r="G1279" s="159" t="s">
        <v>10838</v>
      </c>
    </row>
    <row r="1280" spans="1:7" ht="15.75" customHeight="1">
      <c r="A1280" s="159" t="s">
        <v>9275</v>
      </c>
      <c r="B1280" s="159" t="s">
        <v>9632</v>
      </c>
      <c r="C1280" s="159" t="s">
        <v>10962</v>
      </c>
      <c r="D1280" s="159" t="s">
        <v>978</v>
      </c>
      <c r="E1280" s="159">
        <v>5</v>
      </c>
      <c r="F1280" s="159" t="s">
        <v>5667</v>
      </c>
      <c r="G1280" s="159" t="s">
        <v>10963</v>
      </c>
    </row>
    <row r="1281" spans="1:7" ht="15.75" customHeight="1">
      <c r="A1281" s="159" t="s">
        <v>9275</v>
      </c>
      <c r="B1281" s="159" t="s">
        <v>9632</v>
      </c>
      <c r="C1281" s="159" t="s">
        <v>11196</v>
      </c>
      <c r="D1281" s="159" t="s">
        <v>3893</v>
      </c>
      <c r="E1281" s="159">
        <v>65535</v>
      </c>
      <c r="F1281" s="159" t="s">
        <v>5667</v>
      </c>
      <c r="G1281" s="159" t="s">
        <v>11197</v>
      </c>
    </row>
    <row r="1282" spans="1:7" ht="15.75" customHeight="1">
      <c r="A1282" s="159" t="s">
        <v>9275</v>
      </c>
      <c r="B1282" s="159" t="s">
        <v>9632</v>
      </c>
      <c r="C1282" s="159" t="s">
        <v>11186</v>
      </c>
      <c r="D1282" s="159" t="s">
        <v>978</v>
      </c>
      <c r="E1282" s="159">
        <v>5</v>
      </c>
      <c r="F1282" s="159" t="s">
        <v>5667</v>
      </c>
      <c r="G1282" s="159" t="s">
        <v>11187</v>
      </c>
    </row>
    <row r="1283" spans="1:7" ht="15.75" customHeight="1">
      <c r="A1283" s="159" t="s">
        <v>9275</v>
      </c>
      <c r="B1283" s="159" t="s">
        <v>9634</v>
      </c>
      <c r="C1283" s="159" t="s">
        <v>10287</v>
      </c>
      <c r="D1283" s="159" t="s">
        <v>484</v>
      </c>
      <c r="E1283" s="159">
        <v>10</v>
      </c>
      <c r="F1283" s="159" t="s">
        <v>5665</v>
      </c>
      <c r="G1283" s="159" t="s">
        <v>10237</v>
      </c>
    </row>
    <row r="1284" spans="1:7" ht="15.75" customHeight="1">
      <c r="A1284" s="159" t="s">
        <v>9275</v>
      </c>
      <c r="B1284" s="159" t="s">
        <v>9634</v>
      </c>
      <c r="C1284" s="159" t="s">
        <v>10882</v>
      </c>
      <c r="D1284" s="159" t="s">
        <v>978</v>
      </c>
      <c r="E1284" s="159">
        <v>5</v>
      </c>
      <c r="F1284" s="159" t="s">
        <v>5667</v>
      </c>
      <c r="G1284" s="159" t="s">
        <v>10883</v>
      </c>
    </row>
    <row r="1285" spans="1:7" ht="15.75" customHeight="1">
      <c r="A1285" s="159" t="s">
        <v>9275</v>
      </c>
      <c r="B1285" s="159" t="s">
        <v>9634</v>
      </c>
      <c r="C1285" s="159" t="s">
        <v>3545</v>
      </c>
      <c r="D1285" s="159" t="s">
        <v>477</v>
      </c>
      <c r="E1285" s="159">
        <v>255</v>
      </c>
      <c r="F1285" s="159" t="s">
        <v>5667</v>
      </c>
      <c r="G1285" s="159" t="s">
        <v>5204</v>
      </c>
    </row>
    <row r="1286" spans="1:7" ht="15.75" customHeight="1">
      <c r="A1286" s="159" t="s">
        <v>9275</v>
      </c>
      <c r="B1286" s="159" t="s">
        <v>9634</v>
      </c>
      <c r="C1286" s="159" t="s">
        <v>10457</v>
      </c>
      <c r="D1286" s="159" t="s">
        <v>978</v>
      </c>
      <c r="E1286" s="159">
        <v>5</v>
      </c>
      <c r="F1286" s="159" t="s">
        <v>5665</v>
      </c>
      <c r="G1286" s="159" t="s">
        <v>11198</v>
      </c>
    </row>
    <row r="1287" spans="1:7" ht="15.75" customHeight="1">
      <c r="A1287" s="159" t="s">
        <v>9275</v>
      </c>
      <c r="B1287" s="159" t="s">
        <v>9634</v>
      </c>
      <c r="C1287" s="159" t="s">
        <v>11155</v>
      </c>
      <c r="D1287" s="159" t="s">
        <v>477</v>
      </c>
      <c r="E1287" s="159">
        <v>50</v>
      </c>
      <c r="F1287" s="159" t="s">
        <v>5667</v>
      </c>
      <c r="G1287" s="159" t="s">
        <v>11156</v>
      </c>
    </row>
    <row r="1288" spans="1:7" ht="15.75" customHeight="1">
      <c r="A1288" s="159" t="s">
        <v>9275</v>
      </c>
      <c r="B1288" s="159" t="s">
        <v>9634</v>
      </c>
      <c r="C1288" s="159" t="s">
        <v>10290</v>
      </c>
      <c r="D1288" s="159" t="s">
        <v>978</v>
      </c>
      <c r="E1288" s="159">
        <v>5</v>
      </c>
      <c r="F1288" s="159" t="s">
        <v>5667</v>
      </c>
      <c r="G1288" s="159" t="s">
        <v>10507</v>
      </c>
    </row>
    <row r="1289" spans="1:7" ht="15.75" customHeight="1">
      <c r="A1289" s="159" t="s">
        <v>9275</v>
      </c>
      <c r="B1289" s="159" t="s">
        <v>9634</v>
      </c>
      <c r="C1289" s="159" t="s">
        <v>10190</v>
      </c>
      <c r="D1289" s="159" t="s">
        <v>1413</v>
      </c>
      <c r="E1289" s="159"/>
      <c r="F1289" s="159" t="s">
        <v>5665</v>
      </c>
      <c r="G1289" s="159" t="s">
        <v>10281</v>
      </c>
    </row>
    <row r="1290" spans="1:7" ht="15.75" customHeight="1">
      <c r="A1290" s="159" t="s">
        <v>9275</v>
      </c>
      <c r="B1290" s="159" t="s">
        <v>9634</v>
      </c>
      <c r="C1290" s="159" t="s">
        <v>10242</v>
      </c>
      <c r="D1290" s="159" t="s">
        <v>1413</v>
      </c>
      <c r="E1290" s="159"/>
      <c r="F1290" s="159" t="s">
        <v>5665</v>
      </c>
      <c r="G1290" s="159" t="s">
        <v>10282</v>
      </c>
    </row>
    <row r="1291" spans="1:7" ht="15.75" customHeight="1">
      <c r="A1291" s="159" t="s">
        <v>9275</v>
      </c>
      <c r="B1291" s="159" t="s">
        <v>9634</v>
      </c>
      <c r="C1291" s="159" t="s">
        <v>10211</v>
      </c>
      <c r="D1291" s="159" t="s">
        <v>978</v>
      </c>
      <c r="E1291" s="159">
        <v>5</v>
      </c>
      <c r="F1291" s="159" t="s">
        <v>5665</v>
      </c>
      <c r="G1291" s="159" t="s">
        <v>10587</v>
      </c>
    </row>
    <row r="1292" spans="1:7" ht="15.75" customHeight="1">
      <c r="A1292" s="159" t="s">
        <v>9275</v>
      </c>
      <c r="B1292" s="159" t="s">
        <v>9634</v>
      </c>
      <c r="C1292" s="159" t="s">
        <v>11199</v>
      </c>
      <c r="D1292" s="159" t="s">
        <v>978</v>
      </c>
      <c r="E1292" s="159">
        <v>5</v>
      </c>
      <c r="F1292" s="159" t="s">
        <v>5665</v>
      </c>
      <c r="G1292" s="159" t="s">
        <v>11200</v>
      </c>
    </row>
    <row r="1293" spans="1:7" ht="15.75" customHeight="1">
      <c r="A1293" s="159" t="s">
        <v>9275</v>
      </c>
      <c r="B1293" s="159" t="s">
        <v>9634</v>
      </c>
      <c r="C1293" s="159" t="s">
        <v>11201</v>
      </c>
      <c r="D1293" s="159" t="s">
        <v>477</v>
      </c>
      <c r="E1293" s="159">
        <v>255</v>
      </c>
      <c r="F1293" s="159" t="s">
        <v>5667</v>
      </c>
      <c r="G1293" s="159" t="s">
        <v>11202</v>
      </c>
    </row>
    <row r="1294" spans="1:7" ht="15.75" customHeight="1">
      <c r="A1294" s="159" t="s">
        <v>9275</v>
      </c>
      <c r="B1294" s="159" t="s">
        <v>9634</v>
      </c>
      <c r="C1294" s="159" t="s">
        <v>11162</v>
      </c>
      <c r="D1294" s="159" t="s">
        <v>477</v>
      </c>
      <c r="E1294" s="159">
        <v>40</v>
      </c>
      <c r="F1294" s="159" t="s">
        <v>5667</v>
      </c>
      <c r="G1294" s="159" t="s">
        <v>11163</v>
      </c>
    </row>
    <row r="1295" spans="1:7" ht="15.75" customHeight="1">
      <c r="A1295" s="159" t="s">
        <v>9275</v>
      </c>
      <c r="B1295" s="159" t="s">
        <v>9634</v>
      </c>
      <c r="C1295" s="159" t="s">
        <v>10192</v>
      </c>
      <c r="D1295" s="159" t="s">
        <v>477</v>
      </c>
      <c r="E1295" s="159">
        <v>255</v>
      </c>
      <c r="F1295" s="159" t="s">
        <v>5667</v>
      </c>
      <c r="G1295" s="159" t="s">
        <v>11157</v>
      </c>
    </row>
    <row r="1296" spans="1:7" ht="15.75" customHeight="1">
      <c r="A1296" s="159" t="s">
        <v>9275</v>
      </c>
      <c r="B1296" s="159" t="s">
        <v>9634</v>
      </c>
      <c r="C1296" s="159" t="s">
        <v>11159</v>
      </c>
      <c r="D1296" s="159" t="s">
        <v>477</v>
      </c>
      <c r="E1296" s="159">
        <v>255</v>
      </c>
      <c r="F1296" s="159" t="s">
        <v>5667</v>
      </c>
      <c r="G1296" s="159" t="s">
        <v>11203</v>
      </c>
    </row>
    <row r="1297" spans="1:7" ht="15.75" customHeight="1">
      <c r="A1297" s="159" t="s">
        <v>9275</v>
      </c>
      <c r="B1297" s="159" t="s">
        <v>9634</v>
      </c>
      <c r="C1297" s="159" t="s">
        <v>10194</v>
      </c>
      <c r="D1297" s="159" t="s">
        <v>477</v>
      </c>
      <c r="E1297" s="159">
        <v>255</v>
      </c>
      <c r="F1297" s="159" t="s">
        <v>5667</v>
      </c>
      <c r="G1297" s="159" t="s">
        <v>11158</v>
      </c>
    </row>
    <row r="1298" spans="1:7" ht="15.75" customHeight="1">
      <c r="A1298" s="159" t="s">
        <v>9275</v>
      </c>
      <c r="B1298" s="159" t="s">
        <v>9634</v>
      </c>
      <c r="C1298" s="159" t="s">
        <v>11167</v>
      </c>
      <c r="D1298" s="159" t="s">
        <v>477</v>
      </c>
      <c r="E1298" s="159">
        <v>40</v>
      </c>
      <c r="F1298" s="159" t="s">
        <v>5667</v>
      </c>
      <c r="G1298" s="159" t="s">
        <v>11168</v>
      </c>
    </row>
    <row r="1299" spans="1:7" ht="15.75" customHeight="1">
      <c r="A1299" s="159" t="s">
        <v>9275</v>
      </c>
      <c r="B1299" s="159" t="s">
        <v>9634</v>
      </c>
      <c r="C1299" s="159" t="s">
        <v>11204</v>
      </c>
      <c r="D1299" s="159" t="s">
        <v>1974</v>
      </c>
      <c r="E1299" s="159"/>
      <c r="F1299" s="159" t="s">
        <v>5667</v>
      </c>
      <c r="G1299" s="159" t="s">
        <v>11205</v>
      </c>
    </row>
    <row r="1300" spans="1:7" ht="15.75" customHeight="1">
      <c r="A1300" s="159" t="s">
        <v>9275</v>
      </c>
      <c r="B1300" s="159" t="s">
        <v>9634</v>
      </c>
      <c r="C1300" s="159" t="s">
        <v>10180</v>
      </c>
      <c r="D1300" s="159" t="s">
        <v>477</v>
      </c>
      <c r="E1300" s="159">
        <v>128</v>
      </c>
      <c r="F1300" s="159" t="s">
        <v>5667</v>
      </c>
      <c r="G1300" s="159" t="s">
        <v>11206</v>
      </c>
    </row>
    <row r="1301" spans="1:7" ht="15.75" customHeight="1">
      <c r="A1301" s="159" t="s">
        <v>9275</v>
      </c>
      <c r="B1301" s="159" t="s">
        <v>9634</v>
      </c>
      <c r="C1301" s="159" t="s">
        <v>10215</v>
      </c>
      <c r="D1301" s="159" t="s">
        <v>477</v>
      </c>
      <c r="E1301" s="159">
        <v>128</v>
      </c>
      <c r="F1301" s="159" t="s">
        <v>5667</v>
      </c>
      <c r="G1301" s="159" t="s">
        <v>11207</v>
      </c>
    </row>
    <row r="1302" spans="1:7" ht="15.75" customHeight="1">
      <c r="A1302" s="159" t="s">
        <v>9275</v>
      </c>
      <c r="B1302" s="159" t="s">
        <v>9634</v>
      </c>
      <c r="C1302" s="159" t="s">
        <v>10217</v>
      </c>
      <c r="D1302" s="159" t="s">
        <v>538</v>
      </c>
      <c r="E1302" s="159"/>
      <c r="F1302" s="159" t="s">
        <v>5667</v>
      </c>
      <c r="G1302" s="159" t="s">
        <v>11208</v>
      </c>
    </row>
    <row r="1303" spans="1:7" ht="15.75" customHeight="1">
      <c r="A1303" s="159" t="s">
        <v>9275</v>
      </c>
      <c r="B1303" s="159" t="s">
        <v>9634</v>
      </c>
      <c r="C1303" s="159" t="s">
        <v>11209</v>
      </c>
      <c r="D1303" s="159" t="s">
        <v>484</v>
      </c>
      <c r="E1303" s="159">
        <v>10</v>
      </c>
      <c r="F1303" s="159" t="s">
        <v>5667</v>
      </c>
      <c r="G1303" s="159" t="s">
        <v>11210</v>
      </c>
    </row>
    <row r="1304" spans="1:7" ht="15.75" customHeight="1">
      <c r="A1304" s="159" t="s">
        <v>9275</v>
      </c>
      <c r="B1304" s="159" t="s">
        <v>9634</v>
      </c>
      <c r="C1304" s="159" t="s">
        <v>11211</v>
      </c>
      <c r="D1304" s="159" t="s">
        <v>484</v>
      </c>
      <c r="E1304" s="159">
        <v>10</v>
      </c>
      <c r="F1304" s="159" t="s">
        <v>5667</v>
      </c>
      <c r="G1304" s="159" t="s">
        <v>11212</v>
      </c>
    </row>
    <row r="1305" spans="1:7" ht="15.75" customHeight="1">
      <c r="A1305" s="159" t="s">
        <v>9275</v>
      </c>
      <c r="B1305" s="159" t="s">
        <v>9634</v>
      </c>
      <c r="C1305" s="159" t="s">
        <v>11213</v>
      </c>
      <c r="D1305" s="159" t="s">
        <v>477</v>
      </c>
      <c r="E1305" s="159">
        <v>50</v>
      </c>
      <c r="F1305" s="159" t="s">
        <v>5667</v>
      </c>
      <c r="G1305" s="159" t="s">
        <v>11214</v>
      </c>
    </row>
    <row r="1306" spans="1:7" ht="15.75" customHeight="1">
      <c r="A1306" s="159" t="s">
        <v>9275</v>
      </c>
      <c r="B1306" s="159" t="s">
        <v>9634</v>
      </c>
      <c r="C1306" s="159" t="s">
        <v>11215</v>
      </c>
      <c r="D1306" s="159" t="s">
        <v>477</v>
      </c>
      <c r="E1306" s="159">
        <v>64</v>
      </c>
      <c r="F1306" s="159" t="s">
        <v>5667</v>
      </c>
      <c r="G1306" s="159" t="s">
        <v>11216</v>
      </c>
    </row>
    <row r="1307" spans="1:7" ht="15.75" customHeight="1">
      <c r="A1307" s="159" t="s">
        <v>9275</v>
      </c>
      <c r="B1307" s="159" t="s">
        <v>9634</v>
      </c>
      <c r="C1307" s="159" t="s">
        <v>11217</v>
      </c>
      <c r="D1307" s="159" t="s">
        <v>978</v>
      </c>
      <c r="E1307" s="159">
        <v>5</v>
      </c>
      <c r="F1307" s="159" t="s">
        <v>5667</v>
      </c>
      <c r="G1307" s="159" t="s">
        <v>7113</v>
      </c>
    </row>
    <row r="1308" spans="1:7" ht="15.75" customHeight="1">
      <c r="A1308" s="159" t="s">
        <v>9275</v>
      </c>
      <c r="B1308" s="159" t="s">
        <v>9634</v>
      </c>
      <c r="C1308" s="159" t="s">
        <v>10221</v>
      </c>
      <c r="D1308" s="159" t="s">
        <v>978</v>
      </c>
      <c r="E1308" s="159">
        <v>5</v>
      </c>
      <c r="F1308" s="159" t="s">
        <v>5667</v>
      </c>
      <c r="G1308" s="159" t="s">
        <v>10222</v>
      </c>
    </row>
    <row r="1309" spans="1:7" ht="15.75" customHeight="1">
      <c r="A1309" s="159" t="s">
        <v>9275</v>
      </c>
      <c r="B1309" s="159" t="s">
        <v>9634</v>
      </c>
      <c r="C1309" s="159" t="s">
        <v>10223</v>
      </c>
      <c r="D1309" s="159" t="s">
        <v>1413</v>
      </c>
      <c r="E1309" s="159"/>
      <c r="F1309" s="159" t="s">
        <v>5667</v>
      </c>
      <c r="G1309" s="159" t="s">
        <v>10224</v>
      </c>
    </row>
    <row r="1310" spans="1:7" ht="15.75" customHeight="1">
      <c r="A1310" s="159" t="s">
        <v>9275</v>
      </c>
      <c r="B1310" s="159" t="s">
        <v>9634</v>
      </c>
      <c r="C1310" s="159" t="s">
        <v>10225</v>
      </c>
      <c r="D1310" s="159" t="s">
        <v>1413</v>
      </c>
      <c r="E1310" s="159"/>
      <c r="F1310" s="159" t="s">
        <v>5667</v>
      </c>
      <c r="G1310" s="159" t="s">
        <v>11218</v>
      </c>
    </row>
    <row r="1311" spans="1:7" ht="15.75" customHeight="1">
      <c r="A1311" s="159" t="s">
        <v>9275</v>
      </c>
      <c r="B1311" s="159" t="s">
        <v>9636</v>
      </c>
      <c r="C1311" s="159" t="s">
        <v>10816</v>
      </c>
      <c r="D1311" s="159" t="s">
        <v>484</v>
      </c>
      <c r="E1311" s="159">
        <v>10</v>
      </c>
      <c r="F1311" s="159" t="s">
        <v>5665</v>
      </c>
      <c r="G1311" s="159" t="s">
        <v>10817</v>
      </c>
    </row>
    <row r="1312" spans="1:7" ht="15.75" customHeight="1">
      <c r="A1312" s="159" t="s">
        <v>9275</v>
      </c>
      <c r="B1312" s="159" t="s">
        <v>9636</v>
      </c>
      <c r="C1312" s="159" t="s">
        <v>9217</v>
      </c>
      <c r="D1312" s="159" t="s">
        <v>978</v>
      </c>
      <c r="E1312" s="159">
        <v>5</v>
      </c>
      <c r="F1312" s="159" t="s">
        <v>5665</v>
      </c>
      <c r="G1312" s="159" t="s">
        <v>10818</v>
      </c>
    </row>
    <row r="1313" spans="1:7" ht="15.75" customHeight="1">
      <c r="A1313" s="159" t="s">
        <v>9275</v>
      </c>
      <c r="B1313" s="159" t="s">
        <v>9636</v>
      </c>
      <c r="C1313" s="159" t="s">
        <v>10287</v>
      </c>
      <c r="D1313" s="159" t="s">
        <v>484</v>
      </c>
      <c r="E1313" s="159">
        <v>10</v>
      </c>
      <c r="F1313" s="159" t="s">
        <v>5665</v>
      </c>
      <c r="G1313" s="159" t="s">
        <v>10237</v>
      </c>
    </row>
    <row r="1314" spans="1:7" ht="15.75" customHeight="1">
      <c r="A1314" s="159" t="s">
        <v>9275</v>
      </c>
      <c r="B1314" s="159" t="s">
        <v>9636</v>
      </c>
      <c r="C1314" s="159" t="s">
        <v>10471</v>
      </c>
      <c r="D1314" s="159" t="s">
        <v>538</v>
      </c>
      <c r="E1314" s="159"/>
      <c r="F1314" s="159" t="s">
        <v>5667</v>
      </c>
      <c r="G1314" s="159" t="s">
        <v>10475</v>
      </c>
    </row>
    <row r="1315" spans="1:7" ht="15.75" customHeight="1">
      <c r="A1315" s="159" t="s">
        <v>9275</v>
      </c>
      <c r="B1315" s="159" t="s">
        <v>9638</v>
      </c>
      <c r="C1315" s="159" t="s">
        <v>10816</v>
      </c>
      <c r="D1315" s="159" t="s">
        <v>484</v>
      </c>
      <c r="E1315" s="159">
        <v>10</v>
      </c>
      <c r="F1315" s="159" t="s">
        <v>5665</v>
      </c>
      <c r="G1315" s="159" t="s">
        <v>10817</v>
      </c>
    </row>
    <row r="1316" spans="1:7" ht="15.75" customHeight="1">
      <c r="A1316" s="159" t="s">
        <v>9275</v>
      </c>
      <c r="B1316" s="159" t="s">
        <v>9638</v>
      </c>
      <c r="C1316" s="159" t="s">
        <v>9217</v>
      </c>
      <c r="D1316" s="159" t="s">
        <v>978</v>
      </c>
      <c r="E1316" s="159">
        <v>5</v>
      </c>
      <c r="F1316" s="159" t="s">
        <v>5665</v>
      </c>
      <c r="G1316" s="159" t="s">
        <v>10818</v>
      </c>
    </row>
    <row r="1317" spans="1:7" ht="15.75" customHeight="1">
      <c r="A1317" s="159" t="s">
        <v>9275</v>
      </c>
      <c r="B1317" s="159" t="s">
        <v>9638</v>
      </c>
      <c r="C1317" s="159" t="s">
        <v>10287</v>
      </c>
      <c r="D1317" s="159" t="s">
        <v>484</v>
      </c>
      <c r="E1317" s="159">
        <v>10</v>
      </c>
      <c r="F1317" s="159" t="s">
        <v>5665</v>
      </c>
      <c r="G1317" s="159" t="s">
        <v>10237</v>
      </c>
    </row>
    <row r="1318" spans="1:7" ht="15.75" customHeight="1">
      <c r="A1318" s="159" t="s">
        <v>9275</v>
      </c>
      <c r="B1318" s="159" t="s">
        <v>9638</v>
      </c>
      <c r="C1318" s="159" t="s">
        <v>10471</v>
      </c>
      <c r="D1318" s="159" t="s">
        <v>481</v>
      </c>
      <c r="E1318" s="159">
        <v>12</v>
      </c>
      <c r="F1318" s="159" t="s">
        <v>5665</v>
      </c>
      <c r="G1318" s="159" t="s">
        <v>10475</v>
      </c>
    </row>
    <row r="1319" spans="1:7" ht="15.75" customHeight="1">
      <c r="A1319" s="159" t="s">
        <v>9275</v>
      </c>
      <c r="B1319" s="159" t="s">
        <v>9640</v>
      </c>
      <c r="C1319" s="159" t="s">
        <v>10816</v>
      </c>
      <c r="D1319" s="159" t="s">
        <v>484</v>
      </c>
      <c r="E1319" s="159">
        <v>10</v>
      </c>
      <c r="F1319" s="159" t="s">
        <v>5665</v>
      </c>
      <c r="G1319" s="159" t="s">
        <v>10817</v>
      </c>
    </row>
    <row r="1320" spans="1:7" ht="15.75" customHeight="1">
      <c r="A1320" s="159" t="s">
        <v>9275</v>
      </c>
      <c r="B1320" s="159" t="s">
        <v>9640</v>
      </c>
      <c r="C1320" s="159" t="s">
        <v>9217</v>
      </c>
      <c r="D1320" s="159" t="s">
        <v>978</v>
      </c>
      <c r="E1320" s="159">
        <v>5</v>
      </c>
      <c r="F1320" s="159" t="s">
        <v>5665</v>
      </c>
      <c r="G1320" s="159" t="s">
        <v>10818</v>
      </c>
    </row>
    <row r="1321" spans="1:7" ht="15.75" customHeight="1">
      <c r="A1321" s="159" t="s">
        <v>9275</v>
      </c>
      <c r="B1321" s="159" t="s">
        <v>9640</v>
      </c>
      <c r="C1321" s="159" t="s">
        <v>10287</v>
      </c>
      <c r="D1321" s="159" t="s">
        <v>484</v>
      </c>
      <c r="E1321" s="159">
        <v>10</v>
      </c>
      <c r="F1321" s="159" t="s">
        <v>5665</v>
      </c>
      <c r="G1321" s="159" t="s">
        <v>10237</v>
      </c>
    </row>
    <row r="1322" spans="1:7" ht="15.75" customHeight="1">
      <c r="A1322" s="159" t="s">
        <v>9275</v>
      </c>
      <c r="B1322" s="159" t="s">
        <v>9640</v>
      </c>
      <c r="C1322" s="159" t="s">
        <v>10471</v>
      </c>
      <c r="D1322" s="159" t="s">
        <v>484</v>
      </c>
      <c r="E1322" s="159">
        <v>10</v>
      </c>
      <c r="F1322" s="159" t="s">
        <v>5665</v>
      </c>
      <c r="G1322" s="159" t="s">
        <v>10475</v>
      </c>
    </row>
    <row r="1323" spans="1:7" ht="15.75" customHeight="1">
      <c r="A1323" s="159" t="s">
        <v>9275</v>
      </c>
      <c r="B1323" s="159" t="s">
        <v>9642</v>
      </c>
      <c r="C1323" s="159" t="s">
        <v>10816</v>
      </c>
      <c r="D1323" s="159" t="s">
        <v>484</v>
      </c>
      <c r="E1323" s="159">
        <v>10</v>
      </c>
      <c r="F1323" s="159" t="s">
        <v>5665</v>
      </c>
      <c r="G1323" s="159" t="s">
        <v>10817</v>
      </c>
    </row>
    <row r="1324" spans="1:7" ht="15.75" customHeight="1">
      <c r="A1324" s="159" t="s">
        <v>9275</v>
      </c>
      <c r="B1324" s="159" t="s">
        <v>9642</v>
      </c>
      <c r="C1324" s="159" t="s">
        <v>9217</v>
      </c>
      <c r="D1324" s="159" t="s">
        <v>978</v>
      </c>
      <c r="E1324" s="159">
        <v>5</v>
      </c>
      <c r="F1324" s="159" t="s">
        <v>5665</v>
      </c>
      <c r="G1324" s="159" t="s">
        <v>10818</v>
      </c>
    </row>
    <row r="1325" spans="1:7" ht="15.75" customHeight="1">
      <c r="A1325" s="159" t="s">
        <v>9275</v>
      </c>
      <c r="B1325" s="159" t="s">
        <v>9642</v>
      </c>
      <c r="C1325" s="159" t="s">
        <v>10287</v>
      </c>
      <c r="D1325" s="159" t="s">
        <v>484</v>
      </c>
      <c r="E1325" s="159">
        <v>10</v>
      </c>
      <c r="F1325" s="159" t="s">
        <v>5665</v>
      </c>
      <c r="G1325" s="159" t="s">
        <v>10237</v>
      </c>
    </row>
    <row r="1326" spans="1:7" ht="15.75" customHeight="1">
      <c r="A1326" s="159" t="s">
        <v>9275</v>
      </c>
      <c r="B1326" s="159" t="s">
        <v>9642</v>
      </c>
      <c r="C1326" s="159" t="s">
        <v>10471</v>
      </c>
      <c r="D1326" s="159" t="s">
        <v>3893</v>
      </c>
      <c r="E1326" s="159">
        <v>65535</v>
      </c>
      <c r="F1326" s="159" t="s">
        <v>5665</v>
      </c>
      <c r="G1326" s="159" t="s">
        <v>10475</v>
      </c>
    </row>
    <row r="1327" spans="1:7" ht="15.75" customHeight="1">
      <c r="A1327" s="159" t="s">
        <v>9275</v>
      </c>
      <c r="B1327" s="159" t="s">
        <v>9644</v>
      </c>
      <c r="C1327" s="159" t="s">
        <v>10816</v>
      </c>
      <c r="D1327" s="159" t="s">
        <v>484</v>
      </c>
      <c r="E1327" s="159">
        <v>10</v>
      </c>
      <c r="F1327" s="159" t="s">
        <v>5665</v>
      </c>
      <c r="G1327" s="159" t="s">
        <v>10817</v>
      </c>
    </row>
    <row r="1328" spans="1:7" ht="15.75" customHeight="1">
      <c r="A1328" s="159" t="s">
        <v>9275</v>
      </c>
      <c r="B1328" s="159" t="s">
        <v>9644</v>
      </c>
      <c r="C1328" s="159" t="s">
        <v>9217</v>
      </c>
      <c r="D1328" s="159" t="s">
        <v>978</v>
      </c>
      <c r="E1328" s="159">
        <v>5</v>
      </c>
      <c r="F1328" s="159" t="s">
        <v>5665</v>
      </c>
      <c r="G1328" s="159" t="s">
        <v>10818</v>
      </c>
    </row>
    <row r="1329" spans="1:7" ht="15.75" customHeight="1">
      <c r="A1329" s="159" t="s">
        <v>9275</v>
      </c>
      <c r="B1329" s="159" t="s">
        <v>9644</v>
      </c>
      <c r="C1329" s="159" t="s">
        <v>10287</v>
      </c>
      <c r="D1329" s="159" t="s">
        <v>484</v>
      </c>
      <c r="E1329" s="159">
        <v>10</v>
      </c>
      <c r="F1329" s="159" t="s">
        <v>5665</v>
      </c>
      <c r="G1329" s="159" t="s">
        <v>10237</v>
      </c>
    </row>
    <row r="1330" spans="1:7" ht="15.75" customHeight="1">
      <c r="A1330" s="159" t="s">
        <v>9275</v>
      </c>
      <c r="B1330" s="159" t="s">
        <v>9644</v>
      </c>
      <c r="C1330" s="159" t="s">
        <v>10471</v>
      </c>
      <c r="D1330" s="159" t="s">
        <v>477</v>
      </c>
      <c r="E1330" s="159">
        <v>255</v>
      </c>
      <c r="F1330" s="159" t="s">
        <v>5667</v>
      </c>
      <c r="G1330" s="159" t="s">
        <v>10475</v>
      </c>
    </row>
    <row r="1331" spans="1:7" ht="15.75" customHeight="1">
      <c r="A1331" s="159" t="s">
        <v>9275</v>
      </c>
      <c r="B1331" s="159" t="s">
        <v>9646</v>
      </c>
      <c r="C1331" s="159" t="s">
        <v>11219</v>
      </c>
      <c r="D1331" s="159" t="s">
        <v>477</v>
      </c>
      <c r="E1331" s="159">
        <v>32</v>
      </c>
      <c r="F1331" s="159" t="s">
        <v>5665</v>
      </c>
      <c r="G1331" s="159" t="s">
        <v>11220</v>
      </c>
    </row>
    <row r="1332" spans="1:7" ht="15.75" customHeight="1">
      <c r="A1332" s="159" t="s">
        <v>9275</v>
      </c>
      <c r="B1332" s="159" t="s">
        <v>9646</v>
      </c>
      <c r="C1332" s="159" t="s">
        <v>9217</v>
      </c>
      <c r="D1332" s="159" t="s">
        <v>978</v>
      </c>
      <c r="E1332" s="159">
        <v>5</v>
      </c>
      <c r="F1332" s="159" t="s">
        <v>5665</v>
      </c>
      <c r="G1332" s="159" t="s">
        <v>10818</v>
      </c>
    </row>
    <row r="1333" spans="1:7" ht="15.75" customHeight="1">
      <c r="A1333" s="159" t="s">
        <v>9275</v>
      </c>
      <c r="B1333" s="159" t="s">
        <v>9648</v>
      </c>
      <c r="C1333" s="159" t="s">
        <v>10287</v>
      </c>
      <c r="D1333" s="159" t="s">
        <v>484</v>
      </c>
      <c r="E1333" s="159">
        <v>10</v>
      </c>
      <c r="F1333" s="159" t="s">
        <v>5665</v>
      </c>
      <c r="G1333" s="159" t="s">
        <v>10237</v>
      </c>
    </row>
    <row r="1334" spans="1:7" ht="15.75" customHeight="1">
      <c r="A1334" s="159" t="s">
        <v>9275</v>
      </c>
      <c r="B1334" s="159" t="s">
        <v>9648</v>
      </c>
      <c r="C1334" s="159" t="s">
        <v>156</v>
      </c>
      <c r="D1334" s="159" t="s">
        <v>3893</v>
      </c>
      <c r="E1334" s="159">
        <v>65535</v>
      </c>
      <c r="F1334" s="159" t="s">
        <v>5667</v>
      </c>
      <c r="G1334" s="159" t="s">
        <v>4306</v>
      </c>
    </row>
    <row r="1335" spans="1:7" ht="15.75" customHeight="1">
      <c r="A1335" s="159" t="s">
        <v>9275</v>
      </c>
      <c r="B1335" s="159" t="s">
        <v>9648</v>
      </c>
      <c r="C1335" s="159" t="s">
        <v>3545</v>
      </c>
      <c r="D1335" s="159" t="s">
        <v>477</v>
      </c>
      <c r="E1335" s="159">
        <v>255</v>
      </c>
      <c r="F1335" s="159" t="s">
        <v>5667</v>
      </c>
      <c r="G1335" s="159" t="s">
        <v>5204</v>
      </c>
    </row>
    <row r="1336" spans="1:7" ht="15.75" customHeight="1">
      <c r="A1336" s="159" t="s">
        <v>9275</v>
      </c>
      <c r="B1336" s="159" t="s">
        <v>9648</v>
      </c>
      <c r="C1336" s="159" t="s">
        <v>10457</v>
      </c>
      <c r="D1336" s="159" t="s">
        <v>484</v>
      </c>
      <c r="E1336" s="159">
        <v>10</v>
      </c>
      <c r="F1336" s="159" t="s">
        <v>5667</v>
      </c>
      <c r="G1336" s="159" t="s">
        <v>10458</v>
      </c>
    </row>
    <row r="1337" spans="1:7" ht="15.75" customHeight="1">
      <c r="A1337" s="159" t="s">
        <v>9275</v>
      </c>
      <c r="B1337" s="159" t="s">
        <v>9648</v>
      </c>
      <c r="C1337" s="159" t="s">
        <v>10190</v>
      </c>
      <c r="D1337" s="159" t="s">
        <v>1413</v>
      </c>
      <c r="E1337" s="159"/>
      <c r="F1337" s="159" t="s">
        <v>5667</v>
      </c>
      <c r="G1337" s="159" t="s">
        <v>10327</v>
      </c>
    </row>
    <row r="1338" spans="1:7" ht="15.75" customHeight="1">
      <c r="A1338" s="159" t="s">
        <v>9275</v>
      </c>
      <c r="B1338" s="159" t="s">
        <v>9648</v>
      </c>
      <c r="C1338" s="159" t="s">
        <v>10882</v>
      </c>
      <c r="D1338" s="159" t="s">
        <v>484</v>
      </c>
      <c r="E1338" s="159">
        <v>10</v>
      </c>
      <c r="F1338" s="159" t="s">
        <v>5667</v>
      </c>
      <c r="G1338" s="159" t="s">
        <v>11221</v>
      </c>
    </row>
    <row r="1339" spans="1:7" ht="15.75" customHeight="1">
      <c r="A1339" s="159" t="s">
        <v>9275</v>
      </c>
      <c r="B1339" s="159" t="s">
        <v>9648</v>
      </c>
      <c r="C1339" s="159" t="s">
        <v>11215</v>
      </c>
      <c r="D1339" s="159" t="s">
        <v>477</v>
      </c>
      <c r="E1339" s="159">
        <v>255</v>
      </c>
      <c r="F1339" s="159" t="s">
        <v>5667</v>
      </c>
      <c r="G1339" s="159" t="s">
        <v>11222</v>
      </c>
    </row>
    <row r="1340" spans="1:7" ht="15.75" customHeight="1">
      <c r="A1340" s="159" t="s">
        <v>9275</v>
      </c>
      <c r="B1340" s="159" t="s">
        <v>9648</v>
      </c>
      <c r="C1340" s="159" t="s">
        <v>11201</v>
      </c>
      <c r="D1340" s="159" t="s">
        <v>3893</v>
      </c>
      <c r="E1340" s="159">
        <v>65535</v>
      </c>
      <c r="F1340" s="159" t="s">
        <v>5667</v>
      </c>
      <c r="G1340" s="159" t="s">
        <v>11223</v>
      </c>
    </row>
    <row r="1341" spans="1:7" ht="15.75" customHeight="1">
      <c r="A1341" s="159" t="s">
        <v>9275</v>
      </c>
      <c r="B1341" s="159" t="s">
        <v>9648</v>
      </c>
      <c r="C1341" s="159" t="s">
        <v>11204</v>
      </c>
      <c r="D1341" s="159" t="s">
        <v>1974</v>
      </c>
      <c r="E1341" s="159"/>
      <c r="F1341" s="159" t="s">
        <v>5667</v>
      </c>
      <c r="G1341" s="159" t="s">
        <v>11224</v>
      </c>
    </row>
    <row r="1342" spans="1:7" ht="15.75" customHeight="1">
      <c r="A1342" s="159" t="s">
        <v>9275</v>
      </c>
      <c r="B1342" s="159" t="s">
        <v>9648</v>
      </c>
      <c r="C1342" s="159" t="s">
        <v>11217</v>
      </c>
      <c r="D1342" s="159" t="s">
        <v>484</v>
      </c>
      <c r="E1342" s="159">
        <v>10</v>
      </c>
      <c r="F1342" s="159" t="s">
        <v>5667</v>
      </c>
      <c r="G1342" s="159" t="s">
        <v>7113</v>
      </c>
    </row>
    <row r="1343" spans="1:7" ht="15.75" customHeight="1">
      <c r="A1343" s="159" t="s">
        <v>9275</v>
      </c>
      <c r="B1343" s="159" t="s">
        <v>9648</v>
      </c>
      <c r="C1343" s="159" t="s">
        <v>11213</v>
      </c>
      <c r="D1343" s="159" t="s">
        <v>477</v>
      </c>
      <c r="E1343" s="159">
        <v>255</v>
      </c>
      <c r="F1343" s="159" t="s">
        <v>5667</v>
      </c>
      <c r="G1343" s="159" t="s">
        <v>11225</v>
      </c>
    </row>
    <row r="1344" spans="1:7" ht="15.75" customHeight="1">
      <c r="A1344" s="159" t="s">
        <v>9275</v>
      </c>
      <c r="B1344" s="159" t="s">
        <v>9648</v>
      </c>
      <c r="C1344" s="159" t="s">
        <v>10225</v>
      </c>
      <c r="D1344" s="159" t="s">
        <v>1413</v>
      </c>
      <c r="E1344" s="159"/>
      <c r="F1344" s="159" t="s">
        <v>5667</v>
      </c>
      <c r="G1344" s="159" t="s">
        <v>11226</v>
      </c>
    </row>
    <row r="1345" spans="1:7" ht="15.75" customHeight="1">
      <c r="A1345" s="159" t="s">
        <v>9275</v>
      </c>
      <c r="B1345" s="159" t="s">
        <v>9648</v>
      </c>
      <c r="C1345" s="159" t="s">
        <v>11227</v>
      </c>
      <c r="D1345" s="159" t="s">
        <v>3893</v>
      </c>
      <c r="E1345" s="159">
        <v>65535</v>
      </c>
      <c r="F1345" s="159" t="s">
        <v>5667</v>
      </c>
      <c r="G1345" s="159" t="s">
        <v>11228</v>
      </c>
    </row>
    <row r="1346" spans="1:7" ht="15.75" customHeight="1">
      <c r="A1346" s="159" t="s">
        <v>9275</v>
      </c>
      <c r="B1346" s="159" t="s">
        <v>9648</v>
      </c>
      <c r="C1346" s="159" t="s">
        <v>11229</v>
      </c>
      <c r="D1346" s="159" t="s">
        <v>3893</v>
      </c>
      <c r="E1346" s="159">
        <v>65535</v>
      </c>
      <c r="F1346" s="159" t="s">
        <v>5667</v>
      </c>
      <c r="G1346" s="159" t="s">
        <v>11230</v>
      </c>
    </row>
    <row r="1347" spans="1:7" ht="15.75" customHeight="1">
      <c r="A1347" s="159" t="s">
        <v>9275</v>
      </c>
      <c r="B1347" s="159" t="s">
        <v>9648</v>
      </c>
      <c r="C1347" s="159" t="s">
        <v>11231</v>
      </c>
      <c r="D1347" s="159" t="s">
        <v>477</v>
      </c>
      <c r="E1347" s="159">
        <v>255</v>
      </c>
      <c r="F1347" s="159" t="s">
        <v>5667</v>
      </c>
      <c r="G1347" s="159" t="s">
        <v>11232</v>
      </c>
    </row>
    <row r="1348" spans="1:7" ht="15.75" customHeight="1">
      <c r="A1348" s="159" t="s">
        <v>9275</v>
      </c>
      <c r="B1348" s="159" t="s">
        <v>9648</v>
      </c>
      <c r="C1348" s="159" t="s">
        <v>11233</v>
      </c>
      <c r="D1348" s="159" t="s">
        <v>477</v>
      </c>
      <c r="E1348" s="159">
        <v>255</v>
      </c>
      <c r="F1348" s="159" t="s">
        <v>5667</v>
      </c>
      <c r="G1348" s="159" t="s">
        <v>11234</v>
      </c>
    </row>
    <row r="1349" spans="1:7" ht="15.75" customHeight="1">
      <c r="A1349" s="159" t="s">
        <v>9275</v>
      </c>
      <c r="B1349" s="159" t="s">
        <v>9648</v>
      </c>
      <c r="C1349" s="159" t="s">
        <v>11235</v>
      </c>
      <c r="D1349" s="159" t="s">
        <v>477</v>
      </c>
      <c r="E1349" s="159">
        <v>255</v>
      </c>
      <c r="F1349" s="159" t="s">
        <v>5667</v>
      </c>
      <c r="G1349" s="159" t="s">
        <v>11236</v>
      </c>
    </row>
    <row r="1350" spans="1:7" ht="15.75" customHeight="1">
      <c r="A1350" s="159" t="s">
        <v>9275</v>
      </c>
      <c r="B1350" s="159" t="s">
        <v>9648</v>
      </c>
      <c r="C1350" s="159" t="s">
        <v>11237</v>
      </c>
      <c r="D1350" s="159" t="s">
        <v>477</v>
      </c>
      <c r="E1350" s="159">
        <v>255</v>
      </c>
      <c r="F1350" s="159" t="s">
        <v>5667</v>
      </c>
      <c r="G1350" s="159" t="s">
        <v>11238</v>
      </c>
    </row>
    <row r="1351" spans="1:7" ht="15.75" customHeight="1">
      <c r="A1351" s="159" t="s">
        <v>9275</v>
      </c>
      <c r="B1351" s="159" t="s">
        <v>9648</v>
      </c>
      <c r="C1351" s="159" t="s">
        <v>11239</v>
      </c>
      <c r="D1351" s="159" t="s">
        <v>477</v>
      </c>
      <c r="E1351" s="159">
        <v>255</v>
      </c>
      <c r="F1351" s="159" t="s">
        <v>5667</v>
      </c>
      <c r="G1351" s="159" t="s">
        <v>11240</v>
      </c>
    </row>
    <row r="1352" spans="1:7" ht="15.75" customHeight="1">
      <c r="A1352" s="159" t="s">
        <v>9275</v>
      </c>
      <c r="B1352" s="159" t="s">
        <v>9648</v>
      </c>
      <c r="C1352" s="159" t="s">
        <v>11241</v>
      </c>
      <c r="D1352" s="159" t="s">
        <v>477</v>
      </c>
      <c r="E1352" s="159">
        <v>255</v>
      </c>
      <c r="F1352" s="159" t="s">
        <v>5667</v>
      </c>
      <c r="G1352" s="159" t="s">
        <v>11242</v>
      </c>
    </row>
    <row r="1353" spans="1:7" ht="15.75" customHeight="1">
      <c r="A1353" s="159" t="s">
        <v>9275</v>
      </c>
      <c r="B1353" s="159" t="s">
        <v>9648</v>
      </c>
      <c r="C1353" s="159" t="s">
        <v>11243</v>
      </c>
      <c r="D1353" s="159" t="s">
        <v>484</v>
      </c>
      <c r="E1353" s="159">
        <v>10</v>
      </c>
      <c r="F1353" s="159" t="s">
        <v>5667</v>
      </c>
      <c r="G1353" s="159" t="s">
        <v>11244</v>
      </c>
    </row>
    <row r="1354" spans="1:7" ht="15.75" customHeight="1">
      <c r="A1354" s="159" t="s">
        <v>9275</v>
      </c>
      <c r="B1354" s="159" t="s">
        <v>9648</v>
      </c>
      <c r="C1354" s="159" t="s">
        <v>11245</v>
      </c>
      <c r="D1354" s="159" t="s">
        <v>477</v>
      </c>
      <c r="E1354" s="159">
        <v>255</v>
      </c>
      <c r="F1354" s="159" t="s">
        <v>5667</v>
      </c>
      <c r="G1354" s="159" t="s">
        <v>11246</v>
      </c>
    </row>
    <row r="1355" spans="1:7" ht="15.75" customHeight="1">
      <c r="A1355" s="159" t="s">
        <v>9275</v>
      </c>
      <c r="B1355" s="159" t="s">
        <v>9648</v>
      </c>
      <c r="C1355" s="159" t="s">
        <v>11247</v>
      </c>
      <c r="D1355" s="159" t="s">
        <v>477</v>
      </c>
      <c r="E1355" s="159">
        <v>255</v>
      </c>
      <c r="F1355" s="159" t="s">
        <v>5667</v>
      </c>
      <c r="G1355" s="159" t="s">
        <v>11248</v>
      </c>
    </row>
    <row r="1356" spans="1:7" ht="15.75" customHeight="1">
      <c r="A1356" s="159" t="s">
        <v>9275</v>
      </c>
      <c r="B1356" s="159" t="s">
        <v>9648</v>
      </c>
      <c r="C1356" s="159" t="s">
        <v>11249</v>
      </c>
      <c r="D1356" s="159" t="s">
        <v>477</v>
      </c>
      <c r="E1356" s="159">
        <v>255</v>
      </c>
      <c r="F1356" s="159" t="s">
        <v>5667</v>
      </c>
      <c r="G1356" s="159" t="s">
        <v>11250</v>
      </c>
    </row>
    <row r="1357" spans="1:7" ht="15.75" customHeight="1">
      <c r="A1357" s="159" t="s">
        <v>9275</v>
      </c>
      <c r="B1357" s="159" t="s">
        <v>9648</v>
      </c>
      <c r="C1357" s="159" t="s">
        <v>11251</v>
      </c>
      <c r="D1357" s="159" t="s">
        <v>477</v>
      </c>
      <c r="E1357" s="159">
        <v>255</v>
      </c>
      <c r="F1357" s="159" t="s">
        <v>5667</v>
      </c>
      <c r="G1357" s="159" t="s">
        <v>11252</v>
      </c>
    </row>
    <row r="1358" spans="1:7" ht="15.75" customHeight="1">
      <c r="A1358" s="159" t="s">
        <v>9275</v>
      </c>
      <c r="B1358" s="159" t="s">
        <v>9648</v>
      </c>
      <c r="C1358" s="159" t="s">
        <v>11253</v>
      </c>
      <c r="D1358" s="159" t="s">
        <v>477</v>
      </c>
      <c r="E1358" s="159">
        <v>255</v>
      </c>
      <c r="F1358" s="159" t="s">
        <v>5667</v>
      </c>
      <c r="G1358" s="159" t="s">
        <v>11254</v>
      </c>
    </row>
    <row r="1359" spans="1:7" ht="15.75" customHeight="1">
      <c r="A1359" s="159" t="s">
        <v>9275</v>
      </c>
      <c r="B1359" s="159" t="s">
        <v>9649</v>
      </c>
      <c r="C1359" s="159" t="s">
        <v>10884</v>
      </c>
      <c r="D1359" s="159" t="s">
        <v>484</v>
      </c>
      <c r="E1359" s="159">
        <v>10</v>
      </c>
      <c r="F1359" s="159" t="s">
        <v>5665</v>
      </c>
      <c r="G1359" s="159"/>
    </row>
    <row r="1360" spans="1:7" ht="15.75" customHeight="1">
      <c r="A1360" s="159" t="s">
        <v>9275</v>
      </c>
      <c r="B1360" s="159" t="s">
        <v>9649</v>
      </c>
      <c r="C1360" s="159" t="s">
        <v>11255</v>
      </c>
      <c r="D1360" s="159" t="s">
        <v>477</v>
      </c>
      <c r="E1360" s="159">
        <v>32</v>
      </c>
      <c r="F1360" s="159" t="s">
        <v>5665</v>
      </c>
      <c r="G1360" s="159" t="s">
        <v>11256</v>
      </c>
    </row>
    <row r="1361" spans="1:7" ht="15.75" customHeight="1">
      <c r="A1361" s="159" t="s">
        <v>9275</v>
      </c>
      <c r="B1361" s="159" t="s">
        <v>9649</v>
      </c>
      <c r="C1361" s="159" t="s">
        <v>10940</v>
      </c>
      <c r="D1361" s="159" t="s">
        <v>484</v>
      </c>
      <c r="E1361" s="159">
        <v>10</v>
      </c>
      <c r="F1361" s="159" t="s">
        <v>5665</v>
      </c>
      <c r="G1361" s="159" t="s">
        <v>10941</v>
      </c>
    </row>
    <row r="1362" spans="1:7" ht="15.75" customHeight="1">
      <c r="A1362" s="159" t="s">
        <v>9275</v>
      </c>
      <c r="B1362" s="159" t="s">
        <v>9651</v>
      </c>
      <c r="C1362" s="159" t="s">
        <v>183</v>
      </c>
      <c r="D1362" s="159" t="s">
        <v>484</v>
      </c>
      <c r="E1362" s="159">
        <v>10</v>
      </c>
      <c r="F1362" s="159" t="s">
        <v>5665</v>
      </c>
      <c r="G1362" s="159" t="s">
        <v>10174</v>
      </c>
    </row>
    <row r="1363" spans="1:7" ht="15.75" customHeight="1">
      <c r="A1363" s="159" t="s">
        <v>9275</v>
      </c>
      <c r="B1363" s="159" t="s">
        <v>9651</v>
      </c>
      <c r="C1363" s="159" t="s">
        <v>3940</v>
      </c>
      <c r="D1363" s="159" t="s">
        <v>484</v>
      </c>
      <c r="E1363" s="159">
        <v>10</v>
      </c>
      <c r="F1363" s="159" t="s">
        <v>5665</v>
      </c>
      <c r="G1363" s="159" t="s">
        <v>10747</v>
      </c>
    </row>
    <row r="1364" spans="1:7" ht="15.75" customHeight="1">
      <c r="A1364" s="159" t="s">
        <v>9275</v>
      </c>
      <c r="B1364" s="159" t="s">
        <v>9651</v>
      </c>
      <c r="C1364" s="159" t="s">
        <v>11257</v>
      </c>
      <c r="D1364" s="159" t="s">
        <v>1413</v>
      </c>
      <c r="E1364" s="159"/>
      <c r="F1364" s="159" t="s">
        <v>5667</v>
      </c>
      <c r="G1364" s="159" t="s">
        <v>11258</v>
      </c>
    </row>
    <row r="1365" spans="1:7" ht="15.75" customHeight="1">
      <c r="A1365" s="159" t="s">
        <v>9275</v>
      </c>
      <c r="B1365" s="159" t="s">
        <v>9651</v>
      </c>
      <c r="C1365" s="159" t="s">
        <v>11259</v>
      </c>
      <c r="D1365" s="159" t="s">
        <v>1413</v>
      </c>
      <c r="E1365" s="159"/>
      <c r="F1365" s="159" t="s">
        <v>5667</v>
      </c>
      <c r="G1365" s="159" t="s">
        <v>11260</v>
      </c>
    </row>
    <row r="1366" spans="1:7" ht="15.75" customHeight="1">
      <c r="A1366" s="159" t="s">
        <v>9275</v>
      </c>
      <c r="B1366" s="159" t="s">
        <v>9653</v>
      </c>
      <c r="C1366" s="159" t="s">
        <v>10826</v>
      </c>
      <c r="D1366" s="159" t="s">
        <v>1631</v>
      </c>
      <c r="E1366" s="159">
        <v>20</v>
      </c>
      <c r="F1366" s="159" t="s">
        <v>5665</v>
      </c>
      <c r="G1366" s="159" t="s">
        <v>10827</v>
      </c>
    </row>
    <row r="1367" spans="1:7" ht="15.75" customHeight="1">
      <c r="A1367" s="159" t="s">
        <v>9275</v>
      </c>
      <c r="B1367" s="159" t="s">
        <v>9653</v>
      </c>
      <c r="C1367" s="159" t="s">
        <v>3940</v>
      </c>
      <c r="D1367" s="159" t="s">
        <v>484</v>
      </c>
      <c r="E1367" s="159">
        <v>10</v>
      </c>
      <c r="F1367" s="159" t="s">
        <v>5667</v>
      </c>
      <c r="G1367" s="159" t="s">
        <v>10747</v>
      </c>
    </row>
    <row r="1368" spans="1:7" ht="15.75" customHeight="1">
      <c r="A1368" s="159" t="s">
        <v>9275</v>
      </c>
      <c r="B1368" s="159" t="s">
        <v>9653</v>
      </c>
      <c r="C1368" s="159" t="s">
        <v>5797</v>
      </c>
      <c r="D1368" s="159" t="s">
        <v>477</v>
      </c>
      <c r="E1368" s="159">
        <v>64</v>
      </c>
      <c r="F1368" s="159" t="s">
        <v>5667</v>
      </c>
      <c r="G1368" s="159" t="s">
        <v>11261</v>
      </c>
    </row>
    <row r="1369" spans="1:7" ht="15.75" customHeight="1">
      <c r="A1369" s="159" t="s">
        <v>9275</v>
      </c>
      <c r="B1369" s="159" t="s">
        <v>9653</v>
      </c>
      <c r="C1369" s="159" t="s">
        <v>11262</v>
      </c>
      <c r="D1369" s="159" t="s">
        <v>1413</v>
      </c>
      <c r="E1369" s="159"/>
      <c r="F1369" s="159" t="s">
        <v>5665</v>
      </c>
      <c r="G1369" s="159" t="s">
        <v>11263</v>
      </c>
    </row>
    <row r="1370" spans="1:7" ht="15.75" customHeight="1">
      <c r="A1370" s="159" t="s">
        <v>9275</v>
      </c>
      <c r="B1370" s="159" t="s">
        <v>9655</v>
      </c>
      <c r="C1370" s="159" t="s">
        <v>11264</v>
      </c>
      <c r="D1370" s="159" t="s">
        <v>484</v>
      </c>
      <c r="E1370" s="159">
        <v>10</v>
      </c>
      <c r="F1370" s="159" t="s">
        <v>5665</v>
      </c>
      <c r="G1370" s="159" t="s">
        <v>11265</v>
      </c>
    </row>
    <row r="1371" spans="1:7" ht="15.75" customHeight="1">
      <c r="A1371" s="159" t="s">
        <v>9275</v>
      </c>
      <c r="B1371" s="159" t="s">
        <v>9655</v>
      </c>
      <c r="C1371" s="159" t="s">
        <v>10290</v>
      </c>
      <c r="D1371" s="159" t="s">
        <v>978</v>
      </c>
      <c r="E1371" s="159">
        <v>5</v>
      </c>
      <c r="F1371" s="159" t="s">
        <v>5665</v>
      </c>
      <c r="G1371" s="159" t="s">
        <v>10507</v>
      </c>
    </row>
    <row r="1372" spans="1:7" ht="15.75" customHeight="1">
      <c r="A1372" s="159" t="s">
        <v>9275</v>
      </c>
      <c r="B1372" s="159" t="s">
        <v>9655</v>
      </c>
      <c r="C1372" s="159" t="s">
        <v>11266</v>
      </c>
      <c r="D1372" s="159" t="s">
        <v>477</v>
      </c>
      <c r="E1372" s="159">
        <v>255</v>
      </c>
      <c r="F1372" s="159" t="s">
        <v>5667</v>
      </c>
      <c r="G1372" s="159" t="s">
        <v>11267</v>
      </c>
    </row>
    <row r="1373" spans="1:7" ht="15.75" customHeight="1">
      <c r="A1373" s="159" t="s">
        <v>9275</v>
      </c>
      <c r="B1373" s="159" t="s">
        <v>9655</v>
      </c>
      <c r="C1373" s="159" t="s">
        <v>10295</v>
      </c>
      <c r="D1373" s="159" t="s">
        <v>1974</v>
      </c>
      <c r="E1373" s="159"/>
      <c r="F1373" s="159" t="s">
        <v>5667</v>
      </c>
      <c r="G1373" s="159" t="s">
        <v>11268</v>
      </c>
    </row>
    <row r="1374" spans="1:7" ht="15.75" customHeight="1">
      <c r="A1374" s="159" t="s">
        <v>9275</v>
      </c>
      <c r="B1374" s="159" t="s">
        <v>9655</v>
      </c>
      <c r="C1374" s="159" t="s">
        <v>10297</v>
      </c>
      <c r="D1374" s="159" t="s">
        <v>1974</v>
      </c>
      <c r="E1374" s="159"/>
      <c r="F1374" s="159" t="s">
        <v>5667</v>
      </c>
      <c r="G1374" s="159" t="s">
        <v>11269</v>
      </c>
    </row>
    <row r="1375" spans="1:7" ht="15.75" customHeight="1">
      <c r="A1375" s="159" t="s">
        <v>9275</v>
      </c>
      <c r="B1375" s="159" t="s">
        <v>9657</v>
      </c>
      <c r="C1375" s="159" t="s">
        <v>10285</v>
      </c>
      <c r="D1375" s="159" t="s">
        <v>484</v>
      </c>
      <c r="E1375" s="159">
        <v>10</v>
      </c>
      <c r="F1375" s="159" t="s">
        <v>5665</v>
      </c>
      <c r="G1375" s="159" t="s">
        <v>10286</v>
      </c>
    </row>
    <row r="1376" spans="1:7" ht="15.75" customHeight="1">
      <c r="A1376" s="159" t="s">
        <v>9275</v>
      </c>
      <c r="B1376" s="159" t="s">
        <v>9657</v>
      </c>
      <c r="C1376" s="159" t="s">
        <v>10287</v>
      </c>
      <c r="D1376" s="159" t="s">
        <v>484</v>
      </c>
      <c r="E1376" s="159">
        <v>10</v>
      </c>
      <c r="F1376" s="159" t="s">
        <v>5665</v>
      </c>
      <c r="G1376" s="159" t="s">
        <v>10237</v>
      </c>
    </row>
    <row r="1377" spans="1:7" ht="15.75" customHeight="1">
      <c r="A1377" s="159" t="s">
        <v>9275</v>
      </c>
      <c r="B1377" s="159" t="s">
        <v>9658</v>
      </c>
      <c r="C1377" s="159" t="s">
        <v>10287</v>
      </c>
      <c r="D1377" s="159" t="s">
        <v>484</v>
      </c>
      <c r="E1377" s="159">
        <v>10</v>
      </c>
      <c r="F1377" s="159" t="s">
        <v>5665</v>
      </c>
      <c r="G1377" s="159" t="s">
        <v>10237</v>
      </c>
    </row>
    <row r="1378" spans="1:7" ht="15.75" customHeight="1">
      <c r="A1378" s="159" t="s">
        <v>9275</v>
      </c>
      <c r="B1378" s="159" t="s">
        <v>9658</v>
      </c>
      <c r="C1378" s="159" t="s">
        <v>11270</v>
      </c>
      <c r="D1378" s="159" t="s">
        <v>484</v>
      </c>
      <c r="E1378" s="159">
        <v>10</v>
      </c>
      <c r="F1378" s="159" t="s">
        <v>5667</v>
      </c>
      <c r="G1378" s="159" t="s">
        <v>11271</v>
      </c>
    </row>
    <row r="1379" spans="1:7" ht="15.75" customHeight="1">
      <c r="A1379" s="159" t="s">
        <v>9275</v>
      </c>
      <c r="B1379" s="159" t="s">
        <v>9658</v>
      </c>
      <c r="C1379" s="159" t="s">
        <v>11272</v>
      </c>
      <c r="D1379" s="159" t="s">
        <v>484</v>
      </c>
      <c r="E1379" s="159">
        <v>10</v>
      </c>
      <c r="F1379" s="159" t="s">
        <v>5667</v>
      </c>
      <c r="G1379" s="159" t="s">
        <v>11273</v>
      </c>
    </row>
    <row r="1380" spans="1:7" ht="15.75" customHeight="1">
      <c r="A1380" s="159" t="s">
        <v>9275</v>
      </c>
      <c r="B1380" s="159" t="s">
        <v>9658</v>
      </c>
      <c r="C1380" s="159" t="s">
        <v>10290</v>
      </c>
      <c r="D1380" s="159" t="s">
        <v>484</v>
      </c>
      <c r="E1380" s="159">
        <v>10</v>
      </c>
      <c r="F1380" s="159" t="s">
        <v>5667</v>
      </c>
      <c r="G1380" s="159" t="s">
        <v>10291</v>
      </c>
    </row>
    <row r="1381" spans="1:7" ht="15.75" customHeight="1">
      <c r="A1381" s="159" t="s">
        <v>9275</v>
      </c>
      <c r="B1381" s="159" t="s">
        <v>9658</v>
      </c>
      <c r="C1381" s="159" t="s">
        <v>11274</v>
      </c>
      <c r="D1381" s="159" t="s">
        <v>477</v>
      </c>
      <c r="E1381" s="159">
        <v>255</v>
      </c>
      <c r="F1381" s="159" t="s">
        <v>5667</v>
      </c>
      <c r="G1381" s="159" t="s">
        <v>11275</v>
      </c>
    </row>
    <row r="1382" spans="1:7" ht="15.75" customHeight="1">
      <c r="A1382" s="159" t="s">
        <v>9275</v>
      </c>
      <c r="B1382" s="159" t="s">
        <v>9659</v>
      </c>
      <c r="C1382" s="159" t="s">
        <v>11181</v>
      </c>
      <c r="D1382" s="159" t="s">
        <v>484</v>
      </c>
      <c r="E1382" s="159">
        <v>10</v>
      </c>
      <c r="F1382" s="159" t="s">
        <v>5665</v>
      </c>
      <c r="G1382" s="159" t="s">
        <v>11276</v>
      </c>
    </row>
    <row r="1383" spans="1:7" ht="15.75" customHeight="1">
      <c r="A1383" s="159" t="s">
        <v>9275</v>
      </c>
      <c r="B1383" s="159" t="s">
        <v>9659</v>
      </c>
      <c r="C1383" s="159" t="s">
        <v>11179</v>
      </c>
      <c r="D1383" s="159" t="s">
        <v>484</v>
      </c>
      <c r="E1383" s="159">
        <v>10</v>
      </c>
      <c r="F1383" s="159" t="s">
        <v>5665</v>
      </c>
      <c r="G1383" s="159" t="s">
        <v>11277</v>
      </c>
    </row>
    <row r="1384" spans="1:7" ht="15.75" customHeight="1">
      <c r="A1384" s="159" t="s">
        <v>9275</v>
      </c>
      <c r="B1384" s="159" t="s">
        <v>9659</v>
      </c>
      <c r="C1384" s="159" t="s">
        <v>5764</v>
      </c>
      <c r="D1384" s="159" t="s">
        <v>477</v>
      </c>
      <c r="E1384" s="159">
        <v>32</v>
      </c>
      <c r="F1384" s="159" t="s">
        <v>5667</v>
      </c>
      <c r="G1384" s="159" t="s">
        <v>11278</v>
      </c>
    </row>
    <row r="1385" spans="1:7" ht="15.75" customHeight="1">
      <c r="A1385" s="159" t="s">
        <v>9275</v>
      </c>
      <c r="B1385" s="159" t="s">
        <v>9659</v>
      </c>
      <c r="C1385" s="159" t="s">
        <v>11279</v>
      </c>
      <c r="D1385" s="159" t="s">
        <v>477</v>
      </c>
      <c r="E1385" s="159">
        <v>255</v>
      </c>
      <c r="F1385" s="159" t="s">
        <v>5667</v>
      </c>
      <c r="G1385" s="159" t="s">
        <v>11280</v>
      </c>
    </row>
    <row r="1386" spans="1:7" ht="15.75" customHeight="1">
      <c r="A1386" s="159" t="s">
        <v>9275</v>
      </c>
      <c r="B1386" s="159" t="s">
        <v>9659</v>
      </c>
      <c r="C1386" s="159" t="s">
        <v>3947</v>
      </c>
      <c r="D1386" s="159" t="s">
        <v>477</v>
      </c>
      <c r="E1386" s="159">
        <v>32</v>
      </c>
      <c r="F1386" s="159" t="s">
        <v>5667</v>
      </c>
      <c r="G1386" s="159" t="s">
        <v>1588</v>
      </c>
    </row>
    <row r="1387" spans="1:7" ht="15.75" customHeight="1">
      <c r="A1387" s="159" t="s">
        <v>9275</v>
      </c>
      <c r="B1387" s="159" t="s">
        <v>9661</v>
      </c>
      <c r="C1387" s="159" t="s">
        <v>11281</v>
      </c>
      <c r="D1387" s="159" t="s">
        <v>477</v>
      </c>
      <c r="E1387" s="159">
        <v>16</v>
      </c>
      <c r="F1387" s="159" t="s">
        <v>5665</v>
      </c>
      <c r="G1387" s="159" t="s">
        <v>11282</v>
      </c>
    </row>
    <row r="1388" spans="1:7" ht="15.75" customHeight="1">
      <c r="A1388" s="159" t="s">
        <v>9275</v>
      </c>
      <c r="B1388" s="159" t="s">
        <v>9661</v>
      </c>
      <c r="C1388" s="159" t="s">
        <v>11181</v>
      </c>
      <c r="D1388" s="159" t="s">
        <v>484</v>
      </c>
      <c r="E1388" s="159">
        <v>10</v>
      </c>
      <c r="F1388" s="159" t="s">
        <v>5665</v>
      </c>
      <c r="G1388" s="159" t="s">
        <v>11276</v>
      </c>
    </row>
    <row r="1389" spans="1:7" ht="15.75" customHeight="1">
      <c r="A1389" s="159" t="s">
        <v>9275</v>
      </c>
      <c r="B1389" s="159" t="s">
        <v>9661</v>
      </c>
      <c r="C1389" s="159" t="s">
        <v>156</v>
      </c>
      <c r="D1389" s="159" t="s">
        <v>477</v>
      </c>
      <c r="E1389" s="159">
        <v>255</v>
      </c>
      <c r="F1389" s="159" t="s">
        <v>5667</v>
      </c>
      <c r="G1389" s="159" t="s">
        <v>11283</v>
      </c>
    </row>
    <row r="1390" spans="1:7" ht="15.75" customHeight="1">
      <c r="A1390" s="159" t="s">
        <v>9275</v>
      </c>
      <c r="B1390" s="159" t="s">
        <v>9663</v>
      </c>
      <c r="C1390" s="159" t="s">
        <v>3945</v>
      </c>
      <c r="D1390" s="159" t="s">
        <v>477</v>
      </c>
      <c r="E1390" s="159">
        <v>2</v>
      </c>
      <c r="F1390" s="159" t="s">
        <v>5665</v>
      </c>
      <c r="G1390" s="159" t="s">
        <v>11284</v>
      </c>
    </row>
    <row r="1391" spans="1:7" ht="15.75" customHeight="1">
      <c r="A1391" s="159" t="s">
        <v>9275</v>
      </c>
      <c r="B1391" s="159" t="s">
        <v>9663</v>
      </c>
      <c r="C1391" s="159" t="s">
        <v>11285</v>
      </c>
      <c r="D1391" s="159" t="s">
        <v>477</v>
      </c>
      <c r="E1391" s="159">
        <v>2</v>
      </c>
      <c r="F1391" s="159" t="s">
        <v>5667</v>
      </c>
      <c r="G1391" s="159" t="s">
        <v>11286</v>
      </c>
    </row>
    <row r="1392" spans="1:7" ht="15.75" customHeight="1">
      <c r="A1392" s="159" t="s">
        <v>9275</v>
      </c>
      <c r="B1392" s="159" t="s">
        <v>9663</v>
      </c>
      <c r="C1392" s="159" t="s">
        <v>11287</v>
      </c>
      <c r="D1392" s="159" t="s">
        <v>477</v>
      </c>
      <c r="E1392" s="159">
        <v>3</v>
      </c>
      <c r="F1392" s="159" t="s">
        <v>5667</v>
      </c>
      <c r="G1392" s="159" t="s">
        <v>11288</v>
      </c>
    </row>
    <row r="1393" spans="1:7" ht="15.75" customHeight="1">
      <c r="A1393" s="159" t="s">
        <v>9275</v>
      </c>
      <c r="B1393" s="159" t="s">
        <v>9665</v>
      </c>
      <c r="C1393" s="159" t="s">
        <v>11289</v>
      </c>
      <c r="D1393" s="159" t="s">
        <v>484</v>
      </c>
      <c r="E1393" s="159">
        <v>10</v>
      </c>
      <c r="F1393" s="159" t="s">
        <v>5665</v>
      </c>
      <c r="G1393" s="159" t="s">
        <v>11290</v>
      </c>
    </row>
    <row r="1394" spans="1:7" ht="15.75" customHeight="1">
      <c r="A1394" s="159" t="s">
        <v>9275</v>
      </c>
      <c r="B1394" s="159" t="s">
        <v>9665</v>
      </c>
      <c r="C1394" s="159" t="s">
        <v>3945</v>
      </c>
      <c r="D1394" s="159" t="s">
        <v>477</v>
      </c>
      <c r="E1394" s="159">
        <v>2</v>
      </c>
      <c r="F1394" s="159" t="s">
        <v>5667</v>
      </c>
      <c r="G1394" s="159" t="s">
        <v>11284</v>
      </c>
    </row>
    <row r="1395" spans="1:7" ht="15.75" customHeight="1">
      <c r="A1395" s="159" t="s">
        <v>9275</v>
      </c>
      <c r="B1395" s="159" t="s">
        <v>9665</v>
      </c>
      <c r="C1395" s="159" t="s">
        <v>5609</v>
      </c>
      <c r="D1395" s="159" t="s">
        <v>477</v>
      </c>
      <c r="E1395" s="159">
        <v>30</v>
      </c>
      <c r="F1395" s="159" t="s">
        <v>5667</v>
      </c>
      <c r="G1395" s="159" t="s">
        <v>11291</v>
      </c>
    </row>
    <row r="1396" spans="1:7" ht="15.75" customHeight="1">
      <c r="A1396" s="159" t="s">
        <v>9275</v>
      </c>
      <c r="B1396" s="159" t="s">
        <v>9665</v>
      </c>
      <c r="C1396" s="159" t="s">
        <v>11292</v>
      </c>
      <c r="D1396" s="159" t="s">
        <v>3893</v>
      </c>
      <c r="E1396" s="159">
        <v>65535</v>
      </c>
      <c r="F1396" s="159" t="s">
        <v>5665</v>
      </c>
      <c r="G1396" s="159" t="s">
        <v>11293</v>
      </c>
    </row>
    <row r="1397" spans="1:7" ht="15.75" customHeight="1">
      <c r="A1397" s="159" t="s">
        <v>9275</v>
      </c>
      <c r="B1397" s="159" t="s">
        <v>9667</v>
      </c>
      <c r="C1397" s="159" t="s">
        <v>11165</v>
      </c>
      <c r="D1397" s="159" t="s">
        <v>484</v>
      </c>
      <c r="E1397" s="159">
        <v>10</v>
      </c>
      <c r="F1397" s="159" t="s">
        <v>5665</v>
      </c>
      <c r="G1397" s="159" t="s">
        <v>11277</v>
      </c>
    </row>
    <row r="1398" spans="1:7" ht="15.75" customHeight="1">
      <c r="A1398" s="159" t="s">
        <v>9275</v>
      </c>
      <c r="B1398" s="159" t="s">
        <v>9667</v>
      </c>
      <c r="C1398" s="159" t="s">
        <v>3945</v>
      </c>
      <c r="D1398" s="159" t="s">
        <v>477</v>
      </c>
      <c r="E1398" s="159">
        <v>4</v>
      </c>
      <c r="F1398" s="159" t="s">
        <v>5665</v>
      </c>
      <c r="G1398" s="159" t="s">
        <v>11284</v>
      </c>
    </row>
    <row r="1399" spans="1:7" ht="15.75" customHeight="1">
      <c r="A1399" s="159" t="s">
        <v>9275</v>
      </c>
      <c r="B1399" s="159" t="s">
        <v>9667</v>
      </c>
      <c r="C1399" s="159" t="s">
        <v>5764</v>
      </c>
      <c r="D1399" s="159" t="s">
        <v>477</v>
      </c>
      <c r="E1399" s="159">
        <v>32</v>
      </c>
      <c r="F1399" s="159" t="s">
        <v>5667</v>
      </c>
      <c r="G1399" s="159" t="s">
        <v>11294</v>
      </c>
    </row>
    <row r="1400" spans="1:7" ht="15.75" customHeight="1">
      <c r="A1400" s="159" t="s">
        <v>9275</v>
      </c>
      <c r="B1400" s="159" t="s">
        <v>9667</v>
      </c>
      <c r="C1400" s="159" t="s">
        <v>11279</v>
      </c>
      <c r="D1400" s="159" t="s">
        <v>477</v>
      </c>
      <c r="E1400" s="159">
        <v>255</v>
      </c>
      <c r="F1400" s="159" t="s">
        <v>5667</v>
      </c>
      <c r="G1400" s="159" t="s">
        <v>11295</v>
      </c>
    </row>
    <row r="1401" spans="1:7" ht="15.75" customHeight="1">
      <c r="A1401" s="159" t="s">
        <v>9275</v>
      </c>
      <c r="B1401" s="159" t="s">
        <v>9669</v>
      </c>
      <c r="C1401" s="159" t="s">
        <v>11281</v>
      </c>
      <c r="D1401" s="159" t="s">
        <v>477</v>
      </c>
      <c r="E1401" s="159">
        <v>16</v>
      </c>
      <c r="F1401" s="159" t="s">
        <v>5665</v>
      </c>
      <c r="G1401" s="159" t="s">
        <v>11282</v>
      </c>
    </row>
    <row r="1402" spans="1:7" ht="15.75" customHeight="1">
      <c r="A1402" s="159" t="s">
        <v>9275</v>
      </c>
      <c r="B1402" s="159" t="s">
        <v>9669</v>
      </c>
      <c r="C1402" s="159" t="s">
        <v>11165</v>
      </c>
      <c r="D1402" s="159" t="s">
        <v>484</v>
      </c>
      <c r="E1402" s="159">
        <v>10</v>
      </c>
      <c r="F1402" s="159" t="s">
        <v>5665</v>
      </c>
      <c r="G1402" s="159" t="s">
        <v>11277</v>
      </c>
    </row>
    <row r="1403" spans="1:7" ht="15.75" customHeight="1">
      <c r="A1403" s="159" t="s">
        <v>9275</v>
      </c>
      <c r="B1403" s="159" t="s">
        <v>9669</v>
      </c>
      <c r="C1403" s="159" t="s">
        <v>156</v>
      </c>
      <c r="D1403" s="159" t="s">
        <v>477</v>
      </c>
      <c r="E1403" s="159">
        <v>255</v>
      </c>
      <c r="F1403" s="159" t="s">
        <v>5667</v>
      </c>
      <c r="G1403" s="159" t="s">
        <v>11295</v>
      </c>
    </row>
    <row r="1404" spans="1:7" ht="15.75" customHeight="1">
      <c r="A1404" s="159" t="s">
        <v>9275</v>
      </c>
      <c r="B1404" s="159" t="s">
        <v>9671</v>
      </c>
      <c r="C1404" s="159" t="s">
        <v>11296</v>
      </c>
      <c r="D1404" s="159" t="s">
        <v>477</v>
      </c>
      <c r="E1404" s="159">
        <v>3</v>
      </c>
      <c r="F1404" s="159" t="s">
        <v>5665</v>
      </c>
      <c r="G1404" s="159" t="s">
        <v>11297</v>
      </c>
    </row>
    <row r="1405" spans="1:7" ht="15.75" customHeight="1">
      <c r="A1405" s="159" t="s">
        <v>9275</v>
      </c>
      <c r="B1405" s="159" t="s">
        <v>9671</v>
      </c>
      <c r="C1405" s="159" t="s">
        <v>11298</v>
      </c>
      <c r="D1405" s="159" t="s">
        <v>477</v>
      </c>
      <c r="E1405" s="159">
        <v>3</v>
      </c>
      <c r="F1405" s="159" t="s">
        <v>5665</v>
      </c>
      <c r="G1405" s="159" t="s">
        <v>11299</v>
      </c>
    </row>
    <row r="1406" spans="1:7" ht="15.75" customHeight="1">
      <c r="A1406" s="159" t="s">
        <v>9275</v>
      </c>
      <c r="B1406" s="159" t="s">
        <v>9671</v>
      </c>
      <c r="C1406" s="159" t="s">
        <v>10973</v>
      </c>
      <c r="D1406" s="159" t="s">
        <v>481</v>
      </c>
      <c r="E1406" s="159">
        <v>24</v>
      </c>
      <c r="F1406" s="159" t="s">
        <v>5665</v>
      </c>
      <c r="G1406" s="159" t="s">
        <v>11300</v>
      </c>
    </row>
    <row r="1407" spans="1:7" ht="15.75" customHeight="1">
      <c r="A1407" s="159" t="s">
        <v>9275</v>
      </c>
      <c r="B1407" s="159" t="s">
        <v>9673</v>
      </c>
      <c r="C1407" s="159" t="s">
        <v>11179</v>
      </c>
      <c r="D1407" s="159" t="s">
        <v>484</v>
      </c>
      <c r="E1407" s="159">
        <v>10</v>
      </c>
      <c r="F1407" s="159" t="s">
        <v>5665</v>
      </c>
      <c r="G1407" s="159" t="s">
        <v>11301</v>
      </c>
    </row>
    <row r="1408" spans="1:7" ht="15.75" customHeight="1">
      <c r="A1408" s="159" t="s">
        <v>9275</v>
      </c>
      <c r="B1408" s="159" t="s">
        <v>9673</v>
      </c>
      <c r="C1408" s="159" t="s">
        <v>11165</v>
      </c>
      <c r="D1408" s="159" t="s">
        <v>484</v>
      </c>
      <c r="E1408" s="159">
        <v>10</v>
      </c>
      <c r="F1408" s="159" t="s">
        <v>5665</v>
      </c>
      <c r="G1408" s="159" t="s">
        <v>11277</v>
      </c>
    </row>
    <row r="1409" spans="1:7" ht="15.75" customHeight="1">
      <c r="A1409" s="159" t="s">
        <v>9275</v>
      </c>
      <c r="B1409" s="159" t="s">
        <v>9673</v>
      </c>
      <c r="C1409" s="159" t="s">
        <v>5764</v>
      </c>
      <c r="D1409" s="159" t="s">
        <v>477</v>
      </c>
      <c r="E1409" s="159">
        <v>32</v>
      </c>
      <c r="F1409" s="159" t="s">
        <v>5667</v>
      </c>
      <c r="G1409" s="159" t="s">
        <v>11302</v>
      </c>
    </row>
    <row r="1410" spans="1:7" ht="15.75" customHeight="1">
      <c r="A1410" s="159" t="s">
        <v>9275</v>
      </c>
      <c r="B1410" s="159" t="s">
        <v>9673</v>
      </c>
      <c r="C1410" s="159" t="s">
        <v>11279</v>
      </c>
      <c r="D1410" s="159" t="s">
        <v>477</v>
      </c>
      <c r="E1410" s="159">
        <v>255</v>
      </c>
      <c r="F1410" s="159" t="s">
        <v>5667</v>
      </c>
      <c r="G1410" s="159" t="s">
        <v>11283</v>
      </c>
    </row>
    <row r="1411" spans="1:7" ht="15.75" customHeight="1">
      <c r="A1411" s="159" t="s">
        <v>9275</v>
      </c>
      <c r="B1411" s="159" t="s">
        <v>9675</v>
      </c>
      <c r="C1411" s="159" t="s">
        <v>11281</v>
      </c>
      <c r="D1411" s="159" t="s">
        <v>477</v>
      </c>
      <c r="E1411" s="159">
        <v>16</v>
      </c>
      <c r="F1411" s="159" t="s">
        <v>5665</v>
      </c>
      <c r="G1411" s="159" t="s">
        <v>11282</v>
      </c>
    </row>
    <row r="1412" spans="1:7" ht="15.75" customHeight="1">
      <c r="A1412" s="159" t="s">
        <v>9275</v>
      </c>
      <c r="B1412" s="159" t="s">
        <v>9675</v>
      </c>
      <c r="C1412" s="159" t="s">
        <v>11179</v>
      </c>
      <c r="D1412" s="159" t="s">
        <v>484</v>
      </c>
      <c r="E1412" s="159">
        <v>10</v>
      </c>
      <c r="F1412" s="159" t="s">
        <v>5665</v>
      </c>
      <c r="G1412" s="159" t="s">
        <v>11301</v>
      </c>
    </row>
    <row r="1413" spans="1:7" ht="15.75" customHeight="1">
      <c r="A1413" s="159" t="s">
        <v>9275</v>
      </c>
      <c r="B1413" s="159" t="s">
        <v>9675</v>
      </c>
      <c r="C1413" s="159" t="s">
        <v>156</v>
      </c>
      <c r="D1413" s="159" t="s">
        <v>477</v>
      </c>
      <c r="E1413" s="159">
        <v>255</v>
      </c>
      <c r="F1413" s="159" t="s">
        <v>5667</v>
      </c>
      <c r="G1413" s="159" t="s">
        <v>11283</v>
      </c>
    </row>
    <row r="1414" spans="1:7" ht="15.75" customHeight="1">
      <c r="A1414" s="159" t="s">
        <v>9275</v>
      </c>
      <c r="B1414" s="159" t="s">
        <v>9677</v>
      </c>
      <c r="C1414" s="159" t="s">
        <v>10975</v>
      </c>
      <c r="D1414" s="159" t="s">
        <v>484</v>
      </c>
      <c r="E1414" s="159">
        <v>10</v>
      </c>
      <c r="F1414" s="159" t="s">
        <v>5665</v>
      </c>
      <c r="G1414" s="159" t="s">
        <v>10976</v>
      </c>
    </row>
    <row r="1415" spans="1:7" ht="15.75" customHeight="1">
      <c r="A1415" s="159" t="s">
        <v>9275</v>
      </c>
      <c r="B1415" s="159" t="s">
        <v>9677</v>
      </c>
      <c r="C1415" s="159" t="s">
        <v>1394</v>
      </c>
      <c r="D1415" s="159" t="s">
        <v>484</v>
      </c>
      <c r="E1415" s="159">
        <v>10</v>
      </c>
      <c r="F1415" s="159" t="s">
        <v>5665</v>
      </c>
      <c r="G1415" s="159" t="s">
        <v>4828</v>
      </c>
    </row>
    <row r="1416" spans="1:7" ht="15.75" customHeight="1">
      <c r="A1416" s="159" t="s">
        <v>9275</v>
      </c>
      <c r="B1416" s="159" t="s">
        <v>9677</v>
      </c>
      <c r="C1416" s="159" t="s">
        <v>10469</v>
      </c>
      <c r="D1416" s="159" t="s">
        <v>484</v>
      </c>
      <c r="E1416" s="159">
        <v>10</v>
      </c>
      <c r="F1416" s="159" t="s">
        <v>5665</v>
      </c>
      <c r="G1416" s="159" t="s">
        <v>11303</v>
      </c>
    </row>
    <row r="1417" spans="1:7" ht="15.75" customHeight="1">
      <c r="A1417" s="159" t="s">
        <v>9275</v>
      </c>
      <c r="B1417" s="159" t="s">
        <v>9677</v>
      </c>
      <c r="C1417" s="159" t="s">
        <v>11304</v>
      </c>
      <c r="D1417" s="159" t="s">
        <v>484</v>
      </c>
      <c r="E1417" s="159">
        <v>10</v>
      </c>
      <c r="F1417" s="159" t="s">
        <v>5667</v>
      </c>
      <c r="G1417" s="159" t="s">
        <v>11305</v>
      </c>
    </row>
    <row r="1418" spans="1:7" ht="15.75" customHeight="1">
      <c r="A1418" s="159" t="s">
        <v>9275</v>
      </c>
      <c r="B1418" s="159" t="s">
        <v>9677</v>
      </c>
      <c r="C1418" s="159" t="s">
        <v>11306</v>
      </c>
      <c r="D1418" s="159" t="s">
        <v>978</v>
      </c>
      <c r="E1418" s="159">
        <v>5</v>
      </c>
      <c r="F1418" s="159" t="s">
        <v>5665</v>
      </c>
      <c r="G1418" s="159" t="s">
        <v>11307</v>
      </c>
    </row>
    <row r="1419" spans="1:7" ht="15.75" customHeight="1">
      <c r="A1419" s="159" t="s">
        <v>9275</v>
      </c>
      <c r="B1419" s="159" t="s">
        <v>9677</v>
      </c>
      <c r="C1419" s="159" t="s">
        <v>11308</v>
      </c>
      <c r="D1419" s="159" t="s">
        <v>477</v>
      </c>
      <c r="E1419" s="159">
        <v>255</v>
      </c>
      <c r="F1419" s="159" t="s">
        <v>5667</v>
      </c>
      <c r="G1419" s="159" t="s">
        <v>11309</v>
      </c>
    </row>
    <row r="1420" spans="1:7" ht="15.75" customHeight="1">
      <c r="A1420" s="159" t="s">
        <v>9275</v>
      </c>
      <c r="B1420" s="159" t="s">
        <v>9677</v>
      </c>
      <c r="C1420" s="159" t="s">
        <v>11310</v>
      </c>
      <c r="D1420" s="159" t="s">
        <v>477</v>
      </c>
      <c r="E1420" s="159">
        <v>255</v>
      </c>
      <c r="F1420" s="159" t="s">
        <v>5667</v>
      </c>
      <c r="G1420" s="159" t="s">
        <v>11311</v>
      </c>
    </row>
    <row r="1421" spans="1:7" ht="15.75" customHeight="1">
      <c r="A1421" s="159" t="s">
        <v>9275</v>
      </c>
      <c r="B1421" s="159" t="s">
        <v>9677</v>
      </c>
      <c r="C1421" s="159" t="s">
        <v>11312</v>
      </c>
      <c r="D1421" s="159" t="s">
        <v>477</v>
      </c>
      <c r="E1421" s="159">
        <v>20</v>
      </c>
      <c r="F1421" s="159" t="s">
        <v>5667</v>
      </c>
      <c r="G1421" s="159" t="s">
        <v>11313</v>
      </c>
    </row>
    <row r="1422" spans="1:7" ht="15.75" customHeight="1">
      <c r="A1422" s="159" t="s">
        <v>9275</v>
      </c>
      <c r="B1422" s="159" t="s">
        <v>9677</v>
      </c>
      <c r="C1422" s="159" t="s">
        <v>11314</v>
      </c>
      <c r="D1422" s="159" t="s">
        <v>477</v>
      </c>
      <c r="E1422" s="159">
        <v>255</v>
      </c>
      <c r="F1422" s="159" t="s">
        <v>5667</v>
      </c>
      <c r="G1422" s="159" t="s">
        <v>11315</v>
      </c>
    </row>
    <row r="1423" spans="1:7" ht="15.75" customHeight="1">
      <c r="A1423" s="159" t="s">
        <v>9275</v>
      </c>
      <c r="B1423" s="159" t="s">
        <v>9677</v>
      </c>
      <c r="C1423" s="159" t="s">
        <v>11316</v>
      </c>
      <c r="D1423" s="159" t="s">
        <v>477</v>
      </c>
      <c r="E1423" s="159">
        <v>255</v>
      </c>
      <c r="F1423" s="159" t="s">
        <v>5667</v>
      </c>
      <c r="G1423" s="159" t="s">
        <v>11317</v>
      </c>
    </row>
    <row r="1424" spans="1:7" ht="15.75" customHeight="1">
      <c r="A1424" s="159" t="s">
        <v>9275</v>
      </c>
      <c r="B1424" s="159" t="s">
        <v>9677</v>
      </c>
      <c r="C1424" s="159" t="s">
        <v>11318</v>
      </c>
      <c r="D1424" s="159" t="s">
        <v>477</v>
      </c>
      <c r="E1424" s="159">
        <v>20</v>
      </c>
      <c r="F1424" s="159" t="s">
        <v>5667</v>
      </c>
      <c r="G1424" s="159" t="s">
        <v>11319</v>
      </c>
    </row>
    <row r="1425" spans="1:7" ht="15.75" customHeight="1">
      <c r="A1425" s="159" t="s">
        <v>9275</v>
      </c>
      <c r="B1425" s="159" t="s">
        <v>9679</v>
      </c>
      <c r="C1425" s="159" t="s">
        <v>11320</v>
      </c>
      <c r="D1425" s="159" t="s">
        <v>484</v>
      </c>
      <c r="E1425" s="159">
        <v>10</v>
      </c>
      <c r="F1425" s="159" t="s">
        <v>5665</v>
      </c>
      <c r="G1425" s="159" t="s">
        <v>11321</v>
      </c>
    </row>
    <row r="1426" spans="1:7" ht="15.75" customHeight="1">
      <c r="A1426" s="159" t="s">
        <v>9275</v>
      </c>
      <c r="B1426" s="159" t="s">
        <v>9679</v>
      </c>
      <c r="C1426" s="159" t="s">
        <v>10975</v>
      </c>
      <c r="D1426" s="159" t="s">
        <v>484</v>
      </c>
      <c r="E1426" s="159">
        <v>10</v>
      </c>
      <c r="F1426" s="159" t="s">
        <v>5665</v>
      </c>
      <c r="G1426" s="159" t="s">
        <v>10976</v>
      </c>
    </row>
    <row r="1427" spans="1:7" ht="15.75" customHeight="1">
      <c r="A1427" s="159" t="s">
        <v>9275</v>
      </c>
      <c r="B1427" s="159" t="s">
        <v>9679</v>
      </c>
      <c r="C1427" s="159" t="s">
        <v>10882</v>
      </c>
      <c r="D1427" s="159" t="s">
        <v>978</v>
      </c>
      <c r="E1427" s="159">
        <v>5</v>
      </c>
      <c r="F1427" s="159" t="s">
        <v>5665</v>
      </c>
      <c r="G1427" s="159" t="s">
        <v>10883</v>
      </c>
    </row>
    <row r="1428" spans="1:7" ht="15.75" customHeight="1">
      <c r="A1428" s="159" t="s">
        <v>9275</v>
      </c>
      <c r="B1428" s="159" t="s">
        <v>9679</v>
      </c>
      <c r="C1428" s="159" t="s">
        <v>10942</v>
      </c>
      <c r="D1428" s="159" t="s">
        <v>481</v>
      </c>
      <c r="E1428" s="159">
        <v>20</v>
      </c>
      <c r="F1428" s="159" t="s">
        <v>5665</v>
      </c>
      <c r="G1428" s="159" t="s">
        <v>3497</v>
      </c>
    </row>
    <row r="1429" spans="1:7" ht="15.75" customHeight="1">
      <c r="A1429" s="159" t="s">
        <v>9275</v>
      </c>
      <c r="B1429" s="159" t="s">
        <v>9681</v>
      </c>
      <c r="C1429" s="159" t="s">
        <v>11322</v>
      </c>
      <c r="D1429" s="159" t="s">
        <v>484</v>
      </c>
      <c r="E1429" s="159">
        <v>10</v>
      </c>
      <c r="F1429" s="159" t="s">
        <v>5665</v>
      </c>
      <c r="G1429" s="159" t="s">
        <v>11323</v>
      </c>
    </row>
    <row r="1430" spans="1:7" ht="15.75" customHeight="1">
      <c r="A1430" s="159" t="s">
        <v>9275</v>
      </c>
      <c r="B1430" s="159" t="s">
        <v>9681</v>
      </c>
      <c r="C1430" s="159" t="s">
        <v>3635</v>
      </c>
      <c r="D1430" s="159" t="s">
        <v>484</v>
      </c>
      <c r="E1430" s="159">
        <v>10</v>
      </c>
      <c r="F1430" s="159" t="s">
        <v>5667</v>
      </c>
      <c r="G1430" s="159" t="s">
        <v>10722</v>
      </c>
    </row>
    <row r="1431" spans="1:7" ht="15.75" customHeight="1">
      <c r="A1431" s="159" t="s">
        <v>9275</v>
      </c>
      <c r="B1431" s="159" t="s">
        <v>9681</v>
      </c>
      <c r="C1431" s="159" t="s">
        <v>10748</v>
      </c>
      <c r="D1431" s="159" t="s">
        <v>477</v>
      </c>
      <c r="E1431" s="159">
        <v>50</v>
      </c>
      <c r="F1431" s="159" t="s">
        <v>5667</v>
      </c>
      <c r="G1431" s="159" t="s">
        <v>10749</v>
      </c>
    </row>
    <row r="1432" spans="1:7" ht="15.75" customHeight="1">
      <c r="A1432" s="159" t="s">
        <v>9275</v>
      </c>
      <c r="B1432" s="159" t="s">
        <v>9681</v>
      </c>
      <c r="C1432" s="159" t="s">
        <v>10680</v>
      </c>
      <c r="D1432" s="159" t="s">
        <v>484</v>
      </c>
      <c r="E1432" s="159">
        <v>10</v>
      </c>
      <c r="F1432" s="159" t="s">
        <v>5665</v>
      </c>
      <c r="G1432" s="159" t="s">
        <v>11324</v>
      </c>
    </row>
    <row r="1433" spans="1:7" ht="15.75" customHeight="1">
      <c r="A1433" s="159" t="s">
        <v>9275</v>
      </c>
      <c r="B1433" s="159" t="s">
        <v>9681</v>
      </c>
      <c r="C1433" s="159" t="s">
        <v>10190</v>
      </c>
      <c r="D1433" s="159" t="s">
        <v>1413</v>
      </c>
      <c r="E1433" s="159"/>
      <c r="F1433" s="159" t="s">
        <v>5665</v>
      </c>
      <c r="G1433" s="159" t="s">
        <v>11325</v>
      </c>
    </row>
    <row r="1434" spans="1:7" ht="15.75" customHeight="1">
      <c r="A1434" s="159" t="s">
        <v>9275</v>
      </c>
      <c r="B1434" s="159" t="s">
        <v>9681</v>
      </c>
      <c r="C1434" s="159" t="s">
        <v>10242</v>
      </c>
      <c r="D1434" s="159" t="s">
        <v>1413</v>
      </c>
      <c r="E1434" s="159"/>
      <c r="F1434" s="159" t="s">
        <v>5665</v>
      </c>
      <c r="G1434" s="159" t="s">
        <v>11326</v>
      </c>
    </row>
    <row r="1435" spans="1:7" ht="15.75" customHeight="1">
      <c r="A1435" s="159" t="s">
        <v>9275</v>
      </c>
      <c r="B1435" s="159" t="s">
        <v>9681</v>
      </c>
      <c r="C1435" s="159" t="s">
        <v>3940</v>
      </c>
      <c r="D1435" s="159" t="s">
        <v>484</v>
      </c>
      <c r="E1435" s="159">
        <v>10</v>
      </c>
      <c r="F1435" s="159" t="s">
        <v>5667</v>
      </c>
      <c r="G1435" s="159" t="s">
        <v>10747</v>
      </c>
    </row>
    <row r="1436" spans="1:7" ht="15.75" customHeight="1">
      <c r="A1436" s="159" t="s">
        <v>9275</v>
      </c>
      <c r="B1436" s="159" t="s">
        <v>9681</v>
      </c>
      <c r="C1436" s="159" t="s">
        <v>1823</v>
      </c>
      <c r="D1436" s="159" t="s">
        <v>477</v>
      </c>
      <c r="E1436" s="159">
        <v>255</v>
      </c>
      <c r="F1436" s="159" t="s">
        <v>5667</v>
      </c>
      <c r="G1436" s="159" t="s">
        <v>4423</v>
      </c>
    </row>
    <row r="1437" spans="1:7" ht="15.75" customHeight="1">
      <c r="A1437" s="159" t="s">
        <v>9275</v>
      </c>
      <c r="B1437" s="159" t="s">
        <v>9681</v>
      </c>
      <c r="C1437" s="159" t="s">
        <v>11327</v>
      </c>
      <c r="D1437" s="159" t="s">
        <v>477</v>
      </c>
      <c r="E1437" s="159">
        <v>255</v>
      </c>
      <c r="F1437" s="159" t="s">
        <v>5667</v>
      </c>
      <c r="G1437" s="159" t="s">
        <v>11328</v>
      </c>
    </row>
    <row r="1438" spans="1:7" ht="15.75" customHeight="1">
      <c r="A1438" s="159" t="s">
        <v>9275</v>
      </c>
      <c r="B1438" s="159" t="s">
        <v>9681</v>
      </c>
      <c r="C1438" s="159" t="s">
        <v>11329</v>
      </c>
      <c r="D1438" s="159" t="s">
        <v>477</v>
      </c>
      <c r="E1438" s="159">
        <v>255</v>
      </c>
      <c r="F1438" s="159" t="s">
        <v>5667</v>
      </c>
      <c r="G1438" s="159" t="s">
        <v>11330</v>
      </c>
    </row>
    <row r="1439" spans="1:7" ht="15.75" customHeight="1">
      <c r="A1439" s="159" t="s">
        <v>9275</v>
      </c>
      <c r="B1439" s="159" t="s">
        <v>9683</v>
      </c>
      <c r="C1439" s="159" t="s">
        <v>10761</v>
      </c>
      <c r="D1439" s="159" t="s">
        <v>484</v>
      </c>
      <c r="E1439" s="159">
        <v>10</v>
      </c>
      <c r="F1439" s="159" t="s">
        <v>5665</v>
      </c>
      <c r="G1439" s="159" t="s">
        <v>10762</v>
      </c>
    </row>
    <row r="1440" spans="1:7" ht="15.75" customHeight="1">
      <c r="A1440" s="159" t="s">
        <v>9275</v>
      </c>
      <c r="B1440" s="159" t="s">
        <v>9683</v>
      </c>
      <c r="C1440" s="159" t="s">
        <v>11322</v>
      </c>
      <c r="D1440" s="159" t="s">
        <v>484</v>
      </c>
      <c r="E1440" s="159">
        <v>10</v>
      </c>
      <c r="F1440" s="159" t="s">
        <v>5665</v>
      </c>
      <c r="G1440" s="159" t="s">
        <v>11323</v>
      </c>
    </row>
    <row r="1441" spans="1:7" ht="15.75" customHeight="1">
      <c r="A1441" s="159" t="s">
        <v>9275</v>
      </c>
      <c r="B1441" s="159" t="s">
        <v>9683</v>
      </c>
      <c r="C1441" s="159" t="s">
        <v>10680</v>
      </c>
      <c r="D1441" s="159" t="s">
        <v>484</v>
      </c>
      <c r="E1441" s="159">
        <v>10</v>
      </c>
      <c r="F1441" s="159" t="s">
        <v>5667</v>
      </c>
      <c r="G1441" s="159" t="s">
        <v>11324</v>
      </c>
    </row>
    <row r="1442" spans="1:7" ht="15.75" customHeight="1">
      <c r="A1442" s="159" t="s">
        <v>9275</v>
      </c>
      <c r="B1442" s="159" t="s">
        <v>9683</v>
      </c>
      <c r="C1442" s="159" t="s">
        <v>1394</v>
      </c>
      <c r="D1442" s="159" t="s">
        <v>484</v>
      </c>
      <c r="E1442" s="159">
        <v>10</v>
      </c>
      <c r="F1442" s="159" t="s">
        <v>5667</v>
      </c>
      <c r="G1442" s="159" t="s">
        <v>4828</v>
      </c>
    </row>
    <row r="1443" spans="1:7" ht="15.75" customHeight="1">
      <c r="A1443" s="159" t="s">
        <v>9275</v>
      </c>
      <c r="B1443" s="159" t="s">
        <v>9683</v>
      </c>
      <c r="C1443" s="159" t="s">
        <v>11331</v>
      </c>
      <c r="D1443" s="159" t="s">
        <v>477</v>
      </c>
      <c r="E1443" s="159">
        <v>255</v>
      </c>
      <c r="F1443" s="159" t="s">
        <v>5667</v>
      </c>
      <c r="G1443" s="159" t="s">
        <v>11332</v>
      </c>
    </row>
    <row r="1444" spans="1:7" ht="15.75" customHeight="1">
      <c r="A1444" s="159" t="s">
        <v>9275</v>
      </c>
      <c r="B1444" s="159" t="s">
        <v>9683</v>
      </c>
      <c r="C1444" s="159" t="s">
        <v>11333</v>
      </c>
      <c r="D1444" s="159" t="s">
        <v>484</v>
      </c>
      <c r="E1444" s="159">
        <v>10</v>
      </c>
      <c r="F1444" s="159" t="s">
        <v>5665</v>
      </c>
      <c r="G1444" s="159" t="s">
        <v>11334</v>
      </c>
    </row>
    <row r="1445" spans="1:7" ht="15.75" customHeight="1">
      <c r="A1445" s="159" t="s">
        <v>9275</v>
      </c>
      <c r="B1445" s="159" t="s">
        <v>9683</v>
      </c>
      <c r="C1445" s="159" t="s">
        <v>11335</v>
      </c>
      <c r="D1445" s="159" t="s">
        <v>484</v>
      </c>
      <c r="E1445" s="159">
        <v>10</v>
      </c>
      <c r="F1445" s="159" t="s">
        <v>5665</v>
      </c>
      <c r="G1445" s="159" t="s">
        <v>11336</v>
      </c>
    </row>
    <row r="1446" spans="1:7" ht="15.75" customHeight="1">
      <c r="A1446" s="159" t="s">
        <v>9275</v>
      </c>
      <c r="B1446" s="159" t="s">
        <v>9683</v>
      </c>
      <c r="C1446" s="159" t="s">
        <v>10975</v>
      </c>
      <c r="D1446" s="159" t="s">
        <v>484</v>
      </c>
      <c r="E1446" s="159">
        <v>10</v>
      </c>
      <c r="F1446" s="159" t="s">
        <v>5665</v>
      </c>
      <c r="G1446" s="159" t="s">
        <v>10976</v>
      </c>
    </row>
    <row r="1447" spans="1:7" ht="15.75" customHeight="1">
      <c r="A1447" s="159" t="s">
        <v>9275</v>
      </c>
      <c r="B1447" s="159" t="s">
        <v>9683</v>
      </c>
      <c r="C1447" s="159" t="s">
        <v>11337</v>
      </c>
      <c r="D1447" s="159" t="s">
        <v>477</v>
      </c>
      <c r="E1447" s="159">
        <v>255</v>
      </c>
      <c r="F1447" s="159" t="s">
        <v>5667</v>
      </c>
      <c r="G1447" s="159" t="s">
        <v>11338</v>
      </c>
    </row>
    <row r="1448" spans="1:7" ht="15.75" customHeight="1">
      <c r="A1448" s="159" t="s">
        <v>9275</v>
      </c>
      <c r="B1448" s="159" t="s">
        <v>9683</v>
      </c>
      <c r="C1448" s="159" t="s">
        <v>11306</v>
      </c>
      <c r="D1448" s="159" t="s">
        <v>978</v>
      </c>
      <c r="E1448" s="159">
        <v>5</v>
      </c>
      <c r="F1448" s="159" t="s">
        <v>5665</v>
      </c>
      <c r="G1448" s="159" t="s">
        <v>11339</v>
      </c>
    </row>
    <row r="1449" spans="1:7" ht="15.75" customHeight="1">
      <c r="A1449" s="159" t="s">
        <v>9275</v>
      </c>
      <c r="B1449" s="159" t="s">
        <v>9683</v>
      </c>
      <c r="C1449" s="159" t="s">
        <v>11308</v>
      </c>
      <c r="D1449" s="159" t="s">
        <v>477</v>
      </c>
      <c r="E1449" s="159">
        <v>255</v>
      </c>
      <c r="F1449" s="159" t="s">
        <v>5667</v>
      </c>
      <c r="G1449" s="159" t="s">
        <v>11309</v>
      </c>
    </row>
    <row r="1450" spans="1:7" ht="15.75" customHeight="1">
      <c r="A1450" s="159" t="s">
        <v>9275</v>
      </c>
      <c r="B1450" s="159" t="s">
        <v>9683</v>
      </c>
      <c r="C1450" s="159" t="s">
        <v>11310</v>
      </c>
      <c r="D1450" s="159" t="s">
        <v>477</v>
      </c>
      <c r="E1450" s="159">
        <v>255</v>
      </c>
      <c r="F1450" s="159" t="s">
        <v>5667</v>
      </c>
      <c r="G1450" s="159" t="s">
        <v>11311</v>
      </c>
    </row>
    <row r="1451" spans="1:7" ht="15.75" customHeight="1">
      <c r="A1451" s="159" t="s">
        <v>9275</v>
      </c>
      <c r="B1451" s="159" t="s">
        <v>9683</v>
      </c>
      <c r="C1451" s="159" t="s">
        <v>11312</v>
      </c>
      <c r="D1451" s="159" t="s">
        <v>477</v>
      </c>
      <c r="E1451" s="159">
        <v>255</v>
      </c>
      <c r="F1451" s="159" t="s">
        <v>5667</v>
      </c>
      <c r="G1451" s="159" t="s">
        <v>11313</v>
      </c>
    </row>
    <row r="1452" spans="1:7" ht="15.75" customHeight="1">
      <c r="A1452" s="159" t="s">
        <v>9275</v>
      </c>
      <c r="B1452" s="159" t="s">
        <v>9683</v>
      </c>
      <c r="C1452" s="159" t="s">
        <v>1419</v>
      </c>
      <c r="D1452" s="159" t="s">
        <v>477</v>
      </c>
      <c r="E1452" s="159">
        <v>50</v>
      </c>
      <c r="F1452" s="159" t="s">
        <v>5667</v>
      </c>
      <c r="G1452" s="159" t="s">
        <v>811</v>
      </c>
    </row>
    <row r="1453" spans="1:7" ht="15.75" customHeight="1">
      <c r="A1453" s="159" t="s">
        <v>9275</v>
      </c>
      <c r="B1453" s="159" t="s">
        <v>9683</v>
      </c>
      <c r="C1453" s="159" t="s">
        <v>10190</v>
      </c>
      <c r="D1453" s="159" t="s">
        <v>1413</v>
      </c>
      <c r="E1453" s="159"/>
      <c r="F1453" s="159" t="s">
        <v>5665</v>
      </c>
      <c r="G1453" s="159" t="s">
        <v>10810</v>
      </c>
    </row>
    <row r="1454" spans="1:7" ht="15.75" customHeight="1">
      <c r="A1454" s="159" t="s">
        <v>9275</v>
      </c>
      <c r="B1454" s="159" t="s">
        <v>9683</v>
      </c>
      <c r="C1454" s="159" t="s">
        <v>10242</v>
      </c>
      <c r="D1454" s="159" t="s">
        <v>1413</v>
      </c>
      <c r="E1454" s="159"/>
      <c r="F1454" s="159" t="s">
        <v>5665</v>
      </c>
      <c r="G1454" s="159" t="s">
        <v>10243</v>
      </c>
    </row>
    <row r="1455" spans="1:7" ht="15.75" customHeight="1">
      <c r="A1455" s="159" t="s">
        <v>9275</v>
      </c>
      <c r="B1455" s="159" t="s">
        <v>9685</v>
      </c>
      <c r="C1455" s="159" t="s">
        <v>2273</v>
      </c>
      <c r="D1455" s="159" t="s">
        <v>484</v>
      </c>
      <c r="E1455" s="159">
        <v>10</v>
      </c>
      <c r="F1455" s="159" t="s">
        <v>5665</v>
      </c>
      <c r="G1455" s="159" t="s">
        <v>11340</v>
      </c>
    </row>
    <row r="1456" spans="1:7" ht="15.75" customHeight="1">
      <c r="A1456" s="159" t="s">
        <v>9275</v>
      </c>
      <c r="B1456" s="159" t="s">
        <v>9685</v>
      </c>
      <c r="C1456" s="159" t="s">
        <v>10975</v>
      </c>
      <c r="D1456" s="159" t="s">
        <v>484</v>
      </c>
      <c r="E1456" s="159">
        <v>10</v>
      </c>
      <c r="F1456" s="159" t="s">
        <v>5665</v>
      </c>
      <c r="G1456" s="159" t="s">
        <v>10976</v>
      </c>
    </row>
    <row r="1457" spans="1:7" ht="15.75" customHeight="1">
      <c r="A1457" s="159" t="s">
        <v>9275</v>
      </c>
      <c r="B1457" s="159" t="s">
        <v>9685</v>
      </c>
      <c r="C1457" s="159" t="s">
        <v>10290</v>
      </c>
      <c r="D1457" s="159" t="s">
        <v>978</v>
      </c>
      <c r="E1457" s="159">
        <v>5</v>
      </c>
      <c r="F1457" s="159" t="s">
        <v>5665</v>
      </c>
      <c r="G1457" s="159" t="s">
        <v>10507</v>
      </c>
    </row>
    <row r="1458" spans="1:7" ht="15.75" customHeight="1">
      <c r="A1458" s="159" t="s">
        <v>9275</v>
      </c>
      <c r="B1458" s="159" t="s">
        <v>9685</v>
      </c>
      <c r="C1458" s="159" t="s">
        <v>5676</v>
      </c>
      <c r="D1458" s="159" t="s">
        <v>477</v>
      </c>
      <c r="E1458" s="159">
        <v>255</v>
      </c>
      <c r="F1458" s="159" t="s">
        <v>5667</v>
      </c>
      <c r="G1458" s="159" t="s">
        <v>5186</v>
      </c>
    </row>
    <row r="1459" spans="1:7" ht="15.75" customHeight="1">
      <c r="A1459" s="159" t="s">
        <v>9275</v>
      </c>
      <c r="B1459" s="159" t="s">
        <v>9687</v>
      </c>
      <c r="C1459" s="159" t="s">
        <v>11341</v>
      </c>
      <c r="D1459" s="159" t="s">
        <v>484</v>
      </c>
      <c r="E1459" s="159">
        <v>10</v>
      </c>
      <c r="F1459" s="159" t="s">
        <v>5665</v>
      </c>
      <c r="G1459" s="159" t="s">
        <v>11342</v>
      </c>
    </row>
    <row r="1460" spans="1:7" ht="15.75" customHeight="1">
      <c r="A1460" s="159" t="s">
        <v>9275</v>
      </c>
      <c r="B1460" s="159" t="s">
        <v>9687</v>
      </c>
      <c r="C1460" s="159" t="s">
        <v>1394</v>
      </c>
      <c r="D1460" s="159" t="s">
        <v>484</v>
      </c>
      <c r="E1460" s="159">
        <v>10</v>
      </c>
      <c r="F1460" s="159" t="s">
        <v>5665</v>
      </c>
      <c r="G1460" s="159" t="s">
        <v>4828</v>
      </c>
    </row>
    <row r="1461" spans="1:7" ht="15.75" customHeight="1">
      <c r="A1461" s="159" t="s">
        <v>9275</v>
      </c>
      <c r="B1461" s="159" t="s">
        <v>9687</v>
      </c>
      <c r="C1461" s="159" t="s">
        <v>11314</v>
      </c>
      <c r="D1461" s="159" t="s">
        <v>477</v>
      </c>
      <c r="E1461" s="159">
        <v>255</v>
      </c>
      <c r="F1461" s="159" t="s">
        <v>5667</v>
      </c>
      <c r="G1461" s="159" t="s">
        <v>11343</v>
      </c>
    </row>
    <row r="1462" spans="1:7" ht="15.75" customHeight="1">
      <c r="A1462" s="159" t="s">
        <v>9275</v>
      </c>
      <c r="B1462" s="159" t="s">
        <v>9687</v>
      </c>
      <c r="C1462" s="159" t="s">
        <v>11316</v>
      </c>
      <c r="D1462" s="159" t="s">
        <v>477</v>
      </c>
      <c r="E1462" s="159">
        <v>255</v>
      </c>
      <c r="F1462" s="159" t="s">
        <v>5667</v>
      </c>
      <c r="G1462" s="159" t="s">
        <v>11344</v>
      </c>
    </row>
    <row r="1463" spans="1:7" ht="15.75" customHeight="1">
      <c r="A1463" s="159" t="s">
        <v>9275</v>
      </c>
      <c r="B1463" s="159" t="s">
        <v>9687</v>
      </c>
      <c r="C1463" s="159" t="s">
        <v>11318</v>
      </c>
      <c r="D1463" s="159" t="s">
        <v>477</v>
      </c>
      <c r="E1463" s="159">
        <v>20</v>
      </c>
      <c r="F1463" s="159" t="s">
        <v>5667</v>
      </c>
      <c r="G1463" s="159" t="s">
        <v>11319</v>
      </c>
    </row>
    <row r="1464" spans="1:7" ht="15.75" customHeight="1">
      <c r="A1464" s="159" t="s">
        <v>9275</v>
      </c>
      <c r="B1464" s="159" t="s">
        <v>9687</v>
      </c>
      <c r="C1464" s="159" t="s">
        <v>10469</v>
      </c>
      <c r="D1464" s="159" t="s">
        <v>484</v>
      </c>
      <c r="E1464" s="159">
        <v>10</v>
      </c>
      <c r="F1464" s="159" t="s">
        <v>5665</v>
      </c>
      <c r="G1464" s="159" t="s">
        <v>10470</v>
      </c>
    </row>
    <row r="1465" spans="1:7" ht="15.75" customHeight="1">
      <c r="A1465" s="159" t="s">
        <v>9275</v>
      </c>
      <c r="B1465" s="159" t="s">
        <v>9689</v>
      </c>
      <c r="C1465" s="159" t="s">
        <v>2273</v>
      </c>
      <c r="D1465" s="159" t="s">
        <v>484</v>
      </c>
      <c r="E1465" s="159">
        <v>10</v>
      </c>
      <c r="F1465" s="159" t="s">
        <v>5665</v>
      </c>
      <c r="G1465" s="159" t="s">
        <v>11340</v>
      </c>
    </row>
    <row r="1466" spans="1:7" ht="15.75" customHeight="1">
      <c r="A1466" s="159" t="s">
        <v>9275</v>
      </c>
      <c r="B1466" s="159" t="s">
        <v>9689</v>
      </c>
      <c r="C1466" s="159" t="s">
        <v>11341</v>
      </c>
      <c r="D1466" s="159" t="s">
        <v>484</v>
      </c>
      <c r="E1466" s="159">
        <v>10</v>
      </c>
      <c r="F1466" s="159" t="s">
        <v>5665</v>
      </c>
      <c r="G1466" s="159" t="s">
        <v>11342</v>
      </c>
    </row>
    <row r="1467" spans="1:7" ht="15.75" customHeight="1">
      <c r="A1467" s="159" t="s">
        <v>9275</v>
      </c>
      <c r="B1467" s="159" t="s">
        <v>9689</v>
      </c>
      <c r="C1467" s="159" t="s">
        <v>10290</v>
      </c>
      <c r="D1467" s="159" t="s">
        <v>978</v>
      </c>
      <c r="E1467" s="159">
        <v>5</v>
      </c>
      <c r="F1467" s="159" t="s">
        <v>5665</v>
      </c>
      <c r="G1467" s="159" t="s">
        <v>10507</v>
      </c>
    </row>
    <row r="1468" spans="1:7" ht="15.75" customHeight="1">
      <c r="A1468" s="159" t="s">
        <v>9275</v>
      </c>
      <c r="B1468" s="159" t="s">
        <v>9689</v>
      </c>
      <c r="C1468" s="159" t="s">
        <v>5676</v>
      </c>
      <c r="D1468" s="159" t="s">
        <v>477</v>
      </c>
      <c r="E1468" s="159">
        <v>255</v>
      </c>
      <c r="F1468" s="159" t="s">
        <v>5667</v>
      </c>
      <c r="G1468" s="159" t="s">
        <v>5186</v>
      </c>
    </row>
    <row r="1469" spans="1:7" ht="15.75" customHeight="1">
      <c r="A1469" s="159" t="s">
        <v>9275</v>
      </c>
      <c r="B1469" s="159" t="s">
        <v>9691</v>
      </c>
      <c r="C1469" s="159" t="s">
        <v>9217</v>
      </c>
      <c r="D1469" s="159" t="s">
        <v>978</v>
      </c>
      <c r="E1469" s="159">
        <v>5</v>
      </c>
      <c r="F1469" s="159" t="s">
        <v>5665</v>
      </c>
      <c r="G1469" s="159" t="s">
        <v>10818</v>
      </c>
    </row>
    <row r="1470" spans="1:7" ht="15.75" customHeight="1">
      <c r="A1470" s="159" t="s">
        <v>9275</v>
      </c>
      <c r="B1470" s="159" t="s">
        <v>9691</v>
      </c>
      <c r="C1470" s="159" t="s">
        <v>11345</v>
      </c>
      <c r="D1470" s="159" t="s">
        <v>978</v>
      </c>
      <c r="E1470" s="159">
        <v>5</v>
      </c>
      <c r="F1470" s="159" t="s">
        <v>5665</v>
      </c>
      <c r="G1470" s="159" t="s">
        <v>11346</v>
      </c>
    </row>
    <row r="1471" spans="1:7" ht="15.75" customHeight="1">
      <c r="A1471" s="159" t="s">
        <v>9275</v>
      </c>
      <c r="B1471" s="159" t="s">
        <v>9691</v>
      </c>
      <c r="C1471" s="159" t="s">
        <v>11347</v>
      </c>
      <c r="D1471" s="159" t="s">
        <v>477</v>
      </c>
      <c r="E1471" s="159">
        <v>255</v>
      </c>
      <c r="F1471" s="159" t="s">
        <v>5665</v>
      </c>
      <c r="G1471" s="159" t="s">
        <v>11348</v>
      </c>
    </row>
    <row r="1472" spans="1:7" ht="15.75" customHeight="1">
      <c r="A1472" s="159" t="s">
        <v>9275</v>
      </c>
      <c r="B1472" s="159" t="s">
        <v>9691</v>
      </c>
      <c r="C1472" s="159" t="s">
        <v>11349</v>
      </c>
      <c r="D1472" s="159" t="s">
        <v>477</v>
      </c>
      <c r="E1472" s="159">
        <v>255</v>
      </c>
      <c r="F1472" s="159" t="s">
        <v>5667</v>
      </c>
      <c r="G1472" s="159" t="s">
        <v>11350</v>
      </c>
    </row>
    <row r="1473" spans="1:7" ht="15.75" customHeight="1">
      <c r="A1473" s="159" t="s">
        <v>9275</v>
      </c>
      <c r="B1473" s="159" t="s">
        <v>9691</v>
      </c>
      <c r="C1473" s="159" t="s">
        <v>11351</v>
      </c>
      <c r="D1473" s="159" t="s">
        <v>477</v>
      </c>
      <c r="E1473" s="159">
        <v>255</v>
      </c>
      <c r="F1473" s="159" t="s">
        <v>5667</v>
      </c>
      <c r="G1473" s="159" t="s">
        <v>11352</v>
      </c>
    </row>
    <row r="1474" spans="1:7" ht="15.75" customHeight="1">
      <c r="A1474" s="159" t="s">
        <v>9275</v>
      </c>
      <c r="B1474" s="159" t="s">
        <v>9691</v>
      </c>
      <c r="C1474" s="159" t="s">
        <v>11353</v>
      </c>
      <c r="D1474" s="159" t="s">
        <v>477</v>
      </c>
      <c r="E1474" s="159">
        <v>8</v>
      </c>
      <c r="F1474" s="159" t="s">
        <v>5665</v>
      </c>
      <c r="G1474" s="159" t="s">
        <v>11354</v>
      </c>
    </row>
    <row r="1475" spans="1:7" ht="15.75" customHeight="1">
      <c r="A1475" s="159" t="s">
        <v>9275</v>
      </c>
      <c r="B1475" s="159" t="s">
        <v>9691</v>
      </c>
      <c r="C1475" s="159" t="s">
        <v>11355</v>
      </c>
      <c r="D1475" s="159" t="s">
        <v>477</v>
      </c>
      <c r="E1475" s="159">
        <v>255</v>
      </c>
      <c r="F1475" s="159" t="s">
        <v>5667</v>
      </c>
      <c r="G1475" s="159" t="s">
        <v>11356</v>
      </c>
    </row>
    <row r="1476" spans="1:7" ht="15.75" customHeight="1">
      <c r="A1476" s="159" t="s">
        <v>9275</v>
      </c>
      <c r="B1476" s="159" t="s">
        <v>9691</v>
      </c>
      <c r="C1476" s="159" t="s">
        <v>11357</v>
      </c>
      <c r="D1476" s="159" t="s">
        <v>477</v>
      </c>
      <c r="E1476" s="159">
        <v>255</v>
      </c>
      <c r="F1476" s="159" t="s">
        <v>5667</v>
      </c>
      <c r="G1476" s="159" t="s">
        <v>11358</v>
      </c>
    </row>
    <row r="1477" spans="1:7" ht="15.75" customHeight="1">
      <c r="A1477" s="159" t="s">
        <v>9275</v>
      </c>
      <c r="B1477" s="159" t="s">
        <v>9691</v>
      </c>
      <c r="C1477" s="159" t="s">
        <v>11359</v>
      </c>
      <c r="D1477" s="159" t="s">
        <v>477</v>
      </c>
      <c r="E1477" s="159">
        <v>50</v>
      </c>
      <c r="F1477" s="159" t="s">
        <v>5667</v>
      </c>
      <c r="G1477" s="159" t="s">
        <v>11360</v>
      </c>
    </row>
    <row r="1478" spans="1:7" ht="15.75" customHeight="1">
      <c r="A1478" s="159" t="s">
        <v>9275</v>
      </c>
      <c r="B1478" s="159" t="s">
        <v>9691</v>
      </c>
      <c r="C1478" s="159" t="s">
        <v>11361</v>
      </c>
      <c r="D1478" s="159" t="s">
        <v>477</v>
      </c>
      <c r="E1478" s="159">
        <v>255</v>
      </c>
      <c r="F1478" s="159" t="s">
        <v>5667</v>
      </c>
      <c r="G1478" s="159" t="s">
        <v>11362</v>
      </c>
    </row>
    <row r="1479" spans="1:7" ht="15.75" customHeight="1">
      <c r="A1479" s="159" t="s">
        <v>9275</v>
      </c>
      <c r="B1479" s="159" t="s">
        <v>9691</v>
      </c>
      <c r="C1479" s="159" t="s">
        <v>11363</v>
      </c>
      <c r="D1479" s="159" t="s">
        <v>477</v>
      </c>
      <c r="E1479" s="159">
        <v>255</v>
      </c>
      <c r="F1479" s="159" t="s">
        <v>5667</v>
      </c>
      <c r="G1479" s="159" t="s">
        <v>11364</v>
      </c>
    </row>
    <row r="1480" spans="1:7" ht="15.75" customHeight="1">
      <c r="A1480" s="159" t="s">
        <v>9275</v>
      </c>
      <c r="B1480" s="159" t="s">
        <v>9691</v>
      </c>
      <c r="C1480" s="159" t="s">
        <v>11365</v>
      </c>
      <c r="D1480" s="159" t="s">
        <v>477</v>
      </c>
      <c r="E1480" s="159">
        <v>255</v>
      </c>
      <c r="F1480" s="159" t="s">
        <v>5667</v>
      </c>
      <c r="G1480" s="159" t="s">
        <v>11366</v>
      </c>
    </row>
    <row r="1481" spans="1:7" ht="15.75" customHeight="1">
      <c r="A1481" s="159" t="s">
        <v>9275</v>
      </c>
      <c r="B1481" s="159" t="s">
        <v>9691</v>
      </c>
      <c r="C1481" s="159" t="s">
        <v>10962</v>
      </c>
      <c r="D1481" s="159" t="s">
        <v>978</v>
      </c>
      <c r="E1481" s="159">
        <v>5</v>
      </c>
      <c r="F1481" s="159" t="s">
        <v>5665</v>
      </c>
      <c r="G1481" s="159" t="s">
        <v>11367</v>
      </c>
    </row>
    <row r="1482" spans="1:7" ht="15.75" customHeight="1">
      <c r="A1482" s="159" t="s">
        <v>9275</v>
      </c>
      <c r="B1482" s="159" t="s">
        <v>9691</v>
      </c>
      <c r="C1482" s="159" t="s">
        <v>11368</v>
      </c>
      <c r="D1482" s="159" t="s">
        <v>978</v>
      </c>
      <c r="E1482" s="159">
        <v>5</v>
      </c>
      <c r="F1482" s="159" t="s">
        <v>5665</v>
      </c>
      <c r="G1482" s="159" t="s">
        <v>11369</v>
      </c>
    </row>
    <row r="1483" spans="1:7" ht="15.75" customHeight="1">
      <c r="A1483" s="159" t="s">
        <v>9275</v>
      </c>
      <c r="B1483" s="159" t="s">
        <v>9691</v>
      </c>
      <c r="C1483" s="159" t="s">
        <v>11196</v>
      </c>
      <c r="D1483" s="159" t="s">
        <v>3893</v>
      </c>
      <c r="E1483" s="159">
        <v>65535</v>
      </c>
      <c r="F1483" s="159" t="s">
        <v>5667</v>
      </c>
      <c r="G1483" s="159" t="s">
        <v>11197</v>
      </c>
    </row>
    <row r="1484" spans="1:7" ht="15.75" customHeight="1">
      <c r="A1484" s="159" t="s">
        <v>9275</v>
      </c>
      <c r="B1484" s="159" t="s">
        <v>9691</v>
      </c>
      <c r="C1484" s="159" t="s">
        <v>11370</v>
      </c>
      <c r="D1484" s="159" t="s">
        <v>978</v>
      </c>
      <c r="E1484" s="159">
        <v>5</v>
      </c>
      <c r="F1484" s="159" t="s">
        <v>5665</v>
      </c>
      <c r="G1484" s="159" t="s">
        <v>11371</v>
      </c>
    </row>
    <row r="1485" spans="1:7" ht="15.75" customHeight="1">
      <c r="A1485" s="159" t="s">
        <v>9275</v>
      </c>
      <c r="B1485" s="159" t="s">
        <v>9691</v>
      </c>
      <c r="C1485" s="159" t="s">
        <v>5793</v>
      </c>
      <c r="D1485" s="159" t="s">
        <v>477</v>
      </c>
      <c r="E1485" s="159">
        <v>255</v>
      </c>
      <c r="F1485" s="159" t="s">
        <v>5667</v>
      </c>
      <c r="G1485" s="159" t="s">
        <v>11372</v>
      </c>
    </row>
    <row r="1486" spans="1:7" ht="15.75" customHeight="1">
      <c r="A1486" s="159" t="s">
        <v>9275</v>
      </c>
      <c r="B1486" s="159" t="s">
        <v>9693</v>
      </c>
      <c r="C1486" s="159" t="s">
        <v>11373</v>
      </c>
      <c r="D1486" s="159" t="s">
        <v>978</v>
      </c>
      <c r="E1486" s="159">
        <v>5</v>
      </c>
      <c r="F1486" s="159" t="s">
        <v>5665</v>
      </c>
      <c r="G1486" s="159" t="s">
        <v>11374</v>
      </c>
    </row>
    <row r="1487" spans="1:7" ht="15.75" customHeight="1">
      <c r="A1487" s="159" t="s">
        <v>9275</v>
      </c>
      <c r="B1487" s="159" t="s">
        <v>9693</v>
      </c>
      <c r="C1487" s="159" t="s">
        <v>10807</v>
      </c>
      <c r="D1487" s="159" t="s">
        <v>978</v>
      </c>
      <c r="E1487" s="159">
        <v>5</v>
      </c>
      <c r="F1487" s="159" t="s">
        <v>5665</v>
      </c>
      <c r="G1487" s="159" t="s">
        <v>10808</v>
      </c>
    </row>
    <row r="1488" spans="1:7" ht="15.75" customHeight="1">
      <c r="A1488" s="159" t="s">
        <v>9275</v>
      </c>
      <c r="B1488" s="159" t="s">
        <v>9693</v>
      </c>
      <c r="C1488" s="159" t="s">
        <v>11375</v>
      </c>
      <c r="D1488" s="159" t="s">
        <v>477</v>
      </c>
      <c r="E1488" s="159">
        <v>255</v>
      </c>
      <c r="F1488" s="159" t="s">
        <v>5667</v>
      </c>
      <c r="G1488" s="159" t="s">
        <v>11376</v>
      </c>
    </row>
    <row r="1489" spans="1:7" ht="15.75" customHeight="1">
      <c r="A1489" s="159" t="s">
        <v>9275</v>
      </c>
      <c r="B1489" s="159" t="s">
        <v>9693</v>
      </c>
      <c r="C1489" s="159" t="s">
        <v>10469</v>
      </c>
      <c r="D1489" s="159" t="s">
        <v>978</v>
      </c>
      <c r="E1489" s="159">
        <v>5</v>
      </c>
      <c r="F1489" s="159" t="s">
        <v>5665</v>
      </c>
      <c r="G1489" s="159" t="s">
        <v>10470</v>
      </c>
    </row>
    <row r="1490" spans="1:7" ht="15.75" customHeight="1">
      <c r="A1490" s="159" t="s">
        <v>9275</v>
      </c>
      <c r="B1490" s="159" t="s">
        <v>9693</v>
      </c>
      <c r="C1490" s="159" t="s">
        <v>11377</v>
      </c>
      <c r="D1490" s="159" t="s">
        <v>978</v>
      </c>
      <c r="E1490" s="159">
        <v>5</v>
      </c>
      <c r="F1490" s="159" t="s">
        <v>5667</v>
      </c>
      <c r="G1490" s="159" t="s">
        <v>11378</v>
      </c>
    </row>
    <row r="1491" spans="1:7" ht="15.75" customHeight="1">
      <c r="A1491" s="159" t="s">
        <v>9275</v>
      </c>
      <c r="B1491" s="159" t="s">
        <v>9693</v>
      </c>
      <c r="C1491" s="159" t="s">
        <v>11379</v>
      </c>
      <c r="D1491" s="159" t="s">
        <v>477</v>
      </c>
      <c r="E1491" s="159">
        <v>255</v>
      </c>
      <c r="F1491" s="159" t="s">
        <v>5665</v>
      </c>
      <c r="G1491" s="159" t="s">
        <v>11380</v>
      </c>
    </row>
    <row r="1492" spans="1:7" ht="15.75" customHeight="1">
      <c r="A1492" s="159" t="s">
        <v>9275</v>
      </c>
      <c r="B1492" s="159" t="s">
        <v>9693</v>
      </c>
      <c r="C1492" s="159" t="s">
        <v>11381</v>
      </c>
      <c r="D1492" s="159" t="s">
        <v>477</v>
      </c>
      <c r="E1492" s="159">
        <v>255</v>
      </c>
      <c r="F1492" s="159" t="s">
        <v>5667</v>
      </c>
      <c r="G1492" s="159" t="s">
        <v>11382</v>
      </c>
    </row>
    <row r="1493" spans="1:7" ht="15.75" customHeight="1">
      <c r="A1493" s="159" t="s">
        <v>9275</v>
      </c>
      <c r="B1493" s="159" t="s">
        <v>9695</v>
      </c>
      <c r="C1493" s="159" t="s">
        <v>11383</v>
      </c>
      <c r="D1493" s="159" t="s">
        <v>484</v>
      </c>
      <c r="E1493" s="159">
        <v>10</v>
      </c>
      <c r="F1493" s="159" t="s">
        <v>5665</v>
      </c>
      <c r="G1493" s="159" t="s">
        <v>11384</v>
      </c>
    </row>
    <row r="1494" spans="1:7" ht="15.75" customHeight="1">
      <c r="A1494" s="159" t="s">
        <v>9275</v>
      </c>
      <c r="B1494" s="159" t="s">
        <v>9695</v>
      </c>
      <c r="C1494" s="159" t="s">
        <v>9217</v>
      </c>
      <c r="D1494" s="159" t="s">
        <v>978</v>
      </c>
      <c r="E1494" s="159">
        <v>5</v>
      </c>
      <c r="F1494" s="159" t="s">
        <v>5665</v>
      </c>
      <c r="G1494" s="159" t="s">
        <v>10818</v>
      </c>
    </row>
    <row r="1495" spans="1:7" ht="15.75" customHeight="1">
      <c r="A1495" s="159" t="s">
        <v>9275</v>
      </c>
      <c r="B1495" s="159" t="s">
        <v>9695</v>
      </c>
      <c r="C1495" s="159" t="s">
        <v>10290</v>
      </c>
      <c r="D1495" s="159" t="s">
        <v>978</v>
      </c>
      <c r="E1495" s="159">
        <v>5</v>
      </c>
      <c r="F1495" s="159" t="s">
        <v>5665</v>
      </c>
      <c r="G1495" s="159" t="s">
        <v>10507</v>
      </c>
    </row>
    <row r="1496" spans="1:7" ht="15.75" customHeight="1">
      <c r="A1496" s="159" t="s">
        <v>9275</v>
      </c>
      <c r="B1496" s="159" t="s">
        <v>9695</v>
      </c>
      <c r="C1496" s="159" t="s">
        <v>10471</v>
      </c>
      <c r="D1496" s="159" t="s">
        <v>477</v>
      </c>
      <c r="E1496" s="159">
        <v>255</v>
      </c>
      <c r="F1496" s="159" t="s">
        <v>5667</v>
      </c>
      <c r="G1496" s="159" t="s">
        <v>10475</v>
      </c>
    </row>
    <row r="1497" spans="1:7" ht="15.75" customHeight="1">
      <c r="A1497" s="159" t="s">
        <v>9275</v>
      </c>
      <c r="B1497" s="159" t="s">
        <v>9697</v>
      </c>
      <c r="C1497" s="159" t="s">
        <v>10467</v>
      </c>
      <c r="D1497" s="159" t="s">
        <v>484</v>
      </c>
      <c r="E1497" s="159">
        <v>10</v>
      </c>
      <c r="F1497" s="159" t="s">
        <v>5665</v>
      </c>
      <c r="G1497" s="159" t="s">
        <v>10468</v>
      </c>
    </row>
    <row r="1498" spans="1:7" ht="15.75" customHeight="1">
      <c r="A1498" s="159" t="s">
        <v>9275</v>
      </c>
      <c r="B1498" s="159" t="s">
        <v>9697</v>
      </c>
      <c r="C1498" s="159" t="s">
        <v>9217</v>
      </c>
      <c r="D1498" s="159" t="s">
        <v>978</v>
      </c>
      <c r="E1498" s="159">
        <v>5</v>
      </c>
      <c r="F1498" s="159" t="s">
        <v>5665</v>
      </c>
      <c r="G1498" s="159" t="s">
        <v>10818</v>
      </c>
    </row>
    <row r="1499" spans="1:7" ht="15.75" customHeight="1">
      <c r="A1499" s="159" t="s">
        <v>9275</v>
      </c>
      <c r="B1499" s="159" t="s">
        <v>9697</v>
      </c>
      <c r="C1499" s="159" t="s">
        <v>10469</v>
      </c>
      <c r="D1499" s="159" t="s">
        <v>978</v>
      </c>
      <c r="E1499" s="159">
        <v>5</v>
      </c>
      <c r="F1499" s="159" t="s">
        <v>5665</v>
      </c>
      <c r="G1499" s="159" t="s">
        <v>10470</v>
      </c>
    </row>
    <row r="1500" spans="1:7" ht="15.75" customHeight="1">
      <c r="A1500" s="159" t="s">
        <v>9275</v>
      </c>
      <c r="B1500" s="159" t="s">
        <v>9699</v>
      </c>
      <c r="C1500" s="159" t="s">
        <v>11385</v>
      </c>
      <c r="D1500" s="159" t="s">
        <v>484</v>
      </c>
      <c r="E1500" s="159">
        <v>10</v>
      </c>
      <c r="F1500" s="159" t="s">
        <v>5665</v>
      </c>
      <c r="G1500" s="159" t="s">
        <v>11386</v>
      </c>
    </row>
    <row r="1501" spans="1:7" ht="15.75" customHeight="1">
      <c r="A1501" s="159" t="s">
        <v>9275</v>
      </c>
      <c r="B1501" s="159" t="s">
        <v>9699</v>
      </c>
      <c r="C1501" s="159" t="s">
        <v>10467</v>
      </c>
      <c r="D1501" s="159" t="s">
        <v>484</v>
      </c>
      <c r="E1501" s="159">
        <v>10</v>
      </c>
      <c r="F1501" s="159" t="s">
        <v>5665</v>
      </c>
      <c r="G1501" s="159" t="s">
        <v>10468</v>
      </c>
    </row>
    <row r="1502" spans="1:7" ht="15.75" customHeight="1">
      <c r="A1502" s="159" t="s">
        <v>9275</v>
      </c>
      <c r="B1502" s="159" t="s">
        <v>9699</v>
      </c>
      <c r="C1502" s="159" t="s">
        <v>10290</v>
      </c>
      <c r="D1502" s="159" t="s">
        <v>978</v>
      </c>
      <c r="E1502" s="159">
        <v>5</v>
      </c>
      <c r="F1502" s="159" t="s">
        <v>5665</v>
      </c>
      <c r="G1502" s="159" t="s">
        <v>10507</v>
      </c>
    </row>
    <row r="1503" spans="1:7" ht="15.75" customHeight="1">
      <c r="A1503" s="159" t="s">
        <v>9275</v>
      </c>
      <c r="B1503" s="159" t="s">
        <v>9699</v>
      </c>
      <c r="C1503" s="159" t="s">
        <v>5609</v>
      </c>
      <c r="D1503" s="159" t="s">
        <v>978</v>
      </c>
      <c r="E1503" s="159">
        <v>5</v>
      </c>
      <c r="F1503" s="159" t="s">
        <v>5665</v>
      </c>
      <c r="G1503" s="159" t="s">
        <v>11387</v>
      </c>
    </row>
    <row r="1504" spans="1:7" ht="15.75" customHeight="1">
      <c r="A1504" s="159" t="s">
        <v>9275</v>
      </c>
      <c r="B1504" s="159" t="s">
        <v>9699</v>
      </c>
      <c r="C1504" s="159" t="s">
        <v>10471</v>
      </c>
      <c r="D1504" s="159" t="s">
        <v>477</v>
      </c>
      <c r="E1504" s="159">
        <v>255</v>
      </c>
      <c r="F1504" s="159" t="s">
        <v>5667</v>
      </c>
      <c r="G1504" s="159" t="s">
        <v>11388</v>
      </c>
    </row>
    <row r="1505" spans="1:7" ht="15.75" customHeight="1">
      <c r="A1505" s="159" t="s">
        <v>9275</v>
      </c>
      <c r="B1505" s="159" t="s">
        <v>9701</v>
      </c>
      <c r="C1505" s="159" t="s">
        <v>10816</v>
      </c>
      <c r="D1505" s="159" t="s">
        <v>484</v>
      </c>
      <c r="E1505" s="159">
        <v>10</v>
      </c>
      <c r="F1505" s="159" t="s">
        <v>5665</v>
      </c>
      <c r="G1505" s="159" t="s">
        <v>10817</v>
      </c>
    </row>
    <row r="1506" spans="1:7" ht="15.75" customHeight="1">
      <c r="A1506" s="159" t="s">
        <v>9275</v>
      </c>
      <c r="B1506" s="159" t="s">
        <v>9701</v>
      </c>
      <c r="C1506" s="159" t="s">
        <v>10467</v>
      </c>
      <c r="D1506" s="159" t="s">
        <v>484</v>
      </c>
      <c r="E1506" s="159">
        <v>10</v>
      </c>
      <c r="F1506" s="159" t="s">
        <v>5665</v>
      </c>
      <c r="G1506" s="159" t="s">
        <v>10468</v>
      </c>
    </row>
    <row r="1507" spans="1:7" ht="15.75" customHeight="1">
      <c r="A1507" s="159" t="s">
        <v>9275</v>
      </c>
      <c r="B1507" s="159" t="s">
        <v>9701</v>
      </c>
      <c r="C1507" s="159" t="s">
        <v>10290</v>
      </c>
      <c r="D1507" s="159" t="s">
        <v>978</v>
      </c>
      <c r="E1507" s="159">
        <v>5</v>
      </c>
      <c r="F1507" s="159" t="s">
        <v>5665</v>
      </c>
      <c r="G1507" s="159" t="s">
        <v>10507</v>
      </c>
    </row>
    <row r="1508" spans="1:7" ht="15.75" customHeight="1">
      <c r="A1508" s="159" t="s">
        <v>9275</v>
      </c>
      <c r="B1508" s="159" t="s">
        <v>9701</v>
      </c>
      <c r="C1508" s="159" t="s">
        <v>10471</v>
      </c>
      <c r="D1508" s="159" t="s">
        <v>477</v>
      </c>
      <c r="E1508" s="159">
        <v>255</v>
      </c>
      <c r="F1508" s="159" t="s">
        <v>5667</v>
      </c>
      <c r="G1508" s="159" t="s">
        <v>10475</v>
      </c>
    </row>
    <row r="1509" spans="1:7" ht="15.75" customHeight="1">
      <c r="A1509" s="159" t="s">
        <v>9275</v>
      </c>
      <c r="B1509" s="159" t="s">
        <v>9703</v>
      </c>
      <c r="C1509" s="159" t="s">
        <v>10807</v>
      </c>
      <c r="D1509" s="159" t="s">
        <v>978</v>
      </c>
      <c r="E1509" s="159">
        <v>5</v>
      </c>
      <c r="F1509" s="159" t="s">
        <v>5665</v>
      </c>
      <c r="G1509" s="159" t="s">
        <v>10808</v>
      </c>
    </row>
    <row r="1510" spans="1:7" ht="15.75" customHeight="1">
      <c r="A1510" s="159" t="s">
        <v>9275</v>
      </c>
      <c r="B1510" s="159" t="s">
        <v>9703</v>
      </c>
      <c r="C1510" s="159" t="s">
        <v>11345</v>
      </c>
      <c r="D1510" s="159" t="s">
        <v>978</v>
      </c>
      <c r="E1510" s="159">
        <v>5</v>
      </c>
      <c r="F1510" s="159" t="s">
        <v>5665</v>
      </c>
      <c r="G1510" s="159" t="s">
        <v>11346</v>
      </c>
    </row>
    <row r="1511" spans="1:7" ht="15.75" customHeight="1">
      <c r="A1511" s="159" t="s">
        <v>9275</v>
      </c>
      <c r="B1511" s="159" t="s">
        <v>9703</v>
      </c>
      <c r="C1511" s="159" t="s">
        <v>11389</v>
      </c>
      <c r="D1511" s="159" t="s">
        <v>477</v>
      </c>
      <c r="E1511" s="159">
        <v>255</v>
      </c>
      <c r="F1511" s="159" t="s">
        <v>5667</v>
      </c>
      <c r="G1511" s="159" t="s">
        <v>11390</v>
      </c>
    </row>
    <row r="1512" spans="1:7" ht="15.75" customHeight="1">
      <c r="A1512" s="159" t="s">
        <v>9275</v>
      </c>
      <c r="B1512" s="159" t="s">
        <v>9703</v>
      </c>
      <c r="C1512" s="159" t="s">
        <v>10469</v>
      </c>
      <c r="D1512" s="159" t="s">
        <v>978</v>
      </c>
      <c r="E1512" s="159">
        <v>5</v>
      </c>
      <c r="F1512" s="159" t="s">
        <v>5665</v>
      </c>
      <c r="G1512" s="159" t="s">
        <v>10470</v>
      </c>
    </row>
    <row r="1513" spans="1:7" ht="15.75" customHeight="1">
      <c r="A1513" s="159" t="s">
        <v>9275</v>
      </c>
      <c r="B1513" s="159" t="s">
        <v>9705</v>
      </c>
      <c r="C1513" s="159" t="s">
        <v>10287</v>
      </c>
      <c r="D1513" s="159" t="s">
        <v>484</v>
      </c>
      <c r="E1513" s="159">
        <v>10</v>
      </c>
      <c r="F1513" s="159" t="s">
        <v>5665</v>
      </c>
      <c r="G1513" s="159" t="s">
        <v>10237</v>
      </c>
    </row>
    <row r="1514" spans="1:7" ht="15.75" customHeight="1">
      <c r="A1514" s="159" t="s">
        <v>9275</v>
      </c>
      <c r="B1514" s="159" t="s">
        <v>9705</v>
      </c>
      <c r="C1514" s="159" t="s">
        <v>11345</v>
      </c>
      <c r="D1514" s="159" t="s">
        <v>978</v>
      </c>
      <c r="E1514" s="159">
        <v>5</v>
      </c>
      <c r="F1514" s="159" t="s">
        <v>5665</v>
      </c>
      <c r="G1514" s="159" t="s">
        <v>11346</v>
      </c>
    </row>
    <row r="1515" spans="1:7" ht="15.75" customHeight="1">
      <c r="A1515" s="159" t="s">
        <v>9275</v>
      </c>
      <c r="B1515" s="159" t="s">
        <v>9705</v>
      </c>
      <c r="C1515" s="159" t="s">
        <v>10807</v>
      </c>
      <c r="D1515" s="159" t="s">
        <v>978</v>
      </c>
      <c r="E1515" s="159">
        <v>5</v>
      </c>
      <c r="F1515" s="159" t="s">
        <v>5665</v>
      </c>
      <c r="G1515" s="159" t="s">
        <v>10808</v>
      </c>
    </row>
    <row r="1516" spans="1:7" ht="15.75" customHeight="1">
      <c r="A1516" s="159" t="s">
        <v>9275</v>
      </c>
      <c r="B1516" s="159" t="s">
        <v>9705</v>
      </c>
      <c r="C1516" s="159" t="s">
        <v>11155</v>
      </c>
      <c r="D1516" s="159" t="s">
        <v>477</v>
      </c>
      <c r="E1516" s="159">
        <v>50</v>
      </c>
      <c r="F1516" s="159" t="s">
        <v>5667</v>
      </c>
      <c r="G1516" s="159" t="s">
        <v>11156</v>
      </c>
    </row>
    <row r="1517" spans="1:7" ht="15.75" customHeight="1">
      <c r="A1517" s="159" t="s">
        <v>9275</v>
      </c>
      <c r="B1517" s="159" t="s">
        <v>9705</v>
      </c>
      <c r="C1517" s="159" t="s">
        <v>5678</v>
      </c>
      <c r="D1517" s="159" t="s">
        <v>484</v>
      </c>
      <c r="E1517" s="159">
        <v>10</v>
      </c>
      <c r="F1517" s="159" t="s">
        <v>5665</v>
      </c>
      <c r="G1517" s="159" t="s">
        <v>10877</v>
      </c>
    </row>
    <row r="1518" spans="1:7" ht="15.75" customHeight="1">
      <c r="A1518" s="159" t="s">
        <v>9275</v>
      </c>
      <c r="B1518" s="159" t="s">
        <v>9705</v>
      </c>
      <c r="C1518" s="159" t="s">
        <v>10290</v>
      </c>
      <c r="D1518" s="159" t="s">
        <v>978</v>
      </c>
      <c r="E1518" s="159">
        <v>5</v>
      </c>
      <c r="F1518" s="159" t="s">
        <v>5665</v>
      </c>
      <c r="G1518" s="159" t="s">
        <v>10507</v>
      </c>
    </row>
    <row r="1519" spans="1:7" ht="15.75" customHeight="1">
      <c r="A1519" s="159" t="s">
        <v>9275</v>
      </c>
      <c r="B1519" s="159" t="s">
        <v>9705</v>
      </c>
      <c r="C1519" s="159" t="s">
        <v>10190</v>
      </c>
      <c r="D1519" s="159" t="s">
        <v>1413</v>
      </c>
      <c r="E1519" s="159"/>
      <c r="F1519" s="159" t="s">
        <v>5665</v>
      </c>
      <c r="G1519" s="159" t="s">
        <v>10281</v>
      </c>
    </row>
    <row r="1520" spans="1:7" ht="15.75" customHeight="1">
      <c r="A1520" s="159" t="s">
        <v>9275</v>
      </c>
      <c r="B1520" s="159" t="s">
        <v>9705</v>
      </c>
      <c r="C1520" s="159" t="s">
        <v>10242</v>
      </c>
      <c r="D1520" s="159" t="s">
        <v>1413</v>
      </c>
      <c r="E1520" s="159"/>
      <c r="F1520" s="159" t="s">
        <v>5665</v>
      </c>
      <c r="G1520" s="159" t="s">
        <v>10282</v>
      </c>
    </row>
    <row r="1521" spans="1:7" ht="15.75" customHeight="1">
      <c r="A1521" s="159" t="s">
        <v>9275</v>
      </c>
      <c r="B1521" s="159" t="s">
        <v>9705</v>
      </c>
      <c r="C1521" s="159" t="s">
        <v>10211</v>
      </c>
      <c r="D1521" s="159" t="s">
        <v>978</v>
      </c>
      <c r="E1521" s="159">
        <v>5</v>
      </c>
      <c r="F1521" s="159" t="s">
        <v>5665</v>
      </c>
      <c r="G1521" s="159" t="s">
        <v>11391</v>
      </c>
    </row>
    <row r="1522" spans="1:7" ht="15.75" customHeight="1">
      <c r="A1522" s="159" t="s">
        <v>9275</v>
      </c>
      <c r="B1522" s="159" t="s">
        <v>9707</v>
      </c>
      <c r="C1522" s="159" t="s">
        <v>11392</v>
      </c>
      <c r="D1522" s="159" t="s">
        <v>484</v>
      </c>
      <c r="E1522" s="159">
        <v>10</v>
      </c>
      <c r="F1522" s="159" t="s">
        <v>5665</v>
      </c>
      <c r="G1522" s="159" t="s">
        <v>11393</v>
      </c>
    </row>
    <row r="1523" spans="1:7" ht="15.75" customHeight="1">
      <c r="A1523" s="159" t="s">
        <v>9275</v>
      </c>
      <c r="B1523" s="159" t="s">
        <v>9707</v>
      </c>
      <c r="C1523" s="159" t="s">
        <v>11345</v>
      </c>
      <c r="D1523" s="159" t="s">
        <v>978</v>
      </c>
      <c r="E1523" s="159">
        <v>5</v>
      </c>
      <c r="F1523" s="159" t="s">
        <v>5665</v>
      </c>
      <c r="G1523" s="159" t="s">
        <v>11346</v>
      </c>
    </row>
    <row r="1524" spans="1:7" ht="15.75" customHeight="1">
      <c r="A1524" s="159" t="s">
        <v>9275</v>
      </c>
      <c r="B1524" s="159" t="s">
        <v>9707</v>
      </c>
      <c r="C1524" s="159" t="s">
        <v>10807</v>
      </c>
      <c r="D1524" s="159" t="s">
        <v>978</v>
      </c>
      <c r="E1524" s="159">
        <v>5</v>
      </c>
      <c r="F1524" s="159" t="s">
        <v>5665</v>
      </c>
      <c r="G1524" s="159" t="s">
        <v>10808</v>
      </c>
    </row>
    <row r="1525" spans="1:7" ht="15.75" customHeight="1">
      <c r="A1525" s="159" t="s">
        <v>9275</v>
      </c>
      <c r="B1525" s="159" t="s">
        <v>9707</v>
      </c>
      <c r="C1525" s="159" t="s">
        <v>11373</v>
      </c>
      <c r="D1525" s="159" t="s">
        <v>978</v>
      </c>
      <c r="E1525" s="159">
        <v>5</v>
      </c>
      <c r="F1525" s="159" t="s">
        <v>5665</v>
      </c>
      <c r="G1525" s="159" t="s">
        <v>11374</v>
      </c>
    </row>
    <row r="1526" spans="1:7" ht="15.75" customHeight="1">
      <c r="A1526" s="159" t="s">
        <v>9275</v>
      </c>
      <c r="B1526" s="159" t="s">
        <v>9707</v>
      </c>
      <c r="C1526" s="159" t="s">
        <v>9217</v>
      </c>
      <c r="D1526" s="159" t="s">
        <v>978</v>
      </c>
      <c r="E1526" s="159">
        <v>5</v>
      </c>
      <c r="F1526" s="159" t="s">
        <v>5665</v>
      </c>
      <c r="G1526" s="159" t="s">
        <v>10818</v>
      </c>
    </row>
    <row r="1527" spans="1:7" ht="15.75" customHeight="1">
      <c r="A1527" s="159" t="s">
        <v>9275</v>
      </c>
      <c r="B1527" s="159" t="s">
        <v>9707</v>
      </c>
      <c r="C1527" s="159" t="s">
        <v>10469</v>
      </c>
      <c r="D1527" s="159" t="s">
        <v>978</v>
      </c>
      <c r="E1527" s="159">
        <v>5</v>
      </c>
      <c r="F1527" s="159" t="s">
        <v>5665</v>
      </c>
      <c r="G1527" s="159" t="s">
        <v>10470</v>
      </c>
    </row>
    <row r="1528" spans="1:7" ht="15.75" customHeight="1">
      <c r="A1528" s="159" t="s">
        <v>9275</v>
      </c>
      <c r="B1528" s="159" t="s">
        <v>9709</v>
      </c>
      <c r="C1528" s="159" t="s">
        <v>10816</v>
      </c>
      <c r="D1528" s="159" t="s">
        <v>484</v>
      </c>
      <c r="E1528" s="159">
        <v>10</v>
      </c>
      <c r="F1528" s="159" t="s">
        <v>5665</v>
      </c>
      <c r="G1528" s="159" t="s">
        <v>10817</v>
      </c>
    </row>
    <row r="1529" spans="1:7" ht="15.75" customHeight="1">
      <c r="A1529" s="159" t="s">
        <v>9275</v>
      </c>
      <c r="B1529" s="159" t="s">
        <v>9709</v>
      </c>
      <c r="C1529" s="159" t="s">
        <v>11345</v>
      </c>
      <c r="D1529" s="159" t="s">
        <v>978</v>
      </c>
      <c r="E1529" s="159">
        <v>5</v>
      </c>
      <c r="F1529" s="159" t="s">
        <v>5665</v>
      </c>
      <c r="G1529" s="159" t="s">
        <v>11346</v>
      </c>
    </row>
    <row r="1530" spans="1:7" ht="15.75" customHeight="1">
      <c r="A1530" s="159" t="s">
        <v>9275</v>
      </c>
      <c r="B1530" s="159" t="s">
        <v>9709</v>
      </c>
      <c r="C1530" s="159" t="s">
        <v>9217</v>
      </c>
      <c r="D1530" s="159" t="s">
        <v>978</v>
      </c>
      <c r="E1530" s="159">
        <v>5</v>
      </c>
      <c r="F1530" s="159" t="s">
        <v>5665</v>
      </c>
      <c r="G1530" s="159" t="s">
        <v>10818</v>
      </c>
    </row>
    <row r="1531" spans="1:7" ht="15.75" customHeight="1">
      <c r="A1531" s="159" t="s">
        <v>9275</v>
      </c>
      <c r="B1531" s="159" t="s">
        <v>9709</v>
      </c>
      <c r="C1531" s="159" t="s">
        <v>10290</v>
      </c>
      <c r="D1531" s="159" t="s">
        <v>978</v>
      </c>
      <c r="E1531" s="159">
        <v>5</v>
      </c>
      <c r="F1531" s="159" t="s">
        <v>5665</v>
      </c>
      <c r="G1531" s="159" t="s">
        <v>10507</v>
      </c>
    </row>
    <row r="1532" spans="1:7" ht="15.75" customHeight="1">
      <c r="A1532" s="159" t="s">
        <v>9275</v>
      </c>
      <c r="B1532" s="159" t="s">
        <v>9709</v>
      </c>
      <c r="C1532" s="159" t="s">
        <v>10287</v>
      </c>
      <c r="D1532" s="159" t="s">
        <v>484</v>
      </c>
      <c r="E1532" s="159">
        <v>10</v>
      </c>
      <c r="F1532" s="159" t="s">
        <v>5665</v>
      </c>
      <c r="G1532" s="159" t="s">
        <v>10237</v>
      </c>
    </row>
    <row r="1533" spans="1:7" ht="15.75" customHeight="1">
      <c r="A1533" s="159" t="s">
        <v>9275</v>
      </c>
      <c r="B1533" s="159" t="s">
        <v>9709</v>
      </c>
      <c r="C1533" s="159" t="s">
        <v>10471</v>
      </c>
      <c r="D1533" s="159" t="s">
        <v>538</v>
      </c>
      <c r="E1533" s="159"/>
      <c r="F1533" s="159" t="s">
        <v>5667</v>
      </c>
      <c r="G1533" s="159" t="s">
        <v>11394</v>
      </c>
    </row>
    <row r="1534" spans="1:7" ht="15.75" customHeight="1">
      <c r="A1534" s="159" t="s">
        <v>9275</v>
      </c>
      <c r="B1534" s="159" t="s">
        <v>9711</v>
      </c>
      <c r="C1534" s="159" t="s">
        <v>10816</v>
      </c>
      <c r="D1534" s="159" t="s">
        <v>484</v>
      </c>
      <c r="E1534" s="159">
        <v>10</v>
      </c>
      <c r="F1534" s="159" t="s">
        <v>5665</v>
      </c>
      <c r="G1534" s="159" t="s">
        <v>10817</v>
      </c>
    </row>
    <row r="1535" spans="1:7" ht="15.75" customHeight="1">
      <c r="A1535" s="159" t="s">
        <v>9275</v>
      </c>
      <c r="B1535" s="159" t="s">
        <v>9711</v>
      </c>
      <c r="C1535" s="159" t="s">
        <v>11345</v>
      </c>
      <c r="D1535" s="159" t="s">
        <v>978</v>
      </c>
      <c r="E1535" s="159">
        <v>5</v>
      </c>
      <c r="F1535" s="159" t="s">
        <v>5665</v>
      </c>
      <c r="G1535" s="159" t="s">
        <v>11346</v>
      </c>
    </row>
    <row r="1536" spans="1:7" ht="15.75" customHeight="1">
      <c r="A1536" s="159" t="s">
        <v>9275</v>
      </c>
      <c r="B1536" s="159" t="s">
        <v>9711</v>
      </c>
      <c r="C1536" s="159" t="s">
        <v>9217</v>
      </c>
      <c r="D1536" s="159" t="s">
        <v>978</v>
      </c>
      <c r="E1536" s="159">
        <v>5</v>
      </c>
      <c r="F1536" s="159" t="s">
        <v>5665</v>
      </c>
      <c r="G1536" s="159" t="s">
        <v>10818</v>
      </c>
    </row>
    <row r="1537" spans="1:7" ht="15.75" customHeight="1">
      <c r="A1537" s="159" t="s">
        <v>9275</v>
      </c>
      <c r="B1537" s="159" t="s">
        <v>9711</v>
      </c>
      <c r="C1537" s="159" t="s">
        <v>10290</v>
      </c>
      <c r="D1537" s="159" t="s">
        <v>978</v>
      </c>
      <c r="E1537" s="159">
        <v>5</v>
      </c>
      <c r="F1537" s="159" t="s">
        <v>5665</v>
      </c>
      <c r="G1537" s="159" t="s">
        <v>10507</v>
      </c>
    </row>
    <row r="1538" spans="1:7" ht="15.75" customHeight="1">
      <c r="A1538" s="159" t="s">
        <v>9275</v>
      </c>
      <c r="B1538" s="159" t="s">
        <v>9711</v>
      </c>
      <c r="C1538" s="159" t="s">
        <v>10287</v>
      </c>
      <c r="D1538" s="159" t="s">
        <v>484</v>
      </c>
      <c r="E1538" s="159">
        <v>10</v>
      </c>
      <c r="F1538" s="159" t="s">
        <v>5665</v>
      </c>
      <c r="G1538" s="159" t="s">
        <v>10237</v>
      </c>
    </row>
    <row r="1539" spans="1:7" ht="15.75" customHeight="1">
      <c r="A1539" s="159" t="s">
        <v>9275</v>
      </c>
      <c r="B1539" s="159" t="s">
        <v>9711</v>
      </c>
      <c r="C1539" s="159" t="s">
        <v>10471</v>
      </c>
      <c r="D1539" s="159" t="s">
        <v>481</v>
      </c>
      <c r="E1539" s="159">
        <v>12</v>
      </c>
      <c r="F1539" s="159" t="s">
        <v>5665</v>
      </c>
      <c r="G1539" s="159" t="s">
        <v>11394</v>
      </c>
    </row>
    <row r="1540" spans="1:7" ht="15.75" customHeight="1">
      <c r="A1540" s="159" t="s">
        <v>9275</v>
      </c>
      <c r="B1540" s="159" t="s">
        <v>9712</v>
      </c>
      <c r="C1540" s="159" t="s">
        <v>10816</v>
      </c>
      <c r="D1540" s="159" t="s">
        <v>484</v>
      </c>
      <c r="E1540" s="159">
        <v>10</v>
      </c>
      <c r="F1540" s="159" t="s">
        <v>5665</v>
      </c>
      <c r="G1540" s="159" t="s">
        <v>10817</v>
      </c>
    </row>
    <row r="1541" spans="1:7" ht="15.75" customHeight="1">
      <c r="A1541" s="159" t="s">
        <v>9275</v>
      </c>
      <c r="B1541" s="159" t="s">
        <v>9712</v>
      </c>
      <c r="C1541" s="159" t="s">
        <v>11345</v>
      </c>
      <c r="D1541" s="159" t="s">
        <v>978</v>
      </c>
      <c r="E1541" s="159">
        <v>5</v>
      </c>
      <c r="F1541" s="159" t="s">
        <v>5665</v>
      </c>
      <c r="G1541" s="159" t="s">
        <v>11346</v>
      </c>
    </row>
    <row r="1542" spans="1:7" ht="15.75" customHeight="1">
      <c r="A1542" s="159" t="s">
        <v>9275</v>
      </c>
      <c r="B1542" s="159" t="s">
        <v>9712</v>
      </c>
      <c r="C1542" s="159" t="s">
        <v>9217</v>
      </c>
      <c r="D1542" s="159" t="s">
        <v>978</v>
      </c>
      <c r="E1542" s="159">
        <v>5</v>
      </c>
      <c r="F1542" s="159" t="s">
        <v>5665</v>
      </c>
      <c r="G1542" s="159" t="s">
        <v>10818</v>
      </c>
    </row>
    <row r="1543" spans="1:7" ht="15.75" customHeight="1">
      <c r="A1543" s="159" t="s">
        <v>9275</v>
      </c>
      <c r="B1543" s="159" t="s">
        <v>9712</v>
      </c>
      <c r="C1543" s="159" t="s">
        <v>10290</v>
      </c>
      <c r="D1543" s="159" t="s">
        <v>978</v>
      </c>
      <c r="E1543" s="159">
        <v>5</v>
      </c>
      <c r="F1543" s="159" t="s">
        <v>5665</v>
      </c>
      <c r="G1543" s="159" t="s">
        <v>10507</v>
      </c>
    </row>
    <row r="1544" spans="1:7" ht="15.75" customHeight="1">
      <c r="A1544" s="159" t="s">
        <v>9275</v>
      </c>
      <c r="B1544" s="159" t="s">
        <v>9712</v>
      </c>
      <c r="C1544" s="159" t="s">
        <v>10287</v>
      </c>
      <c r="D1544" s="159" t="s">
        <v>484</v>
      </c>
      <c r="E1544" s="159">
        <v>10</v>
      </c>
      <c r="F1544" s="159" t="s">
        <v>5665</v>
      </c>
      <c r="G1544" s="159" t="s">
        <v>10237</v>
      </c>
    </row>
    <row r="1545" spans="1:7" ht="15.75" customHeight="1">
      <c r="A1545" s="159" t="s">
        <v>9275</v>
      </c>
      <c r="B1545" s="159" t="s">
        <v>9712</v>
      </c>
      <c r="C1545" s="159" t="s">
        <v>10471</v>
      </c>
      <c r="D1545" s="159" t="s">
        <v>484</v>
      </c>
      <c r="E1545" s="159">
        <v>10</v>
      </c>
      <c r="F1545" s="159" t="s">
        <v>5665</v>
      </c>
      <c r="G1545" s="159" t="s">
        <v>11394</v>
      </c>
    </row>
    <row r="1546" spans="1:7" ht="15.75" customHeight="1">
      <c r="A1546" s="159" t="s">
        <v>9275</v>
      </c>
      <c r="B1546" s="159" t="s">
        <v>9713</v>
      </c>
      <c r="C1546" s="159" t="s">
        <v>11395</v>
      </c>
      <c r="D1546" s="159" t="s">
        <v>484</v>
      </c>
      <c r="E1546" s="159">
        <v>10</v>
      </c>
      <c r="F1546" s="159" t="s">
        <v>5665</v>
      </c>
      <c r="G1546" s="159" t="s">
        <v>11396</v>
      </c>
    </row>
    <row r="1547" spans="1:7" ht="15.75" customHeight="1">
      <c r="A1547" s="159" t="s">
        <v>9275</v>
      </c>
      <c r="B1547" s="159" t="s">
        <v>9713</v>
      </c>
      <c r="C1547" s="159" t="s">
        <v>11345</v>
      </c>
      <c r="D1547" s="159" t="s">
        <v>978</v>
      </c>
      <c r="E1547" s="159">
        <v>5</v>
      </c>
      <c r="F1547" s="159" t="s">
        <v>5665</v>
      </c>
      <c r="G1547" s="159" t="s">
        <v>11346</v>
      </c>
    </row>
    <row r="1548" spans="1:7" ht="15.75" customHeight="1">
      <c r="A1548" s="159" t="s">
        <v>9275</v>
      </c>
      <c r="B1548" s="159" t="s">
        <v>9713</v>
      </c>
      <c r="C1548" s="159" t="s">
        <v>10290</v>
      </c>
      <c r="D1548" s="159" t="s">
        <v>978</v>
      </c>
      <c r="E1548" s="159">
        <v>5</v>
      </c>
      <c r="F1548" s="159" t="s">
        <v>5665</v>
      </c>
      <c r="G1548" s="159" t="s">
        <v>10507</v>
      </c>
    </row>
    <row r="1549" spans="1:7" ht="15.75" customHeight="1">
      <c r="A1549" s="159" t="s">
        <v>9275</v>
      </c>
      <c r="B1549" s="159" t="s">
        <v>9713</v>
      </c>
      <c r="C1549" s="159" t="s">
        <v>11397</v>
      </c>
      <c r="D1549" s="159" t="s">
        <v>477</v>
      </c>
      <c r="E1549" s="159">
        <v>20</v>
      </c>
      <c r="F1549" s="159" t="s">
        <v>5667</v>
      </c>
      <c r="G1549" s="159" t="s">
        <v>11398</v>
      </c>
    </row>
    <row r="1550" spans="1:7" ht="15.75" customHeight="1">
      <c r="A1550" s="159" t="s">
        <v>9275</v>
      </c>
      <c r="B1550" s="159" t="s">
        <v>9713</v>
      </c>
      <c r="C1550" s="159" t="s">
        <v>11399</v>
      </c>
      <c r="D1550" s="159" t="s">
        <v>477</v>
      </c>
      <c r="E1550" s="159">
        <v>50</v>
      </c>
      <c r="F1550" s="159" t="s">
        <v>5667</v>
      </c>
      <c r="G1550" s="159" t="s">
        <v>11400</v>
      </c>
    </row>
    <row r="1551" spans="1:7" ht="15.75" customHeight="1">
      <c r="A1551" s="159" t="s">
        <v>9275</v>
      </c>
      <c r="B1551" s="159" t="s">
        <v>9715</v>
      </c>
      <c r="C1551" s="159" t="s">
        <v>10816</v>
      </c>
      <c r="D1551" s="159" t="s">
        <v>484</v>
      </c>
      <c r="E1551" s="159">
        <v>10</v>
      </c>
      <c r="F1551" s="159" t="s">
        <v>5665</v>
      </c>
      <c r="G1551" s="159" t="s">
        <v>10817</v>
      </c>
    </row>
    <row r="1552" spans="1:7" ht="15.75" customHeight="1">
      <c r="A1552" s="159" t="s">
        <v>9275</v>
      </c>
      <c r="B1552" s="159" t="s">
        <v>9715</v>
      </c>
      <c r="C1552" s="159" t="s">
        <v>11345</v>
      </c>
      <c r="D1552" s="159" t="s">
        <v>978</v>
      </c>
      <c r="E1552" s="159">
        <v>5</v>
      </c>
      <c r="F1552" s="159" t="s">
        <v>5665</v>
      </c>
      <c r="G1552" s="159" t="s">
        <v>11346</v>
      </c>
    </row>
    <row r="1553" spans="1:7" ht="15.75" customHeight="1">
      <c r="A1553" s="159" t="s">
        <v>9275</v>
      </c>
      <c r="B1553" s="159" t="s">
        <v>9715</v>
      </c>
      <c r="C1553" s="159" t="s">
        <v>9217</v>
      </c>
      <c r="D1553" s="159" t="s">
        <v>978</v>
      </c>
      <c r="E1553" s="159">
        <v>5</v>
      </c>
      <c r="F1553" s="159" t="s">
        <v>5665</v>
      </c>
      <c r="G1553" s="159" t="s">
        <v>10818</v>
      </c>
    </row>
    <row r="1554" spans="1:7" ht="15.75" customHeight="1">
      <c r="A1554" s="159" t="s">
        <v>9275</v>
      </c>
      <c r="B1554" s="159" t="s">
        <v>9715</v>
      </c>
      <c r="C1554" s="159" t="s">
        <v>10290</v>
      </c>
      <c r="D1554" s="159" t="s">
        <v>978</v>
      </c>
      <c r="E1554" s="159">
        <v>5</v>
      </c>
      <c r="F1554" s="159" t="s">
        <v>5665</v>
      </c>
      <c r="G1554" s="159" t="s">
        <v>10507</v>
      </c>
    </row>
    <row r="1555" spans="1:7" ht="15.75" customHeight="1">
      <c r="A1555" s="159" t="s">
        <v>9275</v>
      </c>
      <c r="B1555" s="159" t="s">
        <v>9715</v>
      </c>
      <c r="C1555" s="159" t="s">
        <v>10287</v>
      </c>
      <c r="D1555" s="159" t="s">
        <v>484</v>
      </c>
      <c r="E1555" s="159">
        <v>10</v>
      </c>
      <c r="F1555" s="159" t="s">
        <v>5665</v>
      </c>
      <c r="G1555" s="159" t="s">
        <v>10237</v>
      </c>
    </row>
    <row r="1556" spans="1:7" ht="15.75" customHeight="1">
      <c r="A1556" s="159" t="s">
        <v>9275</v>
      </c>
      <c r="B1556" s="159" t="s">
        <v>9715</v>
      </c>
      <c r="C1556" s="159" t="s">
        <v>10471</v>
      </c>
      <c r="D1556" s="159" t="s">
        <v>3893</v>
      </c>
      <c r="E1556" s="159">
        <v>65535</v>
      </c>
      <c r="F1556" s="159" t="s">
        <v>5665</v>
      </c>
      <c r="G1556" s="159" t="s">
        <v>11394</v>
      </c>
    </row>
    <row r="1557" spans="1:7" ht="15.75" customHeight="1">
      <c r="A1557" s="159" t="s">
        <v>9275</v>
      </c>
      <c r="B1557" s="159" t="s">
        <v>9716</v>
      </c>
      <c r="C1557" s="159" t="s">
        <v>11345</v>
      </c>
      <c r="D1557" s="159" t="s">
        <v>978</v>
      </c>
      <c r="E1557" s="159">
        <v>5</v>
      </c>
      <c r="F1557" s="159" t="s">
        <v>5665</v>
      </c>
      <c r="G1557" s="159" t="s">
        <v>11346</v>
      </c>
    </row>
    <row r="1558" spans="1:7" ht="15.75" customHeight="1">
      <c r="A1558" s="159" t="s">
        <v>9275</v>
      </c>
      <c r="B1558" s="159" t="s">
        <v>9716</v>
      </c>
      <c r="C1558" s="159" t="s">
        <v>11401</v>
      </c>
      <c r="D1558" s="159" t="s">
        <v>477</v>
      </c>
      <c r="E1558" s="159">
        <v>50</v>
      </c>
      <c r="F1558" s="159" t="s">
        <v>5665</v>
      </c>
      <c r="G1558" s="159" t="s">
        <v>11402</v>
      </c>
    </row>
    <row r="1559" spans="1:7" ht="15.75" customHeight="1">
      <c r="A1559" s="159" t="s">
        <v>9275</v>
      </c>
      <c r="B1559" s="159" t="s">
        <v>9716</v>
      </c>
      <c r="C1559" s="159" t="s">
        <v>11403</v>
      </c>
      <c r="D1559" s="159" t="s">
        <v>477</v>
      </c>
      <c r="E1559" s="159">
        <v>255</v>
      </c>
      <c r="F1559" s="159" t="s">
        <v>5665</v>
      </c>
      <c r="G1559" s="159" t="s">
        <v>11404</v>
      </c>
    </row>
    <row r="1560" spans="1:7" ht="15.75" customHeight="1">
      <c r="A1560" s="159" t="s">
        <v>9275</v>
      </c>
      <c r="B1560" s="159" t="s">
        <v>9716</v>
      </c>
      <c r="C1560" s="159" t="s">
        <v>11349</v>
      </c>
      <c r="D1560" s="159" t="s">
        <v>477</v>
      </c>
      <c r="E1560" s="159">
        <v>255</v>
      </c>
      <c r="F1560" s="159" t="s">
        <v>5667</v>
      </c>
      <c r="G1560" s="159" t="s">
        <v>11350</v>
      </c>
    </row>
    <row r="1561" spans="1:7" ht="15.75" customHeight="1">
      <c r="A1561" s="159" t="s">
        <v>9275</v>
      </c>
      <c r="B1561" s="159" t="s">
        <v>9716</v>
      </c>
      <c r="C1561" s="159" t="s">
        <v>11405</v>
      </c>
      <c r="D1561" s="159" t="s">
        <v>477</v>
      </c>
      <c r="E1561" s="159">
        <v>255</v>
      </c>
      <c r="F1561" s="159" t="s">
        <v>5667</v>
      </c>
      <c r="G1561" s="159" t="s">
        <v>11406</v>
      </c>
    </row>
    <row r="1562" spans="1:7" ht="15.75" customHeight="1">
      <c r="A1562" s="159" t="s">
        <v>9275</v>
      </c>
      <c r="B1562" s="159" t="s">
        <v>9716</v>
      </c>
      <c r="C1562" s="159" t="s">
        <v>11407</v>
      </c>
      <c r="D1562" s="159" t="s">
        <v>477</v>
      </c>
      <c r="E1562" s="159">
        <v>255</v>
      </c>
      <c r="F1562" s="159" t="s">
        <v>5667</v>
      </c>
      <c r="G1562" s="159" t="s">
        <v>11408</v>
      </c>
    </row>
    <row r="1563" spans="1:7" ht="15.75" customHeight="1">
      <c r="A1563" s="159" t="s">
        <v>9275</v>
      </c>
      <c r="B1563" s="159" t="s">
        <v>9716</v>
      </c>
      <c r="C1563" s="159" t="s">
        <v>11409</v>
      </c>
      <c r="D1563" s="159" t="s">
        <v>477</v>
      </c>
      <c r="E1563" s="159">
        <v>255</v>
      </c>
      <c r="F1563" s="159" t="s">
        <v>5667</v>
      </c>
      <c r="G1563" s="159" t="s">
        <v>11410</v>
      </c>
    </row>
    <row r="1564" spans="1:7" ht="15.75" customHeight="1">
      <c r="A1564" s="159" t="s">
        <v>9275</v>
      </c>
      <c r="B1564" s="159" t="s">
        <v>9716</v>
      </c>
      <c r="C1564" s="159" t="s">
        <v>11411</v>
      </c>
      <c r="D1564" s="159" t="s">
        <v>978</v>
      </c>
      <c r="E1564" s="159">
        <v>5</v>
      </c>
      <c r="F1564" s="159" t="s">
        <v>5665</v>
      </c>
      <c r="G1564" s="159" t="s">
        <v>11412</v>
      </c>
    </row>
    <row r="1565" spans="1:7" ht="15.75" customHeight="1">
      <c r="A1565" s="159" t="s">
        <v>9275</v>
      </c>
      <c r="B1565" s="159" t="s">
        <v>9716</v>
      </c>
      <c r="C1565" s="159" t="s">
        <v>11413</v>
      </c>
      <c r="D1565" s="159" t="s">
        <v>477</v>
      </c>
      <c r="E1565" s="159">
        <v>100</v>
      </c>
      <c r="F1565" s="159" t="s">
        <v>5667</v>
      </c>
      <c r="G1565" s="159" t="s">
        <v>11414</v>
      </c>
    </row>
    <row r="1566" spans="1:7" ht="15.75" customHeight="1">
      <c r="A1566" s="159" t="s">
        <v>9275</v>
      </c>
      <c r="B1566" s="159" t="s">
        <v>9716</v>
      </c>
      <c r="C1566" s="159" t="s">
        <v>11415</v>
      </c>
      <c r="D1566" s="159" t="s">
        <v>978</v>
      </c>
      <c r="E1566" s="159">
        <v>5</v>
      </c>
      <c r="F1566" s="159" t="s">
        <v>5665</v>
      </c>
      <c r="G1566" s="159" t="s">
        <v>11416</v>
      </c>
    </row>
    <row r="1567" spans="1:7" ht="15.75" customHeight="1">
      <c r="A1567" s="159" t="s">
        <v>9275</v>
      </c>
      <c r="B1567" s="159" t="s">
        <v>9716</v>
      </c>
      <c r="C1567" s="159" t="s">
        <v>11417</v>
      </c>
      <c r="D1567" s="159" t="s">
        <v>477</v>
      </c>
      <c r="E1567" s="159">
        <v>255</v>
      </c>
      <c r="F1567" s="159" t="s">
        <v>5667</v>
      </c>
      <c r="G1567" s="159" t="s">
        <v>11418</v>
      </c>
    </row>
    <row r="1568" spans="1:7" ht="15.75" customHeight="1">
      <c r="A1568" s="159" t="s">
        <v>9275</v>
      </c>
      <c r="B1568" s="159" t="s">
        <v>9716</v>
      </c>
      <c r="C1568" s="159" t="s">
        <v>11419</v>
      </c>
      <c r="D1568" s="159" t="s">
        <v>978</v>
      </c>
      <c r="E1568" s="159">
        <v>5</v>
      </c>
      <c r="F1568" s="159" t="s">
        <v>5665</v>
      </c>
      <c r="G1568" s="159" t="s">
        <v>11420</v>
      </c>
    </row>
    <row r="1569" spans="1:7" ht="15.75" customHeight="1">
      <c r="A1569" s="159" t="s">
        <v>9275</v>
      </c>
      <c r="B1569" s="159" t="s">
        <v>9716</v>
      </c>
      <c r="C1569" s="159" t="s">
        <v>11421</v>
      </c>
      <c r="D1569" s="159" t="s">
        <v>978</v>
      </c>
      <c r="E1569" s="159">
        <v>5</v>
      </c>
      <c r="F1569" s="159" t="s">
        <v>5665</v>
      </c>
      <c r="G1569" s="159" t="s">
        <v>11422</v>
      </c>
    </row>
    <row r="1570" spans="1:7" ht="15.75" customHeight="1">
      <c r="A1570" s="159" t="s">
        <v>9275</v>
      </c>
      <c r="B1570" s="159" t="s">
        <v>9716</v>
      </c>
      <c r="C1570" s="159" t="s">
        <v>11423</v>
      </c>
      <c r="D1570" s="159" t="s">
        <v>477</v>
      </c>
      <c r="E1570" s="159">
        <v>1</v>
      </c>
      <c r="F1570" s="159" t="s">
        <v>5665</v>
      </c>
      <c r="G1570" s="159" t="s">
        <v>11424</v>
      </c>
    </row>
    <row r="1571" spans="1:7" ht="15.75" customHeight="1">
      <c r="A1571" s="159" t="s">
        <v>9275</v>
      </c>
      <c r="B1571" s="159" t="s">
        <v>9716</v>
      </c>
      <c r="C1571" s="159" t="s">
        <v>11425</v>
      </c>
      <c r="D1571" s="159" t="s">
        <v>477</v>
      </c>
      <c r="E1571" s="159">
        <v>255</v>
      </c>
      <c r="F1571" s="159" t="s">
        <v>5667</v>
      </c>
      <c r="G1571" s="159" t="s">
        <v>11426</v>
      </c>
    </row>
    <row r="1572" spans="1:7" ht="15.75" customHeight="1">
      <c r="A1572" s="159" t="s">
        <v>9275</v>
      </c>
      <c r="B1572" s="159" t="s">
        <v>9716</v>
      </c>
      <c r="C1572" s="159" t="s">
        <v>11427</v>
      </c>
      <c r="D1572" s="159" t="s">
        <v>477</v>
      </c>
      <c r="E1572" s="159">
        <v>255</v>
      </c>
      <c r="F1572" s="159" t="s">
        <v>5667</v>
      </c>
      <c r="G1572" s="159" t="s">
        <v>11428</v>
      </c>
    </row>
    <row r="1573" spans="1:7" ht="15.75" customHeight="1">
      <c r="A1573" s="159" t="s">
        <v>9275</v>
      </c>
      <c r="B1573" s="159" t="s">
        <v>9718</v>
      </c>
      <c r="C1573" s="159" t="s">
        <v>10816</v>
      </c>
      <c r="D1573" s="159" t="s">
        <v>484</v>
      </c>
      <c r="E1573" s="159">
        <v>10</v>
      </c>
      <c r="F1573" s="159" t="s">
        <v>5665</v>
      </c>
      <c r="G1573" s="159" t="s">
        <v>10817</v>
      </c>
    </row>
    <row r="1574" spans="1:7" ht="15.75" customHeight="1">
      <c r="A1574" s="159" t="s">
        <v>9275</v>
      </c>
      <c r="B1574" s="159" t="s">
        <v>9718</v>
      </c>
      <c r="C1574" s="159" t="s">
        <v>11345</v>
      </c>
      <c r="D1574" s="159" t="s">
        <v>978</v>
      </c>
      <c r="E1574" s="159">
        <v>5</v>
      </c>
      <c r="F1574" s="159" t="s">
        <v>5665</v>
      </c>
      <c r="G1574" s="159" t="s">
        <v>11346</v>
      </c>
    </row>
    <row r="1575" spans="1:7" ht="15.75" customHeight="1">
      <c r="A1575" s="159" t="s">
        <v>9275</v>
      </c>
      <c r="B1575" s="159" t="s">
        <v>9718</v>
      </c>
      <c r="C1575" s="159" t="s">
        <v>9217</v>
      </c>
      <c r="D1575" s="159" t="s">
        <v>978</v>
      </c>
      <c r="E1575" s="159">
        <v>5</v>
      </c>
      <c r="F1575" s="159" t="s">
        <v>5665</v>
      </c>
      <c r="G1575" s="159" t="s">
        <v>10818</v>
      </c>
    </row>
    <row r="1576" spans="1:7" ht="15.75" customHeight="1">
      <c r="A1576" s="159" t="s">
        <v>9275</v>
      </c>
      <c r="B1576" s="159" t="s">
        <v>9718</v>
      </c>
      <c r="C1576" s="159" t="s">
        <v>10290</v>
      </c>
      <c r="D1576" s="159" t="s">
        <v>978</v>
      </c>
      <c r="E1576" s="159">
        <v>5</v>
      </c>
      <c r="F1576" s="159" t="s">
        <v>5665</v>
      </c>
      <c r="G1576" s="159" t="s">
        <v>10507</v>
      </c>
    </row>
    <row r="1577" spans="1:7" ht="15.75" customHeight="1">
      <c r="A1577" s="159" t="s">
        <v>9275</v>
      </c>
      <c r="B1577" s="159" t="s">
        <v>9718</v>
      </c>
      <c r="C1577" s="159" t="s">
        <v>10287</v>
      </c>
      <c r="D1577" s="159" t="s">
        <v>484</v>
      </c>
      <c r="E1577" s="159">
        <v>10</v>
      </c>
      <c r="F1577" s="159" t="s">
        <v>5665</v>
      </c>
      <c r="G1577" s="159" t="s">
        <v>10237</v>
      </c>
    </row>
    <row r="1578" spans="1:7" ht="15.75" customHeight="1">
      <c r="A1578" s="159" t="s">
        <v>9275</v>
      </c>
      <c r="B1578" s="159" t="s">
        <v>9718</v>
      </c>
      <c r="C1578" s="159" t="s">
        <v>10471</v>
      </c>
      <c r="D1578" s="159" t="s">
        <v>477</v>
      </c>
      <c r="E1578" s="159">
        <v>255</v>
      </c>
      <c r="F1578" s="159" t="s">
        <v>5667</v>
      </c>
      <c r="G1578" s="159" t="s">
        <v>11394</v>
      </c>
    </row>
    <row r="1579" spans="1:7" ht="15.75" customHeight="1">
      <c r="A1579" s="159" t="s">
        <v>9275</v>
      </c>
      <c r="B1579" s="159" t="s">
        <v>9719</v>
      </c>
      <c r="C1579" s="159" t="s">
        <v>11429</v>
      </c>
      <c r="D1579" s="159" t="s">
        <v>484</v>
      </c>
      <c r="E1579" s="159">
        <v>10</v>
      </c>
      <c r="F1579" s="159" t="s">
        <v>5665</v>
      </c>
      <c r="G1579" s="159" t="s">
        <v>11430</v>
      </c>
    </row>
    <row r="1580" spans="1:7" ht="15.75" customHeight="1">
      <c r="A1580" s="159" t="s">
        <v>9275</v>
      </c>
      <c r="B1580" s="159" t="s">
        <v>9719</v>
      </c>
      <c r="C1580" s="159" t="s">
        <v>10906</v>
      </c>
      <c r="D1580" s="159" t="s">
        <v>978</v>
      </c>
      <c r="E1580" s="159">
        <v>5</v>
      </c>
      <c r="F1580" s="159" t="s">
        <v>5665</v>
      </c>
      <c r="G1580" s="159" t="s">
        <v>10907</v>
      </c>
    </row>
    <row r="1581" spans="1:7" ht="15.75" customHeight="1">
      <c r="A1581" s="159" t="s">
        <v>9275</v>
      </c>
      <c r="B1581" s="159" t="s">
        <v>9719</v>
      </c>
      <c r="C1581" s="159" t="s">
        <v>11431</v>
      </c>
      <c r="D1581" s="159" t="s">
        <v>978</v>
      </c>
      <c r="E1581" s="159">
        <v>5</v>
      </c>
      <c r="F1581" s="159" t="s">
        <v>5667</v>
      </c>
      <c r="G1581" s="159" t="s">
        <v>11432</v>
      </c>
    </row>
    <row r="1582" spans="1:7" ht="15.75" customHeight="1">
      <c r="A1582" s="159" t="s">
        <v>9275</v>
      </c>
      <c r="B1582" s="159" t="s">
        <v>9719</v>
      </c>
      <c r="C1582" s="159" t="s">
        <v>9217</v>
      </c>
      <c r="D1582" s="159" t="s">
        <v>978</v>
      </c>
      <c r="E1582" s="159">
        <v>5</v>
      </c>
      <c r="F1582" s="159" t="s">
        <v>5665</v>
      </c>
      <c r="G1582" s="159" t="s">
        <v>10818</v>
      </c>
    </row>
    <row r="1583" spans="1:7" ht="15.75" customHeight="1">
      <c r="A1583" s="159" t="s">
        <v>9275</v>
      </c>
      <c r="B1583" s="159" t="s">
        <v>9719</v>
      </c>
      <c r="C1583" s="159" t="s">
        <v>10469</v>
      </c>
      <c r="D1583" s="159" t="s">
        <v>484</v>
      </c>
      <c r="E1583" s="159">
        <v>10</v>
      </c>
      <c r="F1583" s="159" t="s">
        <v>5665</v>
      </c>
      <c r="G1583" s="159" t="s">
        <v>10470</v>
      </c>
    </row>
    <row r="1584" spans="1:7" ht="15.75" customHeight="1">
      <c r="A1584" s="159" t="s">
        <v>9275</v>
      </c>
      <c r="B1584" s="159" t="s">
        <v>9721</v>
      </c>
      <c r="C1584" s="159" t="s">
        <v>11431</v>
      </c>
      <c r="D1584" s="159" t="s">
        <v>978</v>
      </c>
      <c r="E1584" s="159">
        <v>5</v>
      </c>
      <c r="F1584" s="159" t="s">
        <v>5665</v>
      </c>
      <c r="G1584" s="159" t="s">
        <v>11432</v>
      </c>
    </row>
    <row r="1585" spans="1:7" ht="15.75" customHeight="1">
      <c r="A1585" s="159" t="s">
        <v>9275</v>
      </c>
      <c r="B1585" s="159" t="s">
        <v>9721</v>
      </c>
      <c r="C1585" s="159" t="s">
        <v>10906</v>
      </c>
      <c r="D1585" s="159" t="s">
        <v>978</v>
      </c>
      <c r="E1585" s="159">
        <v>5</v>
      </c>
      <c r="F1585" s="159" t="s">
        <v>5665</v>
      </c>
      <c r="G1585" s="159" t="s">
        <v>10907</v>
      </c>
    </row>
    <row r="1586" spans="1:7" ht="15.75" customHeight="1">
      <c r="A1586" s="159" t="s">
        <v>9275</v>
      </c>
      <c r="B1586" s="159" t="s">
        <v>9721</v>
      </c>
      <c r="C1586" s="159" t="s">
        <v>5764</v>
      </c>
      <c r="D1586" s="159" t="s">
        <v>477</v>
      </c>
      <c r="E1586" s="159">
        <v>64</v>
      </c>
      <c r="F1586" s="159" t="s">
        <v>5665</v>
      </c>
      <c r="G1586" s="159" t="s">
        <v>4246</v>
      </c>
    </row>
    <row r="1587" spans="1:7" ht="15.75" customHeight="1">
      <c r="A1587" s="159" t="s">
        <v>9275</v>
      </c>
      <c r="B1587" s="159" t="s">
        <v>9721</v>
      </c>
      <c r="C1587" s="159" t="s">
        <v>10469</v>
      </c>
      <c r="D1587" s="159" t="s">
        <v>484</v>
      </c>
      <c r="E1587" s="159">
        <v>10</v>
      </c>
      <c r="F1587" s="159" t="s">
        <v>5665</v>
      </c>
      <c r="G1587" s="159" t="s">
        <v>10470</v>
      </c>
    </row>
    <row r="1588" spans="1:7" ht="15.75" customHeight="1">
      <c r="A1588" s="159" t="s">
        <v>9275</v>
      </c>
      <c r="B1588" s="159" t="s">
        <v>9723</v>
      </c>
      <c r="C1588" s="159" t="s">
        <v>11431</v>
      </c>
      <c r="D1588" s="159" t="s">
        <v>978</v>
      </c>
      <c r="E1588" s="159">
        <v>5</v>
      </c>
      <c r="F1588" s="159" t="s">
        <v>5665</v>
      </c>
      <c r="G1588" s="159" t="s">
        <v>11432</v>
      </c>
    </row>
    <row r="1589" spans="1:7" ht="15.75" customHeight="1">
      <c r="A1589" s="159" t="s">
        <v>9275</v>
      </c>
      <c r="B1589" s="159" t="s">
        <v>9723</v>
      </c>
      <c r="C1589" s="159" t="s">
        <v>10290</v>
      </c>
      <c r="D1589" s="159" t="s">
        <v>978</v>
      </c>
      <c r="E1589" s="159">
        <v>5</v>
      </c>
      <c r="F1589" s="159" t="s">
        <v>5665</v>
      </c>
      <c r="G1589" s="159" t="s">
        <v>10507</v>
      </c>
    </row>
    <row r="1590" spans="1:7" ht="15.75" customHeight="1">
      <c r="A1590" s="159" t="s">
        <v>9275</v>
      </c>
      <c r="B1590" s="159" t="s">
        <v>9723</v>
      </c>
      <c r="C1590" s="159" t="s">
        <v>10916</v>
      </c>
      <c r="D1590" s="159" t="s">
        <v>477</v>
      </c>
      <c r="E1590" s="159">
        <v>255</v>
      </c>
      <c r="F1590" s="159" t="s">
        <v>5665</v>
      </c>
      <c r="G1590" s="159" t="s">
        <v>10917</v>
      </c>
    </row>
    <row r="1591" spans="1:7" ht="15.75" customHeight="1">
      <c r="A1591" s="159" t="s">
        <v>9275</v>
      </c>
      <c r="B1591" s="159" t="s">
        <v>9725</v>
      </c>
      <c r="C1591" s="159" t="s">
        <v>10906</v>
      </c>
      <c r="D1591" s="159" t="s">
        <v>978</v>
      </c>
      <c r="E1591" s="159">
        <v>5</v>
      </c>
      <c r="F1591" s="159" t="s">
        <v>5665</v>
      </c>
      <c r="G1591" s="159" t="s">
        <v>10907</v>
      </c>
    </row>
    <row r="1592" spans="1:7" ht="15.75" customHeight="1">
      <c r="A1592" s="159" t="s">
        <v>9275</v>
      </c>
      <c r="B1592" s="159" t="s">
        <v>9725</v>
      </c>
      <c r="C1592" s="159" t="s">
        <v>5764</v>
      </c>
      <c r="D1592" s="159" t="s">
        <v>477</v>
      </c>
      <c r="E1592" s="159">
        <v>64</v>
      </c>
      <c r="F1592" s="159" t="s">
        <v>5665</v>
      </c>
      <c r="G1592" s="159" t="s">
        <v>4246</v>
      </c>
    </row>
    <row r="1593" spans="1:7" ht="15.75" customHeight="1">
      <c r="A1593" s="159" t="s">
        <v>9275</v>
      </c>
      <c r="B1593" s="159" t="s">
        <v>9725</v>
      </c>
      <c r="C1593" s="159" t="s">
        <v>10916</v>
      </c>
      <c r="D1593" s="159" t="s">
        <v>477</v>
      </c>
      <c r="E1593" s="159">
        <v>255</v>
      </c>
      <c r="F1593" s="159" t="s">
        <v>5665</v>
      </c>
      <c r="G1593" s="159" t="s">
        <v>10917</v>
      </c>
    </row>
    <row r="1594" spans="1:7" ht="15.75" customHeight="1">
      <c r="A1594" s="159" t="s">
        <v>9275</v>
      </c>
      <c r="B1594" s="159" t="s">
        <v>9725</v>
      </c>
      <c r="C1594" s="159" t="s">
        <v>11190</v>
      </c>
      <c r="D1594" s="159" t="s">
        <v>978</v>
      </c>
      <c r="E1594" s="159">
        <v>5</v>
      </c>
      <c r="F1594" s="159" t="s">
        <v>5665</v>
      </c>
      <c r="G1594" s="159" t="s">
        <v>11191</v>
      </c>
    </row>
    <row r="1595" spans="1:7" ht="15.75" customHeight="1">
      <c r="A1595" s="159" t="s">
        <v>9275</v>
      </c>
      <c r="B1595" s="159" t="s">
        <v>9725</v>
      </c>
      <c r="C1595" s="159" t="s">
        <v>10107</v>
      </c>
      <c r="D1595" s="159" t="s">
        <v>477</v>
      </c>
      <c r="E1595" s="159">
        <v>64</v>
      </c>
      <c r="F1595" s="159" t="s">
        <v>5667</v>
      </c>
      <c r="G1595" s="159" t="s">
        <v>11433</v>
      </c>
    </row>
    <row r="1596" spans="1:7" ht="15.75" customHeight="1">
      <c r="A1596" s="159" t="s">
        <v>9275</v>
      </c>
      <c r="B1596" s="159" t="s">
        <v>9725</v>
      </c>
      <c r="C1596" s="159" t="s">
        <v>10290</v>
      </c>
      <c r="D1596" s="159" t="s">
        <v>978</v>
      </c>
      <c r="E1596" s="159">
        <v>5</v>
      </c>
      <c r="F1596" s="159" t="s">
        <v>5665</v>
      </c>
      <c r="G1596" s="159" t="s">
        <v>10507</v>
      </c>
    </row>
    <row r="1597" spans="1:7" ht="15.75" customHeight="1">
      <c r="A1597" s="159" t="s">
        <v>9275</v>
      </c>
      <c r="B1597" s="159" t="s">
        <v>9727</v>
      </c>
      <c r="C1597" s="159" t="s">
        <v>10906</v>
      </c>
      <c r="D1597" s="159" t="s">
        <v>978</v>
      </c>
      <c r="E1597" s="159">
        <v>5</v>
      </c>
      <c r="F1597" s="159" t="s">
        <v>5665</v>
      </c>
      <c r="G1597" s="159" t="s">
        <v>10907</v>
      </c>
    </row>
    <row r="1598" spans="1:7" ht="15.75" customHeight="1">
      <c r="A1598" s="159" t="s">
        <v>9275</v>
      </c>
      <c r="B1598" s="159" t="s">
        <v>9727</v>
      </c>
      <c r="C1598" s="159" t="s">
        <v>11345</v>
      </c>
      <c r="D1598" s="159" t="s">
        <v>978</v>
      </c>
      <c r="E1598" s="159">
        <v>5</v>
      </c>
      <c r="F1598" s="159" t="s">
        <v>5665</v>
      </c>
      <c r="G1598" s="159" t="s">
        <v>11346</v>
      </c>
    </row>
    <row r="1599" spans="1:7" ht="15.75" customHeight="1">
      <c r="A1599" s="159" t="s">
        <v>9275</v>
      </c>
      <c r="B1599" s="159" t="s">
        <v>9729</v>
      </c>
      <c r="C1599" s="159" t="s">
        <v>3897</v>
      </c>
      <c r="D1599" s="159" t="s">
        <v>484</v>
      </c>
      <c r="E1599" s="159">
        <v>10</v>
      </c>
      <c r="F1599" s="159" t="s">
        <v>5665</v>
      </c>
      <c r="G1599" s="159" t="s">
        <v>11434</v>
      </c>
    </row>
    <row r="1600" spans="1:7" ht="15.75" customHeight="1">
      <c r="A1600" s="159" t="s">
        <v>9275</v>
      </c>
      <c r="B1600" s="159" t="s">
        <v>9729</v>
      </c>
      <c r="C1600" s="159" t="s">
        <v>10570</v>
      </c>
      <c r="D1600" s="159" t="s">
        <v>484</v>
      </c>
      <c r="E1600" s="159">
        <v>10</v>
      </c>
      <c r="F1600" s="159" t="s">
        <v>5667</v>
      </c>
      <c r="G1600" s="159" t="s">
        <v>11435</v>
      </c>
    </row>
    <row r="1601" spans="1:7" ht="15.75" customHeight="1">
      <c r="A1601" s="159" t="s">
        <v>9275</v>
      </c>
      <c r="B1601" s="159" t="s">
        <v>9729</v>
      </c>
      <c r="C1601" s="159" t="s">
        <v>10290</v>
      </c>
      <c r="D1601" s="159" t="s">
        <v>978</v>
      </c>
      <c r="E1601" s="159">
        <v>5</v>
      </c>
      <c r="F1601" s="159" t="s">
        <v>5667</v>
      </c>
      <c r="G1601" s="159" t="s">
        <v>10689</v>
      </c>
    </row>
    <row r="1602" spans="1:7" ht="15.75" customHeight="1">
      <c r="A1602" s="159" t="s">
        <v>9275</v>
      </c>
      <c r="B1602" s="159" t="s">
        <v>9729</v>
      </c>
      <c r="C1602" s="159" t="s">
        <v>3940</v>
      </c>
      <c r="D1602" s="159" t="s">
        <v>484</v>
      </c>
      <c r="E1602" s="159">
        <v>10</v>
      </c>
      <c r="F1602" s="159" t="s">
        <v>5667</v>
      </c>
      <c r="G1602" s="159" t="s">
        <v>10747</v>
      </c>
    </row>
    <row r="1603" spans="1:7" ht="15.75" customHeight="1">
      <c r="A1603" s="159" t="s">
        <v>9275</v>
      </c>
      <c r="B1603" s="159" t="s">
        <v>9729</v>
      </c>
      <c r="C1603" s="159" t="s">
        <v>3545</v>
      </c>
      <c r="D1603" s="159" t="s">
        <v>477</v>
      </c>
      <c r="E1603" s="159">
        <v>255</v>
      </c>
      <c r="F1603" s="159" t="s">
        <v>5665</v>
      </c>
      <c r="G1603" s="159" t="s">
        <v>5204</v>
      </c>
    </row>
    <row r="1604" spans="1:7" ht="15.75" customHeight="1">
      <c r="A1604" s="159" t="s">
        <v>9275</v>
      </c>
      <c r="B1604" s="159" t="s">
        <v>9729</v>
      </c>
      <c r="C1604" s="159" t="s">
        <v>1419</v>
      </c>
      <c r="D1604" s="159" t="s">
        <v>477</v>
      </c>
      <c r="E1604" s="159">
        <v>255</v>
      </c>
      <c r="F1604" s="159" t="s">
        <v>5665</v>
      </c>
      <c r="G1604" s="159" t="s">
        <v>11436</v>
      </c>
    </row>
    <row r="1605" spans="1:7" ht="15.75" customHeight="1">
      <c r="A1605" s="159" t="s">
        <v>9275</v>
      </c>
      <c r="B1605" s="159" t="s">
        <v>9729</v>
      </c>
      <c r="C1605" s="159" t="s">
        <v>10211</v>
      </c>
      <c r="D1605" s="159" t="s">
        <v>978</v>
      </c>
      <c r="E1605" s="159">
        <v>5</v>
      </c>
      <c r="F1605" s="159" t="s">
        <v>5665</v>
      </c>
      <c r="G1605" s="159" t="s">
        <v>11437</v>
      </c>
    </row>
    <row r="1606" spans="1:7" ht="15.75" customHeight="1">
      <c r="A1606" s="159" t="s">
        <v>9275</v>
      </c>
      <c r="B1606" s="159" t="s">
        <v>9729</v>
      </c>
      <c r="C1606" s="159" t="s">
        <v>11438</v>
      </c>
      <c r="D1606" s="159" t="s">
        <v>1413</v>
      </c>
      <c r="E1606" s="159"/>
      <c r="F1606" s="159" t="s">
        <v>5667</v>
      </c>
      <c r="G1606" s="159" t="s">
        <v>11439</v>
      </c>
    </row>
    <row r="1607" spans="1:7" ht="15.75" customHeight="1">
      <c r="A1607" s="159" t="s">
        <v>9275</v>
      </c>
      <c r="B1607" s="159" t="s">
        <v>9729</v>
      </c>
      <c r="C1607" s="159" t="s">
        <v>11440</v>
      </c>
      <c r="D1607" s="159" t="s">
        <v>978</v>
      </c>
      <c r="E1607" s="159">
        <v>5</v>
      </c>
      <c r="F1607" s="159" t="s">
        <v>5665</v>
      </c>
      <c r="G1607" s="159" t="s">
        <v>11441</v>
      </c>
    </row>
    <row r="1608" spans="1:7" ht="15.75" customHeight="1">
      <c r="A1608" s="159" t="s">
        <v>9275</v>
      </c>
      <c r="B1608" s="159" t="s">
        <v>9729</v>
      </c>
      <c r="C1608" s="159" t="s">
        <v>11442</v>
      </c>
      <c r="D1608" s="159" t="s">
        <v>978</v>
      </c>
      <c r="E1608" s="159">
        <v>5</v>
      </c>
      <c r="F1608" s="159" t="s">
        <v>5667</v>
      </c>
      <c r="G1608" s="159" t="s">
        <v>11443</v>
      </c>
    </row>
    <row r="1609" spans="1:7" ht="15.75" customHeight="1">
      <c r="A1609" s="159" t="s">
        <v>9275</v>
      </c>
      <c r="B1609" s="159" t="s">
        <v>9729</v>
      </c>
      <c r="C1609" s="159" t="s">
        <v>11444</v>
      </c>
      <c r="D1609" s="159" t="s">
        <v>477</v>
      </c>
      <c r="E1609" s="159">
        <v>255</v>
      </c>
      <c r="F1609" s="159" t="s">
        <v>5667</v>
      </c>
      <c r="G1609" s="159" t="s">
        <v>11445</v>
      </c>
    </row>
    <row r="1610" spans="1:7" ht="15.75" customHeight="1">
      <c r="A1610" s="159" t="s">
        <v>9275</v>
      </c>
      <c r="B1610" s="159" t="s">
        <v>9729</v>
      </c>
      <c r="C1610" s="159" t="s">
        <v>10190</v>
      </c>
      <c r="D1610" s="159" t="s">
        <v>1413</v>
      </c>
      <c r="E1610" s="159"/>
      <c r="F1610" s="159" t="s">
        <v>5667</v>
      </c>
      <c r="G1610" s="159" t="s">
        <v>10281</v>
      </c>
    </row>
    <row r="1611" spans="1:7" ht="15.75" customHeight="1">
      <c r="A1611" s="159" t="s">
        <v>9275</v>
      </c>
      <c r="B1611" s="159" t="s">
        <v>9729</v>
      </c>
      <c r="C1611" s="159" t="s">
        <v>10242</v>
      </c>
      <c r="D1611" s="159" t="s">
        <v>1413</v>
      </c>
      <c r="E1611" s="159"/>
      <c r="F1611" s="159" t="s">
        <v>5667</v>
      </c>
      <c r="G1611" s="159" t="s">
        <v>11446</v>
      </c>
    </row>
    <row r="1612" spans="1:7" ht="15.75" customHeight="1">
      <c r="A1612" s="159" t="s">
        <v>9275</v>
      </c>
      <c r="B1612" s="159" t="s">
        <v>9731</v>
      </c>
      <c r="C1612" s="159" t="s">
        <v>3897</v>
      </c>
      <c r="D1612" s="159" t="s">
        <v>484</v>
      </c>
      <c r="E1612" s="159">
        <v>10</v>
      </c>
      <c r="F1612" s="159" t="s">
        <v>5665</v>
      </c>
      <c r="G1612" s="159" t="s">
        <v>11434</v>
      </c>
    </row>
    <row r="1613" spans="1:7" ht="15.75" customHeight="1">
      <c r="A1613" s="159" t="s">
        <v>9275</v>
      </c>
      <c r="B1613" s="159" t="s">
        <v>9731</v>
      </c>
      <c r="C1613" s="159" t="s">
        <v>11447</v>
      </c>
      <c r="D1613" s="159" t="s">
        <v>477</v>
      </c>
      <c r="E1613" s="159">
        <v>255</v>
      </c>
      <c r="F1613" s="159" t="s">
        <v>5667</v>
      </c>
      <c r="G1613" s="159" t="s">
        <v>11448</v>
      </c>
    </row>
    <row r="1614" spans="1:7" ht="15.75" customHeight="1">
      <c r="A1614" s="159" t="s">
        <v>9275</v>
      </c>
      <c r="B1614" s="159" t="s">
        <v>9731</v>
      </c>
      <c r="C1614" s="159" t="s">
        <v>2241</v>
      </c>
      <c r="D1614" s="159" t="s">
        <v>477</v>
      </c>
      <c r="E1614" s="159">
        <v>255</v>
      </c>
      <c r="F1614" s="159" t="s">
        <v>5667</v>
      </c>
      <c r="G1614" s="159" t="s">
        <v>11448</v>
      </c>
    </row>
    <row r="1615" spans="1:7" ht="15.75" customHeight="1">
      <c r="A1615" s="159" t="s">
        <v>9275</v>
      </c>
      <c r="B1615" s="159" t="s">
        <v>9731</v>
      </c>
      <c r="C1615" s="159" t="s">
        <v>11449</v>
      </c>
      <c r="D1615" s="159" t="s">
        <v>477</v>
      </c>
      <c r="E1615" s="159">
        <v>255</v>
      </c>
      <c r="F1615" s="159" t="s">
        <v>5665</v>
      </c>
      <c r="G1615" s="159" t="s">
        <v>11450</v>
      </c>
    </row>
    <row r="1616" spans="1:7" ht="15.75" customHeight="1">
      <c r="A1616" s="159" t="s">
        <v>9275</v>
      </c>
      <c r="B1616" s="159" t="s">
        <v>9731</v>
      </c>
      <c r="C1616" s="159" t="s">
        <v>3545</v>
      </c>
      <c r="D1616" s="159" t="s">
        <v>477</v>
      </c>
      <c r="E1616" s="159">
        <v>255</v>
      </c>
      <c r="F1616" s="159" t="s">
        <v>5667</v>
      </c>
      <c r="G1616" s="159" t="s">
        <v>5204</v>
      </c>
    </row>
    <row r="1617" spans="1:7" ht="15.75" customHeight="1">
      <c r="A1617" s="159" t="s">
        <v>9275</v>
      </c>
      <c r="B1617" s="159" t="s">
        <v>9731</v>
      </c>
      <c r="C1617" s="159" t="s">
        <v>10906</v>
      </c>
      <c r="D1617" s="159" t="s">
        <v>477</v>
      </c>
      <c r="E1617" s="159">
        <v>255</v>
      </c>
      <c r="F1617" s="159" t="s">
        <v>5667</v>
      </c>
      <c r="G1617" s="159" t="s">
        <v>10907</v>
      </c>
    </row>
    <row r="1618" spans="1:7" ht="15.75" customHeight="1">
      <c r="A1618" s="159" t="s">
        <v>9275</v>
      </c>
      <c r="B1618" s="159" t="s">
        <v>9731</v>
      </c>
      <c r="C1618" s="159" t="s">
        <v>11451</v>
      </c>
      <c r="D1618" s="159" t="s">
        <v>477</v>
      </c>
      <c r="E1618" s="159">
        <v>255</v>
      </c>
      <c r="F1618" s="159" t="s">
        <v>5667</v>
      </c>
      <c r="G1618" s="159" t="s">
        <v>11452</v>
      </c>
    </row>
    <row r="1619" spans="1:7" ht="15.75" customHeight="1">
      <c r="A1619" s="159" t="s">
        <v>9275</v>
      </c>
      <c r="B1619" s="159" t="s">
        <v>9731</v>
      </c>
      <c r="C1619" s="159" t="s">
        <v>10882</v>
      </c>
      <c r="D1619" s="159" t="s">
        <v>978</v>
      </c>
      <c r="E1619" s="159">
        <v>5</v>
      </c>
      <c r="F1619" s="159" t="s">
        <v>5665</v>
      </c>
      <c r="G1619" s="159" t="s">
        <v>11453</v>
      </c>
    </row>
    <row r="1620" spans="1:7" ht="15.75" customHeight="1">
      <c r="A1620" s="159" t="s">
        <v>9275</v>
      </c>
      <c r="B1620" s="159" t="s">
        <v>9731</v>
      </c>
      <c r="C1620" s="159" t="s">
        <v>3892</v>
      </c>
      <c r="D1620" s="159" t="s">
        <v>477</v>
      </c>
      <c r="E1620" s="159">
        <v>255</v>
      </c>
      <c r="F1620" s="159" t="s">
        <v>5665</v>
      </c>
      <c r="G1620" s="159" t="s">
        <v>11454</v>
      </c>
    </row>
    <row r="1621" spans="1:7" ht="15.75" customHeight="1">
      <c r="A1621" s="159" t="s">
        <v>9275</v>
      </c>
      <c r="B1621" s="159" t="s">
        <v>9731</v>
      </c>
      <c r="C1621" s="159" t="s">
        <v>10190</v>
      </c>
      <c r="D1621" s="159" t="s">
        <v>1413</v>
      </c>
      <c r="E1621" s="159"/>
      <c r="F1621" s="159" t="s">
        <v>5667</v>
      </c>
      <c r="G1621" s="159" t="s">
        <v>10810</v>
      </c>
    </row>
    <row r="1622" spans="1:7" ht="15.75" customHeight="1">
      <c r="A1622" s="159" t="s">
        <v>9275</v>
      </c>
      <c r="B1622" s="159" t="s">
        <v>9731</v>
      </c>
      <c r="C1622" s="159" t="s">
        <v>10242</v>
      </c>
      <c r="D1622" s="159" t="s">
        <v>1413</v>
      </c>
      <c r="E1622" s="159"/>
      <c r="F1622" s="159" t="s">
        <v>5667</v>
      </c>
      <c r="G1622" s="159" t="s">
        <v>10243</v>
      </c>
    </row>
    <row r="1623" spans="1:7" ht="15.75" customHeight="1">
      <c r="A1623" s="159" t="s">
        <v>9275</v>
      </c>
      <c r="B1623" s="159" t="s">
        <v>9733</v>
      </c>
      <c r="C1623" s="159" t="s">
        <v>3897</v>
      </c>
      <c r="D1623" s="159" t="s">
        <v>484</v>
      </c>
      <c r="E1623" s="159">
        <v>10</v>
      </c>
      <c r="F1623" s="159" t="s">
        <v>5665</v>
      </c>
      <c r="G1623" s="159" t="s">
        <v>11434</v>
      </c>
    </row>
    <row r="1624" spans="1:7" ht="15.75" customHeight="1">
      <c r="A1624" s="159" t="s">
        <v>9275</v>
      </c>
      <c r="B1624" s="159" t="s">
        <v>9733</v>
      </c>
      <c r="C1624" s="159" t="s">
        <v>11455</v>
      </c>
      <c r="D1624" s="159" t="s">
        <v>484</v>
      </c>
      <c r="E1624" s="159">
        <v>10</v>
      </c>
      <c r="F1624" s="159" t="s">
        <v>5665</v>
      </c>
      <c r="G1624" s="159" t="s">
        <v>11456</v>
      </c>
    </row>
    <row r="1625" spans="1:7" ht="15.75" customHeight="1">
      <c r="A1625" s="159" t="s">
        <v>9275</v>
      </c>
      <c r="B1625" s="159" t="s">
        <v>9733</v>
      </c>
      <c r="C1625" s="159" t="s">
        <v>3545</v>
      </c>
      <c r="D1625" s="159" t="s">
        <v>477</v>
      </c>
      <c r="E1625" s="159">
        <v>255</v>
      </c>
      <c r="F1625" s="159" t="s">
        <v>5665</v>
      </c>
      <c r="G1625" s="159" t="s">
        <v>11457</v>
      </c>
    </row>
    <row r="1626" spans="1:7" ht="15.75" customHeight="1">
      <c r="A1626" s="159" t="s">
        <v>9275</v>
      </c>
      <c r="B1626" s="159" t="s">
        <v>9733</v>
      </c>
      <c r="C1626" s="159" t="s">
        <v>3940</v>
      </c>
      <c r="D1626" s="159" t="s">
        <v>484</v>
      </c>
      <c r="E1626" s="159">
        <v>10</v>
      </c>
      <c r="F1626" s="159" t="s">
        <v>5665</v>
      </c>
      <c r="G1626" s="159" t="s">
        <v>10747</v>
      </c>
    </row>
    <row r="1627" spans="1:7" ht="15.75" customHeight="1">
      <c r="A1627" s="159" t="s">
        <v>9275</v>
      </c>
      <c r="B1627" s="159" t="s">
        <v>9733</v>
      </c>
      <c r="C1627" s="159" t="s">
        <v>11458</v>
      </c>
      <c r="D1627" s="159" t="s">
        <v>1413</v>
      </c>
      <c r="E1627" s="159"/>
      <c r="F1627" s="159" t="s">
        <v>5667</v>
      </c>
      <c r="G1627" s="159" t="s">
        <v>11459</v>
      </c>
    </row>
    <row r="1628" spans="1:7" ht="15.75" customHeight="1">
      <c r="A1628" s="159" t="s">
        <v>9275</v>
      </c>
      <c r="B1628" s="159" t="s">
        <v>9733</v>
      </c>
      <c r="C1628" s="159" t="s">
        <v>10748</v>
      </c>
      <c r="D1628" s="159" t="s">
        <v>477</v>
      </c>
      <c r="E1628" s="159">
        <v>50</v>
      </c>
      <c r="F1628" s="159" t="s">
        <v>5665</v>
      </c>
      <c r="G1628" s="159" t="s">
        <v>10749</v>
      </c>
    </row>
    <row r="1629" spans="1:7" ht="15.75" customHeight="1">
      <c r="A1629" s="159" t="s">
        <v>9275</v>
      </c>
      <c r="B1629" s="159" t="s">
        <v>9733</v>
      </c>
      <c r="C1629" s="159" t="s">
        <v>10570</v>
      </c>
      <c r="D1629" s="159" t="s">
        <v>484</v>
      </c>
      <c r="E1629" s="159">
        <v>10</v>
      </c>
      <c r="F1629" s="159" t="s">
        <v>5665</v>
      </c>
      <c r="G1629" s="159" t="s">
        <v>11460</v>
      </c>
    </row>
    <row r="1630" spans="1:7" ht="15.75" customHeight="1">
      <c r="A1630" s="159" t="s">
        <v>9275</v>
      </c>
      <c r="B1630" s="159" t="s">
        <v>9733</v>
      </c>
      <c r="C1630" s="159" t="s">
        <v>3892</v>
      </c>
      <c r="D1630" s="159" t="s">
        <v>477</v>
      </c>
      <c r="E1630" s="159">
        <v>255</v>
      </c>
      <c r="F1630" s="159" t="s">
        <v>5665</v>
      </c>
      <c r="G1630" s="159" t="s">
        <v>11461</v>
      </c>
    </row>
    <row r="1631" spans="1:7" ht="15.75" customHeight="1">
      <c r="A1631" s="159" t="s">
        <v>9275</v>
      </c>
      <c r="B1631" s="159" t="s">
        <v>9733</v>
      </c>
      <c r="C1631" s="159" t="s">
        <v>11462</v>
      </c>
      <c r="D1631" s="159" t="s">
        <v>477</v>
      </c>
      <c r="E1631" s="159">
        <v>255</v>
      </c>
      <c r="F1631" s="159" t="s">
        <v>5665</v>
      </c>
      <c r="G1631" s="159" t="s">
        <v>11463</v>
      </c>
    </row>
    <row r="1632" spans="1:7" ht="15.75" customHeight="1">
      <c r="A1632" s="159" t="s">
        <v>9275</v>
      </c>
      <c r="B1632" s="159" t="s">
        <v>9733</v>
      </c>
      <c r="C1632" s="159" t="s">
        <v>10290</v>
      </c>
      <c r="D1632" s="159" t="s">
        <v>978</v>
      </c>
      <c r="E1632" s="159">
        <v>5</v>
      </c>
      <c r="F1632" s="159" t="s">
        <v>5665</v>
      </c>
      <c r="G1632" s="159" t="s">
        <v>10507</v>
      </c>
    </row>
    <row r="1633" spans="1:7" ht="15.75" customHeight="1">
      <c r="A1633" s="159" t="s">
        <v>9275</v>
      </c>
      <c r="B1633" s="159" t="s">
        <v>9733</v>
      </c>
      <c r="C1633" s="159" t="s">
        <v>11464</v>
      </c>
      <c r="D1633" s="159" t="s">
        <v>477</v>
      </c>
      <c r="E1633" s="159">
        <v>255</v>
      </c>
      <c r="F1633" s="159" t="s">
        <v>5665</v>
      </c>
      <c r="G1633" s="159" t="s">
        <v>11465</v>
      </c>
    </row>
    <row r="1634" spans="1:7" ht="15.75" customHeight="1">
      <c r="A1634" s="159" t="s">
        <v>9275</v>
      </c>
      <c r="B1634" s="159" t="s">
        <v>9733</v>
      </c>
      <c r="C1634" s="159" t="s">
        <v>11466</v>
      </c>
      <c r="D1634" s="159" t="s">
        <v>477</v>
      </c>
      <c r="E1634" s="159">
        <v>255</v>
      </c>
      <c r="F1634" s="159" t="s">
        <v>5665</v>
      </c>
      <c r="G1634" s="159" t="s">
        <v>11467</v>
      </c>
    </row>
    <row r="1635" spans="1:7" ht="15.75" customHeight="1">
      <c r="A1635" s="159" t="s">
        <v>9275</v>
      </c>
      <c r="B1635" s="159" t="s">
        <v>9733</v>
      </c>
      <c r="C1635" s="159" t="s">
        <v>11468</v>
      </c>
      <c r="D1635" s="159" t="s">
        <v>978</v>
      </c>
      <c r="E1635" s="159">
        <v>5</v>
      </c>
      <c r="F1635" s="159" t="s">
        <v>5665</v>
      </c>
      <c r="G1635" s="159" t="s">
        <v>11469</v>
      </c>
    </row>
    <row r="1636" spans="1:7" ht="15.75" customHeight="1">
      <c r="A1636" s="159" t="s">
        <v>9275</v>
      </c>
      <c r="B1636" s="159" t="s">
        <v>9733</v>
      </c>
      <c r="C1636" s="159" t="s">
        <v>10190</v>
      </c>
      <c r="D1636" s="159" t="s">
        <v>1413</v>
      </c>
      <c r="E1636" s="159"/>
      <c r="F1636" s="159" t="s">
        <v>5667</v>
      </c>
      <c r="G1636" s="159" t="s">
        <v>10810</v>
      </c>
    </row>
    <row r="1637" spans="1:7" ht="15.75" customHeight="1">
      <c r="A1637" s="159" t="s">
        <v>9275</v>
      </c>
      <c r="B1637" s="159" t="s">
        <v>9733</v>
      </c>
      <c r="C1637" s="159" t="s">
        <v>10242</v>
      </c>
      <c r="D1637" s="159" t="s">
        <v>1413</v>
      </c>
      <c r="E1637" s="159"/>
      <c r="F1637" s="159" t="s">
        <v>5667</v>
      </c>
      <c r="G1637" s="159" t="s">
        <v>10243</v>
      </c>
    </row>
    <row r="1638" spans="1:7" ht="15.75" customHeight="1">
      <c r="A1638" s="159" t="s">
        <v>9275</v>
      </c>
      <c r="B1638" s="159" t="s">
        <v>9735</v>
      </c>
      <c r="C1638" s="159" t="s">
        <v>3897</v>
      </c>
      <c r="D1638" s="159" t="s">
        <v>484</v>
      </c>
      <c r="E1638" s="159">
        <v>10</v>
      </c>
      <c r="F1638" s="159" t="s">
        <v>5665</v>
      </c>
      <c r="G1638" s="159" t="s">
        <v>11434</v>
      </c>
    </row>
    <row r="1639" spans="1:7" ht="15.75" customHeight="1">
      <c r="A1639" s="159" t="s">
        <v>9275</v>
      </c>
      <c r="B1639" s="159" t="s">
        <v>9735</v>
      </c>
      <c r="C1639" s="159" t="s">
        <v>1394</v>
      </c>
      <c r="D1639" s="159" t="s">
        <v>484</v>
      </c>
      <c r="E1639" s="159">
        <v>10</v>
      </c>
      <c r="F1639" s="159" t="s">
        <v>5665</v>
      </c>
      <c r="G1639" s="159" t="s">
        <v>4422</v>
      </c>
    </row>
    <row r="1640" spans="1:7" ht="15.75" customHeight="1">
      <c r="A1640" s="159" t="s">
        <v>9275</v>
      </c>
      <c r="B1640" s="159" t="s">
        <v>9735</v>
      </c>
      <c r="C1640" s="159" t="s">
        <v>10704</v>
      </c>
      <c r="D1640" s="159" t="s">
        <v>978</v>
      </c>
      <c r="E1640" s="159">
        <v>5</v>
      </c>
      <c r="F1640" s="159" t="s">
        <v>5665</v>
      </c>
      <c r="G1640" s="159" t="s">
        <v>11470</v>
      </c>
    </row>
    <row r="1641" spans="1:7" ht="15.75" customHeight="1">
      <c r="A1641" s="159" t="s">
        <v>9275</v>
      </c>
      <c r="B1641" s="159" t="s">
        <v>9735</v>
      </c>
      <c r="C1641" s="159" t="s">
        <v>10190</v>
      </c>
      <c r="D1641" s="159" t="s">
        <v>1413</v>
      </c>
      <c r="E1641" s="159"/>
      <c r="F1641" s="159" t="s">
        <v>5667</v>
      </c>
      <c r="G1641" s="159" t="s">
        <v>10810</v>
      </c>
    </row>
    <row r="1642" spans="1:7" ht="15.75" customHeight="1">
      <c r="A1642" s="159" t="s">
        <v>9275</v>
      </c>
      <c r="B1642" s="159" t="s">
        <v>9735</v>
      </c>
      <c r="C1642" s="159" t="s">
        <v>10242</v>
      </c>
      <c r="D1642" s="159" t="s">
        <v>1413</v>
      </c>
      <c r="E1642" s="159"/>
      <c r="F1642" s="159" t="s">
        <v>5667</v>
      </c>
      <c r="G1642" s="159" t="s">
        <v>10243</v>
      </c>
    </row>
    <row r="1643" spans="1:7" ht="15.75" customHeight="1">
      <c r="A1643" s="159" t="s">
        <v>9275</v>
      </c>
      <c r="B1643" s="159" t="s">
        <v>9735</v>
      </c>
      <c r="C1643" s="159" t="s">
        <v>11471</v>
      </c>
      <c r="D1643" s="159" t="s">
        <v>1413</v>
      </c>
      <c r="E1643" s="159"/>
      <c r="F1643" s="159" t="s">
        <v>5667</v>
      </c>
      <c r="G1643" s="159" t="s">
        <v>11472</v>
      </c>
    </row>
    <row r="1644" spans="1:7" ht="15.75" customHeight="1">
      <c r="A1644" s="159" t="s">
        <v>9275</v>
      </c>
      <c r="B1644" s="159" t="s">
        <v>2271</v>
      </c>
      <c r="C1644" s="159" t="s">
        <v>11473</v>
      </c>
      <c r="D1644" s="159" t="s">
        <v>484</v>
      </c>
      <c r="E1644" s="159">
        <v>10</v>
      </c>
      <c r="F1644" s="159" t="s">
        <v>5665</v>
      </c>
      <c r="G1644" s="159" t="s">
        <v>11434</v>
      </c>
    </row>
    <row r="1645" spans="1:7" ht="15.75" customHeight="1">
      <c r="A1645" s="159" t="s">
        <v>9275</v>
      </c>
      <c r="B1645" s="159" t="s">
        <v>2271</v>
      </c>
      <c r="C1645" s="159" t="s">
        <v>11474</v>
      </c>
      <c r="D1645" s="159" t="s">
        <v>978</v>
      </c>
      <c r="E1645" s="159">
        <v>5</v>
      </c>
      <c r="F1645" s="159" t="s">
        <v>5667</v>
      </c>
      <c r="G1645" s="159" t="s">
        <v>11475</v>
      </c>
    </row>
    <row r="1646" spans="1:7" ht="15.75" customHeight="1">
      <c r="A1646" s="159" t="s">
        <v>9275</v>
      </c>
      <c r="B1646" s="159" t="s">
        <v>2271</v>
      </c>
      <c r="C1646" s="159" t="s">
        <v>208</v>
      </c>
      <c r="D1646" s="159" t="s">
        <v>477</v>
      </c>
      <c r="E1646" s="159">
        <v>15</v>
      </c>
      <c r="F1646" s="159" t="s">
        <v>5667</v>
      </c>
      <c r="G1646" s="159" t="s">
        <v>11476</v>
      </c>
    </row>
    <row r="1647" spans="1:7" ht="15.75" customHeight="1">
      <c r="A1647" s="159" t="s">
        <v>9275</v>
      </c>
      <c r="B1647" s="159" t="s">
        <v>2271</v>
      </c>
      <c r="C1647" s="159" t="s">
        <v>3940</v>
      </c>
      <c r="D1647" s="159" t="s">
        <v>484</v>
      </c>
      <c r="E1647" s="159">
        <v>10</v>
      </c>
      <c r="F1647" s="159" t="s">
        <v>5665</v>
      </c>
      <c r="G1647" s="159" t="s">
        <v>10747</v>
      </c>
    </row>
    <row r="1648" spans="1:7" ht="15.75" customHeight="1">
      <c r="A1648" s="159" t="s">
        <v>9275</v>
      </c>
      <c r="B1648" s="159" t="s">
        <v>2271</v>
      </c>
      <c r="C1648" s="159" t="s">
        <v>10882</v>
      </c>
      <c r="D1648" s="159" t="s">
        <v>978</v>
      </c>
      <c r="E1648" s="159">
        <v>5</v>
      </c>
      <c r="F1648" s="159" t="s">
        <v>5665</v>
      </c>
      <c r="G1648" s="159" t="s">
        <v>10883</v>
      </c>
    </row>
    <row r="1649" spans="1:7" ht="15.75" customHeight="1">
      <c r="A1649" s="159" t="s">
        <v>9275</v>
      </c>
      <c r="B1649" s="159" t="s">
        <v>2271</v>
      </c>
      <c r="C1649" s="159" t="s">
        <v>10290</v>
      </c>
      <c r="D1649" s="159" t="s">
        <v>978</v>
      </c>
      <c r="E1649" s="159">
        <v>5</v>
      </c>
      <c r="F1649" s="159" t="s">
        <v>5665</v>
      </c>
      <c r="G1649" s="159" t="s">
        <v>10507</v>
      </c>
    </row>
    <row r="1650" spans="1:7" ht="15.75" customHeight="1">
      <c r="A1650" s="159" t="s">
        <v>9275</v>
      </c>
      <c r="B1650" s="159" t="s">
        <v>2271</v>
      </c>
      <c r="C1650" s="159" t="s">
        <v>3545</v>
      </c>
      <c r="D1650" s="159" t="s">
        <v>477</v>
      </c>
      <c r="E1650" s="159">
        <v>255</v>
      </c>
      <c r="F1650" s="159" t="s">
        <v>5665</v>
      </c>
      <c r="G1650" s="159" t="s">
        <v>11477</v>
      </c>
    </row>
    <row r="1651" spans="1:7" ht="15.75" customHeight="1">
      <c r="A1651" s="159" t="s">
        <v>9275</v>
      </c>
      <c r="B1651" s="159" t="s">
        <v>2271</v>
      </c>
      <c r="C1651" s="159" t="s">
        <v>11478</v>
      </c>
      <c r="D1651" s="159" t="s">
        <v>978</v>
      </c>
      <c r="E1651" s="159">
        <v>5</v>
      </c>
      <c r="F1651" s="159" t="s">
        <v>5667</v>
      </c>
      <c r="G1651" s="159" t="s">
        <v>11479</v>
      </c>
    </row>
    <row r="1652" spans="1:7" ht="15.75" customHeight="1">
      <c r="A1652" s="159" t="s">
        <v>9275</v>
      </c>
      <c r="B1652" s="159" t="s">
        <v>2271</v>
      </c>
      <c r="C1652" s="159" t="s">
        <v>11480</v>
      </c>
      <c r="D1652" s="159" t="s">
        <v>978</v>
      </c>
      <c r="E1652" s="159">
        <v>5</v>
      </c>
      <c r="F1652" s="159" t="s">
        <v>5667</v>
      </c>
      <c r="G1652" s="159" t="s">
        <v>11481</v>
      </c>
    </row>
    <row r="1653" spans="1:7" ht="15.75" customHeight="1">
      <c r="A1653" s="159" t="s">
        <v>9275</v>
      </c>
      <c r="B1653" s="159" t="s">
        <v>2271</v>
      </c>
      <c r="C1653" s="159" t="s">
        <v>11482</v>
      </c>
      <c r="D1653" s="159" t="s">
        <v>978</v>
      </c>
      <c r="E1653" s="159">
        <v>5</v>
      </c>
      <c r="F1653" s="159" t="s">
        <v>5665</v>
      </c>
      <c r="G1653" s="159" t="s">
        <v>11483</v>
      </c>
    </row>
    <row r="1654" spans="1:7" ht="15.75" customHeight="1">
      <c r="A1654" s="159" t="s">
        <v>9275</v>
      </c>
      <c r="B1654" s="159" t="s">
        <v>2271</v>
      </c>
      <c r="C1654" s="159" t="s">
        <v>11484</v>
      </c>
      <c r="D1654" s="159" t="s">
        <v>978</v>
      </c>
      <c r="E1654" s="159">
        <v>5</v>
      </c>
      <c r="F1654" s="159" t="s">
        <v>5665</v>
      </c>
      <c r="G1654" s="159" t="s">
        <v>11485</v>
      </c>
    </row>
    <row r="1655" spans="1:7" ht="15.75" customHeight="1">
      <c r="A1655" s="159" t="s">
        <v>9275</v>
      </c>
      <c r="B1655" s="159" t="s">
        <v>2271</v>
      </c>
      <c r="C1655" s="159" t="s">
        <v>11486</v>
      </c>
      <c r="D1655" s="159" t="s">
        <v>978</v>
      </c>
      <c r="E1655" s="159">
        <v>5</v>
      </c>
      <c r="F1655" s="159" t="s">
        <v>5667</v>
      </c>
      <c r="G1655" s="159" t="s">
        <v>11487</v>
      </c>
    </row>
    <row r="1656" spans="1:7" ht="15.75" customHeight="1">
      <c r="A1656" s="159" t="s">
        <v>9275</v>
      </c>
      <c r="B1656" s="159" t="s">
        <v>2271</v>
      </c>
      <c r="C1656" s="159" t="s">
        <v>11488</v>
      </c>
      <c r="D1656" s="159" t="s">
        <v>1413</v>
      </c>
      <c r="E1656" s="159"/>
      <c r="F1656" s="159" t="s">
        <v>5667</v>
      </c>
      <c r="G1656" s="159" t="s">
        <v>11489</v>
      </c>
    </row>
    <row r="1657" spans="1:7" ht="15.75" customHeight="1">
      <c r="A1657" s="159" t="s">
        <v>9275</v>
      </c>
      <c r="B1657" s="159" t="s">
        <v>9738</v>
      </c>
      <c r="C1657" s="159" t="s">
        <v>3897</v>
      </c>
      <c r="D1657" s="159" t="s">
        <v>484</v>
      </c>
      <c r="E1657" s="159">
        <v>10</v>
      </c>
      <c r="F1657" s="159" t="s">
        <v>5665</v>
      </c>
      <c r="G1657" s="159" t="s">
        <v>11434</v>
      </c>
    </row>
    <row r="1658" spans="1:7" ht="15.75" customHeight="1">
      <c r="A1658" s="159" t="s">
        <v>9275</v>
      </c>
      <c r="B1658" s="159" t="s">
        <v>9738</v>
      </c>
      <c r="C1658" s="159" t="s">
        <v>11473</v>
      </c>
      <c r="D1658" s="159" t="s">
        <v>484</v>
      </c>
      <c r="E1658" s="159">
        <v>10</v>
      </c>
      <c r="F1658" s="159" t="s">
        <v>5667</v>
      </c>
      <c r="G1658" s="159" t="s">
        <v>11490</v>
      </c>
    </row>
    <row r="1659" spans="1:7" ht="15.75" customHeight="1">
      <c r="A1659" s="159" t="s">
        <v>9275</v>
      </c>
      <c r="B1659" s="159" t="s">
        <v>9738</v>
      </c>
      <c r="C1659" s="159" t="s">
        <v>11491</v>
      </c>
      <c r="D1659" s="159" t="s">
        <v>477</v>
      </c>
      <c r="E1659" s="159">
        <v>255</v>
      </c>
      <c r="F1659" s="159" t="s">
        <v>5667</v>
      </c>
      <c r="G1659" s="159" t="s">
        <v>11492</v>
      </c>
    </row>
    <row r="1660" spans="1:7" ht="15.75" customHeight="1">
      <c r="A1660" s="159" t="s">
        <v>9275</v>
      </c>
      <c r="B1660" s="159" t="s">
        <v>9738</v>
      </c>
      <c r="C1660" s="159" t="s">
        <v>11493</v>
      </c>
      <c r="D1660" s="159" t="s">
        <v>538</v>
      </c>
      <c r="E1660" s="159"/>
      <c r="F1660" s="159" t="s">
        <v>5667</v>
      </c>
      <c r="G1660" s="159" t="s">
        <v>11494</v>
      </c>
    </row>
    <row r="1661" spans="1:7" ht="15.75" customHeight="1">
      <c r="A1661" s="159" t="s">
        <v>9275</v>
      </c>
      <c r="B1661" s="159" t="s">
        <v>9738</v>
      </c>
      <c r="C1661" s="159" t="s">
        <v>11495</v>
      </c>
      <c r="D1661" s="159" t="s">
        <v>477</v>
      </c>
      <c r="E1661" s="159">
        <v>255</v>
      </c>
      <c r="F1661" s="159" t="s">
        <v>5667</v>
      </c>
      <c r="G1661" s="159" t="s">
        <v>11496</v>
      </c>
    </row>
    <row r="1662" spans="1:7" ht="15.75" customHeight="1">
      <c r="A1662" s="159" t="s">
        <v>9275</v>
      </c>
      <c r="B1662" s="159" t="s">
        <v>9738</v>
      </c>
      <c r="C1662" s="159" t="s">
        <v>11497</v>
      </c>
      <c r="D1662" s="159" t="s">
        <v>477</v>
      </c>
      <c r="E1662" s="159">
        <v>255</v>
      </c>
      <c r="F1662" s="159" t="s">
        <v>5667</v>
      </c>
      <c r="G1662" s="159" t="s">
        <v>11498</v>
      </c>
    </row>
    <row r="1663" spans="1:7" ht="15.75" customHeight="1">
      <c r="A1663" s="159" t="s">
        <v>9275</v>
      </c>
      <c r="B1663" s="159" t="s">
        <v>9740</v>
      </c>
      <c r="C1663" s="159" t="s">
        <v>3897</v>
      </c>
      <c r="D1663" s="159" t="s">
        <v>484</v>
      </c>
      <c r="E1663" s="159">
        <v>10</v>
      </c>
      <c r="F1663" s="159" t="s">
        <v>5665</v>
      </c>
      <c r="G1663" s="159" t="s">
        <v>11434</v>
      </c>
    </row>
    <row r="1664" spans="1:7" ht="15.75" customHeight="1">
      <c r="A1664" s="159" t="s">
        <v>9275</v>
      </c>
      <c r="B1664" s="159" t="s">
        <v>9740</v>
      </c>
      <c r="C1664" s="159" t="s">
        <v>11499</v>
      </c>
      <c r="D1664" s="159" t="s">
        <v>484</v>
      </c>
      <c r="E1664" s="159">
        <v>10</v>
      </c>
      <c r="F1664" s="159" t="s">
        <v>5665</v>
      </c>
      <c r="G1664" s="159" t="s">
        <v>11500</v>
      </c>
    </row>
    <row r="1665" spans="1:7" ht="15.75" customHeight="1">
      <c r="A1665" s="159" t="s">
        <v>9275</v>
      </c>
      <c r="B1665" s="159" t="s">
        <v>9740</v>
      </c>
      <c r="C1665" s="159" t="s">
        <v>3545</v>
      </c>
      <c r="D1665" s="159" t="s">
        <v>477</v>
      </c>
      <c r="E1665" s="159">
        <v>255</v>
      </c>
      <c r="F1665" s="159" t="s">
        <v>5667</v>
      </c>
      <c r="G1665" s="159" t="s">
        <v>5204</v>
      </c>
    </row>
    <row r="1666" spans="1:7" ht="15.75" customHeight="1">
      <c r="A1666" s="159" t="s">
        <v>9275</v>
      </c>
      <c r="B1666" s="159" t="s">
        <v>9740</v>
      </c>
      <c r="C1666" s="159" t="s">
        <v>10235</v>
      </c>
      <c r="D1666" s="159" t="s">
        <v>1413</v>
      </c>
      <c r="E1666" s="159"/>
      <c r="F1666" s="159" t="s">
        <v>5667</v>
      </c>
      <c r="G1666" s="159" t="s">
        <v>11501</v>
      </c>
    </row>
    <row r="1667" spans="1:7" ht="15.75" customHeight="1">
      <c r="A1667" s="159" t="s">
        <v>9275</v>
      </c>
      <c r="B1667" s="159" t="s">
        <v>9742</v>
      </c>
      <c r="C1667" s="159" t="s">
        <v>3897</v>
      </c>
      <c r="D1667" s="159" t="s">
        <v>484</v>
      </c>
      <c r="E1667" s="159">
        <v>10</v>
      </c>
      <c r="F1667" s="159" t="s">
        <v>5665</v>
      </c>
      <c r="G1667" s="159" t="s">
        <v>11434</v>
      </c>
    </row>
    <row r="1668" spans="1:7" ht="15.75" customHeight="1">
      <c r="A1668" s="159" t="s">
        <v>9275</v>
      </c>
      <c r="B1668" s="159" t="s">
        <v>9742</v>
      </c>
      <c r="C1668" s="159" t="s">
        <v>10221</v>
      </c>
      <c r="D1668" s="159" t="s">
        <v>484</v>
      </c>
      <c r="E1668" s="159">
        <v>10</v>
      </c>
      <c r="F1668" s="159" t="s">
        <v>5667</v>
      </c>
      <c r="G1668" s="159" t="s">
        <v>11502</v>
      </c>
    </row>
    <row r="1669" spans="1:7" ht="15.75" customHeight="1">
      <c r="A1669" s="159" t="s">
        <v>9275</v>
      </c>
      <c r="B1669" s="159" t="s">
        <v>9742</v>
      </c>
      <c r="C1669" s="159" t="s">
        <v>11503</v>
      </c>
      <c r="D1669" s="159" t="s">
        <v>538</v>
      </c>
      <c r="E1669" s="159"/>
      <c r="F1669" s="159" t="s">
        <v>5667</v>
      </c>
      <c r="G1669" s="159" t="s">
        <v>11504</v>
      </c>
    </row>
    <row r="1670" spans="1:7" ht="15.75" customHeight="1">
      <c r="A1670" s="159" t="s">
        <v>9275</v>
      </c>
      <c r="B1670" s="159" t="s">
        <v>9742</v>
      </c>
      <c r="C1670" s="159" t="s">
        <v>11505</v>
      </c>
      <c r="D1670" s="159" t="s">
        <v>538</v>
      </c>
      <c r="E1670" s="159"/>
      <c r="F1670" s="159" t="s">
        <v>5667</v>
      </c>
      <c r="G1670" s="159" t="s">
        <v>11506</v>
      </c>
    </row>
    <row r="1671" spans="1:7" ht="15.75" customHeight="1">
      <c r="A1671" s="159" t="s">
        <v>9275</v>
      </c>
      <c r="B1671" s="159" t="s">
        <v>9742</v>
      </c>
      <c r="C1671" s="159" t="s">
        <v>10249</v>
      </c>
      <c r="D1671" s="159" t="s">
        <v>477</v>
      </c>
      <c r="E1671" s="159">
        <v>255</v>
      </c>
      <c r="F1671" s="159" t="s">
        <v>5667</v>
      </c>
      <c r="G1671" s="159" t="s">
        <v>11507</v>
      </c>
    </row>
    <row r="1672" spans="1:7" ht="15.75" customHeight="1">
      <c r="A1672" s="159" t="s">
        <v>9275</v>
      </c>
      <c r="B1672" s="159" t="s">
        <v>9742</v>
      </c>
      <c r="C1672" s="159" t="s">
        <v>10290</v>
      </c>
      <c r="D1672" s="159" t="s">
        <v>484</v>
      </c>
      <c r="E1672" s="159">
        <v>10</v>
      </c>
      <c r="F1672" s="159" t="s">
        <v>5667</v>
      </c>
      <c r="G1672" s="159" t="s">
        <v>10689</v>
      </c>
    </row>
    <row r="1673" spans="1:7" ht="15.75" customHeight="1">
      <c r="A1673" s="159" t="s">
        <v>9275</v>
      </c>
      <c r="B1673" s="159" t="s">
        <v>9744</v>
      </c>
      <c r="C1673" s="159" t="s">
        <v>3897</v>
      </c>
      <c r="D1673" s="159" t="s">
        <v>484</v>
      </c>
      <c r="E1673" s="159">
        <v>10</v>
      </c>
      <c r="F1673" s="159" t="s">
        <v>5665</v>
      </c>
      <c r="G1673" s="159" t="s">
        <v>11434</v>
      </c>
    </row>
    <row r="1674" spans="1:7" ht="15.75" customHeight="1">
      <c r="A1674" s="159" t="s">
        <v>9275</v>
      </c>
      <c r="B1674" s="159" t="s">
        <v>9744</v>
      </c>
      <c r="C1674" s="159" t="s">
        <v>11508</v>
      </c>
      <c r="D1674" s="159" t="s">
        <v>477</v>
      </c>
      <c r="E1674" s="159">
        <v>255</v>
      </c>
      <c r="F1674" s="159" t="s">
        <v>5665</v>
      </c>
      <c r="G1674" s="159" t="s">
        <v>11509</v>
      </c>
    </row>
    <row r="1675" spans="1:7" ht="15.75" customHeight="1">
      <c r="A1675" s="159" t="s">
        <v>9275</v>
      </c>
      <c r="B1675" s="159" t="s">
        <v>9744</v>
      </c>
      <c r="C1675" s="159" t="s">
        <v>10882</v>
      </c>
      <c r="D1675" s="159" t="s">
        <v>978</v>
      </c>
      <c r="E1675" s="159">
        <v>5</v>
      </c>
      <c r="F1675" s="159" t="s">
        <v>5665</v>
      </c>
      <c r="G1675" s="159" t="s">
        <v>11453</v>
      </c>
    </row>
    <row r="1676" spans="1:7" ht="15.75" customHeight="1">
      <c r="A1676" s="159" t="s">
        <v>9275</v>
      </c>
      <c r="B1676" s="159" t="s">
        <v>9744</v>
      </c>
      <c r="C1676" s="159" t="s">
        <v>11510</v>
      </c>
      <c r="D1676" s="159" t="s">
        <v>978</v>
      </c>
      <c r="E1676" s="159">
        <v>5</v>
      </c>
      <c r="F1676" s="159" t="s">
        <v>5665</v>
      </c>
      <c r="G1676" s="159" t="s">
        <v>11511</v>
      </c>
    </row>
    <row r="1677" spans="1:7" ht="15.75" customHeight="1">
      <c r="A1677" s="159" t="s">
        <v>9275</v>
      </c>
      <c r="B1677" s="159" t="s">
        <v>9744</v>
      </c>
      <c r="C1677" s="159" t="s">
        <v>11512</v>
      </c>
      <c r="D1677" s="159" t="s">
        <v>477</v>
      </c>
      <c r="E1677" s="159">
        <v>255</v>
      </c>
      <c r="F1677" s="159" t="s">
        <v>5665</v>
      </c>
      <c r="G1677" s="159" t="s">
        <v>11513</v>
      </c>
    </row>
    <row r="1678" spans="1:7" ht="15.75" customHeight="1">
      <c r="A1678" s="159" t="s">
        <v>9275</v>
      </c>
      <c r="B1678" s="159" t="s">
        <v>9744</v>
      </c>
      <c r="C1678" s="159" t="s">
        <v>11514</v>
      </c>
      <c r="D1678" s="159" t="s">
        <v>10796</v>
      </c>
      <c r="E1678" s="159">
        <v>16777215</v>
      </c>
      <c r="F1678" s="159" t="s">
        <v>5665</v>
      </c>
      <c r="G1678" s="159" t="s">
        <v>11515</v>
      </c>
    </row>
    <row r="1679" spans="1:7" ht="15.75" customHeight="1">
      <c r="A1679" s="159" t="s">
        <v>9275</v>
      </c>
      <c r="B1679" s="159" t="s">
        <v>9744</v>
      </c>
      <c r="C1679" s="159" t="s">
        <v>11516</v>
      </c>
      <c r="D1679" s="159" t="s">
        <v>477</v>
      </c>
      <c r="E1679" s="159">
        <v>255</v>
      </c>
      <c r="F1679" s="159" t="s">
        <v>5665</v>
      </c>
      <c r="G1679" s="159" t="s">
        <v>11517</v>
      </c>
    </row>
    <row r="1680" spans="1:7" ht="15.75" customHeight="1">
      <c r="A1680" s="159" t="s">
        <v>9275</v>
      </c>
      <c r="B1680" s="159" t="s">
        <v>9744</v>
      </c>
      <c r="C1680" s="159" t="s">
        <v>11518</v>
      </c>
      <c r="D1680" s="159" t="s">
        <v>3893</v>
      </c>
      <c r="E1680" s="159">
        <v>65535</v>
      </c>
      <c r="F1680" s="159" t="s">
        <v>5665</v>
      </c>
      <c r="G1680" s="159" t="s">
        <v>11519</v>
      </c>
    </row>
    <row r="1681" spans="1:7" ht="15.75" customHeight="1">
      <c r="A1681" s="159" t="s">
        <v>9275</v>
      </c>
      <c r="B1681" s="159" t="s">
        <v>9744</v>
      </c>
      <c r="C1681" s="159" t="s">
        <v>3892</v>
      </c>
      <c r="D1681" s="159" t="s">
        <v>477</v>
      </c>
      <c r="E1681" s="159">
        <v>255</v>
      </c>
      <c r="F1681" s="159" t="s">
        <v>5665</v>
      </c>
      <c r="G1681" s="159" t="s">
        <v>11461</v>
      </c>
    </row>
    <row r="1682" spans="1:7" ht="15.75" customHeight="1">
      <c r="A1682" s="159" t="s">
        <v>9275</v>
      </c>
      <c r="B1682" s="159" t="s">
        <v>9744</v>
      </c>
      <c r="C1682" s="159" t="s">
        <v>10190</v>
      </c>
      <c r="D1682" s="159" t="s">
        <v>1413</v>
      </c>
      <c r="E1682" s="159"/>
      <c r="F1682" s="159" t="s">
        <v>5667</v>
      </c>
      <c r="G1682" s="159" t="s">
        <v>10810</v>
      </c>
    </row>
    <row r="1683" spans="1:7" ht="15.75" customHeight="1">
      <c r="A1683" s="159" t="s">
        <v>9275</v>
      </c>
      <c r="B1683" s="159" t="s">
        <v>9744</v>
      </c>
      <c r="C1683" s="159" t="s">
        <v>10242</v>
      </c>
      <c r="D1683" s="159" t="s">
        <v>1413</v>
      </c>
      <c r="E1683" s="159"/>
      <c r="F1683" s="159" t="s">
        <v>5667</v>
      </c>
      <c r="G1683" s="159" t="s">
        <v>10243</v>
      </c>
    </row>
    <row r="1684" spans="1:7" ht="15.75" customHeight="1">
      <c r="A1684" s="159" t="s">
        <v>9275</v>
      </c>
      <c r="B1684" s="159" t="s">
        <v>9744</v>
      </c>
      <c r="C1684" s="159" t="s">
        <v>11520</v>
      </c>
      <c r="D1684" s="159" t="s">
        <v>1413</v>
      </c>
      <c r="E1684" s="159"/>
      <c r="F1684" s="159" t="s">
        <v>5667</v>
      </c>
      <c r="G1684" s="159" t="s">
        <v>11521</v>
      </c>
    </row>
    <row r="1685" spans="1:7" ht="15.75" customHeight="1">
      <c r="A1685" s="159" t="s">
        <v>9275</v>
      </c>
      <c r="B1685" s="159" t="s">
        <v>9744</v>
      </c>
      <c r="C1685" s="159" t="s">
        <v>11522</v>
      </c>
      <c r="D1685" s="159" t="s">
        <v>1413</v>
      </c>
      <c r="E1685" s="159"/>
      <c r="F1685" s="159" t="s">
        <v>5667</v>
      </c>
      <c r="G1685" s="159" t="s">
        <v>11523</v>
      </c>
    </row>
    <row r="1686" spans="1:7" ht="15.75" customHeight="1">
      <c r="A1686" s="159" t="s">
        <v>9275</v>
      </c>
      <c r="B1686" s="159" t="s">
        <v>9746</v>
      </c>
      <c r="C1686" s="159" t="s">
        <v>11524</v>
      </c>
      <c r="D1686" s="159" t="s">
        <v>484</v>
      </c>
      <c r="E1686" s="159">
        <v>10</v>
      </c>
      <c r="F1686" s="159" t="s">
        <v>5665</v>
      </c>
      <c r="G1686" s="159" t="s">
        <v>11434</v>
      </c>
    </row>
    <row r="1687" spans="1:7" ht="15.75" customHeight="1">
      <c r="A1687" s="159" t="s">
        <v>9275</v>
      </c>
      <c r="B1687" s="159" t="s">
        <v>9746</v>
      </c>
      <c r="C1687" s="159" t="s">
        <v>3635</v>
      </c>
      <c r="D1687" s="159" t="s">
        <v>484</v>
      </c>
      <c r="E1687" s="159">
        <v>10</v>
      </c>
      <c r="F1687" s="159" t="s">
        <v>5665</v>
      </c>
      <c r="G1687" s="159" t="s">
        <v>10722</v>
      </c>
    </row>
    <row r="1688" spans="1:7" ht="15.75" customHeight="1">
      <c r="A1688" s="159" t="s">
        <v>9275</v>
      </c>
      <c r="B1688" s="159" t="s">
        <v>9746</v>
      </c>
      <c r="C1688" s="159" t="s">
        <v>3762</v>
      </c>
      <c r="D1688" s="159" t="s">
        <v>477</v>
      </c>
      <c r="E1688" s="159">
        <v>255</v>
      </c>
      <c r="F1688" s="159" t="s">
        <v>5665</v>
      </c>
      <c r="G1688" s="159" t="s">
        <v>11525</v>
      </c>
    </row>
    <row r="1689" spans="1:7" ht="15.75" customHeight="1">
      <c r="A1689" s="159" t="s">
        <v>9275</v>
      </c>
      <c r="B1689" s="159" t="s">
        <v>9746</v>
      </c>
      <c r="C1689" s="159" t="s">
        <v>10570</v>
      </c>
      <c r="D1689" s="159" t="s">
        <v>484</v>
      </c>
      <c r="E1689" s="159">
        <v>10</v>
      </c>
      <c r="F1689" s="159" t="s">
        <v>5665</v>
      </c>
      <c r="G1689" s="159" t="s">
        <v>11460</v>
      </c>
    </row>
    <row r="1690" spans="1:7" ht="15.75" customHeight="1">
      <c r="A1690" s="159" t="s">
        <v>9275</v>
      </c>
      <c r="B1690" s="159" t="s">
        <v>9746</v>
      </c>
      <c r="C1690" s="159" t="s">
        <v>10290</v>
      </c>
      <c r="D1690" s="159" t="s">
        <v>978</v>
      </c>
      <c r="E1690" s="159">
        <v>5</v>
      </c>
      <c r="F1690" s="159" t="s">
        <v>5665</v>
      </c>
      <c r="G1690" s="159" t="s">
        <v>10507</v>
      </c>
    </row>
    <row r="1691" spans="1:7" ht="15.75" customHeight="1">
      <c r="A1691" s="159" t="s">
        <v>9275</v>
      </c>
      <c r="B1691" s="159" t="s">
        <v>9746</v>
      </c>
      <c r="C1691" s="159" t="s">
        <v>11482</v>
      </c>
      <c r="D1691" s="159" t="s">
        <v>978</v>
      </c>
      <c r="E1691" s="159">
        <v>5</v>
      </c>
      <c r="F1691" s="159" t="s">
        <v>5665</v>
      </c>
      <c r="G1691" s="159" t="s">
        <v>11526</v>
      </c>
    </row>
    <row r="1692" spans="1:7" ht="15.75" customHeight="1">
      <c r="A1692" s="159" t="s">
        <v>9275</v>
      </c>
      <c r="B1692" s="159" t="s">
        <v>9746</v>
      </c>
      <c r="C1692" s="159" t="s">
        <v>10203</v>
      </c>
      <c r="D1692" s="159" t="s">
        <v>978</v>
      </c>
      <c r="E1692" s="159">
        <v>5</v>
      </c>
      <c r="F1692" s="159" t="s">
        <v>5667</v>
      </c>
      <c r="G1692" s="159" t="s">
        <v>11527</v>
      </c>
    </row>
    <row r="1693" spans="1:7" ht="15.75" customHeight="1">
      <c r="A1693" s="159" t="s">
        <v>9275</v>
      </c>
      <c r="B1693" s="159" t="s">
        <v>9746</v>
      </c>
      <c r="C1693" s="159" t="s">
        <v>10190</v>
      </c>
      <c r="D1693" s="159" t="s">
        <v>1413</v>
      </c>
      <c r="E1693" s="159"/>
      <c r="F1693" s="159" t="s">
        <v>5667</v>
      </c>
      <c r="G1693" s="159" t="s">
        <v>10810</v>
      </c>
    </row>
    <row r="1694" spans="1:7" ht="15.75" customHeight="1">
      <c r="A1694" s="159" t="s">
        <v>9275</v>
      </c>
      <c r="B1694" s="159" t="s">
        <v>9746</v>
      </c>
      <c r="C1694" s="159" t="s">
        <v>10242</v>
      </c>
      <c r="D1694" s="159" t="s">
        <v>1413</v>
      </c>
      <c r="E1694" s="159"/>
      <c r="F1694" s="159" t="s">
        <v>5667</v>
      </c>
      <c r="G1694" s="159" t="s">
        <v>10243</v>
      </c>
    </row>
    <row r="1695" spans="1:7" ht="15.75" customHeight="1">
      <c r="A1695" s="159" t="s">
        <v>9275</v>
      </c>
      <c r="B1695" s="159" t="s">
        <v>9748</v>
      </c>
      <c r="C1695" s="159" t="s">
        <v>3897</v>
      </c>
      <c r="D1695" s="159" t="s">
        <v>484</v>
      </c>
      <c r="E1695" s="159">
        <v>10</v>
      </c>
      <c r="F1695" s="159" t="s">
        <v>5665</v>
      </c>
      <c r="G1695" s="159" t="s">
        <v>11434</v>
      </c>
    </row>
    <row r="1696" spans="1:7" ht="15.75" customHeight="1">
      <c r="A1696" s="159" t="s">
        <v>9275</v>
      </c>
      <c r="B1696" s="159" t="s">
        <v>9748</v>
      </c>
      <c r="C1696" s="159" t="s">
        <v>11528</v>
      </c>
      <c r="D1696" s="159" t="s">
        <v>484</v>
      </c>
      <c r="E1696" s="159">
        <v>10</v>
      </c>
      <c r="F1696" s="159" t="s">
        <v>5665</v>
      </c>
      <c r="G1696" s="159" t="s">
        <v>11529</v>
      </c>
    </row>
    <row r="1697" spans="1:7" ht="15.75" customHeight="1">
      <c r="A1697" s="159" t="s">
        <v>9275</v>
      </c>
      <c r="B1697" s="159" t="s">
        <v>9748</v>
      </c>
      <c r="C1697" s="159" t="s">
        <v>3940</v>
      </c>
      <c r="D1697" s="159" t="s">
        <v>484</v>
      </c>
      <c r="E1697" s="159">
        <v>10</v>
      </c>
      <c r="F1697" s="159" t="s">
        <v>5665</v>
      </c>
      <c r="G1697" s="159" t="s">
        <v>10747</v>
      </c>
    </row>
    <row r="1698" spans="1:7" ht="15.75" customHeight="1">
      <c r="A1698" s="159" t="s">
        <v>9275</v>
      </c>
      <c r="B1698" s="159" t="s">
        <v>9748</v>
      </c>
      <c r="C1698" s="159" t="s">
        <v>10290</v>
      </c>
      <c r="D1698" s="159" t="s">
        <v>978</v>
      </c>
      <c r="E1698" s="159">
        <v>5</v>
      </c>
      <c r="F1698" s="159" t="s">
        <v>5665</v>
      </c>
      <c r="G1698" s="159" t="s">
        <v>10689</v>
      </c>
    </row>
    <row r="1699" spans="1:7" ht="15.75" customHeight="1">
      <c r="A1699" s="159" t="s">
        <v>9275</v>
      </c>
      <c r="B1699" s="159" t="s">
        <v>9748</v>
      </c>
      <c r="C1699" s="159" t="s">
        <v>11530</v>
      </c>
      <c r="D1699" s="159" t="s">
        <v>978</v>
      </c>
      <c r="E1699" s="159">
        <v>5</v>
      </c>
      <c r="F1699" s="159" t="s">
        <v>5665</v>
      </c>
      <c r="G1699" s="159" t="s">
        <v>11531</v>
      </c>
    </row>
    <row r="1700" spans="1:7" ht="15.75" customHeight="1">
      <c r="A1700" s="159" t="s">
        <v>9275</v>
      </c>
      <c r="B1700" s="159" t="s">
        <v>9748</v>
      </c>
      <c r="C1700" s="159" t="s">
        <v>10190</v>
      </c>
      <c r="D1700" s="159" t="s">
        <v>1413</v>
      </c>
      <c r="E1700" s="159"/>
      <c r="F1700" s="159" t="s">
        <v>5667</v>
      </c>
      <c r="G1700" s="159" t="s">
        <v>10810</v>
      </c>
    </row>
    <row r="1701" spans="1:7" ht="15.75" customHeight="1">
      <c r="A1701" s="159" t="s">
        <v>9275</v>
      </c>
      <c r="B1701" s="159" t="s">
        <v>9748</v>
      </c>
      <c r="C1701" s="159" t="s">
        <v>10242</v>
      </c>
      <c r="D1701" s="159" t="s">
        <v>1413</v>
      </c>
      <c r="E1701" s="159"/>
      <c r="F1701" s="159" t="s">
        <v>5667</v>
      </c>
      <c r="G1701" s="159" t="s">
        <v>10243</v>
      </c>
    </row>
    <row r="1702" spans="1:7" ht="15.75" customHeight="1">
      <c r="A1702" s="159" t="s">
        <v>9275</v>
      </c>
      <c r="B1702" s="159" t="s">
        <v>9750</v>
      </c>
      <c r="C1702" s="159" t="s">
        <v>3897</v>
      </c>
      <c r="D1702" s="159" t="s">
        <v>484</v>
      </c>
      <c r="E1702" s="159">
        <v>10</v>
      </c>
      <c r="F1702" s="159" t="s">
        <v>5665</v>
      </c>
      <c r="G1702" s="159" t="s">
        <v>11434</v>
      </c>
    </row>
    <row r="1703" spans="1:7" ht="15.75" customHeight="1">
      <c r="A1703" s="159" t="s">
        <v>9275</v>
      </c>
      <c r="B1703" s="159" t="s">
        <v>9750</v>
      </c>
      <c r="C1703" s="159" t="s">
        <v>156</v>
      </c>
      <c r="D1703" s="159" t="s">
        <v>477</v>
      </c>
      <c r="E1703" s="159">
        <v>255</v>
      </c>
      <c r="F1703" s="159" t="s">
        <v>5665</v>
      </c>
      <c r="G1703" s="159" t="s">
        <v>11532</v>
      </c>
    </row>
    <row r="1704" spans="1:7" ht="15.75" customHeight="1">
      <c r="A1704" s="159" t="s">
        <v>9275</v>
      </c>
      <c r="B1704" s="159" t="s">
        <v>9750</v>
      </c>
      <c r="C1704" s="159" t="s">
        <v>11533</v>
      </c>
      <c r="D1704" s="159" t="s">
        <v>477</v>
      </c>
      <c r="E1704" s="159">
        <v>255</v>
      </c>
      <c r="F1704" s="159" t="s">
        <v>5665</v>
      </c>
      <c r="G1704" s="159" t="s">
        <v>11453</v>
      </c>
    </row>
    <row r="1705" spans="1:7" ht="15.75" customHeight="1">
      <c r="A1705" s="159" t="s">
        <v>9275</v>
      </c>
      <c r="B1705" s="159" t="s">
        <v>9750</v>
      </c>
      <c r="C1705" s="159" t="s">
        <v>5609</v>
      </c>
      <c r="D1705" s="159" t="s">
        <v>978</v>
      </c>
      <c r="E1705" s="159">
        <v>5</v>
      </c>
      <c r="F1705" s="159" t="s">
        <v>5665</v>
      </c>
      <c r="G1705" s="159" t="s">
        <v>11534</v>
      </c>
    </row>
    <row r="1706" spans="1:7" ht="15.75" customHeight="1">
      <c r="A1706" s="159" t="s">
        <v>9275</v>
      </c>
      <c r="B1706" s="159" t="s">
        <v>9750</v>
      </c>
      <c r="C1706" s="159" t="s">
        <v>1419</v>
      </c>
      <c r="D1706" s="159" t="s">
        <v>978</v>
      </c>
      <c r="E1706" s="159">
        <v>5</v>
      </c>
      <c r="F1706" s="159" t="s">
        <v>5665</v>
      </c>
      <c r="G1706" s="159" t="s">
        <v>811</v>
      </c>
    </row>
    <row r="1707" spans="1:7" ht="15.75" customHeight="1">
      <c r="A1707" s="159" t="s">
        <v>9275</v>
      </c>
      <c r="B1707" s="159" t="s">
        <v>9750</v>
      </c>
      <c r="C1707" s="159" t="s">
        <v>11535</v>
      </c>
      <c r="D1707" s="159" t="s">
        <v>978</v>
      </c>
      <c r="E1707" s="159">
        <v>5</v>
      </c>
      <c r="F1707" s="159" t="s">
        <v>5665</v>
      </c>
      <c r="G1707" s="159" t="s">
        <v>11536</v>
      </c>
    </row>
    <row r="1708" spans="1:7" ht="15.75" customHeight="1">
      <c r="A1708" s="159" t="s">
        <v>9275</v>
      </c>
      <c r="B1708" s="159" t="s">
        <v>9750</v>
      </c>
      <c r="C1708" s="159" t="s">
        <v>10499</v>
      </c>
      <c r="D1708" s="159" t="s">
        <v>11537</v>
      </c>
      <c r="E1708" s="159">
        <v>65535</v>
      </c>
      <c r="F1708" s="159" t="s">
        <v>5665</v>
      </c>
      <c r="G1708" s="159" t="s">
        <v>11538</v>
      </c>
    </row>
    <row r="1709" spans="1:7" ht="15.75" customHeight="1">
      <c r="A1709" s="159" t="s">
        <v>9275</v>
      </c>
      <c r="B1709" s="159" t="s">
        <v>9750</v>
      </c>
      <c r="C1709" s="159" t="s">
        <v>10190</v>
      </c>
      <c r="D1709" s="159" t="s">
        <v>1413</v>
      </c>
      <c r="E1709" s="159"/>
      <c r="F1709" s="159" t="s">
        <v>5667</v>
      </c>
      <c r="G1709" s="159" t="s">
        <v>10810</v>
      </c>
    </row>
    <row r="1710" spans="1:7" ht="15.75" customHeight="1">
      <c r="A1710" s="159" t="s">
        <v>9275</v>
      </c>
      <c r="B1710" s="159" t="s">
        <v>9750</v>
      </c>
      <c r="C1710" s="159" t="s">
        <v>10242</v>
      </c>
      <c r="D1710" s="159" t="s">
        <v>1413</v>
      </c>
      <c r="E1710" s="159"/>
      <c r="F1710" s="159" t="s">
        <v>5667</v>
      </c>
      <c r="G1710" s="159" t="s">
        <v>10243</v>
      </c>
    </row>
    <row r="1711" spans="1:7" ht="15.75" customHeight="1">
      <c r="A1711" s="159" t="s">
        <v>9275</v>
      </c>
      <c r="B1711" s="159" t="s">
        <v>9752</v>
      </c>
      <c r="C1711" s="159" t="s">
        <v>3897</v>
      </c>
      <c r="D1711" s="159" t="s">
        <v>484</v>
      </c>
      <c r="E1711" s="159">
        <v>10</v>
      </c>
      <c r="F1711" s="159" t="s">
        <v>5665</v>
      </c>
      <c r="G1711" s="159" t="s">
        <v>11539</v>
      </c>
    </row>
    <row r="1712" spans="1:7" ht="15.75" customHeight="1">
      <c r="A1712" s="159" t="s">
        <v>9275</v>
      </c>
      <c r="B1712" s="159" t="s">
        <v>9752</v>
      </c>
      <c r="C1712" s="159" t="s">
        <v>10882</v>
      </c>
      <c r="D1712" s="159" t="s">
        <v>978</v>
      </c>
      <c r="E1712" s="159">
        <v>5</v>
      </c>
      <c r="F1712" s="159" t="s">
        <v>5665</v>
      </c>
      <c r="G1712" s="159" t="s">
        <v>10883</v>
      </c>
    </row>
    <row r="1713" spans="1:7" ht="15.75" customHeight="1">
      <c r="A1713" s="159" t="s">
        <v>9275</v>
      </c>
      <c r="B1713" s="159" t="s">
        <v>9752</v>
      </c>
      <c r="C1713" s="159" t="s">
        <v>10290</v>
      </c>
      <c r="D1713" s="159" t="s">
        <v>978</v>
      </c>
      <c r="E1713" s="159">
        <v>5</v>
      </c>
      <c r="F1713" s="159" t="s">
        <v>5665</v>
      </c>
      <c r="G1713" s="159" t="s">
        <v>10507</v>
      </c>
    </row>
    <row r="1714" spans="1:7" ht="15.75" customHeight="1">
      <c r="A1714" s="159" t="s">
        <v>9275</v>
      </c>
      <c r="B1714" s="159" t="s">
        <v>9752</v>
      </c>
      <c r="C1714" s="159" t="s">
        <v>10906</v>
      </c>
      <c r="D1714" s="159" t="s">
        <v>978</v>
      </c>
      <c r="E1714" s="159">
        <v>5</v>
      </c>
      <c r="F1714" s="159" t="s">
        <v>5665</v>
      </c>
      <c r="G1714" s="159" t="s">
        <v>10907</v>
      </c>
    </row>
    <row r="1715" spans="1:7" ht="15.75" customHeight="1">
      <c r="A1715" s="159" t="s">
        <v>9275</v>
      </c>
      <c r="B1715" s="159" t="s">
        <v>9752</v>
      </c>
      <c r="C1715" s="159" t="s">
        <v>3635</v>
      </c>
      <c r="D1715" s="159" t="s">
        <v>978</v>
      </c>
      <c r="E1715" s="159">
        <v>5</v>
      </c>
      <c r="F1715" s="159" t="s">
        <v>5665</v>
      </c>
      <c r="G1715" s="159" t="s">
        <v>10722</v>
      </c>
    </row>
    <row r="1716" spans="1:7" ht="15.75" customHeight="1">
      <c r="A1716" s="159" t="s">
        <v>9275</v>
      </c>
      <c r="B1716" s="159" t="s">
        <v>9752</v>
      </c>
      <c r="C1716" s="159" t="s">
        <v>5836</v>
      </c>
      <c r="D1716" s="159" t="s">
        <v>477</v>
      </c>
      <c r="E1716" s="159">
        <v>255</v>
      </c>
      <c r="F1716" s="159" t="s">
        <v>5667</v>
      </c>
      <c r="G1716" s="159" t="s">
        <v>11540</v>
      </c>
    </row>
    <row r="1717" spans="1:7" ht="15.75" customHeight="1">
      <c r="A1717" s="159" t="s">
        <v>9275</v>
      </c>
      <c r="B1717" s="159" t="s">
        <v>9752</v>
      </c>
      <c r="C1717" s="159" t="s">
        <v>3545</v>
      </c>
      <c r="D1717" s="159" t="s">
        <v>477</v>
      </c>
      <c r="E1717" s="159">
        <v>255</v>
      </c>
      <c r="F1717" s="159" t="s">
        <v>5667</v>
      </c>
      <c r="G1717" s="159" t="s">
        <v>11541</v>
      </c>
    </row>
    <row r="1718" spans="1:7" ht="15.75" customHeight="1">
      <c r="A1718" s="159" t="s">
        <v>9275</v>
      </c>
      <c r="B1718" s="159" t="s">
        <v>9752</v>
      </c>
      <c r="C1718" s="159" t="s">
        <v>10875</v>
      </c>
      <c r="D1718" s="159" t="s">
        <v>3893</v>
      </c>
      <c r="E1718" s="159">
        <v>65535</v>
      </c>
      <c r="F1718" s="159" t="s">
        <v>5667</v>
      </c>
      <c r="G1718" s="159" t="s">
        <v>11542</v>
      </c>
    </row>
    <row r="1719" spans="1:7" ht="15.75" customHeight="1">
      <c r="A1719" s="159" t="s">
        <v>9275</v>
      </c>
      <c r="B1719" s="159" t="s">
        <v>9752</v>
      </c>
      <c r="C1719" s="159" t="s">
        <v>1419</v>
      </c>
      <c r="D1719" s="159" t="s">
        <v>978</v>
      </c>
      <c r="E1719" s="159">
        <v>5</v>
      </c>
      <c r="F1719" s="159" t="s">
        <v>5667</v>
      </c>
      <c r="G1719" s="159" t="s">
        <v>811</v>
      </c>
    </row>
    <row r="1720" spans="1:7" ht="15.75" customHeight="1">
      <c r="A1720" s="159" t="s">
        <v>9275</v>
      </c>
      <c r="B1720" s="159" t="s">
        <v>9752</v>
      </c>
      <c r="C1720" s="159" t="s">
        <v>10305</v>
      </c>
      <c r="D1720" s="159" t="s">
        <v>3893</v>
      </c>
      <c r="E1720" s="159">
        <v>65535</v>
      </c>
      <c r="F1720" s="159" t="s">
        <v>5667</v>
      </c>
      <c r="G1720" s="159" t="s">
        <v>11543</v>
      </c>
    </row>
    <row r="1721" spans="1:7" ht="15.75" customHeight="1">
      <c r="A1721" s="159" t="s">
        <v>9275</v>
      </c>
      <c r="B1721" s="159" t="s">
        <v>9752</v>
      </c>
      <c r="C1721" s="159" t="s">
        <v>11544</v>
      </c>
      <c r="D1721" s="159" t="s">
        <v>477</v>
      </c>
      <c r="E1721" s="159">
        <v>255</v>
      </c>
      <c r="F1721" s="159" t="s">
        <v>5667</v>
      </c>
      <c r="G1721" s="159" t="s">
        <v>10187</v>
      </c>
    </row>
    <row r="1722" spans="1:7" ht="15.75" customHeight="1">
      <c r="A1722" s="159" t="s">
        <v>9275</v>
      </c>
      <c r="B1722" s="159" t="s">
        <v>9752</v>
      </c>
      <c r="C1722" s="159" t="s">
        <v>3892</v>
      </c>
      <c r="D1722" s="159" t="s">
        <v>3893</v>
      </c>
      <c r="E1722" s="159">
        <v>65535</v>
      </c>
      <c r="F1722" s="159" t="s">
        <v>5667</v>
      </c>
      <c r="G1722" s="159" t="s">
        <v>11545</v>
      </c>
    </row>
    <row r="1723" spans="1:7" ht="15.75" customHeight="1">
      <c r="A1723" s="159" t="s">
        <v>9275</v>
      </c>
      <c r="B1723" s="159" t="s">
        <v>9752</v>
      </c>
      <c r="C1723" s="159" t="s">
        <v>11458</v>
      </c>
      <c r="D1723" s="159" t="s">
        <v>1413</v>
      </c>
      <c r="E1723" s="159"/>
      <c r="F1723" s="159" t="s">
        <v>5667</v>
      </c>
      <c r="G1723" s="159" t="s">
        <v>11546</v>
      </c>
    </row>
    <row r="1724" spans="1:7" ht="15.75" customHeight="1">
      <c r="A1724" s="159" t="s">
        <v>9275</v>
      </c>
      <c r="B1724" s="159" t="s">
        <v>9752</v>
      </c>
      <c r="C1724" s="159" t="s">
        <v>10190</v>
      </c>
      <c r="D1724" s="159" t="s">
        <v>1413</v>
      </c>
      <c r="E1724" s="159"/>
      <c r="F1724" s="159" t="s">
        <v>5665</v>
      </c>
      <c r="G1724" s="159" t="s">
        <v>11547</v>
      </c>
    </row>
    <row r="1725" spans="1:7" ht="15.75" customHeight="1">
      <c r="A1725" s="159" t="s">
        <v>9275</v>
      </c>
      <c r="B1725" s="159" t="s">
        <v>9752</v>
      </c>
      <c r="C1725" s="159" t="s">
        <v>10242</v>
      </c>
      <c r="D1725" s="159" t="s">
        <v>1413</v>
      </c>
      <c r="E1725" s="159"/>
      <c r="F1725" s="159" t="s">
        <v>5667</v>
      </c>
      <c r="G1725" s="159" t="s">
        <v>11548</v>
      </c>
    </row>
    <row r="1726" spans="1:7" ht="15.75" customHeight="1">
      <c r="A1726" s="159" t="s">
        <v>9275</v>
      </c>
      <c r="B1726" s="159" t="s">
        <v>9754</v>
      </c>
      <c r="C1726" s="159" t="s">
        <v>11549</v>
      </c>
      <c r="D1726" s="159" t="s">
        <v>484</v>
      </c>
      <c r="E1726" s="159">
        <v>10</v>
      </c>
      <c r="F1726" s="159" t="s">
        <v>5665</v>
      </c>
      <c r="G1726" s="159" t="s">
        <v>11550</v>
      </c>
    </row>
    <row r="1727" spans="1:7" ht="15.75" customHeight="1">
      <c r="A1727" s="159" t="s">
        <v>9275</v>
      </c>
      <c r="B1727" s="159" t="s">
        <v>9754</v>
      </c>
      <c r="C1727" s="159" t="s">
        <v>11551</v>
      </c>
      <c r="D1727" s="159" t="s">
        <v>477</v>
      </c>
      <c r="E1727" s="159">
        <v>150</v>
      </c>
      <c r="F1727" s="159" t="s">
        <v>5665</v>
      </c>
      <c r="G1727" s="159" t="s">
        <v>11552</v>
      </c>
    </row>
    <row r="1728" spans="1:7" ht="15.75" customHeight="1">
      <c r="A1728" s="159" t="s">
        <v>9275</v>
      </c>
      <c r="B1728" s="159" t="s">
        <v>9754</v>
      </c>
      <c r="C1728" s="159" t="s">
        <v>11553</v>
      </c>
      <c r="D1728" s="159" t="s">
        <v>3893</v>
      </c>
      <c r="E1728" s="159">
        <v>65535</v>
      </c>
      <c r="F1728" s="159" t="s">
        <v>5665</v>
      </c>
      <c r="G1728" s="159" t="s">
        <v>11554</v>
      </c>
    </row>
    <row r="1729" spans="1:7" ht="15.75" customHeight="1">
      <c r="A1729" s="159" t="s">
        <v>9275</v>
      </c>
      <c r="B1729" s="159" t="s">
        <v>9754</v>
      </c>
      <c r="C1729" s="159" t="s">
        <v>11555</v>
      </c>
      <c r="D1729" s="159" t="s">
        <v>3893</v>
      </c>
      <c r="E1729" s="159">
        <v>65535</v>
      </c>
      <c r="F1729" s="159" t="s">
        <v>5667</v>
      </c>
      <c r="G1729" s="159" t="s">
        <v>11556</v>
      </c>
    </row>
    <row r="1730" spans="1:7" ht="15.75" customHeight="1">
      <c r="A1730" s="159" t="s">
        <v>9275</v>
      </c>
      <c r="B1730" s="159" t="s">
        <v>9754</v>
      </c>
      <c r="C1730" s="159" t="s">
        <v>11557</v>
      </c>
      <c r="D1730" s="159" t="s">
        <v>484</v>
      </c>
      <c r="E1730" s="159">
        <v>10</v>
      </c>
      <c r="F1730" s="159" t="s">
        <v>5667</v>
      </c>
      <c r="G1730" s="159" t="s">
        <v>11558</v>
      </c>
    </row>
    <row r="1731" spans="1:7" ht="15.75" customHeight="1">
      <c r="A1731" s="159" t="s">
        <v>9275</v>
      </c>
      <c r="B1731" s="159" t="s">
        <v>9754</v>
      </c>
      <c r="C1731" s="159" t="s">
        <v>11559</v>
      </c>
      <c r="D1731" s="159" t="s">
        <v>477</v>
      </c>
      <c r="E1731" s="159">
        <v>200</v>
      </c>
      <c r="F1731" s="159" t="s">
        <v>5665</v>
      </c>
      <c r="G1731" s="159" t="s">
        <v>11560</v>
      </c>
    </row>
    <row r="1732" spans="1:7" ht="15.75" customHeight="1">
      <c r="A1732" s="159" t="s">
        <v>9275</v>
      </c>
      <c r="B1732" s="159" t="s">
        <v>9754</v>
      </c>
      <c r="C1732" s="159" t="s">
        <v>11561</v>
      </c>
      <c r="D1732" s="159" t="s">
        <v>477</v>
      </c>
      <c r="E1732" s="159">
        <v>200</v>
      </c>
      <c r="F1732" s="159" t="s">
        <v>5667</v>
      </c>
      <c r="G1732" s="159" t="s">
        <v>11562</v>
      </c>
    </row>
    <row r="1733" spans="1:7" ht="15.75" customHeight="1">
      <c r="A1733" s="159" t="s">
        <v>9275</v>
      </c>
      <c r="B1733" s="159" t="s">
        <v>9754</v>
      </c>
      <c r="C1733" s="159" t="s">
        <v>11563</v>
      </c>
      <c r="D1733" s="159" t="s">
        <v>477</v>
      </c>
      <c r="E1733" s="159">
        <v>200</v>
      </c>
      <c r="F1733" s="159" t="s">
        <v>5667</v>
      </c>
      <c r="G1733" s="159" t="s">
        <v>11564</v>
      </c>
    </row>
    <row r="1734" spans="1:7" ht="15.75" customHeight="1">
      <c r="A1734" s="159" t="s">
        <v>9275</v>
      </c>
      <c r="B1734" s="159" t="s">
        <v>9754</v>
      </c>
      <c r="C1734" s="159" t="s">
        <v>10936</v>
      </c>
      <c r="D1734" s="159" t="s">
        <v>1413</v>
      </c>
      <c r="E1734" s="159"/>
      <c r="F1734" s="159" t="s">
        <v>5665</v>
      </c>
      <c r="G1734" s="159" t="s">
        <v>11565</v>
      </c>
    </row>
    <row r="1735" spans="1:7" ht="15.75" customHeight="1">
      <c r="A1735" s="159" t="s">
        <v>9275</v>
      </c>
      <c r="B1735" s="159" t="s">
        <v>9754</v>
      </c>
      <c r="C1735" s="159" t="s">
        <v>11566</v>
      </c>
      <c r="D1735" s="159" t="s">
        <v>1413</v>
      </c>
      <c r="E1735" s="159"/>
      <c r="F1735" s="159" t="s">
        <v>5665</v>
      </c>
      <c r="G1735" s="159" t="s">
        <v>11567</v>
      </c>
    </row>
    <row r="1736" spans="1:7" ht="15.75" customHeight="1">
      <c r="A1736" s="159" t="s">
        <v>9275</v>
      </c>
      <c r="B1736" s="159" t="s">
        <v>9754</v>
      </c>
      <c r="C1736" s="159" t="s">
        <v>11568</v>
      </c>
      <c r="D1736" s="159" t="s">
        <v>477</v>
      </c>
      <c r="E1736" s="159">
        <v>200</v>
      </c>
      <c r="F1736" s="159" t="s">
        <v>5667</v>
      </c>
      <c r="G1736" s="159" t="s">
        <v>11569</v>
      </c>
    </row>
    <row r="1737" spans="1:7" ht="15.75" customHeight="1">
      <c r="A1737" s="159" t="s">
        <v>9275</v>
      </c>
      <c r="B1737" s="159" t="s">
        <v>9754</v>
      </c>
      <c r="C1737" s="159" t="s">
        <v>11570</v>
      </c>
      <c r="D1737" s="159" t="s">
        <v>3893</v>
      </c>
      <c r="E1737" s="159">
        <v>65535</v>
      </c>
      <c r="F1737" s="159" t="s">
        <v>5667</v>
      </c>
      <c r="G1737" s="159" t="s">
        <v>11571</v>
      </c>
    </row>
    <row r="1738" spans="1:7" ht="15.75" customHeight="1">
      <c r="A1738" s="159" t="s">
        <v>9275</v>
      </c>
      <c r="B1738" s="159" t="s">
        <v>9754</v>
      </c>
      <c r="C1738" s="159" t="s">
        <v>11572</v>
      </c>
      <c r="D1738" s="159" t="s">
        <v>805</v>
      </c>
      <c r="E1738" s="159">
        <v>3</v>
      </c>
      <c r="F1738" s="159" t="s">
        <v>5665</v>
      </c>
      <c r="G1738" s="159" t="s">
        <v>11573</v>
      </c>
    </row>
    <row r="1739" spans="1:7" ht="15.75" customHeight="1">
      <c r="A1739" s="159" t="s">
        <v>9275</v>
      </c>
      <c r="B1739" s="159" t="s">
        <v>9756</v>
      </c>
      <c r="C1739" s="159" t="s">
        <v>3897</v>
      </c>
      <c r="D1739" s="159" t="s">
        <v>484</v>
      </c>
      <c r="E1739" s="159">
        <v>10</v>
      </c>
      <c r="F1739" s="159" t="s">
        <v>5665</v>
      </c>
      <c r="G1739" s="159" t="s">
        <v>11434</v>
      </c>
    </row>
    <row r="1740" spans="1:7" ht="15.75" customHeight="1">
      <c r="A1740" s="159" t="s">
        <v>9275</v>
      </c>
      <c r="B1740" s="159" t="s">
        <v>9756</v>
      </c>
      <c r="C1740" s="159" t="s">
        <v>11574</v>
      </c>
      <c r="D1740" s="159" t="s">
        <v>484</v>
      </c>
      <c r="E1740" s="159">
        <v>10</v>
      </c>
      <c r="F1740" s="159" t="s">
        <v>5665</v>
      </c>
      <c r="G1740" s="159" t="s">
        <v>11575</v>
      </c>
    </row>
    <row r="1741" spans="1:7" ht="15.75" customHeight="1">
      <c r="A1741" s="159" t="s">
        <v>9275</v>
      </c>
      <c r="B1741" s="159" t="s">
        <v>9756</v>
      </c>
      <c r="C1741" s="159" t="s">
        <v>11576</v>
      </c>
      <c r="D1741" s="159" t="s">
        <v>484</v>
      </c>
      <c r="E1741" s="159">
        <v>10</v>
      </c>
      <c r="F1741" s="159" t="s">
        <v>5665</v>
      </c>
      <c r="G1741" s="159" t="s">
        <v>11577</v>
      </c>
    </row>
    <row r="1742" spans="1:7" ht="15.75" customHeight="1">
      <c r="A1742" s="159" t="s">
        <v>9275</v>
      </c>
      <c r="B1742" s="159" t="s">
        <v>9756</v>
      </c>
      <c r="C1742" s="159" t="s">
        <v>3940</v>
      </c>
      <c r="D1742" s="159" t="s">
        <v>484</v>
      </c>
      <c r="E1742" s="159">
        <v>10</v>
      </c>
      <c r="F1742" s="159" t="s">
        <v>5667</v>
      </c>
      <c r="G1742" s="159" t="s">
        <v>10747</v>
      </c>
    </row>
    <row r="1743" spans="1:7" ht="15.75" customHeight="1">
      <c r="A1743" s="159" t="s">
        <v>9275</v>
      </c>
      <c r="B1743" s="159" t="s">
        <v>9756</v>
      </c>
      <c r="C1743" s="159" t="s">
        <v>10290</v>
      </c>
      <c r="D1743" s="159" t="s">
        <v>978</v>
      </c>
      <c r="E1743" s="159">
        <v>5</v>
      </c>
      <c r="F1743" s="159" t="s">
        <v>5665</v>
      </c>
      <c r="G1743" s="159" t="s">
        <v>10689</v>
      </c>
    </row>
    <row r="1744" spans="1:7" ht="15.75" customHeight="1">
      <c r="A1744" s="159" t="s">
        <v>9275</v>
      </c>
      <c r="B1744" s="159" t="s">
        <v>9756</v>
      </c>
      <c r="C1744" s="159" t="s">
        <v>11578</v>
      </c>
      <c r="D1744" s="159" t="s">
        <v>978</v>
      </c>
      <c r="E1744" s="159">
        <v>5</v>
      </c>
      <c r="F1744" s="159" t="s">
        <v>5665</v>
      </c>
      <c r="G1744" s="159" t="s">
        <v>11579</v>
      </c>
    </row>
    <row r="1745" spans="1:7" ht="15.75" customHeight="1">
      <c r="A1745" s="159" t="s">
        <v>9275</v>
      </c>
      <c r="B1745" s="159" t="s">
        <v>9756</v>
      </c>
      <c r="C1745" s="159" t="s">
        <v>11580</v>
      </c>
      <c r="D1745" s="159" t="s">
        <v>978</v>
      </c>
      <c r="E1745" s="159">
        <v>5</v>
      </c>
      <c r="F1745" s="159" t="s">
        <v>5667</v>
      </c>
      <c r="G1745" s="159" t="s">
        <v>11581</v>
      </c>
    </row>
    <row r="1746" spans="1:7" ht="15.75" customHeight="1">
      <c r="A1746" s="159" t="s">
        <v>9275</v>
      </c>
      <c r="B1746" s="159" t="s">
        <v>9756</v>
      </c>
      <c r="C1746" s="159" t="s">
        <v>10190</v>
      </c>
      <c r="D1746" s="159" t="s">
        <v>1413</v>
      </c>
      <c r="E1746" s="159"/>
      <c r="F1746" s="159" t="s">
        <v>5667</v>
      </c>
      <c r="G1746" s="159" t="s">
        <v>10810</v>
      </c>
    </row>
    <row r="1747" spans="1:7" ht="15.75" customHeight="1">
      <c r="A1747" s="159" t="s">
        <v>9275</v>
      </c>
      <c r="B1747" s="159" t="s">
        <v>9756</v>
      </c>
      <c r="C1747" s="159" t="s">
        <v>10242</v>
      </c>
      <c r="D1747" s="159" t="s">
        <v>1413</v>
      </c>
      <c r="E1747" s="159"/>
      <c r="F1747" s="159" t="s">
        <v>5667</v>
      </c>
      <c r="G1747" s="159" t="s">
        <v>10243</v>
      </c>
    </row>
    <row r="1748" spans="1:7" ht="15.75" customHeight="1">
      <c r="A1748" s="159" t="s">
        <v>9275</v>
      </c>
      <c r="B1748" s="159" t="s">
        <v>9758</v>
      </c>
      <c r="C1748" s="159" t="s">
        <v>11582</v>
      </c>
      <c r="D1748" s="159" t="s">
        <v>484</v>
      </c>
      <c r="E1748" s="159">
        <v>10</v>
      </c>
      <c r="F1748" s="159" t="s">
        <v>5665</v>
      </c>
      <c r="G1748" s="159" t="s">
        <v>11583</v>
      </c>
    </row>
    <row r="1749" spans="1:7" ht="15.75" customHeight="1">
      <c r="A1749" s="159" t="s">
        <v>9275</v>
      </c>
      <c r="B1749" s="159" t="s">
        <v>9758</v>
      </c>
      <c r="C1749" s="159" t="s">
        <v>10328</v>
      </c>
      <c r="D1749" s="159" t="s">
        <v>484</v>
      </c>
      <c r="E1749" s="159">
        <v>10</v>
      </c>
      <c r="F1749" s="159" t="s">
        <v>5665</v>
      </c>
      <c r="G1749" s="159" t="s">
        <v>11584</v>
      </c>
    </row>
    <row r="1750" spans="1:7" ht="15.75" customHeight="1">
      <c r="A1750" s="159" t="s">
        <v>9275</v>
      </c>
      <c r="B1750" s="159" t="s">
        <v>9758</v>
      </c>
      <c r="C1750" s="159" t="s">
        <v>11585</v>
      </c>
      <c r="D1750" s="159" t="s">
        <v>1413</v>
      </c>
      <c r="E1750" s="159"/>
      <c r="F1750" s="159" t="s">
        <v>5667</v>
      </c>
      <c r="G1750" s="159" t="s">
        <v>10347</v>
      </c>
    </row>
    <row r="1751" spans="1:7" ht="15.75" customHeight="1">
      <c r="A1751" s="159" t="s">
        <v>9275</v>
      </c>
      <c r="B1751" s="159" t="s">
        <v>9758</v>
      </c>
      <c r="C1751" s="159" t="s">
        <v>11153</v>
      </c>
      <c r="D1751" s="159" t="s">
        <v>1413</v>
      </c>
      <c r="E1751" s="159"/>
      <c r="F1751" s="159" t="s">
        <v>5667</v>
      </c>
      <c r="G1751" s="159" t="s">
        <v>11586</v>
      </c>
    </row>
    <row r="1752" spans="1:7" ht="15.75" customHeight="1">
      <c r="A1752" s="159" t="s">
        <v>9275</v>
      </c>
      <c r="B1752" s="159" t="s">
        <v>9758</v>
      </c>
      <c r="C1752" s="159" t="s">
        <v>5609</v>
      </c>
      <c r="D1752" s="159" t="s">
        <v>477</v>
      </c>
      <c r="E1752" s="159">
        <v>100</v>
      </c>
      <c r="F1752" s="159" t="s">
        <v>5667</v>
      </c>
      <c r="G1752" s="159" t="s">
        <v>1611</v>
      </c>
    </row>
    <row r="1753" spans="1:7" ht="15.75" customHeight="1">
      <c r="A1753" s="159" t="s">
        <v>9275</v>
      </c>
      <c r="B1753" s="159" t="s">
        <v>9758</v>
      </c>
      <c r="C1753" s="159" t="s">
        <v>11587</v>
      </c>
      <c r="D1753" s="159" t="s">
        <v>477</v>
      </c>
      <c r="E1753" s="159">
        <v>255</v>
      </c>
      <c r="F1753" s="159" t="s">
        <v>5665</v>
      </c>
      <c r="G1753" s="159" t="s">
        <v>11588</v>
      </c>
    </row>
    <row r="1754" spans="1:7" ht="15.75" customHeight="1">
      <c r="A1754" s="159" t="s">
        <v>9275</v>
      </c>
      <c r="B1754" s="159" t="s">
        <v>9758</v>
      </c>
      <c r="C1754" s="159" t="s">
        <v>11589</v>
      </c>
      <c r="D1754" s="159" t="s">
        <v>3893</v>
      </c>
      <c r="E1754" s="159">
        <v>65535</v>
      </c>
      <c r="F1754" s="159" t="s">
        <v>5667</v>
      </c>
      <c r="G1754" s="159" t="s">
        <v>11590</v>
      </c>
    </row>
    <row r="1755" spans="1:7" ht="15.75" customHeight="1">
      <c r="A1755" s="159" t="s">
        <v>9275</v>
      </c>
      <c r="B1755" s="159" t="s">
        <v>9758</v>
      </c>
      <c r="C1755" s="159" t="s">
        <v>11591</v>
      </c>
      <c r="D1755" s="159" t="s">
        <v>978</v>
      </c>
      <c r="E1755" s="159">
        <v>5</v>
      </c>
      <c r="F1755" s="159" t="s">
        <v>5665</v>
      </c>
      <c r="G1755" s="159" t="s">
        <v>11592</v>
      </c>
    </row>
    <row r="1756" spans="1:7" ht="15.75" customHeight="1">
      <c r="A1756" s="159" t="s">
        <v>9275</v>
      </c>
      <c r="B1756" s="159" t="s">
        <v>9760</v>
      </c>
      <c r="C1756" s="159" t="s">
        <v>10287</v>
      </c>
      <c r="D1756" s="159" t="s">
        <v>484</v>
      </c>
      <c r="E1756" s="159">
        <v>10</v>
      </c>
      <c r="F1756" s="159" t="s">
        <v>5665</v>
      </c>
      <c r="G1756" s="159" t="s">
        <v>11584</v>
      </c>
    </row>
    <row r="1757" spans="1:7" ht="15.75" customHeight="1">
      <c r="A1757" s="159" t="s">
        <v>9275</v>
      </c>
      <c r="B1757" s="159" t="s">
        <v>9760</v>
      </c>
      <c r="C1757" s="159" t="s">
        <v>5676</v>
      </c>
      <c r="D1757" s="159" t="s">
        <v>477</v>
      </c>
      <c r="E1757" s="159">
        <v>255</v>
      </c>
      <c r="F1757" s="159" t="s">
        <v>5665</v>
      </c>
      <c r="G1757" s="159" t="s">
        <v>5186</v>
      </c>
    </row>
    <row r="1758" spans="1:7" ht="15.75" customHeight="1">
      <c r="A1758" s="159" t="s">
        <v>9275</v>
      </c>
      <c r="B1758" s="159" t="s">
        <v>9760</v>
      </c>
      <c r="C1758" s="159" t="s">
        <v>10211</v>
      </c>
      <c r="D1758" s="159" t="s">
        <v>978</v>
      </c>
      <c r="E1758" s="159">
        <v>5</v>
      </c>
      <c r="F1758" s="159" t="s">
        <v>5665</v>
      </c>
      <c r="G1758" s="159" t="s">
        <v>11593</v>
      </c>
    </row>
    <row r="1759" spans="1:7" ht="15.75" customHeight="1">
      <c r="A1759" s="159" t="s">
        <v>9275</v>
      </c>
      <c r="B1759" s="159" t="s">
        <v>9760</v>
      </c>
      <c r="C1759" s="159" t="s">
        <v>11594</v>
      </c>
      <c r="D1759" s="159" t="s">
        <v>477</v>
      </c>
      <c r="E1759" s="159">
        <v>100</v>
      </c>
      <c r="F1759" s="159" t="s">
        <v>5667</v>
      </c>
      <c r="G1759" s="159" t="s">
        <v>11595</v>
      </c>
    </row>
    <row r="1760" spans="1:7" ht="15.75" customHeight="1">
      <c r="A1760" s="159" t="s">
        <v>9275</v>
      </c>
      <c r="B1760" s="159" t="s">
        <v>9760</v>
      </c>
      <c r="C1760" s="159" t="s">
        <v>11596</v>
      </c>
      <c r="D1760" s="159" t="s">
        <v>477</v>
      </c>
      <c r="E1760" s="159">
        <v>10</v>
      </c>
      <c r="F1760" s="159" t="s">
        <v>5665</v>
      </c>
      <c r="G1760" s="159" t="s">
        <v>165</v>
      </c>
    </row>
    <row r="1761" spans="1:7" ht="15.75" customHeight="1">
      <c r="A1761" s="159" t="s">
        <v>9275</v>
      </c>
      <c r="B1761" s="159" t="s">
        <v>9760</v>
      </c>
      <c r="C1761" s="159" t="s">
        <v>11597</v>
      </c>
      <c r="D1761" s="159" t="s">
        <v>477</v>
      </c>
      <c r="E1761" s="159">
        <v>100</v>
      </c>
      <c r="F1761" s="159" t="s">
        <v>5665</v>
      </c>
      <c r="G1761" s="159" t="s">
        <v>11598</v>
      </c>
    </row>
    <row r="1762" spans="1:7" ht="15.75" customHeight="1">
      <c r="A1762" s="159" t="s">
        <v>9275</v>
      </c>
      <c r="B1762" s="159" t="s">
        <v>9760</v>
      </c>
      <c r="C1762" s="159" t="s">
        <v>11599</v>
      </c>
      <c r="D1762" s="159" t="s">
        <v>3893</v>
      </c>
      <c r="E1762" s="159">
        <v>65535</v>
      </c>
      <c r="F1762" s="159" t="s">
        <v>5665</v>
      </c>
      <c r="G1762" s="159" t="s">
        <v>11600</v>
      </c>
    </row>
    <row r="1763" spans="1:7" ht="15.75" customHeight="1">
      <c r="A1763" s="159" t="s">
        <v>9275</v>
      </c>
      <c r="B1763" s="159" t="s">
        <v>9760</v>
      </c>
      <c r="C1763" s="159" t="s">
        <v>11601</v>
      </c>
      <c r="D1763" s="159" t="s">
        <v>3893</v>
      </c>
      <c r="E1763" s="159">
        <v>65535</v>
      </c>
      <c r="F1763" s="159" t="s">
        <v>5665</v>
      </c>
      <c r="G1763" s="159" t="s">
        <v>11602</v>
      </c>
    </row>
    <row r="1764" spans="1:7" ht="15.75" customHeight="1">
      <c r="A1764" s="159" t="s">
        <v>9275</v>
      </c>
      <c r="B1764" s="159" t="s">
        <v>9760</v>
      </c>
      <c r="C1764" s="159" t="s">
        <v>11603</v>
      </c>
      <c r="D1764" s="159" t="s">
        <v>3893</v>
      </c>
      <c r="E1764" s="159">
        <v>65535</v>
      </c>
      <c r="F1764" s="159" t="s">
        <v>5665</v>
      </c>
      <c r="G1764" s="159" t="s">
        <v>11604</v>
      </c>
    </row>
    <row r="1765" spans="1:7" ht="15.75" customHeight="1">
      <c r="A1765" s="159" t="s">
        <v>9275</v>
      </c>
      <c r="B1765" s="159" t="s">
        <v>9760</v>
      </c>
      <c r="C1765" s="159" t="s">
        <v>11605</v>
      </c>
      <c r="D1765" s="159" t="s">
        <v>1413</v>
      </c>
      <c r="E1765" s="159"/>
      <c r="F1765" s="159" t="s">
        <v>5667</v>
      </c>
      <c r="G1765" s="159" t="s">
        <v>9761</v>
      </c>
    </row>
    <row r="1766" spans="1:7" ht="15.75" customHeight="1">
      <c r="A1766" s="159" t="s">
        <v>9275</v>
      </c>
      <c r="B1766" s="159" t="s">
        <v>9760</v>
      </c>
      <c r="C1766" s="159" t="s">
        <v>11606</v>
      </c>
      <c r="D1766" s="159" t="s">
        <v>11607</v>
      </c>
      <c r="E1766" s="159">
        <v>4294967295</v>
      </c>
      <c r="F1766" s="159" t="s">
        <v>5667</v>
      </c>
      <c r="G1766" s="159" t="s">
        <v>11608</v>
      </c>
    </row>
    <row r="1767" spans="1:7" ht="15.75" customHeight="1">
      <c r="A1767" s="159" t="s">
        <v>9275</v>
      </c>
      <c r="B1767" s="159" t="s">
        <v>9762</v>
      </c>
      <c r="C1767" s="159" t="s">
        <v>10328</v>
      </c>
      <c r="D1767" s="159" t="s">
        <v>484</v>
      </c>
      <c r="E1767" s="159">
        <v>10</v>
      </c>
      <c r="F1767" s="159" t="s">
        <v>5665</v>
      </c>
      <c r="G1767" s="159" t="s">
        <v>11584</v>
      </c>
    </row>
    <row r="1768" spans="1:7" ht="15.75" customHeight="1">
      <c r="A1768" s="159" t="s">
        <v>9275</v>
      </c>
      <c r="B1768" s="159" t="s">
        <v>9762</v>
      </c>
      <c r="C1768" s="159" t="s">
        <v>11609</v>
      </c>
      <c r="D1768" s="159" t="s">
        <v>477</v>
      </c>
      <c r="E1768" s="159">
        <v>255</v>
      </c>
      <c r="F1768" s="159" t="s">
        <v>5665</v>
      </c>
      <c r="G1768" s="159" t="s">
        <v>11610</v>
      </c>
    </row>
    <row r="1769" spans="1:7" ht="15.75" customHeight="1">
      <c r="A1769" s="159" t="s">
        <v>9275</v>
      </c>
      <c r="B1769" s="159" t="s">
        <v>9764</v>
      </c>
      <c r="C1769" s="159" t="s">
        <v>11582</v>
      </c>
      <c r="D1769" s="159" t="s">
        <v>484</v>
      </c>
      <c r="E1769" s="159">
        <v>10</v>
      </c>
      <c r="F1769" s="159" t="s">
        <v>5665</v>
      </c>
      <c r="G1769" s="159" t="s">
        <v>11583</v>
      </c>
    </row>
    <row r="1770" spans="1:7" ht="15.75" customHeight="1">
      <c r="A1770" s="159" t="s">
        <v>9275</v>
      </c>
      <c r="B1770" s="159" t="s">
        <v>9764</v>
      </c>
      <c r="C1770" s="159" t="s">
        <v>10328</v>
      </c>
      <c r="D1770" s="159" t="s">
        <v>484</v>
      </c>
      <c r="E1770" s="159">
        <v>10</v>
      </c>
      <c r="F1770" s="159" t="s">
        <v>5665</v>
      </c>
      <c r="G1770" s="159" t="s">
        <v>11584</v>
      </c>
    </row>
    <row r="1771" spans="1:7" ht="15.75" customHeight="1">
      <c r="A1771" s="159" t="s">
        <v>9275</v>
      </c>
      <c r="B1771" s="159" t="s">
        <v>9764</v>
      </c>
      <c r="C1771" s="159" t="s">
        <v>11585</v>
      </c>
      <c r="D1771" s="159" t="s">
        <v>1413</v>
      </c>
      <c r="E1771" s="159"/>
      <c r="F1771" s="159" t="s">
        <v>5667</v>
      </c>
      <c r="G1771" s="159" t="s">
        <v>10347</v>
      </c>
    </row>
    <row r="1772" spans="1:7" ht="15.75" customHeight="1">
      <c r="A1772" s="159" t="s">
        <v>9275</v>
      </c>
      <c r="B1772" s="159" t="s">
        <v>9764</v>
      </c>
      <c r="C1772" s="159" t="s">
        <v>11153</v>
      </c>
      <c r="D1772" s="159" t="s">
        <v>1413</v>
      </c>
      <c r="E1772" s="159"/>
      <c r="F1772" s="159" t="s">
        <v>5667</v>
      </c>
      <c r="G1772" s="159" t="s">
        <v>11586</v>
      </c>
    </row>
    <row r="1773" spans="1:7" ht="15.75" customHeight="1">
      <c r="A1773" s="159" t="s">
        <v>9275</v>
      </c>
      <c r="B1773" s="159" t="s">
        <v>9764</v>
      </c>
      <c r="C1773" s="159" t="s">
        <v>5609</v>
      </c>
      <c r="D1773" s="159" t="s">
        <v>477</v>
      </c>
      <c r="E1773" s="159">
        <v>100</v>
      </c>
      <c r="F1773" s="159" t="s">
        <v>5667</v>
      </c>
      <c r="G1773" s="159" t="s">
        <v>1611</v>
      </c>
    </row>
    <row r="1774" spans="1:7" ht="15.75" customHeight="1">
      <c r="A1774" s="159" t="s">
        <v>9275</v>
      </c>
      <c r="B1774" s="159" t="s">
        <v>9764</v>
      </c>
      <c r="C1774" s="159" t="s">
        <v>11587</v>
      </c>
      <c r="D1774" s="159" t="s">
        <v>477</v>
      </c>
      <c r="E1774" s="159">
        <v>255</v>
      </c>
      <c r="F1774" s="159" t="s">
        <v>5665</v>
      </c>
      <c r="G1774" s="159" t="s">
        <v>11611</v>
      </c>
    </row>
    <row r="1775" spans="1:7" ht="15.75" customHeight="1">
      <c r="A1775" s="159" t="s">
        <v>9275</v>
      </c>
      <c r="B1775" s="159" t="s">
        <v>9765</v>
      </c>
      <c r="C1775" s="159" t="s">
        <v>10287</v>
      </c>
      <c r="D1775" s="159" t="s">
        <v>484</v>
      </c>
      <c r="E1775" s="159">
        <v>10</v>
      </c>
      <c r="F1775" s="159" t="s">
        <v>5665</v>
      </c>
      <c r="G1775" s="159" t="s">
        <v>10676</v>
      </c>
    </row>
    <row r="1776" spans="1:7" ht="15.75" customHeight="1">
      <c r="A1776" s="159" t="s">
        <v>9275</v>
      </c>
      <c r="B1776" s="159" t="s">
        <v>9765</v>
      </c>
      <c r="C1776" s="159" t="s">
        <v>10328</v>
      </c>
      <c r="D1776" s="159" t="s">
        <v>484</v>
      </c>
      <c r="E1776" s="159">
        <v>10</v>
      </c>
      <c r="F1776" s="159" t="s">
        <v>5665</v>
      </c>
      <c r="G1776" s="159" t="s">
        <v>11584</v>
      </c>
    </row>
    <row r="1777" spans="1:7" ht="15.75" customHeight="1">
      <c r="A1777" s="159" t="s">
        <v>9275</v>
      </c>
      <c r="B1777" s="159" t="s">
        <v>9765</v>
      </c>
      <c r="C1777" s="159" t="s">
        <v>9217</v>
      </c>
      <c r="D1777" s="159" t="s">
        <v>978</v>
      </c>
      <c r="E1777" s="159">
        <v>5</v>
      </c>
      <c r="F1777" s="159" t="s">
        <v>5667</v>
      </c>
      <c r="G1777" s="159" t="s">
        <v>11612</v>
      </c>
    </row>
    <row r="1778" spans="1:7" ht="15.75" customHeight="1">
      <c r="A1778" s="159" t="s">
        <v>9275</v>
      </c>
      <c r="B1778" s="159" t="s">
        <v>9765</v>
      </c>
      <c r="C1778" s="159" t="s">
        <v>11613</v>
      </c>
      <c r="D1778" s="159" t="s">
        <v>477</v>
      </c>
      <c r="E1778" s="159">
        <v>255</v>
      </c>
      <c r="F1778" s="159" t="s">
        <v>5667</v>
      </c>
      <c r="G1778" s="159" t="s">
        <v>11614</v>
      </c>
    </row>
    <row r="1779" spans="1:7" ht="15.75" customHeight="1">
      <c r="A1779" s="159" t="s">
        <v>9275</v>
      </c>
      <c r="B1779" s="159" t="s">
        <v>9765</v>
      </c>
      <c r="C1779" s="159" t="s">
        <v>11615</v>
      </c>
      <c r="D1779" s="159" t="s">
        <v>477</v>
      </c>
      <c r="E1779" s="159">
        <v>255</v>
      </c>
      <c r="F1779" s="159" t="s">
        <v>5667</v>
      </c>
      <c r="G1779" s="159" t="s">
        <v>11616</v>
      </c>
    </row>
    <row r="1780" spans="1:7" ht="15.75" customHeight="1">
      <c r="A1780" s="159" t="s">
        <v>9275</v>
      </c>
      <c r="B1780" s="159" t="s">
        <v>9765</v>
      </c>
      <c r="C1780" s="159" t="s">
        <v>11196</v>
      </c>
      <c r="D1780" s="159" t="s">
        <v>477</v>
      </c>
      <c r="E1780" s="159">
        <v>255</v>
      </c>
      <c r="F1780" s="159" t="s">
        <v>5667</v>
      </c>
      <c r="G1780" s="159" t="s">
        <v>11197</v>
      </c>
    </row>
    <row r="1781" spans="1:7" ht="15.75" customHeight="1">
      <c r="A1781" s="159" t="s">
        <v>9275</v>
      </c>
      <c r="B1781" s="159" t="s">
        <v>9765</v>
      </c>
      <c r="C1781" s="159" t="s">
        <v>11617</v>
      </c>
      <c r="D1781" s="159" t="s">
        <v>978</v>
      </c>
      <c r="E1781" s="159">
        <v>5</v>
      </c>
      <c r="F1781" s="159" t="s">
        <v>5667</v>
      </c>
      <c r="G1781" s="159" t="s">
        <v>11197</v>
      </c>
    </row>
    <row r="1782" spans="1:7" ht="15.75" customHeight="1">
      <c r="A1782" s="159" t="s">
        <v>9275</v>
      </c>
      <c r="B1782" s="159" t="s">
        <v>9765</v>
      </c>
      <c r="C1782" s="159" t="s">
        <v>3965</v>
      </c>
      <c r="D1782" s="159" t="s">
        <v>484</v>
      </c>
      <c r="E1782" s="159">
        <v>10</v>
      </c>
      <c r="F1782" s="159" t="s">
        <v>5665</v>
      </c>
      <c r="G1782" s="159" t="s">
        <v>10462</v>
      </c>
    </row>
    <row r="1783" spans="1:7" ht="15.75" customHeight="1">
      <c r="A1783" s="159" t="s">
        <v>9275</v>
      </c>
      <c r="B1783" s="159" t="s">
        <v>9767</v>
      </c>
      <c r="C1783" s="159" t="s">
        <v>10287</v>
      </c>
      <c r="D1783" s="159" t="s">
        <v>484</v>
      </c>
      <c r="E1783" s="159">
        <v>10</v>
      </c>
      <c r="F1783" s="159" t="s">
        <v>5665</v>
      </c>
      <c r="G1783" s="159" t="s">
        <v>10676</v>
      </c>
    </row>
    <row r="1784" spans="1:7" ht="15.75" customHeight="1">
      <c r="A1784" s="159" t="s">
        <v>9275</v>
      </c>
      <c r="B1784" s="159" t="s">
        <v>9767</v>
      </c>
      <c r="C1784" s="159" t="s">
        <v>10328</v>
      </c>
      <c r="D1784" s="159" t="s">
        <v>484</v>
      </c>
      <c r="E1784" s="159">
        <v>10</v>
      </c>
      <c r="F1784" s="159" t="s">
        <v>5665</v>
      </c>
      <c r="G1784" s="159" t="s">
        <v>11584</v>
      </c>
    </row>
    <row r="1785" spans="1:7" ht="15.75" customHeight="1">
      <c r="A1785" s="159" t="s">
        <v>9275</v>
      </c>
      <c r="B1785" s="159" t="s">
        <v>9767</v>
      </c>
      <c r="C1785" s="159" t="s">
        <v>11347</v>
      </c>
      <c r="D1785" s="159" t="s">
        <v>477</v>
      </c>
      <c r="E1785" s="159">
        <v>255</v>
      </c>
      <c r="F1785" s="159" t="s">
        <v>5665</v>
      </c>
      <c r="G1785" s="159" t="s">
        <v>11618</v>
      </c>
    </row>
    <row r="1786" spans="1:7" ht="15.75" customHeight="1">
      <c r="A1786" s="159" t="s">
        <v>9275</v>
      </c>
      <c r="B1786" s="159" t="s">
        <v>9767</v>
      </c>
      <c r="C1786" s="159" t="s">
        <v>11619</v>
      </c>
      <c r="D1786" s="159" t="s">
        <v>978</v>
      </c>
      <c r="E1786" s="159">
        <v>5</v>
      </c>
      <c r="F1786" s="159" t="s">
        <v>5665</v>
      </c>
      <c r="G1786" s="159" t="s">
        <v>11620</v>
      </c>
    </row>
    <row r="1787" spans="1:7" ht="15.75" customHeight="1">
      <c r="A1787" s="159" t="s">
        <v>9275</v>
      </c>
      <c r="B1787" s="159" t="s">
        <v>9767</v>
      </c>
      <c r="C1787" s="159" t="s">
        <v>11621</v>
      </c>
      <c r="D1787" s="159" t="s">
        <v>978</v>
      </c>
      <c r="E1787" s="159">
        <v>5</v>
      </c>
      <c r="F1787" s="159" t="s">
        <v>5665</v>
      </c>
      <c r="G1787" s="159" t="s">
        <v>11622</v>
      </c>
    </row>
    <row r="1788" spans="1:7" ht="15.75" customHeight="1">
      <c r="A1788" s="159" t="s">
        <v>9275</v>
      </c>
      <c r="B1788" s="159" t="s">
        <v>9767</v>
      </c>
      <c r="C1788" s="159" t="s">
        <v>11623</v>
      </c>
      <c r="D1788" s="159" t="s">
        <v>3893</v>
      </c>
      <c r="E1788" s="159">
        <v>65535</v>
      </c>
      <c r="F1788" s="159" t="s">
        <v>5665</v>
      </c>
      <c r="G1788" s="159" t="s">
        <v>11624</v>
      </c>
    </row>
    <row r="1789" spans="1:7" ht="15.75" customHeight="1">
      <c r="A1789" s="159" t="s">
        <v>9275</v>
      </c>
      <c r="B1789" s="159" t="s">
        <v>9767</v>
      </c>
      <c r="C1789" s="159" t="s">
        <v>11625</v>
      </c>
      <c r="D1789" s="159" t="s">
        <v>477</v>
      </c>
      <c r="E1789" s="159">
        <v>255</v>
      </c>
      <c r="F1789" s="159" t="s">
        <v>5665</v>
      </c>
      <c r="G1789" s="159" t="s">
        <v>11626</v>
      </c>
    </row>
    <row r="1790" spans="1:7" ht="15.75" customHeight="1">
      <c r="A1790" s="159" t="s">
        <v>9275</v>
      </c>
      <c r="B1790" s="159" t="s">
        <v>9767</v>
      </c>
      <c r="C1790" s="159" t="s">
        <v>11627</v>
      </c>
      <c r="D1790" s="159" t="s">
        <v>477</v>
      </c>
      <c r="E1790" s="159">
        <v>255</v>
      </c>
      <c r="F1790" s="159" t="s">
        <v>5667</v>
      </c>
      <c r="G1790" s="159" t="s">
        <v>11628</v>
      </c>
    </row>
    <row r="1791" spans="1:7" ht="15.75" customHeight="1">
      <c r="A1791" s="159" t="s">
        <v>9275</v>
      </c>
      <c r="B1791" s="159" t="s">
        <v>9769</v>
      </c>
      <c r="C1791" s="159" t="s">
        <v>10287</v>
      </c>
      <c r="D1791" s="159" t="s">
        <v>484</v>
      </c>
      <c r="E1791" s="159">
        <v>10</v>
      </c>
      <c r="F1791" s="159" t="s">
        <v>5665</v>
      </c>
      <c r="G1791" s="159" t="s">
        <v>11584</v>
      </c>
    </row>
    <row r="1792" spans="1:7" ht="15.75" customHeight="1">
      <c r="A1792" s="159" t="s">
        <v>9275</v>
      </c>
      <c r="B1792" s="159" t="s">
        <v>9769</v>
      </c>
      <c r="C1792" s="159" t="s">
        <v>5676</v>
      </c>
      <c r="D1792" s="159" t="s">
        <v>477</v>
      </c>
      <c r="E1792" s="159">
        <v>255</v>
      </c>
      <c r="F1792" s="159" t="s">
        <v>5665</v>
      </c>
      <c r="G1792" s="159" t="s">
        <v>5186</v>
      </c>
    </row>
    <row r="1793" spans="1:7" ht="15.75" customHeight="1">
      <c r="A1793" s="159" t="s">
        <v>9275</v>
      </c>
      <c r="B1793" s="159" t="s">
        <v>9769</v>
      </c>
      <c r="C1793" s="159" t="s">
        <v>10211</v>
      </c>
      <c r="D1793" s="159" t="s">
        <v>978</v>
      </c>
      <c r="E1793" s="159">
        <v>5</v>
      </c>
      <c r="F1793" s="159" t="s">
        <v>5665</v>
      </c>
      <c r="G1793" s="159" t="s">
        <v>11593</v>
      </c>
    </row>
    <row r="1794" spans="1:7" ht="15.75" customHeight="1">
      <c r="A1794" s="159" t="s">
        <v>9275</v>
      </c>
      <c r="B1794" s="159" t="s">
        <v>9769</v>
      </c>
      <c r="C1794" s="159" t="s">
        <v>11594</v>
      </c>
      <c r="D1794" s="159" t="s">
        <v>477</v>
      </c>
      <c r="E1794" s="159">
        <v>100</v>
      </c>
      <c r="F1794" s="159" t="s">
        <v>5667</v>
      </c>
      <c r="G1794" s="159" t="s">
        <v>11595</v>
      </c>
    </row>
    <row r="1795" spans="1:7" ht="15.75" customHeight="1">
      <c r="A1795" s="159" t="s">
        <v>9275</v>
      </c>
      <c r="B1795" s="159" t="s">
        <v>9769</v>
      </c>
      <c r="C1795" s="159" t="s">
        <v>11596</v>
      </c>
      <c r="D1795" s="159" t="s">
        <v>477</v>
      </c>
      <c r="E1795" s="159">
        <v>10</v>
      </c>
      <c r="F1795" s="159" t="s">
        <v>5665</v>
      </c>
      <c r="G1795" s="159" t="s">
        <v>165</v>
      </c>
    </row>
    <row r="1796" spans="1:7" ht="15.75" customHeight="1">
      <c r="A1796" s="159" t="s">
        <v>9275</v>
      </c>
      <c r="B1796" s="159" t="s">
        <v>9769</v>
      </c>
      <c r="C1796" s="159" t="s">
        <v>11597</v>
      </c>
      <c r="D1796" s="159" t="s">
        <v>477</v>
      </c>
      <c r="E1796" s="159">
        <v>100</v>
      </c>
      <c r="F1796" s="159" t="s">
        <v>5665</v>
      </c>
      <c r="G1796" s="159" t="s">
        <v>11598</v>
      </c>
    </row>
    <row r="1797" spans="1:7" ht="15.75" customHeight="1">
      <c r="A1797" s="159" t="s">
        <v>9275</v>
      </c>
      <c r="B1797" s="159" t="s">
        <v>9769</v>
      </c>
      <c r="C1797" s="159" t="s">
        <v>11599</v>
      </c>
      <c r="D1797" s="159" t="s">
        <v>3893</v>
      </c>
      <c r="E1797" s="159">
        <v>65535</v>
      </c>
      <c r="F1797" s="159" t="s">
        <v>5665</v>
      </c>
      <c r="G1797" s="159" t="s">
        <v>11600</v>
      </c>
    </row>
    <row r="1798" spans="1:7" ht="15.75" customHeight="1">
      <c r="A1798" s="159" t="s">
        <v>9275</v>
      </c>
      <c r="B1798" s="159" t="s">
        <v>9769</v>
      </c>
      <c r="C1798" s="159" t="s">
        <v>11629</v>
      </c>
      <c r="D1798" s="159" t="s">
        <v>477</v>
      </c>
      <c r="E1798" s="159">
        <v>100</v>
      </c>
      <c r="F1798" s="159" t="s">
        <v>5665</v>
      </c>
      <c r="G1798" s="159" t="s">
        <v>11630</v>
      </c>
    </row>
    <row r="1799" spans="1:7" ht="15.75" customHeight="1">
      <c r="A1799" s="159" t="s">
        <v>9275</v>
      </c>
      <c r="B1799" s="159" t="s">
        <v>9769</v>
      </c>
      <c r="C1799" s="159" t="s">
        <v>11603</v>
      </c>
      <c r="D1799" s="159" t="s">
        <v>3893</v>
      </c>
      <c r="E1799" s="159">
        <v>65535</v>
      </c>
      <c r="F1799" s="159" t="s">
        <v>5665</v>
      </c>
      <c r="G1799" s="159" t="s">
        <v>11604</v>
      </c>
    </row>
    <row r="1800" spans="1:7" ht="15.75" customHeight="1">
      <c r="A1800" s="159" t="s">
        <v>9275</v>
      </c>
      <c r="B1800" s="159" t="s">
        <v>9769</v>
      </c>
      <c r="C1800" s="159" t="s">
        <v>11605</v>
      </c>
      <c r="D1800" s="159" t="s">
        <v>1413</v>
      </c>
      <c r="E1800" s="159"/>
      <c r="F1800" s="159" t="s">
        <v>5667</v>
      </c>
      <c r="G1800" s="159" t="s">
        <v>9761</v>
      </c>
    </row>
    <row r="1801" spans="1:7" ht="15.75" customHeight="1">
      <c r="A1801" s="159" t="s">
        <v>9275</v>
      </c>
      <c r="B1801" s="159" t="s">
        <v>9769</v>
      </c>
      <c r="C1801" s="159" t="s">
        <v>11631</v>
      </c>
      <c r="D1801" s="159" t="s">
        <v>11537</v>
      </c>
      <c r="E1801" s="159">
        <v>65535</v>
      </c>
      <c r="F1801" s="159" t="s">
        <v>5667</v>
      </c>
      <c r="G1801" s="159" t="s">
        <v>11632</v>
      </c>
    </row>
    <row r="1802" spans="1:7" ht="15.75" customHeight="1">
      <c r="A1802" s="159" t="s">
        <v>9275</v>
      </c>
      <c r="B1802" s="159" t="s">
        <v>9769</v>
      </c>
      <c r="C1802" s="159" t="s">
        <v>11633</v>
      </c>
      <c r="D1802" s="159" t="s">
        <v>11537</v>
      </c>
      <c r="E1802" s="159">
        <v>65535</v>
      </c>
      <c r="F1802" s="159" t="s">
        <v>5667</v>
      </c>
      <c r="G1802" s="159" t="s">
        <v>11634</v>
      </c>
    </row>
    <row r="1803" spans="1:7" ht="15.75" customHeight="1">
      <c r="A1803" s="159" t="s">
        <v>9275</v>
      </c>
      <c r="B1803" s="159" t="s">
        <v>9769</v>
      </c>
      <c r="C1803" s="159" t="s">
        <v>11606</v>
      </c>
      <c r="D1803" s="159" t="s">
        <v>11607</v>
      </c>
      <c r="E1803" s="159">
        <v>4294967295</v>
      </c>
      <c r="F1803" s="159" t="s">
        <v>5667</v>
      </c>
      <c r="G1803" s="159" t="s">
        <v>11608</v>
      </c>
    </row>
    <row r="1804" spans="1:7" ht="15.75" customHeight="1">
      <c r="A1804" s="159" t="s">
        <v>9275</v>
      </c>
      <c r="B1804" s="159" t="s">
        <v>9769</v>
      </c>
      <c r="C1804" s="159" t="s">
        <v>11635</v>
      </c>
      <c r="D1804" s="159" t="s">
        <v>477</v>
      </c>
      <c r="E1804" s="159">
        <v>255</v>
      </c>
      <c r="F1804" s="159" t="s">
        <v>5667</v>
      </c>
      <c r="G1804" s="159" t="s">
        <v>11636</v>
      </c>
    </row>
    <row r="1805" spans="1:7" ht="15.75" customHeight="1">
      <c r="A1805" s="159" t="s">
        <v>9275</v>
      </c>
      <c r="B1805" s="159" t="s">
        <v>9769</v>
      </c>
      <c r="C1805" s="159" t="s">
        <v>11637</v>
      </c>
      <c r="D1805" s="159" t="s">
        <v>477</v>
      </c>
      <c r="E1805" s="159">
        <v>255</v>
      </c>
      <c r="F1805" s="159" t="s">
        <v>5667</v>
      </c>
      <c r="G1805" s="159" t="s">
        <v>11638</v>
      </c>
    </row>
    <row r="1806" spans="1:7" ht="15.75" customHeight="1">
      <c r="A1806" s="159" t="s">
        <v>9275</v>
      </c>
      <c r="B1806" s="159" t="s">
        <v>9770</v>
      </c>
      <c r="C1806" s="159" t="s">
        <v>3897</v>
      </c>
      <c r="D1806" s="159" t="s">
        <v>484</v>
      </c>
      <c r="E1806" s="159">
        <v>10</v>
      </c>
      <c r="F1806" s="159" t="s">
        <v>5665</v>
      </c>
      <c r="G1806" s="159" t="s">
        <v>4304</v>
      </c>
    </row>
    <row r="1807" spans="1:7" ht="15.75" customHeight="1">
      <c r="A1807" s="159" t="s">
        <v>9275</v>
      </c>
      <c r="B1807" s="159" t="s">
        <v>9770</v>
      </c>
      <c r="C1807" s="159" t="s">
        <v>11597</v>
      </c>
      <c r="D1807" s="159" t="s">
        <v>477</v>
      </c>
      <c r="E1807" s="159">
        <v>50</v>
      </c>
      <c r="F1807" s="159" t="s">
        <v>5665</v>
      </c>
      <c r="G1807" s="159" t="s">
        <v>11639</v>
      </c>
    </row>
    <row r="1808" spans="1:7" ht="15.75" customHeight="1">
      <c r="A1808" s="159" t="s">
        <v>9275</v>
      </c>
      <c r="B1808" s="159" t="s">
        <v>9770</v>
      </c>
      <c r="C1808" s="159" t="s">
        <v>11640</v>
      </c>
      <c r="D1808" s="159" t="s">
        <v>477</v>
      </c>
      <c r="E1808" s="159">
        <v>10</v>
      </c>
      <c r="F1808" s="159" t="s">
        <v>5665</v>
      </c>
      <c r="G1808" s="159" t="s">
        <v>11641</v>
      </c>
    </row>
    <row r="1809" spans="1:7" ht="15.75" customHeight="1">
      <c r="A1809" s="159" t="s">
        <v>9275</v>
      </c>
      <c r="B1809" s="159" t="s">
        <v>9770</v>
      </c>
      <c r="C1809" s="159" t="s">
        <v>11642</v>
      </c>
      <c r="D1809" s="159" t="s">
        <v>477</v>
      </c>
      <c r="E1809" s="159">
        <v>50</v>
      </c>
      <c r="F1809" s="159" t="s">
        <v>5667</v>
      </c>
      <c r="G1809" s="159" t="s">
        <v>11643</v>
      </c>
    </row>
    <row r="1810" spans="1:7" ht="15.75" customHeight="1">
      <c r="A1810" s="159" t="s">
        <v>9275</v>
      </c>
      <c r="B1810" s="159" t="s">
        <v>9770</v>
      </c>
      <c r="C1810" s="159" t="s">
        <v>11587</v>
      </c>
      <c r="D1810" s="159" t="s">
        <v>477</v>
      </c>
      <c r="E1810" s="159">
        <v>50</v>
      </c>
      <c r="F1810" s="159" t="s">
        <v>5667</v>
      </c>
      <c r="G1810" s="159" t="s">
        <v>11644</v>
      </c>
    </row>
    <row r="1811" spans="1:7" ht="15.75" customHeight="1">
      <c r="A1811" s="159" t="s">
        <v>9275</v>
      </c>
      <c r="B1811" s="159" t="s">
        <v>9770</v>
      </c>
      <c r="C1811" s="159" t="s">
        <v>10328</v>
      </c>
      <c r="D1811" s="159" t="s">
        <v>484</v>
      </c>
      <c r="E1811" s="159">
        <v>10</v>
      </c>
      <c r="F1811" s="159" t="s">
        <v>5665</v>
      </c>
      <c r="G1811" s="159" t="s">
        <v>11584</v>
      </c>
    </row>
    <row r="1812" spans="1:7" ht="15.75" customHeight="1">
      <c r="A1812" s="159" t="s">
        <v>9275</v>
      </c>
      <c r="B1812" s="159" t="s">
        <v>9770</v>
      </c>
      <c r="C1812" s="159" t="s">
        <v>160</v>
      </c>
      <c r="D1812" s="159" t="s">
        <v>11645</v>
      </c>
      <c r="E1812" s="159">
        <v>4294967295</v>
      </c>
      <c r="F1812" s="159" t="s">
        <v>5667</v>
      </c>
      <c r="G1812" s="159" t="s">
        <v>10345</v>
      </c>
    </row>
    <row r="1813" spans="1:7" ht="15.75" customHeight="1">
      <c r="A1813" s="159" t="s">
        <v>9275</v>
      </c>
      <c r="B1813" s="159" t="s">
        <v>9772</v>
      </c>
      <c r="C1813" s="159" t="s">
        <v>11646</v>
      </c>
      <c r="D1813" s="159" t="s">
        <v>484</v>
      </c>
      <c r="E1813" s="159">
        <v>10</v>
      </c>
      <c r="F1813" s="159" t="s">
        <v>5665</v>
      </c>
      <c r="G1813" s="159" t="s">
        <v>11647</v>
      </c>
    </row>
    <row r="1814" spans="1:7" ht="15.75" customHeight="1">
      <c r="A1814" s="159" t="s">
        <v>9275</v>
      </c>
      <c r="B1814" s="159" t="s">
        <v>9772</v>
      </c>
      <c r="C1814" s="159" t="s">
        <v>11648</v>
      </c>
      <c r="D1814" s="159" t="s">
        <v>477</v>
      </c>
      <c r="E1814" s="159">
        <v>255</v>
      </c>
      <c r="F1814" s="159" t="s">
        <v>5665</v>
      </c>
      <c r="G1814" s="159" t="s">
        <v>11649</v>
      </c>
    </row>
    <row r="1815" spans="1:7" ht="15.75" customHeight="1">
      <c r="A1815" s="159" t="s">
        <v>9275</v>
      </c>
      <c r="B1815" s="159" t="s">
        <v>9772</v>
      </c>
      <c r="C1815" s="159" t="s">
        <v>5776</v>
      </c>
      <c r="D1815" s="159" t="s">
        <v>978</v>
      </c>
      <c r="E1815" s="159">
        <v>5</v>
      </c>
      <c r="F1815" s="159" t="s">
        <v>5665</v>
      </c>
      <c r="G1815" s="159" t="s">
        <v>11650</v>
      </c>
    </row>
    <row r="1816" spans="1:7" ht="15.75" customHeight="1">
      <c r="A1816" s="159" t="s">
        <v>9275</v>
      </c>
      <c r="B1816" s="159" t="s">
        <v>9772</v>
      </c>
      <c r="C1816" s="159" t="s">
        <v>11651</v>
      </c>
      <c r="D1816" s="159" t="s">
        <v>10334</v>
      </c>
      <c r="E1816" s="159">
        <v>16777215</v>
      </c>
      <c r="F1816" s="159" t="s">
        <v>5667</v>
      </c>
      <c r="G1816" s="159" t="s">
        <v>11652</v>
      </c>
    </row>
    <row r="1817" spans="1:7" ht="15.75" customHeight="1">
      <c r="A1817" s="159" t="s">
        <v>9275</v>
      </c>
      <c r="B1817" s="159" t="s">
        <v>9772</v>
      </c>
      <c r="C1817" s="159" t="s">
        <v>1412</v>
      </c>
      <c r="D1817" s="159" t="s">
        <v>1413</v>
      </c>
      <c r="E1817" s="159"/>
      <c r="F1817" s="159" t="s">
        <v>5665</v>
      </c>
      <c r="G1817" s="159" t="s">
        <v>11653</v>
      </c>
    </row>
    <row r="1818" spans="1:7" ht="15.75" customHeight="1">
      <c r="A1818" s="159" t="s">
        <v>9275</v>
      </c>
      <c r="B1818" s="159" t="s">
        <v>9774</v>
      </c>
      <c r="C1818" s="159" t="s">
        <v>11654</v>
      </c>
      <c r="D1818" s="159" t="s">
        <v>484</v>
      </c>
      <c r="E1818" s="159">
        <v>10</v>
      </c>
      <c r="F1818" s="159" t="s">
        <v>5665</v>
      </c>
      <c r="G1818" s="159" t="s">
        <v>11655</v>
      </c>
    </row>
    <row r="1819" spans="1:7" ht="15.75" customHeight="1">
      <c r="A1819" s="159" t="s">
        <v>9275</v>
      </c>
      <c r="B1819" s="159" t="s">
        <v>9774</v>
      </c>
      <c r="C1819" s="159" t="s">
        <v>3940</v>
      </c>
      <c r="D1819" s="159" t="s">
        <v>484</v>
      </c>
      <c r="E1819" s="159">
        <v>10</v>
      </c>
      <c r="F1819" s="159" t="s">
        <v>5665</v>
      </c>
      <c r="G1819" s="159" t="s">
        <v>10747</v>
      </c>
    </row>
    <row r="1820" spans="1:7" ht="15.75" customHeight="1">
      <c r="A1820" s="159" t="s">
        <v>9275</v>
      </c>
      <c r="B1820" s="159" t="s">
        <v>9774</v>
      </c>
      <c r="C1820" s="159" t="s">
        <v>11656</v>
      </c>
      <c r="D1820" s="159" t="s">
        <v>477</v>
      </c>
      <c r="E1820" s="159">
        <v>255</v>
      </c>
      <c r="F1820" s="159" t="s">
        <v>5667</v>
      </c>
      <c r="G1820" s="159" t="s">
        <v>11657</v>
      </c>
    </row>
    <row r="1821" spans="1:7" ht="15.75" customHeight="1">
      <c r="A1821" s="159" t="s">
        <v>9275</v>
      </c>
      <c r="B1821" s="159" t="s">
        <v>9774</v>
      </c>
      <c r="C1821" s="159" t="s">
        <v>11658</v>
      </c>
      <c r="D1821" s="159" t="s">
        <v>477</v>
      </c>
      <c r="E1821" s="159">
        <v>255</v>
      </c>
      <c r="F1821" s="159" t="s">
        <v>5667</v>
      </c>
      <c r="G1821" s="159" t="s">
        <v>11659</v>
      </c>
    </row>
    <row r="1822" spans="1:7" ht="15.75" customHeight="1">
      <c r="A1822" s="159" t="s">
        <v>9275</v>
      </c>
      <c r="B1822" s="159" t="s">
        <v>9774</v>
      </c>
      <c r="C1822" s="159" t="s">
        <v>3892</v>
      </c>
      <c r="D1822" s="159" t="s">
        <v>3893</v>
      </c>
      <c r="E1822" s="159">
        <v>65535</v>
      </c>
      <c r="F1822" s="159" t="s">
        <v>5667</v>
      </c>
      <c r="G1822" s="159" t="s">
        <v>11454</v>
      </c>
    </row>
    <row r="1823" spans="1:7" ht="15.75" customHeight="1">
      <c r="A1823" s="159" t="s">
        <v>9275</v>
      </c>
      <c r="B1823" s="159" t="s">
        <v>9776</v>
      </c>
      <c r="C1823" s="159" t="s">
        <v>11660</v>
      </c>
      <c r="D1823" s="159" t="s">
        <v>484</v>
      </c>
      <c r="E1823" s="159">
        <v>10</v>
      </c>
      <c r="F1823" s="159" t="s">
        <v>5665</v>
      </c>
      <c r="G1823" s="159" t="s">
        <v>11661</v>
      </c>
    </row>
    <row r="1824" spans="1:7" ht="15.75" customHeight="1">
      <c r="A1824" s="159" t="s">
        <v>9275</v>
      </c>
      <c r="B1824" s="159" t="s">
        <v>9776</v>
      </c>
      <c r="C1824" s="159" t="s">
        <v>10287</v>
      </c>
      <c r="D1824" s="159" t="s">
        <v>484</v>
      </c>
      <c r="E1824" s="159">
        <v>10</v>
      </c>
      <c r="F1824" s="159" t="s">
        <v>5665</v>
      </c>
      <c r="G1824" s="159" t="s">
        <v>11662</v>
      </c>
    </row>
    <row r="1825" spans="1:7" ht="15.75" customHeight="1">
      <c r="A1825" s="159" t="s">
        <v>9275</v>
      </c>
      <c r="B1825" s="159" t="s">
        <v>9776</v>
      </c>
      <c r="C1825" s="159" t="s">
        <v>11625</v>
      </c>
      <c r="D1825" s="159" t="s">
        <v>477</v>
      </c>
      <c r="E1825" s="159">
        <v>50</v>
      </c>
      <c r="F1825" s="159" t="s">
        <v>5667</v>
      </c>
      <c r="G1825" s="159" t="s">
        <v>11663</v>
      </c>
    </row>
    <row r="1826" spans="1:7" ht="15.75" customHeight="1">
      <c r="A1826" s="159" t="s">
        <v>9275</v>
      </c>
      <c r="B1826" s="159" t="s">
        <v>9776</v>
      </c>
      <c r="C1826" s="159" t="s">
        <v>10290</v>
      </c>
      <c r="D1826" s="159" t="s">
        <v>978</v>
      </c>
      <c r="E1826" s="159">
        <v>5</v>
      </c>
      <c r="F1826" s="159" t="s">
        <v>5665</v>
      </c>
      <c r="G1826" s="159" t="s">
        <v>10507</v>
      </c>
    </row>
    <row r="1827" spans="1:7" ht="15.75" customHeight="1">
      <c r="A1827" s="159" t="s">
        <v>9275</v>
      </c>
      <c r="B1827" s="159" t="s">
        <v>9776</v>
      </c>
      <c r="C1827" s="159" t="s">
        <v>11664</v>
      </c>
      <c r="D1827" s="159" t="s">
        <v>3893</v>
      </c>
      <c r="E1827" s="159">
        <v>65535</v>
      </c>
      <c r="F1827" s="159" t="s">
        <v>5667</v>
      </c>
      <c r="G1827" s="159" t="s">
        <v>11665</v>
      </c>
    </row>
    <row r="1828" spans="1:7" ht="15.75" customHeight="1">
      <c r="A1828" s="159" t="s">
        <v>9275</v>
      </c>
      <c r="B1828" s="159" t="s">
        <v>9778</v>
      </c>
      <c r="C1828" s="159" t="s">
        <v>11582</v>
      </c>
      <c r="D1828" s="159" t="s">
        <v>484</v>
      </c>
      <c r="E1828" s="159">
        <v>10</v>
      </c>
      <c r="F1828" s="159" t="s">
        <v>5665</v>
      </c>
      <c r="G1828" s="159" t="s">
        <v>11666</v>
      </c>
    </row>
    <row r="1829" spans="1:7" ht="15.75" customHeight="1">
      <c r="A1829" s="159" t="s">
        <v>9275</v>
      </c>
      <c r="B1829" s="159" t="s">
        <v>9778</v>
      </c>
      <c r="C1829" s="159" t="s">
        <v>11585</v>
      </c>
      <c r="D1829" s="159" t="s">
        <v>1413</v>
      </c>
      <c r="E1829" s="159"/>
      <c r="F1829" s="159" t="s">
        <v>5665</v>
      </c>
      <c r="G1829" s="159" t="s">
        <v>11667</v>
      </c>
    </row>
    <row r="1830" spans="1:7" ht="15.75" customHeight="1">
      <c r="A1830" s="159" t="s">
        <v>9275</v>
      </c>
      <c r="B1830" s="159" t="s">
        <v>9778</v>
      </c>
      <c r="C1830" s="159" t="s">
        <v>5693</v>
      </c>
      <c r="D1830" s="159" t="s">
        <v>484</v>
      </c>
      <c r="E1830" s="159">
        <v>10</v>
      </c>
      <c r="F1830" s="159" t="s">
        <v>5665</v>
      </c>
      <c r="G1830" s="159" t="s">
        <v>10179</v>
      </c>
    </row>
    <row r="1831" spans="1:7" ht="15.75" customHeight="1">
      <c r="A1831" s="159" t="s">
        <v>9275</v>
      </c>
      <c r="B1831" s="159" t="s">
        <v>9778</v>
      </c>
      <c r="C1831" s="159" t="s">
        <v>11668</v>
      </c>
      <c r="D1831" s="159" t="s">
        <v>477</v>
      </c>
      <c r="E1831" s="159">
        <v>255</v>
      </c>
      <c r="F1831" s="159" t="s">
        <v>5667</v>
      </c>
      <c r="G1831" s="159" t="s">
        <v>11669</v>
      </c>
    </row>
    <row r="1832" spans="1:7" ht="15.75" customHeight="1">
      <c r="A1832" s="159" t="s">
        <v>9275</v>
      </c>
      <c r="B1832" s="159" t="s">
        <v>9778</v>
      </c>
      <c r="C1832" s="159" t="s">
        <v>11670</v>
      </c>
      <c r="D1832" s="159" t="s">
        <v>477</v>
      </c>
      <c r="E1832" s="159">
        <v>255</v>
      </c>
      <c r="F1832" s="159" t="s">
        <v>5667</v>
      </c>
      <c r="G1832" s="159" t="s">
        <v>11671</v>
      </c>
    </row>
    <row r="1833" spans="1:7" ht="15.75" customHeight="1">
      <c r="A1833" s="159" t="s">
        <v>9275</v>
      </c>
      <c r="B1833" s="159" t="s">
        <v>9778</v>
      </c>
      <c r="C1833" s="159" t="s">
        <v>11672</v>
      </c>
      <c r="D1833" s="159" t="s">
        <v>477</v>
      </c>
      <c r="E1833" s="159">
        <v>255</v>
      </c>
      <c r="F1833" s="159" t="s">
        <v>5667</v>
      </c>
      <c r="G1833" s="159" t="s">
        <v>11673</v>
      </c>
    </row>
    <row r="1834" spans="1:7" ht="15.75" customHeight="1">
      <c r="A1834" s="159" t="s">
        <v>9275</v>
      </c>
      <c r="B1834" s="159" t="s">
        <v>9778</v>
      </c>
      <c r="C1834" s="159" t="s">
        <v>11674</v>
      </c>
      <c r="D1834" s="159" t="s">
        <v>477</v>
      </c>
      <c r="E1834" s="159">
        <v>255</v>
      </c>
      <c r="F1834" s="159" t="s">
        <v>5665</v>
      </c>
      <c r="G1834" s="159" t="s">
        <v>11675</v>
      </c>
    </row>
    <row r="1835" spans="1:7" ht="15.75" customHeight="1">
      <c r="A1835" s="159" t="s">
        <v>9275</v>
      </c>
      <c r="B1835" s="159" t="s">
        <v>9780</v>
      </c>
      <c r="C1835" s="159" t="s">
        <v>3897</v>
      </c>
      <c r="D1835" s="159" t="s">
        <v>484</v>
      </c>
      <c r="E1835" s="159">
        <v>10</v>
      </c>
      <c r="F1835" s="159" t="s">
        <v>5665</v>
      </c>
      <c r="G1835" s="159" t="s">
        <v>325</v>
      </c>
    </row>
    <row r="1836" spans="1:7" ht="15.75" customHeight="1">
      <c r="A1836" s="159" t="s">
        <v>9275</v>
      </c>
      <c r="B1836" s="159" t="s">
        <v>9780</v>
      </c>
      <c r="C1836" s="159" t="s">
        <v>11597</v>
      </c>
      <c r="D1836" s="159" t="s">
        <v>477</v>
      </c>
      <c r="E1836" s="159">
        <v>50</v>
      </c>
      <c r="F1836" s="159" t="s">
        <v>5665</v>
      </c>
      <c r="G1836" s="159" t="s">
        <v>11639</v>
      </c>
    </row>
    <row r="1837" spans="1:7" ht="15.75" customHeight="1">
      <c r="A1837" s="159" t="s">
        <v>9275</v>
      </c>
      <c r="B1837" s="159" t="s">
        <v>9780</v>
      </c>
      <c r="C1837" s="159" t="s">
        <v>11640</v>
      </c>
      <c r="D1837" s="159" t="s">
        <v>477</v>
      </c>
      <c r="E1837" s="159">
        <v>10</v>
      </c>
      <c r="F1837" s="159" t="s">
        <v>5665</v>
      </c>
      <c r="G1837" s="159" t="s">
        <v>11641</v>
      </c>
    </row>
    <row r="1838" spans="1:7" ht="15.75" customHeight="1">
      <c r="A1838" s="159" t="s">
        <v>9275</v>
      </c>
      <c r="B1838" s="159" t="s">
        <v>9780</v>
      </c>
      <c r="C1838" s="159" t="s">
        <v>160</v>
      </c>
      <c r="D1838" s="159" t="s">
        <v>11645</v>
      </c>
      <c r="E1838" s="159">
        <v>4294967295</v>
      </c>
      <c r="F1838" s="159" t="s">
        <v>5667</v>
      </c>
      <c r="G1838" s="159" t="s">
        <v>10345</v>
      </c>
    </row>
    <row r="1839" spans="1:7" ht="15.75" customHeight="1">
      <c r="A1839" s="159" t="s">
        <v>9275</v>
      </c>
      <c r="B1839" s="159" t="s">
        <v>9782</v>
      </c>
      <c r="C1839" s="159" t="s">
        <v>5695</v>
      </c>
      <c r="D1839" s="159" t="s">
        <v>484</v>
      </c>
      <c r="E1839" s="159">
        <v>10</v>
      </c>
      <c r="F1839" s="159" t="s">
        <v>5665</v>
      </c>
      <c r="G1839" s="159" t="s">
        <v>11676</v>
      </c>
    </row>
    <row r="1840" spans="1:7" ht="15.75" customHeight="1">
      <c r="A1840" s="159" t="s">
        <v>9275</v>
      </c>
      <c r="B1840" s="159" t="s">
        <v>9782</v>
      </c>
      <c r="C1840" s="159" t="s">
        <v>11677</v>
      </c>
      <c r="D1840" s="159" t="s">
        <v>477</v>
      </c>
      <c r="E1840" s="159">
        <v>255</v>
      </c>
      <c r="F1840" s="159" t="s">
        <v>5667</v>
      </c>
      <c r="G1840" s="159" t="s">
        <v>11678</v>
      </c>
    </row>
    <row r="1841" spans="1:7" ht="15.75" customHeight="1">
      <c r="A1841" s="159" t="s">
        <v>9275</v>
      </c>
      <c r="B1841" s="159" t="s">
        <v>9782</v>
      </c>
      <c r="C1841" s="159" t="s">
        <v>1419</v>
      </c>
      <c r="D1841" s="159" t="s">
        <v>477</v>
      </c>
      <c r="E1841" s="159">
        <v>16</v>
      </c>
      <c r="F1841" s="159" t="s">
        <v>5667</v>
      </c>
      <c r="G1841" s="159" t="s">
        <v>11679</v>
      </c>
    </row>
    <row r="1842" spans="1:7" ht="15.75" customHeight="1">
      <c r="A1842" s="159" t="s">
        <v>9275</v>
      </c>
      <c r="B1842" s="159" t="s">
        <v>9782</v>
      </c>
      <c r="C1842" s="159" t="s">
        <v>11680</v>
      </c>
      <c r="D1842" s="159" t="s">
        <v>538</v>
      </c>
      <c r="E1842" s="159"/>
      <c r="F1842" s="159" t="s">
        <v>5667</v>
      </c>
      <c r="G1842" s="159" t="s">
        <v>11679</v>
      </c>
    </row>
    <row r="1843" spans="1:7" ht="15.75" customHeight="1">
      <c r="A1843" s="159" t="s">
        <v>9275</v>
      </c>
      <c r="B1843" s="159" t="s">
        <v>9782</v>
      </c>
      <c r="C1843" s="159" t="s">
        <v>11681</v>
      </c>
      <c r="D1843" s="159" t="s">
        <v>477</v>
      </c>
      <c r="E1843" s="159">
        <v>32</v>
      </c>
      <c r="F1843" s="159" t="s">
        <v>5665</v>
      </c>
      <c r="G1843" s="159" t="s">
        <v>11682</v>
      </c>
    </row>
    <row r="1844" spans="1:7" ht="15.75" customHeight="1">
      <c r="A1844" s="159" t="s">
        <v>9275</v>
      </c>
      <c r="B1844" s="159" t="s">
        <v>9784</v>
      </c>
      <c r="C1844" s="159" t="s">
        <v>11683</v>
      </c>
      <c r="D1844" s="159" t="s">
        <v>484</v>
      </c>
      <c r="E1844" s="159">
        <v>10</v>
      </c>
      <c r="F1844" s="159" t="s">
        <v>5665</v>
      </c>
      <c r="G1844" s="159" t="s">
        <v>11684</v>
      </c>
    </row>
    <row r="1845" spans="1:7" ht="15.75" customHeight="1">
      <c r="A1845" s="159" t="s">
        <v>9275</v>
      </c>
      <c r="B1845" s="159" t="s">
        <v>9784</v>
      </c>
      <c r="C1845" s="159" t="s">
        <v>156</v>
      </c>
      <c r="D1845" s="159" t="s">
        <v>477</v>
      </c>
      <c r="E1845" s="159">
        <v>255</v>
      </c>
      <c r="F1845" s="159" t="s">
        <v>5665</v>
      </c>
      <c r="G1845" s="159" t="s">
        <v>11685</v>
      </c>
    </row>
    <row r="1846" spans="1:7" ht="15.75" customHeight="1">
      <c r="A1846" s="159" t="s">
        <v>9275</v>
      </c>
      <c r="B1846" s="159" t="s">
        <v>9784</v>
      </c>
      <c r="C1846" s="159" t="s">
        <v>3545</v>
      </c>
      <c r="D1846" s="159" t="s">
        <v>477</v>
      </c>
      <c r="E1846" s="159">
        <v>255</v>
      </c>
      <c r="F1846" s="159" t="s">
        <v>5665</v>
      </c>
      <c r="G1846" s="159" t="s">
        <v>11686</v>
      </c>
    </row>
    <row r="1847" spans="1:7" ht="15.75" customHeight="1">
      <c r="A1847" s="159" t="s">
        <v>9275</v>
      </c>
      <c r="B1847" s="159" t="s">
        <v>9784</v>
      </c>
      <c r="C1847" s="159" t="s">
        <v>11687</v>
      </c>
      <c r="D1847" s="159" t="s">
        <v>477</v>
      </c>
      <c r="E1847" s="159">
        <v>255</v>
      </c>
      <c r="F1847" s="159" t="s">
        <v>5667</v>
      </c>
      <c r="G1847" s="159" t="s">
        <v>11688</v>
      </c>
    </row>
    <row r="1848" spans="1:7" ht="15.75" customHeight="1">
      <c r="A1848" s="159" t="s">
        <v>9275</v>
      </c>
      <c r="B1848" s="159" t="s">
        <v>9784</v>
      </c>
      <c r="C1848" s="159" t="s">
        <v>1419</v>
      </c>
      <c r="D1848" s="159" t="s">
        <v>978</v>
      </c>
      <c r="E1848" s="159">
        <v>5</v>
      </c>
      <c r="F1848" s="159" t="s">
        <v>5665</v>
      </c>
      <c r="G1848" s="159" t="s">
        <v>11689</v>
      </c>
    </row>
    <row r="1849" spans="1:7" ht="15.75" customHeight="1">
      <c r="A1849" s="159" t="s">
        <v>9275</v>
      </c>
      <c r="B1849" s="159" t="s">
        <v>9784</v>
      </c>
      <c r="C1849" s="159" t="s">
        <v>11690</v>
      </c>
      <c r="D1849" s="159" t="s">
        <v>484</v>
      </c>
      <c r="E1849" s="159">
        <v>10</v>
      </c>
      <c r="F1849" s="159" t="s">
        <v>5667</v>
      </c>
      <c r="G1849" s="159" t="s">
        <v>11691</v>
      </c>
    </row>
    <row r="1850" spans="1:7" ht="15.75" customHeight="1">
      <c r="A1850" s="159" t="s">
        <v>9275</v>
      </c>
      <c r="B1850" s="159" t="s">
        <v>9784</v>
      </c>
      <c r="C1850" s="159" t="s">
        <v>10190</v>
      </c>
      <c r="D1850" s="159" t="s">
        <v>1413</v>
      </c>
      <c r="E1850" s="159"/>
      <c r="F1850" s="159" t="s">
        <v>5665</v>
      </c>
      <c r="G1850" s="159" t="s">
        <v>10810</v>
      </c>
    </row>
    <row r="1851" spans="1:7" ht="15.75" customHeight="1">
      <c r="A1851" s="159" t="s">
        <v>9275</v>
      </c>
      <c r="B1851" s="159" t="s">
        <v>9784</v>
      </c>
      <c r="C1851" s="159" t="s">
        <v>10242</v>
      </c>
      <c r="D1851" s="159" t="s">
        <v>1413</v>
      </c>
      <c r="E1851" s="159"/>
      <c r="F1851" s="159" t="s">
        <v>5665</v>
      </c>
      <c r="G1851" s="159" t="s">
        <v>10243</v>
      </c>
    </row>
    <row r="1852" spans="1:7" ht="15.75" customHeight="1">
      <c r="A1852" s="159" t="s">
        <v>9275</v>
      </c>
      <c r="B1852" s="159" t="s">
        <v>9784</v>
      </c>
      <c r="C1852" s="159" t="s">
        <v>11692</v>
      </c>
      <c r="D1852" s="159" t="s">
        <v>978</v>
      </c>
      <c r="E1852" s="159">
        <v>5</v>
      </c>
      <c r="F1852" s="159" t="s">
        <v>5665</v>
      </c>
      <c r="G1852" s="159" t="s">
        <v>11693</v>
      </c>
    </row>
    <row r="1853" spans="1:7" ht="15.75" customHeight="1">
      <c r="A1853" s="159" t="s">
        <v>9275</v>
      </c>
      <c r="B1853" s="159" t="s">
        <v>9784</v>
      </c>
      <c r="C1853" s="159" t="s">
        <v>11694</v>
      </c>
      <c r="D1853" s="159" t="s">
        <v>477</v>
      </c>
      <c r="E1853" s="159">
        <v>255</v>
      </c>
      <c r="F1853" s="159" t="s">
        <v>5667</v>
      </c>
      <c r="G1853" s="159" t="s">
        <v>11695</v>
      </c>
    </row>
    <row r="1854" spans="1:7" ht="15.75" customHeight="1">
      <c r="A1854" s="159" t="s">
        <v>9275</v>
      </c>
      <c r="B1854" s="159" t="s">
        <v>9785</v>
      </c>
      <c r="C1854" s="159" t="s">
        <v>10285</v>
      </c>
      <c r="D1854" s="159" t="s">
        <v>484</v>
      </c>
      <c r="E1854" s="159">
        <v>10</v>
      </c>
      <c r="F1854" s="159" t="s">
        <v>5665</v>
      </c>
      <c r="G1854" s="159" t="s">
        <v>10286</v>
      </c>
    </row>
    <row r="1855" spans="1:7" ht="15.75" customHeight="1">
      <c r="A1855" s="159" t="s">
        <v>9275</v>
      </c>
      <c r="B1855" s="159" t="s">
        <v>9785</v>
      </c>
      <c r="C1855" s="159" t="s">
        <v>10287</v>
      </c>
      <c r="D1855" s="159" t="s">
        <v>484</v>
      </c>
      <c r="E1855" s="159">
        <v>10</v>
      </c>
      <c r="F1855" s="159" t="s">
        <v>5665</v>
      </c>
      <c r="G1855" s="159" t="s">
        <v>10237</v>
      </c>
    </row>
    <row r="1856" spans="1:7" ht="15.75" customHeight="1">
      <c r="A1856" s="159" t="s">
        <v>9275</v>
      </c>
      <c r="B1856" s="159" t="s">
        <v>9786</v>
      </c>
      <c r="C1856" s="159" t="s">
        <v>11696</v>
      </c>
      <c r="D1856" s="159" t="s">
        <v>477</v>
      </c>
      <c r="E1856" s="159">
        <v>64</v>
      </c>
      <c r="F1856" s="159" t="s">
        <v>5665</v>
      </c>
      <c r="G1856" s="159"/>
    </row>
    <row r="1857" spans="1:7" ht="15.75" customHeight="1">
      <c r="A1857" s="159" t="s">
        <v>9275</v>
      </c>
      <c r="B1857" s="159" t="s">
        <v>9786</v>
      </c>
      <c r="C1857" s="159" t="s">
        <v>3947</v>
      </c>
      <c r="D1857" s="159" t="s">
        <v>477</v>
      </c>
      <c r="E1857" s="159">
        <v>64</v>
      </c>
      <c r="F1857" s="159" t="s">
        <v>5665</v>
      </c>
      <c r="G1857" s="159"/>
    </row>
    <row r="1858" spans="1:7" ht="15.75" customHeight="1">
      <c r="A1858" s="159" t="s">
        <v>9275</v>
      </c>
      <c r="B1858" s="159" t="s">
        <v>9786</v>
      </c>
      <c r="C1858" s="159" t="s">
        <v>3944</v>
      </c>
      <c r="D1858" s="159" t="s">
        <v>477</v>
      </c>
      <c r="E1858" s="159">
        <v>180</v>
      </c>
      <c r="F1858" s="159" t="s">
        <v>5665</v>
      </c>
      <c r="G1858" s="159"/>
    </row>
    <row r="1859" spans="1:7" ht="15.75" customHeight="1">
      <c r="A1859" s="159" t="s">
        <v>9275</v>
      </c>
      <c r="B1859" s="159" t="s">
        <v>9786</v>
      </c>
      <c r="C1859" s="159" t="s">
        <v>3946</v>
      </c>
      <c r="D1859" s="159" t="s">
        <v>477</v>
      </c>
      <c r="E1859" s="159">
        <v>100</v>
      </c>
      <c r="F1859" s="159" t="s">
        <v>5665</v>
      </c>
      <c r="G1859" s="159"/>
    </row>
    <row r="1860" spans="1:7" ht="15.75" customHeight="1">
      <c r="A1860" s="159" t="s">
        <v>9275</v>
      </c>
      <c r="B1860" s="159" t="s">
        <v>9786</v>
      </c>
      <c r="C1860" s="159" t="s">
        <v>5099</v>
      </c>
      <c r="D1860" s="159" t="s">
        <v>477</v>
      </c>
      <c r="E1860" s="159">
        <v>64</v>
      </c>
      <c r="F1860" s="159" t="s">
        <v>5665</v>
      </c>
      <c r="G1860" s="159"/>
    </row>
    <row r="1861" spans="1:7" ht="15.75" customHeight="1">
      <c r="A1861" s="159" t="s">
        <v>9275</v>
      </c>
      <c r="B1861" s="159" t="s">
        <v>9786</v>
      </c>
      <c r="C1861" s="159" t="s">
        <v>2225</v>
      </c>
      <c r="D1861" s="159" t="s">
        <v>7278</v>
      </c>
      <c r="E1861" s="159">
        <v>22</v>
      </c>
      <c r="F1861" s="159" t="s">
        <v>5665</v>
      </c>
      <c r="G1861" s="159"/>
    </row>
    <row r="1862" spans="1:7" ht="15.75" customHeight="1">
      <c r="A1862" s="159" t="s">
        <v>9275</v>
      </c>
      <c r="B1862" s="159" t="s">
        <v>9786</v>
      </c>
      <c r="C1862" s="159" t="s">
        <v>2226</v>
      </c>
      <c r="D1862" s="159" t="s">
        <v>7278</v>
      </c>
      <c r="E1862" s="159">
        <v>22</v>
      </c>
      <c r="F1862" s="159" t="s">
        <v>5665</v>
      </c>
      <c r="G1862" s="159"/>
    </row>
    <row r="1863" spans="1:7" ht="15.75" customHeight="1">
      <c r="A1863" s="159" t="s">
        <v>9275</v>
      </c>
      <c r="B1863" s="159" t="s">
        <v>9787</v>
      </c>
      <c r="C1863" s="159" t="s">
        <v>11697</v>
      </c>
      <c r="D1863" s="159" t="s">
        <v>477</v>
      </c>
      <c r="E1863" s="159">
        <v>255</v>
      </c>
      <c r="F1863" s="159" t="s">
        <v>5665</v>
      </c>
      <c r="G1863" s="159"/>
    </row>
    <row r="1864" spans="1:7" ht="15.75" customHeight="1">
      <c r="A1864" s="159" t="s">
        <v>9275</v>
      </c>
      <c r="B1864" s="159" t="s">
        <v>9787</v>
      </c>
      <c r="C1864" s="159" t="s">
        <v>5624</v>
      </c>
      <c r="D1864" s="159" t="s">
        <v>477</v>
      </c>
      <c r="E1864" s="159">
        <v>64</v>
      </c>
      <c r="F1864" s="159" t="s">
        <v>5665</v>
      </c>
      <c r="G1864" s="159"/>
    </row>
    <row r="1865" spans="1:7" ht="15.75" customHeight="1">
      <c r="A1865" s="159" t="s">
        <v>9275</v>
      </c>
      <c r="B1865" s="159" t="s">
        <v>9787</v>
      </c>
      <c r="C1865" s="159" t="s">
        <v>11034</v>
      </c>
      <c r="D1865" s="159" t="s">
        <v>481</v>
      </c>
      <c r="E1865" s="159">
        <v>12</v>
      </c>
      <c r="F1865" s="159" t="s">
        <v>5667</v>
      </c>
      <c r="G1865" s="159"/>
    </row>
    <row r="1866" spans="1:7" ht="15.75" customHeight="1">
      <c r="A1866" s="159" t="s">
        <v>9275</v>
      </c>
      <c r="B1866" s="159" t="s">
        <v>9788</v>
      </c>
      <c r="C1866" s="159" t="s">
        <v>3635</v>
      </c>
      <c r="D1866" s="159" t="s">
        <v>484</v>
      </c>
      <c r="E1866" s="159">
        <v>10</v>
      </c>
      <c r="F1866" s="159" t="s">
        <v>5665</v>
      </c>
      <c r="G1866" s="159" t="s">
        <v>10722</v>
      </c>
    </row>
    <row r="1867" spans="1:7" ht="15.75" customHeight="1">
      <c r="A1867" s="159" t="s">
        <v>9275</v>
      </c>
      <c r="B1867" s="159" t="s">
        <v>9788</v>
      </c>
      <c r="C1867" s="159" t="s">
        <v>11698</v>
      </c>
      <c r="D1867" s="159" t="s">
        <v>978</v>
      </c>
      <c r="E1867" s="159">
        <v>5</v>
      </c>
      <c r="F1867" s="159" t="s">
        <v>5665</v>
      </c>
      <c r="G1867" s="159" t="s">
        <v>11699</v>
      </c>
    </row>
    <row r="1868" spans="1:7" ht="15.75" customHeight="1">
      <c r="A1868" s="159" t="s">
        <v>9275</v>
      </c>
      <c r="B1868" s="159" t="s">
        <v>9788</v>
      </c>
      <c r="C1868" s="159" t="s">
        <v>11700</v>
      </c>
      <c r="D1868" s="159" t="s">
        <v>978</v>
      </c>
      <c r="E1868" s="159">
        <v>5</v>
      </c>
      <c r="F1868" s="159" t="s">
        <v>5665</v>
      </c>
      <c r="G1868" s="159" t="s">
        <v>11701</v>
      </c>
    </row>
    <row r="1869" spans="1:7" ht="15.75" customHeight="1">
      <c r="A1869" s="159" t="s">
        <v>9275</v>
      </c>
      <c r="B1869" s="159" t="s">
        <v>9789</v>
      </c>
      <c r="C1869" s="159" t="s">
        <v>3635</v>
      </c>
      <c r="D1869" s="159" t="s">
        <v>484</v>
      </c>
      <c r="E1869" s="159">
        <v>10</v>
      </c>
      <c r="F1869" s="159" t="s">
        <v>5665</v>
      </c>
      <c r="G1869" s="159" t="s">
        <v>10722</v>
      </c>
    </row>
    <row r="1870" spans="1:7" ht="15.75" customHeight="1">
      <c r="A1870" s="159" t="s">
        <v>9275</v>
      </c>
      <c r="B1870" s="159" t="s">
        <v>9789</v>
      </c>
      <c r="C1870" s="159" t="s">
        <v>11702</v>
      </c>
      <c r="D1870" s="159" t="s">
        <v>477</v>
      </c>
      <c r="E1870" s="159">
        <v>255</v>
      </c>
      <c r="F1870" s="159" t="s">
        <v>5665</v>
      </c>
      <c r="G1870" s="159" t="s">
        <v>11703</v>
      </c>
    </row>
    <row r="1871" spans="1:7" ht="15.75" customHeight="1">
      <c r="A1871" s="159" t="s">
        <v>9275</v>
      </c>
      <c r="B1871" s="159" t="s">
        <v>9790</v>
      </c>
      <c r="C1871" s="159" t="s">
        <v>11704</v>
      </c>
      <c r="D1871" s="159" t="s">
        <v>484</v>
      </c>
      <c r="E1871" s="159">
        <v>10</v>
      </c>
      <c r="F1871" s="159" t="s">
        <v>5665</v>
      </c>
      <c r="G1871" s="159" t="s">
        <v>11705</v>
      </c>
    </row>
    <row r="1872" spans="1:7" ht="15.75" customHeight="1">
      <c r="A1872" s="159" t="s">
        <v>9275</v>
      </c>
      <c r="B1872" s="159" t="s">
        <v>9790</v>
      </c>
      <c r="C1872" s="159" t="s">
        <v>11702</v>
      </c>
      <c r="D1872" s="159" t="s">
        <v>477</v>
      </c>
      <c r="E1872" s="159">
        <v>255</v>
      </c>
      <c r="F1872" s="159" t="s">
        <v>5665</v>
      </c>
      <c r="G1872" s="159" t="s">
        <v>11703</v>
      </c>
    </row>
    <row r="1873" spans="1:7" ht="15.75" customHeight="1">
      <c r="A1873" s="159" t="s">
        <v>9275</v>
      </c>
      <c r="B1873" s="159" t="s">
        <v>9791</v>
      </c>
      <c r="C1873" s="159" t="s">
        <v>11706</v>
      </c>
      <c r="D1873" s="159" t="s">
        <v>484</v>
      </c>
      <c r="E1873" s="159">
        <v>10</v>
      </c>
      <c r="F1873" s="159" t="s">
        <v>5665</v>
      </c>
      <c r="G1873" s="159"/>
    </row>
    <row r="1874" spans="1:7" ht="15.75" customHeight="1">
      <c r="A1874" s="159" t="s">
        <v>9275</v>
      </c>
      <c r="B1874" s="159" t="s">
        <v>9791</v>
      </c>
      <c r="C1874" s="159" t="s">
        <v>10902</v>
      </c>
      <c r="D1874" s="159" t="s">
        <v>484</v>
      </c>
      <c r="E1874" s="159">
        <v>10</v>
      </c>
      <c r="F1874" s="159" t="s">
        <v>5665</v>
      </c>
      <c r="G1874" s="159"/>
    </row>
    <row r="1875" spans="1:7" ht="15.75" customHeight="1">
      <c r="A1875" s="159" t="s">
        <v>9275</v>
      </c>
      <c r="B1875" s="159" t="s">
        <v>9791</v>
      </c>
      <c r="C1875" s="159" t="s">
        <v>5624</v>
      </c>
      <c r="D1875" s="159" t="s">
        <v>477</v>
      </c>
      <c r="E1875" s="159">
        <v>64</v>
      </c>
      <c r="F1875" s="159" t="s">
        <v>5665</v>
      </c>
      <c r="G1875" s="159"/>
    </row>
    <row r="1876" spans="1:7" ht="15.75" customHeight="1">
      <c r="A1876" s="159" t="s">
        <v>9275</v>
      </c>
      <c r="B1876" s="159" t="s">
        <v>9791</v>
      </c>
      <c r="C1876" s="159" t="s">
        <v>6000</v>
      </c>
      <c r="D1876" s="159" t="s">
        <v>481</v>
      </c>
      <c r="E1876" s="159">
        <v>10</v>
      </c>
      <c r="F1876" s="159" t="s">
        <v>5665</v>
      </c>
      <c r="G1876" s="159"/>
    </row>
    <row r="1877" spans="1:7" ht="15.75" customHeight="1">
      <c r="A1877" s="159" t="s">
        <v>9275</v>
      </c>
      <c r="B1877" s="159" t="s">
        <v>9791</v>
      </c>
      <c r="C1877" s="159" t="s">
        <v>10927</v>
      </c>
      <c r="D1877" s="159" t="s">
        <v>477</v>
      </c>
      <c r="E1877" s="159">
        <v>255</v>
      </c>
      <c r="F1877" s="159" t="s">
        <v>5667</v>
      </c>
      <c r="G1877" s="159"/>
    </row>
    <row r="1878" spans="1:7" ht="15.75" customHeight="1">
      <c r="A1878" s="159" t="s">
        <v>9275</v>
      </c>
      <c r="B1878" s="159" t="s">
        <v>9792</v>
      </c>
      <c r="C1878" s="159" t="s">
        <v>11707</v>
      </c>
      <c r="D1878" s="159" t="s">
        <v>484</v>
      </c>
      <c r="E1878" s="159">
        <v>10</v>
      </c>
      <c r="F1878" s="159" t="s">
        <v>5665</v>
      </c>
      <c r="G1878" s="159"/>
    </row>
    <row r="1879" spans="1:7" ht="15.75" customHeight="1">
      <c r="A1879" s="159" t="s">
        <v>9275</v>
      </c>
      <c r="B1879" s="159" t="s">
        <v>9792</v>
      </c>
      <c r="C1879" s="159" t="s">
        <v>11697</v>
      </c>
      <c r="D1879" s="159" t="s">
        <v>477</v>
      </c>
      <c r="E1879" s="159">
        <v>255</v>
      </c>
      <c r="F1879" s="159" t="s">
        <v>5665</v>
      </c>
      <c r="G1879" s="159"/>
    </row>
    <row r="1880" spans="1:7" ht="15.75" customHeight="1">
      <c r="A1880" s="159" t="s">
        <v>9275</v>
      </c>
      <c r="B1880" s="159" t="s">
        <v>9793</v>
      </c>
      <c r="C1880" s="159" t="s">
        <v>11697</v>
      </c>
      <c r="D1880" s="159" t="s">
        <v>477</v>
      </c>
      <c r="E1880" s="159">
        <v>255</v>
      </c>
      <c r="F1880" s="159" t="s">
        <v>5665</v>
      </c>
      <c r="G1880" s="159"/>
    </row>
    <row r="1881" spans="1:7" ht="15.75" customHeight="1">
      <c r="A1881" s="159" t="s">
        <v>9275</v>
      </c>
      <c r="B1881" s="159" t="s">
        <v>9793</v>
      </c>
      <c r="C1881" s="159" t="s">
        <v>156</v>
      </c>
      <c r="D1881" s="159" t="s">
        <v>477</v>
      </c>
      <c r="E1881" s="159">
        <v>255</v>
      </c>
      <c r="F1881" s="159" t="s">
        <v>5665</v>
      </c>
      <c r="G1881" s="159"/>
    </row>
    <row r="1882" spans="1:7" ht="15.75" customHeight="1">
      <c r="A1882" s="159" t="s">
        <v>9275</v>
      </c>
      <c r="B1882" s="159" t="s">
        <v>9793</v>
      </c>
      <c r="C1882" s="159" t="s">
        <v>10395</v>
      </c>
      <c r="D1882" s="159" t="s">
        <v>978</v>
      </c>
      <c r="E1882" s="159">
        <v>5</v>
      </c>
      <c r="F1882" s="159" t="s">
        <v>5665</v>
      </c>
      <c r="G1882" s="159"/>
    </row>
    <row r="1883" spans="1:7" ht="15.75" customHeight="1">
      <c r="A1883" s="159" t="s">
        <v>9275</v>
      </c>
      <c r="B1883" s="159" t="s">
        <v>9793</v>
      </c>
      <c r="C1883" s="159" t="s">
        <v>5891</v>
      </c>
      <c r="D1883" s="159" t="s">
        <v>3893</v>
      </c>
      <c r="E1883" s="159">
        <v>65535</v>
      </c>
      <c r="F1883" s="159" t="s">
        <v>5667</v>
      </c>
      <c r="G1883" s="159"/>
    </row>
    <row r="1884" spans="1:7" ht="15.75" customHeight="1">
      <c r="A1884" s="159" t="s">
        <v>9275</v>
      </c>
      <c r="B1884" s="159" t="s">
        <v>9793</v>
      </c>
      <c r="C1884" s="159" t="s">
        <v>2225</v>
      </c>
      <c r="D1884" s="159" t="s">
        <v>481</v>
      </c>
      <c r="E1884" s="159">
        <v>8</v>
      </c>
      <c r="F1884" s="159" t="s">
        <v>5667</v>
      </c>
      <c r="G1884" s="159"/>
    </row>
    <row r="1885" spans="1:7" ht="15.75" customHeight="1">
      <c r="A1885" s="159" t="s">
        <v>9275</v>
      </c>
      <c r="B1885" s="159" t="s">
        <v>9793</v>
      </c>
      <c r="C1885" s="159" t="s">
        <v>2226</v>
      </c>
      <c r="D1885" s="159" t="s">
        <v>481</v>
      </c>
      <c r="E1885" s="159">
        <v>9</v>
      </c>
      <c r="F1885" s="159" t="s">
        <v>5667</v>
      </c>
      <c r="G1885" s="159"/>
    </row>
    <row r="1886" spans="1:7" ht="15.75" customHeight="1">
      <c r="A1886" s="159" t="s">
        <v>9275</v>
      </c>
      <c r="B1886" s="159" t="s">
        <v>9793</v>
      </c>
      <c r="C1886" s="159" t="s">
        <v>3945</v>
      </c>
      <c r="D1886" s="159" t="s">
        <v>477</v>
      </c>
      <c r="E1886" s="159">
        <v>2</v>
      </c>
      <c r="F1886" s="159" t="s">
        <v>5665</v>
      </c>
      <c r="G1886" s="159"/>
    </row>
    <row r="1887" spans="1:7" ht="15.75" customHeight="1">
      <c r="A1887" s="159" t="s">
        <v>9275</v>
      </c>
      <c r="B1887" s="159" t="s">
        <v>9793</v>
      </c>
      <c r="C1887" s="159" t="s">
        <v>11165</v>
      </c>
      <c r="D1887" s="159" t="s">
        <v>484</v>
      </c>
      <c r="E1887" s="159">
        <v>10</v>
      </c>
      <c r="F1887" s="159" t="s">
        <v>5667</v>
      </c>
      <c r="G1887" s="159"/>
    </row>
    <row r="1888" spans="1:7" ht="15.75" customHeight="1">
      <c r="A1888" s="159" t="s">
        <v>9275</v>
      </c>
      <c r="B1888" s="159" t="s">
        <v>9793</v>
      </c>
      <c r="C1888" s="159" t="s">
        <v>3946</v>
      </c>
      <c r="D1888" s="159" t="s">
        <v>477</v>
      </c>
      <c r="E1888" s="159">
        <v>255</v>
      </c>
      <c r="F1888" s="159" t="s">
        <v>5667</v>
      </c>
      <c r="G1888" s="159"/>
    </row>
    <row r="1889" spans="1:7" ht="15.75" customHeight="1">
      <c r="A1889" s="159" t="s">
        <v>9275</v>
      </c>
      <c r="B1889" s="159" t="s">
        <v>9793</v>
      </c>
      <c r="C1889" s="159" t="s">
        <v>3944</v>
      </c>
      <c r="D1889" s="159" t="s">
        <v>477</v>
      </c>
      <c r="E1889" s="159">
        <v>255</v>
      </c>
      <c r="F1889" s="159" t="s">
        <v>5667</v>
      </c>
      <c r="G1889" s="159"/>
    </row>
    <row r="1890" spans="1:7" ht="15.75" customHeight="1">
      <c r="A1890" s="159" t="s">
        <v>9275</v>
      </c>
      <c r="B1890" s="159" t="s">
        <v>9793</v>
      </c>
      <c r="C1890" s="159" t="s">
        <v>3943</v>
      </c>
      <c r="D1890" s="159" t="s">
        <v>477</v>
      </c>
      <c r="E1890" s="159">
        <v>255</v>
      </c>
      <c r="F1890" s="159" t="s">
        <v>5667</v>
      </c>
      <c r="G1890" s="159"/>
    </row>
    <row r="1891" spans="1:7" ht="15.75" customHeight="1">
      <c r="A1891" s="159" t="s">
        <v>9275</v>
      </c>
      <c r="B1891" s="159" t="s">
        <v>9793</v>
      </c>
      <c r="C1891" s="159" t="s">
        <v>3947</v>
      </c>
      <c r="D1891" s="159" t="s">
        <v>477</v>
      </c>
      <c r="E1891" s="159">
        <v>255</v>
      </c>
      <c r="F1891" s="159" t="s">
        <v>5665</v>
      </c>
      <c r="G1891" s="159"/>
    </row>
    <row r="1892" spans="1:7" ht="15.75" customHeight="1">
      <c r="A1892" s="159" t="s">
        <v>9275</v>
      </c>
      <c r="B1892" s="159" t="s">
        <v>9793</v>
      </c>
      <c r="C1892" s="159" t="s">
        <v>1660</v>
      </c>
      <c r="D1892" s="159" t="s">
        <v>477</v>
      </c>
      <c r="E1892" s="159">
        <v>255</v>
      </c>
      <c r="F1892" s="159" t="s">
        <v>5667</v>
      </c>
      <c r="G1892" s="159"/>
    </row>
    <row r="1893" spans="1:7" ht="15.75" customHeight="1">
      <c r="A1893" s="159" t="s">
        <v>9275</v>
      </c>
      <c r="B1893" s="159" t="s">
        <v>9793</v>
      </c>
      <c r="C1893" s="159" t="s">
        <v>3545</v>
      </c>
      <c r="D1893" s="159" t="s">
        <v>477</v>
      </c>
      <c r="E1893" s="159">
        <v>255</v>
      </c>
      <c r="F1893" s="159" t="s">
        <v>5667</v>
      </c>
      <c r="G1893" s="159"/>
    </row>
    <row r="1894" spans="1:7" ht="15.75" customHeight="1">
      <c r="A1894" s="159" t="s">
        <v>9275</v>
      </c>
      <c r="B1894" s="159" t="s">
        <v>9793</v>
      </c>
      <c r="C1894" s="159" t="s">
        <v>5686</v>
      </c>
      <c r="D1894" s="159" t="s">
        <v>477</v>
      </c>
      <c r="E1894" s="159">
        <v>255</v>
      </c>
      <c r="F1894" s="159" t="s">
        <v>5667</v>
      </c>
      <c r="G1894" s="159"/>
    </row>
    <row r="1895" spans="1:7" ht="15.75" customHeight="1">
      <c r="A1895" s="159" t="s">
        <v>9275</v>
      </c>
      <c r="B1895" s="159" t="s">
        <v>9793</v>
      </c>
      <c r="C1895" s="159" t="s">
        <v>3963</v>
      </c>
      <c r="D1895" s="159" t="s">
        <v>477</v>
      </c>
      <c r="E1895" s="159">
        <v>255</v>
      </c>
      <c r="F1895" s="159" t="s">
        <v>5667</v>
      </c>
      <c r="G1895" s="159"/>
    </row>
    <row r="1896" spans="1:7" ht="15.75" customHeight="1">
      <c r="A1896" s="159" t="s">
        <v>9275</v>
      </c>
      <c r="B1896" s="159" t="s">
        <v>9793</v>
      </c>
      <c r="C1896" s="159" t="s">
        <v>11708</v>
      </c>
      <c r="D1896" s="159" t="s">
        <v>978</v>
      </c>
      <c r="E1896" s="159">
        <v>5</v>
      </c>
      <c r="F1896" s="159" t="s">
        <v>5665</v>
      </c>
      <c r="G1896" s="159"/>
    </row>
    <row r="1897" spans="1:7" ht="15.75" customHeight="1">
      <c r="A1897" s="159" t="s">
        <v>9275</v>
      </c>
      <c r="B1897" s="159" t="s">
        <v>9793</v>
      </c>
      <c r="C1897" s="159" t="s">
        <v>11709</v>
      </c>
      <c r="D1897" s="159" t="s">
        <v>805</v>
      </c>
      <c r="E1897" s="159">
        <v>3</v>
      </c>
      <c r="F1897" s="159" t="s">
        <v>5665</v>
      </c>
      <c r="G1897" s="159"/>
    </row>
    <row r="1898" spans="1:7" ht="15.75" customHeight="1">
      <c r="A1898" s="159" t="s">
        <v>9275</v>
      </c>
      <c r="B1898" s="159" t="s">
        <v>9793</v>
      </c>
      <c r="C1898" s="159" t="s">
        <v>11710</v>
      </c>
      <c r="D1898" s="159" t="s">
        <v>477</v>
      </c>
      <c r="E1898" s="159">
        <v>255</v>
      </c>
      <c r="F1898" s="159" t="s">
        <v>5667</v>
      </c>
      <c r="G1898" s="159"/>
    </row>
    <row r="1899" spans="1:7" ht="15.75" customHeight="1">
      <c r="A1899" s="159" t="s">
        <v>9275</v>
      </c>
      <c r="B1899" s="159" t="s">
        <v>9793</v>
      </c>
      <c r="C1899" s="159" t="s">
        <v>11711</v>
      </c>
      <c r="D1899" s="159" t="s">
        <v>3893</v>
      </c>
      <c r="E1899" s="159">
        <v>65535</v>
      </c>
      <c r="F1899" s="159" t="s">
        <v>5667</v>
      </c>
      <c r="G1899" s="159"/>
    </row>
    <row r="1900" spans="1:7" ht="15.75" customHeight="1">
      <c r="A1900" s="159" t="s">
        <v>9275</v>
      </c>
      <c r="B1900" s="159" t="s">
        <v>9794</v>
      </c>
      <c r="C1900" s="159" t="s">
        <v>10975</v>
      </c>
      <c r="D1900" s="159" t="s">
        <v>484</v>
      </c>
      <c r="E1900" s="159">
        <v>10</v>
      </c>
      <c r="F1900" s="159" t="s">
        <v>5665</v>
      </c>
      <c r="G1900" s="159"/>
    </row>
    <row r="1901" spans="1:7" ht="15.75" customHeight="1">
      <c r="A1901" s="159" t="s">
        <v>9275</v>
      </c>
      <c r="B1901" s="159" t="s">
        <v>9794</v>
      </c>
      <c r="C1901" s="159" t="s">
        <v>11697</v>
      </c>
      <c r="D1901" s="159" t="s">
        <v>477</v>
      </c>
      <c r="E1901" s="159">
        <v>255</v>
      </c>
      <c r="F1901" s="159" t="s">
        <v>5665</v>
      </c>
      <c r="G1901" s="159"/>
    </row>
    <row r="1902" spans="1:7" ht="15.75" customHeight="1">
      <c r="A1902" s="159" t="s">
        <v>9275</v>
      </c>
      <c r="B1902" s="159" t="s">
        <v>9794</v>
      </c>
      <c r="C1902" s="159" t="s">
        <v>11712</v>
      </c>
      <c r="D1902" s="159" t="s">
        <v>477</v>
      </c>
      <c r="E1902" s="159">
        <v>255</v>
      </c>
      <c r="F1902" s="159" t="s">
        <v>5665</v>
      </c>
      <c r="G1902" s="159"/>
    </row>
    <row r="1903" spans="1:7" ht="15.75" customHeight="1">
      <c r="A1903" s="159" t="s">
        <v>9275</v>
      </c>
      <c r="B1903" s="159" t="s">
        <v>9794</v>
      </c>
      <c r="C1903" s="159" t="s">
        <v>3965</v>
      </c>
      <c r="D1903" s="159" t="s">
        <v>978</v>
      </c>
      <c r="E1903" s="159">
        <v>5</v>
      </c>
      <c r="F1903" s="159" t="s">
        <v>5667</v>
      </c>
      <c r="G1903" s="159"/>
    </row>
    <row r="1904" spans="1:7" ht="15.75" customHeight="1">
      <c r="A1904" s="159" t="s">
        <v>9275</v>
      </c>
      <c r="B1904" s="159" t="s">
        <v>9795</v>
      </c>
      <c r="C1904" s="159" t="s">
        <v>11713</v>
      </c>
      <c r="D1904" s="159" t="s">
        <v>484</v>
      </c>
      <c r="E1904" s="159">
        <v>10</v>
      </c>
      <c r="F1904" s="159" t="s">
        <v>5665</v>
      </c>
      <c r="G1904" s="159"/>
    </row>
    <row r="1905" spans="1:7" ht="15.75" customHeight="1">
      <c r="A1905" s="159" t="s">
        <v>9275</v>
      </c>
      <c r="B1905" s="159" t="s">
        <v>9795</v>
      </c>
      <c r="C1905" s="159" t="s">
        <v>11697</v>
      </c>
      <c r="D1905" s="159" t="s">
        <v>477</v>
      </c>
      <c r="E1905" s="159">
        <v>255</v>
      </c>
      <c r="F1905" s="159" t="s">
        <v>5665</v>
      </c>
      <c r="G1905" s="159"/>
    </row>
    <row r="1906" spans="1:7" ht="15.75" customHeight="1">
      <c r="A1906" s="159" t="s">
        <v>9275</v>
      </c>
      <c r="B1906" s="159" t="s">
        <v>9795</v>
      </c>
      <c r="C1906" s="159" t="s">
        <v>5624</v>
      </c>
      <c r="D1906" s="159" t="s">
        <v>477</v>
      </c>
      <c r="E1906" s="159">
        <v>64</v>
      </c>
      <c r="F1906" s="159" t="s">
        <v>5665</v>
      </c>
      <c r="G1906" s="159"/>
    </row>
    <row r="1907" spans="1:7" ht="15.75" customHeight="1">
      <c r="A1907" s="159" t="s">
        <v>9275</v>
      </c>
      <c r="B1907" s="159" t="s">
        <v>9795</v>
      </c>
      <c r="C1907" s="159" t="s">
        <v>6000</v>
      </c>
      <c r="D1907" s="159" t="s">
        <v>481</v>
      </c>
      <c r="E1907" s="159">
        <v>12</v>
      </c>
      <c r="F1907" s="159" t="s">
        <v>5665</v>
      </c>
      <c r="G1907" s="159"/>
    </row>
    <row r="1908" spans="1:7" ht="15.75" customHeight="1">
      <c r="A1908" s="159" t="s">
        <v>9275</v>
      </c>
      <c r="B1908" s="159" t="s">
        <v>9795</v>
      </c>
      <c r="C1908" s="159" t="s">
        <v>1419</v>
      </c>
      <c r="D1908" s="159" t="s">
        <v>978</v>
      </c>
      <c r="E1908" s="159">
        <v>5</v>
      </c>
      <c r="F1908" s="159" t="s">
        <v>5665</v>
      </c>
      <c r="G1908" s="159"/>
    </row>
    <row r="1909" spans="1:7" ht="15.75" customHeight="1">
      <c r="A1909" s="159" t="s">
        <v>9275</v>
      </c>
      <c r="B1909" s="159" t="s">
        <v>9796</v>
      </c>
      <c r="C1909" s="159" t="s">
        <v>10975</v>
      </c>
      <c r="D1909" s="159" t="s">
        <v>484</v>
      </c>
      <c r="E1909" s="159">
        <v>10</v>
      </c>
      <c r="F1909" s="159" t="s">
        <v>5665</v>
      </c>
      <c r="G1909" s="159"/>
    </row>
    <row r="1910" spans="1:7" ht="15.75" customHeight="1">
      <c r="A1910" s="159" t="s">
        <v>9275</v>
      </c>
      <c r="B1910" s="159" t="s">
        <v>9796</v>
      </c>
      <c r="C1910" s="159" t="s">
        <v>10902</v>
      </c>
      <c r="D1910" s="159" t="s">
        <v>484</v>
      </c>
      <c r="E1910" s="159">
        <v>10</v>
      </c>
      <c r="F1910" s="159" t="s">
        <v>5665</v>
      </c>
      <c r="G1910" s="159"/>
    </row>
    <row r="1911" spans="1:7" ht="15.75" customHeight="1">
      <c r="A1911" s="159" t="s">
        <v>9275</v>
      </c>
      <c r="B1911" s="159" t="s">
        <v>9796</v>
      </c>
      <c r="C1911" s="159" t="s">
        <v>11697</v>
      </c>
      <c r="D1911" s="159" t="s">
        <v>477</v>
      </c>
      <c r="E1911" s="159">
        <v>255</v>
      </c>
      <c r="F1911" s="159" t="s">
        <v>5665</v>
      </c>
      <c r="G1911" s="159"/>
    </row>
    <row r="1912" spans="1:7" ht="15.75" customHeight="1">
      <c r="A1912" s="159" t="s">
        <v>9275</v>
      </c>
      <c r="B1912" s="159" t="s">
        <v>9796</v>
      </c>
      <c r="C1912" s="159" t="s">
        <v>8686</v>
      </c>
      <c r="D1912" s="159" t="s">
        <v>978</v>
      </c>
      <c r="E1912" s="159">
        <v>5</v>
      </c>
      <c r="F1912" s="159" t="s">
        <v>5665</v>
      </c>
      <c r="G1912" s="159"/>
    </row>
    <row r="1913" spans="1:7" ht="15.75" customHeight="1">
      <c r="A1913" s="159" t="s">
        <v>9275</v>
      </c>
      <c r="B1913" s="159" t="s">
        <v>9797</v>
      </c>
      <c r="C1913" s="159" t="s">
        <v>10902</v>
      </c>
      <c r="D1913" s="159" t="s">
        <v>484</v>
      </c>
      <c r="E1913" s="159">
        <v>10</v>
      </c>
      <c r="F1913" s="159" t="s">
        <v>5665</v>
      </c>
      <c r="G1913" s="159"/>
    </row>
    <row r="1914" spans="1:7" ht="15.75" customHeight="1">
      <c r="A1914" s="159" t="s">
        <v>9275</v>
      </c>
      <c r="B1914" s="159" t="s">
        <v>9797</v>
      </c>
      <c r="C1914" s="159" t="s">
        <v>156</v>
      </c>
      <c r="D1914" s="159" t="s">
        <v>477</v>
      </c>
      <c r="E1914" s="159">
        <v>255</v>
      </c>
      <c r="F1914" s="159" t="s">
        <v>5665</v>
      </c>
      <c r="G1914" s="159"/>
    </row>
    <row r="1915" spans="1:7" ht="15.75" customHeight="1">
      <c r="A1915" s="159" t="s">
        <v>9275</v>
      </c>
      <c r="B1915" s="159" t="s">
        <v>9798</v>
      </c>
      <c r="C1915" s="159" t="s">
        <v>1394</v>
      </c>
      <c r="D1915" s="159" t="s">
        <v>484</v>
      </c>
      <c r="E1915" s="159">
        <v>10</v>
      </c>
      <c r="F1915" s="159" t="s">
        <v>5665</v>
      </c>
      <c r="G1915" s="159" t="s">
        <v>4828</v>
      </c>
    </row>
    <row r="1916" spans="1:7" ht="15.75" customHeight="1">
      <c r="A1916" s="159" t="s">
        <v>9275</v>
      </c>
      <c r="B1916" s="159" t="s">
        <v>9798</v>
      </c>
      <c r="C1916" s="159" t="s">
        <v>10882</v>
      </c>
      <c r="D1916" s="159" t="s">
        <v>978</v>
      </c>
      <c r="E1916" s="159">
        <v>5</v>
      </c>
      <c r="F1916" s="159" t="s">
        <v>5665</v>
      </c>
      <c r="G1916" s="159" t="s">
        <v>10883</v>
      </c>
    </row>
    <row r="1917" spans="1:7" ht="15.75" customHeight="1">
      <c r="A1917" s="159" t="s">
        <v>9275</v>
      </c>
      <c r="B1917" s="159" t="s">
        <v>9798</v>
      </c>
      <c r="C1917" s="159" t="s">
        <v>10902</v>
      </c>
      <c r="D1917" s="159" t="s">
        <v>978</v>
      </c>
      <c r="E1917" s="159">
        <v>5</v>
      </c>
      <c r="F1917" s="159" t="s">
        <v>5665</v>
      </c>
      <c r="G1917" s="159" t="s">
        <v>10903</v>
      </c>
    </row>
    <row r="1918" spans="1:7" ht="15.75" customHeight="1">
      <c r="A1918" s="159" t="s">
        <v>9275</v>
      </c>
      <c r="B1918" s="159" t="s">
        <v>9798</v>
      </c>
      <c r="C1918" s="159" t="s">
        <v>6000</v>
      </c>
      <c r="D1918" s="159" t="s">
        <v>481</v>
      </c>
      <c r="E1918" s="159">
        <v>12</v>
      </c>
      <c r="F1918" s="159" t="s">
        <v>5665</v>
      </c>
      <c r="G1918" s="159" t="s">
        <v>2415</v>
      </c>
    </row>
    <row r="1919" spans="1:7" ht="15.75" customHeight="1">
      <c r="A1919" s="159" t="s">
        <v>9275</v>
      </c>
      <c r="B1919" s="159" t="s">
        <v>9798</v>
      </c>
      <c r="C1919" s="159" t="s">
        <v>11714</v>
      </c>
      <c r="D1919" s="159" t="s">
        <v>978</v>
      </c>
      <c r="E1919" s="159">
        <v>5</v>
      </c>
      <c r="F1919" s="159" t="s">
        <v>5665</v>
      </c>
      <c r="G1919" s="159" t="s">
        <v>10905</v>
      </c>
    </row>
    <row r="1920" spans="1:7" ht="15.75" customHeight="1">
      <c r="A1920" s="159" t="s">
        <v>9275</v>
      </c>
      <c r="B1920" s="159" t="s">
        <v>9798</v>
      </c>
      <c r="C1920" s="159" t="s">
        <v>5624</v>
      </c>
      <c r="D1920" s="159" t="s">
        <v>477</v>
      </c>
      <c r="E1920" s="159">
        <v>64</v>
      </c>
      <c r="F1920" s="159" t="s">
        <v>5667</v>
      </c>
      <c r="G1920" s="159" t="s">
        <v>6137</v>
      </c>
    </row>
    <row r="1921" spans="1:7" ht="15.75" customHeight="1">
      <c r="A1921" s="159" t="s">
        <v>9275</v>
      </c>
      <c r="B1921" s="159" t="s">
        <v>9800</v>
      </c>
      <c r="C1921" s="159" t="s">
        <v>5609</v>
      </c>
      <c r="D1921" s="159" t="s">
        <v>477</v>
      </c>
      <c r="E1921" s="159">
        <v>64</v>
      </c>
      <c r="F1921" s="159" t="s">
        <v>5665</v>
      </c>
      <c r="G1921" s="159"/>
    </row>
    <row r="1922" spans="1:7" ht="15.75" customHeight="1">
      <c r="A1922" s="159" t="s">
        <v>9275</v>
      </c>
      <c r="B1922" s="159" t="s">
        <v>9800</v>
      </c>
      <c r="C1922" s="159" t="s">
        <v>5764</v>
      </c>
      <c r="D1922" s="159" t="s">
        <v>477</v>
      </c>
      <c r="E1922" s="159">
        <v>64</v>
      </c>
      <c r="F1922" s="159" t="s">
        <v>5665</v>
      </c>
      <c r="G1922" s="159"/>
    </row>
    <row r="1923" spans="1:7" ht="15.75" customHeight="1">
      <c r="A1923" s="159" t="s">
        <v>9275</v>
      </c>
      <c r="B1923" s="159" t="s">
        <v>9800</v>
      </c>
      <c r="C1923" s="159" t="s">
        <v>10902</v>
      </c>
      <c r="D1923" s="159" t="s">
        <v>484</v>
      </c>
      <c r="E1923" s="159">
        <v>10</v>
      </c>
      <c r="F1923" s="159" t="s">
        <v>5665</v>
      </c>
      <c r="G1923" s="159"/>
    </row>
    <row r="1924" spans="1:7" ht="15.75" customHeight="1">
      <c r="A1924" s="159" t="s">
        <v>9275</v>
      </c>
      <c r="B1924" s="159" t="s">
        <v>9801</v>
      </c>
      <c r="C1924" s="159" t="s">
        <v>3897</v>
      </c>
      <c r="D1924" s="159" t="s">
        <v>484</v>
      </c>
      <c r="E1924" s="159">
        <v>10</v>
      </c>
      <c r="F1924" s="159" t="s">
        <v>5665</v>
      </c>
      <c r="G1924" s="159" t="s">
        <v>10676</v>
      </c>
    </row>
    <row r="1925" spans="1:7" ht="15.75" customHeight="1">
      <c r="A1925" s="159" t="s">
        <v>9275</v>
      </c>
      <c r="B1925" s="159" t="s">
        <v>9801</v>
      </c>
      <c r="C1925" s="159" t="s">
        <v>11715</v>
      </c>
      <c r="D1925" s="159" t="s">
        <v>477</v>
      </c>
      <c r="E1925" s="159">
        <v>255</v>
      </c>
      <c r="F1925" s="159" t="s">
        <v>5667</v>
      </c>
      <c r="G1925" s="159" t="s">
        <v>11716</v>
      </c>
    </row>
    <row r="1926" spans="1:7" ht="15.75" customHeight="1">
      <c r="A1926" s="159" t="s">
        <v>9275</v>
      </c>
      <c r="B1926" s="159" t="s">
        <v>9801</v>
      </c>
      <c r="C1926" s="159" t="s">
        <v>5797</v>
      </c>
      <c r="D1926" s="159" t="s">
        <v>477</v>
      </c>
      <c r="E1926" s="159">
        <v>255</v>
      </c>
      <c r="F1926" s="159" t="s">
        <v>5667</v>
      </c>
      <c r="G1926" s="159" t="s">
        <v>11717</v>
      </c>
    </row>
    <row r="1927" spans="1:7" ht="15.75" customHeight="1">
      <c r="A1927" s="159" t="s">
        <v>9275</v>
      </c>
      <c r="B1927" s="159" t="s">
        <v>9801</v>
      </c>
      <c r="C1927" s="159" t="s">
        <v>11706</v>
      </c>
      <c r="D1927" s="159" t="s">
        <v>477</v>
      </c>
      <c r="E1927" s="159">
        <v>255</v>
      </c>
      <c r="F1927" s="159" t="s">
        <v>5667</v>
      </c>
      <c r="G1927" s="159" t="s">
        <v>11718</v>
      </c>
    </row>
    <row r="1928" spans="1:7" ht="15.75" customHeight="1">
      <c r="A1928" s="159" t="s">
        <v>9275</v>
      </c>
      <c r="B1928" s="159" t="s">
        <v>9801</v>
      </c>
      <c r="C1928" s="159" t="s">
        <v>3635</v>
      </c>
      <c r="D1928" s="159" t="s">
        <v>484</v>
      </c>
      <c r="E1928" s="159">
        <v>10</v>
      </c>
      <c r="F1928" s="159" t="s">
        <v>5665</v>
      </c>
      <c r="G1928" s="159" t="s">
        <v>10760</v>
      </c>
    </row>
    <row r="1929" spans="1:7" ht="15.75" customHeight="1">
      <c r="A1929" s="159" t="s">
        <v>9275</v>
      </c>
      <c r="B1929" s="159" t="s">
        <v>9801</v>
      </c>
      <c r="C1929" s="159" t="s">
        <v>11719</v>
      </c>
      <c r="D1929" s="159" t="s">
        <v>978</v>
      </c>
      <c r="E1929" s="159">
        <v>5</v>
      </c>
      <c r="F1929" s="159" t="s">
        <v>5665</v>
      </c>
      <c r="G1929" s="159" t="s">
        <v>11720</v>
      </c>
    </row>
    <row r="1930" spans="1:7" ht="15.75" customHeight="1">
      <c r="A1930" s="159" t="s">
        <v>9275</v>
      </c>
      <c r="B1930" s="159" t="s">
        <v>9803</v>
      </c>
      <c r="C1930" s="159" t="s">
        <v>11721</v>
      </c>
      <c r="D1930" s="159" t="s">
        <v>484</v>
      </c>
      <c r="E1930" s="159">
        <v>10</v>
      </c>
      <c r="F1930" s="159" t="s">
        <v>5665</v>
      </c>
      <c r="G1930" s="159" t="s">
        <v>11722</v>
      </c>
    </row>
    <row r="1931" spans="1:7" ht="15.75" customHeight="1">
      <c r="A1931" s="159" t="s">
        <v>9275</v>
      </c>
      <c r="B1931" s="159" t="s">
        <v>9803</v>
      </c>
      <c r="C1931" s="159" t="s">
        <v>5797</v>
      </c>
      <c r="D1931" s="159" t="s">
        <v>477</v>
      </c>
      <c r="E1931" s="159">
        <v>255</v>
      </c>
      <c r="F1931" s="159" t="s">
        <v>5667</v>
      </c>
      <c r="G1931" s="159" t="s">
        <v>11723</v>
      </c>
    </row>
    <row r="1932" spans="1:7" ht="15.75" customHeight="1">
      <c r="A1932" s="159" t="s">
        <v>9275</v>
      </c>
      <c r="B1932" s="159" t="s">
        <v>9803</v>
      </c>
      <c r="C1932" s="159" t="s">
        <v>11724</v>
      </c>
      <c r="D1932" s="159" t="s">
        <v>3893</v>
      </c>
      <c r="E1932" s="159">
        <v>65535</v>
      </c>
      <c r="F1932" s="159" t="s">
        <v>5667</v>
      </c>
      <c r="G1932" s="159" t="s">
        <v>11725</v>
      </c>
    </row>
    <row r="1933" spans="1:7" ht="15.75" customHeight="1">
      <c r="A1933" s="159" t="s">
        <v>9275</v>
      </c>
      <c r="B1933" s="159" t="s">
        <v>9803</v>
      </c>
      <c r="C1933" s="159" t="s">
        <v>11726</v>
      </c>
      <c r="D1933" s="159" t="s">
        <v>477</v>
      </c>
      <c r="E1933" s="159">
        <v>255</v>
      </c>
      <c r="F1933" s="159" t="s">
        <v>5667</v>
      </c>
      <c r="G1933" s="159" t="s">
        <v>11727</v>
      </c>
    </row>
    <row r="1934" spans="1:7" ht="15.75" customHeight="1">
      <c r="A1934" s="159" t="s">
        <v>9275</v>
      </c>
      <c r="B1934" s="159" t="s">
        <v>9803</v>
      </c>
      <c r="C1934" s="159" t="s">
        <v>10211</v>
      </c>
      <c r="D1934" s="159" t="s">
        <v>978</v>
      </c>
      <c r="E1934" s="159">
        <v>5</v>
      </c>
      <c r="F1934" s="159" t="s">
        <v>5665</v>
      </c>
      <c r="G1934" s="159" t="s">
        <v>10587</v>
      </c>
    </row>
    <row r="1935" spans="1:7" ht="15.75" customHeight="1">
      <c r="A1935" s="159" t="s">
        <v>9275</v>
      </c>
      <c r="B1935" s="159" t="s">
        <v>9803</v>
      </c>
      <c r="C1935" s="159" t="s">
        <v>10570</v>
      </c>
      <c r="D1935" s="159" t="s">
        <v>484</v>
      </c>
      <c r="E1935" s="159">
        <v>10</v>
      </c>
      <c r="F1935" s="159" t="s">
        <v>5665</v>
      </c>
      <c r="G1935" s="159" t="s">
        <v>11435</v>
      </c>
    </row>
    <row r="1936" spans="1:7" ht="15.75" customHeight="1">
      <c r="A1936" s="159" t="s">
        <v>9275</v>
      </c>
      <c r="B1936" s="159" t="s">
        <v>9803</v>
      </c>
      <c r="C1936" s="159" t="s">
        <v>11728</v>
      </c>
      <c r="D1936" s="159" t="s">
        <v>477</v>
      </c>
      <c r="E1936" s="159">
        <v>255</v>
      </c>
      <c r="F1936" s="159" t="s">
        <v>5667</v>
      </c>
      <c r="G1936" s="159" t="s">
        <v>11729</v>
      </c>
    </row>
    <row r="1937" spans="1:7" ht="15.75" customHeight="1">
      <c r="A1937" s="159" t="s">
        <v>9275</v>
      </c>
      <c r="B1937" s="159" t="s">
        <v>9803</v>
      </c>
      <c r="C1937" s="159" t="s">
        <v>11730</v>
      </c>
      <c r="D1937" s="159" t="s">
        <v>3893</v>
      </c>
      <c r="E1937" s="159">
        <v>65535</v>
      </c>
      <c r="F1937" s="159" t="s">
        <v>5667</v>
      </c>
      <c r="G1937" s="159" t="s">
        <v>11731</v>
      </c>
    </row>
    <row r="1938" spans="1:7" ht="15.75" customHeight="1">
      <c r="A1938" s="159" t="s">
        <v>9275</v>
      </c>
      <c r="B1938" s="159" t="s">
        <v>9805</v>
      </c>
      <c r="C1938" s="159" t="s">
        <v>11732</v>
      </c>
      <c r="D1938" s="159" t="s">
        <v>484</v>
      </c>
      <c r="E1938" s="159">
        <v>10</v>
      </c>
      <c r="F1938" s="159" t="s">
        <v>5665</v>
      </c>
      <c r="G1938" s="159" t="s">
        <v>10976</v>
      </c>
    </row>
    <row r="1939" spans="1:7" ht="15.75" customHeight="1">
      <c r="A1939" s="159" t="s">
        <v>9275</v>
      </c>
      <c r="B1939" s="159" t="s">
        <v>9805</v>
      </c>
      <c r="C1939" s="159" t="s">
        <v>10290</v>
      </c>
      <c r="D1939" s="159" t="s">
        <v>978</v>
      </c>
      <c r="E1939" s="159">
        <v>5</v>
      </c>
      <c r="F1939" s="159" t="s">
        <v>5665</v>
      </c>
      <c r="G1939" s="159" t="s">
        <v>10507</v>
      </c>
    </row>
    <row r="1940" spans="1:7" ht="15.75" customHeight="1">
      <c r="A1940" s="159" t="s">
        <v>9275</v>
      </c>
      <c r="B1940" s="159" t="s">
        <v>9805</v>
      </c>
      <c r="C1940" s="159" t="s">
        <v>11733</v>
      </c>
      <c r="D1940" s="159" t="s">
        <v>484</v>
      </c>
      <c r="E1940" s="159">
        <v>10</v>
      </c>
      <c r="F1940" s="159" t="s">
        <v>5665</v>
      </c>
      <c r="G1940" s="159" t="s">
        <v>11734</v>
      </c>
    </row>
    <row r="1941" spans="1:7" ht="15.75" customHeight="1">
      <c r="A1941" s="159" t="s">
        <v>9275</v>
      </c>
      <c r="B1941" s="159" t="s">
        <v>9805</v>
      </c>
      <c r="C1941" s="159" t="s">
        <v>11735</v>
      </c>
      <c r="D1941" s="159" t="s">
        <v>484</v>
      </c>
      <c r="E1941" s="159">
        <v>10</v>
      </c>
      <c r="F1941" s="159" t="s">
        <v>5665</v>
      </c>
      <c r="G1941" s="159" t="s">
        <v>11736</v>
      </c>
    </row>
    <row r="1942" spans="1:7" ht="15.75" customHeight="1">
      <c r="A1942" s="159" t="s">
        <v>9275</v>
      </c>
      <c r="B1942" s="159" t="s">
        <v>9805</v>
      </c>
      <c r="C1942" s="159" t="s">
        <v>11737</v>
      </c>
      <c r="D1942" s="159" t="s">
        <v>805</v>
      </c>
      <c r="E1942" s="159">
        <v>3</v>
      </c>
      <c r="F1942" s="159" t="s">
        <v>5665</v>
      </c>
      <c r="G1942" s="159" t="s">
        <v>11738</v>
      </c>
    </row>
    <row r="1943" spans="1:7" ht="15.75" customHeight="1">
      <c r="A1943" s="159" t="s">
        <v>9275</v>
      </c>
      <c r="B1943" s="159" t="s">
        <v>9807</v>
      </c>
      <c r="C1943" s="159" t="s">
        <v>11735</v>
      </c>
      <c r="D1943" s="159" t="s">
        <v>484</v>
      </c>
      <c r="E1943" s="159">
        <v>10</v>
      </c>
      <c r="F1943" s="159" t="s">
        <v>5665</v>
      </c>
      <c r="G1943" s="159" t="s">
        <v>11736</v>
      </c>
    </row>
    <row r="1944" spans="1:7" ht="15.75" customHeight="1">
      <c r="A1944" s="159" t="s">
        <v>9275</v>
      </c>
      <c r="B1944" s="159" t="s">
        <v>9807</v>
      </c>
      <c r="C1944" s="159" t="s">
        <v>11739</v>
      </c>
      <c r="D1944" s="159" t="s">
        <v>477</v>
      </c>
      <c r="E1944" s="159">
        <v>255</v>
      </c>
      <c r="F1944" s="159" t="s">
        <v>5667</v>
      </c>
      <c r="G1944" s="159" t="s">
        <v>11740</v>
      </c>
    </row>
    <row r="1945" spans="1:7" ht="15.75" customHeight="1">
      <c r="A1945" s="159" t="s">
        <v>9275</v>
      </c>
      <c r="B1945" s="159" t="s">
        <v>9807</v>
      </c>
      <c r="C1945" s="159" t="s">
        <v>11741</v>
      </c>
      <c r="D1945" s="159" t="s">
        <v>3893</v>
      </c>
      <c r="E1945" s="159">
        <v>65535</v>
      </c>
      <c r="F1945" s="159" t="s">
        <v>5667</v>
      </c>
      <c r="G1945" s="159" t="s">
        <v>11742</v>
      </c>
    </row>
    <row r="1946" spans="1:7" ht="15.75" customHeight="1">
      <c r="A1946" s="159" t="s">
        <v>9275</v>
      </c>
      <c r="B1946" s="159" t="s">
        <v>9807</v>
      </c>
      <c r="C1946" s="159" t="s">
        <v>10469</v>
      </c>
      <c r="D1946" s="159" t="s">
        <v>978</v>
      </c>
      <c r="E1946" s="159">
        <v>5</v>
      </c>
      <c r="F1946" s="159" t="s">
        <v>5665</v>
      </c>
      <c r="G1946" s="159" t="s">
        <v>10470</v>
      </c>
    </row>
    <row r="1947" spans="1:7" ht="15.75" customHeight="1">
      <c r="A1947" s="159" t="s">
        <v>9275</v>
      </c>
      <c r="B1947" s="159" t="s">
        <v>9807</v>
      </c>
      <c r="C1947" s="159" t="s">
        <v>10242</v>
      </c>
      <c r="D1947" s="159" t="s">
        <v>1413</v>
      </c>
      <c r="E1947" s="159"/>
      <c r="F1947" s="159" t="s">
        <v>5667</v>
      </c>
      <c r="G1947" s="159" t="s">
        <v>11743</v>
      </c>
    </row>
    <row r="1948" spans="1:7" ht="15.75" customHeight="1">
      <c r="A1948" s="159" t="s">
        <v>9275</v>
      </c>
      <c r="B1948" s="159" t="s">
        <v>9809</v>
      </c>
      <c r="C1948" s="159" t="s">
        <v>11744</v>
      </c>
      <c r="D1948" s="159" t="s">
        <v>477</v>
      </c>
      <c r="E1948" s="159">
        <v>64</v>
      </c>
      <c r="F1948" s="159" t="s">
        <v>5665</v>
      </c>
      <c r="G1948" s="159" t="s">
        <v>11745</v>
      </c>
    </row>
    <row r="1949" spans="1:7" ht="15.75" customHeight="1">
      <c r="A1949" s="159" t="s">
        <v>9275</v>
      </c>
      <c r="B1949" s="159" t="s">
        <v>9809</v>
      </c>
      <c r="C1949" s="159" t="s">
        <v>3940</v>
      </c>
      <c r="D1949" s="159" t="s">
        <v>484</v>
      </c>
      <c r="E1949" s="159">
        <v>10</v>
      </c>
      <c r="F1949" s="159" t="s">
        <v>5665</v>
      </c>
      <c r="G1949" s="159" t="s">
        <v>10747</v>
      </c>
    </row>
    <row r="1950" spans="1:7" ht="15.75" customHeight="1">
      <c r="A1950" s="159" t="s">
        <v>9275</v>
      </c>
      <c r="B1950" s="159" t="s">
        <v>9809</v>
      </c>
      <c r="C1950" s="159" t="s">
        <v>11746</v>
      </c>
      <c r="D1950" s="159" t="s">
        <v>484</v>
      </c>
      <c r="E1950" s="159">
        <v>10</v>
      </c>
      <c r="F1950" s="159" t="s">
        <v>5665</v>
      </c>
      <c r="G1950" s="159" t="s">
        <v>11747</v>
      </c>
    </row>
    <row r="1951" spans="1:7" ht="15.75" customHeight="1">
      <c r="A1951" s="159" t="s">
        <v>9275</v>
      </c>
      <c r="B1951" s="159" t="s">
        <v>9809</v>
      </c>
      <c r="C1951" s="159" t="s">
        <v>10190</v>
      </c>
      <c r="D1951" s="159" t="s">
        <v>1413</v>
      </c>
      <c r="E1951" s="159"/>
      <c r="F1951" s="159" t="s">
        <v>5667</v>
      </c>
      <c r="G1951" s="159" t="s">
        <v>10810</v>
      </c>
    </row>
    <row r="1952" spans="1:7" ht="15.75" customHeight="1">
      <c r="A1952" s="159" t="s">
        <v>9275</v>
      </c>
      <c r="B1952" s="159" t="s">
        <v>9811</v>
      </c>
      <c r="C1952" s="159" t="s">
        <v>3940</v>
      </c>
      <c r="D1952" s="159" t="s">
        <v>484</v>
      </c>
      <c r="E1952" s="159">
        <v>10</v>
      </c>
      <c r="F1952" s="159" t="s">
        <v>5665</v>
      </c>
      <c r="G1952" s="159" t="s">
        <v>10747</v>
      </c>
    </row>
    <row r="1953" spans="1:7" ht="15.75" customHeight="1">
      <c r="A1953" s="159" t="s">
        <v>9275</v>
      </c>
      <c r="B1953" s="159" t="s">
        <v>9813</v>
      </c>
      <c r="C1953" s="159" t="s">
        <v>3897</v>
      </c>
      <c r="D1953" s="159" t="s">
        <v>484</v>
      </c>
      <c r="E1953" s="159">
        <v>10</v>
      </c>
      <c r="F1953" s="159" t="s">
        <v>5665</v>
      </c>
      <c r="G1953" s="159" t="s">
        <v>11748</v>
      </c>
    </row>
    <row r="1954" spans="1:7" ht="15.75" customHeight="1">
      <c r="A1954" s="159" t="s">
        <v>9275</v>
      </c>
      <c r="B1954" s="159" t="s">
        <v>9813</v>
      </c>
      <c r="C1954" s="159" t="s">
        <v>11749</v>
      </c>
      <c r="D1954" s="159" t="s">
        <v>6859</v>
      </c>
      <c r="E1954" s="159">
        <v>39</v>
      </c>
      <c r="F1954" s="159" t="s">
        <v>5667</v>
      </c>
      <c r="G1954" s="159" t="s">
        <v>11750</v>
      </c>
    </row>
    <row r="1955" spans="1:7" ht="15.75" customHeight="1">
      <c r="A1955" s="159" t="s">
        <v>9275</v>
      </c>
      <c r="B1955" s="159" t="s">
        <v>9815</v>
      </c>
      <c r="C1955" s="159" t="s">
        <v>3897</v>
      </c>
      <c r="D1955" s="159" t="s">
        <v>484</v>
      </c>
      <c r="E1955" s="159">
        <v>10</v>
      </c>
      <c r="F1955" s="159" t="s">
        <v>5665</v>
      </c>
      <c r="G1955" s="159" t="s">
        <v>11751</v>
      </c>
    </row>
    <row r="1956" spans="1:7" ht="15.75" customHeight="1">
      <c r="A1956" s="159" t="s">
        <v>9275</v>
      </c>
      <c r="B1956" s="159" t="s">
        <v>9815</v>
      </c>
      <c r="C1956" s="159" t="s">
        <v>11752</v>
      </c>
      <c r="D1956" s="159" t="s">
        <v>6859</v>
      </c>
      <c r="E1956" s="159">
        <v>39</v>
      </c>
      <c r="F1956" s="159" t="s">
        <v>5667</v>
      </c>
      <c r="G1956" s="159" t="s">
        <v>11753</v>
      </c>
    </row>
    <row r="1957" spans="1:7" ht="15.75" customHeight="1">
      <c r="A1957" s="159" t="s">
        <v>9275</v>
      </c>
      <c r="B1957" s="159" t="s">
        <v>9815</v>
      </c>
      <c r="C1957" s="159" t="s">
        <v>5693</v>
      </c>
      <c r="D1957" s="159" t="s">
        <v>484</v>
      </c>
      <c r="E1957" s="159">
        <v>10</v>
      </c>
      <c r="F1957" s="159" t="s">
        <v>5667</v>
      </c>
      <c r="G1957" s="159" t="s">
        <v>11754</v>
      </c>
    </row>
    <row r="1958" spans="1:7" ht="15.75" customHeight="1">
      <c r="A1958" s="159" t="s">
        <v>9275</v>
      </c>
      <c r="B1958" s="159" t="s">
        <v>9815</v>
      </c>
      <c r="C1958" s="159" t="s">
        <v>10731</v>
      </c>
      <c r="D1958" s="159" t="s">
        <v>484</v>
      </c>
      <c r="E1958" s="159">
        <v>10</v>
      </c>
      <c r="F1958" s="159" t="s">
        <v>5667</v>
      </c>
      <c r="G1958" s="159" t="s">
        <v>11755</v>
      </c>
    </row>
    <row r="1959" spans="1:7" ht="15.75" customHeight="1">
      <c r="A1959" s="159" t="s">
        <v>9275</v>
      </c>
      <c r="B1959" s="159" t="s">
        <v>9815</v>
      </c>
      <c r="C1959" s="159" t="s">
        <v>5891</v>
      </c>
      <c r="D1959" s="159" t="s">
        <v>477</v>
      </c>
      <c r="E1959" s="159">
        <v>255</v>
      </c>
      <c r="F1959" s="159" t="s">
        <v>5667</v>
      </c>
      <c r="G1959" s="159" t="s">
        <v>11756</v>
      </c>
    </row>
    <row r="1960" spans="1:7" ht="15.75" customHeight="1">
      <c r="A1960" s="159" t="s">
        <v>9275</v>
      </c>
      <c r="B1960" s="159" t="s">
        <v>9815</v>
      </c>
      <c r="C1960" s="159" t="s">
        <v>11757</v>
      </c>
      <c r="D1960" s="159" t="s">
        <v>484</v>
      </c>
      <c r="E1960" s="159">
        <v>10</v>
      </c>
      <c r="F1960" s="159" t="s">
        <v>5665</v>
      </c>
      <c r="G1960" s="159" t="s">
        <v>11758</v>
      </c>
    </row>
    <row r="1961" spans="1:7" ht="15.75" customHeight="1">
      <c r="A1961" s="159" t="s">
        <v>9275</v>
      </c>
      <c r="B1961" s="159" t="s">
        <v>9815</v>
      </c>
      <c r="C1961" s="159" t="s">
        <v>11759</v>
      </c>
      <c r="D1961" s="159" t="s">
        <v>1413</v>
      </c>
      <c r="E1961" s="159"/>
      <c r="F1961" s="159" t="s">
        <v>5665</v>
      </c>
      <c r="G1961" s="159" t="s">
        <v>11760</v>
      </c>
    </row>
    <row r="1962" spans="1:7" ht="15.75" customHeight="1">
      <c r="A1962" s="159" t="s">
        <v>9275</v>
      </c>
      <c r="B1962" s="159" t="s">
        <v>9817</v>
      </c>
      <c r="C1962" s="159" t="s">
        <v>183</v>
      </c>
      <c r="D1962" s="159" t="s">
        <v>484</v>
      </c>
      <c r="E1962" s="159">
        <v>10</v>
      </c>
      <c r="F1962" s="159" t="s">
        <v>5665</v>
      </c>
      <c r="G1962" s="159" t="s">
        <v>11761</v>
      </c>
    </row>
    <row r="1963" spans="1:7" ht="15.75" customHeight="1">
      <c r="A1963" s="159" t="s">
        <v>9275</v>
      </c>
      <c r="B1963" s="159" t="s">
        <v>9817</v>
      </c>
      <c r="C1963" s="159" t="s">
        <v>4440</v>
      </c>
      <c r="D1963" s="159" t="s">
        <v>1413</v>
      </c>
      <c r="E1963" s="159"/>
      <c r="F1963" s="159" t="s">
        <v>5667</v>
      </c>
      <c r="G1963" s="159" t="s">
        <v>11762</v>
      </c>
    </row>
    <row r="1964" spans="1:7" ht="15.75" customHeight="1">
      <c r="A1964" s="159" t="s">
        <v>9275</v>
      </c>
      <c r="B1964" s="159" t="s">
        <v>9817</v>
      </c>
      <c r="C1964" s="159" t="s">
        <v>5693</v>
      </c>
      <c r="D1964" s="159" t="s">
        <v>484</v>
      </c>
      <c r="E1964" s="159">
        <v>10</v>
      </c>
      <c r="F1964" s="159" t="s">
        <v>5667</v>
      </c>
      <c r="G1964" s="159" t="s">
        <v>11763</v>
      </c>
    </row>
    <row r="1965" spans="1:7" ht="15.75" customHeight="1">
      <c r="A1965" s="159" t="s">
        <v>9275</v>
      </c>
      <c r="B1965" s="159" t="s">
        <v>9817</v>
      </c>
      <c r="C1965" s="159" t="s">
        <v>11764</v>
      </c>
      <c r="D1965" s="159" t="s">
        <v>477</v>
      </c>
      <c r="E1965" s="159">
        <v>40</v>
      </c>
      <c r="F1965" s="159" t="s">
        <v>5667</v>
      </c>
      <c r="G1965" s="159" t="s">
        <v>11765</v>
      </c>
    </row>
    <row r="1966" spans="1:7" ht="15.75" customHeight="1">
      <c r="A1966" s="159" t="s">
        <v>9275</v>
      </c>
      <c r="B1966" s="159" t="s">
        <v>9817</v>
      </c>
      <c r="C1966" s="159" t="s">
        <v>3940</v>
      </c>
      <c r="D1966" s="159" t="s">
        <v>484</v>
      </c>
      <c r="E1966" s="159">
        <v>10</v>
      </c>
      <c r="F1966" s="159" t="s">
        <v>5667</v>
      </c>
      <c r="G1966" s="159" t="s">
        <v>11766</v>
      </c>
    </row>
    <row r="1967" spans="1:7" ht="15.75" customHeight="1">
      <c r="A1967" s="159" t="s">
        <v>9275</v>
      </c>
      <c r="B1967" s="159" t="s">
        <v>9817</v>
      </c>
      <c r="C1967" s="159" t="s">
        <v>11767</v>
      </c>
      <c r="D1967" s="159" t="s">
        <v>477</v>
      </c>
      <c r="E1967" s="159">
        <v>40</v>
      </c>
      <c r="F1967" s="159" t="s">
        <v>5667</v>
      </c>
      <c r="G1967" s="159" t="s">
        <v>11541</v>
      </c>
    </row>
    <row r="1968" spans="1:7" ht="15.75" customHeight="1">
      <c r="A1968" s="159" t="s">
        <v>9275</v>
      </c>
      <c r="B1968" s="159" t="s">
        <v>9819</v>
      </c>
      <c r="C1968" s="159" t="s">
        <v>3897</v>
      </c>
      <c r="D1968" s="159" t="s">
        <v>484</v>
      </c>
      <c r="E1968" s="159">
        <v>10</v>
      </c>
      <c r="F1968" s="159" t="s">
        <v>5665</v>
      </c>
      <c r="G1968" s="159" t="s">
        <v>11768</v>
      </c>
    </row>
    <row r="1969" spans="1:7" ht="15.75" customHeight="1">
      <c r="A1969" s="159" t="s">
        <v>9275</v>
      </c>
      <c r="B1969" s="159" t="s">
        <v>9819</v>
      </c>
      <c r="C1969" s="159" t="s">
        <v>11769</v>
      </c>
      <c r="D1969" s="159" t="s">
        <v>484</v>
      </c>
      <c r="E1969" s="159">
        <v>10</v>
      </c>
      <c r="F1969" s="159" t="s">
        <v>5667</v>
      </c>
      <c r="G1969" s="159" t="s">
        <v>11770</v>
      </c>
    </row>
    <row r="1970" spans="1:7" ht="15.75" customHeight="1">
      <c r="A1970" s="159" t="s">
        <v>9275</v>
      </c>
      <c r="B1970" s="159" t="s">
        <v>9819</v>
      </c>
      <c r="C1970" s="159" t="s">
        <v>11749</v>
      </c>
      <c r="D1970" s="159" t="s">
        <v>6859</v>
      </c>
      <c r="E1970" s="159">
        <v>39</v>
      </c>
      <c r="F1970" s="159" t="s">
        <v>5667</v>
      </c>
      <c r="G1970" s="159" t="s">
        <v>11750</v>
      </c>
    </row>
    <row r="1971" spans="1:7" ht="15.75" customHeight="1">
      <c r="A1971" s="159" t="s">
        <v>9275</v>
      </c>
      <c r="B1971" s="159" t="s">
        <v>9819</v>
      </c>
      <c r="C1971" s="159" t="s">
        <v>11771</v>
      </c>
      <c r="D1971" s="159" t="s">
        <v>477</v>
      </c>
      <c r="E1971" s="159">
        <v>255</v>
      </c>
      <c r="F1971" s="159" t="s">
        <v>5667</v>
      </c>
      <c r="G1971" s="159" t="s">
        <v>11772</v>
      </c>
    </row>
    <row r="1972" spans="1:7" ht="15.75" customHeight="1">
      <c r="A1972" s="159" t="s">
        <v>9275</v>
      </c>
      <c r="B1972" s="159" t="s">
        <v>9819</v>
      </c>
      <c r="C1972" s="159" t="s">
        <v>11773</v>
      </c>
      <c r="D1972" s="159" t="s">
        <v>11537</v>
      </c>
      <c r="E1972" s="159">
        <v>65535</v>
      </c>
      <c r="F1972" s="159" t="s">
        <v>5667</v>
      </c>
      <c r="G1972" s="159" t="s">
        <v>11774</v>
      </c>
    </row>
    <row r="1973" spans="1:7" ht="15.75" customHeight="1">
      <c r="A1973" s="159" t="s">
        <v>9275</v>
      </c>
      <c r="B1973" s="159" t="s">
        <v>9819</v>
      </c>
      <c r="C1973" s="159" t="s">
        <v>11775</v>
      </c>
      <c r="D1973" s="159" t="s">
        <v>11537</v>
      </c>
      <c r="E1973" s="159">
        <v>65535</v>
      </c>
      <c r="F1973" s="159" t="s">
        <v>5667</v>
      </c>
      <c r="G1973" s="159" t="s">
        <v>11776</v>
      </c>
    </row>
    <row r="1974" spans="1:7" ht="15.75" customHeight="1">
      <c r="A1974" s="159" t="s">
        <v>9275</v>
      </c>
      <c r="B1974" s="159" t="s">
        <v>9819</v>
      </c>
      <c r="C1974" s="159" t="s">
        <v>1419</v>
      </c>
      <c r="D1974" s="159" t="s">
        <v>978</v>
      </c>
      <c r="E1974" s="159">
        <v>5</v>
      </c>
      <c r="F1974" s="159" t="s">
        <v>5667</v>
      </c>
      <c r="G1974" s="159" t="s">
        <v>11777</v>
      </c>
    </row>
    <row r="1975" spans="1:7" ht="15.75" customHeight="1">
      <c r="A1975" s="159" t="s">
        <v>9275</v>
      </c>
      <c r="B1975" s="159" t="s">
        <v>9819</v>
      </c>
      <c r="C1975" s="159" t="s">
        <v>11778</v>
      </c>
      <c r="D1975" s="159" t="s">
        <v>978</v>
      </c>
      <c r="E1975" s="159">
        <v>5</v>
      </c>
      <c r="F1975" s="159" t="s">
        <v>5667</v>
      </c>
      <c r="G1975" s="159" t="s">
        <v>11779</v>
      </c>
    </row>
    <row r="1976" spans="1:7" ht="15.75" customHeight="1">
      <c r="A1976" s="159" t="s">
        <v>9275</v>
      </c>
      <c r="B1976" s="159" t="s">
        <v>9819</v>
      </c>
      <c r="C1976" s="159" t="s">
        <v>11780</v>
      </c>
      <c r="D1976" s="159" t="s">
        <v>477</v>
      </c>
      <c r="E1976" s="159">
        <v>255</v>
      </c>
      <c r="F1976" s="159" t="s">
        <v>5667</v>
      </c>
      <c r="G1976" s="159" t="s">
        <v>11781</v>
      </c>
    </row>
    <row r="1977" spans="1:7" ht="15.75" customHeight="1">
      <c r="A1977" s="159" t="s">
        <v>9275</v>
      </c>
      <c r="B1977" s="159" t="s">
        <v>9821</v>
      </c>
      <c r="C1977" s="159" t="s">
        <v>3897</v>
      </c>
      <c r="D1977" s="159" t="s">
        <v>484</v>
      </c>
      <c r="E1977" s="159">
        <v>10</v>
      </c>
      <c r="F1977" s="159" t="s">
        <v>5665</v>
      </c>
      <c r="G1977" s="159" t="s">
        <v>11761</v>
      </c>
    </row>
    <row r="1978" spans="1:7" ht="15.75" customHeight="1">
      <c r="A1978" s="159" t="s">
        <v>9275</v>
      </c>
      <c r="B1978" s="159" t="s">
        <v>9821</v>
      </c>
      <c r="C1978" s="159" t="s">
        <v>11782</v>
      </c>
      <c r="D1978" s="159" t="s">
        <v>477</v>
      </c>
      <c r="E1978" s="159">
        <v>255</v>
      </c>
      <c r="F1978" s="159" t="s">
        <v>5667</v>
      </c>
      <c r="G1978" s="159" t="s">
        <v>11783</v>
      </c>
    </row>
    <row r="1979" spans="1:7" ht="15.75" customHeight="1">
      <c r="A1979" s="159" t="s">
        <v>9275</v>
      </c>
      <c r="B1979" s="159" t="s">
        <v>9821</v>
      </c>
      <c r="C1979" s="159" t="s">
        <v>11784</v>
      </c>
      <c r="D1979" s="159" t="s">
        <v>477</v>
      </c>
      <c r="E1979" s="159">
        <v>255</v>
      </c>
      <c r="F1979" s="159" t="s">
        <v>5667</v>
      </c>
      <c r="G1979" s="159" t="s">
        <v>11785</v>
      </c>
    </row>
    <row r="1980" spans="1:7" ht="15.75" customHeight="1">
      <c r="A1980" s="159" t="s">
        <v>9275</v>
      </c>
      <c r="B1980" s="159" t="s">
        <v>9821</v>
      </c>
      <c r="C1980" s="159" t="s">
        <v>10570</v>
      </c>
      <c r="D1980" s="159" t="s">
        <v>484</v>
      </c>
      <c r="E1980" s="159">
        <v>10</v>
      </c>
      <c r="F1980" s="159" t="s">
        <v>5665</v>
      </c>
      <c r="G1980" s="159" t="s">
        <v>11435</v>
      </c>
    </row>
    <row r="1981" spans="1:7" ht="15.75" customHeight="1">
      <c r="A1981" s="159" t="s">
        <v>9275</v>
      </c>
      <c r="B1981" s="159" t="s">
        <v>9821</v>
      </c>
      <c r="C1981" s="159" t="s">
        <v>1419</v>
      </c>
      <c r="D1981" s="159" t="s">
        <v>978</v>
      </c>
      <c r="E1981" s="159">
        <v>5</v>
      </c>
      <c r="F1981" s="159" t="s">
        <v>5665</v>
      </c>
      <c r="G1981" s="159" t="s">
        <v>811</v>
      </c>
    </row>
    <row r="1982" spans="1:7" ht="15.75" customHeight="1">
      <c r="A1982" s="159" t="s">
        <v>9275</v>
      </c>
      <c r="B1982" s="159" t="s">
        <v>9821</v>
      </c>
      <c r="C1982" s="159" t="s">
        <v>10190</v>
      </c>
      <c r="D1982" s="159" t="s">
        <v>1413</v>
      </c>
      <c r="E1982" s="159"/>
      <c r="F1982" s="159" t="s">
        <v>5667</v>
      </c>
      <c r="G1982" s="159" t="s">
        <v>10281</v>
      </c>
    </row>
    <row r="1983" spans="1:7" ht="15.75" customHeight="1">
      <c r="A1983" s="159" t="s">
        <v>9275</v>
      </c>
      <c r="B1983" s="159" t="s">
        <v>9823</v>
      </c>
      <c r="C1983" s="159" t="s">
        <v>3897</v>
      </c>
      <c r="D1983" s="159" t="s">
        <v>484</v>
      </c>
      <c r="E1983" s="159">
        <v>10</v>
      </c>
      <c r="F1983" s="159" t="s">
        <v>5665</v>
      </c>
      <c r="G1983" s="159" t="s">
        <v>10174</v>
      </c>
    </row>
    <row r="1984" spans="1:7" ht="15.75" customHeight="1">
      <c r="A1984" s="159" t="s">
        <v>9275</v>
      </c>
      <c r="B1984" s="159" t="s">
        <v>9823</v>
      </c>
      <c r="C1984" s="159" t="s">
        <v>11786</v>
      </c>
      <c r="D1984" s="159" t="s">
        <v>477</v>
      </c>
      <c r="E1984" s="159">
        <v>255</v>
      </c>
      <c r="F1984" s="159" t="s">
        <v>5667</v>
      </c>
      <c r="G1984" s="159" t="s">
        <v>11787</v>
      </c>
    </row>
    <row r="1985" spans="1:7" ht="15.75" customHeight="1">
      <c r="A1985" s="159" t="s">
        <v>9275</v>
      </c>
      <c r="B1985" s="159" t="s">
        <v>9823</v>
      </c>
      <c r="C1985" s="159" t="s">
        <v>11788</v>
      </c>
      <c r="D1985" s="159" t="s">
        <v>3893</v>
      </c>
      <c r="E1985" s="159">
        <v>65535</v>
      </c>
      <c r="F1985" s="159" t="s">
        <v>5667</v>
      </c>
      <c r="G1985" s="159" t="s">
        <v>11789</v>
      </c>
    </row>
    <row r="1986" spans="1:7" ht="15.75" customHeight="1">
      <c r="A1986" s="159" t="s">
        <v>9275</v>
      </c>
      <c r="B1986" s="159" t="s">
        <v>9823</v>
      </c>
      <c r="C1986" s="159" t="s">
        <v>1419</v>
      </c>
      <c r="D1986" s="159" t="s">
        <v>978</v>
      </c>
      <c r="E1986" s="159">
        <v>5</v>
      </c>
      <c r="F1986" s="159" t="s">
        <v>5665</v>
      </c>
      <c r="G1986" s="159" t="s">
        <v>811</v>
      </c>
    </row>
    <row r="1987" spans="1:7" ht="15.75" customHeight="1">
      <c r="A1987" s="159" t="s">
        <v>9275</v>
      </c>
      <c r="B1987" s="159" t="s">
        <v>9823</v>
      </c>
      <c r="C1987" s="159" t="s">
        <v>10190</v>
      </c>
      <c r="D1987" s="159" t="s">
        <v>1413</v>
      </c>
      <c r="E1987" s="159"/>
      <c r="F1987" s="159" t="s">
        <v>5667</v>
      </c>
      <c r="G1987" s="159" t="s">
        <v>10281</v>
      </c>
    </row>
    <row r="1988" spans="1:7" ht="15.75" customHeight="1">
      <c r="A1988" s="159" t="s">
        <v>9275</v>
      </c>
      <c r="B1988" s="159" t="s">
        <v>9823</v>
      </c>
      <c r="C1988" s="159" t="s">
        <v>11656</v>
      </c>
      <c r="D1988" s="159" t="s">
        <v>477</v>
      </c>
      <c r="E1988" s="159">
        <v>255</v>
      </c>
      <c r="F1988" s="159" t="s">
        <v>5667</v>
      </c>
      <c r="G1988" s="159" t="s">
        <v>11657</v>
      </c>
    </row>
    <row r="1989" spans="1:7" ht="15.75" customHeight="1">
      <c r="A1989" s="159" t="s">
        <v>9275</v>
      </c>
      <c r="B1989" s="159" t="s">
        <v>9823</v>
      </c>
      <c r="C1989" s="159" t="s">
        <v>11658</v>
      </c>
      <c r="D1989" s="159" t="s">
        <v>477</v>
      </c>
      <c r="E1989" s="159">
        <v>255</v>
      </c>
      <c r="F1989" s="159" t="s">
        <v>5667</v>
      </c>
      <c r="G1989" s="159" t="s">
        <v>11790</v>
      </c>
    </row>
    <row r="1990" spans="1:7" ht="15.75" customHeight="1">
      <c r="A1990" s="159" t="s">
        <v>9275</v>
      </c>
      <c r="B1990" s="159" t="s">
        <v>9823</v>
      </c>
      <c r="C1990" s="159" t="s">
        <v>11791</v>
      </c>
      <c r="D1990" s="159" t="s">
        <v>477</v>
      </c>
      <c r="E1990" s="159">
        <v>255</v>
      </c>
      <c r="F1990" s="159" t="s">
        <v>5667</v>
      </c>
      <c r="G1990" s="159" t="s">
        <v>11792</v>
      </c>
    </row>
    <row r="1991" spans="1:7" ht="15.75" customHeight="1">
      <c r="A1991" s="159" t="s">
        <v>9275</v>
      </c>
      <c r="B1991" s="159" t="s">
        <v>9823</v>
      </c>
      <c r="C1991" s="159" t="s">
        <v>11793</v>
      </c>
      <c r="D1991" s="159" t="s">
        <v>477</v>
      </c>
      <c r="E1991" s="159">
        <v>255</v>
      </c>
      <c r="F1991" s="159" t="s">
        <v>5667</v>
      </c>
      <c r="G1991" s="159" t="s">
        <v>11794</v>
      </c>
    </row>
    <row r="1992" spans="1:7" ht="15.75" customHeight="1">
      <c r="A1992" s="159" t="s">
        <v>9275</v>
      </c>
      <c r="B1992" s="159" t="s">
        <v>9824</v>
      </c>
      <c r="C1992" s="159" t="s">
        <v>11795</v>
      </c>
      <c r="D1992" s="159" t="s">
        <v>484</v>
      </c>
      <c r="E1992" s="159">
        <v>10</v>
      </c>
      <c r="F1992" s="159" t="s">
        <v>5665</v>
      </c>
      <c r="G1992" s="159" t="s">
        <v>11796</v>
      </c>
    </row>
    <row r="1993" spans="1:7" ht="15.75" customHeight="1">
      <c r="A1993" s="159" t="s">
        <v>9275</v>
      </c>
      <c r="B1993" s="159" t="s">
        <v>9824</v>
      </c>
      <c r="C1993" s="159" t="s">
        <v>11797</v>
      </c>
      <c r="D1993" s="159" t="s">
        <v>477</v>
      </c>
      <c r="E1993" s="159">
        <v>255</v>
      </c>
      <c r="F1993" s="159" t="s">
        <v>5667</v>
      </c>
      <c r="G1993" s="159" t="s">
        <v>11798</v>
      </c>
    </row>
    <row r="1994" spans="1:7" ht="15.75" customHeight="1">
      <c r="A1994" s="159" t="s">
        <v>9275</v>
      </c>
      <c r="B1994" s="159" t="s">
        <v>9824</v>
      </c>
      <c r="C1994" s="159" t="s">
        <v>3940</v>
      </c>
      <c r="D1994" s="159" t="s">
        <v>484</v>
      </c>
      <c r="E1994" s="159">
        <v>10</v>
      </c>
      <c r="F1994" s="159" t="s">
        <v>5667</v>
      </c>
      <c r="G1994" s="159" t="s">
        <v>11766</v>
      </c>
    </row>
    <row r="1995" spans="1:7" ht="15.75" customHeight="1">
      <c r="A1995" s="159" t="s">
        <v>9275</v>
      </c>
      <c r="B1995" s="159" t="s">
        <v>9824</v>
      </c>
      <c r="C1995" s="159" t="s">
        <v>11799</v>
      </c>
      <c r="D1995" s="159" t="s">
        <v>484</v>
      </c>
      <c r="E1995" s="159">
        <v>10</v>
      </c>
      <c r="F1995" s="159" t="s">
        <v>5667</v>
      </c>
      <c r="G1995" s="159" t="s">
        <v>11800</v>
      </c>
    </row>
    <row r="1996" spans="1:7" ht="15.75" customHeight="1">
      <c r="A1996" s="159" t="s">
        <v>9275</v>
      </c>
      <c r="B1996" s="159" t="s">
        <v>9824</v>
      </c>
      <c r="C1996" s="159" t="s">
        <v>5609</v>
      </c>
      <c r="D1996" s="159" t="s">
        <v>477</v>
      </c>
      <c r="E1996" s="159">
        <v>255</v>
      </c>
      <c r="F1996" s="159" t="s">
        <v>5667</v>
      </c>
      <c r="G1996" s="159" t="s">
        <v>1611</v>
      </c>
    </row>
    <row r="1997" spans="1:7" ht="15.75" customHeight="1">
      <c r="A1997" s="159" t="s">
        <v>9275</v>
      </c>
      <c r="B1997" s="159" t="s">
        <v>9824</v>
      </c>
      <c r="C1997" s="159" t="s">
        <v>11801</v>
      </c>
      <c r="D1997" s="159" t="s">
        <v>1413</v>
      </c>
      <c r="E1997" s="159"/>
      <c r="F1997" s="159" t="s">
        <v>5667</v>
      </c>
      <c r="G1997" s="159" t="s">
        <v>11802</v>
      </c>
    </row>
    <row r="1998" spans="1:7" ht="15.75" customHeight="1">
      <c r="A1998" s="159" t="s">
        <v>9275</v>
      </c>
      <c r="B1998" s="159" t="s">
        <v>9824</v>
      </c>
      <c r="C1998" s="159" t="s">
        <v>5693</v>
      </c>
      <c r="D1998" s="159" t="s">
        <v>484</v>
      </c>
      <c r="E1998" s="159">
        <v>10</v>
      </c>
      <c r="F1998" s="159" t="s">
        <v>5667</v>
      </c>
      <c r="G1998" s="159" t="s">
        <v>11763</v>
      </c>
    </row>
    <row r="1999" spans="1:7" ht="15.75" customHeight="1">
      <c r="A1999" s="159" t="s">
        <v>9275</v>
      </c>
      <c r="B1999" s="159" t="s">
        <v>9824</v>
      </c>
      <c r="C1999" s="159" t="s">
        <v>1419</v>
      </c>
      <c r="D1999" s="159" t="s">
        <v>477</v>
      </c>
      <c r="E1999" s="159">
        <v>255</v>
      </c>
      <c r="F1999" s="159" t="s">
        <v>5667</v>
      </c>
      <c r="G1999" s="159" t="s">
        <v>811</v>
      </c>
    </row>
    <row r="2000" spans="1:7" ht="15.75" customHeight="1">
      <c r="A2000" s="159" t="s">
        <v>9275</v>
      </c>
      <c r="B2000" s="159" t="s">
        <v>9826</v>
      </c>
      <c r="C2000" s="159" t="s">
        <v>11803</v>
      </c>
      <c r="D2000" s="159" t="s">
        <v>484</v>
      </c>
      <c r="E2000" s="159">
        <v>10</v>
      </c>
      <c r="F2000" s="159" t="s">
        <v>5665</v>
      </c>
      <c r="G2000" s="159" t="s">
        <v>11804</v>
      </c>
    </row>
    <row r="2001" spans="1:7" ht="15.75" customHeight="1">
      <c r="A2001" s="159" t="s">
        <v>9275</v>
      </c>
      <c r="B2001" s="159" t="s">
        <v>9826</v>
      </c>
      <c r="C2001" s="159" t="s">
        <v>5693</v>
      </c>
      <c r="D2001" s="159" t="s">
        <v>484</v>
      </c>
      <c r="E2001" s="159">
        <v>10</v>
      </c>
      <c r="F2001" s="159" t="s">
        <v>5665</v>
      </c>
      <c r="G2001" s="159" t="s">
        <v>10179</v>
      </c>
    </row>
    <row r="2002" spans="1:7" ht="15.75" customHeight="1">
      <c r="A2002" s="159" t="s">
        <v>9275</v>
      </c>
      <c r="B2002" s="159" t="s">
        <v>9826</v>
      </c>
      <c r="C2002" s="159" t="s">
        <v>156</v>
      </c>
      <c r="D2002" s="159" t="s">
        <v>477</v>
      </c>
      <c r="E2002" s="159">
        <v>255</v>
      </c>
      <c r="F2002" s="159" t="s">
        <v>5667</v>
      </c>
      <c r="G2002" s="159" t="s">
        <v>11805</v>
      </c>
    </row>
    <row r="2003" spans="1:7" ht="15.75" customHeight="1">
      <c r="A2003" s="159" t="s">
        <v>9275</v>
      </c>
      <c r="B2003" s="159" t="s">
        <v>9826</v>
      </c>
      <c r="C2003" s="159" t="s">
        <v>11806</v>
      </c>
      <c r="D2003" s="159" t="s">
        <v>477</v>
      </c>
      <c r="E2003" s="159">
        <v>255</v>
      </c>
      <c r="F2003" s="159" t="s">
        <v>5667</v>
      </c>
      <c r="G2003" s="159" t="s">
        <v>11807</v>
      </c>
    </row>
    <row r="2004" spans="1:7" ht="15.75" customHeight="1">
      <c r="A2004" s="159" t="s">
        <v>9275</v>
      </c>
      <c r="B2004" s="159" t="s">
        <v>9826</v>
      </c>
      <c r="C2004" s="159" t="s">
        <v>3550</v>
      </c>
      <c r="D2004" s="159" t="s">
        <v>1413</v>
      </c>
      <c r="E2004" s="159"/>
      <c r="F2004" s="159" t="s">
        <v>5667</v>
      </c>
      <c r="G2004" s="159" t="s">
        <v>11808</v>
      </c>
    </row>
    <row r="2005" spans="1:7" ht="15.75" customHeight="1">
      <c r="A2005" s="159" t="s">
        <v>9275</v>
      </c>
      <c r="B2005" s="159" t="s">
        <v>9826</v>
      </c>
      <c r="C2005" s="159" t="s">
        <v>10190</v>
      </c>
      <c r="D2005" s="159" t="s">
        <v>1413</v>
      </c>
      <c r="E2005" s="159"/>
      <c r="F2005" s="159" t="s">
        <v>5667</v>
      </c>
      <c r="G2005" s="159" t="s">
        <v>11809</v>
      </c>
    </row>
    <row r="2006" spans="1:7" ht="15.75" customHeight="1">
      <c r="A2006" s="159" t="s">
        <v>9275</v>
      </c>
      <c r="B2006" s="159" t="s">
        <v>9828</v>
      </c>
      <c r="C2006" s="159" t="s">
        <v>11810</v>
      </c>
      <c r="D2006" s="159" t="s">
        <v>484</v>
      </c>
      <c r="E2006" s="159">
        <v>10</v>
      </c>
      <c r="F2006" s="159" t="s">
        <v>5665</v>
      </c>
      <c r="G2006" s="159" t="s">
        <v>10237</v>
      </c>
    </row>
    <row r="2007" spans="1:7" ht="15.75" customHeight="1">
      <c r="A2007" s="159" t="s">
        <v>9275</v>
      </c>
      <c r="B2007" s="159" t="s">
        <v>9828</v>
      </c>
      <c r="C2007" s="159" t="s">
        <v>11625</v>
      </c>
      <c r="D2007" s="159" t="s">
        <v>477</v>
      </c>
      <c r="E2007" s="159">
        <v>255</v>
      </c>
      <c r="F2007" s="159" t="s">
        <v>5665</v>
      </c>
      <c r="G2007" s="159" t="s">
        <v>11811</v>
      </c>
    </row>
    <row r="2008" spans="1:7" ht="15.75" customHeight="1">
      <c r="A2008" s="159" t="s">
        <v>9275</v>
      </c>
      <c r="B2008" s="159" t="s">
        <v>9828</v>
      </c>
      <c r="C2008" s="159" t="s">
        <v>10287</v>
      </c>
      <c r="D2008" s="159" t="s">
        <v>477</v>
      </c>
      <c r="E2008" s="159">
        <v>255</v>
      </c>
      <c r="F2008" s="159" t="s">
        <v>5665</v>
      </c>
      <c r="G2008" s="159" t="s">
        <v>11812</v>
      </c>
    </row>
    <row r="2009" spans="1:7" ht="15.75" customHeight="1">
      <c r="A2009" s="159" t="s">
        <v>9275</v>
      </c>
      <c r="B2009" s="159" t="s">
        <v>9828</v>
      </c>
      <c r="C2009" s="159" t="s">
        <v>11813</v>
      </c>
      <c r="D2009" s="159" t="s">
        <v>477</v>
      </c>
      <c r="E2009" s="159">
        <v>255</v>
      </c>
      <c r="F2009" s="159" t="s">
        <v>5665</v>
      </c>
      <c r="G2009" s="159" t="s">
        <v>11814</v>
      </c>
    </row>
    <row r="2010" spans="1:7" ht="15.75" customHeight="1">
      <c r="A2010" s="159" t="s">
        <v>9275</v>
      </c>
      <c r="B2010" s="159" t="s">
        <v>9830</v>
      </c>
      <c r="C2010" s="159" t="s">
        <v>3897</v>
      </c>
      <c r="D2010" s="159" t="s">
        <v>484</v>
      </c>
      <c r="E2010" s="159">
        <v>10</v>
      </c>
      <c r="F2010" s="159" t="s">
        <v>5665</v>
      </c>
      <c r="G2010" s="159" t="s">
        <v>10237</v>
      </c>
    </row>
    <row r="2011" spans="1:7" ht="15.75" customHeight="1">
      <c r="A2011" s="159" t="s">
        <v>9275</v>
      </c>
      <c r="B2011" s="159" t="s">
        <v>9830</v>
      </c>
      <c r="C2011" s="159" t="s">
        <v>10811</v>
      </c>
      <c r="D2011" s="159" t="s">
        <v>3893</v>
      </c>
      <c r="E2011" s="159">
        <v>65535</v>
      </c>
      <c r="F2011" s="159" t="s">
        <v>5667</v>
      </c>
      <c r="G2011" s="159" t="s">
        <v>24</v>
      </c>
    </row>
    <row r="2012" spans="1:7" ht="15.75" customHeight="1">
      <c r="A2012" s="159" t="s">
        <v>9275</v>
      </c>
      <c r="B2012" s="159" t="s">
        <v>9830</v>
      </c>
      <c r="C2012" s="159" t="s">
        <v>5676</v>
      </c>
      <c r="D2012" s="159" t="s">
        <v>477</v>
      </c>
      <c r="E2012" s="159">
        <v>255</v>
      </c>
      <c r="F2012" s="159" t="s">
        <v>5667</v>
      </c>
      <c r="G2012" s="159" t="s">
        <v>5186</v>
      </c>
    </row>
    <row r="2013" spans="1:7" ht="15.75" customHeight="1">
      <c r="A2013" s="159" t="s">
        <v>9275</v>
      </c>
      <c r="B2013" s="159" t="s">
        <v>9830</v>
      </c>
      <c r="C2013" s="159" t="s">
        <v>5891</v>
      </c>
      <c r="D2013" s="159" t="s">
        <v>3893</v>
      </c>
      <c r="E2013" s="159">
        <v>65535</v>
      </c>
      <c r="F2013" s="159" t="s">
        <v>5667</v>
      </c>
      <c r="G2013" s="159" t="s">
        <v>1729</v>
      </c>
    </row>
    <row r="2014" spans="1:7" ht="15.75" customHeight="1">
      <c r="A2014" s="159" t="s">
        <v>9275</v>
      </c>
      <c r="B2014" s="159" t="s">
        <v>9830</v>
      </c>
      <c r="C2014" s="159" t="s">
        <v>11815</v>
      </c>
      <c r="D2014" s="159" t="s">
        <v>477</v>
      </c>
      <c r="E2014" s="159">
        <v>255</v>
      </c>
      <c r="F2014" s="159" t="s">
        <v>5667</v>
      </c>
      <c r="G2014" s="159" t="s">
        <v>154</v>
      </c>
    </row>
    <row r="2015" spans="1:7" ht="15.75" customHeight="1">
      <c r="A2015" s="159" t="s">
        <v>9275</v>
      </c>
      <c r="B2015" s="159" t="s">
        <v>9830</v>
      </c>
      <c r="C2015" s="159" t="s">
        <v>11816</v>
      </c>
      <c r="D2015" s="159" t="s">
        <v>477</v>
      </c>
      <c r="E2015" s="159">
        <v>255</v>
      </c>
      <c r="F2015" s="159" t="s">
        <v>5667</v>
      </c>
      <c r="G2015" s="159" t="s">
        <v>11817</v>
      </c>
    </row>
    <row r="2016" spans="1:7" ht="15.75" customHeight="1">
      <c r="A2016" s="159" t="s">
        <v>9275</v>
      </c>
      <c r="B2016" s="159" t="s">
        <v>9830</v>
      </c>
      <c r="C2016" s="159" t="s">
        <v>11818</v>
      </c>
      <c r="D2016" s="159" t="s">
        <v>477</v>
      </c>
      <c r="E2016" s="159">
        <v>255</v>
      </c>
      <c r="F2016" s="159" t="s">
        <v>5667</v>
      </c>
      <c r="G2016" s="159" t="s">
        <v>11819</v>
      </c>
    </row>
    <row r="2017" spans="1:7" ht="15.75" customHeight="1">
      <c r="A2017" s="159" t="s">
        <v>9275</v>
      </c>
      <c r="B2017" s="159" t="s">
        <v>9830</v>
      </c>
      <c r="C2017" s="159" t="s">
        <v>4336</v>
      </c>
      <c r="D2017" s="159" t="s">
        <v>484</v>
      </c>
      <c r="E2017" s="159">
        <v>10</v>
      </c>
      <c r="F2017" s="159" t="s">
        <v>5665</v>
      </c>
      <c r="G2017" s="159" t="s">
        <v>3271</v>
      </c>
    </row>
    <row r="2018" spans="1:7" ht="15.75" customHeight="1">
      <c r="A2018" s="159" t="s">
        <v>9275</v>
      </c>
      <c r="B2018" s="159" t="s">
        <v>9830</v>
      </c>
      <c r="C2018" s="159" t="s">
        <v>11820</v>
      </c>
      <c r="D2018" s="159" t="s">
        <v>484</v>
      </c>
      <c r="E2018" s="159">
        <v>10</v>
      </c>
      <c r="F2018" s="159" t="s">
        <v>5665</v>
      </c>
      <c r="G2018" s="159" t="s">
        <v>3275</v>
      </c>
    </row>
    <row r="2019" spans="1:7" ht="15.75" customHeight="1">
      <c r="A2019" s="159" t="s">
        <v>9275</v>
      </c>
      <c r="B2019" s="159" t="s">
        <v>9830</v>
      </c>
      <c r="C2019" s="159" t="s">
        <v>11821</v>
      </c>
      <c r="D2019" s="159" t="s">
        <v>484</v>
      </c>
      <c r="E2019" s="159">
        <v>10</v>
      </c>
      <c r="F2019" s="159" t="s">
        <v>5665</v>
      </c>
      <c r="G2019" s="159" t="s">
        <v>11822</v>
      </c>
    </row>
    <row r="2020" spans="1:7" ht="15.75" customHeight="1">
      <c r="A2020" s="159" t="s">
        <v>9275</v>
      </c>
      <c r="B2020" s="159" t="s">
        <v>9830</v>
      </c>
      <c r="C2020" s="159" t="s">
        <v>10190</v>
      </c>
      <c r="D2020" s="159" t="s">
        <v>1413</v>
      </c>
      <c r="E2020" s="159"/>
      <c r="F2020" s="159" t="s">
        <v>5665</v>
      </c>
      <c r="G2020" s="159" t="s">
        <v>10281</v>
      </c>
    </row>
    <row r="2021" spans="1:7" ht="15.75" customHeight="1">
      <c r="A2021" s="159" t="s">
        <v>9275</v>
      </c>
      <c r="B2021" s="159" t="s">
        <v>9830</v>
      </c>
      <c r="C2021" s="159" t="s">
        <v>10242</v>
      </c>
      <c r="D2021" s="159" t="s">
        <v>1413</v>
      </c>
      <c r="E2021" s="159"/>
      <c r="F2021" s="159" t="s">
        <v>5665</v>
      </c>
      <c r="G2021" s="159" t="s">
        <v>10282</v>
      </c>
    </row>
    <row r="2022" spans="1:7" ht="15.75" customHeight="1">
      <c r="A2022" s="159" t="s">
        <v>9275</v>
      </c>
      <c r="B2022" s="159" t="s">
        <v>9832</v>
      </c>
      <c r="C2022" s="159" t="s">
        <v>11823</v>
      </c>
      <c r="D2022" s="159" t="s">
        <v>484</v>
      </c>
      <c r="E2022" s="159">
        <v>10</v>
      </c>
      <c r="F2022" s="159" t="s">
        <v>5665</v>
      </c>
      <c r="G2022" s="159" t="s">
        <v>11824</v>
      </c>
    </row>
    <row r="2023" spans="1:7" ht="15.75" customHeight="1">
      <c r="A2023" s="159" t="s">
        <v>9275</v>
      </c>
      <c r="B2023" s="159" t="s">
        <v>9832</v>
      </c>
      <c r="C2023" s="159" t="s">
        <v>11810</v>
      </c>
      <c r="D2023" s="159" t="s">
        <v>484</v>
      </c>
      <c r="E2023" s="159">
        <v>10</v>
      </c>
      <c r="F2023" s="159" t="s">
        <v>5665</v>
      </c>
      <c r="G2023" s="159" t="s">
        <v>11825</v>
      </c>
    </row>
    <row r="2024" spans="1:7" ht="15.75" customHeight="1">
      <c r="A2024" s="159" t="s">
        <v>9275</v>
      </c>
      <c r="B2024" s="159" t="s">
        <v>9834</v>
      </c>
      <c r="C2024" s="159" t="s">
        <v>3897</v>
      </c>
      <c r="D2024" s="159" t="s">
        <v>484</v>
      </c>
      <c r="E2024" s="159">
        <v>10</v>
      </c>
      <c r="F2024" s="159" t="s">
        <v>5665</v>
      </c>
      <c r="G2024" s="159" t="s">
        <v>11826</v>
      </c>
    </row>
    <row r="2025" spans="1:7" ht="15.75" customHeight="1">
      <c r="A2025" s="159" t="s">
        <v>9275</v>
      </c>
      <c r="B2025" s="159" t="s">
        <v>9834</v>
      </c>
      <c r="C2025" s="159" t="s">
        <v>11827</v>
      </c>
      <c r="D2025" s="159" t="s">
        <v>477</v>
      </c>
      <c r="E2025" s="159">
        <v>255</v>
      </c>
      <c r="F2025" s="159" t="s">
        <v>5665</v>
      </c>
      <c r="G2025" s="159" t="s">
        <v>852</v>
      </c>
    </row>
    <row r="2026" spans="1:7" ht="15.75" customHeight="1">
      <c r="A2026" s="159" t="s">
        <v>9275</v>
      </c>
      <c r="B2026" s="159" t="s">
        <v>9836</v>
      </c>
      <c r="C2026" s="159" t="s">
        <v>5695</v>
      </c>
      <c r="D2026" s="159" t="s">
        <v>484</v>
      </c>
      <c r="E2026" s="159">
        <v>10</v>
      </c>
      <c r="F2026" s="159" t="s">
        <v>5665</v>
      </c>
      <c r="G2026" s="159" t="s">
        <v>11828</v>
      </c>
    </row>
    <row r="2027" spans="1:7" ht="15.75" customHeight="1">
      <c r="A2027" s="159" t="s">
        <v>9275</v>
      </c>
      <c r="B2027" s="159" t="s">
        <v>9836</v>
      </c>
      <c r="C2027" s="159" t="s">
        <v>11829</v>
      </c>
      <c r="D2027" s="159" t="s">
        <v>477</v>
      </c>
      <c r="E2027" s="159">
        <v>255</v>
      </c>
      <c r="F2027" s="159" t="s">
        <v>5667</v>
      </c>
      <c r="G2027" s="159" t="s">
        <v>11830</v>
      </c>
    </row>
    <row r="2028" spans="1:7" ht="15.75" customHeight="1">
      <c r="A2028" s="159" t="s">
        <v>9275</v>
      </c>
      <c r="B2028" s="159" t="s">
        <v>9836</v>
      </c>
      <c r="C2028" s="159" t="s">
        <v>11098</v>
      </c>
      <c r="D2028" s="159" t="s">
        <v>477</v>
      </c>
      <c r="E2028" s="159">
        <v>16</v>
      </c>
      <c r="F2028" s="159" t="s">
        <v>5667</v>
      </c>
      <c r="G2028" s="159" t="s">
        <v>11831</v>
      </c>
    </row>
    <row r="2029" spans="1:7" ht="15.75" customHeight="1">
      <c r="A2029" s="159" t="s">
        <v>9275</v>
      </c>
      <c r="B2029" s="159" t="s">
        <v>9836</v>
      </c>
      <c r="C2029" s="159" t="s">
        <v>1419</v>
      </c>
      <c r="D2029" s="159" t="s">
        <v>477</v>
      </c>
      <c r="E2029" s="159">
        <v>16</v>
      </c>
      <c r="F2029" s="159" t="s">
        <v>5667</v>
      </c>
      <c r="G2029" s="159" t="s">
        <v>11832</v>
      </c>
    </row>
    <row r="2030" spans="1:7" ht="15.75" customHeight="1">
      <c r="A2030" s="159" t="s">
        <v>9275</v>
      </c>
      <c r="B2030" s="159" t="s">
        <v>9836</v>
      </c>
      <c r="C2030" s="159" t="s">
        <v>11680</v>
      </c>
      <c r="D2030" s="159" t="s">
        <v>538</v>
      </c>
      <c r="E2030" s="159"/>
      <c r="F2030" s="159" t="s">
        <v>5667</v>
      </c>
      <c r="G2030" s="159" t="s">
        <v>11833</v>
      </c>
    </row>
    <row r="2031" spans="1:7" ht="15.75" customHeight="1">
      <c r="A2031" s="159" t="s">
        <v>9275</v>
      </c>
      <c r="B2031" s="159" t="s">
        <v>9836</v>
      </c>
      <c r="C2031" s="159" t="s">
        <v>10285</v>
      </c>
      <c r="D2031" s="159" t="s">
        <v>484</v>
      </c>
      <c r="E2031" s="159">
        <v>10</v>
      </c>
      <c r="F2031" s="159" t="s">
        <v>5667</v>
      </c>
      <c r="G2031" s="159" t="s">
        <v>11834</v>
      </c>
    </row>
    <row r="2032" spans="1:7" ht="15.75" customHeight="1">
      <c r="A2032" s="159" t="s">
        <v>9275</v>
      </c>
      <c r="B2032" s="159" t="s">
        <v>9838</v>
      </c>
      <c r="C2032" s="159" t="s">
        <v>11835</v>
      </c>
      <c r="D2032" s="159" t="s">
        <v>484</v>
      </c>
      <c r="E2032" s="159">
        <v>10</v>
      </c>
      <c r="F2032" s="159" t="s">
        <v>5665</v>
      </c>
      <c r="G2032" s="159" t="s">
        <v>11836</v>
      </c>
    </row>
    <row r="2033" spans="1:7" ht="15.75" customHeight="1">
      <c r="A2033" s="159" t="s">
        <v>9275</v>
      </c>
      <c r="B2033" s="159" t="s">
        <v>9838</v>
      </c>
      <c r="C2033" s="159" t="s">
        <v>11837</v>
      </c>
      <c r="D2033" s="159" t="s">
        <v>484</v>
      </c>
      <c r="E2033" s="159">
        <v>10</v>
      </c>
      <c r="F2033" s="159" t="s">
        <v>5667</v>
      </c>
      <c r="G2033" s="159" t="s">
        <v>11838</v>
      </c>
    </row>
    <row r="2034" spans="1:7" ht="15.75" customHeight="1">
      <c r="A2034" s="159" t="s">
        <v>9275</v>
      </c>
      <c r="B2034" s="159" t="s">
        <v>9838</v>
      </c>
      <c r="C2034" s="159" t="s">
        <v>11839</v>
      </c>
      <c r="D2034" s="159" t="s">
        <v>484</v>
      </c>
      <c r="E2034" s="159">
        <v>10</v>
      </c>
      <c r="F2034" s="159" t="s">
        <v>5665</v>
      </c>
      <c r="G2034" s="159" t="s">
        <v>11840</v>
      </c>
    </row>
    <row r="2035" spans="1:7" ht="15.75" customHeight="1">
      <c r="A2035" s="159" t="s">
        <v>9275</v>
      </c>
      <c r="B2035" s="159" t="s">
        <v>9838</v>
      </c>
      <c r="C2035" s="159" t="s">
        <v>11841</v>
      </c>
      <c r="D2035" s="159" t="s">
        <v>484</v>
      </c>
      <c r="E2035" s="159">
        <v>10</v>
      </c>
      <c r="F2035" s="159" t="s">
        <v>5667</v>
      </c>
      <c r="G2035" s="159" t="s">
        <v>11842</v>
      </c>
    </row>
    <row r="2036" spans="1:7" ht="15.75" customHeight="1">
      <c r="A2036" s="159" t="s">
        <v>9275</v>
      </c>
      <c r="B2036" s="159" t="s">
        <v>9838</v>
      </c>
      <c r="C2036" s="159" t="s">
        <v>11843</v>
      </c>
      <c r="D2036" s="159" t="s">
        <v>477</v>
      </c>
      <c r="E2036" s="159">
        <v>200</v>
      </c>
      <c r="F2036" s="159" t="s">
        <v>5667</v>
      </c>
      <c r="G2036" s="159" t="s">
        <v>11844</v>
      </c>
    </row>
    <row r="2037" spans="1:7" ht="15.75" customHeight="1">
      <c r="A2037" s="159" t="s">
        <v>9275</v>
      </c>
      <c r="B2037" s="159" t="s">
        <v>9840</v>
      </c>
      <c r="C2037" s="159" t="s">
        <v>11839</v>
      </c>
      <c r="D2037" s="159" t="s">
        <v>484</v>
      </c>
      <c r="E2037" s="159">
        <v>10</v>
      </c>
      <c r="F2037" s="159" t="s">
        <v>5665</v>
      </c>
      <c r="G2037" s="159" t="s">
        <v>11840</v>
      </c>
    </row>
    <row r="2038" spans="1:7" ht="15.75" customHeight="1">
      <c r="A2038" s="159" t="s">
        <v>9275</v>
      </c>
      <c r="B2038" s="159" t="s">
        <v>9840</v>
      </c>
      <c r="C2038" s="159" t="s">
        <v>11549</v>
      </c>
      <c r="D2038" s="159" t="s">
        <v>484</v>
      </c>
      <c r="E2038" s="159">
        <v>10</v>
      </c>
      <c r="F2038" s="159" t="s">
        <v>5665</v>
      </c>
      <c r="G2038" s="159" t="s">
        <v>11550</v>
      </c>
    </row>
    <row r="2039" spans="1:7" ht="15.75" customHeight="1">
      <c r="A2039" s="159" t="s">
        <v>9275</v>
      </c>
      <c r="B2039" s="159" t="s">
        <v>9840</v>
      </c>
      <c r="C2039" s="159" t="s">
        <v>11845</v>
      </c>
      <c r="D2039" s="159" t="s">
        <v>484</v>
      </c>
      <c r="E2039" s="159">
        <v>10</v>
      </c>
      <c r="F2039" s="159" t="s">
        <v>5667</v>
      </c>
      <c r="G2039" s="159" t="s">
        <v>11846</v>
      </c>
    </row>
    <row r="2040" spans="1:7" ht="15.75" customHeight="1">
      <c r="A2040" s="159" t="s">
        <v>9275</v>
      </c>
      <c r="B2040" s="159" t="s">
        <v>9840</v>
      </c>
      <c r="C2040" s="159" t="s">
        <v>11847</v>
      </c>
      <c r="D2040" s="159" t="s">
        <v>3893</v>
      </c>
      <c r="E2040" s="159">
        <v>65535</v>
      </c>
      <c r="F2040" s="159" t="s">
        <v>5667</v>
      </c>
      <c r="G2040" s="159" t="s">
        <v>11848</v>
      </c>
    </row>
    <row r="2041" spans="1:7" ht="15.75" customHeight="1">
      <c r="A2041" s="159" t="s">
        <v>9275</v>
      </c>
      <c r="B2041" s="159" t="s">
        <v>9840</v>
      </c>
      <c r="C2041" s="159" t="s">
        <v>11849</v>
      </c>
      <c r="D2041" s="159" t="s">
        <v>3893</v>
      </c>
      <c r="E2041" s="159">
        <v>65535</v>
      </c>
      <c r="F2041" s="159" t="s">
        <v>5667</v>
      </c>
      <c r="G2041" s="159" t="s">
        <v>11850</v>
      </c>
    </row>
    <row r="2042" spans="1:7" ht="15.75" customHeight="1">
      <c r="A2042" s="159" t="s">
        <v>9275</v>
      </c>
      <c r="B2042" s="159" t="s">
        <v>9840</v>
      </c>
      <c r="C2042" s="159" t="s">
        <v>11851</v>
      </c>
      <c r="D2042" s="159" t="s">
        <v>477</v>
      </c>
      <c r="E2042" s="159">
        <v>200</v>
      </c>
      <c r="F2042" s="159" t="s">
        <v>5667</v>
      </c>
      <c r="G2042" s="159" t="s">
        <v>11852</v>
      </c>
    </row>
    <row r="2043" spans="1:7" ht="15.75" customHeight="1">
      <c r="A2043" s="159" t="s">
        <v>9275</v>
      </c>
      <c r="B2043" s="159" t="s">
        <v>9840</v>
      </c>
      <c r="C2043" s="159" t="s">
        <v>11853</v>
      </c>
      <c r="D2043" s="159" t="s">
        <v>477</v>
      </c>
      <c r="E2043" s="159">
        <v>200</v>
      </c>
      <c r="F2043" s="159" t="s">
        <v>5667</v>
      </c>
      <c r="G2043" s="159" t="s">
        <v>11854</v>
      </c>
    </row>
    <row r="2044" spans="1:7" ht="15.75" customHeight="1">
      <c r="A2044" s="159" t="s">
        <v>9275</v>
      </c>
      <c r="B2044" s="159" t="s">
        <v>9840</v>
      </c>
      <c r="C2044" s="159" t="s">
        <v>11855</v>
      </c>
      <c r="D2044" s="159" t="s">
        <v>477</v>
      </c>
      <c r="E2044" s="159">
        <v>200</v>
      </c>
      <c r="F2044" s="159" t="s">
        <v>5667</v>
      </c>
      <c r="G2044" s="159" t="s">
        <v>11856</v>
      </c>
    </row>
    <row r="2045" spans="1:7" ht="15.75" customHeight="1">
      <c r="A2045" s="159" t="s">
        <v>9275</v>
      </c>
      <c r="B2045" s="159" t="s">
        <v>9840</v>
      </c>
      <c r="C2045" s="159" t="s">
        <v>11857</v>
      </c>
      <c r="D2045" s="159" t="s">
        <v>484</v>
      </c>
      <c r="E2045" s="159">
        <v>10</v>
      </c>
      <c r="F2045" s="159" t="s">
        <v>5665</v>
      </c>
      <c r="G2045" s="159" t="s">
        <v>11858</v>
      </c>
    </row>
    <row r="2046" spans="1:7" ht="15.75" customHeight="1">
      <c r="A2046" s="159" t="s">
        <v>9275</v>
      </c>
      <c r="B2046" s="159" t="s">
        <v>9840</v>
      </c>
      <c r="C2046" s="159" t="s">
        <v>11859</v>
      </c>
      <c r="D2046" s="159" t="s">
        <v>1413</v>
      </c>
      <c r="E2046" s="159"/>
      <c r="F2046" s="159" t="s">
        <v>5667</v>
      </c>
      <c r="G2046" s="159" t="s">
        <v>11860</v>
      </c>
    </row>
    <row r="2047" spans="1:7" ht="15.75" customHeight="1">
      <c r="A2047" s="159" t="s">
        <v>9275</v>
      </c>
      <c r="B2047" s="159" t="s">
        <v>9840</v>
      </c>
      <c r="C2047" s="159" t="s">
        <v>11861</v>
      </c>
      <c r="D2047" s="159" t="s">
        <v>1413</v>
      </c>
      <c r="E2047" s="159"/>
      <c r="F2047" s="159" t="s">
        <v>5667</v>
      </c>
      <c r="G2047" s="159" t="s">
        <v>11862</v>
      </c>
    </row>
    <row r="2048" spans="1:7" ht="15.75" customHeight="1">
      <c r="A2048" s="159" t="s">
        <v>9275</v>
      </c>
      <c r="B2048" s="159" t="s">
        <v>9842</v>
      </c>
      <c r="C2048" s="159" t="s">
        <v>11863</v>
      </c>
      <c r="D2048" s="159" t="s">
        <v>484</v>
      </c>
      <c r="E2048" s="159">
        <v>10</v>
      </c>
      <c r="F2048" s="159" t="s">
        <v>5665</v>
      </c>
      <c r="G2048" s="159" t="s">
        <v>11864</v>
      </c>
    </row>
    <row r="2049" spans="1:7" ht="15.75" customHeight="1">
      <c r="A2049" s="159" t="s">
        <v>9275</v>
      </c>
      <c r="B2049" s="159" t="s">
        <v>9842</v>
      </c>
      <c r="C2049" s="159" t="s">
        <v>11839</v>
      </c>
      <c r="D2049" s="159" t="s">
        <v>484</v>
      </c>
      <c r="E2049" s="159">
        <v>10</v>
      </c>
      <c r="F2049" s="159" t="s">
        <v>5665</v>
      </c>
      <c r="G2049" s="159" t="s">
        <v>11840</v>
      </c>
    </row>
    <row r="2050" spans="1:7" ht="15.75" customHeight="1">
      <c r="A2050" s="159" t="s">
        <v>9275</v>
      </c>
      <c r="B2050" s="159" t="s">
        <v>9842</v>
      </c>
      <c r="C2050" s="159" t="s">
        <v>11837</v>
      </c>
      <c r="D2050" s="159" t="s">
        <v>484</v>
      </c>
      <c r="E2050" s="159">
        <v>10</v>
      </c>
      <c r="F2050" s="159" t="s">
        <v>5665</v>
      </c>
      <c r="G2050" s="159" t="s">
        <v>11838</v>
      </c>
    </row>
    <row r="2051" spans="1:7" ht="15.75" customHeight="1">
      <c r="A2051" s="159" t="s">
        <v>9275</v>
      </c>
      <c r="B2051" s="159" t="s">
        <v>9842</v>
      </c>
      <c r="C2051" s="159" t="s">
        <v>11865</v>
      </c>
      <c r="D2051" s="159" t="s">
        <v>1413</v>
      </c>
      <c r="E2051" s="159"/>
      <c r="F2051" s="159" t="s">
        <v>5667</v>
      </c>
      <c r="G2051" s="159" t="s">
        <v>11866</v>
      </c>
    </row>
    <row r="2052" spans="1:7" ht="15.75" customHeight="1">
      <c r="A2052" s="159" t="s">
        <v>9275</v>
      </c>
      <c r="B2052" s="159" t="s">
        <v>9844</v>
      </c>
      <c r="C2052" s="159" t="s">
        <v>11839</v>
      </c>
      <c r="D2052" s="159" t="s">
        <v>484</v>
      </c>
      <c r="E2052" s="159">
        <v>10</v>
      </c>
      <c r="F2052" s="159" t="s">
        <v>5665</v>
      </c>
      <c r="G2052" s="159" t="s">
        <v>11840</v>
      </c>
    </row>
    <row r="2053" spans="1:7" ht="15.75" customHeight="1">
      <c r="A2053" s="159" t="s">
        <v>9275</v>
      </c>
      <c r="B2053" s="159" t="s">
        <v>9844</v>
      </c>
      <c r="C2053" s="159" t="s">
        <v>10290</v>
      </c>
      <c r="D2053" s="159" t="s">
        <v>978</v>
      </c>
      <c r="E2053" s="159">
        <v>5</v>
      </c>
      <c r="F2053" s="159" t="s">
        <v>5665</v>
      </c>
      <c r="G2053" s="159" t="s">
        <v>10507</v>
      </c>
    </row>
    <row r="2054" spans="1:7" ht="15.75" customHeight="1">
      <c r="A2054" s="159" t="s">
        <v>9275</v>
      </c>
      <c r="B2054" s="159" t="s">
        <v>9846</v>
      </c>
      <c r="C2054" s="159" t="s">
        <v>11837</v>
      </c>
      <c r="D2054" s="159" t="s">
        <v>484</v>
      </c>
      <c r="E2054" s="159">
        <v>10</v>
      </c>
      <c r="F2054" s="159" t="s">
        <v>5665</v>
      </c>
      <c r="G2054" s="159" t="s">
        <v>11838</v>
      </c>
    </row>
    <row r="2055" spans="1:7" ht="15.75" customHeight="1">
      <c r="A2055" s="159" t="s">
        <v>9275</v>
      </c>
      <c r="B2055" s="159" t="s">
        <v>9846</v>
      </c>
      <c r="C2055" s="159" t="s">
        <v>10290</v>
      </c>
      <c r="D2055" s="159" t="s">
        <v>978</v>
      </c>
      <c r="E2055" s="159">
        <v>5</v>
      </c>
      <c r="F2055" s="159" t="s">
        <v>5667</v>
      </c>
      <c r="G2055" s="159" t="s">
        <v>10507</v>
      </c>
    </row>
    <row r="2056" spans="1:7" ht="15.75" customHeight="1">
      <c r="A2056" s="159" t="s">
        <v>9275</v>
      </c>
      <c r="B2056" s="159" t="s">
        <v>9846</v>
      </c>
      <c r="C2056" s="159" t="s">
        <v>11867</v>
      </c>
      <c r="D2056" s="159" t="s">
        <v>1413</v>
      </c>
      <c r="E2056" s="159"/>
      <c r="F2056" s="159" t="s">
        <v>5667</v>
      </c>
      <c r="G2056" s="159" t="s">
        <v>11868</v>
      </c>
    </row>
    <row r="2057" spans="1:7" ht="15.75" customHeight="1">
      <c r="A2057" s="159" t="s">
        <v>9275</v>
      </c>
      <c r="B2057" s="159" t="s">
        <v>9846</v>
      </c>
      <c r="C2057" s="159" t="s">
        <v>3940</v>
      </c>
      <c r="D2057" s="159" t="s">
        <v>484</v>
      </c>
      <c r="E2057" s="159">
        <v>10</v>
      </c>
      <c r="F2057" s="159" t="s">
        <v>5665</v>
      </c>
      <c r="G2057" s="159" t="s">
        <v>10747</v>
      </c>
    </row>
    <row r="2058" spans="1:7" ht="15.75" customHeight="1">
      <c r="A2058" s="159" t="s">
        <v>9275</v>
      </c>
      <c r="B2058" s="159" t="s">
        <v>9846</v>
      </c>
      <c r="C2058" s="159" t="s">
        <v>11869</v>
      </c>
      <c r="D2058" s="159" t="s">
        <v>477</v>
      </c>
      <c r="E2058" s="159">
        <v>150</v>
      </c>
      <c r="F2058" s="159" t="s">
        <v>5667</v>
      </c>
      <c r="G2058" s="159" t="s">
        <v>11870</v>
      </c>
    </row>
    <row r="2059" spans="1:7" ht="15.75" customHeight="1">
      <c r="A2059" s="159" t="s">
        <v>9275</v>
      </c>
      <c r="B2059" s="159" t="s">
        <v>9846</v>
      </c>
      <c r="C2059" s="159" t="s">
        <v>11480</v>
      </c>
      <c r="D2059" s="159" t="s">
        <v>484</v>
      </c>
      <c r="E2059" s="159">
        <v>10</v>
      </c>
      <c r="F2059" s="159" t="s">
        <v>5665</v>
      </c>
      <c r="G2059" s="159" t="s">
        <v>11871</v>
      </c>
    </row>
    <row r="2060" spans="1:7" ht="15.75" customHeight="1">
      <c r="A2060" s="159" t="s">
        <v>9275</v>
      </c>
      <c r="B2060" s="159" t="s">
        <v>9846</v>
      </c>
      <c r="C2060" s="159" t="s">
        <v>11872</v>
      </c>
      <c r="D2060" s="159" t="s">
        <v>477</v>
      </c>
      <c r="E2060" s="159">
        <v>32</v>
      </c>
      <c r="F2060" s="159" t="s">
        <v>5667</v>
      </c>
      <c r="G2060" s="159" t="s">
        <v>11873</v>
      </c>
    </row>
    <row r="2061" spans="1:7" ht="15.75" customHeight="1">
      <c r="A2061" s="159" t="s">
        <v>9275</v>
      </c>
      <c r="B2061" s="159" t="s">
        <v>9848</v>
      </c>
      <c r="C2061" s="159" t="s">
        <v>11549</v>
      </c>
      <c r="D2061" s="159" t="s">
        <v>484</v>
      </c>
      <c r="E2061" s="159">
        <v>10</v>
      </c>
      <c r="F2061" s="159" t="s">
        <v>5665</v>
      </c>
      <c r="G2061" s="159" t="s">
        <v>11550</v>
      </c>
    </row>
    <row r="2062" spans="1:7" ht="15.75" customHeight="1">
      <c r="A2062" s="159" t="s">
        <v>9275</v>
      </c>
      <c r="B2062" s="159" t="s">
        <v>9848</v>
      </c>
      <c r="C2062" s="159" t="s">
        <v>11551</v>
      </c>
      <c r="D2062" s="159" t="s">
        <v>477</v>
      </c>
      <c r="E2062" s="159">
        <v>150</v>
      </c>
      <c r="F2062" s="159" t="s">
        <v>5667</v>
      </c>
      <c r="G2062" s="159" t="s">
        <v>11874</v>
      </c>
    </row>
    <row r="2063" spans="1:7" ht="15.75" customHeight="1">
      <c r="A2063" s="159" t="s">
        <v>9275</v>
      </c>
      <c r="B2063" s="159" t="s">
        <v>9848</v>
      </c>
      <c r="C2063" s="159" t="s">
        <v>11553</v>
      </c>
      <c r="D2063" s="159" t="s">
        <v>3893</v>
      </c>
      <c r="E2063" s="159">
        <v>65535</v>
      </c>
      <c r="F2063" s="159" t="s">
        <v>5667</v>
      </c>
      <c r="G2063" s="159" t="s">
        <v>11875</v>
      </c>
    </row>
    <row r="2064" spans="1:7" ht="15.75" customHeight="1">
      <c r="A2064" s="159" t="s">
        <v>9275</v>
      </c>
      <c r="B2064" s="159" t="s">
        <v>9848</v>
      </c>
      <c r="C2064" s="159" t="s">
        <v>11555</v>
      </c>
      <c r="D2064" s="159" t="s">
        <v>3893</v>
      </c>
      <c r="E2064" s="159">
        <v>65535</v>
      </c>
      <c r="F2064" s="159" t="s">
        <v>5667</v>
      </c>
      <c r="G2064" s="159" t="s">
        <v>11876</v>
      </c>
    </row>
    <row r="2065" spans="1:7" ht="15.75" customHeight="1">
      <c r="A2065" s="159" t="s">
        <v>9275</v>
      </c>
      <c r="B2065" s="159" t="s">
        <v>9848</v>
      </c>
      <c r="C2065" s="159" t="s">
        <v>11557</v>
      </c>
      <c r="D2065" s="159" t="s">
        <v>484</v>
      </c>
      <c r="E2065" s="159">
        <v>10</v>
      </c>
      <c r="F2065" s="159" t="s">
        <v>5667</v>
      </c>
      <c r="G2065" s="159" t="s">
        <v>11558</v>
      </c>
    </row>
    <row r="2066" spans="1:7" ht="15.75" customHeight="1">
      <c r="A2066" s="159" t="s">
        <v>9275</v>
      </c>
      <c r="B2066" s="159" t="s">
        <v>9848</v>
      </c>
      <c r="C2066" s="159" t="s">
        <v>11559</v>
      </c>
      <c r="D2066" s="159" t="s">
        <v>477</v>
      </c>
      <c r="E2066" s="159">
        <v>200</v>
      </c>
      <c r="F2066" s="159" t="s">
        <v>5667</v>
      </c>
      <c r="G2066" s="159" t="s">
        <v>11560</v>
      </c>
    </row>
    <row r="2067" spans="1:7" ht="15.75" customHeight="1">
      <c r="A2067" s="159" t="s">
        <v>9275</v>
      </c>
      <c r="B2067" s="159" t="s">
        <v>9848</v>
      </c>
      <c r="C2067" s="159" t="s">
        <v>11561</v>
      </c>
      <c r="D2067" s="159" t="s">
        <v>477</v>
      </c>
      <c r="E2067" s="159">
        <v>200</v>
      </c>
      <c r="F2067" s="159" t="s">
        <v>5667</v>
      </c>
      <c r="G2067" s="159" t="s">
        <v>11562</v>
      </c>
    </row>
    <row r="2068" spans="1:7" ht="15.75" customHeight="1">
      <c r="A2068" s="159" t="s">
        <v>9275</v>
      </c>
      <c r="B2068" s="159" t="s">
        <v>9848</v>
      </c>
      <c r="C2068" s="159" t="s">
        <v>11563</v>
      </c>
      <c r="D2068" s="159" t="s">
        <v>477</v>
      </c>
      <c r="E2068" s="159">
        <v>200</v>
      </c>
      <c r="F2068" s="159" t="s">
        <v>5667</v>
      </c>
      <c r="G2068" s="159" t="s">
        <v>11564</v>
      </c>
    </row>
    <row r="2069" spans="1:7" ht="15.75" customHeight="1">
      <c r="A2069" s="159" t="s">
        <v>9275</v>
      </c>
      <c r="B2069" s="159" t="s">
        <v>9848</v>
      </c>
      <c r="C2069" s="159" t="s">
        <v>11877</v>
      </c>
      <c r="D2069" s="159" t="s">
        <v>978</v>
      </c>
      <c r="E2069" s="159">
        <v>5</v>
      </c>
      <c r="F2069" s="159" t="s">
        <v>5667</v>
      </c>
      <c r="G2069" s="159" t="s">
        <v>11878</v>
      </c>
    </row>
    <row r="2070" spans="1:7" ht="15.75" customHeight="1">
      <c r="A2070" s="159" t="s">
        <v>9275</v>
      </c>
      <c r="B2070" s="159" t="s">
        <v>9848</v>
      </c>
      <c r="C2070" s="159" t="s">
        <v>10936</v>
      </c>
      <c r="D2070" s="159" t="s">
        <v>1413</v>
      </c>
      <c r="E2070" s="159"/>
      <c r="F2070" s="159" t="s">
        <v>5667</v>
      </c>
      <c r="G2070" s="159" t="s">
        <v>10937</v>
      </c>
    </row>
    <row r="2071" spans="1:7" ht="15.75" customHeight="1">
      <c r="A2071" s="159" t="s">
        <v>9275</v>
      </c>
      <c r="B2071" s="159" t="s">
        <v>9848</v>
      </c>
      <c r="C2071" s="159" t="s">
        <v>11566</v>
      </c>
      <c r="D2071" s="159" t="s">
        <v>1413</v>
      </c>
      <c r="E2071" s="159"/>
      <c r="F2071" s="159" t="s">
        <v>5667</v>
      </c>
      <c r="G2071" s="159" t="s">
        <v>11879</v>
      </c>
    </row>
    <row r="2072" spans="1:7" ht="15.75" customHeight="1">
      <c r="A2072" s="159" t="s">
        <v>9275</v>
      </c>
      <c r="B2072" s="159" t="s">
        <v>9848</v>
      </c>
      <c r="C2072" s="159" t="s">
        <v>11572</v>
      </c>
      <c r="D2072" s="159" t="s">
        <v>805</v>
      </c>
      <c r="E2072" s="159">
        <v>3</v>
      </c>
      <c r="F2072" s="159" t="s">
        <v>5665</v>
      </c>
      <c r="G2072" s="159" t="s">
        <v>11573</v>
      </c>
    </row>
    <row r="2073" spans="1:7" ht="15.75" customHeight="1">
      <c r="A2073" s="159" t="s">
        <v>9275</v>
      </c>
      <c r="B2073" s="159" t="s">
        <v>9850</v>
      </c>
      <c r="C2073" s="159" t="s">
        <v>10287</v>
      </c>
      <c r="D2073" s="159" t="s">
        <v>484</v>
      </c>
      <c r="E2073" s="159">
        <v>10</v>
      </c>
      <c r="F2073" s="159" t="s">
        <v>5665</v>
      </c>
      <c r="G2073" s="159" t="s">
        <v>10237</v>
      </c>
    </row>
    <row r="2074" spans="1:7" ht="15.75" customHeight="1">
      <c r="A2074" s="159" t="s">
        <v>9275</v>
      </c>
      <c r="B2074" s="159" t="s">
        <v>9850</v>
      </c>
      <c r="C2074" s="159" t="s">
        <v>10190</v>
      </c>
      <c r="D2074" s="159" t="s">
        <v>1413</v>
      </c>
      <c r="E2074" s="159"/>
      <c r="F2074" s="159" t="s">
        <v>5665</v>
      </c>
      <c r="G2074" s="159" t="s">
        <v>10281</v>
      </c>
    </row>
    <row r="2075" spans="1:7" ht="15.75" customHeight="1">
      <c r="A2075" s="159" t="s">
        <v>9275</v>
      </c>
      <c r="B2075" s="159" t="s">
        <v>9850</v>
      </c>
      <c r="C2075" s="159" t="s">
        <v>10242</v>
      </c>
      <c r="D2075" s="159" t="s">
        <v>1413</v>
      </c>
      <c r="E2075" s="159"/>
      <c r="F2075" s="159" t="s">
        <v>5667</v>
      </c>
      <c r="G2075" s="159" t="s">
        <v>10282</v>
      </c>
    </row>
    <row r="2076" spans="1:7" ht="15.75" customHeight="1">
      <c r="A2076" s="159" t="s">
        <v>9275</v>
      </c>
      <c r="B2076" s="159" t="s">
        <v>9850</v>
      </c>
      <c r="C2076" s="159" t="s">
        <v>156</v>
      </c>
      <c r="D2076" s="159" t="s">
        <v>477</v>
      </c>
      <c r="E2076" s="159">
        <v>255</v>
      </c>
      <c r="F2076" s="159" t="s">
        <v>5665</v>
      </c>
      <c r="G2076" s="159" t="s">
        <v>11880</v>
      </c>
    </row>
    <row r="2077" spans="1:7" ht="15.75" customHeight="1">
      <c r="A2077" s="159" t="s">
        <v>9275</v>
      </c>
      <c r="B2077" s="159" t="s">
        <v>9850</v>
      </c>
      <c r="C2077" s="159" t="s">
        <v>11881</v>
      </c>
      <c r="D2077" s="159" t="s">
        <v>477</v>
      </c>
      <c r="E2077" s="159">
        <v>32</v>
      </c>
      <c r="F2077" s="159" t="s">
        <v>5665</v>
      </c>
      <c r="G2077" s="159" t="s">
        <v>11882</v>
      </c>
    </row>
    <row r="2078" spans="1:7" ht="15.75" customHeight="1">
      <c r="A2078" s="159" t="s">
        <v>9275</v>
      </c>
      <c r="B2078" s="159" t="s">
        <v>9850</v>
      </c>
      <c r="C2078" s="159" t="s">
        <v>11744</v>
      </c>
      <c r="D2078" s="159" t="s">
        <v>477</v>
      </c>
      <c r="E2078" s="159">
        <v>32</v>
      </c>
      <c r="F2078" s="159" t="s">
        <v>5665</v>
      </c>
      <c r="G2078" s="159" t="s">
        <v>11883</v>
      </c>
    </row>
    <row r="2079" spans="1:7" ht="15.75" customHeight="1">
      <c r="A2079" s="159" t="s">
        <v>9275</v>
      </c>
      <c r="B2079" s="159" t="s">
        <v>9850</v>
      </c>
      <c r="C2079" s="159" t="s">
        <v>11884</v>
      </c>
      <c r="D2079" s="159" t="s">
        <v>3893</v>
      </c>
      <c r="E2079" s="159">
        <v>65535</v>
      </c>
      <c r="F2079" s="159" t="s">
        <v>5667</v>
      </c>
      <c r="G2079" s="159" t="s">
        <v>11885</v>
      </c>
    </row>
    <row r="2080" spans="1:7" ht="15.75" customHeight="1">
      <c r="A2080" s="159" t="s">
        <v>9275</v>
      </c>
      <c r="B2080" s="159" t="s">
        <v>9850</v>
      </c>
      <c r="C2080" s="159" t="s">
        <v>11886</v>
      </c>
      <c r="D2080" s="159" t="s">
        <v>3893</v>
      </c>
      <c r="E2080" s="159">
        <v>65535</v>
      </c>
      <c r="F2080" s="159" t="s">
        <v>5665</v>
      </c>
      <c r="G2080" s="159" t="s">
        <v>11887</v>
      </c>
    </row>
    <row r="2081" spans="1:7" ht="15.75" customHeight="1">
      <c r="A2081" s="159" t="s">
        <v>9275</v>
      </c>
      <c r="B2081" s="159" t="s">
        <v>9852</v>
      </c>
      <c r="C2081" s="159" t="s">
        <v>11888</v>
      </c>
      <c r="D2081" s="159" t="s">
        <v>477</v>
      </c>
      <c r="E2081" s="159">
        <v>32</v>
      </c>
      <c r="F2081" s="159" t="s">
        <v>5665</v>
      </c>
      <c r="G2081" s="159" t="s">
        <v>11889</v>
      </c>
    </row>
    <row r="2082" spans="1:7" ht="15.75" customHeight="1">
      <c r="A2082" s="159" t="s">
        <v>9275</v>
      </c>
      <c r="B2082" s="159" t="s">
        <v>9852</v>
      </c>
      <c r="C2082" s="159" t="s">
        <v>1413</v>
      </c>
      <c r="D2082" s="159" t="s">
        <v>484</v>
      </c>
      <c r="E2082" s="159">
        <v>10</v>
      </c>
      <c r="F2082" s="159" t="s">
        <v>5665</v>
      </c>
      <c r="G2082" s="159" t="s">
        <v>11890</v>
      </c>
    </row>
    <row r="2083" spans="1:7" ht="15.75" customHeight="1">
      <c r="A2083" s="159" t="s">
        <v>9275</v>
      </c>
      <c r="B2083" s="159" t="s">
        <v>9852</v>
      </c>
      <c r="C2083" s="159" t="s">
        <v>11690</v>
      </c>
      <c r="D2083" s="159" t="s">
        <v>484</v>
      </c>
      <c r="E2083" s="159">
        <v>10</v>
      </c>
      <c r="F2083" s="159" t="s">
        <v>5665</v>
      </c>
      <c r="G2083" s="159" t="s">
        <v>11891</v>
      </c>
    </row>
    <row r="2084" spans="1:7" ht="15.75" customHeight="1">
      <c r="A2084" s="159" t="s">
        <v>9275</v>
      </c>
      <c r="B2084" s="159" t="s">
        <v>9854</v>
      </c>
      <c r="C2084" s="159" t="s">
        <v>10287</v>
      </c>
      <c r="D2084" s="159" t="s">
        <v>484</v>
      </c>
      <c r="E2084" s="159">
        <v>10</v>
      </c>
      <c r="F2084" s="159" t="s">
        <v>5665</v>
      </c>
      <c r="G2084" s="159" t="s">
        <v>10237</v>
      </c>
    </row>
    <row r="2085" spans="1:7" ht="15.75" customHeight="1">
      <c r="A2085" s="159" t="s">
        <v>9275</v>
      </c>
      <c r="B2085" s="159" t="s">
        <v>9854</v>
      </c>
      <c r="C2085" s="159" t="s">
        <v>11690</v>
      </c>
      <c r="D2085" s="159" t="s">
        <v>484</v>
      </c>
      <c r="E2085" s="159">
        <v>10</v>
      </c>
      <c r="F2085" s="159" t="s">
        <v>5667</v>
      </c>
      <c r="G2085" s="159" t="s">
        <v>11892</v>
      </c>
    </row>
    <row r="2086" spans="1:7" ht="15.75" customHeight="1">
      <c r="A2086" s="159" t="s">
        <v>9275</v>
      </c>
      <c r="B2086" s="159" t="s">
        <v>9854</v>
      </c>
      <c r="C2086" s="159" t="s">
        <v>11746</v>
      </c>
      <c r="D2086" s="159" t="s">
        <v>484</v>
      </c>
      <c r="E2086" s="159">
        <v>10</v>
      </c>
      <c r="F2086" s="159" t="s">
        <v>5667</v>
      </c>
      <c r="G2086" s="159" t="s">
        <v>11893</v>
      </c>
    </row>
    <row r="2087" spans="1:7" ht="15.75" customHeight="1">
      <c r="A2087" s="159" t="s">
        <v>9275</v>
      </c>
      <c r="B2087" s="159" t="s">
        <v>9854</v>
      </c>
      <c r="C2087" s="159" t="s">
        <v>3940</v>
      </c>
      <c r="D2087" s="159" t="s">
        <v>484</v>
      </c>
      <c r="E2087" s="159">
        <v>10</v>
      </c>
      <c r="F2087" s="159" t="s">
        <v>5667</v>
      </c>
      <c r="G2087" s="159" t="s">
        <v>11894</v>
      </c>
    </row>
    <row r="2088" spans="1:7" ht="15.75" customHeight="1">
      <c r="A2088" s="159" t="s">
        <v>9275</v>
      </c>
      <c r="B2088" s="159" t="s">
        <v>9854</v>
      </c>
      <c r="C2088" s="159" t="s">
        <v>5609</v>
      </c>
      <c r="D2088" s="159" t="s">
        <v>477</v>
      </c>
      <c r="E2088" s="159">
        <v>16</v>
      </c>
      <c r="F2088" s="159" t="s">
        <v>5665</v>
      </c>
      <c r="G2088" s="159" t="s">
        <v>11895</v>
      </c>
    </row>
    <row r="2089" spans="1:7" ht="15.75" customHeight="1">
      <c r="A2089" s="159" t="s">
        <v>9275</v>
      </c>
      <c r="B2089" s="159" t="s">
        <v>9854</v>
      </c>
      <c r="C2089" s="159" t="s">
        <v>11784</v>
      </c>
      <c r="D2089" s="159" t="s">
        <v>477</v>
      </c>
      <c r="E2089" s="159">
        <v>32</v>
      </c>
      <c r="F2089" s="159" t="s">
        <v>5665</v>
      </c>
      <c r="G2089" s="159" t="s">
        <v>11785</v>
      </c>
    </row>
    <row r="2090" spans="1:7" ht="15.75" customHeight="1">
      <c r="A2090" s="159" t="s">
        <v>9275</v>
      </c>
      <c r="B2090" s="159" t="s">
        <v>9854</v>
      </c>
      <c r="C2090" s="159" t="s">
        <v>11744</v>
      </c>
      <c r="D2090" s="159" t="s">
        <v>477</v>
      </c>
      <c r="E2090" s="159">
        <v>32</v>
      </c>
      <c r="F2090" s="159" t="s">
        <v>5665</v>
      </c>
      <c r="G2090" s="159" t="s">
        <v>11896</v>
      </c>
    </row>
    <row r="2091" spans="1:7" ht="15.75" customHeight="1">
      <c r="A2091" s="159" t="s">
        <v>9275</v>
      </c>
      <c r="B2091" s="159" t="s">
        <v>9854</v>
      </c>
      <c r="C2091" s="159" t="s">
        <v>11897</v>
      </c>
      <c r="D2091" s="159" t="s">
        <v>477</v>
      </c>
      <c r="E2091" s="159">
        <v>32</v>
      </c>
      <c r="F2091" s="159" t="s">
        <v>5667</v>
      </c>
      <c r="G2091" s="159" t="s">
        <v>11898</v>
      </c>
    </row>
    <row r="2092" spans="1:7" ht="15.75" customHeight="1">
      <c r="A2092" s="159" t="s">
        <v>9275</v>
      </c>
      <c r="B2092" s="159" t="s">
        <v>9854</v>
      </c>
      <c r="C2092" s="159" t="s">
        <v>11884</v>
      </c>
      <c r="D2092" s="159" t="s">
        <v>3893</v>
      </c>
      <c r="E2092" s="159">
        <v>65535</v>
      </c>
      <c r="F2092" s="159" t="s">
        <v>5665</v>
      </c>
      <c r="G2092" s="159" t="s">
        <v>11899</v>
      </c>
    </row>
    <row r="2093" spans="1:7" ht="15.75" customHeight="1">
      <c r="A2093" s="159" t="s">
        <v>9275</v>
      </c>
      <c r="B2093" s="159" t="s">
        <v>9854</v>
      </c>
      <c r="C2093" s="159" t="s">
        <v>11900</v>
      </c>
      <c r="D2093" s="159" t="s">
        <v>978</v>
      </c>
      <c r="E2093" s="159">
        <v>5</v>
      </c>
      <c r="F2093" s="159" t="s">
        <v>5665</v>
      </c>
      <c r="G2093" s="159" t="s">
        <v>11901</v>
      </c>
    </row>
    <row r="2094" spans="1:7" ht="15.75" customHeight="1">
      <c r="A2094" s="159" t="s">
        <v>9275</v>
      </c>
      <c r="B2094" s="159" t="s">
        <v>9854</v>
      </c>
      <c r="C2094" s="159" t="s">
        <v>11902</v>
      </c>
      <c r="D2094" s="159" t="s">
        <v>978</v>
      </c>
      <c r="E2094" s="159">
        <v>5</v>
      </c>
      <c r="F2094" s="159" t="s">
        <v>5665</v>
      </c>
      <c r="G2094" s="159" t="s">
        <v>11903</v>
      </c>
    </row>
    <row r="2095" spans="1:7" ht="15.75" customHeight="1">
      <c r="A2095" s="159" t="s">
        <v>9275</v>
      </c>
      <c r="B2095" s="159" t="s">
        <v>9854</v>
      </c>
      <c r="C2095" s="159" t="s">
        <v>10731</v>
      </c>
      <c r="D2095" s="159" t="s">
        <v>484</v>
      </c>
      <c r="E2095" s="159">
        <v>10</v>
      </c>
      <c r="F2095" s="159" t="s">
        <v>5667</v>
      </c>
      <c r="G2095" s="159" t="s">
        <v>11904</v>
      </c>
    </row>
    <row r="2096" spans="1:7" ht="15.75" customHeight="1">
      <c r="A2096" s="159" t="s">
        <v>9275</v>
      </c>
      <c r="B2096" s="159" t="s">
        <v>9854</v>
      </c>
      <c r="C2096" s="159" t="s">
        <v>10190</v>
      </c>
      <c r="D2096" s="159" t="s">
        <v>1413</v>
      </c>
      <c r="E2096" s="159"/>
      <c r="F2096" s="159" t="s">
        <v>5665</v>
      </c>
      <c r="G2096" s="159" t="s">
        <v>11905</v>
      </c>
    </row>
    <row r="2097" spans="1:7" ht="15.75" customHeight="1">
      <c r="A2097" s="159" t="s">
        <v>9275</v>
      </c>
      <c r="B2097" s="159" t="s">
        <v>9856</v>
      </c>
      <c r="C2097" s="159" t="s">
        <v>183</v>
      </c>
      <c r="D2097" s="159" t="s">
        <v>484</v>
      </c>
      <c r="E2097" s="159">
        <v>10</v>
      </c>
      <c r="F2097" s="159" t="s">
        <v>5665</v>
      </c>
      <c r="G2097" s="159" t="s">
        <v>10174</v>
      </c>
    </row>
    <row r="2098" spans="1:7" ht="15.75" customHeight="1">
      <c r="A2098" s="159" t="s">
        <v>9275</v>
      </c>
      <c r="B2098" s="159" t="s">
        <v>9856</v>
      </c>
      <c r="C2098" s="159" t="s">
        <v>11764</v>
      </c>
      <c r="D2098" s="159" t="s">
        <v>477</v>
      </c>
      <c r="E2098" s="159">
        <v>255</v>
      </c>
      <c r="F2098" s="159" t="s">
        <v>5665</v>
      </c>
      <c r="G2098" s="159" t="s">
        <v>11906</v>
      </c>
    </row>
    <row r="2099" spans="1:7" ht="15.75" customHeight="1">
      <c r="A2099" s="159" t="s">
        <v>9275</v>
      </c>
      <c r="B2099" s="159" t="s">
        <v>9856</v>
      </c>
      <c r="C2099" s="159" t="s">
        <v>10731</v>
      </c>
      <c r="D2099" s="159" t="s">
        <v>978</v>
      </c>
      <c r="E2099" s="159">
        <v>5</v>
      </c>
      <c r="F2099" s="159" t="s">
        <v>5665</v>
      </c>
      <c r="G2099" s="159" t="s">
        <v>11907</v>
      </c>
    </row>
    <row r="2100" spans="1:7" ht="15.75" customHeight="1">
      <c r="A2100" s="159" t="s">
        <v>9275</v>
      </c>
      <c r="B2100" s="159" t="s">
        <v>9856</v>
      </c>
      <c r="C2100" s="159" t="s">
        <v>11908</v>
      </c>
      <c r="D2100" s="159" t="s">
        <v>978</v>
      </c>
      <c r="E2100" s="159">
        <v>5</v>
      </c>
      <c r="F2100" s="159" t="s">
        <v>5667</v>
      </c>
      <c r="G2100" s="159" t="s">
        <v>11909</v>
      </c>
    </row>
    <row r="2101" spans="1:7" ht="15.75" customHeight="1">
      <c r="A2101" s="159" t="s">
        <v>9275</v>
      </c>
      <c r="B2101" s="159" t="s">
        <v>9856</v>
      </c>
      <c r="C2101" s="159" t="s">
        <v>11910</v>
      </c>
      <c r="D2101" s="159" t="s">
        <v>1413</v>
      </c>
      <c r="E2101" s="159"/>
      <c r="F2101" s="159" t="s">
        <v>5665</v>
      </c>
      <c r="G2101" s="159" t="s">
        <v>11911</v>
      </c>
    </row>
    <row r="2102" spans="1:7" ht="15.75" customHeight="1">
      <c r="A2102" s="159" t="s">
        <v>9275</v>
      </c>
      <c r="B2102" s="159" t="s">
        <v>9858</v>
      </c>
      <c r="C2102" s="159" t="s">
        <v>3897</v>
      </c>
      <c r="D2102" s="159" t="s">
        <v>484</v>
      </c>
      <c r="E2102" s="159">
        <v>10</v>
      </c>
      <c r="F2102" s="159" t="s">
        <v>5665</v>
      </c>
      <c r="G2102" s="159" t="s">
        <v>10237</v>
      </c>
    </row>
    <row r="2103" spans="1:7" ht="15.75" customHeight="1">
      <c r="A2103" s="159" t="s">
        <v>9275</v>
      </c>
      <c r="B2103" s="159" t="s">
        <v>9858</v>
      </c>
      <c r="C2103" s="159" t="s">
        <v>11912</v>
      </c>
      <c r="D2103" s="159" t="s">
        <v>978</v>
      </c>
      <c r="E2103" s="159">
        <v>5</v>
      </c>
      <c r="F2103" s="159" t="s">
        <v>5665</v>
      </c>
      <c r="G2103" s="159" t="s">
        <v>11913</v>
      </c>
    </row>
    <row r="2104" spans="1:7" ht="15.75" customHeight="1">
      <c r="A2104" s="159" t="s">
        <v>9275</v>
      </c>
      <c r="B2104" s="159" t="s">
        <v>9858</v>
      </c>
      <c r="C2104" s="159" t="s">
        <v>11914</v>
      </c>
      <c r="D2104" s="159" t="s">
        <v>477</v>
      </c>
      <c r="E2104" s="159">
        <v>255</v>
      </c>
      <c r="F2104" s="159" t="s">
        <v>5667</v>
      </c>
      <c r="G2104" s="159" t="s">
        <v>11915</v>
      </c>
    </row>
    <row r="2105" spans="1:7" ht="15.75" customHeight="1">
      <c r="A2105" s="159" t="s">
        <v>9275</v>
      </c>
      <c r="B2105" s="159" t="s">
        <v>9858</v>
      </c>
      <c r="C2105" s="159" t="s">
        <v>10190</v>
      </c>
      <c r="D2105" s="159" t="s">
        <v>1413</v>
      </c>
      <c r="E2105" s="159"/>
      <c r="F2105" s="159" t="s">
        <v>5665</v>
      </c>
      <c r="G2105" s="159" t="s">
        <v>11916</v>
      </c>
    </row>
    <row r="2106" spans="1:7" ht="15.75" customHeight="1">
      <c r="A2106" s="159" t="s">
        <v>9275</v>
      </c>
      <c r="B2106" s="159" t="s">
        <v>9858</v>
      </c>
      <c r="C2106" s="159" t="s">
        <v>10244</v>
      </c>
      <c r="D2106" s="159" t="s">
        <v>477</v>
      </c>
      <c r="E2106" s="159">
        <v>15</v>
      </c>
      <c r="F2106" s="159" t="s">
        <v>5665</v>
      </c>
      <c r="G2106" s="159" t="s">
        <v>10245</v>
      </c>
    </row>
    <row r="2107" spans="1:7" ht="15.75" customHeight="1">
      <c r="A2107" s="159" t="s">
        <v>9275</v>
      </c>
      <c r="B2107" s="159" t="s">
        <v>9860</v>
      </c>
      <c r="C2107" s="159" t="s">
        <v>11917</v>
      </c>
      <c r="D2107" s="159" t="s">
        <v>484</v>
      </c>
      <c r="E2107" s="159">
        <v>10</v>
      </c>
      <c r="F2107" s="159" t="s">
        <v>5665</v>
      </c>
      <c r="G2107" s="159" t="s">
        <v>11918</v>
      </c>
    </row>
    <row r="2108" spans="1:7" ht="15.75" customHeight="1">
      <c r="A2108" s="159" t="s">
        <v>9275</v>
      </c>
      <c r="B2108" s="159" t="s">
        <v>9860</v>
      </c>
      <c r="C2108" s="159" t="s">
        <v>11919</v>
      </c>
      <c r="D2108" s="159" t="s">
        <v>477</v>
      </c>
      <c r="E2108" s="159">
        <v>1024</v>
      </c>
      <c r="F2108" s="159" t="s">
        <v>5665</v>
      </c>
      <c r="G2108" s="159" t="s">
        <v>11920</v>
      </c>
    </row>
    <row r="2109" spans="1:7" ht="15.75" customHeight="1">
      <c r="A2109" s="159" t="s">
        <v>9275</v>
      </c>
      <c r="B2109" s="159" t="s">
        <v>9862</v>
      </c>
      <c r="C2109" s="159" t="s">
        <v>10287</v>
      </c>
      <c r="D2109" s="159" t="s">
        <v>484</v>
      </c>
      <c r="E2109" s="159">
        <v>10</v>
      </c>
      <c r="F2109" s="159" t="s">
        <v>5665</v>
      </c>
      <c r="G2109" s="159" t="s">
        <v>10676</v>
      </c>
    </row>
    <row r="2110" spans="1:7" ht="15.75" customHeight="1">
      <c r="A2110" s="159" t="s">
        <v>9275</v>
      </c>
      <c r="B2110" s="159" t="s">
        <v>9862</v>
      </c>
      <c r="C2110" s="159" t="s">
        <v>3635</v>
      </c>
      <c r="D2110" s="159" t="s">
        <v>477</v>
      </c>
      <c r="E2110" s="159">
        <v>20</v>
      </c>
      <c r="F2110" s="159" t="s">
        <v>5665</v>
      </c>
      <c r="G2110" s="159" t="s">
        <v>10749</v>
      </c>
    </row>
    <row r="2111" spans="1:7" ht="15.75" customHeight="1">
      <c r="A2111" s="159" t="s">
        <v>9275</v>
      </c>
      <c r="B2111" s="159" t="s">
        <v>9862</v>
      </c>
      <c r="C2111" s="159" t="s">
        <v>5693</v>
      </c>
      <c r="D2111" s="159" t="s">
        <v>484</v>
      </c>
      <c r="E2111" s="159">
        <v>10</v>
      </c>
      <c r="F2111" s="159" t="s">
        <v>5665</v>
      </c>
      <c r="G2111" s="159" t="s">
        <v>10179</v>
      </c>
    </row>
    <row r="2112" spans="1:7" ht="15.75" customHeight="1">
      <c r="A2112" s="159" t="s">
        <v>9275</v>
      </c>
      <c r="B2112" s="159" t="s">
        <v>9862</v>
      </c>
      <c r="C2112" s="159" t="s">
        <v>11921</v>
      </c>
      <c r="D2112" s="159" t="s">
        <v>477</v>
      </c>
      <c r="E2112" s="159">
        <v>5</v>
      </c>
      <c r="F2112" s="159" t="s">
        <v>5665</v>
      </c>
      <c r="G2112" s="159" t="s">
        <v>11922</v>
      </c>
    </row>
    <row r="2113" spans="1:7" ht="15.75" customHeight="1">
      <c r="A2113" s="159" t="s">
        <v>9275</v>
      </c>
      <c r="B2113" s="159" t="s">
        <v>9862</v>
      </c>
      <c r="C2113" s="159" t="s">
        <v>11923</v>
      </c>
      <c r="D2113" s="159" t="s">
        <v>1413</v>
      </c>
      <c r="E2113" s="159"/>
      <c r="F2113" s="159" t="s">
        <v>5665</v>
      </c>
      <c r="G2113" s="159" t="s">
        <v>11924</v>
      </c>
    </row>
    <row r="2114" spans="1:7" ht="15.75" customHeight="1">
      <c r="A2114" s="159" t="s">
        <v>9275</v>
      </c>
      <c r="B2114" s="159" t="s">
        <v>9862</v>
      </c>
      <c r="C2114" s="159" t="s">
        <v>11925</v>
      </c>
      <c r="D2114" s="159" t="s">
        <v>477</v>
      </c>
      <c r="E2114" s="159">
        <v>25</v>
      </c>
      <c r="F2114" s="159" t="s">
        <v>5665</v>
      </c>
      <c r="G2114" s="159" t="s">
        <v>11926</v>
      </c>
    </row>
    <row r="2115" spans="1:7" ht="15.75" customHeight="1">
      <c r="A2115" s="159" t="s">
        <v>9275</v>
      </c>
      <c r="B2115" s="159" t="s">
        <v>9862</v>
      </c>
      <c r="C2115" s="159" t="s">
        <v>2878</v>
      </c>
      <c r="D2115" s="159" t="s">
        <v>477</v>
      </c>
      <c r="E2115" s="159">
        <v>50</v>
      </c>
      <c r="F2115" s="159" t="s">
        <v>5667</v>
      </c>
      <c r="G2115" s="159" t="s">
        <v>11927</v>
      </c>
    </row>
    <row r="2116" spans="1:7" ht="15.75" customHeight="1">
      <c r="A2116" s="159" t="s">
        <v>9275</v>
      </c>
      <c r="B2116" s="159" t="s">
        <v>9862</v>
      </c>
      <c r="C2116" s="159" t="s">
        <v>11928</v>
      </c>
      <c r="D2116" s="159" t="s">
        <v>477</v>
      </c>
      <c r="E2116" s="159">
        <v>3</v>
      </c>
      <c r="F2116" s="159" t="s">
        <v>5667</v>
      </c>
      <c r="G2116" s="159" t="s">
        <v>11929</v>
      </c>
    </row>
    <row r="2117" spans="1:7" ht="15.75" customHeight="1">
      <c r="A2117" s="159" t="s">
        <v>9275</v>
      </c>
      <c r="B2117" s="159" t="s">
        <v>9862</v>
      </c>
      <c r="C2117" s="159" t="s">
        <v>11930</v>
      </c>
      <c r="D2117" s="159" t="s">
        <v>477</v>
      </c>
      <c r="E2117" s="159">
        <v>20</v>
      </c>
      <c r="F2117" s="159" t="s">
        <v>5667</v>
      </c>
      <c r="G2117" s="159" t="s">
        <v>6207</v>
      </c>
    </row>
    <row r="2118" spans="1:7" ht="15.75" customHeight="1">
      <c r="A2118" s="159" t="s">
        <v>9275</v>
      </c>
      <c r="B2118" s="159" t="s">
        <v>9862</v>
      </c>
      <c r="C2118" s="159" t="s">
        <v>11931</v>
      </c>
      <c r="D2118" s="159" t="s">
        <v>477</v>
      </c>
      <c r="E2118" s="159">
        <v>15</v>
      </c>
      <c r="F2118" s="159" t="s">
        <v>5667</v>
      </c>
      <c r="G2118" s="159" t="s">
        <v>11932</v>
      </c>
    </row>
    <row r="2119" spans="1:7" ht="15.75" customHeight="1">
      <c r="A2119" s="159" t="s">
        <v>9275</v>
      </c>
      <c r="B2119" s="159" t="s">
        <v>9862</v>
      </c>
      <c r="C2119" s="159" t="s">
        <v>11933</v>
      </c>
      <c r="D2119" s="159" t="s">
        <v>477</v>
      </c>
      <c r="E2119" s="159">
        <v>6</v>
      </c>
      <c r="F2119" s="159" t="s">
        <v>5667</v>
      </c>
      <c r="G2119" s="159" t="s">
        <v>11934</v>
      </c>
    </row>
    <row r="2120" spans="1:7" ht="15.75" customHeight="1">
      <c r="A2120" s="159" t="s">
        <v>9275</v>
      </c>
      <c r="B2120" s="159" t="s">
        <v>9862</v>
      </c>
      <c r="C2120" s="159" t="s">
        <v>11935</v>
      </c>
      <c r="D2120" s="159" t="s">
        <v>477</v>
      </c>
      <c r="E2120" s="159">
        <v>2</v>
      </c>
      <c r="F2120" s="159" t="s">
        <v>5667</v>
      </c>
      <c r="G2120" s="159" t="s">
        <v>11936</v>
      </c>
    </row>
    <row r="2121" spans="1:7" ht="15.75" customHeight="1">
      <c r="A2121" s="159" t="s">
        <v>9275</v>
      </c>
      <c r="B2121" s="159" t="s">
        <v>9862</v>
      </c>
      <c r="C2121" s="159" t="s">
        <v>11937</v>
      </c>
      <c r="D2121" s="159" t="s">
        <v>477</v>
      </c>
      <c r="E2121" s="159">
        <v>100</v>
      </c>
      <c r="F2121" s="159" t="s">
        <v>5667</v>
      </c>
      <c r="G2121" s="159" t="s">
        <v>11938</v>
      </c>
    </row>
    <row r="2122" spans="1:7" ht="15.75" customHeight="1">
      <c r="A2122" s="159" t="s">
        <v>9275</v>
      </c>
      <c r="B2122" s="159" t="s">
        <v>9862</v>
      </c>
      <c r="C2122" s="159" t="s">
        <v>11939</v>
      </c>
      <c r="D2122" s="159" t="s">
        <v>477</v>
      </c>
      <c r="E2122" s="159">
        <v>3</v>
      </c>
      <c r="F2122" s="159" t="s">
        <v>5667</v>
      </c>
      <c r="G2122" s="159" t="s">
        <v>11940</v>
      </c>
    </row>
    <row r="2123" spans="1:7" ht="15.75" customHeight="1">
      <c r="A2123" s="159" t="s">
        <v>9275</v>
      </c>
      <c r="B2123" s="159" t="s">
        <v>9862</v>
      </c>
      <c r="C2123" s="159" t="s">
        <v>11941</v>
      </c>
      <c r="D2123" s="159" t="s">
        <v>477</v>
      </c>
      <c r="E2123" s="159">
        <v>3</v>
      </c>
      <c r="F2123" s="159" t="s">
        <v>5667</v>
      </c>
      <c r="G2123" s="159" t="s">
        <v>11942</v>
      </c>
    </row>
    <row r="2124" spans="1:7" ht="15.75" customHeight="1">
      <c r="A2124" s="159" t="s">
        <v>9275</v>
      </c>
      <c r="B2124" s="159" t="s">
        <v>9862</v>
      </c>
      <c r="C2124" s="159" t="s">
        <v>11943</v>
      </c>
      <c r="D2124" s="159" t="s">
        <v>477</v>
      </c>
      <c r="E2124" s="159">
        <v>2</v>
      </c>
      <c r="F2124" s="159" t="s">
        <v>5667</v>
      </c>
      <c r="G2124" s="159" t="s">
        <v>11944</v>
      </c>
    </row>
    <row r="2125" spans="1:7" ht="15.75" customHeight="1">
      <c r="A2125" s="159" t="s">
        <v>9275</v>
      </c>
      <c r="B2125" s="159" t="s">
        <v>9862</v>
      </c>
      <c r="C2125" s="159" t="s">
        <v>11945</v>
      </c>
      <c r="D2125" s="159" t="s">
        <v>477</v>
      </c>
      <c r="E2125" s="159">
        <v>255</v>
      </c>
      <c r="F2125" s="159" t="s">
        <v>5667</v>
      </c>
      <c r="G2125" s="159" t="s">
        <v>11946</v>
      </c>
    </row>
    <row r="2126" spans="1:7" ht="15.75" customHeight="1">
      <c r="A2126" s="159" t="s">
        <v>9275</v>
      </c>
      <c r="B2126" s="159" t="s">
        <v>9862</v>
      </c>
      <c r="C2126" s="159" t="s">
        <v>11947</v>
      </c>
      <c r="D2126" s="159" t="s">
        <v>477</v>
      </c>
      <c r="E2126" s="159">
        <v>16</v>
      </c>
      <c r="F2126" s="159" t="s">
        <v>5667</v>
      </c>
      <c r="G2126" s="159" t="s">
        <v>11948</v>
      </c>
    </row>
    <row r="2127" spans="1:7" ht="15.75" customHeight="1">
      <c r="A2127" s="159" t="s">
        <v>9275</v>
      </c>
      <c r="B2127" s="159" t="s">
        <v>9862</v>
      </c>
      <c r="C2127" s="159" t="s">
        <v>11949</v>
      </c>
      <c r="D2127" s="159" t="s">
        <v>477</v>
      </c>
      <c r="E2127" s="159">
        <v>12</v>
      </c>
      <c r="F2127" s="159" t="s">
        <v>5667</v>
      </c>
      <c r="G2127" s="159" t="s">
        <v>11950</v>
      </c>
    </row>
    <row r="2128" spans="1:7" ht="15.75" customHeight="1">
      <c r="A2128" s="159" t="s">
        <v>9275</v>
      </c>
      <c r="B2128" s="159" t="s">
        <v>9862</v>
      </c>
      <c r="C2128" s="159" t="s">
        <v>11951</v>
      </c>
      <c r="D2128" s="159" t="s">
        <v>477</v>
      </c>
      <c r="E2128" s="159">
        <v>30</v>
      </c>
      <c r="F2128" s="159" t="s">
        <v>5667</v>
      </c>
      <c r="G2128" s="159" t="s">
        <v>11952</v>
      </c>
    </row>
    <row r="2129" spans="1:7" ht="15.75" customHeight="1">
      <c r="A2129" s="159" t="s">
        <v>9275</v>
      </c>
      <c r="B2129" s="159" t="s">
        <v>9862</v>
      </c>
      <c r="C2129" s="159" t="s">
        <v>11953</v>
      </c>
      <c r="D2129" s="159" t="s">
        <v>477</v>
      </c>
      <c r="E2129" s="159">
        <v>30</v>
      </c>
      <c r="F2129" s="159" t="s">
        <v>5667</v>
      </c>
      <c r="G2129" s="159" t="s">
        <v>11954</v>
      </c>
    </row>
    <row r="2130" spans="1:7" ht="15.75" customHeight="1">
      <c r="A2130" s="159" t="s">
        <v>9275</v>
      </c>
      <c r="B2130" s="159" t="s">
        <v>9862</v>
      </c>
      <c r="C2130" s="159" t="s">
        <v>11955</v>
      </c>
      <c r="D2130" s="159" t="s">
        <v>477</v>
      </c>
      <c r="E2130" s="159">
        <v>20</v>
      </c>
      <c r="F2130" s="159" t="s">
        <v>5667</v>
      </c>
      <c r="G2130" s="159" t="s">
        <v>11956</v>
      </c>
    </row>
    <row r="2131" spans="1:7" ht="15.75" customHeight="1">
      <c r="A2131" s="159" t="s">
        <v>9275</v>
      </c>
      <c r="B2131" s="159" t="s">
        <v>9862</v>
      </c>
      <c r="C2131" s="159" t="s">
        <v>11957</v>
      </c>
      <c r="D2131" s="159" t="s">
        <v>477</v>
      </c>
      <c r="E2131" s="159">
        <v>255</v>
      </c>
      <c r="F2131" s="159" t="s">
        <v>5667</v>
      </c>
      <c r="G2131" s="159" t="s">
        <v>11958</v>
      </c>
    </row>
    <row r="2132" spans="1:7" ht="15.75" customHeight="1">
      <c r="A2132" s="159" t="s">
        <v>9275</v>
      </c>
      <c r="B2132" s="159" t="s">
        <v>9862</v>
      </c>
      <c r="C2132" s="159" t="s">
        <v>11959</v>
      </c>
      <c r="D2132" s="159" t="s">
        <v>477</v>
      </c>
      <c r="E2132" s="159">
        <v>255</v>
      </c>
      <c r="F2132" s="159" t="s">
        <v>5667</v>
      </c>
      <c r="G2132" s="159" t="s">
        <v>11960</v>
      </c>
    </row>
    <row r="2133" spans="1:7" ht="15.75" customHeight="1">
      <c r="A2133" s="159" t="s">
        <v>9275</v>
      </c>
      <c r="B2133" s="159" t="s">
        <v>9862</v>
      </c>
      <c r="C2133" s="159" t="s">
        <v>11961</v>
      </c>
      <c r="D2133" s="159" t="s">
        <v>477</v>
      </c>
      <c r="E2133" s="159">
        <v>255</v>
      </c>
      <c r="F2133" s="159" t="s">
        <v>5667</v>
      </c>
      <c r="G2133" s="159" t="s">
        <v>11962</v>
      </c>
    </row>
    <row r="2134" spans="1:7" ht="15.75" customHeight="1">
      <c r="A2134" s="159" t="s">
        <v>9275</v>
      </c>
      <c r="B2134" s="159" t="s">
        <v>9862</v>
      </c>
      <c r="C2134" s="159" t="s">
        <v>11963</v>
      </c>
      <c r="D2134" s="159" t="s">
        <v>477</v>
      </c>
      <c r="E2134" s="159">
        <v>255</v>
      </c>
      <c r="F2134" s="159" t="s">
        <v>5667</v>
      </c>
      <c r="G2134" s="159" t="s">
        <v>11964</v>
      </c>
    </row>
    <row r="2135" spans="1:7" ht="15.75" customHeight="1">
      <c r="A2135" s="159" t="s">
        <v>9275</v>
      </c>
      <c r="B2135" s="159" t="s">
        <v>9862</v>
      </c>
      <c r="C2135" s="159" t="s">
        <v>11965</v>
      </c>
      <c r="D2135" s="159" t="s">
        <v>477</v>
      </c>
      <c r="E2135" s="159">
        <v>255</v>
      </c>
      <c r="F2135" s="159" t="s">
        <v>5667</v>
      </c>
      <c r="G2135" s="159" t="s">
        <v>11966</v>
      </c>
    </row>
    <row r="2136" spans="1:7" ht="15.75" customHeight="1">
      <c r="A2136" s="159" t="s">
        <v>9275</v>
      </c>
      <c r="B2136" s="159" t="s">
        <v>9862</v>
      </c>
      <c r="C2136" s="159" t="s">
        <v>11967</v>
      </c>
      <c r="D2136" s="159" t="s">
        <v>477</v>
      </c>
      <c r="E2136" s="159">
        <v>50</v>
      </c>
      <c r="F2136" s="159" t="s">
        <v>5667</v>
      </c>
      <c r="G2136" s="159" t="s">
        <v>11968</v>
      </c>
    </row>
    <row r="2137" spans="1:7" ht="15.75" customHeight="1">
      <c r="A2137" s="159" t="s">
        <v>9275</v>
      </c>
      <c r="B2137" s="159" t="s">
        <v>9862</v>
      </c>
      <c r="C2137" s="159" t="s">
        <v>11969</v>
      </c>
      <c r="D2137" s="159" t="s">
        <v>477</v>
      </c>
      <c r="E2137" s="159">
        <v>2</v>
      </c>
      <c r="F2137" s="159" t="s">
        <v>5667</v>
      </c>
      <c r="G2137" s="159" t="s">
        <v>11970</v>
      </c>
    </row>
    <row r="2138" spans="1:7" ht="15.75" customHeight="1">
      <c r="A2138" s="159" t="s">
        <v>9275</v>
      </c>
      <c r="B2138" s="159" t="s">
        <v>9862</v>
      </c>
      <c r="C2138" s="159" t="s">
        <v>11971</v>
      </c>
      <c r="D2138" s="159" t="s">
        <v>477</v>
      </c>
      <c r="E2138" s="159">
        <v>1</v>
      </c>
      <c r="F2138" s="159" t="s">
        <v>5667</v>
      </c>
      <c r="G2138" s="159" t="s">
        <v>11972</v>
      </c>
    </row>
    <row r="2139" spans="1:7" ht="15.75" customHeight="1">
      <c r="A2139" s="159" t="s">
        <v>9275</v>
      </c>
      <c r="B2139" s="159" t="s">
        <v>9862</v>
      </c>
      <c r="C2139" s="159" t="s">
        <v>11973</v>
      </c>
      <c r="D2139" s="159" t="s">
        <v>477</v>
      </c>
      <c r="E2139" s="159">
        <v>5</v>
      </c>
      <c r="F2139" s="159" t="s">
        <v>5667</v>
      </c>
      <c r="G2139" s="159" t="s">
        <v>11974</v>
      </c>
    </row>
    <row r="2140" spans="1:7" ht="15.75" customHeight="1">
      <c r="A2140" s="159" t="s">
        <v>9275</v>
      </c>
      <c r="B2140" s="159" t="s">
        <v>9862</v>
      </c>
      <c r="C2140" s="159" t="s">
        <v>11975</v>
      </c>
      <c r="D2140" s="159" t="s">
        <v>477</v>
      </c>
      <c r="E2140" s="159">
        <v>5</v>
      </c>
      <c r="F2140" s="159" t="s">
        <v>5667</v>
      </c>
      <c r="G2140" s="159" t="s">
        <v>11976</v>
      </c>
    </row>
    <row r="2141" spans="1:7" ht="15.75" customHeight="1">
      <c r="A2141" s="159" t="s">
        <v>9275</v>
      </c>
      <c r="B2141" s="159" t="s">
        <v>9864</v>
      </c>
      <c r="C2141" s="159" t="s">
        <v>11090</v>
      </c>
      <c r="D2141" s="159" t="s">
        <v>484</v>
      </c>
      <c r="E2141" s="159">
        <v>10</v>
      </c>
      <c r="F2141" s="159" t="s">
        <v>5665</v>
      </c>
      <c r="G2141" s="159" t="s">
        <v>11091</v>
      </c>
    </row>
    <row r="2142" spans="1:7" ht="15.75" customHeight="1">
      <c r="A2142" s="159" t="s">
        <v>9275</v>
      </c>
      <c r="B2142" s="159" t="s">
        <v>9864</v>
      </c>
      <c r="C2142" s="159" t="s">
        <v>3940</v>
      </c>
      <c r="D2142" s="159" t="s">
        <v>484</v>
      </c>
      <c r="E2142" s="159">
        <v>10</v>
      </c>
      <c r="F2142" s="159" t="s">
        <v>5665</v>
      </c>
      <c r="G2142" s="159" t="s">
        <v>10747</v>
      </c>
    </row>
    <row r="2143" spans="1:7" ht="15.75" customHeight="1">
      <c r="A2143" s="159" t="s">
        <v>9275</v>
      </c>
      <c r="B2143" s="159" t="s">
        <v>9864</v>
      </c>
      <c r="C2143" s="159" t="s">
        <v>11977</v>
      </c>
      <c r="D2143" s="159" t="s">
        <v>477</v>
      </c>
      <c r="E2143" s="159">
        <v>32</v>
      </c>
      <c r="F2143" s="159" t="s">
        <v>5665</v>
      </c>
      <c r="G2143" s="159" t="s">
        <v>11978</v>
      </c>
    </row>
    <row r="2144" spans="1:7" ht="15.75" customHeight="1">
      <c r="A2144" s="159" t="s">
        <v>9275</v>
      </c>
      <c r="B2144" s="159" t="s">
        <v>9864</v>
      </c>
      <c r="C2144" s="159" t="s">
        <v>1630</v>
      </c>
      <c r="D2144" s="159" t="s">
        <v>477</v>
      </c>
      <c r="E2144" s="159">
        <v>32</v>
      </c>
      <c r="F2144" s="159" t="s">
        <v>5665</v>
      </c>
      <c r="G2144" s="159" t="s">
        <v>11979</v>
      </c>
    </row>
    <row r="2145" spans="1:7" ht="15.75" customHeight="1">
      <c r="A2145" s="159" t="s">
        <v>9275</v>
      </c>
      <c r="B2145" s="159" t="s">
        <v>9864</v>
      </c>
      <c r="C2145" s="159" t="s">
        <v>1419</v>
      </c>
      <c r="D2145" s="159" t="s">
        <v>477</v>
      </c>
      <c r="E2145" s="159">
        <v>20</v>
      </c>
      <c r="F2145" s="159" t="s">
        <v>5665</v>
      </c>
      <c r="G2145" s="159" t="s">
        <v>811</v>
      </c>
    </row>
    <row r="2146" spans="1:7" ht="15.75" customHeight="1">
      <c r="A2146" s="159" t="s">
        <v>9275</v>
      </c>
      <c r="B2146" s="159" t="s">
        <v>9864</v>
      </c>
      <c r="C2146" s="159" t="s">
        <v>10190</v>
      </c>
      <c r="D2146" s="159" t="s">
        <v>1413</v>
      </c>
      <c r="E2146" s="159"/>
      <c r="F2146" s="159" t="s">
        <v>5665</v>
      </c>
      <c r="G2146" s="159" t="s">
        <v>10281</v>
      </c>
    </row>
    <row r="2147" spans="1:7" ht="15.75" customHeight="1">
      <c r="A2147" s="159" t="s">
        <v>9275</v>
      </c>
      <c r="B2147" s="159" t="s">
        <v>9864</v>
      </c>
      <c r="C2147" s="159" t="s">
        <v>10242</v>
      </c>
      <c r="D2147" s="159" t="s">
        <v>1413</v>
      </c>
      <c r="E2147" s="159"/>
      <c r="F2147" s="159" t="s">
        <v>5667</v>
      </c>
      <c r="G2147" s="159" t="s">
        <v>10282</v>
      </c>
    </row>
    <row r="2148" spans="1:7" ht="15.75" customHeight="1">
      <c r="A2148" s="159" t="s">
        <v>9275</v>
      </c>
      <c r="B2148" s="159" t="s">
        <v>9864</v>
      </c>
      <c r="C2148" s="159" t="s">
        <v>10290</v>
      </c>
      <c r="D2148" s="159" t="s">
        <v>978</v>
      </c>
      <c r="E2148" s="159">
        <v>5</v>
      </c>
      <c r="F2148" s="159" t="s">
        <v>5667</v>
      </c>
      <c r="G2148" s="159" t="s">
        <v>10507</v>
      </c>
    </row>
    <row r="2149" spans="1:7" ht="15.75" customHeight="1">
      <c r="A2149" s="159" t="s">
        <v>9275</v>
      </c>
      <c r="B2149" s="159" t="s">
        <v>9864</v>
      </c>
      <c r="C2149" s="159" t="s">
        <v>11980</v>
      </c>
      <c r="D2149" s="159" t="s">
        <v>477</v>
      </c>
      <c r="E2149" s="159">
        <v>255</v>
      </c>
      <c r="F2149" s="159" t="s">
        <v>5667</v>
      </c>
      <c r="G2149" s="159" t="s">
        <v>11981</v>
      </c>
    </row>
    <row r="2150" spans="1:7" ht="15.75" customHeight="1">
      <c r="A2150" s="159" t="s">
        <v>9275</v>
      </c>
      <c r="B2150" s="159" t="s">
        <v>9866</v>
      </c>
      <c r="C2150" s="159" t="s">
        <v>11090</v>
      </c>
      <c r="D2150" s="159" t="s">
        <v>484</v>
      </c>
      <c r="E2150" s="159">
        <v>10</v>
      </c>
      <c r="F2150" s="159" t="s">
        <v>5665</v>
      </c>
      <c r="G2150" s="159" t="s">
        <v>11091</v>
      </c>
    </row>
    <row r="2151" spans="1:7" ht="15.75" customHeight="1">
      <c r="A2151" s="159" t="s">
        <v>9275</v>
      </c>
      <c r="B2151" s="159" t="s">
        <v>9866</v>
      </c>
      <c r="C2151" s="159" t="s">
        <v>3635</v>
      </c>
      <c r="D2151" s="159" t="s">
        <v>484</v>
      </c>
      <c r="E2151" s="159">
        <v>10</v>
      </c>
      <c r="F2151" s="159" t="s">
        <v>5665</v>
      </c>
      <c r="G2151" s="159" t="s">
        <v>10722</v>
      </c>
    </row>
    <row r="2152" spans="1:7" ht="15.75" customHeight="1">
      <c r="A2152" s="159" t="s">
        <v>9275</v>
      </c>
      <c r="B2152" s="159" t="s">
        <v>9868</v>
      </c>
      <c r="C2152" s="159" t="s">
        <v>11982</v>
      </c>
      <c r="D2152" s="159" t="s">
        <v>978</v>
      </c>
      <c r="E2152" s="159">
        <v>5</v>
      </c>
      <c r="F2152" s="159" t="s">
        <v>5665</v>
      </c>
      <c r="G2152" s="159" t="s">
        <v>11983</v>
      </c>
    </row>
    <row r="2153" spans="1:7" ht="15.75" customHeight="1">
      <c r="A2153" s="159" t="s">
        <v>9275</v>
      </c>
      <c r="B2153" s="159" t="s">
        <v>9868</v>
      </c>
      <c r="C2153" s="159" t="s">
        <v>10882</v>
      </c>
      <c r="D2153" s="159" t="s">
        <v>978</v>
      </c>
      <c r="E2153" s="159">
        <v>5</v>
      </c>
      <c r="F2153" s="159" t="s">
        <v>5665</v>
      </c>
      <c r="G2153" s="159" t="s">
        <v>10883</v>
      </c>
    </row>
    <row r="2154" spans="1:7" ht="15.75" customHeight="1">
      <c r="A2154" s="159" t="s">
        <v>9275</v>
      </c>
      <c r="B2154" s="159" t="s">
        <v>9868</v>
      </c>
      <c r="C2154" s="159" t="s">
        <v>10305</v>
      </c>
      <c r="D2154" s="159" t="s">
        <v>3893</v>
      </c>
      <c r="E2154" s="159">
        <v>65535</v>
      </c>
      <c r="F2154" s="159" t="s">
        <v>5667</v>
      </c>
      <c r="G2154" s="159" t="s">
        <v>10306</v>
      </c>
    </row>
    <row r="2155" spans="1:7" ht="15.75" customHeight="1">
      <c r="A2155" s="159" t="s">
        <v>9275</v>
      </c>
      <c r="B2155" s="159" t="s">
        <v>9868</v>
      </c>
      <c r="C2155" s="159" t="s">
        <v>10242</v>
      </c>
      <c r="D2155" s="159" t="s">
        <v>1413</v>
      </c>
      <c r="E2155" s="159"/>
      <c r="F2155" s="159" t="s">
        <v>5667</v>
      </c>
      <c r="G2155" s="159" t="s">
        <v>10282</v>
      </c>
    </row>
    <row r="2156" spans="1:7" ht="15.75" customHeight="1">
      <c r="A2156" s="159" t="s">
        <v>9275</v>
      </c>
      <c r="B2156" s="159" t="s">
        <v>9870</v>
      </c>
      <c r="C2156" s="159" t="s">
        <v>11984</v>
      </c>
      <c r="D2156" s="159" t="s">
        <v>484</v>
      </c>
      <c r="E2156" s="159">
        <v>10</v>
      </c>
      <c r="F2156" s="159" t="s">
        <v>5665</v>
      </c>
      <c r="G2156" s="159" t="s">
        <v>10237</v>
      </c>
    </row>
    <row r="2157" spans="1:7" ht="15.75" customHeight="1">
      <c r="A2157" s="159" t="s">
        <v>9275</v>
      </c>
      <c r="B2157" s="159" t="s">
        <v>9870</v>
      </c>
      <c r="C2157" s="159" t="s">
        <v>11985</v>
      </c>
      <c r="D2157" s="159" t="s">
        <v>477</v>
      </c>
      <c r="E2157" s="159">
        <v>100</v>
      </c>
      <c r="F2157" s="159" t="s">
        <v>5667</v>
      </c>
      <c r="G2157" s="159" t="s">
        <v>11986</v>
      </c>
    </row>
    <row r="2158" spans="1:7" ht="15.75" customHeight="1">
      <c r="A2158" s="159" t="s">
        <v>9275</v>
      </c>
      <c r="B2158" s="159" t="s">
        <v>9870</v>
      </c>
      <c r="C2158" s="159" t="s">
        <v>11987</v>
      </c>
      <c r="D2158" s="159" t="s">
        <v>11537</v>
      </c>
      <c r="E2158" s="159">
        <v>65535</v>
      </c>
      <c r="F2158" s="159" t="s">
        <v>5667</v>
      </c>
      <c r="G2158" s="159" t="s">
        <v>11988</v>
      </c>
    </row>
    <row r="2159" spans="1:7" ht="15.75" customHeight="1">
      <c r="A2159" s="159" t="s">
        <v>9275</v>
      </c>
      <c r="B2159" s="159" t="s">
        <v>9870</v>
      </c>
      <c r="C2159" s="159" t="s">
        <v>10190</v>
      </c>
      <c r="D2159" s="159" t="s">
        <v>1413</v>
      </c>
      <c r="E2159" s="159"/>
      <c r="F2159" s="159" t="s">
        <v>5667</v>
      </c>
      <c r="G2159" s="159" t="s">
        <v>10281</v>
      </c>
    </row>
    <row r="2160" spans="1:7" ht="15.75" customHeight="1">
      <c r="A2160" s="159" t="s">
        <v>9275</v>
      </c>
      <c r="B2160" s="159" t="s">
        <v>9872</v>
      </c>
      <c r="C2160" s="159" t="s">
        <v>11989</v>
      </c>
      <c r="D2160" s="159" t="s">
        <v>484</v>
      </c>
      <c r="E2160" s="159">
        <v>10</v>
      </c>
      <c r="F2160" s="159" t="s">
        <v>5665</v>
      </c>
      <c r="G2160" s="159" t="s">
        <v>11990</v>
      </c>
    </row>
    <row r="2161" spans="1:7" ht="15.75" customHeight="1">
      <c r="A2161" s="159" t="s">
        <v>9275</v>
      </c>
      <c r="B2161" s="159" t="s">
        <v>9872</v>
      </c>
      <c r="C2161" s="159" t="s">
        <v>11991</v>
      </c>
      <c r="D2161" s="159" t="s">
        <v>1974</v>
      </c>
      <c r="E2161" s="159"/>
      <c r="F2161" s="159" t="s">
        <v>5667</v>
      </c>
      <c r="G2161" s="159" t="s">
        <v>11992</v>
      </c>
    </row>
    <row r="2162" spans="1:7" ht="15.75" customHeight="1">
      <c r="A2162" s="159" t="s">
        <v>9275</v>
      </c>
      <c r="B2162" s="159" t="s">
        <v>9872</v>
      </c>
      <c r="C2162" s="159" t="s">
        <v>174</v>
      </c>
      <c r="D2162" s="159" t="s">
        <v>477</v>
      </c>
      <c r="E2162" s="159">
        <v>64</v>
      </c>
      <c r="F2162" s="159" t="s">
        <v>5667</v>
      </c>
      <c r="G2162" s="159" t="s">
        <v>11993</v>
      </c>
    </row>
    <row r="2163" spans="1:7" ht="15.75" customHeight="1">
      <c r="A2163" s="159" t="s">
        <v>9275</v>
      </c>
      <c r="B2163" s="159" t="s">
        <v>9872</v>
      </c>
      <c r="C2163" s="159" t="s">
        <v>10583</v>
      </c>
      <c r="D2163" s="159" t="s">
        <v>477</v>
      </c>
      <c r="E2163" s="159">
        <v>24</v>
      </c>
      <c r="F2163" s="159" t="s">
        <v>5667</v>
      </c>
      <c r="G2163" s="159" t="s">
        <v>11994</v>
      </c>
    </row>
    <row r="2164" spans="1:7" ht="15.75" customHeight="1">
      <c r="A2164" s="159" t="s">
        <v>9275</v>
      </c>
      <c r="B2164" s="159" t="s">
        <v>9872</v>
      </c>
      <c r="C2164" s="159" t="s">
        <v>11995</v>
      </c>
      <c r="D2164" s="159" t="s">
        <v>1413</v>
      </c>
      <c r="E2164" s="159"/>
      <c r="F2164" s="159" t="s">
        <v>5667</v>
      </c>
      <c r="G2164" s="159" t="s">
        <v>11996</v>
      </c>
    </row>
    <row r="2165" spans="1:7" ht="15.75" customHeight="1">
      <c r="A2165" s="159" t="s">
        <v>9275</v>
      </c>
      <c r="B2165" s="159" t="s">
        <v>9874</v>
      </c>
      <c r="C2165" s="159" t="s">
        <v>11997</v>
      </c>
      <c r="D2165" s="159" t="s">
        <v>484</v>
      </c>
      <c r="E2165" s="159">
        <v>10</v>
      </c>
      <c r="F2165" s="159" t="s">
        <v>5665</v>
      </c>
      <c r="G2165" s="159" t="s">
        <v>10782</v>
      </c>
    </row>
    <row r="2166" spans="1:7" ht="15.75" customHeight="1">
      <c r="A2166" s="159" t="s">
        <v>9275</v>
      </c>
      <c r="B2166" s="159" t="s">
        <v>9874</v>
      </c>
      <c r="C2166" s="159" t="s">
        <v>11989</v>
      </c>
      <c r="D2166" s="159" t="s">
        <v>484</v>
      </c>
      <c r="E2166" s="159">
        <v>10</v>
      </c>
      <c r="F2166" s="159" t="s">
        <v>5665</v>
      </c>
      <c r="G2166" s="159" t="s">
        <v>11990</v>
      </c>
    </row>
    <row r="2167" spans="1:7" ht="15.75" customHeight="1">
      <c r="A2167" s="159" t="s">
        <v>9275</v>
      </c>
      <c r="B2167" s="159" t="s">
        <v>9874</v>
      </c>
      <c r="C2167" s="159" t="s">
        <v>11984</v>
      </c>
      <c r="D2167" s="159" t="s">
        <v>477</v>
      </c>
      <c r="E2167" s="159">
        <v>19</v>
      </c>
      <c r="F2167" s="159" t="s">
        <v>5667</v>
      </c>
      <c r="G2167" s="159" t="s">
        <v>11998</v>
      </c>
    </row>
    <row r="2168" spans="1:7" ht="15.75" customHeight="1">
      <c r="A2168" s="159" t="s">
        <v>9275</v>
      </c>
      <c r="B2168" s="159" t="s">
        <v>9874</v>
      </c>
      <c r="C2168" s="159" t="s">
        <v>5796</v>
      </c>
      <c r="D2168" s="159" t="s">
        <v>477</v>
      </c>
      <c r="E2168" s="159">
        <v>127</v>
      </c>
      <c r="F2168" s="159" t="s">
        <v>5667</v>
      </c>
      <c r="G2168" s="159" t="s">
        <v>11999</v>
      </c>
    </row>
    <row r="2169" spans="1:7" ht="15.75" customHeight="1">
      <c r="A2169" s="159" t="s">
        <v>9275</v>
      </c>
      <c r="B2169" s="159" t="s">
        <v>9874</v>
      </c>
      <c r="C2169" s="159" t="s">
        <v>12000</v>
      </c>
      <c r="D2169" s="159" t="s">
        <v>477</v>
      </c>
      <c r="E2169" s="159">
        <v>19</v>
      </c>
      <c r="F2169" s="159" t="s">
        <v>5667</v>
      </c>
      <c r="G2169" s="159" t="s">
        <v>12001</v>
      </c>
    </row>
    <row r="2170" spans="1:7" ht="15.75" customHeight="1">
      <c r="A2170" s="159" t="s">
        <v>9275</v>
      </c>
      <c r="B2170" s="159" t="s">
        <v>9874</v>
      </c>
      <c r="C2170" s="159" t="s">
        <v>12002</v>
      </c>
      <c r="D2170" s="159" t="s">
        <v>477</v>
      </c>
      <c r="E2170" s="159">
        <v>3</v>
      </c>
      <c r="F2170" s="159" t="s">
        <v>5667</v>
      </c>
      <c r="G2170" s="159" t="s">
        <v>12003</v>
      </c>
    </row>
    <row r="2171" spans="1:7" ht="15.75" customHeight="1">
      <c r="A2171" s="159" t="s">
        <v>9275</v>
      </c>
      <c r="B2171" s="159" t="s">
        <v>9874</v>
      </c>
      <c r="C2171" s="159" t="s">
        <v>12004</v>
      </c>
      <c r="D2171" s="159" t="s">
        <v>477</v>
      </c>
      <c r="E2171" s="159">
        <v>5</v>
      </c>
      <c r="F2171" s="159" t="s">
        <v>5667</v>
      </c>
      <c r="G2171" s="159" t="s">
        <v>12005</v>
      </c>
    </row>
    <row r="2172" spans="1:7" ht="15.75" customHeight="1">
      <c r="A2172" s="159" t="s">
        <v>9275</v>
      </c>
      <c r="B2172" s="159" t="s">
        <v>9874</v>
      </c>
      <c r="C2172" s="159" t="s">
        <v>12006</v>
      </c>
      <c r="D2172" s="159" t="s">
        <v>1413</v>
      </c>
      <c r="E2172" s="159"/>
      <c r="F2172" s="159" t="s">
        <v>5667</v>
      </c>
      <c r="G2172" s="159" t="s">
        <v>12007</v>
      </c>
    </row>
    <row r="2173" spans="1:7" ht="15.75" customHeight="1">
      <c r="A2173" s="159" t="s">
        <v>9275</v>
      </c>
      <c r="B2173" s="159" t="s">
        <v>9874</v>
      </c>
      <c r="C2173" s="159" t="s">
        <v>12008</v>
      </c>
      <c r="D2173" s="159" t="s">
        <v>1413</v>
      </c>
      <c r="E2173" s="159"/>
      <c r="F2173" s="159" t="s">
        <v>5667</v>
      </c>
      <c r="G2173" s="159" t="s">
        <v>12009</v>
      </c>
    </row>
    <row r="2174" spans="1:7" ht="15.75" customHeight="1">
      <c r="A2174" s="159" t="s">
        <v>9275</v>
      </c>
      <c r="B2174" s="159" t="s">
        <v>9874</v>
      </c>
      <c r="C2174" s="159" t="s">
        <v>12010</v>
      </c>
      <c r="D2174" s="159" t="s">
        <v>477</v>
      </c>
      <c r="E2174" s="159">
        <v>2</v>
      </c>
      <c r="F2174" s="159" t="s">
        <v>5665</v>
      </c>
      <c r="G2174" s="159" t="s">
        <v>12011</v>
      </c>
    </row>
    <row r="2175" spans="1:7" ht="15.75" customHeight="1">
      <c r="A2175" s="159" t="s">
        <v>9275</v>
      </c>
      <c r="B2175" s="159" t="s">
        <v>9874</v>
      </c>
      <c r="C2175" s="159" t="s">
        <v>12012</v>
      </c>
      <c r="D2175" s="159" t="s">
        <v>481</v>
      </c>
      <c r="E2175" s="159">
        <v>20</v>
      </c>
      <c r="F2175" s="159" t="s">
        <v>5665</v>
      </c>
      <c r="G2175" s="159" t="s">
        <v>12013</v>
      </c>
    </row>
    <row r="2176" spans="1:7" ht="15.75" customHeight="1">
      <c r="A2176" s="159" t="s">
        <v>9275</v>
      </c>
      <c r="B2176" s="159" t="s">
        <v>9874</v>
      </c>
      <c r="C2176" s="159" t="s">
        <v>12014</v>
      </c>
      <c r="D2176" s="159" t="s">
        <v>477</v>
      </c>
      <c r="E2176" s="159">
        <v>3</v>
      </c>
      <c r="F2176" s="159" t="s">
        <v>5667</v>
      </c>
      <c r="G2176" s="159" t="s">
        <v>12015</v>
      </c>
    </row>
    <row r="2177" spans="1:7" ht="15.75" customHeight="1">
      <c r="A2177" s="159" t="s">
        <v>9275</v>
      </c>
      <c r="B2177" s="159" t="s">
        <v>9874</v>
      </c>
      <c r="C2177" s="159" t="s">
        <v>12016</v>
      </c>
      <c r="D2177" s="159" t="s">
        <v>477</v>
      </c>
      <c r="E2177" s="159">
        <v>2</v>
      </c>
      <c r="F2177" s="159" t="s">
        <v>5667</v>
      </c>
      <c r="G2177" s="159" t="s">
        <v>12017</v>
      </c>
    </row>
    <row r="2178" spans="1:7" ht="15.75" customHeight="1">
      <c r="A2178" s="159" t="s">
        <v>9275</v>
      </c>
      <c r="B2178" s="159" t="s">
        <v>9874</v>
      </c>
      <c r="C2178" s="159" t="s">
        <v>12018</v>
      </c>
      <c r="D2178" s="159" t="s">
        <v>481</v>
      </c>
      <c r="E2178" s="159">
        <v>20</v>
      </c>
      <c r="F2178" s="159" t="s">
        <v>5665</v>
      </c>
      <c r="G2178" s="159" t="s">
        <v>12019</v>
      </c>
    </row>
    <row r="2179" spans="1:7" ht="15.75" customHeight="1">
      <c r="A2179" s="159" t="s">
        <v>9275</v>
      </c>
      <c r="B2179" s="159" t="s">
        <v>9874</v>
      </c>
      <c r="C2179" s="159" t="s">
        <v>12020</v>
      </c>
      <c r="D2179" s="159" t="s">
        <v>477</v>
      </c>
      <c r="E2179" s="159">
        <v>3</v>
      </c>
      <c r="F2179" s="159" t="s">
        <v>5667</v>
      </c>
      <c r="G2179" s="159" t="s">
        <v>12021</v>
      </c>
    </row>
    <row r="2180" spans="1:7" ht="15.75" customHeight="1">
      <c r="A2180" s="159" t="s">
        <v>9275</v>
      </c>
      <c r="B2180" s="159" t="s">
        <v>9874</v>
      </c>
      <c r="C2180" s="159" t="s">
        <v>12022</v>
      </c>
      <c r="D2180" s="159" t="s">
        <v>477</v>
      </c>
      <c r="E2180" s="159">
        <v>255</v>
      </c>
      <c r="F2180" s="159" t="s">
        <v>5667</v>
      </c>
      <c r="G2180" s="159" t="s">
        <v>12023</v>
      </c>
    </row>
    <row r="2181" spans="1:7" ht="15.75" customHeight="1">
      <c r="A2181" s="159" t="s">
        <v>9275</v>
      </c>
      <c r="B2181" s="159" t="s">
        <v>9874</v>
      </c>
      <c r="C2181" s="159" t="s">
        <v>11690</v>
      </c>
      <c r="D2181" s="159" t="s">
        <v>477</v>
      </c>
      <c r="E2181" s="159">
        <v>127</v>
      </c>
      <c r="F2181" s="159" t="s">
        <v>5667</v>
      </c>
      <c r="G2181" s="159" t="s">
        <v>11891</v>
      </c>
    </row>
    <row r="2182" spans="1:7" ht="15.75" customHeight="1">
      <c r="A2182" s="159" t="s">
        <v>9275</v>
      </c>
      <c r="B2182" s="159" t="s">
        <v>9874</v>
      </c>
      <c r="C2182" s="159" t="s">
        <v>12024</v>
      </c>
      <c r="D2182" s="159" t="s">
        <v>477</v>
      </c>
      <c r="E2182" s="159">
        <v>255</v>
      </c>
      <c r="F2182" s="159" t="s">
        <v>5667</v>
      </c>
      <c r="G2182" s="159" t="s">
        <v>12025</v>
      </c>
    </row>
    <row r="2183" spans="1:7" ht="15.75" customHeight="1">
      <c r="A2183" s="159" t="s">
        <v>9275</v>
      </c>
      <c r="B2183" s="159" t="s">
        <v>9874</v>
      </c>
      <c r="C2183" s="159" t="s">
        <v>10290</v>
      </c>
      <c r="D2183" s="159" t="s">
        <v>477</v>
      </c>
      <c r="E2183" s="159">
        <v>50</v>
      </c>
      <c r="F2183" s="159" t="s">
        <v>5667</v>
      </c>
      <c r="G2183" s="159" t="s">
        <v>10507</v>
      </c>
    </row>
    <row r="2184" spans="1:7" ht="15.75" customHeight="1">
      <c r="A2184" s="159" t="s">
        <v>9275</v>
      </c>
      <c r="B2184" s="159" t="s">
        <v>9876</v>
      </c>
      <c r="C2184" s="159" t="s">
        <v>12026</v>
      </c>
      <c r="D2184" s="159" t="s">
        <v>484</v>
      </c>
      <c r="E2184" s="159">
        <v>10</v>
      </c>
      <c r="F2184" s="159" t="s">
        <v>5665</v>
      </c>
      <c r="G2184" s="159" t="s">
        <v>11261</v>
      </c>
    </row>
    <row r="2185" spans="1:7" ht="15.75" customHeight="1">
      <c r="A2185" s="159" t="s">
        <v>9275</v>
      </c>
      <c r="B2185" s="159" t="s">
        <v>9876</v>
      </c>
      <c r="C2185" s="159" t="s">
        <v>11881</v>
      </c>
      <c r="D2185" s="159" t="s">
        <v>477</v>
      </c>
      <c r="E2185" s="159">
        <v>50</v>
      </c>
      <c r="F2185" s="159" t="s">
        <v>5665</v>
      </c>
      <c r="G2185" s="159" t="s">
        <v>12027</v>
      </c>
    </row>
    <row r="2186" spans="1:7" ht="15.75" customHeight="1">
      <c r="A2186" s="159" t="s">
        <v>9275</v>
      </c>
      <c r="B2186" s="159" t="s">
        <v>9876</v>
      </c>
      <c r="C2186" s="159" t="s">
        <v>3940</v>
      </c>
      <c r="D2186" s="159" t="s">
        <v>484</v>
      </c>
      <c r="E2186" s="159">
        <v>10</v>
      </c>
      <c r="F2186" s="159" t="s">
        <v>5667</v>
      </c>
      <c r="G2186" s="159" t="s">
        <v>10747</v>
      </c>
    </row>
    <row r="2187" spans="1:7" ht="15.75" customHeight="1">
      <c r="A2187" s="159" t="s">
        <v>9275</v>
      </c>
      <c r="B2187" s="159" t="s">
        <v>9876</v>
      </c>
      <c r="C2187" s="159" t="s">
        <v>10882</v>
      </c>
      <c r="D2187" s="159" t="s">
        <v>978</v>
      </c>
      <c r="E2187" s="159">
        <v>5</v>
      </c>
      <c r="F2187" s="159" t="s">
        <v>5665</v>
      </c>
      <c r="G2187" s="159" t="s">
        <v>10883</v>
      </c>
    </row>
    <row r="2188" spans="1:7" ht="15.75" customHeight="1">
      <c r="A2188" s="159" t="s">
        <v>9275</v>
      </c>
      <c r="B2188" s="159" t="s">
        <v>9876</v>
      </c>
      <c r="C2188" s="159" t="s">
        <v>12028</v>
      </c>
      <c r="D2188" s="159" t="s">
        <v>3893</v>
      </c>
      <c r="E2188" s="159">
        <v>65535</v>
      </c>
      <c r="F2188" s="159" t="s">
        <v>5667</v>
      </c>
      <c r="G2188" s="159" t="s">
        <v>12029</v>
      </c>
    </row>
    <row r="2189" spans="1:7" ht="15.75" customHeight="1">
      <c r="A2189" s="159" t="s">
        <v>9275</v>
      </c>
      <c r="B2189" s="159" t="s">
        <v>9876</v>
      </c>
      <c r="C2189" s="159" t="s">
        <v>10242</v>
      </c>
      <c r="D2189" s="159" t="s">
        <v>1413</v>
      </c>
      <c r="E2189" s="159"/>
      <c r="F2189" s="159" t="s">
        <v>5665</v>
      </c>
      <c r="G2189" s="159" t="s">
        <v>10282</v>
      </c>
    </row>
    <row r="2190" spans="1:7" ht="15.75" customHeight="1">
      <c r="A2190" s="159" t="s">
        <v>9275</v>
      </c>
      <c r="B2190" s="159" t="s">
        <v>9878</v>
      </c>
      <c r="C2190" s="159" t="s">
        <v>12030</v>
      </c>
      <c r="D2190" s="159" t="s">
        <v>484</v>
      </c>
      <c r="E2190" s="159">
        <v>10</v>
      </c>
      <c r="F2190" s="159" t="s">
        <v>5665</v>
      </c>
      <c r="G2190" s="159" t="s">
        <v>12031</v>
      </c>
    </row>
    <row r="2191" spans="1:7" ht="15.75" customHeight="1">
      <c r="A2191" s="159" t="s">
        <v>9275</v>
      </c>
      <c r="B2191" s="159" t="s">
        <v>9878</v>
      </c>
      <c r="C2191" s="159" t="s">
        <v>3940</v>
      </c>
      <c r="D2191" s="159" t="s">
        <v>484</v>
      </c>
      <c r="E2191" s="159">
        <v>10</v>
      </c>
      <c r="F2191" s="159" t="s">
        <v>5665</v>
      </c>
      <c r="G2191" s="159" t="s">
        <v>10747</v>
      </c>
    </row>
    <row r="2192" spans="1:7" ht="15.75" customHeight="1">
      <c r="A2192" s="159" t="s">
        <v>9275</v>
      </c>
      <c r="B2192" s="159" t="s">
        <v>9878</v>
      </c>
      <c r="C2192" s="159" t="s">
        <v>1394</v>
      </c>
      <c r="D2192" s="159" t="s">
        <v>484</v>
      </c>
      <c r="E2192" s="159">
        <v>10</v>
      </c>
      <c r="F2192" s="159" t="s">
        <v>5665</v>
      </c>
      <c r="G2192" s="159" t="s">
        <v>4828</v>
      </c>
    </row>
    <row r="2193" spans="1:7" ht="15.75" customHeight="1">
      <c r="A2193" s="159" t="s">
        <v>9275</v>
      </c>
      <c r="B2193" s="159" t="s">
        <v>9878</v>
      </c>
      <c r="C2193" s="159" t="s">
        <v>10942</v>
      </c>
      <c r="D2193" s="159" t="s">
        <v>481</v>
      </c>
      <c r="E2193" s="159">
        <v>20</v>
      </c>
      <c r="F2193" s="159" t="s">
        <v>5665</v>
      </c>
      <c r="G2193" s="159" t="s">
        <v>12032</v>
      </c>
    </row>
    <row r="2194" spans="1:7" ht="15.75" customHeight="1">
      <c r="A2194" s="159" t="s">
        <v>9275</v>
      </c>
      <c r="B2194" s="159" t="s">
        <v>9878</v>
      </c>
      <c r="C2194" s="159" t="s">
        <v>10882</v>
      </c>
      <c r="D2194" s="159" t="s">
        <v>978</v>
      </c>
      <c r="E2194" s="159">
        <v>5</v>
      </c>
      <c r="F2194" s="159" t="s">
        <v>5665</v>
      </c>
      <c r="G2194" s="159" t="s">
        <v>10883</v>
      </c>
    </row>
    <row r="2195" spans="1:7" ht="15.75" customHeight="1">
      <c r="A2195" s="159" t="s">
        <v>9275</v>
      </c>
      <c r="B2195" s="159" t="s">
        <v>9878</v>
      </c>
      <c r="C2195" s="159" t="s">
        <v>10290</v>
      </c>
      <c r="D2195" s="159" t="s">
        <v>978</v>
      </c>
      <c r="E2195" s="159">
        <v>5</v>
      </c>
      <c r="F2195" s="159" t="s">
        <v>5667</v>
      </c>
      <c r="G2195" s="159" t="s">
        <v>10507</v>
      </c>
    </row>
    <row r="2196" spans="1:7" ht="15.75" customHeight="1">
      <c r="A2196" s="159" t="s">
        <v>9275</v>
      </c>
      <c r="B2196" s="159" t="s">
        <v>9878</v>
      </c>
      <c r="C2196" s="159" t="s">
        <v>12033</v>
      </c>
      <c r="D2196" s="159" t="s">
        <v>1413</v>
      </c>
      <c r="E2196" s="159"/>
      <c r="F2196" s="159" t="s">
        <v>5665</v>
      </c>
      <c r="G2196" s="159" t="s">
        <v>12034</v>
      </c>
    </row>
    <row r="2197" spans="1:7" ht="15.75" customHeight="1">
      <c r="A2197" s="159" t="s">
        <v>9275</v>
      </c>
      <c r="B2197" s="159" t="s">
        <v>9878</v>
      </c>
      <c r="C2197" s="159" t="s">
        <v>12035</v>
      </c>
      <c r="D2197" s="159" t="s">
        <v>1413</v>
      </c>
      <c r="E2197" s="159"/>
      <c r="F2197" s="159" t="s">
        <v>5667</v>
      </c>
      <c r="G2197" s="159" t="s">
        <v>12036</v>
      </c>
    </row>
    <row r="2198" spans="1:7" ht="15.75" customHeight="1">
      <c r="A2198" s="159" t="s">
        <v>9275</v>
      </c>
      <c r="B2198" s="159" t="s">
        <v>9878</v>
      </c>
      <c r="C2198" s="159" t="s">
        <v>12037</v>
      </c>
      <c r="D2198" s="159" t="s">
        <v>978</v>
      </c>
      <c r="E2198" s="159">
        <v>5</v>
      </c>
      <c r="F2198" s="159" t="s">
        <v>5665</v>
      </c>
      <c r="G2198" s="159" t="s">
        <v>12038</v>
      </c>
    </row>
    <row r="2199" spans="1:7" ht="15.75" customHeight="1">
      <c r="A2199" s="159" t="s">
        <v>9275</v>
      </c>
      <c r="B2199" s="159" t="s">
        <v>9878</v>
      </c>
      <c r="C2199" s="159" t="s">
        <v>1419</v>
      </c>
      <c r="D2199" s="159" t="s">
        <v>978</v>
      </c>
      <c r="E2199" s="159">
        <v>5</v>
      </c>
      <c r="F2199" s="159" t="s">
        <v>5665</v>
      </c>
      <c r="G2199" s="159" t="s">
        <v>12039</v>
      </c>
    </row>
    <row r="2200" spans="1:7" ht="15.75" customHeight="1">
      <c r="A2200" s="159" t="s">
        <v>9275</v>
      </c>
      <c r="B2200" s="159" t="s">
        <v>9880</v>
      </c>
      <c r="C2200" s="159" t="s">
        <v>12040</v>
      </c>
      <c r="D2200" s="159" t="s">
        <v>484</v>
      </c>
      <c r="E2200" s="159">
        <v>10</v>
      </c>
      <c r="F2200" s="159" t="s">
        <v>5665</v>
      </c>
      <c r="G2200" s="159" t="s">
        <v>12041</v>
      </c>
    </row>
    <row r="2201" spans="1:7" ht="15.75" customHeight="1">
      <c r="A2201" s="159" t="s">
        <v>9275</v>
      </c>
      <c r="B2201" s="159" t="s">
        <v>9880</v>
      </c>
      <c r="C2201" s="159" t="s">
        <v>3940</v>
      </c>
      <c r="D2201" s="159" t="s">
        <v>484</v>
      </c>
      <c r="E2201" s="159">
        <v>10</v>
      </c>
      <c r="F2201" s="159" t="s">
        <v>5665</v>
      </c>
      <c r="G2201" s="159" t="s">
        <v>10747</v>
      </c>
    </row>
    <row r="2202" spans="1:7" ht="15.75" customHeight="1">
      <c r="A2202" s="159" t="s">
        <v>9275</v>
      </c>
      <c r="B2202" s="159" t="s">
        <v>9880</v>
      </c>
      <c r="C2202" s="159" t="s">
        <v>1394</v>
      </c>
      <c r="D2202" s="159" t="s">
        <v>484</v>
      </c>
      <c r="E2202" s="159">
        <v>10</v>
      </c>
      <c r="F2202" s="159" t="s">
        <v>5665</v>
      </c>
      <c r="G2202" s="159" t="s">
        <v>4828</v>
      </c>
    </row>
    <row r="2203" spans="1:7" ht="15.75" customHeight="1">
      <c r="A2203" s="159" t="s">
        <v>9275</v>
      </c>
      <c r="B2203" s="159" t="s">
        <v>9880</v>
      </c>
      <c r="C2203" s="159" t="s">
        <v>10882</v>
      </c>
      <c r="D2203" s="159" t="s">
        <v>978</v>
      </c>
      <c r="E2203" s="159">
        <v>5</v>
      </c>
      <c r="F2203" s="159" t="s">
        <v>5665</v>
      </c>
      <c r="G2203" s="159" t="s">
        <v>10883</v>
      </c>
    </row>
    <row r="2204" spans="1:7" ht="15.75" customHeight="1">
      <c r="A2204" s="159" t="s">
        <v>9275</v>
      </c>
      <c r="B2204" s="159" t="s">
        <v>9880</v>
      </c>
      <c r="C2204" s="159" t="s">
        <v>10290</v>
      </c>
      <c r="D2204" s="159" t="s">
        <v>978</v>
      </c>
      <c r="E2204" s="159">
        <v>5</v>
      </c>
      <c r="F2204" s="159" t="s">
        <v>5667</v>
      </c>
      <c r="G2204" s="159" t="s">
        <v>10507</v>
      </c>
    </row>
    <row r="2205" spans="1:7" ht="15.75" customHeight="1">
      <c r="A2205" s="159" t="s">
        <v>9275</v>
      </c>
      <c r="B2205" s="159" t="s">
        <v>9880</v>
      </c>
      <c r="C2205" s="159" t="s">
        <v>12033</v>
      </c>
      <c r="D2205" s="159" t="s">
        <v>1413</v>
      </c>
      <c r="E2205" s="159"/>
      <c r="F2205" s="159" t="s">
        <v>5665</v>
      </c>
      <c r="G2205" s="159" t="s">
        <v>12034</v>
      </c>
    </row>
    <row r="2206" spans="1:7" ht="15.75" customHeight="1">
      <c r="A2206" s="159" t="s">
        <v>9275</v>
      </c>
      <c r="B2206" s="159" t="s">
        <v>9880</v>
      </c>
      <c r="C2206" s="159" t="s">
        <v>12042</v>
      </c>
      <c r="D2206" s="159" t="s">
        <v>1413</v>
      </c>
      <c r="E2206" s="159"/>
      <c r="F2206" s="159" t="s">
        <v>5667</v>
      </c>
      <c r="G2206" s="159" t="s">
        <v>12043</v>
      </c>
    </row>
    <row r="2207" spans="1:7" ht="15.75" customHeight="1">
      <c r="A2207" s="159" t="s">
        <v>9275</v>
      </c>
      <c r="B2207" s="159" t="s">
        <v>9880</v>
      </c>
      <c r="C2207" s="159" t="s">
        <v>12037</v>
      </c>
      <c r="D2207" s="159" t="s">
        <v>978</v>
      </c>
      <c r="E2207" s="159">
        <v>5</v>
      </c>
      <c r="F2207" s="159" t="s">
        <v>5665</v>
      </c>
      <c r="G2207" s="159" t="s">
        <v>12044</v>
      </c>
    </row>
    <row r="2208" spans="1:7" ht="15.75" customHeight="1">
      <c r="A2208" s="159" t="s">
        <v>9275</v>
      </c>
      <c r="B2208" s="159" t="s">
        <v>9880</v>
      </c>
      <c r="C2208" s="159" t="s">
        <v>1419</v>
      </c>
      <c r="D2208" s="159" t="s">
        <v>978</v>
      </c>
      <c r="E2208" s="159">
        <v>5</v>
      </c>
      <c r="F2208" s="159" t="s">
        <v>5665</v>
      </c>
      <c r="G2208" s="159" t="s">
        <v>12039</v>
      </c>
    </row>
    <row r="2209" spans="1:7" ht="15.75" customHeight="1">
      <c r="A2209" s="159" t="s">
        <v>9275</v>
      </c>
      <c r="B2209" s="159" t="s">
        <v>9882</v>
      </c>
      <c r="C2209" s="159" t="s">
        <v>3897</v>
      </c>
      <c r="D2209" s="159" t="s">
        <v>484</v>
      </c>
      <c r="E2209" s="159">
        <v>10</v>
      </c>
      <c r="F2209" s="159" t="s">
        <v>5665</v>
      </c>
      <c r="G2209" s="159" t="s">
        <v>11840</v>
      </c>
    </row>
    <row r="2210" spans="1:7" ht="15.75" customHeight="1">
      <c r="A2210" s="159" t="s">
        <v>9275</v>
      </c>
      <c r="B2210" s="159" t="s">
        <v>9882</v>
      </c>
      <c r="C2210" s="159" t="s">
        <v>156</v>
      </c>
      <c r="D2210" s="159" t="s">
        <v>477</v>
      </c>
      <c r="E2210" s="159">
        <v>255</v>
      </c>
      <c r="F2210" s="159" t="s">
        <v>5667</v>
      </c>
      <c r="G2210" s="159" t="s">
        <v>12045</v>
      </c>
    </row>
    <row r="2211" spans="1:7" ht="15.75" customHeight="1">
      <c r="A2211" s="159" t="s">
        <v>9275</v>
      </c>
      <c r="B2211" s="159" t="s">
        <v>9884</v>
      </c>
      <c r="C2211" s="159" t="s">
        <v>3897</v>
      </c>
      <c r="D2211" s="159" t="s">
        <v>484</v>
      </c>
      <c r="E2211" s="159">
        <v>10</v>
      </c>
      <c r="F2211" s="159" t="s">
        <v>5665</v>
      </c>
      <c r="G2211" s="159" t="s">
        <v>10187</v>
      </c>
    </row>
    <row r="2212" spans="1:7" ht="15.75" customHeight="1">
      <c r="A2212" s="159" t="s">
        <v>9275</v>
      </c>
      <c r="B2212" s="159" t="s">
        <v>9884</v>
      </c>
      <c r="C2212" s="159" t="s">
        <v>12046</v>
      </c>
      <c r="D2212" s="159" t="s">
        <v>477</v>
      </c>
      <c r="E2212" s="159">
        <v>255</v>
      </c>
      <c r="F2212" s="159" t="s">
        <v>5665</v>
      </c>
      <c r="G2212" s="159" t="s">
        <v>12047</v>
      </c>
    </row>
    <row r="2213" spans="1:7" ht="15.75" customHeight="1">
      <c r="A2213" s="159" t="s">
        <v>9275</v>
      </c>
      <c r="B2213" s="159" t="s">
        <v>9884</v>
      </c>
      <c r="C2213" s="159" t="s">
        <v>10190</v>
      </c>
      <c r="D2213" s="159" t="s">
        <v>1413</v>
      </c>
      <c r="E2213" s="159"/>
      <c r="F2213" s="159" t="s">
        <v>5665</v>
      </c>
      <c r="G2213" s="159" t="s">
        <v>10281</v>
      </c>
    </row>
    <row r="2214" spans="1:7" ht="15.75" customHeight="1">
      <c r="A2214" s="159" t="s">
        <v>9275</v>
      </c>
      <c r="B2214" s="159" t="s">
        <v>9886</v>
      </c>
      <c r="C2214" s="159" t="s">
        <v>3897</v>
      </c>
      <c r="D2214" s="159" t="s">
        <v>1631</v>
      </c>
      <c r="E2214" s="159">
        <v>20</v>
      </c>
      <c r="F2214" s="159" t="s">
        <v>5665</v>
      </c>
      <c r="G2214" s="159" t="s">
        <v>10187</v>
      </c>
    </row>
    <row r="2215" spans="1:7" ht="15.75" customHeight="1">
      <c r="A2215" s="159" t="s">
        <v>9275</v>
      </c>
      <c r="B2215" s="159" t="s">
        <v>9886</v>
      </c>
      <c r="C2215" s="159" t="s">
        <v>11771</v>
      </c>
      <c r="D2215" s="159" t="s">
        <v>477</v>
      </c>
      <c r="E2215" s="159">
        <v>255</v>
      </c>
      <c r="F2215" s="159" t="s">
        <v>5667</v>
      </c>
      <c r="G2215" s="159" t="s">
        <v>12048</v>
      </c>
    </row>
    <row r="2216" spans="1:7" ht="15.75" customHeight="1">
      <c r="A2216" s="159" t="s">
        <v>9275</v>
      </c>
      <c r="B2216" s="159" t="s">
        <v>9886</v>
      </c>
      <c r="C2216" s="159" t="s">
        <v>12049</v>
      </c>
      <c r="D2216" s="159" t="s">
        <v>11645</v>
      </c>
      <c r="E2216" s="159">
        <v>4294967295</v>
      </c>
      <c r="F2216" s="159" t="s">
        <v>5667</v>
      </c>
      <c r="G2216" s="159" t="s">
        <v>12050</v>
      </c>
    </row>
    <row r="2217" spans="1:7" ht="15.75" customHeight="1">
      <c r="A2217" s="159" t="s">
        <v>9275</v>
      </c>
      <c r="B2217" s="159" t="s">
        <v>9888</v>
      </c>
      <c r="C2217" s="159" t="s">
        <v>3897</v>
      </c>
      <c r="D2217" s="159" t="s">
        <v>1631</v>
      </c>
      <c r="E2217" s="159">
        <v>20</v>
      </c>
      <c r="F2217" s="159" t="s">
        <v>5665</v>
      </c>
      <c r="G2217" s="159" t="s">
        <v>11089</v>
      </c>
    </row>
    <row r="2218" spans="1:7" ht="15.75" customHeight="1">
      <c r="A2218" s="159" t="s">
        <v>9275</v>
      </c>
      <c r="B2218" s="159" t="s">
        <v>9888</v>
      </c>
      <c r="C2218" s="159" t="s">
        <v>11839</v>
      </c>
      <c r="D2218" s="159" t="s">
        <v>484</v>
      </c>
      <c r="E2218" s="159">
        <v>10</v>
      </c>
      <c r="F2218" s="159" t="s">
        <v>5665</v>
      </c>
      <c r="G2218" s="159" t="s">
        <v>11840</v>
      </c>
    </row>
    <row r="2219" spans="1:7" ht="15.75" customHeight="1">
      <c r="A2219" s="159" t="s">
        <v>9275</v>
      </c>
      <c r="B2219" s="159" t="s">
        <v>9888</v>
      </c>
      <c r="C2219" s="159" t="s">
        <v>11544</v>
      </c>
      <c r="D2219" s="159" t="s">
        <v>1631</v>
      </c>
      <c r="E2219" s="159">
        <v>20</v>
      </c>
      <c r="F2219" s="159" t="s">
        <v>5665</v>
      </c>
      <c r="G2219" s="159" t="s">
        <v>10187</v>
      </c>
    </row>
    <row r="2220" spans="1:7" ht="15.75" customHeight="1">
      <c r="A2220" s="159" t="s">
        <v>9275</v>
      </c>
      <c r="B2220" s="159" t="s">
        <v>9888</v>
      </c>
      <c r="C2220" s="159" t="s">
        <v>10242</v>
      </c>
      <c r="D2220" s="159" t="s">
        <v>1413</v>
      </c>
      <c r="E2220" s="159"/>
      <c r="F2220" s="159" t="s">
        <v>5665</v>
      </c>
      <c r="G2220" s="159" t="s">
        <v>10282</v>
      </c>
    </row>
    <row r="2221" spans="1:7" ht="15.75" customHeight="1">
      <c r="A2221" s="159" t="s">
        <v>9275</v>
      </c>
      <c r="B2221" s="159" t="s">
        <v>9888</v>
      </c>
      <c r="C2221" s="159" t="s">
        <v>1419</v>
      </c>
      <c r="D2221" s="159" t="s">
        <v>978</v>
      </c>
      <c r="E2221" s="159">
        <v>5</v>
      </c>
      <c r="F2221" s="159" t="s">
        <v>5665</v>
      </c>
      <c r="G2221" s="159" t="s">
        <v>12051</v>
      </c>
    </row>
    <row r="2222" spans="1:7" ht="15.75" customHeight="1">
      <c r="A2222" s="159" t="s">
        <v>9275</v>
      </c>
      <c r="B2222" s="159" t="s">
        <v>9888</v>
      </c>
      <c r="C2222" s="159" t="s">
        <v>12052</v>
      </c>
      <c r="D2222" s="159" t="s">
        <v>978</v>
      </c>
      <c r="E2222" s="159">
        <v>5</v>
      </c>
      <c r="F2222" s="159" t="s">
        <v>5665</v>
      </c>
      <c r="G2222" s="159" t="s">
        <v>12053</v>
      </c>
    </row>
    <row r="2223" spans="1:7" ht="15.75" customHeight="1">
      <c r="A2223" s="159" t="s">
        <v>9275</v>
      </c>
      <c r="B2223" s="159" t="s">
        <v>9890</v>
      </c>
      <c r="C2223" s="159" t="s">
        <v>11921</v>
      </c>
      <c r="D2223" s="159" t="s">
        <v>477</v>
      </c>
      <c r="E2223" s="159">
        <v>255</v>
      </c>
      <c r="F2223" s="159" t="s">
        <v>5665</v>
      </c>
      <c r="G2223" s="159" t="s">
        <v>12054</v>
      </c>
    </row>
    <row r="2224" spans="1:7" ht="15.75" customHeight="1">
      <c r="A2224" s="159" t="s">
        <v>9275</v>
      </c>
      <c r="B2224" s="159" t="s">
        <v>9892</v>
      </c>
      <c r="C2224" s="159" t="s">
        <v>10287</v>
      </c>
      <c r="D2224" s="159" t="s">
        <v>484</v>
      </c>
      <c r="E2224" s="159">
        <v>10</v>
      </c>
      <c r="F2224" s="159" t="s">
        <v>5665</v>
      </c>
      <c r="G2224" s="159" t="s">
        <v>10237</v>
      </c>
    </row>
    <row r="2225" spans="1:7" ht="15.75" customHeight="1">
      <c r="A2225" s="159" t="s">
        <v>9275</v>
      </c>
      <c r="B2225" s="159" t="s">
        <v>9892</v>
      </c>
      <c r="C2225" s="159" t="s">
        <v>10290</v>
      </c>
      <c r="D2225" s="159" t="s">
        <v>978</v>
      </c>
      <c r="E2225" s="159">
        <v>5</v>
      </c>
      <c r="F2225" s="159" t="s">
        <v>5665</v>
      </c>
      <c r="G2225" s="159" t="s">
        <v>10507</v>
      </c>
    </row>
    <row r="2226" spans="1:7" ht="15.75" customHeight="1">
      <c r="A2226" s="159" t="s">
        <v>9275</v>
      </c>
      <c r="B2226" s="159" t="s">
        <v>9892</v>
      </c>
      <c r="C2226" s="159" t="s">
        <v>10190</v>
      </c>
      <c r="D2226" s="159" t="s">
        <v>1413</v>
      </c>
      <c r="E2226" s="159"/>
      <c r="F2226" s="159" t="s">
        <v>5665</v>
      </c>
      <c r="G2226" s="159" t="s">
        <v>10281</v>
      </c>
    </row>
    <row r="2227" spans="1:7" ht="15.75" customHeight="1">
      <c r="A2227" s="159" t="s">
        <v>9275</v>
      </c>
      <c r="B2227" s="159" t="s">
        <v>9892</v>
      </c>
      <c r="C2227" s="159" t="s">
        <v>10242</v>
      </c>
      <c r="D2227" s="159" t="s">
        <v>1413</v>
      </c>
      <c r="E2227" s="159"/>
      <c r="F2227" s="159" t="s">
        <v>5665</v>
      </c>
      <c r="G2227" s="159"/>
    </row>
    <row r="2228" spans="1:7" ht="15.75" customHeight="1">
      <c r="A2228" s="159" t="s">
        <v>9275</v>
      </c>
      <c r="B2228" s="159" t="s">
        <v>9892</v>
      </c>
      <c r="C2228" s="159" t="s">
        <v>12055</v>
      </c>
      <c r="D2228" s="159" t="s">
        <v>1413</v>
      </c>
      <c r="E2228" s="159"/>
      <c r="F2228" s="159" t="s">
        <v>5667</v>
      </c>
      <c r="G2228" s="159" t="s">
        <v>12056</v>
      </c>
    </row>
    <row r="2229" spans="1:7" ht="15.75" customHeight="1">
      <c r="A2229" s="159" t="s">
        <v>9275</v>
      </c>
      <c r="B2229" s="159" t="s">
        <v>9892</v>
      </c>
      <c r="C2229" s="159" t="s">
        <v>10211</v>
      </c>
      <c r="D2229" s="159" t="s">
        <v>978</v>
      </c>
      <c r="E2229" s="159">
        <v>5</v>
      </c>
      <c r="F2229" s="159" t="s">
        <v>5667</v>
      </c>
      <c r="G2229" s="159" t="s">
        <v>10587</v>
      </c>
    </row>
    <row r="2230" spans="1:7" ht="15.75" customHeight="1">
      <c r="A2230" s="159" t="s">
        <v>9275</v>
      </c>
      <c r="B2230" s="159" t="s">
        <v>9892</v>
      </c>
      <c r="C2230" s="159" t="s">
        <v>12057</v>
      </c>
      <c r="D2230" s="159" t="s">
        <v>978</v>
      </c>
      <c r="E2230" s="159">
        <v>5</v>
      </c>
      <c r="F2230" s="159" t="s">
        <v>5667</v>
      </c>
      <c r="G2230" s="159" t="s">
        <v>12058</v>
      </c>
    </row>
    <row r="2231" spans="1:7" ht="15.75" customHeight="1">
      <c r="A2231" s="159" t="s">
        <v>9275</v>
      </c>
      <c r="B2231" s="159" t="s">
        <v>9892</v>
      </c>
      <c r="C2231" s="159" t="s">
        <v>12059</v>
      </c>
      <c r="D2231" s="159" t="s">
        <v>978</v>
      </c>
      <c r="E2231" s="159">
        <v>5</v>
      </c>
      <c r="F2231" s="159" t="s">
        <v>5667</v>
      </c>
      <c r="G2231" s="159" t="s">
        <v>12060</v>
      </c>
    </row>
    <row r="2232" spans="1:7" ht="15.75" customHeight="1">
      <c r="A2232" s="159" t="s">
        <v>9275</v>
      </c>
      <c r="B2232" s="159" t="s">
        <v>9892</v>
      </c>
      <c r="C2232" s="159" t="s">
        <v>11442</v>
      </c>
      <c r="D2232" s="159" t="s">
        <v>484</v>
      </c>
      <c r="E2232" s="159">
        <v>10</v>
      </c>
      <c r="F2232" s="159" t="s">
        <v>5667</v>
      </c>
      <c r="G2232" s="159" t="s">
        <v>12061</v>
      </c>
    </row>
    <row r="2233" spans="1:7" ht="15.75" customHeight="1">
      <c r="A2233" s="159" t="s">
        <v>9275</v>
      </c>
      <c r="B2233" s="159" t="s">
        <v>9892</v>
      </c>
      <c r="C2233" s="159" t="s">
        <v>12062</v>
      </c>
      <c r="D2233" s="159" t="s">
        <v>481</v>
      </c>
      <c r="E2233" s="159">
        <v>12</v>
      </c>
      <c r="F2233" s="159" t="s">
        <v>5667</v>
      </c>
      <c r="G2233" s="159" t="s">
        <v>12063</v>
      </c>
    </row>
    <row r="2234" spans="1:7" ht="15.75" customHeight="1">
      <c r="A2234" s="159" t="s">
        <v>9275</v>
      </c>
      <c r="B2234" s="159" t="s">
        <v>9892</v>
      </c>
      <c r="C2234" s="159" t="s">
        <v>12064</v>
      </c>
      <c r="D2234" s="159" t="s">
        <v>484</v>
      </c>
      <c r="E2234" s="159">
        <v>10</v>
      </c>
      <c r="F2234" s="159" t="s">
        <v>5667</v>
      </c>
      <c r="G2234" s="159" t="s">
        <v>12065</v>
      </c>
    </row>
    <row r="2235" spans="1:7" ht="15.75" customHeight="1">
      <c r="A2235" s="159" t="s">
        <v>9275</v>
      </c>
      <c r="B2235" s="159" t="s">
        <v>9892</v>
      </c>
      <c r="C2235" s="159" t="s">
        <v>12066</v>
      </c>
      <c r="D2235" s="159" t="s">
        <v>481</v>
      </c>
      <c r="E2235" s="159">
        <v>12</v>
      </c>
      <c r="F2235" s="159" t="s">
        <v>5667</v>
      </c>
      <c r="G2235" s="159" t="s">
        <v>12067</v>
      </c>
    </row>
    <row r="2236" spans="1:7" ht="15.75" customHeight="1">
      <c r="A2236" s="159" t="s">
        <v>9275</v>
      </c>
      <c r="B2236" s="159" t="s">
        <v>9892</v>
      </c>
      <c r="C2236" s="159" t="s">
        <v>12068</v>
      </c>
      <c r="D2236" s="159" t="s">
        <v>481</v>
      </c>
      <c r="E2236" s="159">
        <v>12</v>
      </c>
      <c r="F2236" s="159" t="s">
        <v>5667</v>
      </c>
      <c r="G2236" s="159" t="s">
        <v>12069</v>
      </c>
    </row>
    <row r="2237" spans="1:7" ht="15.75" customHeight="1">
      <c r="A2237" s="159" t="s">
        <v>9275</v>
      </c>
      <c r="B2237" s="159" t="s">
        <v>9892</v>
      </c>
      <c r="C2237" s="159" t="s">
        <v>12070</v>
      </c>
      <c r="D2237" s="159" t="s">
        <v>477</v>
      </c>
      <c r="E2237" s="159">
        <v>255</v>
      </c>
      <c r="F2237" s="159" t="s">
        <v>5667</v>
      </c>
      <c r="G2237" s="159" t="s">
        <v>12071</v>
      </c>
    </row>
    <row r="2238" spans="1:7" ht="15.75" customHeight="1">
      <c r="A2238" s="159" t="s">
        <v>9275</v>
      </c>
      <c r="B2238" s="159" t="s">
        <v>9892</v>
      </c>
      <c r="C2238" s="159" t="s">
        <v>12072</v>
      </c>
      <c r="D2238" s="159" t="s">
        <v>477</v>
      </c>
      <c r="E2238" s="159">
        <v>255</v>
      </c>
      <c r="F2238" s="159" t="s">
        <v>5667</v>
      </c>
      <c r="G2238" s="159" t="s">
        <v>12073</v>
      </c>
    </row>
    <row r="2239" spans="1:7" ht="15.75" customHeight="1">
      <c r="A2239" s="159" t="s">
        <v>9275</v>
      </c>
      <c r="B2239" s="159" t="s">
        <v>9892</v>
      </c>
      <c r="C2239" s="159" t="s">
        <v>12074</v>
      </c>
      <c r="D2239" s="159" t="s">
        <v>477</v>
      </c>
      <c r="E2239" s="159">
        <v>255</v>
      </c>
      <c r="F2239" s="159" t="s">
        <v>5667</v>
      </c>
      <c r="G2239" s="159" t="s">
        <v>12075</v>
      </c>
    </row>
    <row r="2240" spans="1:7" ht="15.75" customHeight="1">
      <c r="A2240" s="159" t="s">
        <v>9275</v>
      </c>
      <c r="B2240" s="159" t="s">
        <v>9892</v>
      </c>
      <c r="C2240" s="159" t="s">
        <v>12076</v>
      </c>
      <c r="D2240" s="159" t="s">
        <v>481</v>
      </c>
      <c r="E2240" s="159">
        <v>20</v>
      </c>
      <c r="F2240" s="159" t="s">
        <v>5667</v>
      </c>
      <c r="G2240" s="159" t="s">
        <v>9</v>
      </c>
    </row>
    <row r="2241" spans="1:7" ht="15.75" customHeight="1">
      <c r="A2241" s="159" t="s">
        <v>9275</v>
      </c>
      <c r="B2241" s="159" t="s">
        <v>9892</v>
      </c>
      <c r="C2241" s="159" t="s">
        <v>12077</v>
      </c>
      <c r="D2241" s="159" t="s">
        <v>481</v>
      </c>
      <c r="E2241" s="159">
        <v>20</v>
      </c>
      <c r="F2241" s="159" t="s">
        <v>5667</v>
      </c>
      <c r="G2241" s="159" t="s">
        <v>12078</v>
      </c>
    </row>
    <row r="2242" spans="1:7" ht="15.75" customHeight="1">
      <c r="A2242" s="159" t="s">
        <v>9275</v>
      </c>
      <c r="B2242" s="159" t="s">
        <v>9892</v>
      </c>
      <c r="C2242" s="159" t="s">
        <v>11462</v>
      </c>
      <c r="D2242" s="159" t="s">
        <v>477</v>
      </c>
      <c r="E2242" s="159">
        <v>255</v>
      </c>
      <c r="F2242" s="159" t="s">
        <v>5667</v>
      </c>
      <c r="G2242" s="159" t="s">
        <v>12079</v>
      </c>
    </row>
    <row r="2243" spans="1:7" ht="15.75" customHeight="1">
      <c r="A2243" s="159" t="s">
        <v>9275</v>
      </c>
      <c r="B2243" s="159" t="s">
        <v>9892</v>
      </c>
      <c r="C2243" s="159" t="s">
        <v>3940</v>
      </c>
      <c r="D2243" s="159" t="s">
        <v>484</v>
      </c>
      <c r="E2243" s="159">
        <v>10</v>
      </c>
      <c r="F2243" s="159" t="s">
        <v>5667</v>
      </c>
      <c r="G2243" s="159" t="s">
        <v>10747</v>
      </c>
    </row>
    <row r="2244" spans="1:7" ht="15.75" customHeight="1">
      <c r="A2244" s="159" t="s">
        <v>9275</v>
      </c>
      <c r="B2244" s="159" t="s">
        <v>9892</v>
      </c>
      <c r="C2244" s="159" t="s">
        <v>12080</v>
      </c>
      <c r="D2244" s="159" t="s">
        <v>484</v>
      </c>
      <c r="E2244" s="159">
        <v>10</v>
      </c>
      <c r="F2244" s="159" t="s">
        <v>5667</v>
      </c>
      <c r="G2244" s="159" t="s">
        <v>12081</v>
      </c>
    </row>
    <row r="2245" spans="1:7" ht="15.75" customHeight="1">
      <c r="A2245" s="159" t="s">
        <v>9275</v>
      </c>
      <c r="B2245" s="159" t="s">
        <v>9892</v>
      </c>
      <c r="C2245" s="159" t="s">
        <v>10884</v>
      </c>
      <c r="D2245" s="159" t="s">
        <v>484</v>
      </c>
      <c r="E2245" s="159">
        <v>10</v>
      </c>
      <c r="F2245" s="159" t="s">
        <v>5667</v>
      </c>
      <c r="G2245" s="159" t="s">
        <v>10885</v>
      </c>
    </row>
    <row r="2246" spans="1:7" ht="15.75" customHeight="1">
      <c r="A2246" s="159" t="s">
        <v>9275</v>
      </c>
      <c r="B2246" s="159" t="s">
        <v>9892</v>
      </c>
      <c r="C2246" s="159" t="s">
        <v>11767</v>
      </c>
      <c r="D2246" s="159" t="s">
        <v>477</v>
      </c>
      <c r="E2246" s="159">
        <v>255</v>
      </c>
      <c r="F2246" s="159" t="s">
        <v>5667</v>
      </c>
      <c r="G2246" s="159" t="s">
        <v>11477</v>
      </c>
    </row>
    <row r="2247" spans="1:7" ht="15.75" customHeight="1">
      <c r="A2247" s="159" t="s">
        <v>9275</v>
      </c>
      <c r="B2247" s="159" t="s">
        <v>9892</v>
      </c>
      <c r="C2247" s="159" t="s">
        <v>12082</v>
      </c>
      <c r="D2247" s="159" t="s">
        <v>477</v>
      </c>
      <c r="E2247" s="159">
        <v>40</v>
      </c>
      <c r="F2247" s="159" t="s">
        <v>5667</v>
      </c>
      <c r="G2247" s="159" t="s">
        <v>12083</v>
      </c>
    </row>
    <row r="2248" spans="1:7" ht="15.75" customHeight="1">
      <c r="A2248" s="159" t="s">
        <v>9275</v>
      </c>
      <c r="B2248" s="159" t="s">
        <v>9892</v>
      </c>
      <c r="C2248" s="159" t="s">
        <v>12084</v>
      </c>
      <c r="D2248" s="159" t="s">
        <v>477</v>
      </c>
      <c r="E2248" s="159">
        <v>255</v>
      </c>
      <c r="F2248" s="159" t="s">
        <v>5667</v>
      </c>
      <c r="G2248" s="159" t="s">
        <v>12085</v>
      </c>
    </row>
    <row r="2249" spans="1:7" ht="15.75" customHeight="1">
      <c r="A2249" s="159" t="s">
        <v>9275</v>
      </c>
      <c r="B2249" s="159" t="s">
        <v>9892</v>
      </c>
      <c r="C2249" s="159" t="s">
        <v>12086</v>
      </c>
      <c r="D2249" s="159" t="s">
        <v>477</v>
      </c>
      <c r="E2249" s="159">
        <v>40</v>
      </c>
      <c r="F2249" s="159" t="s">
        <v>5667</v>
      </c>
      <c r="G2249" s="159" t="s">
        <v>12087</v>
      </c>
    </row>
    <row r="2250" spans="1:7" ht="15.75" customHeight="1">
      <c r="A2250" s="159" t="s">
        <v>9275</v>
      </c>
      <c r="B2250" s="159" t="s">
        <v>9892</v>
      </c>
      <c r="C2250" s="159" t="s">
        <v>12088</v>
      </c>
      <c r="D2250" s="159" t="s">
        <v>477</v>
      </c>
      <c r="E2250" s="159">
        <v>255</v>
      </c>
      <c r="F2250" s="159" t="s">
        <v>5667</v>
      </c>
      <c r="G2250" s="159" t="s">
        <v>12089</v>
      </c>
    </row>
    <row r="2251" spans="1:7" ht="15.75" customHeight="1">
      <c r="A2251" s="159" t="s">
        <v>9275</v>
      </c>
      <c r="B2251" s="159" t="s">
        <v>9892</v>
      </c>
      <c r="C2251" s="159" t="s">
        <v>12090</v>
      </c>
      <c r="D2251" s="159" t="s">
        <v>477</v>
      </c>
      <c r="E2251" s="159">
        <v>40</v>
      </c>
      <c r="F2251" s="159" t="s">
        <v>5667</v>
      </c>
      <c r="G2251" s="159" t="s">
        <v>12091</v>
      </c>
    </row>
    <row r="2252" spans="1:7" ht="15.75" customHeight="1">
      <c r="A2252" s="159" t="s">
        <v>9275</v>
      </c>
      <c r="B2252" s="159" t="s">
        <v>9892</v>
      </c>
      <c r="C2252" s="159" t="s">
        <v>12092</v>
      </c>
      <c r="D2252" s="159" t="s">
        <v>538</v>
      </c>
      <c r="E2252" s="159"/>
      <c r="F2252" s="159" t="s">
        <v>5667</v>
      </c>
      <c r="G2252" s="159" t="s">
        <v>12093</v>
      </c>
    </row>
    <row r="2253" spans="1:7" ht="15.75" customHeight="1">
      <c r="A2253" s="159" t="s">
        <v>9275</v>
      </c>
      <c r="B2253" s="159" t="s">
        <v>9892</v>
      </c>
      <c r="C2253" s="159" t="s">
        <v>12094</v>
      </c>
      <c r="D2253" s="159" t="s">
        <v>3893</v>
      </c>
      <c r="E2253" s="159">
        <v>65535</v>
      </c>
      <c r="F2253" s="159" t="s">
        <v>5667</v>
      </c>
      <c r="G2253" s="159" t="s">
        <v>12095</v>
      </c>
    </row>
    <row r="2254" spans="1:7" ht="15.75" customHeight="1">
      <c r="A2254" s="159" t="s">
        <v>9275</v>
      </c>
      <c r="B2254" s="159" t="s">
        <v>9892</v>
      </c>
      <c r="C2254" s="159" t="s">
        <v>12096</v>
      </c>
      <c r="D2254" s="159" t="s">
        <v>978</v>
      </c>
      <c r="E2254" s="159">
        <v>5</v>
      </c>
      <c r="F2254" s="159" t="s">
        <v>5667</v>
      </c>
      <c r="G2254" s="159" t="s">
        <v>12097</v>
      </c>
    </row>
    <row r="2255" spans="1:7" ht="15.75" customHeight="1">
      <c r="A2255" s="159" t="s">
        <v>9275</v>
      </c>
      <c r="B2255" s="159" t="s">
        <v>9892</v>
      </c>
      <c r="C2255" s="159" t="s">
        <v>12098</v>
      </c>
      <c r="D2255" s="159" t="s">
        <v>978</v>
      </c>
      <c r="E2255" s="159">
        <v>5</v>
      </c>
      <c r="F2255" s="159" t="s">
        <v>5667</v>
      </c>
      <c r="G2255" s="159" t="s">
        <v>12099</v>
      </c>
    </row>
    <row r="2256" spans="1:7" ht="15.75" customHeight="1">
      <c r="A2256" s="159" t="s">
        <v>9275</v>
      </c>
      <c r="B2256" s="159" t="s">
        <v>9892</v>
      </c>
      <c r="C2256" s="159" t="s">
        <v>12100</v>
      </c>
      <c r="D2256" s="159" t="s">
        <v>477</v>
      </c>
      <c r="E2256" s="159">
        <v>45</v>
      </c>
      <c r="F2256" s="159" t="s">
        <v>5667</v>
      </c>
      <c r="G2256" s="159" t="s">
        <v>12101</v>
      </c>
    </row>
    <row r="2257" spans="1:7" ht="15.75" customHeight="1">
      <c r="A2257" s="159" t="s">
        <v>9275</v>
      </c>
      <c r="B2257" s="159" t="s">
        <v>9892</v>
      </c>
      <c r="C2257" s="159" t="s">
        <v>12102</v>
      </c>
      <c r="D2257" s="159" t="s">
        <v>477</v>
      </c>
      <c r="E2257" s="159">
        <v>255</v>
      </c>
      <c r="F2257" s="159" t="s">
        <v>5667</v>
      </c>
      <c r="G2257" s="159" t="s">
        <v>12103</v>
      </c>
    </row>
    <row r="2258" spans="1:7" ht="15.75" customHeight="1">
      <c r="A2258" s="159" t="s">
        <v>9275</v>
      </c>
      <c r="B2258" s="159" t="s">
        <v>9892</v>
      </c>
      <c r="C2258" s="159" t="s">
        <v>12104</v>
      </c>
      <c r="D2258" s="159" t="s">
        <v>477</v>
      </c>
      <c r="E2258" s="159">
        <v>64</v>
      </c>
      <c r="F2258" s="159" t="s">
        <v>5667</v>
      </c>
      <c r="G2258" s="159" t="s">
        <v>12105</v>
      </c>
    </row>
    <row r="2259" spans="1:7" ht="15.75" customHeight="1">
      <c r="A2259" s="159" t="s">
        <v>9275</v>
      </c>
      <c r="B2259" s="159" t="s">
        <v>9892</v>
      </c>
      <c r="C2259" s="159" t="s">
        <v>10180</v>
      </c>
      <c r="D2259" s="159" t="s">
        <v>477</v>
      </c>
      <c r="E2259" s="159">
        <v>255</v>
      </c>
      <c r="F2259" s="159" t="s">
        <v>5667</v>
      </c>
      <c r="G2259" s="159" t="s">
        <v>10181</v>
      </c>
    </row>
    <row r="2260" spans="1:7" ht="15.75" customHeight="1">
      <c r="A2260" s="159" t="s">
        <v>9275</v>
      </c>
      <c r="B2260" s="159" t="s">
        <v>9892</v>
      </c>
      <c r="C2260" s="159" t="s">
        <v>2105</v>
      </c>
      <c r="D2260" s="159" t="s">
        <v>477</v>
      </c>
      <c r="E2260" s="159">
        <v>255</v>
      </c>
      <c r="F2260" s="159" t="s">
        <v>5667</v>
      </c>
      <c r="G2260" s="159" t="s">
        <v>12106</v>
      </c>
    </row>
    <row r="2261" spans="1:7" ht="15.75" customHeight="1">
      <c r="A2261" s="159" t="s">
        <v>9275</v>
      </c>
      <c r="B2261" s="159" t="s">
        <v>9892</v>
      </c>
      <c r="C2261" s="159" t="s">
        <v>12107</v>
      </c>
      <c r="D2261" s="159" t="s">
        <v>477</v>
      </c>
      <c r="E2261" s="159">
        <v>255</v>
      </c>
      <c r="F2261" s="159" t="s">
        <v>5667</v>
      </c>
      <c r="G2261" s="159" t="s">
        <v>12108</v>
      </c>
    </row>
    <row r="2262" spans="1:7" ht="15.75" customHeight="1">
      <c r="A2262" s="159" t="s">
        <v>9275</v>
      </c>
      <c r="B2262" s="159" t="s">
        <v>9892</v>
      </c>
      <c r="C2262" s="159" t="s">
        <v>12109</v>
      </c>
      <c r="D2262" s="159" t="s">
        <v>481</v>
      </c>
      <c r="E2262" s="159">
        <v>20</v>
      </c>
      <c r="F2262" s="159" t="s">
        <v>5667</v>
      </c>
      <c r="G2262" s="159" t="s">
        <v>12110</v>
      </c>
    </row>
    <row r="2263" spans="1:7" ht="15.75" customHeight="1">
      <c r="A2263" s="159" t="s">
        <v>9275</v>
      </c>
      <c r="B2263" s="159" t="s">
        <v>9892</v>
      </c>
      <c r="C2263" s="159" t="s">
        <v>12111</v>
      </c>
      <c r="D2263" s="159" t="s">
        <v>481</v>
      </c>
      <c r="E2263" s="159">
        <v>20</v>
      </c>
      <c r="F2263" s="159" t="s">
        <v>5667</v>
      </c>
      <c r="G2263" s="159" t="s">
        <v>12112</v>
      </c>
    </row>
    <row r="2264" spans="1:7" ht="15.75" customHeight="1">
      <c r="A2264" s="159" t="s">
        <v>9275</v>
      </c>
      <c r="B2264" s="159" t="s">
        <v>9892</v>
      </c>
      <c r="C2264" s="159" t="s">
        <v>12113</v>
      </c>
      <c r="D2264" s="159" t="s">
        <v>477</v>
      </c>
      <c r="E2264" s="159">
        <v>255</v>
      </c>
      <c r="F2264" s="159" t="s">
        <v>5667</v>
      </c>
      <c r="G2264" s="159" t="s">
        <v>12114</v>
      </c>
    </row>
    <row r="2265" spans="1:7" ht="15.75" customHeight="1">
      <c r="A2265" s="159" t="s">
        <v>9275</v>
      </c>
      <c r="B2265" s="159" t="s">
        <v>9892</v>
      </c>
      <c r="C2265" s="159" t="s">
        <v>12115</v>
      </c>
      <c r="D2265" s="159" t="s">
        <v>477</v>
      </c>
      <c r="E2265" s="159">
        <v>255</v>
      </c>
      <c r="F2265" s="159" t="s">
        <v>5667</v>
      </c>
      <c r="G2265" s="159" t="s">
        <v>12116</v>
      </c>
    </row>
    <row r="2266" spans="1:7" ht="15.75" customHeight="1">
      <c r="A2266" s="159" t="s">
        <v>9275</v>
      </c>
      <c r="B2266" s="159" t="s">
        <v>9892</v>
      </c>
      <c r="C2266" s="159" t="s">
        <v>12117</v>
      </c>
      <c r="D2266" s="159" t="s">
        <v>481</v>
      </c>
      <c r="E2266" s="159">
        <v>20</v>
      </c>
      <c r="F2266" s="159" t="s">
        <v>5667</v>
      </c>
      <c r="G2266" s="159" t="s">
        <v>12118</v>
      </c>
    </row>
    <row r="2267" spans="1:7" ht="15.75" customHeight="1">
      <c r="A2267" s="159" t="s">
        <v>9275</v>
      </c>
      <c r="B2267" s="159" t="s">
        <v>9892</v>
      </c>
      <c r="C2267" s="159" t="s">
        <v>12119</v>
      </c>
      <c r="D2267" s="159" t="s">
        <v>481</v>
      </c>
      <c r="E2267" s="159">
        <v>20</v>
      </c>
      <c r="F2267" s="159" t="s">
        <v>5667</v>
      </c>
      <c r="G2267" s="159" t="s">
        <v>12120</v>
      </c>
    </row>
    <row r="2268" spans="1:7" ht="15.75" customHeight="1">
      <c r="A2268" s="159" t="s">
        <v>9275</v>
      </c>
      <c r="B2268" s="159" t="s">
        <v>9892</v>
      </c>
      <c r="C2268" s="159" t="s">
        <v>12121</v>
      </c>
      <c r="D2268" s="159" t="s">
        <v>481</v>
      </c>
      <c r="E2268" s="159">
        <v>20</v>
      </c>
      <c r="F2268" s="159" t="s">
        <v>5667</v>
      </c>
      <c r="G2268" s="159" t="s">
        <v>12122</v>
      </c>
    </row>
    <row r="2269" spans="1:7" ht="15.75" customHeight="1">
      <c r="A2269" s="159" t="s">
        <v>9275</v>
      </c>
      <c r="B2269" s="159" t="s">
        <v>9892</v>
      </c>
      <c r="C2269" s="159" t="s">
        <v>12123</v>
      </c>
      <c r="D2269" s="159" t="s">
        <v>481</v>
      </c>
      <c r="E2269" s="159">
        <v>20</v>
      </c>
      <c r="F2269" s="159" t="s">
        <v>5667</v>
      </c>
      <c r="G2269" s="159" t="s">
        <v>12124</v>
      </c>
    </row>
    <row r="2270" spans="1:7" ht="15.75" customHeight="1">
      <c r="A2270" s="159" t="s">
        <v>9275</v>
      </c>
      <c r="B2270" s="159" t="s">
        <v>9892</v>
      </c>
      <c r="C2270" s="159" t="s">
        <v>12125</v>
      </c>
      <c r="D2270" s="159" t="s">
        <v>484</v>
      </c>
      <c r="E2270" s="159">
        <v>10</v>
      </c>
      <c r="F2270" s="159" t="s">
        <v>5667</v>
      </c>
      <c r="G2270" s="159" t="s">
        <v>12126</v>
      </c>
    </row>
    <row r="2271" spans="1:7" ht="15.75" customHeight="1">
      <c r="A2271" s="159" t="s">
        <v>9275</v>
      </c>
      <c r="B2271" s="159" t="s">
        <v>9892</v>
      </c>
      <c r="C2271" s="159" t="s">
        <v>12127</v>
      </c>
      <c r="D2271" s="159" t="s">
        <v>978</v>
      </c>
      <c r="E2271" s="159">
        <v>5</v>
      </c>
      <c r="F2271" s="159" t="s">
        <v>5665</v>
      </c>
      <c r="G2271" s="159" t="s">
        <v>12128</v>
      </c>
    </row>
    <row r="2272" spans="1:7" ht="15.75" customHeight="1">
      <c r="A2272" s="159" t="s">
        <v>9275</v>
      </c>
      <c r="B2272" s="159" t="s">
        <v>9892</v>
      </c>
      <c r="C2272" s="159" t="s">
        <v>12129</v>
      </c>
      <c r="D2272" s="159" t="s">
        <v>3893</v>
      </c>
      <c r="E2272" s="159">
        <v>65535</v>
      </c>
      <c r="F2272" s="159" t="s">
        <v>5667</v>
      </c>
      <c r="G2272" s="159" t="s">
        <v>12130</v>
      </c>
    </row>
    <row r="2273" spans="1:7" ht="15.75" customHeight="1">
      <c r="A2273" s="159" t="s">
        <v>9275</v>
      </c>
      <c r="B2273" s="159" t="s">
        <v>9892</v>
      </c>
      <c r="C2273" s="159" t="s">
        <v>11654</v>
      </c>
      <c r="D2273" s="159" t="s">
        <v>484</v>
      </c>
      <c r="E2273" s="159">
        <v>10</v>
      </c>
      <c r="F2273" s="159" t="s">
        <v>5667</v>
      </c>
      <c r="G2273" s="159" t="s">
        <v>12131</v>
      </c>
    </row>
    <row r="2274" spans="1:7" ht="15.75" customHeight="1">
      <c r="A2274" s="159" t="s">
        <v>9275</v>
      </c>
      <c r="B2274" s="159" t="s">
        <v>9892</v>
      </c>
      <c r="C2274" s="159" t="s">
        <v>12132</v>
      </c>
      <c r="D2274" s="159" t="s">
        <v>978</v>
      </c>
      <c r="E2274" s="159">
        <v>5</v>
      </c>
      <c r="F2274" s="159" t="s">
        <v>5667</v>
      </c>
      <c r="G2274" s="159" t="s">
        <v>12133</v>
      </c>
    </row>
    <row r="2275" spans="1:7" ht="15.75" customHeight="1">
      <c r="A2275" s="159" t="s">
        <v>9275</v>
      </c>
      <c r="B2275" s="159" t="s">
        <v>9892</v>
      </c>
      <c r="C2275" s="159" t="s">
        <v>5668</v>
      </c>
      <c r="D2275" s="159" t="s">
        <v>3893</v>
      </c>
      <c r="E2275" s="159">
        <v>65535</v>
      </c>
      <c r="F2275" s="159" t="s">
        <v>5667</v>
      </c>
      <c r="G2275" s="159" t="s">
        <v>1182</v>
      </c>
    </row>
    <row r="2276" spans="1:7" ht="15.75" customHeight="1">
      <c r="A2276" s="159" t="s">
        <v>9275</v>
      </c>
      <c r="B2276" s="159" t="s">
        <v>9892</v>
      </c>
      <c r="C2276" s="159" t="s">
        <v>12134</v>
      </c>
      <c r="D2276" s="159" t="s">
        <v>805</v>
      </c>
      <c r="E2276" s="159">
        <v>3</v>
      </c>
      <c r="F2276" s="159" t="s">
        <v>5667</v>
      </c>
      <c r="G2276" s="159" t="s">
        <v>12135</v>
      </c>
    </row>
    <row r="2277" spans="1:7" ht="15.75" customHeight="1">
      <c r="A2277" s="159" t="s">
        <v>9275</v>
      </c>
      <c r="B2277" s="159" t="s">
        <v>9892</v>
      </c>
      <c r="C2277" s="159" t="s">
        <v>12136</v>
      </c>
      <c r="D2277" s="159" t="s">
        <v>477</v>
      </c>
      <c r="E2277" s="159">
        <v>30</v>
      </c>
      <c r="F2277" s="159" t="s">
        <v>5667</v>
      </c>
      <c r="G2277" s="159" t="s">
        <v>12137</v>
      </c>
    </row>
    <row r="2278" spans="1:7" ht="15.75" customHeight="1">
      <c r="A2278" s="159" t="s">
        <v>9275</v>
      </c>
      <c r="B2278" s="159" t="s">
        <v>9892</v>
      </c>
      <c r="C2278" s="159" t="s">
        <v>12138</v>
      </c>
      <c r="D2278" s="159" t="s">
        <v>477</v>
      </c>
      <c r="E2278" s="159">
        <v>20</v>
      </c>
      <c r="F2278" s="159" t="s">
        <v>5667</v>
      </c>
      <c r="G2278" s="159" t="s">
        <v>12139</v>
      </c>
    </row>
    <row r="2279" spans="1:7" ht="15.75" customHeight="1">
      <c r="A2279" s="159" t="s">
        <v>9275</v>
      </c>
      <c r="B2279" s="159" t="s">
        <v>9892</v>
      </c>
      <c r="C2279" s="159" t="s">
        <v>12140</v>
      </c>
      <c r="D2279" s="159" t="s">
        <v>477</v>
      </c>
      <c r="E2279" s="159">
        <v>50</v>
      </c>
      <c r="F2279" s="159" t="s">
        <v>5667</v>
      </c>
      <c r="G2279" s="159" t="s">
        <v>12141</v>
      </c>
    </row>
    <row r="2280" spans="1:7" ht="15.75" customHeight="1">
      <c r="A2280" s="159" t="s">
        <v>9275</v>
      </c>
      <c r="B2280" s="159" t="s">
        <v>9892</v>
      </c>
      <c r="C2280" s="159" t="s">
        <v>12142</v>
      </c>
      <c r="D2280" s="159" t="s">
        <v>477</v>
      </c>
      <c r="E2280" s="159">
        <v>255</v>
      </c>
      <c r="F2280" s="159" t="s">
        <v>5667</v>
      </c>
      <c r="G2280" s="159" t="s">
        <v>12143</v>
      </c>
    </row>
    <row r="2281" spans="1:7" ht="15.75" customHeight="1">
      <c r="A2281" s="159" t="s">
        <v>9275</v>
      </c>
      <c r="B2281" s="159" t="s">
        <v>9892</v>
      </c>
      <c r="C2281" s="159" t="s">
        <v>12144</v>
      </c>
      <c r="D2281" s="159" t="s">
        <v>978</v>
      </c>
      <c r="E2281" s="159">
        <v>5</v>
      </c>
      <c r="F2281" s="159" t="s">
        <v>5667</v>
      </c>
      <c r="G2281" s="159" t="s">
        <v>12145</v>
      </c>
    </row>
    <row r="2282" spans="1:7" ht="15.75" customHeight="1">
      <c r="A2282" s="159" t="s">
        <v>9275</v>
      </c>
      <c r="B2282" s="159" t="s">
        <v>9892</v>
      </c>
      <c r="C2282" s="159" t="s">
        <v>12146</v>
      </c>
      <c r="D2282" s="159" t="s">
        <v>3893</v>
      </c>
      <c r="E2282" s="159">
        <v>65535</v>
      </c>
      <c r="F2282" s="159" t="s">
        <v>5667</v>
      </c>
      <c r="G2282" s="159" t="s">
        <v>12147</v>
      </c>
    </row>
    <row r="2283" spans="1:7" ht="15.75" customHeight="1">
      <c r="A2283" s="159" t="s">
        <v>9275</v>
      </c>
      <c r="B2283" s="159" t="s">
        <v>9892</v>
      </c>
      <c r="C2283" s="159" t="s">
        <v>12148</v>
      </c>
      <c r="D2283" s="159" t="s">
        <v>3893</v>
      </c>
      <c r="E2283" s="159">
        <v>65535</v>
      </c>
      <c r="F2283" s="159" t="s">
        <v>5667</v>
      </c>
      <c r="G2283" s="159" t="s">
        <v>12149</v>
      </c>
    </row>
    <row r="2284" spans="1:7" ht="15.75" customHeight="1">
      <c r="A2284" s="159" t="s">
        <v>9275</v>
      </c>
      <c r="B2284" s="159" t="s">
        <v>9892</v>
      </c>
      <c r="C2284" s="159" t="s">
        <v>12150</v>
      </c>
      <c r="D2284" s="159" t="s">
        <v>805</v>
      </c>
      <c r="E2284" s="159">
        <v>3</v>
      </c>
      <c r="F2284" s="159" t="s">
        <v>5667</v>
      </c>
      <c r="G2284" s="159" t="s">
        <v>12151</v>
      </c>
    </row>
    <row r="2285" spans="1:7" ht="15.75" customHeight="1">
      <c r="A2285" s="159" t="s">
        <v>9275</v>
      </c>
      <c r="B2285" s="159" t="s">
        <v>9894</v>
      </c>
      <c r="C2285" s="159" t="s">
        <v>11704</v>
      </c>
      <c r="D2285" s="159" t="s">
        <v>484</v>
      </c>
      <c r="E2285" s="159">
        <v>10</v>
      </c>
      <c r="F2285" s="159" t="s">
        <v>5665</v>
      </c>
      <c r="G2285" s="159" t="s">
        <v>12152</v>
      </c>
    </row>
    <row r="2286" spans="1:7" ht="15.75" customHeight="1">
      <c r="A2286" s="159" t="s">
        <v>9275</v>
      </c>
      <c r="B2286" s="159" t="s">
        <v>9894</v>
      </c>
      <c r="C2286" s="159" t="s">
        <v>10570</v>
      </c>
      <c r="D2286" s="159" t="s">
        <v>484</v>
      </c>
      <c r="E2286" s="159">
        <v>10</v>
      </c>
      <c r="F2286" s="159" t="s">
        <v>5665</v>
      </c>
      <c r="G2286" s="159" t="s">
        <v>10715</v>
      </c>
    </row>
    <row r="2287" spans="1:7" ht="15.75" customHeight="1">
      <c r="A2287" s="159" t="s">
        <v>9275</v>
      </c>
      <c r="B2287" s="159" t="s">
        <v>9894</v>
      </c>
      <c r="C2287" s="159" t="s">
        <v>10190</v>
      </c>
      <c r="D2287" s="159" t="s">
        <v>1413</v>
      </c>
      <c r="E2287" s="159"/>
      <c r="F2287" s="159" t="s">
        <v>5665</v>
      </c>
      <c r="G2287" s="159" t="s">
        <v>10281</v>
      </c>
    </row>
    <row r="2288" spans="1:7" ht="15.75" customHeight="1">
      <c r="A2288" s="159" t="s">
        <v>9275</v>
      </c>
      <c r="B2288" s="159" t="s">
        <v>9894</v>
      </c>
      <c r="C2288" s="159" t="s">
        <v>10242</v>
      </c>
      <c r="D2288" s="159" t="s">
        <v>1413</v>
      </c>
      <c r="E2288" s="159"/>
      <c r="F2288" s="159" t="s">
        <v>5665</v>
      </c>
      <c r="G2288" s="159" t="s">
        <v>10282</v>
      </c>
    </row>
    <row r="2289" spans="1:7" ht="15.75" customHeight="1">
      <c r="A2289" s="159" t="s">
        <v>9275</v>
      </c>
      <c r="B2289" s="159" t="s">
        <v>9894</v>
      </c>
      <c r="C2289" s="159" t="s">
        <v>3940</v>
      </c>
      <c r="D2289" s="159" t="s">
        <v>484</v>
      </c>
      <c r="E2289" s="159">
        <v>10</v>
      </c>
      <c r="F2289" s="159" t="s">
        <v>5667</v>
      </c>
      <c r="G2289" s="159" t="s">
        <v>10747</v>
      </c>
    </row>
    <row r="2290" spans="1:7" ht="15.75" customHeight="1">
      <c r="A2290" s="159" t="s">
        <v>9275</v>
      </c>
      <c r="B2290" s="159" t="s">
        <v>9894</v>
      </c>
      <c r="C2290" s="159" t="s">
        <v>12153</v>
      </c>
      <c r="D2290" s="159" t="s">
        <v>978</v>
      </c>
      <c r="E2290" s="159">
        <v>5</v>
      </c>
      <c r="F2290" s="159" t="s">
        <v>5667</v>
      </c>
      <c r="G2290" s="159" t="s">
        <v>12154</v>
      </c>
    </row>
    <row r="2291" spans="1:7" ht="15.75" customHeight="1">
      <c r="A2291" s="159" t="s">
        <v>9275</v>
      </c>
      <c r="B2291" s="159" t="s">
        <v>9894</v>
      </c>
      <c r="C2291" s="159" t="s">
        <v>12155</v>
      </c>
      <c r="D2291" s="159" t="s">
        <v>484</v>
      </c>
      <c r="E2291" s="159">
        <v>10</v>
      </c>
      <c r="F2291" s="159" t="s">
        <v>5667</v>
      </c>
      <c r="G2291" s="159" t="s">
        <v>12156</v>
      </c>
    </row>
    <row r="2292" spans="1:7" ht="15.75" customHeight="1">
      <c r="A2292" s="159" t="s">
        <v>9275</v>
      </c>
      <c r="B2292" s="159" t="s">
        <v>9894</v>
      </c>
      <c r="C2292" s="159" t="s">
        <v>12157</v>
      </c>
      <c r="D2292" s="159" t="s">
        <v>477</v>
      </c>
      <c r="E2292" s="159">
        <v>10</v>
      </c>
      <c r="F2292" s="159" t="s">
        <v>5667</v>
      </c>
      <c r="G2292" s="159" t="s">
        <v>12158</v>
      </c>
    </row>
    <row r="2293" spans="1:7" ht="15.75" customHeight="1">
      <c r="A2293" s="159" t="s">
        <v>9275</v>
      </c>
      <c r="B2293" s="159" t="s">
        <v>9894</v>
      </c>
      <c r="C2293" s="159" t="s">
        <v>3545</v>
      </c>
      <c r="D2293" s="159" t="s">
        <v>477</v>
      </c>
      <c r="E2293" s="159">
        <v>255</v>
      </c>
      <c r="F2293" s="159" t="s">
        <v>5667</v>
      </c>
      <c r="G2293" s="159" t="s">
        <v>5204</v>
      </c>
    </row>
    <row r="2294" spans="1:7" ht="15.75" customHeight="1">
      <c r="A2294" s="159" t="s">
        <v>9275</v>
      </c>
      <c r="B2294" s="159" t="s">
        <v>9894</v>
      </c>
      <c r="C2294" s="159" t="s">
        <v>11162</v>
      </c>
      <c r="D2294" s="159" t="s">
        <v>477</v>
      </c>
      <c r="E2294" s="159">
        <v>40</v>
      </c>
      <c r="F2294" s="159" t="s">
        <v>5667</v>
      </c>
      <c r="G2294" s="159" t="s">
        <v>12159</v>
      </c>
    </row>
    <row r="2295" spans="1:7" ht="15.75" customHeight="1">
      <c r="A2295" s="159" t="s">
        <v>9275</v>
      </c>
      <c r="B2295" s="159" t="s">
        <v>9894</v>
      </c>
      <c r="C2295" s="159" t="s">
        <v>10192</v>
      </c>
      <c r="D2295" s="159" t="s">
        <v>477</v>
      </c>
      <c r="E2295" s="159">
        <v>255</v>
      </c>
      <c r="F2295" s="159" t="s">
        <v>5667</v>
      </c>
      <c r="G2295" s="159"/>
    </row>
    <row r="2296" spans="1:7" ht="15.75" customHeight="1">
      <c r="A2296" s="159" t="s">
        <v>9275</v>
      </c>
      <c r="B2296" s="159" t="s">
        <v>9894</v>
      </c>
      <c r="C2296" s="159" t="s">
        <v>11159</v>
      </c>
      <c r="D2296" s="159" t="s">
        <v>477</v>
      </c>
      <c r="E2296" s="159">
        <v>40</v>
      </c>
      <c r="F2296" s="159" t="s">
        <v>5667</v>
      </c>
      <c r="G2296" s="159"/>
    </row>
    <row r="2297" spans="1:7" ht="15.75" customHeight="1">
      <c r="A2297" s="159" t="s">
        <v>9275</v>
      </c>
      <c r="B2297" s="159" t="s">
        <v>9894</v>
      </c>
      <c r="C2297" s="159" t="s">
        <v>10194</v>
      </c>
      <c r="D2297" s="159" t="s">
        <v>477</v>
      </c>
      <c r="E2297" s="159">
        <v>255</v>
      </c>
      <c r="F2297" s="159" t="s">
        <v>5667</v>
      </c>
      <c r="G2297" s="159"/>
    </row>
    <row r="2298" spans="1:7" ht="15.75" customHeight="1">
      <c r="A2298" s="159" t="s">
        <v>9275</v>
      </c>
      <c r="B2298" s="159" t="s">
        <v>9894</v>
      </c>
      <c r="C2298" s="159" t="s">
        <v>11167</v>
      </c>
      <c r="D2298" s="159" t="s">
        <v>477</v>
      </c>
      <c r="E2298" s="159">
        <v>40</v>
      </c>
      <c r="F2298" s="159" t="s">
        <v>5667</v>
      </c>
      <c r="G2298" s="159" t="s">
        <v>12160</v>
      </c>
    </row>
    <row r="2299" spans="1:7" ht="15.75" customHeight="1">
      <c r="A2299" s="159" t="s">
        <v>9275</v>
      </c>
      <c r="B2299" s="159" t="s">
        <v>9894</v>
      </c>
      <c r="C2299" s="159" t="s">
        <v>8682</v>
      </c>
      <c r="D2299" s="159" t="s">
        <v>477</v>
      </c>
      <c r="E2299" s="159">
        <v>255</v>
      </c>
      <c r="F2299" s="159" t="s">
        <v>5667</v>
      </c>
      <c r="G2299" s="159" t="s">
        <v>2317</v>
      </c>
    </row>
    <row r="2300" spans="1:7" ht="15.75" customHeight="1">
      <c r="A2300" s="159" t="s">
        <v>9275</v>
      </c>
      <c r="B2300" s="159" t="s">
        <v>9894</v>
      </c>
      <c r="C2300" s="159" t="s">
        <v>3943</v>
      </c>
      <c r="D2300" s="159" t="s">
        <v>477</v>
      </c>
      <c r="E2300" s="159">
        <v>255</v>
      </c>
      <c r="F2300" s="159" t="s">
        <v>5667</v>
      </c>
      <c r="G2300" s="159" t="s">
        <v>1816</v>
      </c>
    </row>
    <row r="2301" spans="1:7" ht="15.75" customHeight="1">
      <c r="A2301" s="159" t="s">
        <v>9275</v>
      </c>
      <c r="B2301" s="159" t="s">
        <v>9894</v>
      </c>
      <c r="C2301" s="159" t="s">
        <v>3944</v>
      </c>
      <c r="D2301" s="159" t="s">
        <v>477</v>
      </c>
      <c r="E2301" s="159">
        <v>255</v>
      </c>
      <c r="F2301" s="159" t="s">
        <v>5667</v>
      </c>
      <c r="G2301" s="159" t="s">
        <v>1584</v>
      </c>
    </row>
    <row r="2302" spans="1:7" ht="15.75" customHeight="1">
      <c r="A2302" s="159" t="s">
        <v>9275</v>
      </c>
      <c r="B2302" s="159" t="s">
        <v>9894</v>
      </c>
      <c r="C2302" s="159" t="s">
        <v>3946</v>
      </c>
      <c r="D2302" s="159" t="s">
        <v>477</v>
      </c>
      <c r="E2302" s="159">
        <v>255</v>
      </c>
      <c r="F2302" s="159" t="s">
        <v>5667</v>
      </c>
      <c r="G2302" s="159"/>
    </row>
    <row r="2303" spans="1:7" ht="15.75" customHeight="1">
      <c r="A2303" s="159" t="s">
        <v>9275</v>
      </c>
      <c r="B2303" s="159" t="s">
        <v>9894</v>
      </c>
      <c r="C2303" s="159" t="s">
        <v>11165</v>
      </c>
      <c r="D2303" s="159" t="s">
        <v>484</v>
      </c>
      <c r="E2303" s="159">
        <v>10</v>
      </c>
      <c r="F2303" s="159" t="s">
        <v>5667</v>
      </c>
      <c r="G2303" s="159" t="s">
        <v>11277</v>
      </c>
    </row>
    <row r="2304" spans="1:7" ht="15.75" customHeight="1">
      <c r="A2304" s="159" t="s">
        <v>9275</v>
      </c>
      <c r="B2304" s="159" t="s">
        <v>9894</v>
      </c>
      <c r="C2304" s="159" t="s">
        <v>3947</v>
      </c>
      <c r="D2304" s="159" t="s">
        <v>477</v>
      </c>
      <c r="E2304" s="159">
        <v>20</v>
      </c>
      <c r="F2304" s="159" t="s">
        <v>5667</v>
      </c>
      <c r="G2304" s="159" t="s">
        <v>1588</v>
      </c>
    </row>
    <row r="2305" spans="1:7" ht="15.75" customHeight="1">
      <c r="A2305" s="159" t="s">
        <v>9275</v>
      </c>
      <c r="B2305" s="159" t="s">
        <v>9894</v>
      </c>
      <c r="C2305" s="159" t="s">
        <v>3945</v>
      </c>
      <c r="D2305" s="159" t="s">
        <v>477</v>
      </c>
      <c r="E2305" s="159">
        <v>30</v>
      </c>
      <c r="F2305" s="159" t="s">
        <v>5667</v>
      </c>
      <c r="G2305" s="159" t="s">
        <v>12161</v>
      </c>
    </row>
    <row r="2306" spans="1:7" ht="15.75" customHeight="1">
      <c r="A2306" s="159" t="s">
        <v>9275</v>
      </c>
      <c r="B2306" s="159" t="s">
        <v>9894</v>
      </c>
      <c r="C2306" s="159" t="s">
        <v>3948</v>
      </c>
      <c r="D2306" s="159" t="s">
        <v>477</v>
      </c>
      <c r="E2306" s="159">
        <v>255</v>
      </c>
      <c r="F2306" s="159" t="s">
        <v>5667</v>
      </c>
      <c r="G2306" s="159"/>
    </row>
    <row r="2307" spans="1:7" ht="15.75" customHeight="1">
      <c r="A2307" s="159" t="s">
        <v>9275</v>
      </c>
      <c r="B2307" s="159" t="s">
        <v>9894</v>
      </c>
      <c r="C2307" s="159" t="s">
        <v>3963</v>
      </c>
      <c r="D2307" s="159" t="s">
        <v>477</v>
      </c>
      <c r="E2307" s="159">
        <v>255</v>
      </c>
      <c r="F2307" s="159" t="s">
        <v>5667</v>
      </c>
      <c r="G2307" s="159"/>
    </row>
    <row r="2308" spans="1:7" ht="15.75" customHeight="1">
      <c r="A2308" s="159" t="s">
        <v>9275</v>
      </c>
      <c r="B2308" s="159" t="s">
        <v>9894</v>
      </c>
      <c r="C2308" s="159" t="s">
        <v>12162</v>
      </c>
      <c r="D2308" s="159" t="s">
        <v>978</v>
      </c>
      <c r="E2308" s="159">
        <v>5</v>
      </c>
      <c r="F2308" s="159" t="s">
        <v>5665</v>
      </c>
      <c r="G2308" s="159" t="s">
        <v>12163</v>
      </c>
    </row>
    <row r="2309" spans="1:7" ht="15.75" customHeight="1">
      <c r="A2309" s="159" t="s">
        <v>9275</v>
      </c>
      <c r="B2309" s="159" t="s">
        <v>9894</v>
      </c>
      <c r="C2309" s="159" t="s">
        <v>12164</v>
      </c>
      <c r="D2309" s="159" t="s">
        <v>978</v>
      </c>
      <c r="E2309" s="159">
        <v>5</v>
      </c>
      <c r="F2309" s="159" t="s">
        <v>5665</v>
      </c>
      <c r="G2309" s="159" t="s">
        <v>12165</v>
      </c>
    </row>
    <row r="2310" spans="1:7" ht="15.75" customHeight="1">
      <c r="A2310" s="159" t="s">
        <v>9275</v>
      </c>
      <c r="B2310" s="159" t="s">
        <v>9894</v>
      </c>
      <c r="C2310" s="159" t="s">
        <v>12166</v>
      </c>
      <c r="D2310" s="159" t="s">
        <v>477</v>
      </c>
      <c r="E2310" s="159">
        <v>120</v>
      </c>
      <c r="F2310" s="159" t="s">
        <v>5667</v>
      </c>
      <c r="G2310" s="159"/>
    </row>
    <row r="2311" spans="1:7" ht="15.75" customHeight="1">
      <c r="A2311" s="159" t="s">
        <v>9275</v>
      </c>
      <c r="B2311" s="159" t="s">
        <v>9894</v>
      </c>
      <c r="C2311" s="159" t="s">
        <v>12167</v>
      </c>
      <c r="D2311" s="159" t="s">
        <v>477</v>
      </c>
      <c r="E2311" s="159">
        <v>255</v>
      </c>
      <c r="F2311" s="159" t="s">
        <v>5667</v>
      </c>
      <c r="G2311" s="159" t="s">
        <v>12168</v>
      </c>
    </row>
    <row r="2312" spans="1:7" ht="15.75" customHeight="1">
      <c r="A2312" s="159" t="s">
        <v>9275</v>
      </c>
      <c r="B2312" s="159" t="s">
        <v>9894</v>
      </c>
      <c r="C2312" s="159" t="s">
        <v>5882</v>
      </c>
      <c r="D2312" s="159" t="s">
        <v>481</v>
      </c>
      <c r="E2312" s="159">
        <v>12</v>
      </c>
      <c r="F2312" s="159" t="s">
        <v>5665</v>
      </c>
      <c r="G2312" s="159" t="s">
        <v>3277</v>
      </c>
    </row>
    <row r="2313" spans="1:7" ht="15.75" customHeight="1">
      <c r="A2313" s="159" t="s">
        <v>9275</v>
      </c>
      <c r="B2313" s="159" t="s">
        <v>9894</v>
      </c>
      <c r="C2313" s="159" t="s">
        <v>12117</v>
      </c>
      <c r="D2313" s="159" t="s">
        <v>481</v>
      </c>
      <c r="E2313" s="159">
        <v>20</v>
      </c>
      <c r="F2313" s="159" t="s">
        <v>5665</v>
      </c>
      <c r="G2313" s="159" t="s">
        <v>12118</v>
      </c>
    </row>
    <row r="2314" spans="1:7" ht="15.75" customHeight="1">
      <c r="A2314" s="159" t="s">
        <v>9275</v>
      </c>
      <c r="B2314" s="159" t="s">
        <v>9894</v>
      </c>
      <c r="C2314" s="159" t="s">
        <v>12119</v>
      </c>
      <c r="D2314" s="159" t="s">
        <v>481</v>
      </c>
      <c r="E2314" s="159">
        <v>20</v>
      </c>
      <c r="F2314" s="159" t="s">
        <v>5665</v>
      </c>
      <c r="G2314" s="159" t="s">
        <v>12120</v>
      </c>
    </row>
    <row r="2315" spans="1:7" ht="15.75" customHeight="1">
      <c r="A2315" s="159" t="s">
        <v>9275</v>
      </c>
      <c r="B2315" s="159" t="s">
        <v>9894</v>
      </c>
      <c r="C2315" s="159" t="s">
        <v>12121</v>
      </c>
      <c r="D2315" s="159" t="s">
        <v>481</v>
      </c>
      <c r="E2315" s="159">
        <v>20</v>
      </c>
      <c r="F2315" s="159" t="s">
        <v>5665</v>
      </c>
      <c r="G2315" s="159" t="s">
        <v>12122</v>
      </c>
    </row>
    <row r="2316" spans="1:7" ht="15.75" customHeight="1">
      <c r="A2316" s="159" t="s">
        <v>9275</v>
      </c>
      <c r="B2316" s="159" t="s">
        <v>9894</v>
      </c>
      <c r="C2316" s="159" t="s">
        <v>12123</v>
      </c>
      <c r="D2316" s="159" t="s">
        <v>481</v>
      </c>
      <c r="E2316" s="159">
        <v>20</v>
      </c>
      <c r="F2316" s="159" t="s">
        <v>5665</v>
      </c>
      <c r="G2316" s="159" t="s">
        <v>12124</v>
      </c>
    </row>
    <row r="2317" spans="1:7" ht="15.75" customHeight="1">
      <c r="A2317" s="159" t="s">
        <v>9275</v>
      </c>
      <c r="B2317" s="159" t="s">
        <v>9894</v>
      </c>
      <c r="C2317" s="159" t="s">
        <v>12169</v>
      </c>
      <c r="D2317" s="159" t="s">
        <v>481</v>
      </c>
      <c r="E2317" s="159">
        <v>20</v>
      </c>
      <c r="F2317" s="159" t="s">
        <v>5665</v>
      </c>
      <c r="G2317" s="159" t="s">
        <v>12170</v>
      </c>
    </row>
    <row r="2318" spans="1:7" ht="15.75" customHeight="1">
      <c r="A2318" s="159" t="s">
        <v>9275</v>
      </c>
      <c r="B2318" s="159" t="s">
        <v>9894</v>
      </c>
      <c r="C2318" s="159" t="s">
        <v>12171</v>
      </c>
      <c r="D2318" s="159" t="s">
        <v>481</v>
      </c>
      <c r="E2318" s="159">
        <v>20</v>
      </c>
      <c r="F2318" s="159" t="s">
        <v>5665</v>
      </c>
      <c r="G2318" s="159" t="s">
        <v>12172</v>
      </c>
    </row>
    <row r="2319" spans="1:7" ht="15.75" customHeight="1">
      <c r="A2319" s="159" t="s">
        <v>9275</v>
      </c>
      <c r="B2319" s="159" t="s">
        <v>9894</v>
      </c>
      <c r="C2319" s="159" t="s">
        <v>12173</v>
      </c>
      <c r="D2319" s="159" t="s">
        <v>481</v>
      </c>
      <c r="E2319" s="159">
        <v>20</v>
      </c>
      <c r="F2319" s="159" t="s">
        <v>5665</v>
      </c>
      <c r="G2319" s="159" t="s">
        <v>12174</v>
      </c>
    </row>
    <row r="2320" spans="1:7" ht="15.75" customHeight="1">
      <c r="A2320" s="159" t="s">
        <v>9275</v>
      </c>
      <c r="B2320" s="159" t="s">
        <v>9894</v>
      </c>
      <c r="C2320" s="159" t="s">
        <v>12175</v>
      </c>
      <c r="D2320" s="159" t="s">
        <v>481</v>
      </c>
      <c r="E2320" s="159">
        <v>20</v>
      </c>
      <c r="F2320" s="159" t="s">
        <v>5665</v>
      </c>
      <c r="G2320" s="159" t="s">
        <v>12176</v>
      </c>
    </row>
    <row r="2321" spans="1:7" ht="15.75" customHeight="1">
      <c r="A2321" s="159" t="s">
        <v>9275</v>
      </c>
      <c r="B2321" s="159" t="s">
        <v>9894</v>
      </c>
      <c r="C2321" s="159" t="s">
        <v>12177</v>
      </c>
      <c r="D2321" s="159" t="s">
        <v>481</v>
      </c>
      <c r="E2321" s="159">
        <v>20</v>
      </c>
      <c r="F2321" s="159" t="s">
        <v>5667</v>
      </c>
      <c r="G2321" s="159" t="s">
        <v>12178</v>
      </c>
    </row>
    <row r="2322" spans="1:7" ht="15.75" customHeight="1">
      <c r="A2322" s="159" t="s">
        <v>9275</v>
      </c>
      <c r="B2322" s="159" t="s">
        <v>9894</v>
      </c>
      <c r="C2322" s="159" t="s">
        <v>12179</v>
      </c>
      <c r="D2322" s="159" t="s">
        <v>481</v>
      </c>
      <c r="E2322" s="159">
        <v>20</v>
      </c>
      <c r="F2322" s="159" t="s">
        <v>5667</v>
      </c>
      <c r="G2322" s="159" t="s">
        <v>12180</v>
      </c>
    </row>
    <row r="2323" spans="1:7" ht="15.75" customHeight="1">
      <c r="A2323" s="159" t="s">
        <v>9275</v>
      </c>
      <c r="B2323" s="159" t="s">
        <v>9894</v>
      </c>
      <c r="C2323" s="159" t="s">
        <v>5845</v>
      </c>
      <c r="D2323" s="159" t="s">
        <v>481</v>
      </c>
      <c r="E2323" s="159">
        <v>20</v>
      </c>
      <c r="F2323" s="159" t="s">
        <v>5665</v>
      </c>
      <c r="G2323" s="159" t="s">
        <v>11064</v>
      </c>
    </row>
    <row r="2324" spans="1:7" ht="15.75" customHeight="1">
      <c r="A2324" s="159" t="s">
        <v>9275</v>
      </c>
      <c r="B2324" s="159" t="s">
        <v>9894</v>
      </c>
      <c r="C2324" s="159" t="s">
        <v>12181</v>
      </c>
      <c r="D2324" s="159" t="s">
        <v>481</v>
      </c>
      <c r="E2324" s="159">
        <v>20</v>
      </c>
      <c r="F2324" s="159" t="s">
        <v>5665</v>
      </c>
      <c r="G2324" s="159" t="s">
        <v>12182</v>
      </c>
    </row>
    <row r="2325" spans="1:7" ht="15.75" customHeight="1">
      <c r="A2325" s="159" t="s">
        <v>9275</v>
      </c>
      <c r="B2325" s="159" t="s">
        <v>9894</v>
      </c>
      <c r="C2325" s="159" t="s">
        <v>12076</v>
      </c>
      <c r="D2325" s="159" t="s">
        <v>481</v>
      </c>
      <c r="E2325" s="159">
        <v>20</v>
      </c>
      <c r="F2325" s="159" t="s">
        <v>5665</v>
      </c>
      <c r="G2325" s="159" t="s">
        <v>9</v>
      </c>
    </row>
    <row r="2326" spans="1:7" ht="15.75" customHeight="1">
      <c r="A2326" s="159" t="s">
        <v>9275</v>
      </c>
      <c r="B2326" s="159" t="s">
        <v>9894</v>
      </c>
      <c r="C2326" s="159" t="s">
        <v>12077</v>
      </c>
      <c r="D2326" s="159" t="s">
        <v>481</v>
      </c>
      <c r="E2326" s="159">
        <v>20</v>
      </c>
      <c r="F2326" s="159" t="s">
        <v>5665</v>
      </c>
      <c r="G2326" s="159" t="s">
        <v>12078</v>
      </c>
    </row>
    <row r="2327" spans="1:7" ht="15.75" customHeight="1">
      <c r="A2327" s="159" t="s">
        <v>9275</v>
      </c>
      <c r="B2327" s="159" t="s">
        <v>9894</v>
      </c>
      <c r="C2327" s="159" t="s">
        <v>12183</v>
      </c>
      <c r="D2327" s="159" t="s">
        <v>3893</v>
      </c>
      <c r="E2327" s="159">
        <v>65535</v>
      </c>
      <c r="F2327" s="159" t="s">
        <v>5667</v>
      </c>
      <c r="G2327" s="159" t="s">
        <v>12184</v>
      </c>
    </row>
    <row r="2328" spans="1:7" ht="15.75" customHeight="1">
      <c r="A2328" s="159" t="s">
        <v>9275</v>
      </c>
      <c r="B2328" s="159" t="s">
        <v>9894</v>
      </c>
      <c r="C2328" s="159" t="s">
        <v>12185</v>
      </c>
      <c r="D2328" s="159" t="s">
        <v>3893</v>
      </c>
      <c r="E2328" s="159">
        <v>65535</v>
      </c>
      <c r="F2328" s="159" t="s">
        <v>5667</v>
      </c>
      <c r="G2328" s="159" t="s">
        <v>12186</v>
      </c>
    </row>
    <row r="2329" spans="1:7" ht="15.75" customHeight="1">
      <c r="A2329" s="159" t="s">
        <v>9275</v>
      </c>
      <c r="B2329" s="159" t="s">
        <v>9894</v>
      </c>
      <c r="C2329" s="159" t="s">
        <v>12187</v>
      </c>
      <c r="D2329" s="159" t="s">
        <v>477</v>
      </c>
      <c r="E2329" s="159">
        <v>255</v>
      </c>
      <c r="F2329" s="159" t="s">
        <v>5667</v>
      </c>
      <c r="G2329" s="159" t="s">
        <v>12188</v>
      </c>
    </row>
    <row r="2330" spans="1:7" ht="15.75" customHeight="1">
      <c r="A2330" s="159" t="s">
        <v>9275</v>
      </c>
      <c r="B2330" s="159" t="s">
        <v>9894</v>
      </c>
      <c r="C2330" s="159" t="s">
        <v>12189</v>
      </c>
      <c r="D2330" s="159" t="s">
        <v>481</v>
      </c>
      <c r="E2330" s="159">
        <v>20</v>
      </c>
      <c r="F2330" s="159" t="s">
        <v>5667</v>
      </c>
      <c r="G2330" s="159" t="s">
        <v>12190</v>
      </c>
    </row>
    <row r="2331" spans="1:7" ht="15.75" customHeight="1">
      <c r="A2331" s="159" t="s">
        <v>9275</v>
      </c>
      <c r="B2331" s="159" t="s">
        <v>9894</v>
      </c>
      <c r="C2331" s="159" t="s">
        <v>12191</v>
      </c>
      <c r="D2331" s="159" t="s">
        <v>481</v>
      </c>
      <c r="E2331" s="159">
        <v>20</v>
      </c>
      <c r="F2331" s="159" t="s">
        <v>5667</v>
      </c>
      <c r="G2331" s="159" t="s">
        <v>12192</v>
      </c>
    </row>
    <row r="2332" spans="1:7" ht="15.75" customHeight="1">
      <c r="A2332" s="159" t="s">
        <v>9275</v>
      </c>
      <c r="B2332" s="159" t="s">
        <v>9894</v>
      </c>
      <c r="C2332" s="159" t="s">
        <v>12193</v>
      </c>
      <c r="D2332" s="159" t="s">
        <v>481</v>
      </c>
      <c r="E2332" s="159">
        <v>20</v>
      </c>
      <c r="F2332" s="159" t="s">
        <v>5667</v>
      </c>
      <c r="G2332" s="159" t="s">
        <v>12194</v>
      </c>
    </row>
    <row r="2333" spans="1:7" ht="15.75" customHeight="1">
      <c r="A2333" s="159" t="s">
        <v>9275</v>
      </c>
      <c r="B2333" s="159" t="s">
        <v>9894</v>
      </c>
      <c r="C2333" s="159" t="s">
        <v>12195</v>
      </c>
      <c r="D2333" s="159" t="s">
        <v>481</v>
      </c>
      <c r="E2333" s="159">
        <v>20</v>
      </c>
      <c r="F2333" s="159" t="s">
        <v>5667</v>
      </c>
      <c r="G2333" s="159" t="s">
        <v>12196</v>
      </c>
    </row>
    <row r="2334" spans="1:7" ht="15.75" customHeight="1">
      <c r="A2334" s="159" t="s">
        <v>9275</v>
      </c>
      <c r="B2334" s="159" t="s">
        <v>9894</v>
      </c>
      <c r="C2334" s="159" t="s">
        <v>12197</v>
      </c>
      <c r="D2334" s="159" t="s">
        <v>481</v>
      </c>
      <c r="E2334" s="159">
        <v>20</v>
      </c>
      <c r="F2334" s="159" t="s">
        <v>5667</v>
      </c>
      <c r="G2334" s="159" t="s">
        <v>12198</v>
      </c>
    </row>
    <row r="2335" spans="1:7" ht="15.75" customHeight="1">
      <c r="A2335" s="159" t="s">
        <v>9275</v>
      </c>
      <c r="B2335" s="159" t="s">
        <v>9894</v>
      </c>
      <c r="C2335" s="159" t="s">
        <v>12199</v>
      </c>
      <c r="D2335" s="159" t="s">
        <v>481</v>
      </c>
      <c r="E2335" s="159">
        <v>20</v>
      </c>
      <c r="F2335" s="159" t="s">
        <v>5667</v>
      </c>
      <c r="G2335" s="159" t="s">
        <v>12200</v>
      </c>
    </row>
    <row r="2336" spans="1:7" ht="15.75" customHeight="1">
      <c r="A2336" s="159" t="s">
        <v>9275</v>
      </c>
      <c r="B2336" s="159" t="s">
        <v>9894</v>
      </c>
      <c r="C2336" s="159" t="s">
        <v>12201</v>
      </c>
      <c r="D2336" s="159" t="s">
        <v>481</v>
      </c>
      <c r="E2336" s="159">
        <v>20</v>
      </c>
      <c r="F2336" s="159" t="s">
        <v>5667</v>
      </c>
      <c r="G2336" s="159" t="s">
        <v>12202</v>
      </c>
    </row>
    <row r="2337" spans="1:7" ht="15.75" customHeight="1">
      <c r="A2337" s="159" t="s">
        <v>9275</v>
      </c>
      <c r="B2337" s="159" t="s">
        <v>9894</v>
      </c>
      <c r="C2337" s="159" t="s">
        <v>12203</v>
      </c>
      <c r="D2337" s="159" t="s">
        <v>481</v>
      </c>
      <c r="E2337" s="159">
        <v>20</v>
      </c>
      <c r="F2337" s="159" t="s">
        <v>5667</v>
      </c>
      <c r="G2337" s="159" t="s">
        <v>12204</v>
      </c>
    </row>
    <row r="2338" spans="1:7" ht="15.75" customHeight="1">
      <c r="A2338" s="159" t="s">
        <v>9275</v>
      </c>
      <c r="B2338" s="159" t="s">
        <v>9894</v>
      </c>
      <c r="C2338" s="159" t="s">
        <v>12205</v>
      </c>
      <c r="D2338" s="159" t="s">
        <v>481</v>
      </c>
      <c r="E2338" s="159">
        <v>20</v>
      </c>
      <c r="F2338" s="159" t="s">
        <v>5667</v>
      </c>
      <c r="G2338" s="159" t="s">
        <v>12206</v>
      </c>
    </row>
    <row r="2339" spans="1:7" ht="15.75" customHeight="1">
      <c r="A2339" s="159" t="s">
        <v>9275</v>
      </c>
      <c r="B2339" s="159" t="s">
        <v>9894</v>
      </c>
      <c r="C2339" s="159" t="s">
        <v>12207</v>
      </c>
      <c r="D2339" s="159" t="s">
        <v>481</v>
      </c>
      <c r="E2339" s="159">
        <v>20</v>
      </c>
      <c r="F2339" s="159" t="s">
        <v>5667</v>
      </c>
      <c r="G2339" s="159" t="s">
        <v>12208</v>
      </c>
    </row>
    <row r="2340" spans="1:7" ht="15.75" customHeight="1">
      <c r="A2340" s="159" t="s">
        <v>9275</v>
      </c>
      <c r="B2340" s="159" t="s">
        <v>9894</v>
      </c>
      <c r="C2340" s="159" t="s">
        <v>11169</v>
      </c>
      <c r="D2340" s="159" t="s">
        <v>3893</v>
      </c>
      <c r="E2340" s="159">
        <v>65535</v>
      </c>
      <c r="F2340" s="159" t="s">
        <v>5667</v>
      </c>
      <c r="G2340" s="159" t="s">
        <v>12209</v>
      </c>
    </row>
    <row r="2341" spans="1:7" ht="15.75" customHeight="1">
      <c r="A2341" s="159" t="s">
        <v>9275</v>
      </c>
      <c r="B2341" s="159" t="s">
        <v>9894</v>
      </c>
      <c r="C2341" s="159" t="s">
        <v>11171</v>
      </c>
      <c r="D2341" s="159" t="s">
        <v>978</v>
      </c>
      <c r="E2341" s="159">
        <v>5</v>
      </c>
      <c r="F2341" s="159" t="s">
        <v>5667</v>
      </c>
      <c r="G2341" s="159" t="s">
        <v>12210</v>
      </c>
    </row>
    <row r="2342" spans="1:7" ht="15.75" customHeight="1">
      <c r="A2342" s="159" t="s">
        <v>9275</v>
      </c>
      <c r="B2342" s="159" t="s">
        <v>9894</v>
      </c>
      <c r="C2342" s="159" t="s">
        <v>11175</v>
      </c>
      <c r="D2342" s="159" t="s">
        <v>3893</v>
      </c>
      <c r="E2342" s="159">
        <v>65535</v>
      </c>
      <c r="F2342" s="159" t="s">
        <v>5667</v>
      </c>
      <c r="G2342" s="159" t="s">
        <v>12211</v>
      </c>
    </row>
    <row r="2343" spans="1:7" ht="15.75" customHeight="1">
      <c r="A2343" s="159" t="s">
        <v>9275</v>
      </c>
      <c r="B2343" s="159" t="s">
        <v>9894</v>
      </c>
      <c r="C2343" s="159" t="s">
        <v>11173</v>
      </c>
      <c r="D2343" s="159" t="s">
        <v>3893</v>
      </c>
      <c r="E2343" s="159">
        <v>65535</v>
      </c>
      <c r="F2343" s="159" t="s">
        <v>5667</v>
      </c>
      <c r="G2343" s="159" t="s">
        <v>12212</v>
      </c>
    </row>
    <row r="2344" spans="1:7" ht="15.75" customHeight="1">
      <c r="A2344" s="159" t="s">
        <v>9275</v>
      </c>
      <c r="B2344" s="159" t="s">
        <v>9894</v>
      </c>
      <c r="C2344" s="159" t="s">
        <v>11177</v>
      </c>
      <c r="D2344" s="159" t="s">
        <v>978</v>
      </c>
      <c r="E2344" s="159">
        <v>5</v>
      </c>
      <c r="F2344" s="159" t="s">
        <v>5667</v>
      </c>
      <c r="G2344" s="159" t="s">
        <v>12213</v>
      </c>
    </row>
    <row r="2345" spans="1:7" ht="15.75" customHeight="1">
      <c r="A2345" s="159" t="s">
        <v>9275</v>
      </c>
      <c r="B2345" s="159" t="s">
        <v>9894</v>
      </c>
      <c r="C2345" s="159" t="s">
        <v>12214</v>
      </c>
      <c r="D2345" s="159" t="s">
        <v>3893</v>
      </c>
      <c r="E2345" s="159">
        <v>65535</v>
      </c>
      <c r="F2345" s="159" t="s">
        <v>5667</v>
      </c>
      <c r="G2345" s="159" t="s">
        <v>12215</v>
      </c>
    </row>
    <row r="2346" spans="1:7" ht="15.75" customHeight="1">
      <c r="A2346" s="159" t="s">
        <v>9275</v>
      </c>
      <c r="B2346" s="159" t="s">
        <v>9894</v>
      </c>
      <c r="C2346" s="159" t="s">
        <v>12216</v>
      </c>
      <c r="D2346" s="159" t="s">
        <v>3893</v>
      </c>
      <c r="E2346" s="159">
        <v>65535</v>
      </c>
      <c r="F2346" s="159" t="s">
        <v>5667</v>
      </c>
      <c r="G2346" s="159" t="s">
        <v>12217</v>
      </c>
    </row>
    <row r="2347" spans="1:7" ht="15.75" customHeight="1">
      <c r="A2347" s="159" t="s">
        <v>9275</v>
      </c>
      <c r="B2347" s="159" t="s">
        <v>9894</v>
      </c>
      <c r="C2347" s="159" t="s">
        <v>11654</v>
      </c>
      <c r="D2347" s="159" t="s">
        <v>484</v>
      </c>
      <c r="E2347" s="159">
        <v>10</v>
      </c>
      <c r="F2347" s="159" t="s">
        <v>5667</v>
      </c>
      <c r="G2347" s="159" t="s">
        <v>12131</v>
      </c>
    </row>
    <row r="2348" spans="1:7" ht="15.75" customHeight="1">
      <c r="A2348" s="159" t="s">
        <v>9275</v>
      </c>
      <c r="B2348" s="159" t="s">
        <v>9894</v>
      </c>
      <c r="C2348" s="159" t="s">
        <v>12218</v>
      </c>
      <c r="D2348" s="159" t="s">
        <v>978</v>
      </c>
      <c r="E2348" s="159">
        <v>5</v>
      </c>
      <c r="F2348" s="159" t="s">
        <v>5665</v>
      </c>
      <c r="G2348" s="159" t="s">
        <v>12219</v>
      </c>
    </row>
    <row r="2349" spans="1:7" ht="15.75" customHeight="1">
      <c r="A2349" s="159" t="s">
        <v>9275</v>
      </c>
      <c r="B2349" s="159" t="s">
        <v>9894</v>
      </c>
      <c r="C2349" s="159" t="s">
        <v>11179</v>
      </c>
      <c r="D2349" s="159" t="s">
        <v>484</v>
      </c>
      <c r="E2349" s="159">
        <v>10</v>
      </c>
      <c r="F2349" s="159" t="s">
        <v>5667</v>
      </c>
      <c r="G2349" s="159" t="s">
        <v>11180</v>
      </c>
    </row>
    <row r="2350" spans="1:7" ht="15.75" customHeight="1">
      <c r="A2350" s="159" t="s">
        <v>9275</v>
      </c>
      <c r="B2350" s="159" t="s">
        <v>9894</v>
      </c>
      <c r="C2350" s="159" t="s">
        <v>11181</v>
      </c>
      <c r="D2350" s="159" t="s">
        <v>484</v>
      </c>
      <c r="E2350" s="159">
        <v>10</v>
      </c>
      <c r="F2350" s="159" t="s">
        <v>5667</v>
      </c>
      <c r="G2350" s="159" t="s">
        <v>11180</v>
      </c>
    </row>
    <row r="2351" spans="1:7" ht="15.75" customHeight="1">
      <c r="A2351" s="159" t="s">
        <v>9275</v>
      </c>
      <c r="B2351" s="159" t="s">
        <v>9894</v>
      </c>
      <c r="C2351" s="159" t="s">
        <v>11182</v>
      </c>
      <c r="D2351" s="159" t="s">
        <v>477</v>
      </c>
      <c r="E2351" s="159">
        <v>255</v>
      </c>
      <c r="F2351" s="159" t="s">
        <v>5667</v>
      </c>
      <c r="G2351" s="159" t="s">
        <v>11183</v>
      </c>
    </row>
    <row r="2352" spans="1:7" ht="15.75" customHeight="1">
      <c r="A2352" s="159" t="s">
        <v>9275</v>
      </c>
      <c r="B2352" s="159" t="s">
        <v>9896</v>
      </c>
      <c r="C2352" s="159" t="s">
        <v>12220</v>
      </c>
      <c r="D2352" s="159" t="s">
        <v>484</v>
      </c>
      <c r="E2352" s="159">
        <v>10</v>
      </c>
      <c r="F2352" s="159" t="s">
        <v>5665</v>
      </c>
      <c r="G2352" s="159" t="s">
        <v>12221</v>
      </c>
    </row>
    <row r="2353" spans="1:7" ht="15.75" customHeight="1">
      <c r="A2353" s="159" t="s">
        <v>9275</v>
      </c>
      <c r="B2353" s="159" t="s">
        <v>9896</v>
      </c>
      <c r="C2353" s="159" t="s">
        <v>12222</v>
      </c>
      <c r="D2353" s="159" t="s">
        <v>484</v>
      </c>
      <c r="E2353" s="159">
        <v>10</v>
      </c>
      <c r="F2353" s="159" t="s">
        <v>5667</v>
      </c>
      <c r="G2353" s="159" t="s">
        <v>12223</v>
      </c>
    </row>
    <row r="2354" spans="1:7" ht="15.75" customHeight="1">
      <c r="A2354" s="159" t="s">
        <v>9275</v>
      </c>
      <c r="B2354" s="159" t="s">
        <v>9896</v>
      </c>
      <c r="C2354" s="159" t="s">
        <v>12224</v>
      </c>
      <c r="D2354" s="159" t="s">
        <v>484</v>
      </c>
      <c r="E2354" s="159">
        <v>10</v>
      </c>
      <c r="F2354" s="159" t="s">
        <v>5665</v>
      </c>
      <c r="G2354" s="159" t="s">
        <v>11705</v>
      </c>
    </row>
    <row r="2355" spans="1:7" ht="15.75" customHeight="1">
      <c r="A2355" s="159" t="s">
        <v>9275</v>
      </c>
      <c r="B2355" s="159" t="s">
        <v>9896</v>
      </c>
      <c r="C2355" s="159" t="s">
        <v>12225</v>
      </c>
      <c r="D2355" s="159" t="s">
        <v>484</v>
      </c>
      <c r="E2355" s="159">
        <v>10</v>
      </c>
      <c r="F2355" s="159" t="s">
        <v>5665</v>
      </c>
      <c r="G2355" s="159" t="s">
        <v>12226</v>
      </c>
    </row>
    <row r="2356" spans="1:7" ht="15.75" customHeight="1">
      <c r="A2356" s="159" t="s">
        <v>9275</v>
      </c>
      <c r="B2356" s="159" t="s">
        <v>9896</v>
      </c>
      <c r="C2356" s="159" t="s">
        <v>10190</v>
      </c>
      <c r="D2356" s="159" t="s">
        <v>1413</v>
      </c>
      <c r="E2356" s="159"/>
      <c r="F2356" s="159" t="s">
        <v>5665</v>
      </c>
      <c r="G2356" s="159" t="s">
        <v>10281</v>
      </c>
    </row>
    <row r="2357" spans="1:7" ht="15.75" customHeight="1">
      <c r="A2357" s="159" t="s">
        <v>9275</v>
      </c>
      <c r="B2357" s="159" t="s">
        <v>9896</v>
      </c>
      <c r="C2357" s="159" t="s">
        <v>10242</v>
      </c>
      <c r="D2357" s="159" t="s">
        <v>1413</v>
      </c>
      <c r="E2357" s="159"/>
      <c r="F2357" s="159" t="s">
        <v>5665</v>
      </c>
      <c r="G2357" s="159" t="s">
        <v>10282</v>
      </c>
    </row>
    <row r="2358" spans="1:7" ht="15.75" customHeight="1">
      <c r="A2358" s="159" t="s">
        <v>9275</v>
      </c>
      <c r="B2358" s="159" t="s">
        <v>9896</v>
      </c>
      <c r="C2358" s="159" t="s">
        <v>12102</v>
      </c>
      <c r="D2358" s="159" t="s">
        <v>3893</v>
      </c>
      <c r="E2358" s="159">
        <v>65535</v>
      </c>
      <c r="F2358" s="159" t="s">
        <v>5667</v>
      </c>
      <c r="G2358" s="159" t="s">
        <v>12103</v>
      </c>
    </row>
    <row r="2359" spans="1:7" ht="15.75" customHeight="1">
      <c r="A2359" s="159" t="s">
        <v>9275</v>
      </c>
      <c r="B2359" s="159" t="s">
        <v>9896</v>
      </c>
      <c r="C2359" s="159" t="s">
        <v>10875</v>
      </c>
      <c r="D2359" s="159" t="s">
        <v>3893</v>
      </c>
      <c r="E2359" s="159">
        <v>65535</v>
      </c>
      <c r="F2359" s="159" t="s">
        <v>5667</v>
      </c>
      <c r="G2359" s="159" t="s">
        <v>12227</v>
      </c>
    </row>
    <row r="2360" spans="1:7" ht="15.75" customHeight="1">
      <c r="A2360" s="159" t="s">
        <v>9275</v>
      </c>
      <c r="B2360" s="159" t="s">
        <v>9896</v>
      </c>
      <c r="C2360" s="159" t="s">
        <v>5882</v>
      </c>
      <c r="D2360" s="159" t="s">
        <v>481</v>
      </c>
      <c r="E2360" s="159">
        <v>12</v>
      </c>
      <c r="F2360" s="159" t="s">
        <v>5667</v>
      </c>
      <c r="G2360" s="159" t="s">
        <v>3277</v>
      </c>
    </row>
    <row r="2361" spans="1:7" ht="15.75" customHeight="1">
      <c r="A2361" s="159" t="s">
        <v>9275</v>
      </c>
      <c r="B2361" s="159" t="s">
        <v>9896</v>
      </c>
      <c r="C2361" s="159" t="s">
        <v>1826</v>
      </c>
      <c r="D2361" s="159" t="s">
        <v>481</v>
      </c>
      <c r="E2361" s="159">
        <v>12</v>
      </c>
      <c r="F2361" s="159" t="s">
        <v>5665</v>
      </c>
      <c r="G2361" s="159" t="s">
        <v>2415</v>
      </c>
    </row>
    <row r="2362" spans="1:7" ht="15.75" customHeight="1">
      <c r="A2362" s="159" t="s">
        <v>9275</v>
      </c>
      <c r="B2362" s="159" t="s">
        <v>9896</v>
      </c>
      <c r="C2362" s="159" t="s">
        <v>5845</v>
      </c>
      <c r="D2362" s="159" t="s">
        <v>481</v>
      </c>
      <c r="E2362" s="159">
        <v>20</v>
      </c>
      <c r="F2362" s="159" t="s">
        <v>5667</v>
      </c>
      <c r="G2362" s="159" t="s">
        <v>11064</v>
      </c>
    </row>
    <row r="2363" spans="1:7" ht="15.75" customHeight="1">
      <c r="A2363" s="159" t="s">
        <v>9275</v>
      </c>
      <c r="B2363" s="159" t="s">
        <v>9896</v>
      </c>
      <c r="C2363" s="159" t="s">
        <v>12169</v>
      </c>
      <c r="D2363" s="159" t="s">
        <v>481</v>
      </c>
      <c r="E2363" s="159">
        <v>20</v>
      </c>
      <c r="F2363" s="159" t="s">
        <v>5667</v>
      </c>
      <c r="G2363" s="159" t="s">
        <v>12170</v>
      </c>
    </row>
    <row r="2364" spans="1:7" ht="15.75" customHeight="1">
      <c r="A2364" s="159" t="s">
        <v>9275</v>
      </c>
      <c r="B2364" s="159" t="s">
        <v>9896</v>
      </c>
      <c r="C2364" s="159" t="s">
        <v>12228</v>
      </c>
      <c r="D2364" s="159" t="s">
        <v>481</v>
      </c>
      <c r="E2364" s="159">
        <v>20</v>
      </c>
      <c r="F2364" s="159" t="s">
        <v>5665</v>
      </c>
      <c r="G2364" s="159" t="s">
        <v>12229</v>
      </c>
    </row>
    <row r="2365" spans="1:7" ht="15.75" customHeight="1">
      <c r="A2365" s="159" t="s">
        <v>9275</v>
      </c>
      <c r="B2365" s="159" t="s">
        <v>9896</v>
      </c>
      <c r="C2365" s="159" t="s">
        <v>12230</v>
      </c>
      <c r="D2365" s="159" t="s">
        <v>481</v>
      </c>
      <c r="E2365" s="159">
        <v>20</v>
      </c>
      <c r="F2365" s="159" t="s">
        <v>5665</v>
      </c>
      <c r="G2365" s="159" t="s">
        <v>12231</v>
      </c>
    </row>
    <row r="2366" spans="1:7" ht="15.75" customHeight="1">
      <c r="A2366" s="159" t="s">
        <v>9275</v>
      </c>
      <c r="B2366" s="159" t="s">
        <v>9896</v>
      </c>
      <c r="C2366" s="159" t="s">
        <v>12232</v>
      </c>
      <c r="D2366" s="159" t="s">
        <v>481</v>
      </c>
      <c r="E2366" s="159">
        <v>20</v>
      </c>
      <c r="F2366" s="159" t="s">
        <v>5667</v>
      </c>
      <c r="G2366" s="159" t="s">
        <v>12233</v>
      </c>
    </row>
    <row r="2367" spans="1:7" ht="15.75" customHeight="1">
      <c r="A2367" s="159" t="s">
        <v>9275</v>
      </c>
      <c r="B2367" s="159" t="s">
        <v>9896</v>
      </c>
      <c r="C2367" s="159" t="s">
        <v>12181</v>
      </c>
      <c r="D2367" s="159" t="s">
        <v>481</v>
      </c>
      <c r="E2367" s="159">
        <v>20</v>
      </c>
      <c r="F2367" s="159" t="s">
        <v>5667</v>
      </c>
      <c r="G2367" s="159" t="s">
        <v>12182</v>
      </c>
    </row>
    <row r="2368" spans="1:7" ht="15.75" customHeight="1">
      <c r="A2368" s="159" t="s">
        <v>9275</v>
      </c>
      <c r="B2368" s="159" t="s">
        <v>9896</v>
      </c>
      <c r="C2368" s="159" t="s">
        <v>12171</v>
      </c>
      <c r="D2368" s="159" t="s">
        <v>481</v>
      </c>
      <c r="E2368" s="159">
        <v>20</v>
      </c>
      <c r="F2368" s="159" t="s">
        <v>5667</v>
      </c>
      <c r="G2368" s="159" t="s">
        <v>12172</v>
      </c>
    </row>
    <row r="2369" spans="1:7" ht="15.75" customHeight="1">
      <c r="A2369" s="159" t="s">
        <v>9275</v>
      </c>
      <c r="B2369" s="159" t="s">
        <v>9896</v>
      </c>
      <c r="C2369" s="159" t="s">
        <v>12234</v>
      </c>
      <c r="D2369" s="159" t="s">
        <v>481</v>
      </c>
      <c r="E2369" s="159">
        <v>12</v>
      </c>
      <c r="F2369" s="159" t="s">
        <v>5667</v>
      </c>
      <c r="G2369" s="159" t="s">
        <v>12235</v>
      </c>
    </row>
    <row r="2370" spans="1:7" ht="15.75" customHeight="1">
      <c r="A2370" s="159" t="s">
        <v>9275</v>
      </c>
      <c r="B2370" s="159" t="s">
        <v>9896</v>
      </c>
      <c r="C2370" s="159" t="s">
        <v>1394</v>
      </c>
      <c r="D2370" s="159" t="s">
        <v>484</v>
      </c>
      <c r="E2370" s="159">
        <v>10</v>
      </c>
      <c r="F2370" s="159" t="s">
        <v>5667</v>
      </c>
      <c r="G2370" s="159" t="s">
        <v>4828</v>
      </c>
    </row>
    <row r="2371" spans="1:7" ht="15.75" customHeight="1">
      <c r="A2371" s="159" t="s">
        <v>9275</v>
      </c>
      <c r="B2371" s="159" t="s">
        <v>9896</v>
      </c>
      <c r="C2371" s="159" t="s">
        <v>12236</v>
      </c>
      <c r="D2371" s="159" t="s">
        <v>484</v>
      </c>
      <c r="E2371" s="159">
        <v>10</v>
      </c>
      <c r="F2371" s="159" t="s">
        <v>5667</v>
      </c>
      <c r="G2371" s="159" t="s">
        <v>12237</v>
      </c>
    </row>
    <row r="2372" spans="1:7" ht="15.75" customHeight="1">
      <c r="A2372" s="159" t="s">
        <v>9275</v>
      </c>
      <c r="B2372" s="159" t="s">
        <v>9896</v>
      </c>
      <c r="C2372" s="159" t="s">
        <v>10880</v>
      </c>
      <c r="D2372" s="159" t="s">
        <v>484</v>
      </c>
      <c r="E2372" s="159">
        <v>10</v>
      </c>
      <c r="F2372" s="159" t="s">
        <v>5667</v>
      </c>
      <c r="G2372" s="159" t="s">
        <v>10881</v>
      </c>
    </row>
    <row r="2373" spans="1:7" ht="15.75" customHeight="1">
      <c r="A2373" s="159" t="s">
        <v>9275</v>
      </c>
      <c r="B2373" s="159" t="s">
        <v>9896</v>
      </c>
      <c r="C2373" s="159" t="s">
        <v>10290</v>
      </c>
      <c r="D2373" s="159" t="s">
        <v>978</v>
      </c>
      <c r="E2373" s="159">
        <v>5</v>
      </c>
      <c r="F2373" s="159" t="s">
        <v>5667</v>
      </c>
      <c r="G2373" s="159" t="s">
        <v>10507</v>
      </c>
    </row>
    <row r="2374" spans="1:7" ht="15.75" customHeight="1">
      <c r="A2374" s="159" t="s">
        <v>9275</v>
      </c>
      <c r="B2374" s="159" t="s">
        <v>9896</v>
      </c>
      <c r="C2374" s="159" t="s">
        <v>5624</v>
      </c>
      <c r="D2374" s="159" t="s">
        <v>477</v>
      </c>
      <c r="E2374" s="159">
        <v>255</v>
      </c>
      <c r="F2374" s="159" t="s">
        <v>5667</v>
      </c>
      <c r="G2374" s="159" t="s">
        <v>12238</v>
      </c>
    </row>
    <row r="2375" spans="1:7" ht="15.75" customHeight="1">
      <c r="A2375" s="159" t="s">
        <v>9275</v>
      </c>
      <c r="B2375" s="159" t="s">
        <v>9896</v>
      </c>
      <c r="C2375" s="159" t="s">
        <v>10275</v>
      </c>
      <c r="D2375" s="159" t="s">
        <v>477</v>
      </c>
      <c r="E2375" s="159">
        <v>255</v>
      </c>
      <c r="F2375" s="159" t="s">
        <v>5667</v>
      </c>
      <c r="G2375" s="159" t="s">
        <v>10480</v>
      </c>
    </row>
    <row r="2376" spans="1:7" ht="15.75" customHeight="1">
      <c r="A2376" s="159" t="s">
        <v>9275</v>
      </c>
      <c r="B2376" s="159" t="s">
        <v>9896</v>
      </c>
      <c r="C2376" s="159" t="s">
        <v>156</v>
      </c>
      <c r="D2376" s="159" t="s">
        <v>477</v>
      </c>
      <c r="E2376" s="159">
        <v>255</v>
      </c>
      <c r="F2376" s="159" t="s">
        <v>5667</v>
      </c>
      <c r="G2376" s="159" t="s">
        <v>4306</v>
      </c>
    </row>
    <row r="2377" spans="1:7" ht="15.75" customHeight="1">
      <c r="A2377" s="159" t="s">
        <v>9275</v>
      </c>
      <c r="B2377" s="159" t="s">
        <v>9896</v>
      </c>
      <c r="C2377" s="159" t="s">
        <v>5891</v>
      </c>
      <c r="D2377" s="159" t="s">
        <v>3893</v>
      </c>
      <c r="E2377" s="159">
        <v>65535</v>
      </c>
      <c r="F2377" s="159" t="s">
        <v>5667</v>
      </c>
      <c r="G2377" s="159" t="s">
        <v>1729</v>
      </c>
    </row>
    <row r="2378" spans="1:7" ht="15.75" customHeight="1">
      <c r="A2378" s="159" t="s">
        <v>9275</v>
      </c>
      <c r="B2378" s="159" t="s">
        <v>9896</v>
      </c>
      <c r="C2378" s="159" t="s">
        <v>11016</v>
      </c>
      <c r="D2378" s="159" t="s">
        <v>484</v>
      </c>
      <c r="E2378" s="159">
        <v>10</v>
      </c>
      <c r="F2378" s="159" t="s">
        <v>5667</v>
      </c>
      <c r="G2378" s="159" t="s">
        <v>11017</v>
      </c>
    </row>
    <row r="2379" spans="1:7" ht="15.75" customHeight="1">
      <c r="A2379" s="159" t="s">
        <v>9275</v>
      </c>
      <c r="B2379" s="159" t="s">
        <v>9896</v>
      </c>
      <c r="C2379" s="159" t="s">
        <v>10942</v>
      </c>
      <c r="D2379" s="159" t="s">
        <v>481</v>
      </c>
      <c r="E2379" s="159">
        <v>12</v>
      </c>
      <c r="F2379" s="159" t="s">
        <v>5667</v>
      </c>
      <c r="G2379" s="159" t="s">
        <v>3497</v>
      </c>
    </row>
    <row r="2380" spans="1:7" ht="15.75" customHeight="1">
      <c r="A2380" s="159" t="s">
        <v>9275</v>
      </c>
      <c r="B2380" s="159" t="s">
        <v>9896</v>
      </c>
      <c r="C2380" s="159" t="s">
        <v>5965</v>
      </c>
      <c r="D2380" s="159" t="s">
        <v>481</v>
      </c>
      <c r="E2380" s="159">
        <v>12</v>
      </c>
      <c r="F2380" s="159" t="s">
        <v>5667</v>
      </c>
      <c r="G2380" s="159" t="s">
        <v>12239</v>
      </c>
    </row>
    <row r="2381" spans="1:7" ht="15.75" customHeight="1">
      <c r="A2381" s="159" t="s">
        <v>9275</v>
      </c>
      <c r="B2381" s="159" t="s">
        <v>9896</v>
      </c>
      <c r="C2381" s="159" t="s">
        <v>12240</v>
      </c>
      <c r="D2381" s="159" t="s">
        <v>484</v>
      </c>
      <c r="E2381" s="159">
        <v>10</v>
      </c>
      <c r="F2381" s="159" t="s">
        <v>5667</v>
      </c>
      <c r="G2381" s="159" t="s">
        <v>12241</v>
      </c>
    </row>
    <row r="2382" spans="1:7" ht="15.75" customHeight="1">
      <c r="A2382" s="159" t="s">
        <v>9275</v>
      </c>
      <c r="B2382" s="159" t="s">
        <v>9896</v>
      </c>
      <c r="C2382" s="159" t="s">
        <v>12242</v>
      </c>
      <c r="D2382" s="159" t="s">
        <v>481</v>
      </c>
      <c r="E2382" s="159">
        <v>12</v>
      </c>
      <c r="F2382" s="159" t="s">
        <v>5667</v>
      </c>
      <c r="G2382" s="159" t="s">
        <v>12243</v>
      </c>
    </row>
    <row r="2383" spans="1:7" ht="15.75" customHeight="1">
      <c r="A2383" s="159" t="s">
        <v>9275</v>
      </c>
      <c r="B2383" s="159" t="s">
        <v>9896</v>
      </c>
      <c r="C2383" s="159" t="s">
        <v>12244</v>
      </c>
      <c r="D2383" s="159" t="s">
        <v>481</v>
      </c>
      <c r="E2383" s="159">
        <v>12</v>
      </c>
      <c r="F2383" s="159" t="s">
        <v>5667</v>
      </c>
      <c r="G2383" s="159" t="s">
        <v>12245</v>
      </c>
    </row>
    <row r="2384" spans="1:7" ht="15.75" customHeight="1">
      <c r="A2384" s="159" t="s">
        <v>9275</v>
      </c>
      <c r="B2384" s="159" t="s">
        <v>9896</v>
      </c>
      <c r="C2384" s="159" t="s">
        <v>12246</v>
      </c>
      <c r="D2384" s="159" t="s">
        <v>481</v>
      </c>
      <c r="E2384" s="159">
        <v>12</v>
      </c>
      <c r="F2384" s="159" t="s">
        <v>5667</v>
      </c>
      <c r="G2384" s="159" t="s">
        <v>12247</v>
      </c>
    </row>
    <row r="2385" spans="1:7" ht="15.75" customHeight="1">
      <c r="A2385" s="159" t="s">
        <v>9275</v>
      </c>
      <c r="B2385" s="159" t="s">
        <v>9896</v>
      </c>
      <c r="C2385" s="159" t="s">
        <v>12248</v>
      </c>
      <c r="D2385" s="159" t="s">
        <v>481</v>
      </c>
      <c r="E2385" s="159">
        <v>20</v>
      </c>
      <c r="F2385" s="159" t="s">
        <v>5667</v>
      </c>
      <c r="G2385" s="159" t="s">
        <v>12249</v>
      </c>
    </row>
    <row r="2386" spans="1:7" ht="15.75" customHeight="1">
      <c r="A2386" s="159" t="s">
        <v>9275</v>
      </c>
      <c r="B2386" s="159" t="s">
        <v>9896</v>
      </c>
      <c r="C2386" s="159" t="s">
        <v>12250</v>
      </c>
      <c r="D2386" s="159" t="s">
        <v>481</v>
      </c>
      <c r="E2386" s="159">
        <v>20</v>
      </c>
      <c r="F2386" s="159" t="s">
        <v>5667</v>
      </c>
      <c r="G2386" s="159" t="s">
        <v>12251</v>
      </c>
    </row>
    <row r="2387" spans="1:7" ht="15.75" customHeight="1">
      <c r="A2387" s="159" t="s">
        <v>9275</v>
      </c>
      <c r="B2387" s="159" t="s">
        <v>9896</v>
      </c>
      <c r="C2387" s="159" t="s">
        <v>12252</v>
      </c>
      <c r="D2387" s="159" t="s">
        <v>481</v>
      </c>
      <c r="E2387" s="159">
        <v>20</v>
      </c>
      <c r="F2387" s="159" t="s">
        <v>5667</v>
      </c>
      <c r="G2387" s="159" t="s">
        <v>12253</v>
      </c>
    </row>
    <row r="2388" spans="1:7" ht="15.75" customHeight="1">
      <c r="A2388" s="159" t="s">
        <v>9275</v>
      </c>
      <c r="B2388" s="159" t="s">
        <v>9896</v>
      </c>
      <c r="C2388" s="159" t="s">
        <v>12254</v>
      </c>
      <c r="D2388" s="159" t="s">
        <v>481</v>
      </c>
      <c r="E2388" s="159">
        <v>20</v>
      </c>
      <c r="F2388" s="159" t="s">
        <v>5667</v>
      </c>
      <c r="G2388" s="159" t="s">
        <v>12255</v>
      </c>
    </row>
    <row r="2389" spans="1:7" ht="15.75" customHeight="1">
      <c r="A2389" s="159" t="s">
        <v>9275</v>
      </c>
      <c r="B2389" s="159" t="s">
        <v>9896</v>
      </c>
      <c r="C2389" s="159" t="s">
        <v>12197</v>
      </c>
      <c r="D2389" s="159" t="s">
        <v>481</v>
      </c>
      <c r="E2389" s="159">
        <v>20</v>
      </c>
      <c r="F2389" s="159" t="s">
        <v>5667</v>
      </c>
      <c r="G2389" s="159" t="s">
        <v>12198</v>
      </c>
    </row>
    <row r="2390" spans="1:7" ht="15.75" customHeight="1">
      <c r="A2390" s="159" t="s">
        <v>9275</v>
      </c>
      <c r="B2390" s="159" t="s">
        <v>9896</v>
      </c>
      <c r="C2390" s="159" t="s">
        <v>12199</v>
      </c>
      <c r="D2390" s="159" t="s">
        <v>481</v>
      </c>
      <c r="E2390" s="159">
        <v>20</v>
      </c>
      <c r="F2390" s="159" t="s">
        <v>5667</v>
      </c>
      <c r="G2390" s="159" t="s">
        <v>12200</v>
      </c>
    </row>
    <row r="2391" spans="1:7" ht="15.75" customHeight="1">
      <c r="A2391" s="159" t="s">
        <v>9275</v>
      </c>
      <c r="B2391" s="159" t="s">
        <v>9896</v>
      </c>
      <c r="C2391" s="159" t="s">
        <v>11654</v>
      </c>
      <c r="D2391" s="159" t="s">
        <v>484</v>
      </c>
      <c r="E2391" s="159">
        <v>10</v>
      </c>
      <c r="F2391" s="159" t="s">
        <v>5667</v>
      </c>
      <c r="G2391" s="159" t="s">
        <v>12131</v>
      </c>
    </row>
    <row r="2392" spans="1:7" ht="15.75" customHeight="1">
      <c r="A2392" s="159" t="s">
        <v>9275</v>
      </c>
      <c r="B2392" s="159" t="s">
        <v>9896</v>
      </c>
      <c r="C2392" s="159" t="s">
        <v>12218</v>
      </c>
      <c r="D2392" s="159" t="s">
        <v>484</v>
      </c>
      <c r="E2392" s="159">
        <v>10</v>
      </c>
      <c r="F2392" s="159" t="s">
        <v>5667</v>
      </c>
      <c r="G2392" s="159" t="s">
        <v>12219</v>
      </c>
    </row>
    <row r="2393" spans="1:7" ht="15.75" customHeight="1">
      <c r="A2393" s="159" t="s">
        <v>9275</v>
      </c>
      <c r="B2393" s="159" t="s">
        <v>9898</v>
      </c>
      <c r="C2393" s="159" t="s">
        <v>10287</v>
      </c>
      <c r="D2393" s="159" t="s">
        <v>484</v>
      </c>
      <c r="E2393" s="159">
        <v>10</v>
      </c>
      <c r="F2393" s="159" t="s">
        <v>5665</v>
      </c>
      <c r="G2393" s="159" t="s">
        <v>10237</v>
      </c>
    </row>
    <row r="2394" spans="1:7" ht="15.75" customHeight="1">
      <c r="A2394" s="159" t="s">
        <v>9275</v>
      </c>
      <c r="B2394" s="159" t="s">
        <v>9898</v>
      </c>
      <c r="C2394" s="159" t="s">
        <v>10570</v>
      </c>
      <c r="D2394" s="159" t="s">
        <v>484</v>
      </c>
      <c r="E2394" s="159">
        <v>10</v>
      </c>
      <c r="F2394" s="159" t="s">
        <v>5665</v>
      </c>
      <c r="G2394" s="159" t="s">
        <v>10715</v>
      </c>
    </row>
    <row r="2395" spans="1:7" ht="15.75" customHeight="1">
      <c r="A2395" s="159" t="s">
        <v>9275</v>
      </c>
      <c r="B2395" s="159" t="s">
        <v>9898</v>
      </c>
      <c r="C2395" s="159" t="s">
        <v>12256</v>
      </c>
      <c r="D2395" s="159" t="s">
        <v>477</v>
      </c>
      <c r="E2395" s="159">
        <v>32</v>
      </c>
      <c r="F2395" s="159" t="s">
        <v>5667</v>
      </c>
      <c r="G2395" s="159" t="s">
        <v>10832</v>
      </c>
    </row>
    <row r="2396" spans="1:7" ht="15.75" customHeight="1">
      <c r="A2396" s="159" t="s">
        <v>9275</v>
      </c>
      <c r="B2396" s="159" t="s">
        <v>9900</v>
      </c>
      <c r="C2396" s="159" t="s">
        <v>10761</v>
      </c>
      <c r="D2396" s="159" t="s">
        <v>484</v>
      </c>
      <c r="E2396" s="159">
        <v>10</v>
      </c>
      <c r="F2396" s="159" t="s">
        <v>5665</v>
      </c>
      <c r="G2396" s="159" t="s">
        <v>10762</v>
      </c>
    </row>
    <row r="2397" spans="1:7" ht="15.75" customHeight="1">
      <c r="A2397" s="159" t="s">
        <v>9275</v>
      </c>
      <c r="B2397" s="159" t="s">
        <v>9900</v>
      </c>
      <c r="C2397" s="159" t="s">
        <v>10570</v>
      </c>
      <c r="D2397" s="159" t="s">
        <v>484</v>
      </c>
      <c r="E2397" s="159">
        <v>10</v>
      </c>
      <c r="F2397" s="159" t="s">
        <v>5665</v>
      </c>
      <c r="G2397" s="159" t="s">
        <v>10715</v>
      </c>
    </row>
    <row r="2398" spans="1:7" ht="15.75" customHeight="1">
      <c r="A2398" s="159" t="s">
        <v>9275</v>
      </c>
      <c r="B2398" s="159" t="s">
        <v>9900</v>
      </c>
      <c r="C2398" s="159" t="s">
        <v>10190</v>
      </c>
      <c r="D2398" s="159" t="s">
        <v>1413</v>
      </c>
      <c r="E2398" s="159"/>
      <c r="F2398" s="159" t="s">
        <v>5665</v>
      </c>
      <c r="G2398" s="159" t="s">
        <v>10281</v>
      </c>
    </row>
    <row r="2399" spans="1:7" ht="15.75" customHeight="1">
      <c r="A2399" s="159" t="s">
        <v>9275</v>
      </c>
      <c r="B2399" s="159" t="s">
        <v>9900</v>
      </c>
      <c r="C2399" s="159" t="s">
        <v>10242</v>
      </c>
      <c r="D2399" s="159" t="s">
        <v>1413</v>
      </c>
      <c r="E2399" s="159"/>
      <c r="F2399" s="159" t="s">
        <v>5665</v>
      </c>
      <c r="G2399" s="159" t="s">
        <v>10282</v>
      </c>
    </row>
    <row r="2400" spans="1:7" ht="15.75" customHeight="1">
      <c r="A2400" s="159" t="s">
        <v>9275</v>
      </c>
      <c r="B2400" s="159" t="s">
        <v>9900</v>
      </c>
      <c r="C2400" s="159" t="s">
        <v>1394</v>
      </c>
      <c r="D2400" s="159" t="s">
        <v>484</v>
      </c>
      <c r="E2400" s="159">
        <v>10</v>
      </c>
      <c r="F2400" s="159" t="s">
        <v>5667</v>
      </c>
      <c r="G2400" s="159" t="s">
        <v>4828</v>
      </c>
    </row>
    <row r="2401" spans="1:7" ht="15.75" customHeight="1">
      <c r="A2401" s="159" t="s">
        <v>9275</v>
      </c>
      <c r="B2401" s="159" t="s">
        <v>9900</v>
      </c>
      <c r="C2401" s="159" t="s">
        <v>10290</v>
      </c>
      <c r="D2401" s="159" t="s">
        <v>978</v>
      </c>
      <c r="E2401" s="159">
        <v>5</v>
      </c>
      <c r="F2401" s="159" t="s">
        <v>5667</v>
      </c>
      <c r="G2401" s="159" t="s">
        <v>10507</v>
      </c>
    </row>
    <row r="2402" spans="1:7" ht="15.75" customHeight="1">
      <c r="A2402" s="159" t="s">
        <v>9275</v>
      </c>
      <c r="B2402" s="159" t="s">
        <v>9900</v>
      </c>
      <c r="C2402" s="159" t="s">
        <v>12222</v>
      </c>
      <c r="D2402" s="159" t="s">
        <v>484</v>
      </c>
      <c r="E2402" s="159">
        <v>10</v>
      </c>
      <c r="F2402" s="159" t="s">
        <v>5667</v>
      </c>
      <c r="G2402" s="159" t="s">
        <v>12223</v>
      </c>
    </row>
    <row r="2403" spans="1:7" ht="15.75" customHeight="1">
      <c r="A2403" s="159" t="s">
        <v>9275</v>
      </c>
      <c r="B2403" s="159" t="s">
        <v>9900</v>
      </c>
      <c r="C2403" s="159" t="s">
        <v>12057</v>
      </c>
      <c r="D2403" s="159" t="s">
        <v>978</v>
      </c>
      <c r="E2403" s="159">
        <v>5</v>
      </c>
      <c r="F2403" s="159" t="s">
        <v>5667</v>
      </c>
      <c r="G2403" s="159" t="s">
        <v>12058</v>
      </c>
    </row>
    <row r="2404" spans="1:7" ht="15.75" customHeight="1">
      <c r="A2404" s="159" t="s">
        <v>9275</v>
      </c>
      <c r="B2404" s="159" t="s">
        <v>9900</v>
      </c>
      <c r="C2404" s="159" t="s">
        <v>5624</v>
      </c>
      <c r="D2404" s="159" t="s">
        <v>477</v>
      </c>
      <c r="E2404" s="159">
        <v>255</v>
      </c>
      <c r="F2404" s="159" t="s">
        <v>5667</v>
      </c>
      <c r="G2404" s="159" t="s">
        <v>12238</v>
      </c>
    </row>
    <row r="2405" spans="1:7" ht="15.75" customHeight="1">
      <c r="A2405" s="159" t="s">
        <v>9275</v>
      </c>
      <c r="B2405" s="159" t="s">
        <v>9900</v>
      </c>
      <c r="C2405" s="159" t="s">
        <v>156</v>
      </c>
      <c r="D2405" s="159" t="s">
        <v>477</v>
      </c>
      <c r="E2405" s="159">
        <v>255</v>
      </c>
      <c r="F2405" s="159" t="s">
        <v>5667</v>
      </c>
      <c r="G2405" s="159" t="s">
        <v>4306</v>
      </c>
    </row>
    <row r="2406" spans="1:7" ht="15.75" customHeight="1">
      <c r="A2406" s="159" t="s">
        <v>9275</v>
      </c>
      <c r="B2406" s="159" t="s">
        <v>9900</v>
      </c>
      <c r="C2406" s="159" t="s">
        <v>5891</v>
      </c>
      <c r="D2406" s="159" t="s">
        <v>3893</v>
      </c>
      <c r="E2406" s="159">
        <v>65535</v>
      </c>
      <c r="F2406" s="159" t="s">
        <v>5667</v>
      </c>
      <c r="G2406" s="159" t="s">
        <v>1729</v>
      </c>
    </row>
    <row r="2407" spans="1:7" ht="15.75" customHeight="1">
      <c r="A2407" s="159" t="s">
        <v>9275</v>
      </c>
      <c r="B2407" s="159" t="s">
        <v>9900</v>
      </c>
      <c r="C2407" s="159" t="s">
        <v>12102</v>
      </c>
      <c r="D2407" s="159" t="s">
        <v>3893</v>
      </c>
      <c r="E2407" s="159">
        <v>65535</v>
      </c>
      <c r="F2407" s="159" t="s">
        <v>5667</v>
      </c>
      <c r="G2407" s="159" t="s">
        <v>12103</v>
      </c>
    </row>
    <row r="2408" spans="1:7" ht="15.75" customHeight="1">
      <c r="A2408" s="159" t="s">
        <v>9275</v>
      </c>
      <c r="B2408" s="159" t="s">
        <v>9900</v>
      </c>
      <c r="C2408" s="159" t="s">
        <v>10875</v>
      </c>
      <c r="D2408" s="159" t="s">
        <v>3893</v>
      </c>
      <c r="E2408" s="159">
        <v>65535</v>
      </c>
      <c r="F2408" s="159" t="s">
        <v>5667</v>
      </c>
      <c r="G2408" s="159" t="s">
        <v>12227</v>
      </c>
    </row>
    <row r="2409" spans="1:7" ht="15.75" customHeight="1">
      <c r="A2409" s="159" t="s">
        <v>9275</v>
      </c>
      <c r="B2409" s="159" t="s">
        <v>9900</v>
      </c>
      <c r="C2409" s="159" t="s">
        <v>11016</v>
      </c>
      <c r="D2409" s="159" t="s">
        <v>978</v>
      </c>
      <c r="E2409" s="159">
        <v>5</v>
      </c>
      <c r="F2409" s="159" t="s">
        <v>5667</v>
      </c>
      <c r="G2409" s="159" t="s">
        <v>11017</v>
      </c>
    </row>
    <row r="2410" spans="1:7" ht="15.75" customHeight="1">
      <c r="A2410" s="159" t="s">
        <v>9275</v>
      </c>
      <c r="B2410" s="159" t="s">
        <v>9900</v>
      </c>
      <c r="C2410" s="159" t="s">
        <v>12240</v>
      </c>
      <c r="D2410" s="159" t="s">
        <v>978</v>
      </c>
      <c r="E2410" s="159">
        <v>5</v>
      </c>
      <c r="F2410" s="159" t="s">
        <v>5667</v>
      </c>
      <c r="G2410" s="159" t="s">
        <v>12241</v>
      </c>
    </row>
    <row r="2411" spans="1:7" ht="15.75" customHeight="1">
      <c r="A2411" s="159" t="s">
        <v>9275</v>
      </c>
      <c r="B2411" s="159" t="s">
        <v>9900</v>
      </c>
      <c r="C2411" s="159" t="s">
        <v>5882</v>
      </c>
      <c r="D2411" s="159" t="s">
        <v>481</v>
      </c>
      <c r="E2411" s="159">
        <v>12</v>
      </c>
      <c r="F2411" s="159" t="s">
        <v>5667</v>
      </c>
      <c r="G2411" s="159" t="s">
        <v>3277</v>
      </c>
    </row>
    <row r="2412" spans="1:7" ht="15.75" customHeight="1">
      <c r="A2412" s="159" t="s">
        <v>9275</v>
      </c>
      <c r="B2412" s="159" t="s">
        <v>9900</v>
      </c>
      <c r="C2412" s="159" t="s">
        <v>1826</v>
      </c>
      <c r="D2412" s="159" t="s">
        <v>481</v>
      </c>
      <c r="E2412" s="159">
        <v>12</v>
      </c>
      <c r="F2412" s="159" t="s">
        <v>5665</v>
      </c>
      <c r="G2412" s="159" t="s">
        <v>2415</v>
      </c>
    </row>
    <row r="2413" spans="1:7" ht="15.75" customHeight="1">
      <c r="A2413" s="159" t="s">
        <v>9275</v>
      </c>
      <c r="B2413" s="159" t="s">
        <v>9900</v>
      </c>
      <c r="C2413" s="159" t="s">
        <v>10942</v>
      </c>
      <c r="D2413" s="159" t="s">
        <v>481</v>
      </c>
      <c r="E2413" s="159">
        <v>12</v>
      </c>
      <c r="F2413" s="159" t="s">
        <v>5665</v>
      </c>
      <c r="G2413" s="159" t="s">
        <v>3497</v>
      </c>
    </row>
    <row r="2414" spans="1:7" ht="15.75" customHeight="1">
      <c r="A2414" s="159" t="s">
        <v>9275</v>
      </c>
      <c r="B2414" s="159" t="s">
        <v>9900</v>
      </c>
      <c r="C2414" s="159" t="s">
        <v>12244</v>
      </c>
      <c r="D2414" s="159" t="s">
        <v>481</v>
      </c>
      <c r="E2414" s="159">
        <v>12</v>
      </c>
      <c r="F2414" s="159" t="s">
        <v>5665</v>
      </c>
      <c r="G2414" s="159" t="s">
        <v>12245</v>
      </c>
    </row>
    <row r="2415" spans="1:7" ht="15.75" customHeight="1">
      <c r="A2415" s="159" t="s">
        <v>9275</v>
      </c>
      <c r="B2415" s="159" t="s">
        <v>9900</v>
      </c>
      <c r="C2415" s="159" t="s">
        <v>12257</v>
      </c>
      <c r="D2415" s="159" t="s">
        <v>481</v>
      </c>
      <c r="E2415" s="159">
        <v>12</v>
      </c>
      <c r="F2415" s="159" t="s">
        <v>5667</v>
      </c>
      <c r="G2415" s="159" t="s">
        <v>12258</v>
      </c>
    </row>
    <row r="2416" spans="1:7" ht="15.75" customHeight="1">
      <c r="A2416" s="159" t="s">
        <v>9275</v>
      </c>
      <c r="B2416" s="159" t="s">
        <v>9900</v>
      </c>
      <c r="C2416" s="159" t="s">
        <v>5965</v>
      </c>
      <c r="D2416" s="159" t="s">
        <v>481</v>
      </c>
      <c r="E2416" s="159">
        <v>12</v>
      </c>
      <c r="F2416" s="159" t="s">
        <v>5667</v>
      </c>
      <c r="G2416" s="159" t="s">
        <v>12239</v>
      </c>
    </row>
    <row r="2417" spans="1:7" ht="15.75" customHeight="1">
      <c r="A2417" s="159" t="s">
        <v>9275</v>
      </c>
      <c r="B2417" s="159" t="s">
        <v>9900</v>
      </c>
      <c r="C2417" s="159" t="s">
        <v>5845</v>
      </c>
      <c r="D2417" s="159" t="s">
        <v>481</v>
      </c>
      <c r="E2417" s="159">
        <v>20</v>
      </c>
      <c r="F2417" s="159" t="s">
        <v>5667</v>
      </c>
      <c r="G2417" s="159" t="s">
        <v>11064</v>
      </c>
    </row>
    <row r="2418" spans="1:7" ht="15.75" customHeight="1">
      <c r="A2418" s="159" t="s">
        <v>9275</v>
      </c>
      <c r="B2418" s="159" t="s">
        <v>9900</v>
      </c>
      <c r="C2418" s="159" t="s">
        <v>12181</v>
      </c>
      <c r="D2418" s="159" t="s">
        <v>481</v>
      </c>
      <c r="E2418" s="159">
        <v>20</v>
      </c>
      <c r="F2418" s="159" t="s">
        <v>5667</v>
      </c>
      <c r="G2418" s="159" t="s">
        <v>12182</v>
      </c>
    </row>
    <row r="2419" spans="1:7" ht="15.75" customHeight="1">
      <c r="A2419" s="159" t="s">
        <v>9275</v>
      </c>
      <c r="B2419" s="159" t="s">
        <v>9900</v>
      </c>
      <c r="C2419" s="159" t="s">
        <v>12242</v>
      </c>
      <c r="D2419" s="159" t="s">
        <v>481</v>
      </c>
      <c r="E2419" s="159">
        <v>12</v>
      </c>
      <c r="F2419" s="159" t="s">
        <v>5667</v>
      </c>
      <c r="G2419" s="159" t="s">
        <v>12243</v>
      </c>
    </row>
    <row r="2420" spans="1:7" ht="15.75" customHeight="1">
      <c r="A2420" s="159" t="s">
        <v>9275</v>
      </c>
      <c r="B2420" s="159" t="s">
        <v>9900</v>
      </c>
      <c r="C2420" s="159" t="s">
        <v>12169</v>
      </c>
      <c r="D2420" s="159" t="s">
        <v>481</v>
      </c>
      <c r="E2420" s="159">
        <v>20</v>
      </c>
      <c r="F2420" s="159" t="s">
        <v>5667</v>
      </c>
      <c r="G2420" s="159" t="s">
        <v>12170</v>
      </c>
    </row>
    <row r="2421" spans="1:7" ht="15.75" customHeight="1">
      <c r="A2421" s="159" t="s">
        <v>9275</v>
      </c>
      <c r="B2421" s="159" t="s">
        <v>9900</v>
      </c>
      <c r="C2421" s="159" t="s">
        <v>12171</v>
      </c>
      <c r="D2421" s="159" t="s">
        <v>481</v>
      </c>
      <c r="E2421" s="159">
        <v>20</v>
      </c>
      <c r="F2421" s="159" t="s">
        <v>5667</v>
      </c>
      <c r="G2421" s="159" t="s">
        <v>12172</v>
      </c>
    </row>
    <row r="2422" spans="1:7" ht="15.75" customHeight="1">
      <c r="A2422" s="159" t="s">
        <v>9275</v>
      </c>
      <c r="B2422" s="159" t="s">
        <v>9900</v>
      </c>
      <c r="C2422" s="159" t="s">
        <v>12228</v>
      </c>
      <c r="D2422" s="159" t="s">
        <v>481</v>
      </c>
      <c r="E2422" s="159">
        <v>20</v>
      </c>
      <c r="F2422" s="159" t="s">
        <v>5665</v>
      </c>
      <c r="G2422" s="159" t="s">
        <v>12229</v>
      </c>
    </row>
    <row r="2423" spans="1:7" ht="15.75" customHeight="1">
      <c r="A2423" s="159" t="s">
        <v>9275</v>
      </c>
      <c r="B2423" s="159" t="s">
        <v>9900</v>
      </c>
      <c r="C2423" s="159" t="s">
        <v>12230</v>
      </c>
      <c r="D2423" s="159" t="s">
        <v>481</v>
      </c>
      <c r="E2423" s="159">
        <v>20</v>
      </c>
      <c r="F2423" s="159" t="s">
        <v>5665</v>
      </c>
      <c r="G2423" s="159" t="s">
        <v>12231</v>
      </c>
    </row>
    <row r="2424" spans="1:7" ht="15.75" customHeight="1">
      <c r="A2424" s="159" t="s">
        <v>9275</v>
      </c>
      <c r="B2424" s="159" t="s">
        <v>9900</v>
      </c>
      <c r="C2424" s="159" t="s">
        <v>12232</v>
      </c>
      <c r="D2424" s="159" t="s">
        <v>481</v>
      </c>
      <c r="E2424" s="159">
        <v>20</v>
      </c>
      <c r="F2424" s="159" t="s">
        <v>5667</v>
      </c>
      <c r="G2424" s="159" t="s">
        <v>12233</v>
      </c>
    </row>
    <row r="2425" spans="1:7" ht="15.75" customHeight="1">
      <c r="A2425" s="159" t="s">
        <v>9275</v>
      </c>
      <c r="B2425" s="159" t="s">
        <v>9900</v>
      </c>
      <c r="C2425" s="159" t="s">
        <v>12234</v>
      </c>
      <c r="D2425" s="159" t="s">
        <v>481</v>
      </c>
      <c r="E2425" s="159">
        <v>12</v>
      </c>
      <c r="F2425" s="159" t="s">
        <v>5667</v>
      </c>
      <c r="G2425" s="159" t="s">
        <v>12235</v>
      </c>
    </row>
    <row r="2426" spans="1:7" ht="15.75" customHeight="1">
      <c r="A2426" s="159" t="s">
        <v>9275</v>
      </c>
      <c r="B2426" s="159" t="s">
        <v>9900</v>
      </c>
      <c r="C2426" s="159" t="s">
        <v>1849</v>
      </c>
      <c r="D2426" s="159" t="s">
        <v>477</v>
      </c>
      <c r="E2426" s="159">
        <v>255</v>
      </c>
      <c r="F2426" s="159" t="s">
        <v>5667</v>
      </c>
      <c r="G2426" s="159" t="s">
        <v>12259</v>
      </c>
    </row>
    <row r="2427" spans="1:7" ht="15.75" customHeight="1">
      <c r="A2427" s="159" t="s">
        <v>9275</v>
      </c>
      <c r="B2427" s="159" t="s">
        <v>9900</v>
      </c>
      <c r="C2427" s="159" t="s">
        <v>12260</v>
      </c>
      <c r="D2427" s="159" t="s">
        <v>481</v>
      </c>
      <c r="E2427" s="159">
        <v>20</v>
      </c>
      <c r="F2427" s="159" t="s">
        <v>5667</v>
      </c>
      <c r="G2427" s="159" t="s">
        <v>12261</v>
      </c>
    </row>
    <row r="2428" spans="1:7" ht="15.75" customHeight="1">
      <c r="A2428" s="159" t="s">
        <v>9275</v>
      </c>
      <c r="B2428" s="159" t="s">
        <v>9900</v>
      </c>
      <c r="C2428" s="159" t="s">
        <v>12262</v>
      </c>
      <c r="D2428" s="159" t="s">
        <v>481</v>
      </c>
      <c r="E2428" s="159">
        <v>20</v>
      </c>
      <c r="F2428" s="159" t="s">
        <v>5667</v>
      </c>
      <c r="G2428" s="159" t="s">
        <v>12263</v>
      </c>
    </row>
    <row r="2429" spans="1:7" ht="15.75" customHeight="1">
      <c r="A2429" s="159" t="s">
        <v>9275</v>
      </c>
      <c r="B2429" s="159" t="s">
        <v>9900</v>
      </c>
      <c r="C2429" s="159" t="s">
        <v>12264</v>
      </c>
      <c r="D2429" s="159" t="s">
        <v>481</v>
      </c>
      <c r="E2429" s="159">
        <v>12</v>
      </c>
      <c r="F2429" s="159" t="s">
        <v>5667</v>
      </c>
      <c r="G2429" s="159" t="s">
        <v>12265</v>
      </c>
    </row>
    <row r="2430" spans="1:7" ht="15.75" customHeight="1">
      <c r="A2430" s="159" t="s">
        <v>9275</v>
      </c>
      <c r="B2430" s="159" t="s">
        <v>9900</v>
      </c>
      <c r="C2430" s="159" t="s">
        <v>12266</v>
      </c>
      <c r="D2430" s="159" t="s">
        <v>477</v>
      </c>
      <c r="E2430" s="159">
        <v>255</v>
      </c>
      <c r="F2430" s="159" t="s">
        <v>5667</v>
      </c>
      <c r="G2430" s="159" t="s">
        <v>12267</v>
      </c>
    </row>
    <row r="2431" spans="1:7" ht="15.75" customHeight="1">
      <c r="A2431" s="159" t="s">
        <v>9275</v>
      </c>
      <c r="B2431" s="159" t="s">
        <v>9900</v>
      </c>
      <c r="C2431" s="159" t="s">
        <v>12246</v>
      </c>
      <c r="D2431" s="159" t="s">
        <v>481</v>
      </c>
      <c r="E2431" s="159">
        <v>12</v>
      </c>
      <c r="F2431" s="159" t="s">
        <v>5667</v>
      </c>
      <c r="G2431" s="159" t="s">
        <v>12247</v>
      </c>
    </row>
    <row r="2432" spans="1:7" ht="15.75" customHeight="1">
      <c r="A2432" s="159" t="s">
        <v>9275</v>
      </c>
      <c r="B2432" s="159" t="s">
        <v>9900</v>
      </c>
      <c r="C2432" s="159" t="s">
        <v>12248</v>
      </c>
      <c r="D2432" s="159" t="s">
        <v>481</v>
      </c>
      <c r="E2432" s="159">
        <v>20</v>
      </c>
      <c r="F2432" s="159" t="s">
        <v>5667</v>
      </c>
      <c r="G2432" s="159" t="s">
        <v>12249</v>
      </c>
    </row>
    <row r="2433" spans="1:7" ht="15.75" customHeight="1">
      <c r="A2433" s="159" t="s">
        <v>9275</v>
      </c>
      <c r="B2433" s="159" t="s">
        <v>9900</v>
      </c>
      <c r="C2433" s="159" t="s">
        <v>12250</v>
      </c>
      <c r="D2433" s="159" t="s">
        <v>481</v>
      </c>
      <c r="E2433" s="159">
        <v>20</v>
      </c>
      <c r="F2433" s="159" t="s">
        <v>5667</v>
      </c>
      <c r="G2433" s="159" t="s">
        <v>12251</v>
      </c>
    </row>
    <row r="2434" spans="1:7" ht="15.75" customHeight="1">
      <c r="A2434" s="159" t="s">
        <v>9275</v>
      </c>
      <c r="B2434" s="159" t="s">
        <v>9900</v>
      </c>
      <c r="C2434" s="159" t="s">
        <v>12252</v>
      </c>
      <c r="D2434" s="159" t="s">
        <v>481</v>
      </c>
      <c r="E2434" s="159">
        <v>20</v>
      </c>
      <c r="F2434" s="159" t="s">
        <v>5667</v>
      </c>
      <c r="G2434" s="159" t="s">
        <v>12253</v>
      </c>
    </row>
    <row r="2435" spans="1:7" ht="15.75" customHeight="1">
      <c r="A2435" s="159" t="s">
        <v>9275</v>
      </c>
      <c r="B2435" s="159" t="s">
        <v>9900</v>
      </c>
      <c r="C2435" s="159" t="s">
        <v>12254</v>
      </c>
      <c r="D2435" s="159" t="s">
        <v>481</v>
      </c>
      <c r="E2435" s="159">
        <v>20</v>
      </c>
      <c r="F2435" s="159" t="s">
        <v>5667</v>
      </c>
      <c r="G2435" s="159" t="s">
        <v>12255</v>
      </c>
    </row>
    <row r="2436" spans="1:7" ht="15.75" customHeight="1">
      <c r="A2436" s="159" t="s">
        <v>9275</v>
      </c>
      <c r="B2436" s="159" t="s">
        <v>9900</v>
      </c>
      <c r="C2436" s="159" t="s">
        <v>12197</v>
      </c>
      <c r="D2436" s="159" t="s">
        <v>481</v>
      </c>
      <c r="E2436" s="159">
        <v>20</v>
      </c>
      <c r="F2436" s="159" t="s">
        <v>5667</v>
      </c>
      <c r="G2436" s="159" t="s">
        <v>12198</v>
      </c>
    </row>
    <row r="2437" spans="1:7" ht="15.75" customHeight="1">
      <c r="A2437" s="159" t="s">
        <v>9275</v>
      </c>
      <c r="B2437" s="159" t="s">
        <v>9900</v>
      </c>
      <c r="C2437" s="159" t="s">
        <v>12199</v>
      </c>
      <c r="D2437" s="159" t="s">
        <v>481</v>
      </c>
      <c r="E2437" s="159">
        <v>20</v>
      </c>
      <c r="F2437" s="159" t="s">
        <v>5667</v>
      </c>
      <c r="G2437" s="159" t="s">
        <v>12200</v>
      </c>
    </row>
    <row r="2438" spans="1:7" ht="15.75" customHeight="1">
      <c r="A2438" s="159" t="s">
        <v>9275</v>
      </c>
      <c r="B2438" s="159" t="s">
        <v>9900</v>
      </c>
      <c r="C2438" s="159" t="s">
        <v>11654</v>
      </c>
      <c r="D2438" s="159" t="s">
        <v>484</v>
      </c>
      <c r="E2438" s="159">
        <v>10</v>
      </c>
      <c r="F2438" s="159" t="s">
        <v>5667</v>
      </c>
      <c r="G2438" s="159" t="s">
        <v>12131</v>
      </c>
    </row>
    <row r="2439" spans="1:7" ht="15.75" customHeight="1">
      <c r="A2439" s="159" t="s">
        <v>9275</v>
      </c>
      <c r="B2439" s="159" t="s">
        <v>9900</v>
      </c>
      <c r="C2439" s="159" t="s">
        <v>12218</v>
      </c>
      <c r="D2439" s="159" t="s">
        <v>978</v>
      </c>
      <c r="E2439" s="159">
        <v>5</v>
      </c>
      <c r="F2439" s="159" t="s">
        <v>5665</v>
      </c>
      <c r="G2439" s="159" t="s">
        <v>12219</v>
      </c>
    </row>
    <row r="2440" spans="1:7" ht="15.75" customHeight="1">
      <c r="A2440" s="159" t="s">
        <v>9275</v>
      </c>
      <c r="B2440" s="159" t="s">
        <v>9900</v>
      </c>
      <c r="C2440" s="159" t="s">
        <v>12268</v>
      </c>
      <c r="D2440" s="159" t="s">
        <v>3893</v>
      </c>
      <c r="E2440" s="159">
        <v>65535</v>
      </c>
      <c r="F2440" s="159" t="s">
        <v>5667</v>
      </c>
      <c r="G2440" s="159" t="s">
        <v>12269</v>
      </c>
    </row>
    <row r="2441" spans="1:7" ht="15.75" customHeight="1">
      <c r="A2441" s="159" t="s">
        <v>9275</v>
      </c>
      <c r="B2441" s="159" t="s">
        <v>9900</v>
      </c>
      <c r="C2441" s="159" t="s">
        <v>12270</v>
      </c>
      <c r="D2441" s="159" t="s">
        <v>481</v>
      </c>
      <c r="E2441" s="159">
        <v>12</v>
      </c>
      <c r="F2441" s="159" t="s">
        <v>5667</v>
      </c>
      <c r="G2441" s="159" t="s">
        <v>12271</v>
      </c>
    </row>
    <row r="2442" spans="1:7" ht="15.75" customHeight="1">
      <c r="A2442" s="159" t="s">
        <v>9275</v>
      </c>
      <c r="B2442" s="159" t="s">
        <v>9900</v>
      </c>
      <c r="C2442" s="159" t="s">
        <v>12272</v>
      </c>
      <c r="D2442" s="159" t="s">
        <v>481</v>
      </c>
      <c r="E2442" s="159">
        <v>12</v>
      </c>
      <c r="F2442" s="159" t="s">
        <v>5667</v>
      </c>
      <c r="G2442" s="159" t="s">
        <v>12273</v>
      </c>
    </row>
    <row r="2443" spans="1:7" ht="15.75" customHeight="1">
      <c r="A2443" s="159" t="s">
        <v>9275</v>
      </c>
      <c r="B2443" s="159" t="s">
        <v>9900</v>
      </c>
      <c r="C2443" s="159" t="s">
        <v>12274</v>
      </c>
      <c r="D2443" s="159" t="s">
        <v>481</v>
      </c>
      <c r="E2443" s="159">
        <v>12</v>
      </c>
      <c r="F2443" s="159" t="s">
        <v>5667</v>
      </c>
      <c r="G2443" s="159" t="s">
        <v>12275</v>
      </c>
    </row>
    <row r="2444" spans="1:7" ht="15.75" customHeight="1">
      <c r="A2444" s="159" t="s">
        <v>9275</v>
      </c>
      <c r="B2444" s="159" t="s">
        <v>9900</v>
      </c>
      <c r="C2444" s="159" t="s">
        <v>12276</v>
      </c>
      <c r="D2444" s="159" t="s">
        <v>481</v>
      </c>
      <c r="E2444" s="159">
        <v>12</v>
      </c>
      <c r="F2444" s="159" t="s">
        <v>5667</v>
      </c>
      <c r="G2444" s="159" t="s">
        <v>12277</v>
      </c>
    </row>
    <row r="2445" spans="1:7" ht="15.75" customHeight="1">
      <c r="A2445" s="159" t="s">
        <v>9275</v>
      </c>
      <c r="B2445" s="159" t="s">
        <v>9900</v>
      </c>
      <c r="C2445" s="159" t="s">
        <v>12278</v>
      </c>
      <c r="D2445" s="159" t="s">
        <v>481</v>
      </c>
      <c r="E2445" s="159">
        <v>12</v>
      </c>
      <c r="F2445" s="159" t="s">
        <v>5667</v>
      </c>
      <c r="G2445" s="159" t="s">
        <v>12279</v>
      </c>
    </row>
    <row r="2446" spans="1:7" ht="15.75" customHeight="1">
      <c r="A2446" s="159" t="s">
        <v>9275</v>
      </c>
      <c r="B2446" s="159" t="s">
        <v>9900</v>
      </c>
      <c r="C2446" s="159" t="s">
        <v>12280</v>
      </c>
      <c r="D2446" s="159" t="s">
        <v>481</v>
      </c>
      <c r="E2446" s="159">
        <v>12</v>
      </c>
      <c r="F2446" s="159" t="s">
        <v>5667</v>
      </c>
      <c r="G2446" s="159" t="s">
        <v>12281</v>
      </c>
    </row>
    <row r="2447" spans="1:7" ht="15.75" customHeight="1">
      <c r="A2447" s="159" t="s">
        <v>9275</v>
      </c>
      <c r="B2447" s="159" t="s">
        <v>9900</v>
      </c>
      <c r="C2447" s="159" t="s">
        <v>12282</v>
      </c>
      <c r="D2447" s="159" t="s">
        <v>481</v>
      </c>
      <c r="E2447" s="159">
        <v>12</v>
      </c>
      <c r="F2447" s="159" t="s">
        <v>5667</v>
      </c>
      <c r="G2447" s="159" t="s">
        <v>12283</v>
      </c>
    </row>
    <row r="2448" spans="1:7" ht="15.75" customHeight="1">
      <c r="A2448" s="159" t="s">
        <v>9275</v>
      </c>
      <c r="B2448" s="159" t="s">
        <v>9900</v>
      </c>
      <c r="C2448" s="159" t="s">
        <v>12284</v>
      </c>
      <c r="D2448" s="159" t="s">
        <v>481</v>
      </c>
      <c r="E2448" s="159">
        <v>12</v>
      </c>
      <c r="F2448" s="159" t="s">
        <v>5667</v>
      </c>
      <c r="G2448" s="159" t="s">
        <v>12285</v>
      </c>
    </row>
    <row r="2449" spans="1:7" ht="15.75" customHeight="1">
      <c r="A2449" s="159" t="s">
        <v>9275</v>
      </c>
      <c r="B2449" s="159" t="s">
        <v>9900</v>
      </c>
      <c r="C2449" s="159" t="s">
        <v>12286</v>
      </c>
      <c r="D2449" s="159" t="s">
        <v>3893</v>
      </c>
      <c r="E2449" s="159">
        <v>65535</v>
      </c>
      <c r="F2449" s="159" t="s">
        <v>5667</v>
      </c>
      <c r="G2449" s="159" t="s">
        <v>12287</v>
      </c>
    </row>
    <row r="2450" spans="1:7" ht="15.75" customHeight="1">
      <c r="A2450" s="159" t="s">
        <v>9275</v>
      </c>
      <c r="B2450" s="159" t="s">
        <v>9902</v>
      </c>
      <c r="C2450" s="159" t="s">
        <v>10467</v>
      </c>
      <c r="D2450" s="159" t="s">
        <v>484</v>
      </c>
      <c r="E2450" s="159">
        <v>10</v>
      </c>
      <c r="F2450" s="159" t="s">
        <v>5665</v>
      </c>
      <c r="G2450" s="159" t="s">
        <v>10468</v>
      </c>
    </row>
    <row r="2451" spans="1:7" ht="15.75" customHeight="1">
      <c r="A2451" s="159" t="s">
        <v>9275</v>
      </c>
      <c r="B2451" s="159" t="s">
        <v>9902</v>
      </c>
      <c r="C2451" s="159" t="s">
        <v>10761</v>
      </c>
      <c r="D2451" s="159" t="s">
        <v>484</v>
      </c>
      <c r="E2451" s="159">
        <v>10</v>
      </c>
      <c r="F2451" s="159" t="s">
        <v>5665</v>
      </c>
      <c r="G2451" s="159" t="s">
        <v>10762</v>
      </c>
    </row>
    <row r="2452" spans="1:7" ht="15.75" customHeight="1">
      <c r="A2452" s="159" t="s">
        <v>9275</v>
      </c>
      <c r="B2452" s="159" t="s">
        <v>9902</v>
      </c>
      <c r="C2452" s="159" t="s">
        <v>1394</v>
      </c>
      <c r="D2452" s="159" t="s">
        <v>484</v>
      </c>
      <c r="E2452" s="159">
        <v>10</v>
      </c>
      <c r="F2452" s="159" t="s">
        <v>5665</v>
      </c>
      <c r="G2452" s="159" t="s">
        <v>4828</v>
      </c>
    </row>
    <row r="2453" spans="1:7" ht="15.75" customHeight="1">
      <c r="A2453" s="159" t="s">
        <v>9275</v>
      </c>
      <c r="B2453" s="159" t="s">
        <v>9902</v>
      </c>
      <c r="C2453" s="159" t="s">
        <v>5764</v>
      </c>
      <c r="D2453" s="159" t="s">
        <v>477</v>
      </c>
      <c r="E2453" s="159">
        <v>255</v>
      </c>
      <c r="F2453" s="159" t="s">
        <v>5665</v>
      </c>
      <c r="G2453" s="159" t="s">
        <v>4246</v>
      </c>
    </row>
    <row r="2454" spans="1:7" ht="15.75" customHeight="1">
      <c r="A2454" s="159" t="s">
        <v>9275</v>
      </c>
      <c r="B2454" s="159" t="s">
        <v>9902</v>
      </c>
      <c r="C2454" s="159" t="s">
        <v>10471</v>
      </c>
      <c r="D2454" s="159" t="s">
        <v>3893</v>
      </c>
      <c r="E2454" s="159">
        <v>65535</v>
      </c>
      <c r="F2454" s="159" t="s">
        <v>5667</v>
      </c>
      <c r="G2454" s="159" t="s">
        <v>10475</v>
      </c>
    </row>
    <row r="2455" spans="1:7" ht="15.75" customHeight="1">
      <c r="A2455" s="159" t="s">
        <v>9275</v>
      </c>
      <c r="B2455" s="159" t="s">
        <v>9904</v>
      </c>
      <c r="C2455" s="159" t="s">
        <v>10699</v>
      </c>
      <c r="D2455" s="159" t="s">
        <v>484</v>
      </c>
      <c r="E2455" s="159">
        <v>10</v>
      </c>
      <c r="F2455" s="159" t="s">
        <v>5665</v>
      </c>
      <c r="G2455" s="159" t="s">
        <v>12288</v>
      </c>
    </row>
    <row r="2456" spans="1:7" ht="15.75" customHeight="1">
      <c r="A2456" s="159" t="s">
        <v>9275</v>
      </c>
      <c r="B2456" s="159" t="s">
        <v>9904</v>
      </c>
      <c r="C2456" s="159" t="s">
        <v>10570</v>
      </c>
      <c r="D2456" s="159" t="s">
        <v>484</v>
      </c>
      <c r="E2456" s="159">
        <v>10</v>
      </c>
      <c r="F2456" s="159" t="s">
        <v>5665</v>
      </c>
      <c r="G2456" s="159" t="s">
        <v>10715</v>
      </c>
    </row>
    <row r="2457" spans="1:7" ht="15.75" customHeight="1">
      <c r="A2457" s="159" t="s">
        <v>9275</v>
      </c>
      <c r="B2457" s="159" t="s">
        <v>9904</v>
      </c>
      <c r="C2457" s="159" t="s">
        <v>10190</v>
      </c>
      <c r="D2457" s="159" t="s">
        <v>1413</v>
      </c>
      <c r="E2457" s="159"/>
      <c r="F2457" s="159" t="s">
        <v>5665</v>
      </c>
      <c r="G2457" s="159" t="s">
        <v>10281</v>
      </c>
    </row>
    <row r="2458" spans="1:7" ht="15.75" customHeight="1">
      <c r="A2458" s="159" t="s">
        <v>9275</v>
      </c>
      <c r="B2458" s="159" t="s">
        <v>9904</v>
      </c>
      <c r="C2458" s="159" t="s">
        <v>10242</v>
      </c>
      <c r="D2458" s="159" t="s">
        <v>1413</v>
      </c>
      <c r="E2458" s="159"/>
      <c r="F2458" s="159" t="s">
        <v>5665</v>
      </c>
      <c r="G2458" s="159" t="s">
        <v>10282</v>
      </c>
    </row>
    <row r="2459" spans="1:7" ht="15.75" customHeight="1">
      <c r="A2459" s="159" t="s">
        <v>9275</v>
      </c>
      <c r="B2459" s="159" t="s">
        <v>9904</v>
      </c>
      <c r="C2459" s="159" t="s">
        <v>2078</v>
      </c>
      <c r="D2459" s="159" t="s">
        <v>477</v>
      </c>
      <c r="E2459" s="159">
        <v>255</v>
      </c>
      <c r="F2459" s="159" t="s">
        <v>5667</v>
      </c>
      <c r="G2459" s="159" t="s">
        <v>10333</v>
      </c>
    </row>
    <row r="2460" spans="1:7" ht="15.75" customHeight="1">
      <c r="A2460" s="159" t="s">
        <v>9275</v>
      </c>
      <c r="B2460" s="159" t="s">
        <v>9904</v>
      </c>
      <c r="C2460" s="159" t="s">
        <v>12289</v>
      </c>
      <c r="D2460" s="159" t="s">
        <v>477</v>
      </c>
      <c r="E2460" s="159">
        <v>255</v>
      </c>
      <c r="F2460" s="159" t="s">
        <v>5667</v>
      </c>
      <c r="G2460" s="159" t="s">
        <v>12290</v>
      </c>
    </row>
    <row r="2461" spans="1:7" ht="15.75" customHeight="1">
      <c r="A2461" s="159" t="s">
        <v>9275</v>
      </c>
      <c r="B2461" s="159" t="s">
        <v>9904</v>
      </c>
      <c r="C2461" s="159" t="s">
        <v>12291</v>
      </c>
      <c r="D2461" s="159" t="s">
        <v>477</v>
      </c>
      <c r="E2461" s="159">
        <v>255</v>
      </c>
      <c r="F2461" s="159" t="s">
        <v>5667</v>
      </c>
      <c r="G2461" s="159" t="s">
        <v>12292</v>
      </c>
    </row>
    <row r="2462" spans="1:7" ht="15.75" customHeight="1">
      <c r="A2462" s="159" t="s">
        <v>9275</v>
      </c>
      <c r="B2462" s="159" t="s">
        <v>9904</v>
      </c>
      <c r="C2462" s="159" t="s">
        <v>12293</v>
      </c>
      <c r="D2462" s="159" t="s">
        <v>477</v>
      </c>
      <c r="E2462" s="159">
        <v>255</v>
      </c>
      <c r="F2462" s="159" t="s">
        <v>5667</v>
      </c>
      <c r="G2462" s="159" t="s">
        <v>12294</v>
      </c>
    </row>
    <row r="2463" spans="1:7" ht="15.75" customHeight="1">
      <c r="A2463" s="159" t="s">
        <v>9275</v>
      </c>
      <c r="B2463" s="159" t="s">
        <v>9904</v>
      </c>
      <c r="C2463" s="159" t="s">
        <v>12295</v>
      </c>
      <c r="D2463" s="159" t="s">
        <v>477</v>
      </c>
      <c r="E2463" s="159">
        <v>255</v>
      </c>
      <c r="F2463" s="159" t="s">
        <v>5667</v>
      </c>
      <c r="G2463" s="159" t="s">
        <v>12296</v>
      </c>
    </row>
    <row r="2464" spans="1:7" ht="15.75" customHeight="1">
      <c r="A2464" s="159" t="s">
        <v>9275</v>
      </c>
      <c r="B2464" s="159" t="s">
        <v>9904</v>
      </c>
      <c r="C2464" s="159" t="s">
        <v>12297</v>
      </c>
      <c r="D2464" s="159" t="s">
        <v>477</v>
      </c>
      <c r="E2464" s="159">
        <v>255</v>
      </c>
      <c r="F2464" s="159" t="s">
        <v>5667</v>
      </c>
      <c r="G2464" s="159" t="s">
        <v>12298</v>
      </c>
    </row>
    <row r="2465" spans="1:7" ht="15.75" customHeight="1">
      <c r="A2465" s="159" t="s">
        <v>9275</v>
      </c>
      <c r="B2465" s="159" t="s">
        <v>9904</v>
      </c>
      <c r="C2465" s="159" t="s">
        <v>12299</v>
      </c>
      <c r="D2465" s="159" t="s">
        <v>477</v>
      </c>
      <c r="E2465" s="159">
        <v>255</v>
      </c>
      <c r="F2465" s="159" t="s">
        <v>5667</v>
      </c>
      <c r="G2465" s="159" t="s">
        <v>12300</v>
      </c>
    </row>
    <row r="2466" spans="1:7" ht="15.75" customHeight="1">
      <c r="A2466" s="159" t="s">
        <v>9275</v>
      </c>
      <c r="B2466" s="159" t="s">
        <v>9904</v>
      </c>
      <c r="C2466" s="159" t="s">
        <v>12301</v>
      </c>
      <c r="D2466" s="159" t="s">
        <v>978</v>
      </c>
      <c r="E2466" s="159">
        <v>5</v>
      </c>
      <c r="F2466" s="159" t="s">
        <v>5667</v>
      </c>
      <c r="G2466" s="159" t="s">
        <v>12302</v>
      </c>
    </row>
    <row r="2467" spans="1:7" ht="15.75" customHeight="1">
      <c r="A2467" s="159" t="s">
        <v>9275</v>
      </c>
      <c r="B2467" s="159" t="s">
        <v>9904</v>
      </c>
      <c r="C2467" s="159" t="s">
        <v>12303</v>
      </c>
      <c r="D2467" s="159" t="s">
        <v>477</v>
      </c>
      <c r="E2467" s="159">
        <v>255</v>
      </c>
      <c r="F2467" s="159" t="s">
        <v>5667</v>
      </c>
      <c r="G2467" s="159" t="s">
        <v>12304</v>
      </c>
    </row>
    <row r="2468" spans="1:7" ht="15.75" customHeight="1">
      <c r="A2468" s="159" t="s">
        <v>9275</v>
      </c>
      <c r="B2468" s="159" t="s">
        <v>9904</v>
      </c>
      <c r="C2468" s="159" t="s">
        <v>12305</v>
      </c>
      <c r="D2468" s="159" t="s">
        <v>978</v>
      </c>
      <c r="E2468" s="159">
        <v>5</v>
      </c>
      <c r="F2468" s="159" t="s">
        <v>5667</v>
      </c>
      <c r="G2468" s="159" t="s">
        <v>12306</v>
      </c>
    </row>
    <row r="2469" spans="1:7" ht="15.75" customHeight="1">
      <c r="A2469" s="159" t="s">
        <v>9275</v>
      </c>
      <c r="B2469" s="159" t="s">
        <v>9904</v>
      </c>
      <c r="C2469" s="159" t="s">
        <v>12307</v>
      </c>
      <c r="D2469" s="159" t="s">
        <v>978</v>
      </c>
      <c r="E2469" s="159">
        <v>5</v>
      </c>
      <c r="F2469" s="159" t="s">
        <v>5667</v>
      </c>
      <c r="G2469" s="159" t="s">
        <v>12308</v>
      </c>
    </row>
    <row r="2470" spans="1:7" ht="15.75" customHeight="1">
      <c r="A2470" s="159" t="s">
        <v>9275</v>
      </c>
      <c r="B2470" s="159" t="s">
        <v>9904</v>
      </c>
      <c r="C2470" s="159" t="s">
        <v>12309</v>
      </c>
      <c r="D2470" s="159" t="s">
        <v>477</v>
      </c>
      <c r="E2470" s="159">
        <v>255</v>
      </c>
      <c r="F2470" s="159" t="s">
        <v>5667</v>
      </c>
      <c r="G2470" s="159" t="s">
        <v>12310</v>
      </c>
    </row>
    <row r="2471" spans="1:7" ht="15.75" customHeight="1">
      <c r="A2471" s="159" t="s">
        <v>9275</v>
      </c>
      <c r="B2471" s="159" t="s">
        <v>9904</v>
      </c>
      <c r="C2471" s="159" t="s">
        <v>10875</v>
      </c>
      <c r="D2471" s="159" t="s">
        <v>3893</v>
      </c>
      <c r="E2471" s="159">
        <v>65535</v>
      </c>
      <c r="F2471" s="159" t="s">
        <v>5667</v>
      </c>
      <c r="G2471" s="159" t="s">
        <v>12227</v>
      </c>
    </row>
    <row r="2472" spans="1:7" ht="15.75" customHeight="1">
      <c r="A2472" s="159" t="s">
        <v>9275</v>
      </c>
      <c r="B2472" s="159" t="s">
        <v>9904</v>
      </c>
      <c r="C2472" s="159" t="s">
        <v>12311</v>
      </c>
      <c r="D2472" s="159" t="s">
        <v>477</v>
      </c>
      <c r="E2472" s="159">
        <v>255</v>
      </c>
      <c r="F2472" s="159" t="s">
        <v>5667</v>
      </c>
      <c r="G2472" s="159" t="s">
        <v>12312</v>
      </c>
    </row>
    <row r="2473" spans="1:7" ht="15.75" customHeight="1">
      <c r="A2473" s="159" t="s">
        <v>9275</v>
      </c>
      <c r="B2473" s="159" t="s">
        <v>9904</v>
      </c>
      <c r="C2473" s="159" t="s">
        <v>11987</v>
      </c>
      <c r="D2473" s="159" t="s">
        <v>3893</v>
      </c>
      <c r="E2473" s="159">
        <v>65535</v>
      </c>
      <c r="F2473" s="159" t="s">
        <v>5667</v>
      </c>
      <c r="G2473" s="159" t="s">
        <v>11988</v>
      </c>
    </row>
    <row r="2474" spans="1:7" ht="15.75" customHeight="1">
      <c r="A2474" s="159" t="s">
        <v>9275</v>
      </c>
      <c r="B2474" s="159" t="s">
        <v>9904</v>
      </c>
      <c r="C2474" s="159" t="s">
        <v>12313</v>
      </c>
      <c r="D2474" s="159" t="s">
        <v>477</v>
      </c>
      <c r="E2474" s="159">
        <v>255</v>
      </c>
      <c r="F2474" s="159" t="s">
        <v>5667</v>
      </c>
      <c r="G2474" s="159" t="s">
        <v>12314</v>
      </c>
    </row>
    <row r="2475" spans="1:7" ht="15.75" customHeight="1">
      <c r="A2475" s="159" t="s">
        <v>9275</v>
      </c>
      <c r="B2475" s="159" t="s">
        <v>9904</v>
      </c>
      <c r="C2475" s="159" t="s">
        <v>12315</v>
      </c>
      <c r="D2475" s="159" t="s">
        <v>477</v>
      </c>
      <c r="E2475" s="159">
        <v>255</v>
      </c>
      <c r="F2475" s="159" t="s">
        <v>5667</v>
      </c>
      <c r="G2475" s="159" t="s">
        <v>12316</v>
      </c>
    </row>
    <row r="2476" spans="1:7" ht="15.75" customHeight="1">
      <c r="A2476" s="159" t="s">
        <v>9275</v>
      </c>
      <c r="B2476" s="159" t="s">
        <v>9904</v>
      </c>
      <c r="C2476" s="159" t="s">
        <v>12317</v>
      </c>
      <c r="D2476" s="159" t="s">
        <v>477</v>
      </c>
      <c r="E2476" s="159">
        <v>255</v>
      </c>
      <c r="F2476" s="159" t="s">
        <v>5667</v>
      </c>
      <c r="G2476" s="159" t="s">
        <v>12318</v>
      </c>
    </row>
    <row r="2477" spans="1:7" ht="15.75" customHeight="1">
      <c r="A2477" s="159" t="s">
        <v>9275</v>
      </c>
      <c r="B2477" s="159" t="s">
        <v>9906</v>
      </c>
      <c r="C2477" s="159" t="s">
        <v>12319</v>
      </c>
      <c r="D2477" s="159" t="s">
        <v>484</v>
      </c>
      <c r="E2477" s="159">
        <v>10</v>
      </c>
      <c r="F2477" s="159" t="s">
        <v>5665</v>
      </c>
      <c r="G2477" s="159" t="s">
        <v>12320</v>
      </c>
    </row>
    <row r="2478" spans="1:7" ht="15.75" customHeight="1">
      <c r="A2478" s="159" t="s">
        <v>9275</v>
      </c>
      <c r="B2478" s="159" t="s">
        <v>9906</v>
      </c>
      <c r="C2478" s="159" t="s">
        <v>11704</v>
      </c>
      <c r="D2478" s="159" t="s">
        <v>484</v>
      </c>
      <c r="E2478" s="159">
        <v>10</v>
      </c>
      <c r="F2478" s="159" t="s">
        <v>5665</v>
      </c>
      <c r="G2478" s="159" t="s">
        <v>12152</v>
      </c>
    </row>
    <row r="2479" spans="1:7" ht="15.75" customHeight="1">
      <c r="A2479" s="159" t="s">
        <v>9275</v>
      </c>
      <c r="B2479" s="159" t="s">
        <v>9906</v>
      </c>
      <c r="C2479" s="159" t="s">
        <v>10190</v>
      </c>
      <c r="D2479" s="159" t="s">
        <v>1413</v>
      </c>
      <c r="E2479" s="159"/>
      <c r="F2479" s="159" t="s">
        <v>5665</v>
      </c>
      <c r="G2479" s="159" t="s">
        <v>10281</v>
      </c>
    </row>
    <row r="2480" spans="1:7" ht="15.75" customHeight="1">
      <c r="A2480" s="159" t="s">
        <v>9275</v>
      </c>
      <c r="B2480" s="159" t="s">
        <v>9906</v>
      </c>
      <c r="C2480" s="159" t="s">
        <v>10242</v>
      </c>
      <c r="D2480" s="159" t="s">
        <v>1413</v>
      </c>
      <c r="E2480" s="159"/>
      <c r="F2480" s="159" t="s">
        <v>5665</v>
      </c>
      <c r="G2480" s="159" t="s">
        <v>10282</v>
      </c>
    </row>
    <row r="2481" spans="1:7" ht="15.75" customHeight="1">
      <c r="A2481" s="159" t="s">
        <v>9275</v>
      </c>
      <c r="B2481" s="159" t="s">
        <v>9906</v>
      </c>
      <c r="C2481" s="159" t="s">
        <v>12321</v>
      </c>
      <c r="D2481" s="159" t="s">
        <v>477</v>
      </c>
      <c r="E2481" s="159">
        <v>255</v>
      </c>
      <c r="F2481" s="159" t="s">
        <v>5667</v>
      </c>
      <c r="G2481" s="159" t="s">
        <v>12322</v>
      </c>
    </row>
    <row r="2482" spans="1:7" ht="15.75" customHeight="1">
      <c r="A2482" s="159" t="s">
        <v>9275</v>
      </c>
      <c r="B2482" s="159" t="s">
        <v>9906</v>
      </c>
      <c r="C2482" s="159" t="s">
        <v>12323</v>
      </c>
      <c r="D2482" s="159" t="s">
        <v>477</v>
      </c>
      <c r="E2482" s="159">
        <v>255</v>
      </c>
      <c r="F2482" s="159" t="s">
        <v>5667</v>
      </c>
      <c r="G2482" s="159" t="s">
        <v>12324</v>
      </c>
    </row>
    <row r="2483" spans="1:7" ht="15.75" customHeight="1">
      <c r="A2483" s="159" t="s">
        <v>9275</v>
      </c>
      <c r="B2483" s="159" t="s">
        <v>9906</v>
      </c>
      <c r="C2483" s="159" t="s">
        <v>5764</v>
      </c>
      <c r="D2483" s="159" t="s">
        <v>477</v>
      </c>
      <c r="E2483" s="159">
        <v>255</v>
      </c>
      <c r="F2483" s="159" t="s">
        <v>5667</v>
      </c>
      <c r="G2483" s="159" t="s">
        <v>4246</v>
      </c>
    </row>
    <row r="2484" spans="1:7" ht="15.75" customHeight="1">
      <c r="A2484" s="159" t="s">
        <v>9275</v>
      </c>
      <c r="B2484" s="159" t="s">
        <v>9906</v>
      </c>
      <c r="C2484" s="159" t="s">
        <v>2078</v>
      </c>
      <c r="D2484" s="159" t="s">
        <v>477</v>
      </c>
      <c r="E2484" s="159">
        <v>255</v>
      </c>
      <c r="F2484" s="159" t="s">
        <v>5667</v>
      </c>
      <c r="G2484" s="159" t="s">
        <v>10333</v>
      </c>
    </row>
    <row r="2485" spans="1:7" ht="15.75" customHeight="1">
      <c r="A2485" s="159" t="s">
        <v>9275</v>
      </c>
      <c r="B2485" s="159" t="s">
        <v>9906</v>
      </c>
      <c r="C2485" s="159" t="s">
        <v>12325</v>
      </c>
      <c r="D2485" s="159" t="s">
        <v>3893</v>
      </c>
      <c r="E2485" s="159">
        <v>65535</v>
      </c>
      <c r="F2485" s="159" t="s">
        <v>5667</v>
      </c>
      <c r="G2485" s="159" t="s">
        <v>12326</v>
      </c>
    </row>
    <row r="2486" spans="1:7" ht="15.75" customHeight="1">
      <c r="A2486" s="159" t="s">
        <v>9275</v>
      </c>
      <c r="B2486" s="159" t="s">
        <v>9906</v>
      </c>
      <c r="C2486" s="159" t="s">
        <v>10942</v>
      </c>
      <c r="D2486" s="159" t="s">
        <v>481</v>
      </c>
      <c r="E2486" s="159">
        <v>20</v>
      </c>
      <c r="F2486" s="159" t="s">
        <v>5665</v>
      </c>
      <c r="G2486" s="159" t="s">
        <v>3497</v>
      </c>
    </row>
    <row r="2487" spans="1:7" ht="15.75" customHeight="1">
      <c r="A2487" s="159" t="s">
        <v>9275</v>
      </c>
      <c r="B2487" s="159" t="s">
        <v>9906</v>
      </c>
      <c r="C2487" s="159" t="s">
        <v>12327</v>
      </c>
      <c r="D2487" s="159" t="s">
        <v>3893</v>
      </c>
      <c r="E2487" s="159">
        <v>65535</v>
      </c>
      <c r="F2487" s="159" t="s">
        <v>5667</v>
      </c>
      <c r="G2487" s="159" t="s">
        <v>11461</v>
      </c>
    </row>
    <row r="2488" spans="1:7" ht="15.75" customHeight="1">
      <c r="A2488" s="159" t="s">
        <v>9275</v>
      </c>
      <c r="B2488" s="159" t="s">
        <v>9906</v>
      </c>
      <c r="C2488" s="159" t="s">
        <v>12328</v>
      </c>
      <c r="D2488" s="159" t="s">
        <v>3893</v>
      </c>
      <c r="E2488" s="159">
        <v>65535</v>
      </c>
      <c r="F2488" s="159" t="s">
        <v>5667</v>
      </c>
      <c r="G2488" s="159" t="s">
        <v>12329</v>
      </c>
    </row>
    <row r="2489" spans="1:7" ht="15.75" customHeight="1">
      <c r="A2489" s="159" t="s">
        <v>9275</v>
      </c>
      <c r="B2489" s="159" t="s">
        <v>9908</v>
      </c>
      <c r="C2489" s="159" t="s">
        <v>12330</v>
      </c>
      <c r="D2489" s="159" t="s">
        <v>978</v>
      </c>
      <c r="E2489" s="159">
        <v>5</v>
      </c>
      <c r="F2489" s="159" t="s">
        <v>5665</v>
      </c>
      <c r="G2489" s="159" t="s">
        <v>12331</v>
      </c>
    </row>
    <row r="2490" spans="1:7" ht="15.75" customHeight="1">
      <c r="A2490" s="159" t="s">
        <v>9275</v>
      </c>
      <c r="B2490" s="159" t="s">
        <v>9908</v>
      </c>
      <c r="C2490" s="159" t="s">
        <v>10287</v>
      </c>
      <c r="D2490" s="159" t="s">
        <v>978</v>
      </c>
      <c r="E2490" s="159">
        <v>5</v>
      </c>
      <c r="F2490" s="159" t="s">
        <v>5665</v>
      </c>
      <c r="G2490" s="159" t="s">
        <v>10237</v>
      </c>
    </row>
    <row r="2491" spans="1:7" ht="15.75" customHeight="1">
      <c r="A2491" s="159" t="s">
        <v>9275</v>
      </c>
      <c r="B2491" s="159" t="s">
        <v>9908</v>
      </c>
      <c r="C2491" s="159" t="s">
        <v>12332</v>
      </c>
      <c r="D2491" s="159" t="s">
        <v>477</v>
      </c>
      <c r="E2491" s="159">
        <v>64</v>
      </c>
      <c r="F2491" s="159" t="s">
        <v>5665</v>
      </c>
      <c r="G2491" s="159" t="s">
        <v>12333</v>
      </c>
    </row>
    <row r="2492" spans="1:7" ht="15.75" customHeight="1">
      <c r="A2492" s="159" t="s">
        <v>9275</v>
      </c>
      <c r="B2492" s="159" t="s">
        <v>9908</v>
      </c>
      <c r="C2492" s="159" t="s">
        <v>3965</v>
      </c>
      <c r="D2492" s="159" t="s">
        <v>978</v>
      </c>
      <c r="E2492" s="159">
        <v>5</v>
      </c>
      <c r="F2492" s="159" t="s">
        <v>5665</v>
      </c>
      <c r="G2492" s="159" t="s">
        <v>12334</v>
      </c>
    </row>
    <row r="2493" spans="1:7" ht="15.75" customHeight="1">
      <c r="A2493" s="159" t="s">
        <v>9275</v>
      </c>
      <c r="B2493" s="159" t="s">
        <v>9908</v>
      </c>
      <c r="C2493" s="159" t="s">
        <v>10211</v>
      </c>
      <c r="D2493" s="159" t="s">
        <v>978</v>
      </c>
      <c r="E2493" s="159">
        <v>5</v>
      </c>
      <c r="F2493" s="159" t="s">
        <v>5665</v>
      </c>
      <c r="G2493" s="159" t="s">
        <v>12335</v>
      </c>
    </row>
    <row r="2494" spans="1:7" ht="15.75" customHeight="1">
      <c r="A2494" s="159" t="s">
        <v>9275</v>
      </c>
      <c r="B2494" s="159" t="s">
        <v>9910</v>
      </c>
      <c r="C2494" s="159" t="s">
        <v>10287</v>
      </c>
      <c r="D2494" s="159" t="s">
        <v>978</v>
      </c>
      <c r="E2494" s="159">
        <v>5</v>
      </c>
      <c r="F2494" s="159" t="s">
        <v>5665</v>
      </c>
      <c r="G2494" s="159" t="s">
        <v>10237</v>
      </c>
    </row>
    <row r="2495" spans="1:7" ht="15.75" customHeight="1">
      <c r="A2495" s="159" t="s">
        <v>9275</v>
      </c>
      <c r="B2495" s="159" t="s">
        <v>9910</v>
      </c>
      <c r="C2495" s="159" t="s">
        <v>12336</v>
      </c>
      <c r="D2495" s="159" t="s">
        <v>477</v>
      </c>
      <c r="E2495" s="159">
        <v>64</v>
      </c>
      <c r="F2495" s="159" t="s">
        <v>5665</v>
      </c>
      <c r="G2495" s="159" t="s">
        <v>12337</v>
      </c>
    </row>
    <row r="2496" spans="1:7" ht="15.75" customHeight="1">
      <c r="A2496" s="159" t="s">
        <v>9275</v>
      </c>
      <c r="B2496" s="159" t="s">
        <v>9912</v>
      </c>
      <c r="C2496" s="159" t="s">
        <v>10467</v>
      </c>
      <c r="D2496" s="159" t="s">
        <v>484</v>
      </c>
      <c r="E2496" s="159">
        <v>10</v>
      </c>
      <c r="F2496" s="159" t="s">
        <v>5665</v>
      </c>
      <c r="G2496" s="159" t="s">
        <v>12338</v>
      </c>
    </row>
    <row r="2497" spans="1:7" ht="15.75" customHeight="1">
      <c r="A2497" s="159" t="s">
        <v>9275</v>
      </c>
      <c r="B2497" s="159" t="s">
        <v>9912</v>
      </c>
      <c r="C2497" s="159" t="s">
        <v>12330</v>
      </c>
      <c r="D2497" s="159" t="s">
        <v>978</v>
      </c>
      <c r="E2497" s="159">
        <v>5</v>
      </c>
      <c r="F2497" s="159" t="s">
        <v>5665</v>
      </c>
      <c r="G2497" s="159" t="s">
        <v>12331</v>
      </c>
    </row>
    <row r="2498" spans="1:7" ht="15.75" customHeight="1">
      <c r="A2498" s="159" t="s">
        <v>9275</v>
      </c>
      <c r="B2498" s="159" t="s">
        <v>9912</v>
      </c>
      <c r="C2498" s="159" t="s">
        <v>5764</v>
      </c>
      <c r="D2498" s="159" t="s">
        <v>477</v>
      </c>
      <c r="E2498" s="159">
        <v>32</v>
      </c>
      <c r="F2498" s="159" t="s">
        <v>5665</v>
      </c>
      <c r="G2498" s="159" t="s">
        <v>12339</v>
      </c>
    </row>
    <row r="2499" spans="1:7" ht="15.75" customHeight="1">
      <c r="A2499" s="159" t="s">
        <v>9275</v>
      </c>
      <c r="B2499" s="159" t="s">
        <v>9912</v>
      </c>
      <c r="C2499" s="159" t="s">
        <v>10471</v>
      </c>
      <c r="D2499" s="159" t="s">
        <v>978</v>
      </c>
      <c r="E2499" s="159">
        <v>5</v>
      </c>
      <c r="F2499" s="159" t="s">
        <v>5665</v>
      </c>
      <c r="G2499" s="159" t="s">
        <v>12340</v>
      </c>
    </row>
    <row r="2500" spans="1:7" ht="15.75" customHeight="1">
      <c r="A2500" s="159" t="s">
        <v>9275</v>
      </c>
      <c r="B2500" s="159" t="s">
        <v>9912</v>
      </c>
      <c r="C2500" s="159" t="s">
        <v>3965</v>
      </c>
      <c r="D2500" s="159" t="s">
        <v>978</v>
      </c>
      <c r="E2500" s="159">
        <v>5</v>
      </c>
      <c r="F2500" s="159" t="s">
        <v>5665</v>
      </c>
      <c r="G2500" s="159" t="s">
        <v>12341</v>
      </c>
    </row>
    <row r="2501" spans="1:7" ht="15.75" customHeight="1">
      <c r="A2501" s="159" t="s">
        <v>9275</v>
      </c>
      <c r="B2501" s="159" t="s">
        <v>9914</v>
      </c>
      <c r="C2501" s="159" t="s">
        <v>12342</v>
      </c>
      <c r="D2501" s="159" t="s">
        <v>1631</v>
      </c>
      <c r="E2501" s="159">
        <v>20</v>
      </c>
      <c r="F2501" s="159" t="s">
        <v>5665</v>
      </c>
      <c r="G2501" s="159" t="s">
        <v>12343</v>
      </c>
    </row>
    <row r="2502" spans="1:7" ht="15.75" customHeight="1">
      <c r="A2502" s="159" t="s">
        <v>9275</v>
      </c>
      <c r="B2502" s="159" t="s">
        <v>9914</v>
      </c>
      <c r="C2502" s="159" t="s">
        <v>10467</v>
      </c>
      <c r="D2502" s="159" t="s">
        <v>484</v>
      </c>
      <c r="E2502" s="159">
        <v>10</v>
      </c>
      <c r="F2502" s="159" t="s">
        <v>5665</v>
      </c>
      <c r="G2502" s="159" t="s">
        <v>12344</v>
      </c>
    </row>
    <row r="2503" spans="1:7" ht="15.75" customHeight="1">
      <c r="A2503" s="159" t="s">
        <v>9275</v>
      </c>
      <c r="B2503" s="159" t="s">
        <v>9914</v>
      </c>
      <c r="C2503" s="159" t="s">
        <v>12100</v>
      </c>
      <c r="D2503" s="159" t="s">
        <v>477</v>
      </c>
      <c r="E2503" s="159">
        <v>16</v>
      </c>
      <c r="F2503" s="159" t="s">
        <v>5665</v>
      </c>
      <c r="G2503" s="159" t="s">
        <v>12345</v>
      </c>
    </row>
    <row r="2504" spans="1:7" ht="15.75" customHeight="1">
      <c r="A2504" s="159" t="s">
        <v>9275</v>
      </c>
      <c r="B2504" s="159" t="s">
        <v>9914</v>
      </c>
      <c r="C2504" s="159" t="s">
        <v>12346</v>
      </c>
      <c r="D2504" s="159" t="s">
        <v>1631</v>
      </c>
      <c r="E2504" s="159">
        <v>19</v>
      </c>
      <c r="F2504" s="159" t="s">
        <v>5665</v>
      </c>
      <c r="G2504" s="159" t="s">
        <v>12347</v>
      </c>
    </row>
    <row r="2505" spans="1:7" ht="15.75" customHeight="1">
      <c r="A2505" s="159" t="s">
        <v>9275</v>
      </c>
      <c r="B2505" s="159" t="s">
        <v>9914</v>
      </c>
      <c r="C2505" s="159" t="s">
        <v>3940</v>
      </c>
      <c r="D2505" s="159" t="s">
        <v>484</v>
      </c>
      <c r="E2505" s="159">
        <v>10</v>
      </c>
      <c r="F2505" s="159" t="s">
        <v>5667</v>
      </c>
      <c r="G2505" s="159" t="s">
        <v>10747</v>
      </c>
    </row>
    <row r="2506" spans="1:7" ht="15.75" customHeight="1">
      <c r="A2506" s="159" t="s">
        <v>9275</v>
      </c>
      <c r="B2506" s="159" t="s">
        <v>9914</v>
      </c>
      <c r="C2506" s="159" t="s">
        <v>12348</v>
      </c>
      <c r="D2506" s="159" t="s">
        <v>1631</v>
      </c>
      <c r="E2506" s="159">
        <v>20</v>
      </c>
      <c r="F2506" s="159" t="s">
        <v>5665</v>
      </c>
      <c r="G2506" s="159" t="s">
        <v>4828</v>
      </c>
    </row>
    <row r="2507" spans="1:7" ht="15.75" customHeight="1">
      <c r="A2507" s="159" t="s">
        <v>9275</v>
      </c>
      <c r="B2507" s="159" t="s">
        <v>9914</v>
      </c>
      <c r="C2507" s="159" t="s">
        <v>12330</v>
      </c>
      <c r="D2507" s="159" t="s">
        <v>978</v>
      </c>
      <c r="E2507" s="159">
        <v>5</v>
      </c>
      <c r="F2507" s="159" t="s">
        <v>5665</v>
      </c>
      <c r="G2507" s="159" t="s">
        <v>12331</v>
      </c>
    </row>
    <row r="2508" spans="1:7" ht="15.75" customHeight="1">
      <c r="A2508" s="159" t="s">
        <v>9275</v>
      </c>
      <c r="B2508" s="159" t="s">
        <v>9914</v>
      </c>
      <c r="C2508" s="159" t="s">
        <v>11528</v>
      </c>
      <c r="D2508" s="159" t="s">
        <v>1631</v>
      </c>
      <c r="E2508" s="159">
        <v>20</v>
      </c>
      <c r="F2508" s="159" t="s">
        <v>5667</v>
      </c>
      <c r="G2508" s="159" t="s">
        <v>12349</v>
      </c>
    </row>
    <row r="2509" spans="1:7" ht="15.75" customHeight="1">
      <c r="A2509" s="159" t="s">
        <v>9275</v>
      </c>
      <c r="B2509" s="159" t="s">
        <v>9914</v>
      </c>
      <c r="C2509" s="159" t="s">
        <v>12350</v>
      </c>
      <c r="D2509" s="159" t="s">
        <v>978</v>
      </c>
      <c r="E2509" s="159">
        <v>5</v>
      </c>
      <c r="F2509" s="159" t="s">
        <v>5665</v>
      </c>
      <c r="G2509" s="159" t="s">
        <v>12351</v>
      </c>
    </row>
    <row r="2510" spans="1:7" ht="15.75" customHeight="1">
      <c r="A2510" s="159" t="s">
        <v>9275</v>
      </c>
      <c r="B2510" s="159" t="s">
        <v>9914</v>
      </c>
      <c r="C2510" s="159" t="s">
        <v>10471</v>
      </c>
      <c r="D2510" s="159" t="s">
        <v>978</v>
      </c>
      <c r="E2510" s="159">
        <v>5</v>
      </c>
      <c r="F2510" s="159" t="s">
        <v>5665</v>
      </c>
      <c r="G2510" s="159" t="s">
        <v>12352</v>
      </c>
    </row>
    <row r="2511" spans="1:7" ht="15.75" customHeight="1">
      <c r="A2511" s="159" t="s">
        <v>9275</v>
      </c>
      <c r="B2511" s="159" t="s">
        <v>9916</v>
      </c>
      <c r="C2511" s="159" t="s">
        <v>12353</v>
      </c>
      <c r="D2511" s="159" t="s">
        <v>484</v>
      </c>
      <c r="E2511" s="159">
        <v>10</v>
      </c>
      <c r="F2511" s="159" t="s">
        <v>5665</v>
      </c>
      <c r="G2511" s="159" t="s">
        <v>12354</v>
      </c>
    </row>
    <row r="2512" spans="1:7" ht="15.75" customHeight="1">
      <c r="A2512" s="159" t="s">
        <v>9275</v>
      </c>
      <c r="B2512" s="159" t="s">
        <v>9916</v>
      </c>
      <c r="C2512" s="159" t="s">
        <v>12330</v>
      </c>
      <c r="D2512" s="159" t="s">
        <v>978</v>
      </c>
      <c r="E2512" s="159">
        <v>5</v>
      </c>
      <c r="F2512" s="159" t="s">
        <v>5665</v>
      </c>
      <c r="G2512" s="159" t="s">
        <v>12331</v>
      </c>
    </row>
    <row r="2513" spans="1:7" ht="15.75" customHeight="1">
      <c r="A2513" s="159" t="s">
        <v>9275</v>
      </c>
      <c r="B2513" s="159" t="s">
        <v>9916</v>
      </c>
      <c r="C2513" s="159" t="s">
        <v>12348</v>
      </c>
      <c r="D2513" s="159" t="s">
        <v>1631</v>
      </c>
      <c r="E2513" s="159">
        <v>20</v>
      </c>
      <c r="F2513" s="159" t="s">
        <v>5665</v>
      </c>
      <c r="G2513" s="159" t="s">
        <v>4828</v>
      </c>
    </row>
    <row r="2514" spans="1:7" ht="15.75" customHeight="1">
      <c r="A2514" s="159" t="s">
        <v>9275</v>
      </c>
      <c r="B2514" s="159" t="s">
        <v>9916</v>
      </c>
      <c r="C2514" s="159" t="s">
        <v>12355</v>
      </c>
      <c r="D2514" s="159" t="s">
        <v>484</v>
      </c>
      <c r="E2514" s="159">
        <v>10</v>
      </c>
      <c r="F2514" s="159" t="s">
        <v>5665</v>
      </c>
      <c r="G2514" s="159" t="s">
        <v>12356</v>
      </c>
    </row>
    <row r="2515" spans="1:7" ht="15.75" customHeight="1">
      <c r="A2515" s="159" t="s">
        <v>9275</v>
      </c>
      <c r="B2515" s="159" t="s">
        <v>9916</v>
      </c>
      <c r="C2515" s="159" t="s">
        <v>12357</v>
      </c>
      <c r="D2515" s="159" t="s">
        <v>484</v>
      </c>
      <c r="E2515" s="159">
        <v>10</v>
      </c>
      <c r="F2515" s="159" t="s">
        <v>5665</v>
      </c>
      <c r="G2515" s="159" t="s">
        <v>12358</v>
      </c>
    </row>
    <row r="2516" spans="1:7" ht="15.75" customHeight="1">
      <c r="A2516" s="159" t="s">
        <v>9275</v>
      </c>
      <c r="B2516" s="159" t="s">
        <v>9916</v>
      </c>
      <c r="C2516" s="159" t="s">
        <v>12350</v>
      </c>
      <c r="D2516" s="159" t="s">
        <v>978</v>
      </c>
      <c r="E2516" s="159">
        <v>5</v>
      </c>
      <c r="F2516" s="159" t="s">
        <v>5665</v>
      </c>
      <c r="G2516" s="159" t="s">
        <v>12359</v>
      </c>
    </row>
    <row r="2517" spans="1:7" ht="15.75" customHeight="1">
      <c r="A2517" s="159" t="s">
        <v>9275</v>
      </c>
      <c r="B2517" s="159" t="s">
        <v>9916</v>
      </c>
      <c r="C2517" s="159" t="s">
        <v>12360</v>
      </c>
      <c r="D2517" s="159" t="s">
        <v>978</v>
      </c>
      <c r="E2517" s="159">
        <v>5</v>
      </c>
      <c r="F2517" s="159" t="s">
        <v>5667</v>
      </c>
      <c r="G2517" s="159" t="s">
        <v>12361</v>
      </c>
    </row>
    <row r="2518" spans="1:7" ht="15.75" customHeight="1">
      <c r="A2518" s="159" t="s">
        <v>9275</v>
      </c>
      <c r="B2518" s="159" t="s">
        <v>9916</v>
      </c>
      <c r="C2518" s="159" t="s">
        <v>10290</v>
      </c>
      <c r="D2518" s="159" t="s">
        <v>978</v>
      </c>
      <c r="E2518" s="159">
        <v>5</v>
      </c>
      <c r="F2518" s="159" t="s">
        <v>5665</v>
      </c>
      <c r="G2518" s="159" t="s">
        <v>10507</v>
      </c>
    </row>
    <row r="2519" spans="1:7" ht="15.75" customHeight="1">
      <c r="A2519" s="159" t="s">
        <v>9275</v>
      </c>
      <c r="B2519" s="159" t="s">
        <v>9918</v>
      </c>
      <c r="C2519" s="159" t="s">
        <v>12330</v>
      </c>
      <c r="D2519" s="159" t="s">
        <v>978</v>
      </c>
      <c r="E2519" s="159">
        <v>5</v>
      </c>
      <c r="F2519" s="159" t="s">
        <v>5665</v>
      </c>
      <c r="G2519" s="159" t="s">
        <v>12331</v>
      </c>
    </row>
    <row r="2520" spans="1:7" ht="15.75" customHeight="1">
      <c r="A2520" s="159" t="s">
        <v>9275</v>
      </c>
      <c r="B2520" s="159" t="s">
        <v>9918</v>
      </c>
      <c r="C2520" s="159" t="s">
        <v>10290</v>
      </c>
      <c r="D2520" s="159" t="s">
        <v>978</v>
      </c>
      <c r="E2520" s="159">
        <v>5</v>
      </c>
      <c r="F2520" s="159" t="s">
        <v>5665</v>
      </c>
      <c r="G2520" s="159" t="s">
        <v>10507</v>
      </c>
    </row>
    <row r="2521" spans="1:7" ht="15.75" customHeight="1">
      <c r="A2521" s="159" t="s">
        <v>9275</v>
      </c>
      <c r="B2521" s="159" t="s">
        <v>9920</v>
      </c>
      <c r="C2521" s="159" t="s">
        <v>12330</v>
      </c>
      <c r="D2521" s="159" t="s">
        <v>978</v>
      </c>
      <c r="E2521" s="159">
        <v>5</v>
      </c>
      <c r="F2521" s="159" t="s">
        <v>5665</v>
      </c>
      <c r="G2521" s="159" t="s">
        <v>12331</v>
      </c>
    </row>
    <row r="2522" spans="1:7" ht="15.75" customHeight="1">
      <c r="A2522" s="159" t="s">
        <v>9275</v>
      </c>
      <c r="B2522" s="159" t="s">
        <v>9920</v>
      </c>
      <c r="C2522" s="159" t="s">
        <v>10290</v>
      </c>
      <c r="D2522" s="159" t="s">
        <v>978</v>
      </c>
      <c r="E2522" s="159">
        <v>5</v>
      </c>
      <c r="F2522" s="159" t="s">
        <v>5665</v>
      </c>
      <c r="G2522" s="159" t="s">
        <v>10507</v>
      </c>
    </row>
    <row r="2523" spans="1:7" ht="15.75" customHeight="1">
      <c r="A2523" s="159" t="s">
        <v>9275</v>
      </c>
      <c r="B2523" s="159" t="s">
        <v>9920</v>
      </c>
      <c r="C2523" s="159" t="s">
        <v>10471</v>
      </c>
      <c r="D2523" s="159" t="s">
        <v>477</v>
      </c>
      <c r="E2523" s="159">
        <v>255</v>
      </c>
      <c r="F2523" s="159" t="s">
        <v>5665</v>
      </c>
      <c r="G2523" s="159" t="s">
        <v>12362</v>
      </c>
    </row>
    <row r="2524" spans="1:7" ht="15.75" customHeight="1">
      <c r="A2524" s="159" t="s">
        <v>9275</v>
      </c>
      <c r="B2524" s="159" t="s">
        <v>9922</v>
      </c>
      <c r="C2524" s="159" t="s">
        <v>3897</v>
      </c>
      <c r="D2524" s="159" t="s">
        <v>484</v>
      </c>
      <c r="E2524" s="159">
        <v>10</v>
      </c>
      <c r="F2524" s="159" t="s">
        <v>5665</v>
      </c>
      <c r="G2524" s="159" t="s">
        <v>10174</v>
      </c>
    </row>
    <row r="2525" spans="1:7" ht="15.75" customHeight="1">
      <c r="A2525" s="159" t="s">
        <v>9275</v>
      </c>
      <c r="B2525" s="159" t="s">
        <v>9922</v>
      </c>
      <c r="C2525" s="159" t="s">
        <v>12363</v>
      </c>
      <c r="D2525" s="159" t="s">
        <v>484</v>
      </c>
      <c r="E2525" s="159">
        <v>10</v>
      </c>
      <c r="F2525" s="159" t="s">
        <v>5665</v>
      </c>
      <c r="G2525" s="159" t="s">
        <v>12364</v>
      </c>
    </row>
    <row r="2526" spans="1:7" ht="15.75" customHeight="1">
      <c r="A2526" s="159" t="s">
        <v>9275</v>
      </c>
      <c r="B2526" s="159" t="s">
        <v>9922</v>
      </c>
      <c r="C2526" s="159" t="s">
        <v>12365</v>
      </c>
      <c r="D2526" s="159" t="s">
        <v>477</v>
      </c>
      <c r="E2526" s="159">
        <v>16</v>
      </c>
      <c r="F2526" s="159" t="s">
        <v>5665</v>
      </c>
      <c r="G2526" s="159" t="s">
        <v>12366</v>
      </c>
    </row>
    <row r="2527" spans="1:7" ht="15.75" customHeight="1">
      <c r="A2527" s="159" t="s">
        <v>9275</v>
      </c>
      <c r="B2527" s="159" t="s">
        <v>9924</v>
      </c>
      <c r="C2527" s="159" t="s">
        <v>12367</v>
      </c>
      <c r="D2527" s="159" t="s">
        <v>1631</v>
      </c>
      <c r="E2527" s="159">
        <v>20</v>
      </c>
      <c r="F2527" s="159" t="s">
        <v>5665</v>
      </c>
      <c r="G2527" s="159" t="s">
        <v>12368</v>
      </c>
    </row>
    <row r="2528" spans="1:7" ht="15.75" customHeight="1">
      <c r="A2528" s="159" t="s">
        <v>9275</v>
      </c>
      <c r="B2528" s="159" t="s">
        <v>9924</v>
      </c>
      <c r="C2528" s="159" t="s">
        <v>10826</v>
      </c>
      <c r="D2528" s="159" t="s">
        <v>484</v>
      </c>
      <c r="E2528" s="159">
        <v>10</v>
      </c>
      <c r="F2528" s="159" t="s">
        <v>5667</v>
      </c>
      <c r="G2528" s="159" t="s">
        <v>10827</v>
      </c>
    </row>
    <row r="2529" spans="1:7" ht="15.75" customHeight="1">
      <c r="A2529" s="159" t="s">
        <v>9275</v>
      </c>
      <c r="B2529" s="159" t="s">
        <v>9924</v>
      </c>
      <c r="C2529" s="159" t="s">
        <v>3940</v>
      </c>
      <c r="D2529" s="159" t="s">
        <v>484</v>
      </c>
      <c r="E2529" s="159">
        <v>10</v>
      </c>
      <c r="F2529" s="159" t="s">
        <v>5667</v>
      </c>
      <c r="G2529" s="159" t="s">
        <v>10747</v>
      </c>
    </row>
    <row r="2530" spans="1:7" ht="15.75" customHeight="1">
      <c r="A2530" s="159" t="s">
        <v>9275</v>
      </c>
      <c r="B2530" s="159" t="s">
        <v>9924</v>
      </c>
      <c r="C2530" s="159" t="s">
        <v>1394</v>
      </c>
      <c r="D2530" s="159" t="s">
        <v>484</v>
      </c>
      <c r="E2530" s="159">
        <v>10</v>
      </c>
      <c r="F2530" s="159" t="s">
        <v>5665</v>
      </c>
      <c r="G2530" s="159" t="s">
        <v>4828</v>
      </c>
    </row>
    <row r="2531" spans="1:7" ht="15.75" customHeight="1">
      <c r="A2531" s="159" t="s">
        <v>9275</v>
      </c>
      <c r="B2531" s="159" t="s">
        <v>9924</v>
      </c>
      <c r="C2531" s="159" t="s">
        <v>10290</v>
      </c>
      <c r="D2531" s="159" t="s">
        <v>978</v>
      </c>
      <c r="E2531" s="159">
        <v>5</v>
      </c>
      <c r="F2531" s="159" t="s">
        <v>5667</v>
      </c>
      <c r="G2531" s="159" t="s">
        <v>10507</v>
      </c>
    </row>
    <row r="2532" spans="1:7" ht="15.75" customHeight="1">
      <c r="A2532" s="159" t="s">
        <v>9275</v>
      </c>
      <c r="B2532" s="159" t="s">
        <v>9924</v>
      </c>
      <c r="C2532" s="159" t="s">
        <v>10936</v>
      </c>
      <c r="D2532" s="159" t="s">
        <v>1413</v>
      </c>
      <c r="E2532" s="159"/>
      <c r="F2532" s="159" t="s">
        <v>5665</v>
      </c>
      <c r="G2532" s="159" t="s">
        <v>10937</v>
      </c>
    </row>
    <row r="2533" spans="1:7" ht="15.75" customHeight="1">
      <c r="A2533" s="159" t="s">
        <v>9275</v>
      </c>
      <c r="B2533" s="159" t="s">
        <v>9926</v>
      </c>
      <c r="C2533" s="159" t="s">
        <v>12369</v>
      </c>
      <c r="D2533" s="159" t="s">
        <v>1631</v>
      </c>
      <c r="E2533" s="159">
        <v>20</v>
      </c>
      <c r="F2533" s="159" t="s">
        <v>5665</v>
      </c>
      <c r="G2533" s="159" t="s">
        <v>12370</v>
      </c>
    </row>
    <row r="2534" spans="1:7" ht="15.75" customHeight="1">
      <c r="A2534" s="159" t="s">
        <v>9275</v>
      </c>
      <c r="B2534" s="159" t="s">
        <v>9926</v>
      </c>
      <c r="C2534" s="159" t="s">
        <v>12371</v>
      </c>
      <c r="D2534" s="159" t="s">
        <v>1413</v>
      </c>
      <c r="E2534" s="159"/>
      <c r="F2534" s="159" t="s">
        <v>5665</v>
      </c>
      <c r="G2534" s="159" t="s">
        <v>12372</v>
      </c>
    </row>
    <row r="2535" spans="1:7" ht="15.75" customHeight="1">
      <c r="A2535" s="159" t="s">
        <v>9275</v>
      </c>
      <c r="B2535" s="159" t="s">
        <v>9926</v>
      </c>
      <c r="C2535" s="159" t="s">
        <v>12373</v>
      </c>
      <c r="D2535" s="159" t="s">
        <v>978</v>
      </c>
      <c r="E2535" s="159">
        <v>5</v>
      </c>
      <c r="F2535" s="159" t="s">
        <v>5665</v>
      </c>
      <c r="G2535" s="159" t="s">
        <v>12374</v>
      </c>
    </row>
    <row r="2536" spans="1:7" ht="15.75" customHeight="1">
      <c r="A2536" s="159" t="s">
        <v>9275</v>
      </c>
      <c r="B2536" s="159" t="s">
        <v>9926</v>
      </c>
      <c r="C2536" s="159" t="s">
        <v>12375</v>
      </c>
      <c r="D2536" s="159" t="s">
        <v>484</v>
      </c>
      <c r="E2536" s="159">
        <v>10</v>
      </c>
      <c r="F2536" s="159" t="s">
        <v>5665</v>
      </c>
      <c r="G2536" s="159" t="s">
        <v>12376</v>
      </c>
    </row>
    <row r="2537" spans="1:7" ht="15.75" customHeight="1">
      <c r="A2537" s="159" t="s">
        <v>9275</v>
      </c>
      <c r="B2537" s="159" t="s">
        <v>9926</v>
      </c>
      <c r="C2537" s="159" t="s">
        <v>12377</v>
      </c>
      <c r="D2537" s="159" t="s">
        <v>484</v>
      </c>
      <c r="E2537" s="159">
        <v>10</v>
      </c>
      <c r="F2537" s="159" t="s">
        <v>5665</v>
      </c>
      <c r="G2537" s="159" t="s">
        <v>12378</v>
      </c>
    </row>
    <row r="2538" spans="1:7" ht="15.75" customHeight="1">
      <c r="A2538" s="159" t="s">
        <v>9275</v>
      </c>
      <c r="B2538" s="159" t="s">
        <v>9926</v>
      </c>
      <c r="C2538" s="159" t="s">
        <v>12379</v>
      </c>
      <c r="D2538" s="159" t="s">
        <v>978</v>
      </c>
      <c r="E2538" s="159">
        <v>5</v>
      </c>
      <c r="F2538" s="159" t="s">
        <v>5665</v>
      </c>
      <c r="G2538" s="159" t="s">
        <v>12380</v>
      </c>
    </row>
    <row r="2539" spans="1:7" ht="15.75" customHeight="1">
      <c r="A2539" s="159" t="s">
        <v>9275</v>
      </c>
      <c r="B2539" s="159" t="s">
        <v>9926</v>
      </c>
      <c r="C2539" s="159" t="s">
        <v>10290</v>
      </c>
      <c r="D2539" s="159" t="s">
        <v>978</v>
      </c>
      <c r="E2539" s="159">
        <v>5</v>
      </c>
      <c r="F2539" s="159" t="s">
        <v>5665</v>
      </c>
      <c r="G2539" s="159" t="s">
        <v>10507</v>
      </c>
    </row>
    <row r="2540" spans="1:7" ht="15.75" customHeight="1">
      <c r="A2540" s="159" t="s">
        <v>9275</v>
      </c>
      <c r="B2540" s="159" t="s">
        <v>9928</v>
      </c>
      <c r="C2540" s="159" t="s">
        <v>12373</v>
      </c>
      <c r="D2540" s="159" t="s">
        <v>978</v>
      </c>
      <c r="E2540" s="159">
        <v>5</v>
      </c>
      <c r="F2540" s="159" t="s">
        <v>5665</v>
      </c>
      <c r="G2540" s="159" t="s">
        <v>12374</v>
      </c>
    </row>
    <row r="2541" spans="1:7" ht="15.75" customHeight="1">
      <c r="A2541" s="159" t="s">
        <v>9275</v>
      </c>
      <c r="B2541" s="159" t="s">
        <v>9928</v>
      </c>
      <c r="C2541" s="159" t="s">
        <v>11464</v>
      </c>
      <c r="D2541" s="159" t="s">
        <v>477</v>
      </c>
      <c r="E2541" s="159">
        <v>64</v>
      </c>
      <c r="F2541" s="159" t="s">
        <v>5665</v>
      </c>
      <c r="G2541" s="159" t="s">
        <v>11465</v>
      </c>
    </row>
    <row r="2542" spans="1:7" ht="15.75" customHeight="1">
      <c r="A2542" s="159" t="s">
        <v>9275</v>
      </c>
      <c r="B2542" s="159" t="s">
        <v>9928</v>
      </c>
      <c r="C2542" s="159" t="s">
        <v>12381</v>
      </c>
      <c r="D2542" s="159" t="s">
        <v>978</v>
      </c>
      <c r="E2542" s="159">
        <v>5</v>
      </c>
      <c r="F2542" s="159" t="s">
        <v>5665</v>
      </c>
      <c r="G2542" s="159" t="s">
        <v>12382</v>
      </c>
    </row>
    <row r="2543" spans="1:7" ht="15.75" customHeight="1">
      <c r="A2543" s="159" t="s">
        <v>9275</v>
      </c>
      <c r="B2543" s="159" t="s">
        <v>9930</v>
      </c>
      <c r="C2543" s="159" t="s">
        <v>3897</v>
      </c>
      <c r="D2543" s="159" t="s">
        <v>484</v>
      </c>
      <c r="E2543" s="159">
        <v>10</v>
      </c>
      <c r="F2543" s="159" t="s">
        <v>5665</v>
      </c>
      <c r="G2543" s="159" t="s">
        <v>325</v>
      </c>
    </row>
    <row r="2544" spans="1:7" ht="15.75" customHeight="1">
      <c r="A2544" s="159" t="s">
        <v>9275</v>
      </c>
      <c r="B2544" s="159" t="s">
        <v>9930</v>
      </c>
      <c r="C2544" s="159" t="s">
        <v>12383</v>
      </c>
      <c r="D2544" s="159" t="s">
        <v>1974</v>
      </c>
      <c r="E2544" s="159"/>
      <c r="F2544" s="159" t="s">
        <v>5667</v>
      </c>
      <c r="G2544" s="159" t="s">
        <v>6156</v>
      </c>
    </row>
    <row r="2545" spans="1:7" ht="15.75" customHeight="1">
      <c r="A2545" s="159" t="s">
        <v>9275</v>
      </c>
      <c r="B2545" s="159" t="s">
        <v>9930</v>
      </c>
      <c r="C2545" s="159" t="s">
        <v>10290</v>
      </c>
      <c r="D2545" s="159" t="s">
        <v>978</v>
      </c>
      <c r="E2545" s="159">
        <v>5</v>
      </c>
      <c r="F2545" s="159" t="s">
        <v>5667</v>
      </c>
      <c r="G2545" s="159" t="s">
        <v>10507</v>
      </c>
    </row>
    <row r="2546" spans="1:7" ht="15.75" customHeight="1">
      <c r="A2546" s="159" t="s">
        <v>9275</v>
      </c>
      <c r="B2546" s="159" t="s">
        <v>9930</v>
      </c>
      <c r="C2546" s="159" t="s">
        <v>1394</v>
      </c>
      <c r="D2546" s="159" t="s">
        <v>484</v>
      </c>
      <c r="E2546" s="159">
        <v>10</v>
      </c>
      <c r="F2546" s="159" t="s">
        <v>5667</v>
      </c>
      <c r="G2546" s="159" t="s">
        <v>4828</v>
      </c>
    </row>
    <row r="2547" spans="1:7" ht="15.75" customHeight="1">
      <c r="A2547" s="159" t="s">
        <v>9275</v>
      </c>
      <c r="B2547" s="159" t="s">
        <v>9930</v>
      </c>
      <c r="C2547" s="159" t="s">
        <v>1823</v>
      </c>
      <c r="D2547" s="159" t="s">
        <v>477</v>
      </c>
      <c r="E2547" s="159">
        <v>255</v>
      </c>
      <c r="F2547" s="159" t="s">
        <v>5667</v>
      </c>
      <c r="G2547" s="159" t="s">
        <v>4930</v>
      </c>
    </row>
    <row r="2548" spans="1:7" ht="15.75" customHeight="1">
      <c r="A2548" s="159" t="s">
        <v>9275</v>
      </c>
      <c r="B2548" s="159" t="s">
        <v>9930</v>
      </c>
      <c r="C2548" s="159" t="s">
        <v>12384</v>
      </c>
      <c r="D2548" s="159" t="s">
        <v>481</v>
      </c>
      <c r="E2548" s="159">
        <v>12</v>
      </c>
      <c r="F2548" s="159" t="s">
        <v>5665</v>
      </c>
      <c r="G2548" s="159" t="s">
        <v>12385</v>
      </c>
    </row>
    <row r="2549" spans="1:7" ht="15.75" customHeight="1">
      <c r="A2549" s="159" t="s">
        <v>9275</v>
      </c>
      <c r="B2549" s="159" t="s">
        <v>9930</v>
      </c>
      <c r="C2549" s="159" t="s">
        <v>10692</v>
      </c>
      <c r="D2549" s="159" t="s">
        <v>484</v>
      </c>
      <c r="E2549" s="159">
        <v>10</v>
      </c>
      <c r="F2549" s="159" t="s">
        <v>5665</v>
      </c>
      <c r="G2549" s="159" t="s">
        <v>12386</v>
      </c>
    </row>
    <row r="2550" spans="1:7" ht="15.75" customHeight="1">
      <c r="A2550" s="159" t="s">
        <v>9275</v>
      </c>
      <c r="B2550" s="159" t="s">
        <v>9930</v>
      </c>
      <c r="C2550" s="159" t="s">
        <v>12387</v>
      </c>
      <c r="D2550" s="159" t="s">
        <v>978</v>
      </c>
      <c r="E2550" s="159">
        <v>5</v>
      </c>
      <c r="F2550" s="159" t="s">
        <v>5665</v>
      </c>
      <c r="G2550" s="159" t="s">
        <v>12388</v>
      </c>
    </row>
    <row r="2551" spans="1:7" ht="15.75" customHeight="1">
      <c r="A2551" s="159" t="s">
        <v>9275</v>
      </c>
      <c r="B2551" s="159" t="s">
        <v>9932</v>
      </c>
      <c r="C2551" s="159" t="s">
        <v>3897</v>
      </c>
      <c r="D2551" s="159" t="s">
        <v>484</v>
      </c>
      <c r="E2551" s="159">
        <v>10</v>
      </c>
      <c r="F2551" s="159" t="s">
        <v>5665</v>
      </c>
      <c r="G2551" s="159" t="s">
        <v>325</v>
      </c>
    </row>
    <row r="2552" spans="1:7" ht="15.75" customHeight="1">
      <c r="A2552" s="159" t="s">
        <v>9275</v>
      </c>
      <c r="B2552" s="159" t="s">
        <v>9932</v>
      </c>
      <c r="C2552" s="159" t="s">
        <v>12383</v>
      </c>
      <c r="D2552" s="159" t="s">
        <v>1974</v>
      </c>
      <c r="E2552" s="159"/>
      <c r="F2552" s="159" t="s">
        <v>5667</v>
      </c>
      <c r="G2552" s="159" t="s">
        <v>6156</v>
      </c>
    </row>
    <row r="2553" spans="1:7" ht="15.75" customHeight="1">
      <c r="A2553" s="159" t="s">
        <v>9275</v>
      </c>
      <c r="B2553" s="159" t="s">
        <v>9932</v>
      </c>
      <c r="C2553" s="159" t="s">
        <v>10290</v>
      </c>
      <c r="D2553" s="159" t="s">
        <v>978</v>
      </c>
      <c r="E2553" s="159">
        <v>5</v>
      </c>
      <c r="F2553" s="159" t="s">
        <v>5667</v>
      </c>
      <c r="G2553" s="159" t="s">
        <v>10507</v>
      </c>
    </row>
    <row r="2554" spans="1:7" ht="15.75" customHeight="1">
      <c r="A2554" s="159" t="s">
        <v>9275</v>
      </c>
      <c r="B2554" s="159" t="s">
        <v>9932</v>
      </c>
      <c r="C2554" s="159" t="s">
        <v>1394</v>
      </c>
      <c r="D2554" s="159" t="s">
        <v>484</v>
      </c>
      <c r="E2554" s="159">
        <v>10</v>
      </c>
      <c r="F2554" s="159" t="s">
        <v>5667</v>
      </c>
      <c r="G2554" s="159" t="s">
        <v>4828</v>
      </c>
    </row>
    <row r="2555" spans="1:7" ht="15.75" customHeight="1">
      <c r="A2555" s="159" t="s">
        <v>9275</v>
      </c>
      <c r="B2555" s="159" t="s">
        <v>9932</v>
      </c>
      <c r="C2555" s="159" t="s">
        <v>1823</v>
      </c>
      <c r="D2555" s="159" t="s">
        <v>477</v>
      </c>
      <c r="E2555" s="159">
        <v>255</v>
      </c>
      <c r="F2555" s="159" t="s">
        <v>5667</v>
      </c>
      <c r="G2555" s="159" t="s">
        <v>4930</v>
      </c>
    </row>
    <row r="2556" spans="1:7" ht="15.75" customHeight="1">
      <c r="A2556" s="159" t="s">
        <v>9275</v>
      </c>
      <c r="B2556" s="159" t="s">
        <v>9932</v>
      </c>
      <c r="C2556" s="159" t="s">
        <v>12384</v>
      </c>
      <c r="D2556" s="159" t="s">
        <v>481</v>
      </c>
      <c r="E2556" s="159">
        <v>12</v>
      </c>
      <c r="F2556" s="159" t="s">
        <v>5665</v>
      </c>
      <c r="G2556" s="159" t="s">
        <v>12385</v>
      </c>
    </row>
    <row r="2557" spans="1:7" ht="15.75" customHeight="1">
      <c r="A2557" s="159" t="s">
        <v>9275</v>
      </c>
      <c r="B2557" s="159" t="s">
        <v>9932</v>
      </c>
      <c r="C2557" s="159" t="s">
        <v>10692</v>
      </c>
      <c r="D2557" s="159" t="s">
        <v>484</v>
      </c>
      <c r="E2557" s="159">
        <v>10</v>
      </c>
      <c r="F2557" s="159" t="s">
        <v>5665</v>
      </c>
      <c r="G2557" s="159" t="s">
        <v>12386</v>
      </c>
    </row>
    <row r="2558" spans="1:7" ht="15.75" customHeight="1">
      <c r="A2558" s="159" t="s">
        <v>9275</v>
      </c>
      <c r="B2558" s="159" t="s">
        <v>9932</v>
      </c>
      <c r="C2558" s="159" t="s">
        <v>12387</v>
      </c>
      <c r="D2558" s="159" t="s">
        <v>978</v>
      </c>
      <c r="E2558" s="159">
        <v>5</v>
      </c>
      <c r="F2558" s="159" t="s">
        <v>5665</v>
      </c>
      <c r="G2558" s="159" t="s">
        <v>12388</v>
      </c>
    </row>
    <row r="2559" spans="1:7" ht="15.75" customHeight="1">
      <c r="A2559" s="159" t="s">
        <v>9275</v>
      </c>
      <c r="B2559" s="159" t="s">
        <v>9934</v>
      </c>
      <c r="C2559" s="159" t="s">
        <v>3897</v>
      </c>
      <c r="D2559" s="159" t="s">
        <v>484</v>
      </c>
      <c r="E2559" s="159">
        <v>10</v>
      </c>
      <c r="F2559" s="159" t="s">
        <v>5665</v>
      </c>
      <c r="G2559" s="159" t="s">
        <v>325</v>
      </c>
    </row>
    <row r="2560" spans="1:7" ht="15.75" customHeight="1">
      <c r="A2560" s="159" t="s">
        <v>9275</v>
      </c>
      <c r="B2560" s="159" t="s">
        <v>9934</v>
      </c>
      <c r="C2560" s="159" t="s">
        <v>12383</v>
      </c>
      <c r="D2560" s="159" t="s">
        <v>1974</v>
      </c>
      <c r="E2560" s="159"/>
      <c r="F2560" s="159" t="s">
        <v>5667</v>
      </c>
      <c r="G2560" s="159" t="s">
        <v>6156</v>
      </c>
    </row>
    <row r="2561" spans="1:7" ht="15.75" customHeight="1">
      <c r="A2561" s="159" t="s">
        <v>9275</v>
      </c>
      <c r="B2561" s="159" t="s">
        <v>9934</v>
      </c>
      <c r="C2561" s="159" t="s">
        <v>10290</v>
      </c>
      <c r="D2561" s="159" t="s">
        <v>978</v>
      </c>
      <c r="E2561" s="159">
        <v>5</v>
      </c>
      <c r="F2561" s="159" t="s">
        <v>5667</v>
      </c>
      <c r="G2561" s="159" t="s">
        <v>10507</v>
      </c>
    </row>
    <row r="2562" spans="1:7" ht="15.75" customHeight="1">
      <c r="A2562" s="159" t="s">
        <v>9275</v>
      </c>
      <c r="B2562" s="159" t="s">
        <v>9934</v>
      </c>
      <c r="C2562" s="159" t="s">
        <v>1394</v>
      </c>
      <c r="D2562" s="159" t="s">
        <v>484</v>
      </c>
      <c r="E2562" s="159">
        <v>10</v>
      </c>
      <c r="F2562" s="159" t="s">
        <v>5667</v>
      </c>
      <c r="G2562" s="159" t="s">
        <v>4828</v>
      </c>
    </row>
    <row r="2563" spans="1:7" ht="15.75" customHeight="1">
      <c r="A2563" s="159" t="s">
        <v>9275</v>
      </c>
      <c r="B2563" s="159" t="s">
        <v>9934</v>
      </c>
      <c r="C2563" s="159" t="s">
        <v>1823</v>
      </c>
      <c r="D2563" s="159" t="s">
        <v>477</v>
      </c>
      <c r="E2563" s="159">
        <v>255</v>
      </c>
      <c r="F2563" s="159" t="s">
        <v>5667</v>
      </c>
      <c r="G2563" s="159" t="s">
        <v>4930</v>
      </c>
    </row>
    <row r="2564" spans="1:7" ht="15.75" customHeight="1">
      <c r="A2564" s="159" t="s">
        <v>9275</v>
      </c>
      <c r="B2564" s="159" t="s">
        <v>9934</v>
      </c>
      <c r="C2564" s="159" t="s">
        <v>12384</v>
      </c>
      <c r="D2564" s="159" t="s">
        <v>481</v>
      </c>
      <c r="E2564" s="159">
        <v>12</v>
      </c>
      <c r="F2564" s="159" t="s">
        <v>5665</v>
      </c>
      <c r="G2564" s="159" t="s">
        <v>12385</v>
      </c>
    </row>
    <row r="2565" spans="1:7" ht="15.75" customHeight="1">
      <c r="A2565" s="159" t="s">
        <v>9275</v>
      </c>
      <c r="B2565" s="159" t="s">
        <v>9934</v>
      </c>
      <c r="C2565" s="159" t="s">
        <v>10692</v>
      </c>
      <c r="D2565" s="159" t="s">
        <v>484</v>
      </c>
      <c r="E2565" s="159">
        <v>10</v>
      </c>
      <c r="F2565" s="159" t="s">
        <v>5665</v>
      </c>
      <c r="G2565" s="159" t="s">
        <v>12386</v>
      </c>
    </row>
    <row r="2566" spans="1:7" ht="15.75" customHeight="1">
      <c r="A2566" s="159" t="s">
        <v>9275</v>
      </c>
      <c r="B2566" s="159" t="s">
        <v>9934</v>
      </c>
      <c r="C2566" s="159" t="s">
        <v>12387</v>
      </c>
      <c r="D2566" s="159" t="s">
        <v>978</v>
      </c>
      <c r="E2566" s="159">
        <v>5</v>
      </c>
      <c r="F2566" s="159" t="s">
        <v>5665</v>
      </c>
      <c r="G2566" s="159" t="s">
        <v>12388</v>
      </c>
    </row>
    <row r="2567" spans="1:7" ht="15.75" customHeight="1">
      <c r="A2567" s="159" t="s">
        <v>9275</v>
      </c>
      <c r="B2567" s="159" t="s">
        <v>9936</v>
      </c>
      <c r="C2567" s="159" t="s">
        <v>12367</v>
      </c>
      <c r="D2567" s="159" t="s">
        <v>1631</v>
      </c>
      <c r="E2567" s="159">
        <v>20</v>
      </c>
      <c r="F2567" s="159" t="s">
        <v>5665</v>
      </c>
      <c r="G2567" s="159" t="s">
        <v>12368</v>
      </c>
    </row>
    <row r="2568" spans="1:7" ht="15.75" customHeight="1">
      <c r="A2568" s="159" t="s">
        <v>9275</v>
      </c>
      <c r="B2568" s="159" t="s">
        <v>9936</v>
      </c>
      <c r="C2568" s="159" t="s">
        <v>10826</v>
      </c>
      <c r="D2568" s="159" t="s">
        <v>484</v>
      </c>
      <c r="E2568" s="159">
        <v>10</v>
      </c>
      <c r="F2568" s="159" t="s">
        <v>5667</v>
      </c>
      <c r="G2568" s="159" t="s">
        <v>10827</v>
      </c>
    </row>
    <row r="2569" spans="1:7" ht="15.75" customHeight="1">
      <c r="A2569" s="159" t="s">
        <v>9275</v>
      </c>
      <c r="B2569" s="159" t="s">
        <v>9936</v>
      </c>
      <c r="C2569" s="159" t="s">
        <v>3940</v>
      </c>
      <c r="D2569" s="159" t="s">
        <v>484</v>
      </c>
      <c r="E2569" s="159">
        <v>10</v>
      </c>
      <c r="F2569" s="159" t="s">
        <v>5667</v>
      </c>
      <c r="G2569" s="159" t="s">
        <v>10747</v>
      </c>
    </row>
    <row r="2570" spans="1:7" ht="15.75" customHeight="1">
      <c r="A2570" s="159" t="s">
        <v>9275</v>
      </c>
      <c r="B2570" s="159" t="s">
        <v>9936</v>
      </c>
      <c r="C2570" s="159" t="s">
        <v>1394</v>
      </c>
      <c r="D2570" s="159" t="s">
        <v>484</v>
      </c>
      <c r="E2570" s="159">
        <v>10</v>
      </c>
      <c r="F2570" s="159" t="s">
        <v>5665</v>
      </c>
      <c r="G2570" s="159" t="s">
        <v>4828</v>
      </c>
    </row>
    <row r="2571" spans="1:7" ht="15.75" customHeight="1">
      <c r="A2571" s="159" t="s">
        <v>9275</v>
      </c>
      <c r="B2571" s="159" t="s">
        <v>9936</v>
      </c>
      <c r="C2571" s="159" t="s">
        <v>10290</v>
      </c>
      <c r="D2571" s="159" t="s">
        <v>978</v>
      </c>
      <c r="E2571" s="159">
        <v>5</v>
      </c>
      <c r="F2571" s="159" t="s">
        <v>5667</v>
      </c>
      <c r="G2571" s="159" t="s">
        <v>10507</v>
      </c>
    </row>
    <row r="2572" spans="1:7" ht="15.75" customHeight="1">
      <c r="A2572" s="159" t="s">
        <v>9275</v>
      </c>
      <c r="B2572" s="159" t="s">
        <v>9936</v>
      </c>
      <c r="C2572" s="159" t="s">
        <v>10936</v>
      </c>
      <c r="D2572" s="159" t="s">
        <v>1413</v>
      </c>
      <c r="E2572" s="159"/>
      <c r="F2572" s="159" t="s">
        <v>5665</v>
      </c>
      <c r="G2572" s="159" t="s">
        <v>10937</v>
      </c>
    </row>
    <row r="2573" spans="1:7" ht="15.75" customHeight="1">
      <c r="A2573" s="159" t="s">
        <v>9275</v>
      </c>
      <c r="B2573" s="159" t="s">
        <v>9936</v>
      </c>
      <c r="C2573" s="159" t="s">
        <v>5797</v>
      </c>
      <c r="D2573" s="159" t="s">
        <v>477</v>
      </c>
      <c r="E2573" s="159">
        <v>64</v>
      </c>
      <c r="F2573" s="159" t="s">
        <v>5667</v>
      </c>
      <c r="G2573" s="159" t="s">
        <v>11261</v>
      </c>
    </row>
    <row r="2574" spans="1:7" ht="15.75" customHeight="1">
      <c r="A2574" s="159" t="s">
        <v>9275</v>
      </c>
      <c r="B2574" s="159" t="s">
        <v>9938</v>
      </c>
      <c r="C2574" s="159" t="s">
        <v>10287</v>
      </c>
      <c r="D2574" s="159" t="s">
        <v>484</v>
      </c>
      <c r="E2574" s="159">
        <v>10</v>
      </c>
      <c r="F2574" s="159" t="s">
        <v>5665</v>
      </c>
      <c r="G2574" s="159" t="s">
        <v>10237</v>
      </c>
    </row>
    <row r="2575" spans="1:7" ht="15.75" customHeight="1">
      <c r="A2575" s="159" t="s">
        <v>9275</v>
      </c>
      <c r="B2575" s="159" t="s">
        <v>9938</v>
      </c>
      <c r="C2575" s="159" t="s">
        <v>5609</v>
      </c>
      <c r="D2575" s="159" t="s">
        <v>477</v>
      </c>
      <c r="E2575" s="159">
        <v>255</v>
      </c>
      <c r="F2575" s="159" t="s">
        <v>5667</v>
      </c>
      <c r="G2575" s="159" t="s">
        <v>12389</v>
      </c>
    </row>
    <row r="2576" spans="1:7" ht="15.75" customHeight="1">
      <c r="A2576" s="159" t="s">
        <v>9275</v>
      </c>
      <c r="B2576" s="159" t="s">
        <v>9938</v>
      </c>
      <c r="C2576" s="159" t="s">
        <v>10388</v>
      </c>
      <c r="D2576" s="159" t="s">
        <v>484</v>
      </c>
      <c r="E2576" s="159">
        <v>10</v>
      </c>
      <c r="F2576" s="159" t="s">
        <v>5667</v>
      </c>
      <c r="G2576" s="159" t="s">
        <v>12390</v>
      </c>
    </row>
    <row r="2577" spans="1:7" ht="15.75" customHeight="1">
      <c r="A2577" s="159" t="s">
        <v>9275</v>
      </c>
      <c r="B2577" s="159" t="s">
        <v>9938</v>
      </c>
      <c r="C2577" s="159" t="s">
        <v>10242</v>
      </c>
      <c r="D2577" s="159" t="s">
        <v>1413</v>
      </c>
      <c r="E2577" s="159"/>
      <c r="F2577" s="159" t="s">
        <v>5665</v>
      </c>
      <c r="G2577" s="159" t="s">
        <v>10282</v>
      </c>
    </row>
    <row r="2578" spans="1:7" ht="15.75" customHeight="1">
      <c r="A2578" s="159" t="s">
        <v>9275</v>
      </c>
      <c r="B2578" s="159" t="s">
        <v>9940</v>
      </c>
      <c r="C2578" s="159" t="s">
        <v>10287</v>
      </c>
      <c r="D2578" s="159" t="s">
        <v>484</v>
      </c>
      <c r="E2578" s="159">
        <v>10</v>
      </c>
      <c r="F2578" s="159" t="s">
        <v>5665</v>
      </c>
      <c r="G2578" s="159" t="s">
        <v>12391</v>
      </c>
    </row>
    <row r="2579" spans="1:7" ht="15.75" customHeight="1">
      <c r="A2579" s="159" t="s">
        <v>9275</v>
      </c>
      <c r="B2579" s="159" t="s">
        <v>9940</v>
      </c>
      <c r="C2579" s="159" t="s">
        <v>156</v>
      </c>
      <c r="D2579" s="159" t="s">
        <v>477</v>
      </c>
      <c r="E2579" s="159">
        <v>255</v>
      </c>
      <c r="F2579" s="159" t="s">
        <v>5667</v>
      </c>
      <c r="G2579" s="159" t="s">
        <v>12392</v>
      </c>
    </row>
    <row r="2580" spans="1:7" ht="15.75" customHeight="1">
      <c r="A2580" s="159" t="s">
        <v>9275</v>
      </c>
      <c r="B2580" s="159" t="s">
        <v>9940</v>
      </c>
      <c r="C2580" s="159" t="s">
        <v>5607</v>
      </c>
      <c r="D2580" s="159" t="s">
        <v>477</v>
      </c>
      <c r="E2580" s="159">
        <v>255</v>
      </c>
      <c r="F2580" s="159" t="s">
        <v>5667</v>
      </c>
      <c r="G2580" s="159" t="s">
        <v>12393</v>
      </c>
    </row>
    <row r="2581" spans="1:7" ht="15.75" customHeight="1">
      <c r="A2581" s="159" t="s">
        <v>9275</v>
      </c>
      <c r="B2581" s="159" t="s">
        <v>9940</v>
      </c>
      <c r="C2581" s="159" t="s">
        <v>12394</v>
      </c>
      <c r="D2581" s="159" t="s">
        <v>477</v>
      </c>
      <c r="E2581" s="159">
        <v>255</v>
      </c>
      <c r="F2581" s="159" t="s">
        <v>5667</v>
      </c>
      <c r="G2581" s="159" t="s">
        <v>12395</v>
      </c>
    </row>
    <row r="2582" spans="1:7" ht="15.75" customHeight="1">
      <c r="A2582" s="159" t="s">
        <v>9275</v>
      </c>
      <c r="B2582" s="159" t="s">
        <v>9940</v>
      </c>
      <c r="C2582" s="159" t="s">
        <v>5776</v>
      </c>
      <c r="D2582" s="159" t="s">
        <v>477</v>
      </c>
      <c r="E2582" s="159">
        <v>255</v>
      </c>
      <c r="F2582" s="159" t="s">
        <v>5667</v>
      </c>
      <c r="G2582" s="159" t="s">
        <v>12396</v>
      </c>
    </row>
    <row r="2583" spans="1:7" ht="15.75" customHeight="1">
      <c r="A2583" s="159" t="s">
        <v>9275</v>
      </c>
      <c r="B2583" s="159" t="s">
        <v>9940</v>
      </c>
      <c r="C2583" s="159" t="s">
        <v>10242</v>
      </c>
      <c r="D2583" s="159" t="s">
        <v>1413</v>
      </c>
      <c r="E2583" s="159"/>
      <c r="F2583" s="159" t="s">
        <v>5665</v>
      </c>
      <c r="G2583" s="159" t="s">
        <v>10282</v>
      </c>
    </row>
    <row r="2584" spans="1:7" ht="15.75" customHeight="1">
      <c r="A2584" s="159" t="s">
        <v>9275</v>
      </c>
      <c r="B2584" s="159" t="s">
        <v>9942</v>
      </c>
      <c r="C2584" s="159" t="s">
        <v>10287</v>
      </c>
      <c r="D2584" s="159" t="s">
        <v>484</v>
      </c>
      <c r="E2584" s="159">
        <v>10</v>
      </c>
      <c r="F2584" s="159" t="s">
        <v>5665</v>
      </c>
      <c r="G2584" s="159" t="s">
        <v>10237</v>
      </c>
    </row>
    <row r="2585" spans="1:7" ht="15.75" customHeight="1">
      <c r="A2585" s="159" t="s">
        <v>9275</v>
      </c>
      <c r="B2585" s="159" t="s">
        <v>9942</v>
      </c>
      <c r="C2585" s="159" t="s">
        <v>3940</v>
      </c>
      <c r="D2585" s="159" t="s">
        <v>484</v>
      </c>
      <c r="E2585" s="159">
        <v>10</v>
      </c>
      <c r="F2585" s="159" t="s">
        <v>5667</v>
      </c>
      <c r="G2585" s="159" t="s">
        <v>10747</v>
      </c>
    </row>
    <row r="2586" spans="1:7" ht="15.75" customHeight="1">
      <c r="A2586" s="159" t="s">
        <v>9275</v>
      </c>
      <c r="B2586" s="159" t="s">
        <v>9942</v>
      </c>
      <c r="C2586" s="159" t="s">
        <v>12397</v>
      </c>
      <c r="D2586" s="159" t="s">
        <v>481</v>
      </c>
      <c r="E2586" s="159">
        <v>20</v>
      </c>
      <c r="F2586" s="159" t="s">
        <v>5667</v>
      </c>
      <c r="G2586" s="159"/>
    </row>
    <row r="2587" spans="1:7" ht="15.75" customHeight="1">
      <c r="A2587" s="159" t="s">
        <v>9275</v>
      </c>
      <c r="B2587" s="159" t="s">
        <v>9942</v>
      </c>
      <c r="C2587" s="159" t="s">
        <v>12398</v>
      </c>
      <c r="D2587" s="159" t="s">
        <v>481</v>
      </c>
      <c r="E2587" s="159">
        <v>20</v>
      </c>
      <c r="F2587" s="159" t="s">
        <v>5667</v>
      </c>
      <c r="G2587" s="159"/>
    </row>
    <row r="2588" spans="1:7" ht="15.75" customHeight="1">
      <c r="A2588" s="159" t="s">
        <v>9275</v>
      </c>
      <c r="B2588" s="159" t="s">
        <v>9942</v>
      </c>
      <c r="C2588" s="159" t="s">
        <v>11576</v>
      </c>
      <c r="D2588" s="159" t="s">
        <v>484</v>
      </c>
      <c r="E2588" s="159">
        <v>10</v>
      </c>
      <c r="F2588" s="159" t="s">
        <v>5665</v>
      </c>
      <c r="G2588" s="159" t="s">
        <v>12399</v>
      </c>
    </row>
    <row r="2589" spans="1:7" ht="15.75" customHeight="1">
      <c r="A2589" s="159" t="s">
        <v>9275</v>
      </c>
      <c r="B2589" s="159" t="s">
        <v>9942</v>
      </c>
      <c r="C2589" s="159" t="s">
        <v>10242</v>
      </c>
      <c r="D2589" s="159" t="s">
        <v>1413</v>
      </c>
      <c r="E2589" s="159"/>
      <c r="F2589" s="159" t="s">
        <v>5665</v>
      </c>
      <c r="G2589" s="159" t="s">
        <v>10282</v>
      </c>
    </row>
    <row r="2590" spans="1:7" ht="15.75" customHeight="1">
      <c r="A2590" s="159" t="s">
        <v>9275</v>
      </c>
      <c r="B2590" s="159" t="s">
        <v>9944</v>
      </c>
      <c r="C2590" s="159" t="s">
        <v>10287</v>
      </c>
      <c r="D2590" s="159" t="s">
        <v>484</v>
      </c>
      <c r="E2590" s="159">
        <v>10</v>
      </c>
      <c r="F2590" s="159" t="s">
        <v>5665</v>
      </c>
      <c r="G2590" s="159" t="s">
        <v>10237</v>
      </c>
    </row>
    <row r="2591" spans="1:7" ht="15.75" customHeight="1">
      <c r="A2591" s="159" t="s">
        <v>9275</v>
      </c>
      <c r="B2591" s="159" t="s">
        <v>9944</v>
      </c>
      <c r="C2591" s="159" t="s">
        <v>5609</v>
      </c>
      <c r="D2591" s="159" t="s">
        <v>477</v>
      </c>
      <c r="E2591" s="159">
        <v>255</v>
      </c>
      <c r="F2591" s="159" t="s">
        <v>5667</v>
      </c>
      <c r="G2591" s="159" t="s">
        <v>12400</v>
      </c>
    </row>
    <row r="2592" spans="1:7" ht="15.75" customHeight="1">
      <c r="A2592" s="159" t="s">
        <v>9275</v>
      </c>
      <c r="B2592" s="159" t="s">
        <v>9944</v>
      </c>
      <c r="C2592" s="159" t="s">
        <v>12401</v>
      </c>
      <c r="D2592" s="159" t="s">
        <v>477</v>
      </c>
      <c r="E2592" s="159">
        <v>255</v>
      </c>
      <c r="F2592" s="159" t="s">
        <v>5667</v>
      </c>
      <c r="G2592" s="159" t="s">
        <v>12402</v>
      </c>
    </row>
    <row r="2593" spans="1:7" ht="15.75" customHeight="1">
      <c r="A2593" s="159" t="s">
        <v>9275</v>
      </c>
      <c r="B2593" s="159" t="s">
        <v>9944</v>
      </c>
      <c r="C2593" s="159" t="s">
        <v>10242</v>
      </c>
      <c r="D2593" s="159" t="s">
        <v>1413</v>
      </c>
      <c r="E2593" s="159"/>
      <c r="F2593" s="159" t="s">
        <v>5665</v>
      </c>
      <c r="G2593" s="159" t="s">
        <v>10282</v>
      </c>
    </row>
    <row r="2594" spans="1:7" ht="15.75" customHeight="1">
      <c r="A2594" s="159" t="s">
        <v>9275</v>
      </c>
      <c r="B2594" s="159" t="s">
        <v>9946</v>
      </c>
      <c r="C2594" s="159" t="s">
        <v>10287</v>
      </c>
      <c r="D2594" s="159" t="s">
        <v>484</v>
      </c>
      <c r="E2594" s="159">
        <v>10</v>
      </c>
      <c r="F2594" s="159" t="s">
        <v>5665</v>
      </c>
      <c r="G2594" s="159" t="s">
        <v>10237</v>
      </c>
    </row>
    <row r="2595" spans="1:7" ht="15.75" customHeight="1">
      <c r="A2595" s="159" t="s">
        <v>9275</v>
      </c>
      <c r="B2595" s="159" t="s">
        <v>9946</v>
      </c>
      <c r="C2595" s="159" t="s">
        <v>5609</v>
      </c>
      <c r="D2595" s="159" t="s">
        <v>477</v>
      </c>
      <c r="E2595" s="159">
        <v>255</v>
      </c>
      <c r="F2595" s="159" t="s">
        <v>5667</v>
      </c>
      <c r="G2595" s="159" t="s">
        <v>10732</v>
      </c>
    </row>
    <row r="2596" spans="1:7" ht="15.75" customHeight="1">
      <c r="A2596" s="159" t="s">
        <v>9275</v>
      </c>
      <c r="B2596" s="159" t="s">
        <v>9946</v>
      </c>
      <c r="C2596" s="159" t="s">
        <v>12401</v>
      </c>
      <c r="D2596" s="159" t="s">
        <v>477</v>
      </c>
      <c r="E2596" s="159">
        <v>255</v>
      </c>
      <c r="F2596" s="159" t="s">
        <v>5667</v>
      </c>
      <c r="G2596" s="159" t="s">
        <v>12402</v>
      </c>
    </row>
    <row r="2597" spans="1:7" ht="15.75" customHeight="1">
      <c r="A2597" s="159" t="s">
        <v>9275</v>
      </c>
      <c r="B2597" s="159" t="s">
        <v>9946</v>
      </c>
      <c r="C2597" s="159" t="s">
        <v>10242</v>
      </c>
      <c r="D2597" s="159" t="s">
        <v>1413</v>
      </c>
      <c r="E2597" s="159"/>
      <c r="F2597" s="159" t="s">
        <v>5665</v>
      </c>
      <c r="G2597" s="159" t="s">
        <v>10282</v>
      </c>
    </row>
    <row r="2598" spans="1:7" ht="15.75" customHeight="1">
      <c r="A2598" s="159" t="s">
        <v>9275</v>
      </c>
      <c r="B2598" s="159" t="s">
        <v>9948</v>
      </c>
      <c r="C2598" s="159" t="s">
        <v>11528</v>
      </c>
      <c r="D2598" s="159" t="s">
        <v>1631</v>
      </c>
      <c r="E2598" s="159">
        <v>20</v>
      </c>
      <c r="F2598" s="159" t="s">
        <v>5665</v>
      </c>
      <c r="G2598" s="159" t="s">
        <v>12349</v>
      </c>
    </row>
    <row r="2599" spans="1:7" ht="15.75" customHeight="1">
      <c r="A2599" s="159" t="s">
        <v>9275</v>
      </c>
      <c r="B2599" s="159" t="s">
        <v>9948</v>
      </c>
      <c r="C2599" s="159" t="s">
        <v>10190</v>
      </c>
      <c r="D2599" s="159" t="s">
        <v>1413</v>
      </c>
      <c r="E2599" s="159"/>
      <c r="F2599" s="159" t="s">
        <v>5665</v>
      </c>
      <c r="G2599" s="159" t="s">
        <v>12403</v>
      </c>
    </row>
    <row r="2600" spans="1:7" ht="15.75" customHeight="1">
      <c r="A2600" s="159" t="s">
        <v>9275</v>
      </c>
      <c r="B2600" s="159" t="s">
        <v>9948</v>
      </c>
      <c r="C2600" s="159" t="s">
        <v>10287</v>
      </c>
      <c r="D2600" s="159" t="s">
        <v>978</v>
      </c>
      <c r="E2600" s="159">
        <v>5</v>
      </c>
      <c r="F2600" s="159" t="s">
        <v>5665</v>
      </c>
      <c r="G2600" s="159" t="s">
        <v>10237</v>
      </c>
    </row>
    <row r="2601" spans="1:7" ht="15.75" customHeight="1">
      <c r="A2601" s="159" t="s">
        <v>9275</v>
      </c>
      <c r="B2601" s="159" t="s">
        <v>9948</v>
      </c>
      <c r="C2601" s="159" t="s">
        <v>12348</v>
      </c>
      <c r="D2601" s="159" t="s">
        <v>484</v>
      </c>
      <c r="E2601" s="159">
        <v>10</v>
      </c>
      <c r="F2601" s="159" t="s">
        <v>5665</v>
      </c>
      <c r="G2601" s="159" t="s">
        <v>4828</v>
      </c>
    </row>
    <row r="2602" spans="1:7" ht="15.75" customHeight="1">
      <c r="A2602" s="159" t="s">
        <v>9275</v>
      </c>
      <c r="B2602" s="159" t="s">
        <v>9948</v>
      </c>
      <c r="C2602" s="159" t="s">
        <v>12404</v>
      </c>
      <c r="D2602" s="159" t="s">
        <v>978</v>
      </c>
      <c r="E2602" s="159">
        <v>5</v>
      </c>
      <c r="F2602" s="159" t="s">
        <v>5665</v>
      </c>
      <c r="G2602" s="159" t="s">
        <v>12405</v>
      </c>
    </row>
    <row r="2603" spans="1:7" ht="15.75" customHeight="1">
      <c r="A2603" s="159" t="s">
        <v>9275</v>
      </c>
      <c r="B2603" s="159" t="s">
        <v>9950</v>
      </c>
      <c r="C2603" s="159" t="s">
        <v>12406</v>
      </c>
      <c r="D2603" s="159" t="s">
        <v>1631</v>
      </c>
      <c r="E2603" s="159">
        <v>20</v>
      </c>
      <c r="F2603" s="159" t="s">
        <v>5665</v>
      </c>
      <c r="G2603" s="159" t="s">
        <v>12407</v>
      </c>
    </row>
    <row r="2604" spans="1:7" ht="15.75" customHeight="1">
      <c r="A2604" s="159" t="s">
        <v>9275</v>
      </c>
      <c r="B2604" s="159" t="s">
        <v>9950</v>
      </c>
      <c r="C2604" s="159" t="s">
        <v>11528</v>
      </c>
      <c r="D2604" s="159" t="s">
        <v>1631</v>
      </c>
      <c r="E2604" s="159">
        <v>20</v>
      </c>
      <c r="F2604" s="159" t="s">
        <v>5665</v>
      </c>
      <c r="G2604" s="159" t="s">
        <v>12349</v>
      </c>
    </row>
    <row r="2605" spans="1:7" ht="15.75" customHeight="1">
      <c r="A2605" s="159" t="s">
        <v>9275</v>
      </c>
      <c r="B2605" s="159" t="s">
        <v>9950</v>
      </c>
      <c r="C2605" s="159" t="s">
        <v>10290</v>
      </c>
      <c r="D2605" s="159" t="s">
        <v>978</v>
      </c>
      <c r="E2605" s="159">
        <v>5</v>
      </c>
      <c r="F2605" s="159" t="s">
        <v>5667</v>
      </c>
      <c r="G2605" s="159" t="s">
        <v>10507</v>
      </c>
    </row>
    <row r="2606" spans="1:7" ht="15.75" customHeight="1">
      <c r="A2606" s="159" t="s">
        <v>9275</v>
      </c>
      <c r="B2606" s="159" t="s">
        <v>9950</v>
      </c>
      <c r="C2606" s="159" t="s">
        <v>5676</v>
      </c>
      <c r="D2606" s="159" t="s">
        <v>477</v>
      </c>
      <c r="E2606" s="159">
        <v>255</v>
      </c>
      <c r="F2606" s="159" t="s">
        <v>5665</v>
      </c>
      <c r="G2606" s="159" t="s">
        <v>5186</v>
      </c>
    </row>
    <row r="2607" spans="1:7" ht="15.75" customHeight="1">
      <c r="A2607" s="159" t="s">
        <v>9275</v>
      </c>
      <c r="B2607" s="159" t="s">
        <v>9950</v>
      </c>
      <c r="C2607" s="159" t="s">
        <v>12408</v>
      </c>
      <c r="D2607" s="159" t="s">
        <v>3893</v>
      </c>
      <c r="E2607" s="159">
        <v>65535</v>
      </c>
      <c r="F2607" s="159" t="s">
        <v>5665</v>
      </c>
      <c r="G2607" s="159" t="s">
        <v>12409</v>
      </c>
    </row>
    <row r="2608" spans="1:7" ht="15.75" customHeight="1">
      <c r="A2608" s="159" t="s">
        <v>9275</v>
      </c>
      <c r="B2608" s="159" t="s">
        <v>9950</v>
      </c>
      <c r="C2608" s="159" t="s">
        <v>12410</v>
      </c>
      <c r="D2608" s="159" t="s">
        <v>477</v>
      </c>
      <c r="E2608" s="159">
        <v>128</v>
      </c>
      <c r="F2608" s="159" t="s">
        <v>5665</v>
      </c>
      <c r="G2608" s="159" t="s">
        <v>12411</v>
      </c>
    </row>
    <row r="2609" spans="1:7" ht="15.75" customHeight="1">
      <c r="A2609" s="159" t="s">
        <v>9275</v>
      </c>
      <c r="B2609" s="159" t="s">
        <v>9950</v>
      </c>
      <c r="C2609" s="159" t="s">
        <v>3940</v>
      </c>
      <c r="D2609" s="159" t="s">
        <v>484</v>
      </c>
      <c r="E2609" s="159">
        <v>10</v>
      </c>
      <c r="F2609" s="159" t="s">
        <v>5667</v>
      </c>
      <c r="G2609" s="159" t="s">
        <v>10747</v>
      </c>
    </row>
    <row r="2610" spans="1:7" ht="15.75" customHeight="1">
      <c r="A2610" s="159" t="s">
        <v>9275</v>
      </c>
      <c r="B2610" s="159" t="s">
        <v>9952</v>
      </c>
      <c r="C2610" s="159" t="s">
        <v>10287</v>
      </c>
      <c r="D2610" s="159" t="s">
        <v>978</v>
      </c>
      <c r="E2610" s="159">
        <v>5</v>
      </c>
      <c r="F2610" s="159" t="s">
        <v>5665</v>
      </c>
      <c r="G2610" s="159" t="s">
        <v>12412</v>
      </c>
    </row>
    <row r="2611" spans="1:7" ht="15.75" customHeight="1">
      <c r="A2611" s="159" t="s">
        <v>9275</v>
      </c>
      <c r="B2611" s="159" t="s">
        <v>9952</v>
      </c>
      <c r="C2611" s="159" t="s">
        <v>12336</v>
      </c>
      <c r="D2611" s="159" t="s">
        <v>477</v>
      </c>
      <c r="E2611" s="159">
        <v>32</v>
      </c>
      <c r="F2611" s="159" t="s">
        <v>5665</v>
      </c>
      <c r="G2611" s="159" t="s">
        <v>12413</v>
      </c>
    </row>
    <row r="2612" spans="1:7" ht="15.75" customHeight="1">
      <c r="A2612" s="159" t="s">
        <v>9275</v>
      </c>
      <c r="B2612" s="159" t="s">
        <v>9954</v>
      </c>
      <c r="C2612" s="159" t="s">
        <v>12353</v>
      </c>
      <c r="D2612" s="159" t="s">
        <v>1631</v>
      </c>
      <c r="E2612" s="159">
        <v>19</v>
      </c>
      <c r="F2612" s="159" t="s">
        <v>5665</v>
      </c>
      <c r="G2612" s="159" t="s">
        <v>12414</v>
      </c>
    </row>
    <row r="2613" spans="1:7" ht="15.75" customHeight="1">
      <c r="A2613" s="159" t="s">
        <v>9275</v>
      </c>
      <c r="B2613" s="159" t="s">
        <v>9954</v>
      </c>
      <c r="C2613" s="159" t="s">
        <v>12348</v>
      </c>
      <c r="D2613" s="159" t="s">
        <v>1631</v>
      </c>
      <c r="E2613" s="159">
        <v>19</v>
      </c>
      <c r="F2613" s="159" t="s">
        <v>5665</v>
      </c>
      <c r="G2613" s="159" t="s">
        <v>4828</v>
      </c>
    </row>
    <row r="2614" spans="1:7" ht="15.75" customHeight="1">
      <c r="A2614" s="159" t="s">
        <v>9275</v>
      </c>
      <c r="B2614" s="159" t="s">
        <v>9954</v>
      </c>
      <c r="C2614" s="159" t="s">
        <v>11625</v>
      </c>
      <c r="D2614" s="159" t="s">
        <v>978</v>
      </c>
      <c r="E2614" s="159">
        <v>5</v>
      </c>
      <c r="F2614" s="159" t="s">
        <v>5665</v>
      </c>
      <c r="G2614" s="159" t="s">
        <v>12415</v>
      </c>
    </row>
    <row r="2615" spans="1:7" ht="15.75" customHeight="1">
      <c r="A2615" s="159" t="s">
        <v>9275</v>
      </c>
      <c r="B2615" s="159" t="s">
        <v>9954</v>
      </c>
      <c r="C2615" s="159" t="s">
        <v>12416</v>
      </c>
      <c r="D2615" s="159" t="s">
        <v>978</v>
      </c>
      <c r="E2615" s="159">
        <v>5</v>
      </c>
      <c r="F2615" s="159" t="s">
        <v>5665</v>
      </c>
      <c r="G2615" s="159" t="s">
        <v>12417</v>
      </c>
    </row>
    <row r="2616" spans="1:7" ht="15.75" customHeight="1">
      <c r="A2616" s="159" t="s">
        <v>9275</v>
      </c>
      <c r="B2616" s="159" t="s">
        <v>9954</v>
      </c>
      <c r="C2616" s="159" t="s">
        <v>12418</v>
      </c>
      <c r="D2616" s="159" t="s">
        <v>978</v>
      </c>
      <c r="E2616" s="159">
        <v>5</v>
      </c>
      <c r="F2616" s="159" t="s">
        <v>5665</v>
      </c>
      <c r="G2616" s="159" t="s">
        <v>12419</v>
      </c>
    </row>
    <row r="2617" spans="1:7" ht="15.75" customHeight="1">
      <c r="A2617" s="159" t="s">
        <v>9275</v>
      </c>
      <c r="B2617" s="159" t="s">
        <v>9954</v>
      </c>
      <c r="C2617" s="159" t="s">
        <v>10290</v>
      </c>
      <c r="D2617" s="159" t="s">
        <v>978</v>
      </c>
      <c r="E2617" s="159">
        <v>5</v>
      </c>
      <c r="F2617" s="159" t="s">
        <v>5665</v>
      </c>
      <c r="G2617" s="159" t="s">
        <v>10507</v>
      </c>
    </row>
    <row r="2618" spans="1:7" ht="15.75" customHeight="1">
      <c r="A2618" s="159" t="s">
        <v>9275</v>
      </c>
      <c r="B2618" s="159" t="s">
        <v>9956</v>
      </c>
      <c r="C2618" s="159" t="s">
        <v>12404</v>
      </c>
      <c r="D2618" s="159" t="s">
        <v>978</v>
      </c>
      <c r="E2618" s="159">
        <v>5</v>
      </c>
      <c r="F2618" s="159" t="s">
        <v>5665</v>
      </c>
      <c r="G2618" s="159" t="s">
        <v>12420</v>
      </c>
    </row>
    <row r="2619" spans="1:7" ht="15.75" customHeight="1">
      <c r="A2619" s="159" t="s">
        <v>9275</v>
      </c>
      <c r="B2619" s="159" t="s">
        <v>9956</v>
      </c>
      <c r="C2619" s="159" t="s">
        <v>12421</v>
      </c>
      <c r="D2619" s="159" t="s">
        <v>477</v>
      </c>
      <c r="E2619" s="159">
        <v>32</v>
      </c>
      <c r="F2619" s="159" t="s">
        <v>5665</v>
      </c>
      <c r="G2619" s="159" t="s">
        <v>12405</v>
      </c>
    </row>
    <row r="2620" spans="1:7" ht="15.75" customHeight="1">
      <c r="A2620" s="159" t="s">
        <v>9275</v>
      </c>
      <c r="B2620" s="159" t="s">
        <v>9958</v>
      </c>
      <c r="C2620" s="159" t="s">
        <v>11528</v>
      </c>
      <c r="D2620" s="159" t="s">
        <v>1631</v>
      </c>
      <c r="E2620" s="159">
        <v>20</v>
      </c>
      <c r="F2620" s="159" t="s">
        <v>5665</v>
      </c>
      <c r="G2620" s="159" t="s">
        <v>12349</v>
      </c>
    </row>
    <row r="2621" spans="1:7" ht="15.75" customHeight="1">
      <c r="A2621" s="159" t="s">
        <v>9275</v>
      </c>
      <c r="B2621" s="159" t="s">
        <v>9958</v>
      </c>
      <c r="C2621" s="159" t="s">
        <v>10290</v>
      </c>
      <c r="D2621" s="159" t="s">
        <v>978</v>
      </c>
      <c r="E2621" s="159">
        <v>5</v>
      </c>
      <c r="F2621" s="159" t="s">
        <v>5665</v>
      </c>
      <c r="G2621" s="159" t="s">
        <v>10507</v>
      </c>
    </row>
    <row r="2622" spans="1:7" ht="15.75" customHeight="1">
      <c r="A2622" s="159" t="s">
        <v>9275</v>
      </c>
      <c r="B2622" s="159" t="s">
        <v>9960</v>
      </c>
      <c r="C2622" s="159" t="s">
        <v>3897</v>
      </c>
      <c r="D2622" s="159" t="s">
        <v>484</v>
      </c>
      <c r="E2622" s="159">
        <v>10</v>
      </c>
      <c r="F2622" s="159" t="s">
        <v>5665</v>
      </c>
      <c r="G2622" s="159" t="s">
        <v>325</v>
      </c>
    </row>
    <row r="2623" spans="1:7" ht="15.75" customHeight="1">
      <c r="A2623" s="159" t="s">
        <v>9275</v>
      </c>
      <c r="B2623" s="159" t="s">
        <v>9960</v>
      </c>
      <c r="C2623" s="159" t="s">
        <v>12383</v>
      </c>
      <c r="D2623" s="159" t="s">
        <v>1974</v>
      </c>
      <c r="E2623" s="159"/>
      <c r="F2623" s="159" t="s">
        <v>5667</v>
      </c>
      <c r="G2623" s="159" t="s">
        <v>6156</v>
      </c>
    </row>
    <row r="2624" spans="1:7" ht="15.75" customHeight="1">
      <c r="A2624" s="159" t="s">
        <v>9275</v>
      </c>
      <c r="B2624" s="159" t="s">
        <v>9960</v>
      </c>
      <c r="C2624" s="159" t="s">
        <v>10290</v>
      </c>
      <c r="D2624" s="159" t="s">
        <v>978</v>
      </c>
      <c r="E2624" s="159">
        <v>5</v>
      </c>
      <c r="F2624" s="159" t="s">
        <v>5667</v>
      </c>
      <c r="G2624" s="159" t="s">
        <v>10507</v>
      </c>
    </row>
    <row r="2625" spans="1:7" ht="15.75" customHeight="1">
      <c r="A2625" s="159" t="s">
        <v>9275</v>
      </c>
      <c r="B2625" s="159" t="s">
        <v>9960</v>
      </c>
      <c r="C2625" s="159" t="s">
        <v>1394</v>
      </c>
      <c r="D2625" s="159" t="s">
        <v>484</v>
      </c>
      <c r="E2625" s="159">
        <v>10</v>
      </c>
      <c r="F2625" s="159" t="s">
        <v>5667</v>
      </c>
      <c r="G2625" s="159" t="s">
        <v>4828</v>
      </c>
    </row>
    <row r="2626" spans="1:7" ht="15.75" customHeight="1">
      <c r="A2626" s="159" t="s">
        <v>9275</v>
      </c>
      <c r="B2626" s="159" t="s">
        <v>9960</v>
      </c>
      <c r="C2626" s="159" t="s">
        <v>1823</v>
      </c>
      <c r="D2626" s="159" t="s">
        <v>477</v>
      </c>
      <c r="E2626" s="159">
        <v>255</v>
      </c>
      <c r="F2626" s="159" t="s">
        <v>5667</v>
      </c>
      <c r="G2626" s="159" t="s">
        <v>4930</v>
      </c>
    </row>
    <row r="2627" spans="1:7" ht="15.75" customHeight="1">
      <c r="A2627" s="159" t="s">
        <v>9275</v>
      </c>
      <c r="B2627" s="159" t="s">
        <v>9960</v>
      </c>
      <c r="C2627" s="159" t="s">
        <v>12384</v>
      </c>
      <c r="D2627" s="159" t="s">
        <v>481</v>
      </c>
      <c r="E2627" s="159">
        <v>12</v>
      </c>
      <c r="F2627" s="159" t="s">
        <v>5665</v>
      </c>
      <c r="G2627" s="159" t="s">
        <v>12385</v>
      </c>
    </row>
    <row r="2628" spans="1:7" ht="15.75" customHeight="1">
      <c r="A2628" s="159" t="s">
        <v>9275</v>
      </c>
      <c r="B2628" s="159" t="s">
        <v>9960</v>
      </c>
      <c r="C2628" s="159" t="s">
        <v>10690</v>
      </c>
      <c r="D2628" s="159" t="s">
        <v>481</v>
      </c>
      <c r="E2628" s="159">
        <v>12</v>
      </c>
      <c r="F2628" s="159" t="s">
        <v>5665</v>
      </c>
      <c r="G2628" s="159" t="s">
        <v>12422</v>
      </c>
    </row>
    <row r="2629" spans="1:7" ht="15.75" customHeight="1">
      <c r="A2629" s="159" t="s">
        <v>9275</v>
      </c>
      <c r="B2629" s="159" t="s">
        <v>9960</v>
      </c>
      <c r="C2629" s="159" t="s">
        <v>12387</v>
      </c>
      <c r="D2629" s="159" t="s">
        <v>978</v>
      </c>
      <c r="E2629" s="159">
        <v>5</v>
      </c>
      <c r="F2629" s="159" t="s">
        <v>5665</v>
      </c>
      <c r="G2629" s="159" t="s">
        <v>12388</v>
      </c>
    </row>
    <row r="2630" spans="1:7" ht="15.75" customHeight="1">
      <c r="A2630" s="159" t="s">
        <v>9275</v>
      </c>
      <c r="B2630" s="159" t="s">
        <v>9962</v>
      </c>
      <c r="C2630" s="159" t="s">
        <v>3897</v>
      </c>
      <c r="D2630" s="159" t="s">
        <v>484</v>
      </c>
      <c r="E2630" s="159">
        <v>10</v>
      </c>
      <c r="F2630" s="159" t="s">
        <v>5665</v>
      </c>
      <c r="G2630" s="159" t="s">
        <v>325</v>
      </c>
    </row>
    <row r="2631" spans="1:7" ht="15.75" customHeight="1">
      <c r="A2631" s="159" t="s">
        <v>9275</v>
      </c>
      <c r="B2631" s="159" t="s">
        <v>9962</v>
      </c>
      <c r="C2631" s="159" t="s">
        <v>12383</v>
      </c>
      <c r="D2631" s="159" t="s">
        <v>1974</v>
      </c>
      <c r="E2631" s="159"/>
      <c r="F2631" s="159" t="s">
        <v>5667</v>
      </c>
      <c r="G2631" s="159" t="s">
        <v>6156</v>
      </c>
    </row>
    <row r="2632" spans="1:7" ht="15.75" customHeight="1">
      <c r="A2632" s="159" t="s">
        <v>9275</v>
      </c>
      <c r="B2632" s="159" t="s">
        <v>9962</v>
      </c>
      <c r="C2632" s="159" t="s">
        <v>10290</v>
      </c>
      <c r="D2632" s="159" t="s">
        <v>978</v>
      </c>
      <c r="E2632" s="159">
        <v>5</v>
      </c>
      <c r="F2632" s="159" t="s">
        <v>5667</v>
      </c>
      <c r="G2632" s="159" t="s">
        <v>10507</v>
      </c>
    </row>
    <row r="2633" spans="1:7" ht="15.75" customHeight="1">
      <c r="A2633" s="159" t="s">
        <v>9275</v>
      </c>
      <c r="B2633" s="159" t="s">
        <v>9962</v>
      </c>
      <c r="C2633" s="159" t="s">
        <v>1394</v>
      </c>
      <c r="D2633" s="159" t="s">
        <v>484</v>
      </c>
      <c r="E2633" s="159">
        <v>10</v>
      </c>
      <c r="F2633" s="159" t="s">
        <v>5667</v>
      </c>
      <c r="G2633" s="159" t="s">
        <v>4828</v>
      </c>
    </row>
    <row r="2634" spans="1:7" ht="15.75" customHeight="1">
      <c r="A2634" s="159" t="s">
        <v>9275</v>
      </c>
      <c r="B2634" s="159" t="s">
        <v>9962</v>
      </c>
      <c r="C2634" s="159" t="s">
        <v>1823</v>
      </c>
      <c r="D2634" s="159" t="s">
        <v>477</v>
      </c>
      <c r="E2634" s="159">
        <v>255</v>
      </c>
      <c r="F2634" s="159" t="s">
        <v>5667</v>
      </c>
      <c r="G2634" s="159" t="s">
        <v>4930</v>
      </c>
    </row>
    <row r="2635" spans="1:7" ht="15.75" customHeight="1">
      <c r="A2635" s="159" t="s">
        <v>9275</v>
      </c>
      <c r="B2635" s="159" t="s">
        <v>9962</v>
      </c>
      <c r="C2635" s="159" t="s">
        <v>12384</v>
      </c>
      <c r="D2635" s="159" t="s">
        <v>481</v>
      </c>
      <c r="E2635" s="159">
        <v>12</v>
      </c>
      <c r="F2635" s="159" t="s">
        <v>5665</v>
      </c>
      <c r="G2635" s="159" t="s">
        <v>12385</v>
      </c>
    </row>
    <row r="2636" spans="1:7" ht="15.75" customHeight="1">
      <c r="A2636" s="159" t="s">
        <v>9275</v>
      </c>
      <c r="B2636" s="159" t="s">
        <v>9962</v>
      </c>
      <c r="C2636" s="159" t="s">
        <v>10690</v>
      </c>
      <c r="D2636" s="159" t="s">
        <v>481</v>
      </c>
      <c r="E2636" s="159">
        <v>12</v>
      </c>
      <c r="F2636" s="159" t="s">
        <v>5665</v>
      </c>
      <c r="G2636" s="159" t="s">
        <v>12422</v>
      </c>
    </row>
    <row r="2637" spans="1:7" ht="15.75" customHeight="1">
      <c r="A2637" s="159" t="s">
        <v>9275</v>
      </c>
      <c r="B2637" s="159" t="s">
        <v>9962</v>
      </c>
      <c r="C2637" s="159" t="s">
        <v>12387</v>
      </c>
      <c r="D2637" s="159" t="s">
        <v>978</v>
      </c>
      <c r="E2637" s="159">
        <v>5</v>
      </c>
      <c r="F2637" s="159" t="s">
        <v>5665</v>
      </c>
      <c r="G2637" s="159" t="s">
        <v>12388</v>
      </c>
    </row>
    <row r="2638" spans="1:7" ht="15.75" customHeight="1">
      <c r="A2638" s="159" t="s">
        <v>9275</v>
      </c>
      <c r="B2638" s="159" t="s">
        <v>9964</v>
      </c>
      <c r="C2638" s="159" t="s">
        <v>3897</v>
      </c>
      <c r="D2638" s="159" t="s">
        <v>484</v>
      </c>
      <c r="E2638" s="159">
        <v>10</v>
      </c>
      <c r="F2638" s="159" t="s">
        <v>5665</v>
      </c>
      <c r="G2638" s="159" t="s">
        <v>325</v>
      </c>
    </row>
    <row r="2639" spans="1:7" ht="15.75" customHeight="1">
      <c r="A2639" s="159" t="s">
        <v>9275</v>
      </c>
      <c r="B2639" s="159" t="s">
        <v>9964</v>
      </c>
      <c r="C2639" s="159" t="s">
        <v>12383</v>
      </c>
      <c r="D2639" s="159" t="s">
        <v>1974</v>
      </c>
      <c r="E2639" s="159"/>
      <c r="F2639" s="159" t="s">
        <v>5667</v>
      </c>
      <c r="G2639" s="159" t="s">
        <v>6156</v>
      </c>
    </row>
    <row r="2640" spans="1:7" ht="15.75" customHeight="1">
      <c r="A2640" s="159" t="s">
        <v>9275</v>
      </c>
      <c r="B2640" s="159" t="s">
        <v>9964</v>
      </c>
      <c r="C2640" s="159" t="s">
        <v>10290</v>
      </c>
      <c r="D2640" s="159" t="s">
        <v>978</v>
      </c>
      <c r="E2640" s="159">
        <v>5</v>
      </c>
      <c r="F2640" s="159" t="s">
        <v>5667</v>
      </c>
      <c r="G2640" s="159" t="s">
        <v>10507</v>
      </c>
    </row>
    <row r="2641" spans="1:7" ht="15.75" customHeight="1">
      <c r="A2641" s="159" t="s">
        <v>9275</v>
      </c>
      <c r="B2641" s="159" t="s">
        <v>9964</v>
      </c>
      <c r="C2641" s="159" t="s">
        <v>1394</v>
      </c>
      <c r="D2641" s="159" t="s">
        <v>484</v>
      </c>
      <c r="E2641" s="159">
        <v>10</v>
      </c>
      <c r="F2641" s="159" t="s">
        <v>5667</v>
      </c>
      <c r="G2641" s="159" t="s">
        <v>4828</v>
      </c>
    </row>
    <row r="2642" spans="1:7" ht="15.75" customHeight="1">
      <c r="A2642" s="159" t="s">
        <v>9275</v>
      </c>
      <c r="B2642" s="159" t="s">
        <v>9964</v>
      </c>
      <c r="C2642" s="159" t="s">
        <v>1823</v>
      </c>
      <c r="D2642" s="159" t="s">
        <v>477</v>
      </c>
      <c r="E2642" s="159">
        <v>255</v>
      </c>
      <c r="F2642" s="159" t="s">
        <v>5667</v>
      </c>
      <c r="G2642" s="159" t="s">
        <v>4930</v>
      </c>
    </row>
    <row r="2643" spans="1:7" ht="15.75" customHeight="1">
      <c r="A2643" s="159" t="s">
        <v>9275</v>
      </c>
      <c r="B2643" s="159" t="s">
        <v>9964</v>
      </c>
      <c r="C2643" s="159" t="s">
        <v>12384</v>
      </c>
      <c r="D2643" s="159" t="s">
        <v>481</v>
      </c>
      <c r="E2643" s="159">
        <v>12</v>
      </c>
      <c r="F2643" s="159" t="s">
        <v>5665</v>
      </c>
      <c r="G2643" s="159" t="s">
        <v>12385</v>
      </c>
    </row>
    <row r="2644" spans="1:7" ht="15.75" customHeight="1">
      <c r="A2644" s="159" t="s">
        <v>9275</v>
      </c>
      <c r="B2644" s="159" t="s">
        <v>9964</v>
      </c>
      <c r="C2644" s="159" t="s">
        <v>10690</v>
      </c>
      <c r="D2644" s="159" t="s">
        <v>481</v>
      </c>
      <c r="E2644" s="159">
        <v>12</v>
      </c>
      <c r="F2644" s="159" t="s">
        <v>5665</v>
      </c>
      <c r="G2644" s="159" t="s">
        <v>12422</v>
      </c>
    </row>
    <row r="2645" spans="1:7" ht="15.75" customHeight="1">
      <c r="A2645" s="159" t="s">
        <v>9275</v>
      </c>
      <c r="B2645" s="159" t="s">
        <v>9964</v>
      </c>
      <c r="C2645" s="159" t="s">
        <v>12387</v>
      </c>
      <c r="D2645" s="159" t="s">
        <v>978</v>
      </c>
      <c r="E2645" s="159">
        <v>5</v>
      </c>
      <c r="F2645" s="159" t="s">
        <v>5665</v>
      </c>
      <c r="G2645" s="159" t="s">
        <v>12388</v>
      </c>
    </row>
    <row r="2646" spans="1:7" ht="15.75" customHeight="1">
      <c r="A2646" s="159" t="s">
        <v>9275</v>
      </c>
      <c r="B2646" s="159" t="s">
        <v>9966</v>
      </c>
      <c r="C2646" s="159" t="s">
        <v>10287</v>
      </c>
      <c r="D2646" s="159" t="s">
        <v>484</v>
      </c>
      <c r="E2646" s="159">
        <v>10</v>
      </c>
      <c r="F2646" s="159" t="s">
        <v>5665</v>
      </c>
      <c r="G2646" s="159" t="s">
        <v>10237</v>
      </c>
    </row>
    <row r="2647" spans="1:7" ht="15.75" customHeight="1">
      <c r="A2647" s="159" t="s">
        <v>9275</v>
      </c>
      <c r="B2647" s="159" t="s">
        <v>9966</v>
      </c>
      <c r="C2647" s="159" t="s">
        <v>10290</v>
      </c>
      <c r="D2647" s="159" t="s">
        <v>978</v>
      </c>
      <c r="E2647" s="159">
        <v>5</v>
      </c>
      <c r="F2647" s="159" t="s">
        <v>5667</v>
      </c>
      <c r="G2647" s="159" t="s">
        <v>10507</v>
      </c>
    </row>
    <row r="2648" spans="1:7" ht="15.75" customHeight="1">
      <c r="A2648" s="159" t="s">
        <v>9275</v>
      </c>
      <c r="B2648" s="159" t="s">
        <v>9966</v>
      </c>
      <c r="C2648" s="159" t="s">
        <v>12423</v>
      </c>
      <c r="D2648" s="159" t="s">
        <v>481</v>
      </c>
      <c r="E2648" s="159">
        <v>20</v>
      </c>
      <c r="F2648" s="159" t="s">
        <v>5667</v>
      </c>
      <c r="G2648" s="159" t="s">
        <v>12424</v>
      </c>
    </row>
    <row r="2649" spans="1:7" ht="15.75" customHeight="1">
      <c r="A2649" s="159" t="s">
        <v>9275</v>
      </c>
      <c r="B2649" s="159" t="s">
        <v>9966</v>
      </c>
      <c r="C2649" s="159" t="s">
        <v>12179</v>
      </c>
      <c r="D2649" s="159" t="s">
        <v>481</v>
      </c>
      <c r="E2649" s="159">
        <v>20</v>
      </c>
      <c r="F2649" s="159" t="s">
        <v>5667</v>
      </c>
      <c r="G2649" s="159" t="s">
        <v>12180</v>
      </c>
    </row>
    <row r="2650" spans="1:7" ht="15.75" customHeight="1">
      <c r="A2650" s="159" t="s">
        <v>9275</v>
      </c>
      <c r="B2650" s="159" t="s">
        <v>9966</v>
      </c>
      <c r="C2650" s="159" t="s">
        <v>12425</v>
      </c>
      <c r="D2650" s="159" t="s">
        <v>481</v>
      </c>
      <c r="E2650" s="159">
        <v>20</v>
      </c>
      <c r="F2650" s="159" t="s">
        <v>5667</v>
      </c>
      <c r="G2650" s="159" t="s">
        <v>12426</v>
      </c>
    </row>
    <row r="2651" spans="1:7" ht="15.75" customHeight="1">
      <c r="A2651" s="159" t="s">
        <v>9275</v>
      </c>
      <c r="B2651" s="159" t="s">
        <v>9966</v>
      </c>
      <c r="C2651" s="159" t="s">
        <v>12181</v>
      </c>
      <c r="D2651" s="159" t="s">
        <v>481</v>
      </c>
      <c r="E2651" s="159">
        <v>20</v>
      </c>
      <c r="F2651" s="159" t="s">
        <v>5667</v>
      </c>
      <c r="G2651" s="159" t="s">
        <v>12182</v>
      </c>
    </row>
    <row r="2652" spans="1:7" ht="15.75" customHeight="1">
      <c r="A2652" s="159" t="s">
        <v>9275</v>
      </c>
      <c r="B2652" s="159" t="s">
        <v>9966</v>
      </c>
      <c r="C2652" s="159" t="s">
        <v>12427</v>
      </c>
      <c r="D2652" s="159" t="s">
        <v>481</v>
      </c>
      <c r="E2652" s="159">
        <v>20</v>
      </c>
      <c r="F2652" s="159" t="s">
        <v>5667</v>
      </c>
      <c r="G2652" s="159" t="s">
        <v>12428</v>
      </c>
    </row>
    <row r="2653" spans="1:7" ht="15.75" customHeight="1">
      <c r="A2653" s="159" t="s">
        <v>9275</v>
      </c>
      <c r="B2653" s="159" t="s">
        <v>9966</v>
      </c>
      <c r="C2653" s="159" t="s">
        <v>12076</v>
      </c>
      <c r="D2653" s="159" t="s">
        <v>481</v>
      </c>
      <c r="E2653" s="159">
        <v>20</v>
      </c>
      <c r="F2653" s="159" t="s">
        <v>5667</v>
      </c>
      <c r="G2653" s="159" t="s">
        <v>9</v>
      </c>
    </row>
    <row r="2654" spans="1:7" ht="15.75" customHeight="1">
      <c r="A2654" s="159" t="s">
        <v>9275</v>
      </c>
      <c r="B2654" s="159" t="s">
        <v>9966</v>
      </c>
      <c r="C2654" s="159" t="s">
        <v>12429</v>
      </c>
      <c r="D2654" s="159" t="s">
        <v>481</v>
      </c>
      <c r="E2654" s="159">
        <v>20</v>
      </c>
      <c r="F2654" s="159" t="s">
        <v>5667</v>
      </c>
      <c r="G2654" s="159" t="s">
        <v>12430</v>
      </c>
    </row>
    <row r="2655" spans="1:7" ht="15.75" customHeight="1">
      <c r="A2655" s="159" t="s">
        <v>9275</v>
      </c>
      <c r="B2655" s="159" t="s">
        <v>9966</v>
      </c>
      <c r="C2655" s="159" t="s">
        <v>12431</v>
      </c>
      <c r="D2655" s="159" t="s">
        <v>481</v>
      </c>
      <c r="E2655" s="159">
        <v>20</v>
      </c>
      <c r="F2655" s="159" t="s">
        <v>5667</v>
      </c>
      <c r="G2655" s="159" t="s">
        <v>12432</v>
      </c>
    </row>
    <row r="2656" spans="1:7" ht="15.75" customHeight="1">
      <c r="A2656" s="159" t="s">
        <v>9275</v>
      </c>
      <c r="B2656" s="159" t="s">
        <v>9966</v>
      </c>
      <c r="C2656" s="159" t="s">
        <v>12173</v>
      </c>
      <c r="D2656" s="159" t="s">
        <v>481</v>
      </c>
      <c r="E2656" s="159">
        <v>20</v>
      </c>
      <c r="F2656" s="159" t="s">
        <v>5667</v>
      </c>
      <c r="G2656" s="159" t="s">
        <v>12174</v>
      </c>
    </row>
    <row r="2657" spans="1:7" ht="15.75" customHeight="1">
      <c r="A2657" s="159" t="s">
        <v>9275</v>
      </c>
      <c r="B2657" s="159" t="s">
        <v>9966</v>
      </c>
      <c r="C2657" s="159" t="s">
        <v>12193</v>
      </c>
      <c r="D2657" s="159" t="s">
        <v>481</v>
      </c>
      <c r="E2657" s="159">
        <v>20</v>
      </c>
      <c r="F2657" s="159" t="s">
        <v>5667</v>
      </c>
      <c r="G2657" s="159" t="s">
        <v>12194</v>
      </c>
    </row>
    <row r="2658" spans="1:7" ht="15.75" customHeight="1">
      <c r="A2658" s="159" t="s">
        <v>9275</v>
      </c>
      <c r="B2658" s="159" t="s">
        <v>9966</v>
      </c>
      <c r="C2658" s="159" t="s">
        <v>12433</v>
      </c>
      <c r="D2658" s="159" t="s">
        <v>481</v>
      </c>
      <c r="E2658" s="159">
        <v>20</v>
      </c>
      <c r="F2658" s="159" t="s">
        <v>5667</v>
      </c>
      <c r="G2658" s="159" t="s">
        <v>12434</v>
      </c>
    </row>
    <row r="2659" spans="1:7" ht="15.75" customHeight="1">
      <c r="A2659" s="159" t="s">
        <v>9275</v>
      </c>
      <c r="B2659" s="159" t="s">
        <v>9966</v>
      </c>
      <c r="C2659" s="159" t="s">
        <v>12175</v>
      </c>
      <c r="D2659" s="159" t="s">
        <v>481</v>
      </c>
      <c r="E2659" s="159">
        <v>20</v>
      </c>
      <c r="F2659" s="159" t="s">
        <v>5667</v>
      </c>
      <c r="G2659" s="159" t="s">
        <v>12176</v>
      </c>
    </row>
    <row r="2660" spans="1:7" ht="15.75" customHeight="1">
      <c r="A2660" s="159" t="s">
        <v>9275</v>
      </c>
      <c r="B2660" s="159" t="s">
        <v>9966</v>
      </c>
      <c r="C2660" s="159" t="s">
        <v>12066</v>
      </c>
      <c r="D2660" s="159" t="s">
        <v>481</v>
      </c>
      <c r="E2660" s="159">
        <v>20</v>
      </c>
      <c r="F2660" s="159" t="s">
        <v>5667</v>
      </c>
      <c r="G2660" s="159" t="s">
        <v>12067</v>
      </c>
    </row>
    <row r="2661" spans="1:7" ht="15.75" customHeight="1">
      <c r="A2661" s="159" t="s">
        <v>9275</v>
      </c>
      <c r="B2661" s="159" t="s">
        <v>9966</v>
      </c>
      <c r="C2661" s="159" t="s">
        <v>12109</v>
      </c>
      <c r="D2661" s="159" t="s">
        <v>481</v>
      </c>
      <c r="E2661" s="159">
        <v>20</v>
      </c>
      <c r="F2661" s="159" t="s">
        <v>5667</v>
      </c>
      <c r="G2661" s="159" t="s">
        <v>12110</v>
      </c>
    </row>
    <row r="2662" spans="1:7" ht="15.75" customHeight="1">
      <c r="A2662" s="159" t="s">
        <v>9275</v>
      </c>
      <c r="B2662" s="159" t="s">
        <v>9966</v>
      </c>
      <c r="C2662" s="159" t="s">
        <v>12435</v>
      </c>
      <c r="D2662" s="159" t="s">
        <v>481</v>
      </c>
      <c r="E2662" s="159">
        <v>20</v>
      </c>
      <c r="F2662" s="159" t="s">
        <v>5667</v>
      </c>
      <c r="G2662" s="159" t="s">
        <v>12436</v>
      </c>
    </row>
    <row r="2663" spans="1:7" ht="15.75" customHeight="1">
      <c r="A2663" s="159" t="s">
        <v>9275</v>
      </c>
      <c r="B2663" s="159" t="s">
        <v>9966</v>
      </c>
      <c r="C2663" s="159" t="s">
        <v>12119</v>
      </c>
      <c r="D2663" s="159" t="s">
        <v>481</v>
      </c>
      <c r="E2663" s="159">
        <v>20</v>
      </c>
      <c r="F2663" s="159" t="s">
        <v>5667</v>
      </c>
      <c r="G2663" s="159" t="s">
        <v>12120</v>
      </c>
    </row>
    <row r="2664" spans="1:7" ht="15.75" customHeight="1">
      <c r="A2664" s="159" t="s">
        <v>9275</v>
      </c>
      <c r="B2664" s="159" t="s">
        <v>9966</v>
      </c>
      <c r="C2664" s="159" t="s">
        <v>5845</v>
      </c>
      <c r="D2664" s="159" t="s">
        <v>481</v>
      </c>
      <c r="E2664" s="159">
        <v>20</v>
      </c>
      <c r="F2664" s="159" t="s">
        <v>5667</v>
      </c>
      <c r="G2664" s="159" t="s">
        <v>11064</v>
      </c>
    </row>
    <row r="2665" spans="1:7" ht="15.75" customHeight="1">
      <c r="A2665" s="159" t="s">
        <v>9275</v>
      </c>
      <c r="B2665" s="159" t="s">
        <v>9966</v>
      </c>
      <c r="C2665" s="159" t="s">
        <v>12117</v>
      </c>
      <c r="D2665" s="159" t="s">
        <v>481</v>
      </c>
      <c r="E2665" s="159">
        <v>20</v>
      </c>
      <c r="F2665" s="159" t="s">
        <v>5667</v>
      </c>
      <c r="G2665" s="159" t="s">
        <v>12118</v>
      </c>
    </row>
    <row r="2666" spans="1:7" ht="15.75" customHeight="1">
      <c r="A2666" s="159" t="s">
        <v>9275</v>
      </c>
      <c r="B2666" s="159" t="s">
        <v>9966</v>
      </c>
      <c r="C2666" s="159" t="s">
        <v>12437</v>
      </c>
      <c r="D2666" s="159" t="s">
        <v>481</v>
      </c>
      <c r="E2666" s="159">
        <v>20</v>
      </c>
      <c r="F2666" s="159" t="s">
        <v>5667</v>
      </c>
      <c r="G2666" s="159" t="s">
        <v>12438</v>
      </c>
    </row>
    <row r="2667" spans="1:7" ht="15.75" customHeight="1">
      <c r="A2667" s="159" t="s">
        <v>9275</v>
      </c>
      <c r="B2667" s="159" t="s">
        <v>9966</v>
      </c>
      <c r="C2667" s="159" t="s">
        <v>12077</v>
      </c>
      <c r="D2667" s="159" t="s">
        <v>481</v>
      </c>
      <c r="E2667" s="159">
        <v>20</v>
      </c>
      <c r="F2667" s="159" t="s">
        <v>5667</v>
      </c>
      <c r="G2667" s="159" t="s">
        <v>12078</v>
      </c>
    </row>
    <row r="2668" spans="1:7" ht="15.75" customHeight="1">
      <c r="A2668" s="159" t="s">
        <v>9275</v>
      </c>
      <c r="B2668" s="159" t="s">
        <v>9966</v>
      </c>
      <c r="C2668" s="159" t="s">
        <v>12439</v>
      </c>
      <c r="D2668" s="159" t="s">
        <v>481</v>
      </c>
      <c r="E2668" s="159">
        <v>20</v>
      </c>
      <c r="F2668" s="159" t="s">
        <v>5667</v>
      </c>
      <c r="G2668" s="159" t="s">
        <v>12440</v>
      </c>
    </row>
    <row r="2669" spans="1:7" ht="15.75" customHeight="1">
      <c r="A2669" s="159" t="s">
        <v>9275</v>
      </c>
      <c r="B2669" s="159" t="s">
        <v>9966</v>
      </c>
      <c r="C2669" s="159" t="s">
        <v>12171</v>
      </c>
      <c r="D2669" s="159" t="s">
        <v>481</v>
      </c>
      <c r="E2669" s="159">
        <v>20</v>
      </c>
      <c r="F2669" s="159" t="s">
        <v>5667</v>
      </c>
      <c r="G2669" s="159" t="s">
        <v>12172</v>
      </c>
    </row>
    <row r="2670" spans="1:7" ht="15.75" customHeight="1">
      <c r="A2670" s="159" t="s">
        <v>9275</v>
      </c>
      <c r="B2670" s="159" t="s">
        <v>9966</v>
      </c>
      <c r="C2670" s="159" t="s">
        <v>12177</v>
      </c>
      <c r="D2670" s="159" t="s">
        <v>481</v>
      </c>
      <c r="E2670" s="159">
        <v>20</v>
      </c>
      <c r="F2670" s="159" t="s">
        <v>5667</v>
      </c>
      <c r="G2670" s="159" t="s">
        <v>12178</v>
      </c>
    </row>
    <row r="2671" spans="1:7" ht="15.75" customHeight="1">
      <c r="A2671" s="159" t="s">
        <v>9275</v>
      </c>
      <c r="B2671" s="159" t="s">
        <v>9966</v>
      </c>
      <c r="C2671" s="159" t="s">
        <v>12169</v>
      </c>
      <c r="D2671" s="159" t="s">
        <v>481</v>
      </c>
      <c r="E2671" s="159">
        <v>20</v>
      </c>
      <c r="F2671" s="159" t="s">
        <v>5667</v>
      </c>
      <c r="G2671" s="159" t="s">
        <v>12170</v>
      </c>
    </row>
    <row r="2672" spans="1:7" ht="15.75" customHeight="1">
      <c r="A2672" s="159" t="s">
        <v>9275</v>
      </c>
      <c r="B2672" s="159" t="s">
        <v>9966</v>
      </c>
      <c r="C2672" s="159" t="s">
        <v>3635</v>
      </c>
      <c r="D2672" s="159" t="s">
        <v>484</v>
      </c>
      <c r="E2672" s="159">
        <v>10</v>
      </c>
      <c r="F2672" s="159" t="s">
        <v>5665</v>
      </c>
      <c r="G2672" s="159" t="s">
        <v>10722</v>
      </c>
    </row>
    <row r="2673" spans="1:7" ht="15.75" customHeight="1">
      <c r="A2673" s="159" t="s">
        <v>9275</v>
      </c>
      <c r="B2673" s="159" t="s">
        <v>9966</v>
      </c>
      <c r="C2673" s="159" t="s">
        <v>12441</v>
      </c>
      <c r="D2673" s="159" t="s">
        <v>978</v>
      </c>
      <c r="E2673" s="159">
        <v>5</v>
      </c>
      <c r="F2673" s="159" t="s">
        <v>5667</v>
      </c>
      <c r="G2673" s="159" t="s">
        <v>12442</v>
      </c>
    </row>
    <row r="2674" spans="1:7" ht="15.75" customHeight="1">
      <c r="A2674" s="159" t="s">
        <v>9275</v>
      </c>
      <c r="B2674" s="159" t="s">
        <v>9966</v>
      </c>
      <c r="C2674" s="159" t="s">
        <v>12443</v>
      </c>
      <c r="D2674" s="159" t="s">
        <v>978</v>
      </c>
      <c r="E2674" s="159">
        <v>5</v>
      </c>
      <c r="F2674" s="159" t="s">
        <v>5667</v>
      </c>
      <c r="G2674" s="159" t="s">
        <v>12444</v>
      </c>
    </row>
    <row r="2675" spans="1:7" ht="15.75" customHeight="1">
      <c r="A2675" s="159" t="s">
        <v>9275</v>
      </c>
      <c r="B2675" s="159" t="s">
        <v>9966</v>
      </c>
      <c r="C2675" s="159" t="s">
        <v>12445</v>
      </c>
      <c r="D2675" s="159" t="s">
        <v>484</v>
      </c>
      <c r="E2675" s="159">
        <v>10</v>
      </c>
      <c r="F2675" s="159" t="s">
        <v>5667</v>
      </c>
      <c r="G2675" s="159" t="s">
        <v>12446</v>
      </c>
    </row>
    <row r="2676" spans="1:7" ht="15.75" customHeight="1">
      <c r="A2676" s="159" t="s">
        <v>9275</v>
      </c>
      <c r="B2676" s="159" t="s">
        <v>9966</v>
      </c>
      <c r="C2676" s="159" t="s">
        <v>5776</v>
      </c>
      <c r="D2676" s="159" t="s">
        <v>484</v>
      </c>
      <c r="E2676" s="159">
        <v>10</v>
      </c>
      <c r="F2676" s="159" t="s">
        <v>5667</v>
      </c>
      <c r="G2676" s="159" t="s">
        <v>7766</v>
      </c>
    </row>
    <row r="2677" spans="1:7" ht="15.75" customHeight="1">
      <c r="A2677" s="159" t="s">
        <v>9275</v>
      </c>
      <c r="B2677" s="159" t="s">
        <v>9966</v>
      </c>
      <c r="C2677" s="159" t="s">
        <v>12447</v>
      </c>
      <c r="D2677" s="159" t="s">
        <v>484</v>
      </c>
      <c r="E2677" s="159">
        <v>10</v>
      </c>
      <c r="F2677" s="159" t="s">
        <v>5667</v>
      </c>
      <c r="G2677" s="159" t="s">
        <v>12448</v>
      </c>
    </row>
    <row r="2678" spans="1:7" ht="15.75" customHeight="1">
      <c r="A2678" s="159" t="s">
        <v>9275</v>
      </c>
      <c r="B2678" s="159" t="s">
        <v>9966</v>
      </c>
      <c r="C2678" s="159" t="s">
        <v>12449</v>
      </c>
      <c r="D2678" s="159" t="s">
        <v>484</v>
      </c>
      <c r="E2678" s="159">
        <v>10</v>
      </c>
      <c r="F2678" s="159" t="s">
        <v>5667</v>
      </c>
      <c r="G2678" s="159" t="s">
        <v>12450</v>
      </c>
    </row>
    <row r="2679" spans="1:7" ht="15.75" customHeight="1">
      <c r="A2679" s="159" t="s">
        <v>9275</v>
      </c>
      <c r="B2679" s="159" t="s">
        <v>9966</v>
      </c>
      <c r="C2679" s="159" t="s">
        <v>5796</v>
      </c>
      <c r="D2679" s="159" t="s">
        <v>484</v>
      </c>
      <c r="E2679" s="159">
        <v>10</v>
      </c>
      <c r="F2679" s="159" t="s">
        <v>5667</v>
      </c>
      <c r="G2679" s="159" t="s">
        <v>11999</v>
      </c>
    </row>
    <row r="2680" spans="1:7" ht="15.75" customHeight="1">
      <c r="A2680" s="159" t="s">
        <v>9275</v>
      </c>
      <c r="B2680" s="159" t="s">
        <v>9966</v>
      </c>
      <c r="C2680" s="159" t="s">
        <v>12072</v>
      </c>
      <c r="D2680" s="159" t="s">
        <v>477</v>
      </c>
      <c r="E2680" s="159">
        <v>3</v>
      </c>
      <c r="F2680" s="159" t="s">
        <v>5667</v>
      </c>
      <c r="G2680" s="159" t="s">
        <v>12073</v>
      </c>
    </row>
    <row r="2681" spans="1:7" ht="15.75" customHeight="1">
      <c r="A2681" s="159" t="s">
        <v>9275</v>
      </c>
      <c r="B2681" s="159" t="s">
        <v>9966</v>
      </c>
      <c r="C2681" s="159" t="s">
        <v>12451</v>
      </c>
      <c r="D2681" s="159" t="s">
        <v>477</v>
      </c>
      <c r="E2681" s="159">
        <v>3</v>
      </c>
      <c r="F2681" s="159" t="s">
        <v>5667</v>
      </c>
      <c r="G2681" s="159" t="s">
        <v>12452</v>
      </c>
    </row>
    <row r="2682" spans="1:7" ht="15.75" customHeight="1">
      <c r="A2682" s="159" t="s">
        <v>9275</v>
      </c>
      <c r="B2682" s="159" t="s">
        <v>9966</v>
      </c>
      <c r="C2682" s="159" t="s">
        <v>12070</v>
      </c>
      <c r="D2682" s="159" t="s">
        <v>477</v>
      </c>
      <c r="E2682" s="159">
        <v>3</v>
      </c>
      <c r="F2682" s="159" t="s">
        <v>5667</v>
      </c>
      <c r="G2682" s="159" t="s">
        <v>12071</v>
      </c>
    </row>
    <row r="2683" spans="1:7" ht="15.75" customHeight="1">
      <c r="A2683" s="159" t="s">
        <v>9275</v>
      </c>
      <c r="B2683" s="159" t="s">
        <v>9966</v>
      </c>
      <c r="C2683" s="159" t="s">
        <v>12107</v>
      </c>
      <c r="D2683" s="159" t="s">
        <v>477</v>
      </c>
      <c r="E2683" s="159">
        <v>3</v>
      </c>
      <c r="F2683" s="159" t="s">
        <v>5667</v>
      </c>
      <c r="G2683" s="159" t="s">
        <v>12108</v>
      </c>
    </row>
    <row r="2684" spans="1:7" ht="15.75" customHeight="1">
      <c r="A2684" s="159" t="s">
        <v>9275</v>
      </c>
      <c r="B2684" s="159" t="s">
        <v>9966</v>
      </c>
      <c r="C2684" s="159" t="s">
        <v>11984</v>
      </c>
      <c r="D2684" s="159" t="s">
        <v>477</v>
      </c>
      <c r="E2684" s="159">
        <v>255</v>
      </c>
      <c r="F2684" s="159" t="s">
        <v>5667</v>
      </c>
      <c r="G2684" s="159" t="s">
        <v>11998</v>
      </c>
    </row>
    <row r="2685" spans="1:7" ht="15.75" customHeight="1">
      <c r="A2685" s="159" t="s">
        <v>9275</v>
      </c>
      <c r="B2685" s="159" t="s">
        <v>9966</v>
      </c>
      <c r="C2685" s="159" t="s">
        <v>11155</v>
      </c>
      <c r="D2685" s="159" t="s">
        <v>477</v>
      </c>
      <c r="E2685" s="159">
        <v>50</v>
      </c>
      <c r="F2685" s="159" t="s">
        <v>5667</v>
      </c>
      <c r="G2685" s="159" t="s">
        <v>11156</v>
      </c>
    </row>
    <row r="2686" spans="1:7" ht="15.75" customHeight="1">
      <c r="A2686" s="159" t="s">
        <v>9275</v>
      </c>
      <c r="B2686" s="159" t="s">
        <v>9966</v>
      </c>
      <c r="C2686" s="159" t="s">
        <v>10190</v>
      </c>
      <c r="D2686" s="159" t="s">
        <v>1413</v>
      </c>
      <c r="E2686" s="159"/>
      <c r="F2686" s="159" t="s">
        <v>5665</v>
      </c>
      <c r="G2686" s="159" t="s">
        <v>10281</v>
      </c>
    </row>
    <row r="2687" spans="1:7" ht="15.75" customHeight="1">
      <c r="A2687" s="159" t="s">
        <v>9275</v>
      </c>
      <c r="B2687" s="159" t="s">
        <v>9966</v>
      </c>
      <c r="C2687" s="159" t="s">
        <v>10242</v>
      </c>
      <c r="D2687" s="159" t="s">
        <v>1413</v>
      </c>
      <c r="E2687" s="159"/>
      <c r="F2687" s="159" t="s">
        <v>5665</v>
      </c>
      <c r="G2687" s="159" t="s">
        <v>10282</v>
      </c>
    </row>
    <row r="2688" spans="1:7" ht="15.75" customHeight="1">
      <c r="A2688" s="159" t="s">
        <v>9275</v>
      </c>
      <c r="B2688" s="159" t="s">
        <v>9966</v>
      </c>
      <c r="C2688" s="159" t="s">
        <v>12197</v>
      </c>
      <c r="D2688" s="159" t="s">
        <v>481</v>
      </c>
      <c r="E2688" s="159">
        <v>20</v>
      </c>
      <c r="F2688" s="159" t="s">
        <v>5667</v>
      </c>
      <c r="G2688" s="159" t="s">
        <v>12198</v>
      </c>
    </row>
    <row r="2689" spans="1:7" ht="15.75" customHeight="1">
      <c r="A2689" s="159" t="s">
        <v>9275</v>
      </c>
      <c r="B2689" s="159" t="s">
        <v>9966</v>
      </c>
      <c r="C2689" s="159" t="s">
        <v>12199</v>
      </c>
      <c r="D2689" s="159" t="s">
        <v>481</v>
      </c>
      <c r="E2689" s="159">
        <v>20</v>
      </c>
      <c r="F2689" s="159" t="s">
        <v>5667</v>
      </c>
      <c r="G2689" s="159" t="s">
        <v>12200</v>
      </c>
    </row>
    <row r="2690" spans="1:7" ht="15.75" customHeight="1">
      <c r="A2690" s="159" t="s">
        <v>9275</v>
      </c>
      <c r="B2690" s="159" t="s">
        <v>9966</v>
      </c>
      <c r="C2690" s="159" t="s">
        <v>12201</v>
      </c>
      <c r="D2690" s="159" t="s">
        <v>481</v>
      </c>
      <c r="E2690" s="159">
        <v>20</v>
      </c>
      <c r="F2690" s="159" t="s">
        <v>5667</v>
      </c>
      <c r="G2690" s="159" t="s">
        <v>12202</v>
      </c>
    </row>
    <row r="2691" spans="1:7" ht="15.75" customHeight="1">
      <c r="A2691" s="159" t="s">
        <v>9275</v>
      </c>
      <c r="B2691" s="159" t="s">
        <v>9966</v>
      </c>
      <c r="C2691" s="159" t="s">
        <v>12203</v>
      </c>
      <c r="D2691" s="159" t="s">
        <v>481</v>
      </c>
      <c r="E2691" s="159">
        <v>20</v>
      </c>
      <c r="F2691" s="159" t="s">
        <v>5667</v>
      </c>
      <c r="G2691" s="159" t="s">
        <v>12204</v>
      </c>
    </row>
    <row r="2692" spans="1:7" ht="15.75" customHeight="1">
      <c r="A2692" s="159" t="s">
        <v>9275</v>
      </c>
      <c r="B2692" s="159" t="s">
        <v>9966</v>
      </c>
      <c r="C2692" s="159" t="s">
        <v>12205</v>
      </c>
      <c r="D2692" s="159" t="s">
        <v>481</v>
      </c>
      <c r="E2692" s="159">
        <v>20</v>
      </c>
      <c r="F2692" s="159" t="s">
        <v>5667</v>
      </c>
      <c r="G2692" s="159" t="s">
        <v>12206</v>
      </c>
    </row>
    <row r="2693" spans="1:7" ht="15.75" customHeight="1">
      <c r="A2693" s="159" t="s">
        <v>9275</v>
      </c>
      <c r="B2693" s="159" t="s">
        <v>9966</v>
      </c>
      <c r="C2693" s="159" t="s">
        <v>12207</v>
      </c>
      <c r="D2693" s="159" t="s">
        <v>481</v>
      </c>
      <c r="E2693" s="159">
        <v>20</v>
      </c>
      <c r="F2693" s="159" t="s">
        <v>5667</v>
      </c>
      <c r="G2693" s="159" t="s">
        <v>12208</v>
      </c>
    </row>
    <row r="2694" spans="1:7" ht="15.75" customHeight="1">
      <c r="A2694" s="159" t="s">
        <v>9275</v>
      </c>
      <c r="B2694" s="159" t="s">
        <v>9966</v>
      </c>
      <c r="C2694" s="159" t="s">
        <v>12187</v>
      </c>
      <c r="D2694" s="159" t="s">
        <v>477</v>
      </c>
      <c r="E2694" s="159">
        <v>255</v>
      </c>
      <c r="F2694" s="159" t="s">
        <v>5667</v>
      </c>
      <c r="G2694" s="159" t="s">
        <v>12188</v>
      </c>
    </row>
    <row r="2695" spans="1:7" ht="15.75" customHeight="1">
      <c r="A2695" s="159" t="s">
        <v>9275</v>
      </c>
      <c r="B2695" s="159" t="s">
        <v>9966</v>
      </c>
      <c r="C2695" s="159" t="s">
        <v>12094</v>
      </c>
      <c r="D2695" s="159" t="s">
        <v>3893</v>
      </c>
      <c r="E2695" s="159">
        <v>65535</v>
      </c>
      <c r="F2695" s="159" t="s">
        <v>5667</v>
      </c>
      <c r="G2695" s="159" t="s">
        <v>12095</v>
      </c>
    </row>
    <row r="2696" spans="1:7" ht="15.75" customHeight="1">
      <c r="A2696" s="159" t="s">
        <v>9275</v>
      </c>
      <c r="B2696" s="159" t="s">
        <v>9966</v>
      </c>
      <c r="C2696" s="159" t="s">
        <v>12096</v>
      </c>
      <c r="D2696" s="159" t="s">
        <v>978</v>
      </c>
      <c r="E2696" s="159">
        <v>5</v>
      </c>
      <c r="F2696" s="159" t="s">
        <v>5667</v>
      </c>
      <c r="G2696" s="159" t="s">
        <v>12097</v>
      </c>
    </row>
    <row r="2697" spans="1:7" ht="15.75" customHeight="1">
      <c r="A2697" s="159" t="s">
        <v>9275</v>
      </c>
      <c r="B2697" s="159" t="s">
        <v>9968</v>
      </c>
      <c r="C2697" s="159" t="s">
        <v>10287</v>
      </c>
      <c r="D2697" s="159" t="s">
        <v>484</v>
      </c>
      <c r="E2697" s="159">
        <v>10</v>
      </c>
      <c r="F2697" s="159" t="s">
        <v>5665</v>
      </c>
      <c r="G2697" s="159" t="s">
        <v>10237</v>
      </c>
    </row>
    <row r="2698" spans="1:7" ht="15.75" customHeight="1">
      <c r="A2698" s="159" t="s">
        <v>9275</v>
      </c>
      <c r="B2698" s="159" t="s">
        <v>9968</v>
      </c>
      <c r="C2698" s="159" t="s">
        <v>5678</v>
      </c>
      <c r="D2698" s="159" t="s">
        <v>484</v>
      </c>
      <c r="E2698" s="159">
        <v>10</v>
      </c>
      <c r="F2698" s="159" t="s">
        <v>5665</v>
      </c>
      <c r="G2698" s="159" t="s">
        <v>10877</v>
      </c>
    </row>
    <row r="2699" spans="1:7" ht="15.75" customHeight="1">
      <c r="A2699" s="159" t="s">
        <v>9275</v>
      </c>
      <c r="B2699" s="159" t="s">
        <v>9968</v>
      </c>
      <c r="C2699" s="159" t="s">
        <v>12453</v>
      </c>
      <c r="D2699" s="159" t="s">
        <v>484</v>
      </c>
      <c r="E2699" s="159">
        <v>10</v>
      </c>
      <c r="F2699" s="159" t="s">
        <v>5667</v>
      </c>
      <c r="G2699" s="159" t="s">
        <v>12454</v>
      </c>
    </row>
    <row r="2700" spans="1:7" ht="15.75" customHeight="1">
      <c r="A2700" s="159" t="s">
        <v>9275</v>
      </c>
      <c r="B2700" s="159" t="s">
        <v>9968</v>
      </c>
      <c r="C2700" s="159" t="s">
        <v>10845</v>
      </c>
      <c r="D2700" s="159" t="s">
        <v>978</v>
      </c>
      <c r="E2700" s="159">
        <v>5</v>
      </c>
      <c r="F2700" s="159" t="s">
        <v>5665</v>
      </c>
      <c r="G2700" s="159" t="s">
        <v>10846</v>
      </c>
    </row>
    <row r="2701" spans="1:7" ht="15.75" customHeight="1">
      <c r="A2701" s="159" t="s">
        <v>9275</v>
      </c>
      <c r="B2701" s="159" t="s">
        <v>9968</v>
      </c>
      <c r="C2701" s="159" t="s">
        <v>5668</v>
      </c>
      <c r="D2701" s="159" t="s">
        <v>3893</v>
      </c>
      <c r="E2701" s="159">
        <v>65535</v>
      </c>
      <c r="F2701" s="159" t="s">
        <v>5667</v>
      </c>
      <c r="G2701" s="159" t="s">
        <v>1182</v>
      </c>
    </row>
    <row r="2702" spans="1:7" ht="15.75" customHeight="1">
      <c r="A2702" s="159" t="s">
        <v>9275</v>
      </c>
      <c r="B2702" s="159" t="s">
        <v>9968</v>
      </c>
      <c r="C2702" s="159" t="s">
        <v>10190</v>
      </c>
      <c r="D2702" s="159" t="s">
        <v>1413</v>
      </c>
      <c r="E2702" s="159"/>
      <c r="F2702" s="159" t="s">
        <v>5665</v>
      </c>
      <c r="G2702" s="159" t="s">
        <v>10281</v>
      </c>
    </row>
    <row r="2703" spans="1:7" ht="15.75" customHeight="1">
      <c r="A2703" s="159" t="s">
        <v>9275</v>
      </c>
      <c r="B2703" s="159" t="s">
        <v>9970</v>
      </c>
      <c r="C2703" s="159" t="s">
        <v>10287</v>
      </c>
      <c r="D2703" s="159" t="s">
        <v>484</v>
      </c>
      <c r="E2703" s="159">
        <v>10</v>
      </c>
      <c r="F2703" s="159" t="s">
        <v>5665</v>
      </c>
      <c r="G2703" s="159" t="s">
        <v>10237</v>
      </c>
    </row>
    <row r="2704" spans="1:7" ht="15.75" customHeight="1">
      <c r="A2704" s="159" t="s">
        <v>9275</v>
      </c>
      <c r="B2704" s="159" t="s">
        <v>9970</v>
      </c>
      <c r="C2704" s="159" t="s">
        <v>11155</v>
      </c>
      <c r="D2704" s="159" t="s">
        <v>477</v>
      </c>
      <c r="E2704" s="159">
        <v>50</v>
      </c>
      <c r="F2704" s="159" t="s">
        <v>5667</v>
      </c>
      <c r="G2704" s="159" t="s">
        <v>11156</v>
      </c>
    </row>
    <row r="2705" spans="1:7" ht="15.75" customHeight="1">
      <c r="A2705" s="159" t="s">
        <v>9275</v>
      </c>
      <c r="B2705" s="159" t="s">
        <v>9970</v>
      </c>
      <c r="C2705" s="159" t="s">
        <v>10190</v>
      </c>
      <c r="D2705" s="159" t="s">
        <v>1413</v>
      </c>
      <c r="E2705" s="159"/>
      <c r="F2705" s="159" t="s">
        <v>5667</v>
      </c>
      <c r="G2705" s="159" t="s">
        <v>10281</v>
      </c>
    </row>
    <row r="2706" spans="1:7" ht="15.75" customHeight="1">
      <c r="A2706" s="159" t="s">
        <v>9275</v>
      </c>
      <c r="B2706" s="159" t="s">
        <v>9970</v>
      </c>
      <c r="C2706" s="159" t="s">
        <v>10242</v>
      </c>
      <c r="D2706" s="159" t="s">
        <v>1413</v>
      </c>
      <c r="E2706" s="159"/>
      <c r="F2706" s="159" t="s">
        <v>5667</v>
      </c>
      <c r="G2706" s="159" t="s">
        <v>10282</v>
      </c>
    </row>
    <row r="2707" spans="1:7" ht="15.75" customHeight="1">
      <c r="A2707" s="159" t="s">
        <v>9275</v>
      </c>
      <c r="B2707" s="159" t="s">
        <v>9970</v>
      </c>
      <c r="C2707" s="159" t="s">
        <v>3635</v>
      </c>
      <c r="D2707" s="159" t="s">
        <v>484</v>
      </c>
      <c r="E2707" s="159">
        <v>10</v>
      </c>
      <c r="F2707" s="159" t="s">
        <v>5665</v>
      </c>
      <c r="G2707" s="159" t="s">
        <v>10722</v>
      </c>
    </row>
    <row r="2708" spans="1:7" ht="15.75" customHeight="1">
      <c r="A2708" s="159" t="s">
        <v>9275</v>
      </c>
      <c r="B2708" s="159" t="s">
        <v>9970</v>
      </c>
      <c r="C2708" s="159" t="s">
        <v>10748</v>
      </c>
      <c r="D2708" s="159" t="s">
        <v>477</v>
      </c>
      <c r="E2708" s="159">
        <v>50</v>
      </c>
      <c r="F2708" s="159" t="s">
        <v>5667</v>
      </c>
      <c r="G2708" s="159" t="s">
        <v>10749</v>
      </c>
    </row>
    <row r="2709" spans="1:7" ht="15.75" customHeight="1">
      <c r="A2709" s="159" t="s">
        <v>9275</v>
      </c>
      <c r="B2709" s="159" t="s">
        <v>9970</v>
      </c>
      <c r="C2709" s="159" t="s">
        <v>12455</v>
      </c>
      <c r="D2709" s="159" t="s">
        <v>1413</v>
      </c>
      <c r="E2709" s="159"/>
      <c r="F2709" s="159" t="s">
        <v>5667</v>
      </c>
      <c r="G2709" s="159" t="s">
        <v>12456</v>
      </c>
    </row>
    <row r="2710" spans="1:7" ht="15.75" customHeight="1">
      <c r="A2710" s="159" t="s">
        <v>9275</v>
      </c>
      <c r="B2710" s="159" t="s">
        <v>9970</v>
      </c>
      <c r="C2710" s="159" t="s">
        <v>12457</v>
      </c>
      <c r="D2710" s="159" t="s">
        <v>477</v>
      </c>
      <c r="E2710" s="159">
        <v>255</v>
      </c>
      <c r="F2710" s="159" t="s">
        <v>5667</v>
      </c>
      <c r="G2710" s="159" t="s">
        <v>12458</v>
      </c>
    </row>
    <row r="2711" spans="1:7" ht="15.75" customHeight="1">
      <c r="A2711" s="159" t="s">
        <v>9275</v>
      </c>
      <c r="B2711" s="159" t="s">
        <v>9970</v>
      </c>
      <c r="C2711" s="159" t="s">
        <v>5776</v>
      </c>
      <c r="D2711" s="159" t="s">
        <v>484</v>
      </c>
      <c r="E2711" s="159">
        <v>10</v>
      </c>
      <c r="F2711" s="159" t="s">
        <v>5667</v>
      </c>
      <c r="G2711" s="159" t="s">
        <v>811</v>
      </c>
    </row>
    <row r="2712" spans="1:7" ht="15.75" customHeight="1">
      <c r="A2712" s="159" t="s">
        <v>9275</v>
      </c>
      <c r="B2712" s="159" t="s">
        <v>9970</v>
      </c>
      <c r="C2712" s="159" t="s">
        <v>12077</v>
      </c>
      <c r="D2712" s="159" t="s">
        <v>481</v>
      </c>
      <c r="E2712" s="159">
        <v>20</v>
      </c>
      <c r="F2712" s="159" t="s">
        <v>5667</v>
      </c>
      <c r="G2712" s="159" t="s">
        <v>12078</v>
      </c>
    </row>
    <row r="2713" spans="1:7" ht="15.75" customHeight="1">
      <c r="A2713" s="159" t="s">
        <v>9275</v>
      </c>
      <c r="B2713" s="159" t="s">
        <v>9970</v>
      </c>
      <c r="C2713" s="159" t="s">
        <v>3762</v>
      </c>
      <c r="D2713" s="159" t="s">
        <v>477</v>
      </c>
      <c r="E2713" s="159">
        <v>32</v>
      </c>
      <c r="F2713" s="159" t="s">
        <v>5667</v>
      </c>
      <c r="G2713" s="159" t="s">
        <v>11525</v>
      </c>
    </row>
    <row r="2714" spans="1:7" ht="15.75" customHeight="1">
      <c r="A2714" s="159" t="s">
        <v>9275</v>
      </c>
      <c r="B2714" s="159" t="s">
        <v>9970</v>
      </c>
      <c r="C2714" s="159" t="s">
        <v>10290</v>
      </c>
      <c r="D2714" s="159" t="s">
        <v>978</v>
      </c>
      <c r="E2714" s="159">
        <v>5</v>
      </c>
      <c r="F2714" s="159" t="s">
        <v>5667</v>
      </c>
      <c r="G2714" s="159" t="s">
        <v>10507</v>
      </c>
    </row>
    <row r="2715" spans="1:7" ht="15.75" customHeight="1">
      <c r="A2715" s="159" t="s">
        <v>9275</v>
      </c>
      <c r="B2715" s="159" t="s">
        <v>9970</v>
      </c>
      <c r="C2715" s="159" t="s">
        <v>12459</v>
      </c>
      <c r="D2715" s="159" t="s">
        <v>477</v>
      </c>
      <c r="E2715" s="159">
        <v>255</v>
      </c>
      <c r="F2715" s="159" t="s">
        <v>5667</v>
      </c>
      <c r="G2715" s="159" t="s">
        <v>12460</v>
      </c>
    </row>
    <row r="2716" spans="1:7" ht="15.75" customHeight="1">
      <c r="A2716" s="159" t="s">
        <v>9275</v>
      </c>
      <c r="B2716" s="159" t="s">
        <v>9970</v>
      </c>
      <c r="C2716" s="159" t="s">
        <v>12461</v>
      </c>
      <c r="D2716" s="159" t="s">
        <v>477</v>
      </c>
      <c r="E2716" s="159">
        <v>255</v>
      </c>
      <c r="F2716" s="159" t="s">
        <v>5667</v>
      </c>
      <c r="G2716" s="159" t="s">
        <v>12462</v>
      </c>
    </row>
    <row r="2717" spans="1:7" ht="15.75" customHeight="1">
      <c r="A2717" s="159" t="s">
        <v>9275</v>
      </c>
      <c r="B2717" s="159" t="s">
        <v>9970</v>
      </c>
      <c r="C2717" s="159" t="s">
        <v>3941</v>
      </c>
      <c r="D2717" s="159" t="s">
        <v>477</v>
      </c>
      <c r="E2717" s="159">
        <v>128</v>
      </c>
      <c r="F2717" s="159" t="s">
        <v>5665</v>
      </c>
      <c r="G2717" s="159" t="s">
        <v>10750</v>
      </c>
    </row>
    <row r="2718" spans="1:7" ht="15.75" customHeight="1">
      <c r="A2718" s="159" t="s">
        <v>9275</v>
      </c>
      <c r="B2718" s="159" t="s">
        <v>9970</v>
      </c>
      <c r="C2718" s="159" t="s">
        <v>11767</v>
      </c>
      <c r="D2718" s="159" t="s">
        <v>477</v>
      </c>
      <c r="E2718" s="159">
        <v>128</v>
      </c>
      <c r="F2718" s="159" t="s">
        <v>5667</v>
      </c>
      <c r="G2718" s="159" t="s">
        <v>11477</v>
      </c>
    </row>
    <row r="2719" spans="1:7" ht="15.75" customHeight="1">
      <c r="A2719" s="159" t="s">
        <v>9275</v>
      </c>
      <c r="B2719" s="159" t="s">
        <v>9970</v>
      </c>
      <c r="C2719" s="159" t="s">
        <v>10884</v>
      </c>
      <c r="D2719" s="159" t="s">
        <v>978</v>
      </c>
      <c r="E2719" s="159">
        <v>5</v>
      </c>
      <c r="F2719" s="159" t="s">
        <v>5667</v>
      </c>
      <c r="G2719" s="159" t="s">
        <v>10885</v>
      </c>
    </row>
    <row r="2720" spans="1:7" ht="15.75" customHeight="1">
      <c r="A2720" s="159" t="s">
        <v>9275</v>
      </c>
      <c r="B2720" s="159" t="s">
        <v>9970</v>
      </c>
      <c r="C2720" s="159" t="s">
        <v>10752</v>
      </c>
      <c r="D2720" s="159" t="s">
        <v>477</v>
      </c>
      <c r="E2720" s="159">
        <v>32</v>
      </c>
      <c r="F2720" s="159" t="s">
        <v>5667</v>
      </c>
      <c r="G2720" s="159" t="s">
        <v>10753</v>
      </c>
    </row>
    <row r="2721" spans="1:7" ht="15.75" customHeight="1">
      <c r="A2721" s="159" t="s">
        <v>9275</v>
      </c>
      <c r="B2721" s="159" t="s">
        <v>9970</v>
      </c>
      <c r="C2721" s="159" t="s">
        <v>12463</v>
      </c>
      <c r="D2721" s="159" t="s">
        <v>477</v>
      </c>
      <c r="E2721" s="159">
        <v>255</v>
      </c>
      <c r="F2721" s="159" t="s">
        <v>5667</v>
      </c>
      <c r="G2721" s="159" t="s">
        <v>12464</v>
      </c>
    </row>
    <row r="2722" spans="1:7" ht="15.75" customHeight="1">
      <c r="A2722" s="159" t="s">
        <v>9275</v>
      </c>
      <c r="B2722" s="159" t="s">
        <v>9970</v>
      </c>
      <c r="C2722" s="159" t="s">
        <v>12117</v>
      </c>
      <c r="D2722" s="159" t="s">
        <v>481</v>
      </c>
      <c r="E2722" s="159">
        <v>20</v>
      </c>
      <c r="F2722" s="159" t="s">
        <v>5667</v>
      </c>
      <c r="G2722" s="159" t="s">
        <v>12118</v>
      </c>
    </row>
    <row r="2723" spans="1:7" ht="15.75" customHeight="1">
      <c r="A2723" s="159" t="s">
        <v>9275</v>
      </c>
      <c r="B2723" s="159" t="s">
        <v>9970</v>
      </c>
      <c r="C2723" s="159" t="s">
        <v>12465</v>
      </c>
      <c r="D2723" s="159" t="s">
        <v>481</v>
      </c>
      <c r="E2723" s="159">
        <v>20</v>
      </c>
      <c r="F2723" s="159" t="s">
        <v>5667</v>
      </c>
      <c r="G2723" s="159" t="s">
        <v>12466</v>
      </c>
    </row>
    <row r="2724" spans="1:7" ht="15.75" customHeight="1">
      <c r="A2724" s="159" t="s">
        <v>9275</v>
      </c>
      <c r="B2724" s="159" t="s">
        <v>9970</v>
      </c>
      <c r="C2724" s="159" t="s">
        <v>12423</v>
      </c>
      <c r="D2724" s="159" t="s">
        <v>481</v>
      </c>
      <c r="E2724" s="159">
        <v>20</v>
      </c>
      <c r="F2724" s="159" t="s">
        <v>5667</v>
      </c>
      <c r="G2724" s="159" t="s">
        <v>12424</v>
      </c>
    </row>
    <row r="2725" spans="1:7" ht="15.75" customHeight="1">
      <c r="A2725" s="159" t="s">
        <v>9275</v>
      </c>
      <c r="B2725" s="159" t="s">
        <v>9970</v>
      </c>
      <c r="C2725" s="159" t="s">
        <v>12433</v>
      </c>
      <c r="D2725" s="159" t="s">
        <v>481</v>
      </c>
      <c r="E2725" s="159">
        <v>20</v>
      </c>
      <c r="F2725" s="159" t="s">
        <v>5667</v>
      </c>
      <c r="G2725" s="159" t="s">
        <v>12434</v>
      </c>
    </row>
    <row r="2726" spans="1:7" ht="15.75" customHeight="1">
      <c r="A2726" s="159" t="s">
        <v>9275</v>
      </c>
      <c r="B2726" s="159" t="s">
        <v>9970</v>
      </c>
      <c r="C2726" s="159" t="s">
        <v>12467</v>
      </c>
      <c r="D2726" s="159" t="s">
        <v>481</v>
      </c>
      <c r="E2726" s="159">
        <v>20</v>
      </c>
      <c r="F2726" s="159" t="s">
        <v>5667</v>
      </c>
      <c r="G2726" s="159" t="s">
        <v>12468</v>
      </c>
    </row>
    <row r="2727" spans="1:7" ht="15.75" customHeight="1">
      <c r="A2727" s="159" t="s">
        <v>9275</v>
      </c>
      <c r="B2727" s="159" t="s">
        <v>9972</v>
      </c>
      <c r="C2727" s="159" t="s">
        <v>10287</v>
      </c>
      <c r="D2727" s="159" t="s">
        <v>484</v>
      </c>
      <c r="E2727" s="159">
        <v>10</v>
      </c>
      <c r="F2727" s="159" t="s">
        <v>5665</v>
      </c>
      <c r="G2727" s="159" t="s">
        <v>10237</v>
      </c>
    </row>
    <row r="2728" spans="1:7" ht="15.75" customHeight="1">
      <c r="A2728" s="159" t="s">
        <v>9275</v>
      </c>
      <c r="B2728" s="159" t="s">
        <v>9972</v>
      </c>
      <c r="C2728" s="159" t="s">
        <v>5678</v>
      </c>
      <c r="D2728" s="159" t="s">
        <v>484</v>
      </c>
      <c r="E2728" s="159">
        <v>10</v>
      </c>
      <c r="F2728" s="159" t="s">
        <v>5665</v>
      </c>
      <c r="G2728" s="159" t="s">
        <v>10877</v>
      </c>
    </row>
    <row r="2729" spans="1:7" ht="15.75" customHeight="1">
      <c r="A2729" s="159" t="s">
        <v>9275</v>
      </c>
      <c r="B2729" s="159" t="s">
        <v>9972</v>
      </c>
      <c r="C2729" s="159" t="s">
        <v>12244</v>
      </c>
      <c r="D2729" s="159" t="s">
        <v>481</v>
      </c>
      <c r="E2729" s="159">
        <v>12</v>
      </c>
      <c r="F2729" s="159" t="s">
        <v>5667</v>
      </c>
      <c r="G2729" s="159" t="s">
        <v>12245</v>
      </c>
    </row>
    <row r="2730" spans="1:7" ht="15.75" customHeight="1">
      <c r="A2730" s="159" t="s">
        <v>9275</v>
      </c>
      <c r="B2730" s="159" t="s">
        <v>9972</v>
      </c>
      <c r="C2730" s="159" t="s">
        <v>12169</v>
      </c>
      <c r="D2730" s="159" t="s">
        <v>481</v>
      </c>
      <c r="E2730" s="159">
        <v>12</v>
      </c>
      <c r="F2730" s="159" t="s">
        <v>5667</v>
      </c>
      <c r="G2730" s="159" t="s">
        <v>12170</v>
      </c>
    </row>
    <row r="2731" spans="1:7" ht="15.75" customHeight="1">
      <c r="A2731" s="159" t="s">
        <v>9275</v>
      </c>
      <c r="B2731" s="159" t="s">
        <v>9972</v>
      </c>
      <c r="C2731" s="159" t="s">
        <v>12230</v>
      </c>
      <c r="D2731" s="159" t="s">
        <v>481</v>
      </c>
      <c r="E2731" s="159">
        <v>12</v>
      </c>
      <c r="F2731" s="159" t="s">
        <v>5667</v>
      </c>
      <c r="G2731" s="159" t="s">
        <v>12231</v>
      </c>
    </row>
    <row r="2732" spans="1:7" ht="15.75" customHeight="1">
      <c r="A2732" s="159" t="s">
        <v>9275</v>
      </c>
      <c r="B2732" s="159" t="s">
        <v>9972</v>
      </c>
      <c r="C2732" s="159" t="s">
        <v>5845</v>
      </c>
      <c r="D2732" s="159" t="s">
        <v>481</v>
      </c>
      <c r="E2732" s="159">
        <v>12</v>
      </c>
      <c r="F2732" s="159" t="s">
        <v>5667</v>
      </c>
      <c r="G2732" s="159" t="s">
        <v>11064</v>
      </c>
    </row>
    <row r="2733" spans="1:7" ht="15.75" customHeight="1">
      <c r="A2733" s="159" t="s">
        <v>9275</v>
      </c>
      <c r="B2733" s="159" t="s">
        <v>9972</v>
      </c>
      <c r="C2733" s="159" t="s">
        <v>12228</v>
      </c>
      <c r="D2733" s="159" t="s">
        <v>481</v>
      </c>
      <c r="E2733" s="159">
        <v>12</v>
      </c>
      <c r="F2733" s="159" t="s">
        <v>5667</v>
      </c>
      <c r="G2733" s="159" t="s">
        <v>12229</v>
      </c>
    </row>
    <row r="2734" spans="1:7" ht="15.75" customHeight="1">
      <c r="A2734" s="159" t="s">
        <v>9275</v>
      </c>
      <c r="B2734" s="159" t="s">
        <v>9972</v>
      </c>
      <c r="C2734" s="159" t="s">
        <v>12181</v>
      </c>
      <c r="D2734" s="159" t="s">
        <v>481</v>
      </c>
      <c r="E2734" s="159">
        <v>12</v>
      </c>
      <c r="F2734" s="159" t="s">
        <v>5667</v>
      </c>
      <c r="G2734" s="159" t="s">
        <v>12182</v>
      </c>
    </row>
    <row r="2735" spans="1:7" ht="15.75" customHeight="1">
      <c r="A2735" s="159" t="s">
        <v>9275</v>
      </c>
      <c r="B2735" s="159" t="s">
        <v>9972</v>
      </c>
      <c r="C2735" s="159" t="s">
        <v>12248</v>
      </c>
      <c r="D2735" s="159" t="s">
        <v>481</v>
      </c>
      <c r="E2735" s="159">
        <v>12</v>
      </c>
      <c r="F2735" s="159" t="s">
        <v>5667</v>
      </c>
      <c r="G2735" s="159" t="s">
        <v>12249</v>
      </c>
    </row>
    <row r="2736" spans="1:7" ht="15.75" customHeight="1">
      <c r="A2736" s="159" t="s">
        <v>9275</v>
      </c>
      <c r="B2736" s="159" t="s">
        <v>9972</v>
      </c>
      <c r="C2736" s="159" t="s">
        <v>12171</v>
      </c>
      <c r="D2736" s="159" t="s">
        <v>481</v>
      </c>
      <c r="E2736" s="159">
        <v>12</v>
      </c>
      <c r="F2736" s="159" t="s">
        <v>5667</v>
      </c>
      <c r="G2736" s="159" t="s">
        <v>12172</v>
      </c>
    </row>
    <row r="2737" spans="1:7" ht="15.75" customHeight="1">
      <c r="A2737" s="159" t="s">
        <v>9275</v>
      </c>
      <c r="B2737" s="159" t="s">
        <v>9972</v>
      </c>
      <c r="C2737" s="159" t="s">
        <v>12250</v>
      </c>
      <c r="D2737" s="159" t="s">
        <v>481</v>
      </c>
      <c r="E2737" s="159">
        <v>12</v>
      </c>
      <c r="F2737" s="159" t="s">
        <v>5667</v>
      </c>
      <c r="G2737" s="159" t="s">
        <v>12251</v>
      </c>
    </row>
    <row r="2738" spans="1:7" ht="15.75" customHeight="1">
      <c r="A2738" s="159" t="s">
        <v>9275</v>
      </c>
      <c r="B2738" s="159" t="s">
        <v>9972</v>
      </c>
      <c r="C2738" s="159" t="s">
        <v>1826</v>
      </c>
      <c r="D2738" s="159" t="s">
        <v>481</v>
      </c>
      <c r="E2738" s="159">
        <v>12</v>
      </c>
      <c r="F2738" s="159" t="s">
        <v>5667</v>
      </c>
      <c r="G2738" s="159" t="s">
        <v>2415</v>
      </c>
    </row>
    <row r="2739" spans="1:7" ht="15.75" customHeight="1">
      <c r="A2739" s="159" t="s">
        <v>9275</v>
      </c>
      <c r="B2739" s="159" t="s">
        <v>9972</v>
      </c>
      <c r="C2739" s="159" t="s">
        <v>12246</v>
      </c>
      <c r="D2739" s="159" t="s">
        <v>481</v>
      </c>
      <c r="E2739" s="159">
        <v>12</v>
      </c>
      <c r="F2739" s="159" t="s">
        <v>5667</v>
      </c>
      <c r="G2739" s="159" t="s">
        <v>12247</v>
      </c>
    </row>
    <row r="2740" spans="1:7" ht="15.75" customHeight="1">
      <c r="A2740" s="159" t="s">
        <v>9275</v>
      </c>
      <c r="B2740" s="159" t="s">
        <v>9972</v>
      </c>
      <c r="C2740" s="159" t="s">
        <v>10942</v>
      </c>
      <c r="D2740" s="159" t="s">
        <v>481</v>
      </c>
      <c r="E2740" s="159">
        <v>12</v>
      </c>
      <c r="F2740" s="159" t="s">
        <v>5667</v>
      </c>
      <c r="G2740" s="159" t="s">
        <v>3497</v>
      </c>
    </row>
    <row r="2741" spans="1:7" ht="15.75" customHeight="1">
      <c r="A2741" s="159" t="s">
        <v>9275</v>
      </c>
      <c r="B2741" s="159" t="s">
        <v>9972</v>
      </c>
      <c r="C2741" s="159" t="s">
        <v>12254</v>
      </c>
      <c r="D2741" s="159" t="s">
        <v>481</v>
      </c>
      <c r="E2741" s="159">
        <v>12</v>
      </c>
      <c r="F2741" s="159" t="s">
        <v>5667</v>
      </c>
      <c r="G2741" s="159" t="s">
        <v>12255</v>
      </c>
    </row>
    <row r="2742" spans="1:7" ht="15.75" customHeight="1">
      <c r="A2742" s="159" t="s">
        <v>9275</v>
      </c>
      <c r="B2742" s="159" t="s">
        <v>9972</v>
      </c>
      <c r="C2742" s="159" t="s">
        <v>12252</v>
      </c>
      <c r="D2742" s="159" t="s">
        <v>481</v>
      </c>
      <c r="E2742" s="159">
        <v>12</v>
      </c>
      <c r="F2742" s="159" t="s">
        <v>5667</v>
      </c>
      <c r="G2742" s="159" t="s">
        <v>12253</v>
      </c>
    </row>
    <row r="2743" spans="1:7" ht="15.75" customHeight="1">
      <c r="A2743" s="159" t="s">
        <v>9275</v>
      </c>
      <c r="B2743" s="159" t="s">
        <v>9972</v>
      </c>
      <c r="C2743" s="159" t="s">
        <v>1394</v>
      </c>
      <c r="D2743" s="159" t="s">
        <v>484</v>
      </c>
      <c r="E2743" s="159">
        <v>10</v>
      </c>
      <c r="F2743" s="159" t="s">
        <v>5667</v>
      </c>
      <c r="G2743" s="159" t="s">
        <v>4828</v>
      </c>
    </row>
    <row r="2744" spans="1:7" ht="15.75" customHeight="1">
      <c r="A2744" s="159" t="s">
        <v>9275</v>
      </c>
      <c r="B2744" s="159" t="s">
        <v>9972</v>
      </c>
      <c r="C2744" s="159" t="s">
        <v>10680</v>
      </c>
      <c r="D2744" s="159" t="s">
        <v>484</v>
      </c>
      <c r="E2744" s="159">
        <v>10</v>
      </c>
      <c r="F2744" s="159" t="s">
        <v>5667</v>
      </c>
      <c r="G2744" s="159" t="s">
        <v>11324</v>
      </c>
    </row>
    <row r="2745" spans="1:7" ht="15.75" customHeight="1">
      <c r="A2745" s="159" t="s">
        <v>9275</v>
      </c>
      <c r="B2745" s="159" t="s">
        <v>9972</v>
      </c>
      <c r="C2745" s="159" t="s">
        <v>10875</v>
      </c>
      <c r="D2745" s="159" t="s">
        <v>3893</v>
      </c>
      <c r="E2745" s="159">
        <v>65535</v>
      </c>
      <c r="F2745" s="159" t="s">
        <v>5667</v>
      </c>
      <c r="G2745" s="159" t="s">
        <v>12227</v>
      </c>
    </row>
    <row r="2746" spans="1:7" ht="15.75" customHeight="1">
      <c r="A2746" s="159" t="s">
        <v>9275</v>
      </c>
      <c r="B2746" s="159" t="s">
        <v>9972</v>
      </c>
      <c r="C2746" s="159" t="s">
        <v>5891</v>
      </c>
      <c r="D2746" s="159" t="s">
        <v>3893</v>
      </c>
      <c r="E2746" s="159">
        <v>65535</v>
      </c>
      <c r="F2746" s="159" t="s">
        <v>5667</v>
      </c>
      <c r="G2746" s="159" t="s">
        <v>1729</v>
      </c>
    </row>
    <row r="2747" spans="1:7" ht="15.75" customHeight="1">
      <c r="A2747" s="159" t="s">
        <v>9275</v>
      </c>
      <c r="B2747" s="159" t="s">
        <v>9972</v>
      </c>
      <c r="C2747" s="159" t="s">
        <v>5624</v>
      </c>
      <c r="D2747" s="159" t="s">
        <v>477</v>
      </c>
      <c r="E2747" s="159">
        <v>255</v>
      </c>
      <c r="F2747" s="159" t="s">
        <v>5667</v>
      </c>
      <c r="G2747" s="159" t="s">
        <v>12238</v>
      </c>
    </row>
    <row r="2748" spans="1:7" ht="15.75" customHeight="1">
      <c r="A2748" s="159" t="s">
        <v>9275</v>
      </c>
      <c r="B2748" s="159" t="s">
        <v>9972</v>
      </c>
      <c r="C2748" s="159" t="s">
        <v>156</v>
      </c>
      <c r="D2748" s="159" t="s">
        <v>477</v>
      </c>
      <c r="E2748" s="159">
        <v>255</v>
      </c>
      <c r="F2748" s="159" t="s">
        <v>5667</v>
      </c>
      <c r="G2748" s="159" t="s">
        <v>4306</v>
      </c>
    </row>
    <row r="2749" spans="1:7" ht="15.75" customHeight="1">
      <c r="A2749" s="159" t="s">
        <v>9275</v>
      </c>
      <c r="B2749" s="159" t="s">
        <v>9972</v>
      </c>
      <c r="C2749" s="159" t="s">
        <v>12197</v>
      </c>
      <c r="D2749" s="159" t="s">
        <v>481</v>
      </c>
      <c r="E2749" s="159">
        <v>12</v>
      </c>
      <c r="F2749" s="159" t="s">
        <v>5667</v>
      </c>
      <c r="G2749" s="159" t="s">
        <v>12198</v>
      </c>
    </row>
    <row r="2750" spans="1:7" ht="15.75" customHeight="1">
      <c r="A2750" s="159" t="s">
        <v>9275</v>
      </c>
      <c r="B2750" s="159" t="s">
        <v>9972</v>
      </c>
      <c r="C2750" s="159" t="s">
        <v>12199</v>
      </c>
      <c r="D2750" s="159" t="s">
        <v>481</v>
      </c>
      <c r="E2750" s="159">
        <v>12</v>
      </c>
      <c r="F2750" s="159" t="s">
        <v>5667</v>
      </c>
      <c r="G2750" s="159" t="s">
        <v>12200</v>
      </c>
    </row>
    <row r="2751" spans="1:7" ht="15.75" customHeight="1">
      <c r="A2751" s="159" t="s">
        <v>9275</v>
      </c>
      <c r="B2751" s="159" t="s">
        <v>9972</v>
      </c>
      <c r="C2751" s="159" t="s">
        <v>12469</v>
      </c>
      <c r="D2751" s="159" t="s">
        <v>3893</v>
      </c>
      <c r="E2751" s="159">
        <v>65535</v>
      </c>
      <c r="F2751" s="159" t="s">
        <v>5667</v>
      </c>
      <c r="G2751" s="159" t="s">
        <v>12470</v>
      </c>
    </row>
    <row r="2752" spans="1:7" ht="15.75" customHeight="1">
      <c r="A2752" s="159" t="s">
        <v>9275</v>
      </c>
      <c r="B2752" s="159" t="s">
        <v>9972</v>
      </c>
      <c r="C2752" s="159" t="s">
        <v>12268</v>
      </c>
      <c r="D2752" s="159" t="s">
        <v>3893</v>
      </c>
      <c r="E2752" s="159">
        <v>65535</v>
      </c>
      <c r="F2752" s="159" t="s">
        <v>5667</v>
      </c>
      <c r="G2752" s="159" t="s">
        <v>12269</v>
      </c>
    </row>
    <row r="2753" spans="1:7" ht="15.75" customHeight="1">
      <c r="A2753" s="159" t="s">
        <v>9275</v>
      </c>
      <c r="B2753" s="159" t="s">
        <v>9972</v>
      </c>
      <c r="C2753" s="159" t="s">
        <v>12270</v>
      </c>
      <c r="D2753" s="159" t="s">
        <v>481</v>
      </c>
      <c r="E2753" s="159">
        <v>12</v>
      </c>
      <c r="F2753" s="159" t="s">
        <v>5667</v>
      </c>
      <c r="G2753" s="159" t="s">
        <v>12271</v>
      </c>
    </row>
    <row r="2754" spans="1:7" ht="15.75" customHeight="1">
      <c r="A2754" s="159" t="s">
        <v>9275</v>
      </c>
      <c r="B2754" s="159" t="s">
        <v>9972</v>
      </c>
      <c r="C2754" s="159" t="s">
        <v>12272</v>
      </c>
      <c r="D2754" s="159" t="s">
        <v>481</v>
      </c>
      <c r="E2754" s="159">
        <v>12</v>
      </c>
      <c r="F2754" s="159" t="s">
        <v>5667</v>
      </c>
      <c r="G2754" s="159" t="s">
        <v>12273</v>
      </c>
    </row>
    <row r="2755" spans="1:7" ht="15.75" customHeight="1">
      <c r="A2755" s="159" t="s">
        <v>9275</v>
      </c>
      <c r="B2755" s="159" t="s">
        <v>9972</v>
      </c>
      <c r="C2755" s="159" t="s">
        <v>12274</v>
      </c>
      <c r="D2755" s="159" t="s">
        <v>481</v>
      </c>
      <c r="E2755" s="159">
        <v>12</v>
      </c>
      <c r="F2755" s="159" t="s">
        <v>5667</v>
      </c>
      <c r="G2755" s="159" t="s">
        <v>12275</v>
      </c>
    </row>
    <row r="2756" spans="1:7" ht="15.75" customHeight="1">
      <c r="A2756" s="159" t="s">
        <v>9275</v>
      </c>
      <c r="B2756" s="159" t="s">
        <v>9972</v>
      </c>
      <c r="C2756" s="159" t="s">
        <v>12276</v>
      </c>
      <c r="D2756" s="159" t="s">
        <v>481</v>
      </c>
      <c r="E2756" s="159">
        <v>12</v>
      </c>
      <c r="F2756" s="159" t="s">
        <v>5667</v>
      </c>
      <c r="G2756" s="159" t="s">
        <v>12277</v>
      </c>
    </row>
    <row r="2757" spans="1:7" ht="15.75" customHeight="1">
      <c r="A2757" s="159" t="s">
        <v>9275</v>
      </c>
      <c r="B2757" s="159" t="s">
        <v>9972</v>
      </c>
      <c r="C2757" s="159" t="s">
        <v>12278</v>
      </c>
      <c r="D2757" s="159" t="s">
        <v>481</v>
      </c>
      <c r="E2757" s="159">
        <v>12</v>
      </c>
      <c r="F2757" s="159" t="s">
        <v>5667</v>
      </c>
      <c r="G2757" s="159" t="s">
        <v>12279</v>
      </c>
    </row>
    <row r="2758" spans="1:7" ht="15.75" customHeight="1">
      <c r="A2758" s="159" t="s">
        <v>9275</v>
      </c>
      <c r="B2758" s="159" t="s">
        <v>9972</v>
      </c>
      <c r="C2758" s="159" t="s">
        <v>12280</v>
      </c>
      <c r="D2758" s="159" t="s">
        <v>481</v>
      </c>
      <c r="E2758" s="159">
        <v>12</v>
      </c>
      <c r="F2758" s="159" t="s">
        <v>5667</v>
      </c>
      <c r="G2758" s="159" t="s">
        <v>12281</v>
      </c>
    </row>
    <row r="2759" spans="1:7" ht="15.75" customHeight="1">
      <c r="A2759" s="159" t="s">
        <v>9275</v>
      </c>
      <c r="B2759" s="159" t="s">
        <v>9972</v>
      </c>
      <c r="C2759" s="159" t="s">
        <v>12282</v>
      </c>
      <c r="D2759" s="159" t="s">
        <v>481</v>
      </c>
      <c r="E2759" s="159">
        <v>12</v>
      </c>
      <c r="F2759" s="159" t="s">
        <v>5667</v>
      </c>
      <c r="G2759" s="159" t="s">
        <v>12283</v>
      </c>
    </row>
    <row r="2760" spans="1:7" ht="15.75" customHeight="1">
      <c r="A2760" s="159" t="s">
        <v>9275</v>
      </c>
      <c r="B2760" s="159" t="s">
        <v>9972</v>
      </c>
      <c r="C2760" s="159" t="s">
        <v>12284</v>
      </c>
      <c r="D2760" s="159" t="s">
        <v>481</v>
      </c>
      <c r="E2760" s="159">
        <v>12</v>
      </c>
      <c r="F2760" s="159" t="s">
        <v>5667</v>
      </c>
      <c r="G2760" s="159" t="s">
        <v>12285</v>
      </c>
    </row>
    <row r="2761" spans="1:7" ht="15.75" customHeight="1">
      <c r="A2761" s="159" t="s">
        <v>9275</v>
      </c>
      <c r="B2761" s="159" t="s">
        <v>9974</v>
      </c>
      <c r="C2761" s="159" t="s">
        <v>10287</v>
      </c>
      <c r="D2761" s="159" t="s">
        <v>484</v>
      </c>
      <c r="E2761" s="159">
        <v>10</v>
      </c>
      <c r="F2761" s="159" t="s">
        <v>5665</v>
      </c>
      <c r="G2761" s="159" t="s">
        <v>10237</v>
      </c>
    </row>
    <row r="2762" spans="1:7" ht="15.75" customHeight="1">
      <c r="A2762" s="159" t="s">
        <v>9275</v>
      </c>
      <c r="B2762" s="159" t="s">
        <v>9974</v>
      </c>
      <c r="C2762" s="159" t="s">
        <v>10290</v>
      </c>
      <c r="D2762" s="159" t="s">
        <v>978</v>
      </c>
      <c r="E2762" s="159">
        <v>5</v>
      </c>
      <c r="F2762" s="159" t="s">
        <v>5667</v>
      </c>
      <c r="G2762" s="159" t="s">
        <v>10507</v>
      </c>
    </row>
    <row r="2763" spans="1:7" ht="15.75" customHeight="1">
      <c r="A2763" s="159" t="s">
        <v>9275</v>
      </c>
      <c r="B2763" s="159" t="s">
        <v>9974</v>
      </c>
      <c r="C2763" s="159" t="s">
        <v>12077</v>
      </c>
      <c r="D2763" s="159" t="s">
        <v>481</v>
      </c>
      <c r="E2763" s="159">
        <v>20</v>
      </c>
      <c r="F2763" s="159" t="s">
        <v>5667</v>
      </c>
      <c r="G2763" s="159" t="s">
        <v>12078</v>
      </c>
    </row>
    <row r="2764" spans="1:7" ht="15.75" customHeight="1">
      <c r="A2764" s="159" t="s">
        <v>9275</v>
      </c>
      <c r="B2764" s="159" t="s">
        <v>9974</v>
      </c>
      <c r="C2764" s="159" t="s">
        <v>12177</v>
      </c>
      <c r="D2764" s="159" t="s">
        <v>481</v>
      </c>
      <c r="E2764" s="159">
        <v>20</v>
      </c>
      <c r="F2764" s="159" t="s">
        <v>5667</v>
      </c>
      <c r="G2764" s="159" t="s">
        <v>12178</v>
      </c>
    </row>
    <row r="2765" spans="1:7" ht="15.75" customHeight="1">
      <c r="A2765" s="159" t="s">
        <v>9275</v>
      </c>
      <c r="B2765" s="159" t="s">
        <v>9974</v>
      </c>
      <c r="C2765" s="159" t="s">
        <v>12169</v>
      </c>
      <c r="D2765" s="159" t="s">
        <v>481</v>
      </c>
      <c r="E2765" s="159">
        <v>20</v>
      </c>
      <c r="F2765" s="159" t="s">
        <v>5667</v>
      </c>
      <c r="G2765" s="159" t="s">
        <v>12170</v>
      </c>
    </row>
    <row r="2766" spans="1:7" ht="15.75" customHeight="1">
      <c r="A2766" s="159" t="s">
        <v>9275</v>
      </c>
      <c r="B2766" s="159" t="s">
        <v>9974</v>
      </c>
      <c r="C2766" s="159" t="s">
        <v>12171</v>
      </c>
      <c r="D2766" s="159" t="s">
        <v>481</v>
      </c>
      <c r="E2766" s="159">
        <v>20</v>
      </c>
      <c r="F2766" s="159" t="s">
        <v>5667</v>
      </c>
      <c r="G2766" s="159" t="s">
        <v>12172</v>
      </c>
    </row>
    <row r="2767" spans="1:7" ht="15.75" customHeight="1">
      <c r="A2767" s="159" t="s">
        <v>9275</v>
      </c>
      <c r="B2767" s="159" t="s">
        <v>9974</v>
      </c>
      <c r="C2767" s="159" t="s">
        <v>12425</v>
      </c>
      <c r="D2767" s="159" t="s">
        <v>481</v>
      </c>
      <c r="E2767" s="159">
        <v>20</v>
      </c>
      <c r="F2767" s="159" t="s">
        <v>5667</v>
      </c>
      <c r="G2767" s="159" t="s">
        <v>12426</v>
      </c>
    </row>
    <row r="2768" spans="1:7" ht="15.75" customHeight="1">
      <c r="A2768" s="159" t="s">
        <v>9275</v>
      </c>
      <c r="B2768" s="159" t="s">
        <v>9974</v>
      </c>
      <c r="C2768" s="159" t="s">
        <v>12179</v>
      </c>
      <c r="D2768" s="159" t="s">
        <v>481</v>
      </c>
      <c r="E2768" s="159">
        <v>20</v>
      </c>
      <c r="F2768" s="159" t="s">
        <v>5667</v>
      </c>
      <c r="G2768" s="159" t="s">
        <v>12180</v>
      </c>
    </row>
    <row r="2769" spans="1:7" ht="15.75" customHeight="1">
      <c r="A2769" s="159" t="s">
        <v>9275</v>
      </c>
      <c r="B2769" s="159" t="s">
        <v>9974</v>
      </c>
      <c r="C2769" s="159" t="s">
        <v>12181</v>
      </c>
      <c r="D2769" s="159" t="s">
        <v>481</v>
      </c>
      <c r="E2769" s="159">
        <v>20</v>
      </c>
      <c r="F2769" s="159" t="s">
        <v>5667</v>
      </c>
      <c r="G2769" s="159" t="s">
        <v>12182</v>
      </c>
    </row>
    <row r="2770" spans="1:7" ht="15.75" customHeight="1">
      <c r="A2770" s="159" t="s">
        <v>9275</v>
      </c>
      <c r="B2770" s="159" t="s">
        <v>9974</v>
      </c>
      <c r="C2770" s="159" t="s">
        <v>12427</v>
      </c>
      <c r="D2770" s="159" t="s">
        <v>481</v>
      </c>
      <c r="E2770" s="159">
        <v>20</v>
      </c>
      <c r="F2770" s="159" t="s">
        <v>5667</v>
      </c>
      <c r="G2770" s="159" t="s">
        <v>12428</v>
      </c>
    </row>
    <row r="2771" spans="1:7" ht="15.75" customHeight="1">
      <c r="A2771" s="159" t="s">
        <v>9275</v>
      </c>
      <c r="B2771" s="159" t="s">
        <v>9974</v>
      </c>
      <c r="C2771" s="159" t="s">
        <v>12076</v>
      </c>
      <c r="D2771" s="159" t="s">
        <v>481</v>
      </c>
      <c r="E2771" s="159">
        <v>20</v>
      </c>
      <c r="F2771" s="159" t="s">
        <v>5667</v>
      </c>
      <c r="G2771" s="159" t="s">
        <v>9</v>
      </c>
    </row>
    <row r="2772" spans="1:7" ht="15.75" customHeight="1">
      <c r="A2772" s="159" t="s">
        <v>9275</v>
      </c>
      <c r="B2772" s="159" t="s">
        <v>9974</v>
      </c>
      <c r="C2772" s="159" t="s">
        <v>12173</v>
      </c>
      <c r="D2772" s="159" t="s">
        <v>481</v>
      </c>
      <c r="E2772" s="159">
        <v>20</v>
      </c>
      <c r="F2772" s="159" t="s">
        <v>5667</v>
      </c>
      <c r="G2772" s="159" t="s">
        <v>12174</v>
      </c>
    </row>
    <row r="2773" spans="1:7" ht="15.75" customHeight="1">
      <c r="A2773" s="159" t="s">
        <v>9275</v>
      </c>
      <c r="B2773" s="159" t="s">
        <v>9974</v>
      </c>
      <c r="C2773" s="159" t="s">
        <v>12193</v>
      </c>
      <c r="D2773" s="159" t="s">
        <v>481</v>
      </c>
      <c r="E2773" s="159">
        <v>20</v>
      </c>
      <c r="F2773" s="159" t="s">
        <v>5667</v>
      </c>
      <c r="G2773" s="159" t="s">
        <v>12194</v>
      </c>
    </row>
    <row r="2774" spans="1:7" ht="15.75" customHeight="1">
      <c r="A2774" s="159" t="s">
        <v>9275</v>
      </c>
      <c r="B2774" s="159" t="s">
        <v>9974</v>
      </c>
      <c r="C2774" s="159" t="s">
        <v>12431</v>
      </c>
      <c r="D2774" s="159" t="s">
        <v>481</v>
      </c>
      <c r="E2774" s="159">
        <v>20</v>
      </c>
      <c r="F2774" s="159" t="s">
        <v>5667</v>
      </c>
      <c r="G2774" s="159" t="s">
        <v>12432</v>
      </c>
    </row>
    <row r="2775" spans="1:7" ht="15.75" customHeight="1">
      <c r="A2775" s="159" t="s">
        <v>9275</v>
      </c>
      <c r="B2775" s="159" t="s">
        <v>9974</v>
      </c>
      <c r="C2775" s="159" t="s">
        <v>12066</v>
      </c>
      <c r="D2775" s="159" t="s">
        <v>481</v>
      </c>
      <c r="E2775" s="159">
        <v>20</v>
      </c>
      <c r="F2775" s="159" t="s">
        <v>5667</v>
      </c>
      <c r="G2775" s="159" t="s">
        <v>12067</v>
      </c>
    </row>
    <row r="2776" spans="1:7" ht="15.75" customHeight="1">
      <c r="A2776" s="159" t="s">
        <v>9275</v>
      </c>
      <c r="B2776" s="159" t="s">
        <v>9974</v>
      </c>
      <c r="C2776" s="159" t="s">
        <v>12175</v>
      </c>
      <c r="D2776" s="159" t="s">
        <v>481</v>
      </c>
      <c r="E2776" s="159">
        <v>20</v>
      </c>
      <c r="F2776" s="159" t="s">
        <v>5667</v>
      </c>
      <c r="G2776" s="159" t="s">
        <v>12176</v>
      </c>
    </row>
    <row r="2777" spans="1:7" ht="15.75" customHeight="1">
      <c r="A2777" s="159" t="s">
        <v>9275</v>
      </c>
      <c r="B2777" s="159" t="s">
        <v>9974</v>
      </c>
      <c r="C2777" s="159" t="s">
        <v>12471</v>
      </c>
      <c r="D2777" s="159" t="s">
        <v>481</v>
      </c>
      <c r="E2777" s="159">
        <v>12</v>
      </c>
      <c r="F2777" s="159" t="s">
        <v>5667</v>
      </c>
      <c r="G2777" s="159" t="s">
        <v>12472</v>
      </c>
    </row>
    <row r="2778" spans="1:7" ht="15.75" customHeight="1">
      <c r="A2778" s="159" t="s">
        <v>9275</v>
      </c>
      <c r="B2778" s="159" t="s">
        <v>9974</v>
      </c>
      <c r="C2778" s="159" t="s">
        <v>12109</v>
      </c>
      <c r="D2778" s="159" t="s">
        <v>481</v>
      </c>
      <c r="E2778" s="159">
        <v>20</v>
      </c>
      <c r="F2778" s="159" t="s">
        <v>5667</v>
      </c>
      <c r="G2778" s="159" t="s">
        <v>12110</v>
      </c>
    </row>
    <row r="2779" spans="1:7" ht="15.75" customHeight="1">
      <c r="A2779" s="159" t="s">
        <v>9275</v>
      </c>
      <c r="B2779" s="159" t="s">
        <v>9974</v>
      </c>
      <c r="C2779" s="159" t="s">
        <v>12117</v>
      </c>
      <c r="D2779" s="159" t="s">
        <v>481</v>
      </c>
      <c r="E2779" s="159">
        <v>20</v>
      </c>
      <c r="F2779" s="159" t="s">
        <v>5667</v>
      </c>
      <c r="G2779" s="159" t="s">
        <v>12118</v>
      </c>
    </row>
    <row r="2780" spans="1:7" ht="15.75" customHeight="1">
      <c r="A2780" s="159" t="s">
        <v>9275</v>
      </c>
      <c r="B2780" s="159" t="s">
        <v>9974</v>
      </c>
      <c r="C2780" s="159" t="s">
        <v>12119</v>
      </c>
      <c r="D2780" s="159" t="s">
        <v>481</v>
      </c>
      <c r="E2780" s="159">
        <v>20</v>
      </c>
      <c r="F2780" s="159" t="s">
        <v>5667</v>
      </c>
      <c r="G2780" s="159" t="s">
        <v>12120</v>
      </c>
    </row>
    <row r="2781" spans="1:7" ht="15.75" customHeight="1">
      <c r="A2781" s="159" t="s">
        <v>9275</v>
      </c>
      <c r="B2781" s="159" t="s">
        <v>9974</v>
      </c>
      <c r="C2781" s="159" t="s">
        <v>5845</v>
      </c>
      <c r="D2781" s="159" t="s">
        <v>481</v>
      </c>
      <c r="E2781" s="159">
        <v>20</v>
      </c>
      <c r="F2781" s="159" t="s">
        <v>5667</v>
      </c>
      <c r="G2781" s="159" t="s">
        <v>11064</v>
      </c>
    </row>
    <row r="2782" spans="1:7" ht="15.75" customHeight="1">
      <c r="A2782" s="159" t="s">
        <v>9275</v>
      </c>
      <c r="B2782" s="159" t="s">
        <v>9974</v>
      </c>
      <c r="C2782" s="159" t="s">
        <v>12449</v>
      </c>
      <c r="D2782" s="159" t="s">
        <v>484</v>
      </c>
      <c r="E2782" s="159">
        <v>10</v>
      </c>
      <c r="F2782" s="159" t="s">
        <v>5667</v>
      </c>
      <c r="G2782" s="159" t="s">
        <v>12450</v>
      </c>
    </row>
    <row r="2783" spans="1:7" ht="15.75" customHeight="1">
      <c r="A2783" s="159" t="s">
        <v>9275</v>
      </c>
      <c r="B2783" s="159" t="s">
        <v>9974</v>
      </c>
      <c r="C2783" s="159" t="s">
        <v>12473</v>
      </c>
      <c r="D2783" s="159" t="s">
        <v>978</v>
      </c>
      <c r="E2783" s="159">
        <v>5</v>
      </c>
      <c r="F2783" s="159" t="s">
        <v>5667</v>
      </c>
      <c r="G2783" s="159" t="s">
        <v>12474</v>
      </c>
    </row>
    <row r="2784" spans="1:7" ht="15.75" customHeight="1">
      <c r="A2784" s="159" t="s">
        <v>9275</v>
      </c>
      <c r="B2784" s="159" t="s">
        <v>9974</v>
      </c>
      <c r="C2784" s="159" t="s">
        <v>3635</v>
      </c>
      <c r="D2784" s="159" t="s">
        <v>484</v>
      </c>
      <c r="E2784" s="159">
        <v>10</v>
      </c>
      <c r="F2784" s="159" t="s">
        <v>5665</v>
      </c>
      <c r="G2784" s="159" t="s">
        <v>10722</v>
      </c>
    </row>
    <row r="2785" spans="1:7" ht="15.75" customHeight="1">
      <c r="A2785" s="159" t="s">
        <v>9275</v>
      </c>
      <c r="B2785" s="159" t="s">
        <v>9974</v>
      </c>
      <c r="C2785" s="159" t="s">
        <v>12441</v>
      </c>
      <c r="D2785" s="159" t="s">
        <v>978</v>
      </c>
      <c r="E2785" s="159">
        <v>5</v>
      </c>
      <c r="F2785" s="159" t="s">
        <v>5667</v>
      </c>
      <c r="G2785" s="159" t="s">
        <v>12442</v>
      </c>
    </row>
    <row r="2786" spans="1:7" ht="15.75" customHeight="1">
      <c r="A2786" s="159" t="s">
        <v>9275</v>
      </c>
      <c r="B2786" s="159" t="s">
        <v>9974</v>
      </c>
      <c r="C2786" s="159" t="s">
        <v>12443</v>
      </c>
      <c r="D2786" s="159" t="s">
        <v>978</v>
      </c>
      <c r="E2786" s="159">
        <v>5</v>
      </c>
      <c r="F2786" s="159" t="s">
        <v>5667</v>
      </c>
      <c r="G2786" s="159" t="s">
        <v>12444</v>
      </c>
    </row>
    <row r="2787" spans="1:7" ht="15.75" customHeight="1">
      <c r="A2787" s="159" t="s">
        <v>9275</v>
      </c>
      <c r="B2787" s="159" t="s">
        <v>9974</v>
      </c>
      <c r="C2787" s="159" t="s">
        <v>12475</v>
      </c>
      <c r="D2787" s="159" t="s">
        <v>978</v>
      </c>
      <c r="E2787" s="159">
        <v>5</v>
      </c>
      <c r="F2787" s="159" t="s">
        <v>5667</v>
      </c>
      <c r="G2787" s="159" t="s">
        <v>12476</v>
      </c>
    </row>
    <row r="2788" spans="1:7" ht="15.75" customHeight="1">
      <c r="A2788" s="159" t="s">
        <v>9275</v>
      </c>
      <c r="B2788" s="159" t="s">
        <v>9974</v>
      </c>
      <c r="C2788" s="159" t="s">
        <v>5776</v>
      </c>
      <c r="D2788" s="159" t="s">
        <v>484</v>
      </c>
      <c r="E2788" s="159">
        <v>10</v>
      </c>
      <c r="F2788" s="159" t="s">
        <v>5667</v>
      </c>
      <c r="G2788" s="159" t="s">
        <v>7766</v>
      </c>
    </row>
    <row r="2789" spans="1:7" ht="15.75" customHeight="1">
      <c r="A2789" s="159" t="s">
        <v>9275</v>
      </c>
      <c r="B2789" s="159" t="s">
        <v>9974</v>
      </c>
      <c r="C2789" s="159" t="s">
        <v>12447</v>
      </c>
      <c r="D2789" s="159" t="s">
        <v>484</v>
      </c>
      <c r="E2789" s="159">
        <v>10</v>
      </c>
      <c r="F2789" s="159" t="s">
        <v>5667</v>
      </c>
      <c r="G2789" s="159" t="s">
        <v>12448</v>
      </c>
    </row>
    <row r="2790" spans="1:7" ht="15.75" customHeight="1">
      <c r="A2790" s="159" t="s">
        <v>9275</v>
      </c>
      <c r="B2790" s="159" t="s">
        <v>9974</v>
      </c>
      <c r="C2790" s="159" t="s">
        <v>12072</v>
      </c>
      <c r="D2790" s="159" t="s">
        <v>477</v>
      </c>
      <c r="E2790" s="159">
        <v>3</v>
      </c>
      <c r="F2790" s="159" t="s">
        <v>5667</v>
      </c>
      <c r="G2790" s="159" t="s">
        <v>12073</v>
      </c>
    </row>
    <row r="2791" spans="1:7" ht="15.75" customHeight="1">
      <c r="A2791" s="159" t="s">
        <v>9275</v>
      </c>
      <c r="B2791" s="159" t="s">
        <v>9974</v>
      </c>
      <c r="C2791" s="159" t="s">
        <v>11984</v>
      </c>
      <c r="D2791" s="159" t="s">
        <v>477</v>
      </c>
      <c r="E2791" s="159">
        <v>255</v>
      </c>
      <c r="F2791" s="159" t="s">
        <v>5667</v>
      </c>
      <c r="G2791" s="159" t="s">
        <v>11998</v>
      </c>
    </row>
    <row r="2792" spans="1:7" ht="15.75" customHeight="1">
      <c r="A2792" s="159" t="s">
        <v>9275</v>
      </c>
      <c r="B2792" s="159" t="s">
        <v>9974</v>
      </c>
      <c r="C2792" s="159" t="s">
        <v>12451</v>
      </c>
      <c r="D2792" s="159" t="s">
        <v>477</v>
      </c>
      <c r="E2792" s="159">
        <v>3</v>
      </c>
      <c r="F2792" s="159" t="s">
        <v>5667</v>
      </c>
      <c r="G2792" s="159" t="s">
        <v>12452</v>
      </c>
    </row>
    <row r="2793" spans="1:7" ht="15.75" customHeight="1">
      <c r="A2793" s="159" t="s">
        <v>9275</v>
      </c>
      <c r="B2793" s="159" t="s">
        <v>9974</v>
      </c>
      <c r="C2793" s="159" t="s">
        <v>12070</v>
      </c>
      <c r="D2793" s="159" t="s">
        <v>477</v>
      </c>
      <c r="E2793" s="159">
        <v>3</v>
      </c>
      <c r="F2793" s="159" t="s">
        <v>5667</v>
      </c>
      <c r="G2793" s="159" t="s">
        <v>12071</v>
      </c>
    </row>
    <row r="2794" spans="1:7" ht="15.75" customHeight="1">
      <c r="A2794" s="159" t="s">
        <v>9275</v>
      </c>
      <c r="B2794" s="159" t="s">
        <v>9974</v>
      </c>
      <c r="C2794" s="159" t="s">
        <v>12107</v>
      </c>
      <c r="D2794" s="159" t="s">
        <v>477</v>
      </c>
      <c r="E2794" s="159">
        <v>3</v>
      </c>
      <c r="F2794" s="159" t="s">
        <v>5667</v>
      </c>
      <c r="G2794" s="159" t="s">
        <v>12108</v>
      </c>
    </row>
    <row r="2795" spans="1:7" ht="15.75" customHeight="1">
      <c r="A2795" s="159" t="s">
        <v>9275</v>
      </c>
      <c r="B2795" s="159" t="s">
        <v>9974</v>
      </c>
      <c r="C2795" s="159" t="s">
        <v>11155</v>
      </c>
      <c r="D2795" s="159" t="s">
        <v>477</v>
      </c>
      <c r="E2795" s="159">
        <v>50</v>
      </c>
      <c r="F2795" s="159" t="s">
        <v>5667</v>
      </c>
      <c r="G2795" s="159" t="s">
        <v>11156</v>
      </c>
    </row>
    <row r="2796" spans="1:7" ht="15.75" customHeight="1">
      <c r="A2796" s="159" t="s">
        <v>9275</v>
      </c>
      <c r="B2796" s="159" t="s">
        <v>9974</v>
      </c>
      <c r="C2796" s="159" t="s">
        <v>10190</v>
      </c>
      <c r="D2796" s="159" t="s">
        <v>1413</v>
      </c>
      <c r="E2796" s="159"/>
      <c r="F2796" s="159" t="s">
        <v>5665</v>
      </c>
      <c r="G2796" s="159" t="s">
        <v>10281</v>
      </c>
    </row>
    <row r="2797" spans="1:7" ht="15.75" customHeight="1">
      <c r="A2797" s="159" t="s">
        <v>9275</v>
      </c>
      <c r="B2797" s="159" t="s">
        <v>9974</v>
      </c>
      <c r="C2797" s="159" t="s">
        <v>10242</v>
      </c>
      <c r="D2797" s="159" t="s">
        <v>1413</v>
      </c>
      <c r="E2797" s="159"/>
      <c r="F2797" s="159" t="s">
        <v>5665</v>
      </c>
      <c r="G2797" s="159" t="s">
        <v>10282</v>
      </c>
    </row>
    <row r="2798" spans="1:7" ht="15.75" customHeight="1">
      <c r="A2798" s="159" t="s">
        <v>9275</v>
      </c>
      <c r="B2798" s="159" t="s">
        <v>9974</v>
      </c>
      <c r="C2798" s="159" t="s">
        <v>12197</v>
      </c>
      <c r="D2798" s="159" t="s">
        <v>481</v>
      </c>
      <c r="E2798" s="159">
        <v>20</v>
      </c>
      <c r="F2798" s="159" t="s">
        <v>5667</v>
      </c>
      <c r="G2798" s="159" t="s">
        <v>12198</v>
      </c>
    </row>
    <row r="2799" spans="1:7" ht="15.75" customHeight="1">
      <c r="A2799" s="159" t="s">
        <v>9275</v>
      </c>
      <c r="B2799" s="159" t="s">
        <v>9974</v>
      </c>
      <c r="C2799" s="159" t="s">
        <v>12199</v>
      </c>
      <c r="D2799" s="159" t="s">
        <v>481</v>
      </c>
      <c r="E2799" s="159">
        <v>20</v>
      </c>
      <c r="F2799" s="159" t="s">
        <v>5667</v>
      </c>
      <c r="G2799" s="159" t="s">
        <v>12200</v>
      </c>
    </row>
    <row r="2800" spans="1:7" ht="15.75" customHeight="1">
      <c r="A2800" s="159" t="s">
        <v>9275</v>
      </c>
      <c r="B2800" s="159" t="s">
        <v>9974</v>
      </c>
      <c r="C2800" s="159" t="s">
        <v>12201</v>
      </c>
      <c r="D2800" s="159" t="s">
        <v>481</v>
      </c>
      <c r="E2800" s="159">
        <v>20</v>
      </c>
      <c r="F2800" s="159" t="s">
        <v>5667</v>
      </c>
      <c r="G2800" s="159" t="s">
        <v>12202</v>
      </c>
    </row>
    <row r="2801" spans="1:7" ht="15.75" customHeight="1">
      <c r="A2801" s="159" t="s">
        <v>9275</v>
      </c>
      <c r="B2801" s="159" t="s">
        <v>9974</v>
      </c>
      <c r="C2801" s="159" t="s">
        <v>12203</v>
      </c>
      <c r="D2801" s="159" t="s">
        <v>481</v>
      </c>
      <c r="E2801" s="159">
        <v>20</v>
      </c>
      <c r="F2801" s="159" t="s">
        <v>5667</v>
      </c>
      <c r="G2801" s="159" t="s">
        <v>12204</v>
      </c>
    </row>
    <row r="2802" spans="1:7" ht="15.75" customHeight="1">
      <c r="A2802" s="159" t="s">
        <v>9275</v>
      </c>
      <c r="B2802" s="159" t="s">
        <v>9974</v>
      </c>
      <c r="C2802" s="159" t="s">
        <v>12205</v>
      </c>
      <c r="D2802" s="159" t="s">
        <v>481</v>
      </c>
      <c r="E2802" s="159">
        <v>20</v>
      </c>
      <c r="F2802" s="159" t="s">
        <v>5667</v>
      </c>
      <c r="G2802" s="159" t="s">
        <v>12206</v>
      </c>
    </row>
    <row r="2803" spans="1:7" ht="15.75" customHeight="1">
      <c r="A2803" s="159" t="s">
        <v>9275</v>
      </c>
      <c r="B2803" s="159" t="s">
        <v>9974</v>
      </c>
      <c r="C2803" s="159" t="s">
        <v>12207</v>
      </c>
      <c r="D2803" s="159" t="s">
        <v>481</v>
      </c>
      <c r="E2803" s="159">
        <v>20</v>
      </c>
      <c r="F2803" s="159" t="s">
        <v>5667</v>
      </c>
      <c r="G2803" s="159" t="s">
        <v>12208</v>
      </c>
    </row>
    <row r="2804" spans="1:7" ht="15.75" customHeight="1">
      <c r="A2804" s="159" t="s">
        <v>9275</v>
      </c>
      <c r="B2804" s="159" t="s">
        <v>9974</v>
      </c>
      <c r="C2804" s="159" t="s">
        <v>12477</v>
      </c>
      <c r="D2804" s="159" t="s">
        <v>481</v>
      </c>
      <c r="E2804" s="159">
        <v>20</v>
      </c>
      <c r="F2804" s="159" t="s">
        <v>5667</v>
      </c>
      <c r="G2804" s="159" t="s">
        <v>12478</v>
      </c>
    </row>
    <row r="2805" spans="1:7" ht="15.75" customHeight="1">
      <c r="A2805" s="159" t="s">
        <v>9275</v>
      </c>
      <c r="B2805" s="159" t="s">
        <v>9974</v>
      </c>
      <c r="C2805" s="159" t="s">
        <v>12187</v>
      </c>
      <c r="D2805" s="159" t="s">
        <v>477</v>
      </c>
      <c r="E2805" s="159">
        <v>255</v>
      </c>
      <c r="F2805" s="159" t="s">
        <v>5667</v>
      </c>
      <c r="G2805" s="159" t="s">
        <v>12188</v>
      </c>
    </row>
    <row r="2806" spans="1:7" ht="15.75" customHeight="1">
      <c r="A2806" s="159" t="s">
        <v>9275</v>
      </c>
      <c r="B2806" s="159" t="s">
        <v>9974</v>
      </c>
      <c r="C2806" s="159" t="s">
        <v>12094</v>
      </c>
      <c r="D2806" s="159" t="s">
        <v>3893</v>
      </c>
      <c r="E2806" s="159">
        <v>65535</v>
      </c>
      <c r="F2806" s="159" t="s">
        <v>5667</v>
      </c>
      <c r="G2806" s="159" t="s">
        <v>12095</v>
      </c>
    </row>
    <row r="2807" spans="1:7" ht="15.75" customHeight="1">
      <c r="A2807" s="159" t="s">
        <v>9275</v>
      </c>
      <c r="B2807" s="159" t="s">
        <v>9974</v>
      </c>
      <c r="C2807" s="159" t="s">
        <v>12096</v>
      </c>
      <c r="D2807" s="159" t="s">
        <v>978</v>
      </c>
      <c r="E2807" s="159">
        <v>5</v>
      </c>
      <c r="F2807" s="159" t="s">
        <v>5667</v>
      </c>
      <c r="G2807" s="159" t="s">
        <v>12097</v>
      </c>
    </row>
    <row r="2808" spans="1:7" ht="15.75" customHeight="1">
      <c r="A2808" s="159" t="s">
        <v>9275</v>
      </c>
      <c r="B2808" s="159" t="s">
        <v>9976</v>
      </c>
      <c r="C2808" s="159" t="s">
        <v>10287</v>
      </c>
      <c r="D2808" s="159" t="s">
        <v>484</v>
      </c>
      <c r="E2808" s="159">
        <v>10</v>
      </c>
      <c r="F2808" s="159" t="s">
        <v>5665</v>
      </c>
      <c r="G2808" s="159" t="s">
        <v>10237</v>
      </c>
    </row>
    <row r="2809" spans="1:7" ht="15.75" customHeight="1">
      <c r="A2809" s="159" t="s">
        <v>9275</v>
      </c>
      <c r="B2809" s="159" t="s">
        <v>9976</v>
      </c>
      <c r="C2809" s="159" t="s">
        <v>5678</v>
      </c>
      <c r="D2809" s="159" t="s">
        <v>484</v>
      </c>
      <c r="E2809" s="159">
        <v>10</v>
      </c>
      <c r="F2809" s="159" t="s">
        <v>5665</v>
      </c>
      <c r="G2809" s="159" t="s">
        <v>10877</v>
      </c>
    </row>
    <row r="2810" spans="1:7" ht="15.75" customHeight="1">
      <c r="A2810" s="159" t="s">
        <v>9275</v>
      </c>
      <c r="B2810" s="159" t="s">
        <v>9976</v>
      </c>
      <c r="C2810" s="159" t="s">
        <v>12453</v>
      </c>
      <c r="D2810" s="159" t="s">
        <v>978</v>
      </c>
      <c r="E2810" s="159">
        <v>5</v>
      </c>
      <c r="F2810" s="159" t="s">
        <v>5667</v>
      </c>
      <c r="G2810" s="159" t="s">
        <v>12454</v>
      </c>
    </row>
    <row r="2811" spans="1:7" ht="15.75" customHeight="1">
      <c r="A2811" s="159" t="s">
        <v>9275</v>
      </c>
      <c r="B2811" s="159" t="s">
        <v>9976</v>
      </c>
      <c r="C2811" s="159" t="s">
        <v>10845</v>
      </c>
      <c r="D2811" s="159" t="s">
        <v>978</v>
      </c>
      <c r="E2811" s="159">
        <v>5</v>
      </c>
      <c r="F2811" s="159" t="s">
        <v>5665</v>
      </c>
      <c r="G2811" s="159" t="s">
        <v>10846</v>
      </c>
    </row>
    <row r="2812" spans="1:7" ht="15.75" customHeight="1">
      <c r="A2812" s="159" t="s">
        <v>9275</v>
      </c>
      <c r="B2812" s="159" t="s">
        <v>9976</v>
      </c>
      <c r="C2812" s="159" t="s">
        <v>5668</v>
      </c>
      <c r="D2812" s="159" t="s">
        <v>3893</v>
      </c>
      <c r="E2812" s="159">
        <v>65535</v>
      </c>
      <c r="F2812" s="159" t="s">
        <v>5667</v>
      </c>
      <c r="G2812" s="159" t="s">
        <v>1182</v>
      </c>
    </row>
    <row r="2813" spans="1:7" ht="15.75" customHeight="1">
      <c r="A2813" s="159" t="s">
        <v>9275</v>
      </c>
      <c r="B2813" s="159" t="s">
        <v>9976</v>
      </c>
      <c r="C2813" s="159" t="s">
        <v>10190</v>
      </c>
      <c r="D2813" s="159" t="s">
        <v>1413</v>
      </c>
      <c r="E2813" s="159"/>
      <c r="F2813" s="159" t="s">
        <v>5665</v>
      </c>
      <c r="G2813" s="159" t="s">
        <v>10281</v>
      </c>
    </row>
    <row r="2814" spans="1:7" ht="15.75" customHeight="1">
      <c r="A2814" s="159" t="s">
        <v>9275</v>
      </c>
      <c r="B2814" s="159" t="s">
        <v>9978</v>
      </c>
      <c r="C2814" s="159" t="s">
        <v>10287</v>
      </c>
      <c r="D2814" s="159" t="s">
        <v>484</v>
      </c>
      <c r="E2814" s="159">
        <v>10</v>
      </c>
      <c r="F2814" s="159" t="s">
        <v>5665</v>
      </c>
      <c r="G2814" s="159" t="s">
        <v>10237</v>
      </c>
    </row>
    <row r="2815" spans="1:7" ht="15.75" customHeight="1">
      <c r="A2815" s="159" t="s">
        <v>9275</v>
      </c>
      <c r="B2815" s="159" t="s">
        <v>9978</v>
      </c>
      <c r="C2815" s="159" t="s">
        <v>11155</v>
      </c>
      <c r="D2815" s="159" t="s">
        <v>477</v>
      </c>
      <c r="E2815" s="159">
        <v>50</v>
      </c>
      <c r="F2815" s="159" t="s">
        <v>5667</v>
      </c>
      <c r="G2815" s="159" t="s">
        <v>11156</v>
      </c>
    </row>
    <row r="2816" spans="1:7" ht="15.75" customHeight="1">
      <c r="A2816" s="159" t="s">
        <v>9275</v>
      </c>
      <c r="B2816" s="159" t="s">
        <v>9978</v>
      </c>
      <c r="C2816" s="159" t="s">
        <v>5776</v>
      </c>
      <c r="D2816" s="159" t="s">
        <v>484</v>
      </c>
      <c r="E2816" s="159">
        <v>10</v>
      </c>
      <c r="F2816" s="159" t="s">
        <v>5667</v>
      </c>
      <c r="G2816" s="159" t="s">
        <v>7766</v>
      </c>
    </row>
    <row r="2817" spans="1:7" ht="15.75" customHeight="1">
      <c r="A2817" s="159" t="s">
        <v>9275</v>
      </c>
      <c r="B2817" s="159" t="s">
        <v>9978</v>
      </c>
      <c r="C2817" s="159" t="s">
        <v>10290</v>
      </c>
      <c r="D2817" s="159" t="s">
        <v>978</v>
      </c>
      <c r="E2817" s="159">
        <v>5</v>
      </c>
      <c r="F2817" s="159" t="s">
        <v>5667</v>
      </c>
      <c r="G2817" s="159" t="s">
        <v>10507</v>
      </c>
    </row>
    <row r="2818" spans="1:7" ht="15.75" customHeight="1">
      <c r="A2818" s="159" t="s">
        <v>9275</v>
      </c>
      <c r="B2818" s="159" t="s">
        <v>9978</v>
      </c>
      <c r="C2818" s="159" t="s">
        <v>2241</v>
      </c>
      <c r="D2818" s="159" t="s">
        <v>477</v>
      </c>
      <c r="E2818" s="159">
        <v>255</v>
      </c>
      <c r="F2818" s="159" t="s">
        <v>5667</v>
      </c>
      <c r="G2818" s="159" t="s">
        <v>12479</v>
      </c>
    </row>
    <row r="2819" spans="1:7" ht="15.75" customHeight="1">
      <c r="A2819" s="159" t="s">
        <v>9275</v>
      </c>
      <c r="B2819" s="159" t="s">
        <v>9978</v>
      </c>
      <c r="C2819" s="159" t="s">
        <v>3635</v>
      </c>
      <c r="D2819" s="159" t="s">
        <v>484</v>
      </c>
      <c r="E2819" s="159">
        <v>10</v>
      </c>
      <c r="F2819" s="159" t="s">
        <v>5665</v>
      </c>
      <c r="G2819" s="159" t="s">
        <v>10722</v>
      </c>
    </row>
    <row r="2820" spans="1:7" ht="15.75" customHeight="1">
      <c r="A2820" s="159" t="s">
        <v>9275</v>
      </c>
      <c r="B2820" s="159" t="s">
        <v>9978</v>
      </c>
      <c r="C2820" s="159" t="s">
        <v>10748</v>
      </c>
      <c r="D2820" s="159" t="s">
        <v>477</v>
      </c>
      <c r="E2820" s="159">
        <v>50</v>
      </c>
      <c r="F2820" s="159" t="s">
        <v>5667</v>
      </c>
      <c r="G2820" s="159" t="s">
        <v>10749</v>
      </c>
    </row>
    <row r="2821" spans="1:7" ht="15.75" customHeight="1">
      <c r="A2821" s="159" t="s">
        <v>9275</v>
      </c>
      <c r="B2821" s="159" t="s">
        <v>9978</v>
      </c>
      <c r="C2821" s="159" t="s">
        <v>12455</v>
      </c>
      <c r="D2821" s="159" t="s">
        <v>1413</v>
      </c>
      <c r="E2821" s="159"/>
      <c r="F2821" s="159" t="s">
        <v>5667</v>
      </c>
      <c r="G2821" s="159" t="s">
        <v>12456</v>
      </c>
    </row>
    <row r="2822" spans="1:7" ht="15.75" customHeight="1">
      <c r="A2822" s="159" t="s">
        <v>9275</v>
      </c>
      <c r="B2822" s="159" t="s">
        <v>9978</v>
      </c>
      <c r="C2822" s="159" t="s">
        <v>3941</v>
      </c>
      <c r="D2822" s="159" t="s">
        <v>477</v>
      </c>
      <c r="E2822" s="159">
        <v>255</v>
      </c>
      <c r="F2822" s="159" t="s">
        <v>5667</v>
      </c>
      <c r="G2822" s="159" t="s">
        <v>10750</v>
      </c>
    </row>
    <row r="2823" spans="1:7" ht="15.75" customHeight="1">
      <c r="A2823" s="159" t="s">
        <v>9275</v>
      </c>
      <c r="B2823" s="159" t="s">
        <v>9978</v>
      </c>
      <c r="C2823" s="159" t="s">
        <v>11767</v>
      </c>
      <c r="D2823" s="159" t="s">
        <v>477</v>
      </c>
      <c r="E2823" s="159">
        <v>255</v>
      </c>
      <c r="F2823" s="159" t="s">
        <v>5667</v>
      </c>
      <c r="G2823" s="159" t="s">
        <v>11477</v>
      </c>
    </row>
    <row r="2824" spans="1:7" ht="15.75" customHeight="1">
      <c r="A2824" s="159" t="s">
        <v>9275</v>
      </c>
      <c r="B2824" s="159" t="s">
        <v>9978</v>
      </c>
      <c r="C2824" s="159" t="s">
        <v>10884</v>
      </c>
      <c r="D2824" s="159" t="s">
        <v>484</v>
      </c>
      <c r="E2824" s="159">
        <v>10</v>
      </c>
      <c r="F2824" s="159" t="s">
        <v>5667</v>
      </c>
      <c r="G2824" s="159"/>
    </row>
    <row r="2825" spans="1:7" ht="15.75" customHeight="1">
      <c r="A2825" s="159" t="s">
        <v>9275</v>
      </c>
      <c r="B2825" s="159" t="s">
        <v>9978</v>
      </c>
      <c r="C2825" s="159" t="s">
        <v>10752</v>
      </c>
      <c r="D2825" s="159" t="s">
        <v>477</v>
      </c>
      <c r="E2825" s="159">
        <v>128</v>
      </c>
      <c r="F2825" s="159" t="s">
        <v>5667</v>
      </c>
      <c r="G2825" s="159" t="s">
        <v>10753</v>
      </c>
    </row>
    <row r="2826" spans="1:7" ht="15.75" customHeight="1">
      <c r="A2826" s="159" t="s">
        <v>9275</v>
      </c>
      <c r="B2826" s="159" t="s">
        <v>9978</v>
      </c>
      <c r="C2826" s="159" t="s">
        <v>12072</v>
      </c>
      <c r="D2826" s="159" t="s">
        <v>477</v>
      </c>
      <c r="E2826" s="159">
        <v>3</v>
      </c>
      <c r="F2826" s="159" t="s">
        <v>5667</v>
      </c>
      <c r="G2826" s="159" t="s">
        <v>12073</v>
      </c>
    </row>
    <row r="2827" spans="1:7" ht="15.75" customHeight="1">
      <c r="A2827" s="159" t="s">
        <v>9275</v>
      </c>
      <c r="B2827" s="159" t="s">
        <v>9978</v>
      </c>
      <c r="C2827" s="159" t="s">
        <v>12451</v>
      </c>
      <c r="D2827" s="159" t="s">
        <v>477</v>
      </c>
      <c r="E2827" s="159">
        <v>3</v>
      </c>
      <c r="F2827" s="159" t="s">
        <v>5667</v>
      </c>
      <c r="G2827" s="159" t="s">
        <v>12452</v>
      </c>
    </row>
    <row r="2828" spans="1:7" ht="15.75" customHeight="1">
      <c r="A2828" s="159" t="s">
        <v>9275</v>
      </c>
      <c r="B2828" s="159" t="s">
        <v>9978</v>
      </c>
      <c r="C2828" s="159" t="s">
        <v>12070</v>
      </c>
      <c r="D2828" s="159" t="s">
        <v>477</v>
      </c>
      <c r="E2828" s="159">
        <v>3</v>
      </c>
      <c r="F2828" s="159" t="s">
        <v>5667</v>
      </c>
      <c r="G2828" s="159" t="s">
        <v>12071</v>
      </c>
    </row>
    <row r="2829" spans="1:7" ht="15.75" customHeight="1">
      <c r="A2829" s="159" t="s">
        <v>9275</v>
      </c>
      <c r="B2829" s="159" t="s">
        <v>9978</v>
      </c>
      <c r="C2829" s="159" t="s">
        <v>12107</v>
      </c>
      <c r="D2829" s="159" t="s">
        <v>477</v>
      </c>
      <c r="E2829" s="159">
        <v>3</v>
      </c>
      <c r="F2829" s="159" t="s">
        <v>5667</v>
      </c>
      <c r="G2829" s="159" t="s">
        <v>12108</v>
      </c>
    </row>
    <row r="2830" spans="1:7" ht="15.75" customHeight="1">
      <c r="A2830" s="159" t="s">
        <v>9275</v>
      </c>
      <c r="B2830" s="159" t="s">
        <v>9978</v>
      </c>
      <c r="C2830" s="159" t="s">
        <v>12457</v>
      </c>
      <c r="D2830" s="159" t="s">
        <v>477</v>
      </c>
      <c r="E2830" s="159">
        <v>255</v>
      </c>
      <c r="F2830" s="159" t="s">
        <v>5667</v>
      </c>
      <c r="G2830" s="159" t="s">
        <v>12458</v>
      </c>
    </row>
    <row r="2831" spans="1:7" ht="15.75" customHeight="1">
      <c r="A2831" s="159" t="s">
        <v>9275</v>
      </c>
      <c r="B2831" s="159" t="s">
        <v>9978</v>
      </c>
      <c r="C2831" s="159" t="s">
        <v>12459</v>
      </c>
      <c r="D2831" s="159" t="s">
        <v>477</v>
      </c>
      <c r="E2831" s="159">
        <v>255</v>
      </c>
      <c r="F2831" s="159" t="s">
        <v>5667</v>
      </c>
      <c r="G2831" s="159" t="s">
        <v>12460</v>
      </c>
    </row>
    <row r="2832" spans="1:7" ht="15.75" customHeight="1">
      <c r="A2832" s="159" t="s">
        <v>9275</v>
      </c>
      <c r="B2832" s="159" t="s">
        <v>9978</v>
      </c>
      <c r="C2832" s="159" t="s">
        <v>12461</v>
      </c>
      <c r="D2832" s="159" t="s">
        <v>477</v>
      </c>
      <c r="E2832" s="159">
        <v>255</v>
      </c>
      <c r="F2832" s="159" t="s">
        <v>5667</v>
      </c>
      <c r="G2832" s="159" t="s">
        <v>12462</v>
      </c>
    </row>
    <row r="2833" spans="1:7" ht="15.75" customHeight="1">
      <c r="A2833" s="159" t="s">
        <v>9275</v>
      </c>
      <c r="B2833" s="159" t="s">
        <v>9978</v>
      </c>
      <c r="C2833" s="159" t="s">
        <v>12463</v>
      </c>
      <c r="D2833" s="159" t="s">
        <v>477</v>
      </c>
      <c r="E2833" s="159">
        <v>255</v>
      </c>
      <c r="F2833" s="159" t="s">
        <v>5667</v>
      </c>
      <c r="G2833" s="159" t="s">
        <v>12464</v>
      </c>
    </row>
    <row r="2834" spans="1:7" ht="15.75" customHeight="1">
      <c r="A2834" s="159" t="s">
        <v>9275</v>
      </c>
      <c r="B2834" s="159" t="s">
        <v>9978</v>
      </c>
      <c r="C2834" s="159" t="s">
        <v>12117</v>
      </c>
      <c r="D2834" s="159" t="s">
        <v>481</v>
      </c>
      <c r="E2834" s="159">
        <v>20</v>
      </c>
      <c r="F2834" s="159" t="s">
        <v>5667</v>
      </c>
      <c r="G2834" s="159" t="s">
        <v>12118</v>
      </c>
    </row>
    <row r="2835" spans="1:7" ht="15.75" customHeight="1">
      <c r="A2835" s="159" t="s">
        <v>9275</v>
      </c>
      <c r="B2835" s="159" t="s">
        <v>9978</v>
      </c>
      <c r="C2835" s="159" t="s">
        <v>12465</v>
      </c>
      <c r="D2835" s="159" t="s">
        <v>481</v>
      </c>
      <c r="E2835" s="159">
        <v>20</v>
      </c>
      <c r="F2835" s="159" t="s">
        <v>5667</v>
      </c>
      <c r="G2835" s="159" t="s">
        <v>12466</v>
      </c>
    </row>
    <row r="2836" spans="1:7" ht="15.75" customHeight="1">
      <c r="A2836" s="159" t="s">
        <v>9275</v>
      </c>
      <c r="B2836" s="159" t="s">
        <v>9978</v>
      </c>
      <c r="C2836" s="159" t="s">
        <v>12076</v>
      </c>
      <c r="D2836" s="159" t="s">
        <v>481</v>
      </c>
      <c r="E2836" s="159">
        <v>20</v>
      </c>
      <c r="F2836" s="159" t="s">
        <v>5667</v>
      </c>
      <c r="G2836" s="159" t="s">
        <v>9</v>
      </c>
    </row>
    <row r="2837" spans="1:7" ht="15.75" customHeight="1">
      <c r="A2837" s="159" t="s">
        <v>9275</v>
      </c>
      <c r="B2837" s="159" t="s">
        <v>9978</v>
      </c>
      <c r="C2837" s="159" t="s">
        <v>10190</v>
      </c>
      <c r="D2837" s="159" t="s">
        <v>1413</v>
      </c>
      <c r="E2837" s="159"/>
      <c r="F2837" s="159" t="s">
        <v>5667</v>
      </c>
      <c r="G2837" s="159" t="s">
        <v>10281</v>
      </c>
    </row>
    <row r="2838" spans="1:7" ht="15.75" customHeight="1">
      <c r="A2838" s="159" t="s">
        <v>9275</v>
      </c>
      <c r="B2838" s="159" t="s">
        <v>9978</v>
      </c>
      <c r="C2838" s="159" t="s">
        <v>10242</v>
      </c>
      <c r="D2838" s="159" t="s">
        <v>1413</v>
      </c>
      <c r="E2838" s="159"/>
      <c r="F2838" s="159" t="s">
        <v>5667</v>
      </c>
      <c r="G2838" s="159" t="s">
        <v>10282</v>
      </c>
    </row>
    <row r="2839" spans="1:7" ht="15.75" customHeight="1">
      <c r="A2839" s="159" t="s">
        <v>9275</v>
      </c>
      <c r="B2839" s="159" t="s">
        <v>9978</v>
      </c>
      <c r="C2839" s="159" t="s">
        <v>12077</v>
      </c>
      <c r="D2839" s="159" t="s">
        <v>481</v>
      </c>
      <c r="E2839" s="159">
        <v>20</v>
      </c>
      <c r="F2839" s="159" t="s">
        <v>5667</v>
      </c>
      <c r="G2839" s="159" t="s">
        <v>12078</v>
      </c>
    </row>
    <row r="2840" spans="1:7" ht="15.75" customHeight="1">
      <c r="A2840" s="159" t="s">
        <v>9275</v>
      </c>
      <c r="B2840" s="159" t="s">
        <v>9980</v>
      </c>
      <c r="C2840" s="159" t="s">
        <v>10287</v>
      </c>
      <c r="D2840" s="159" t="s">
        <v>484</v>
      </c>
      <c r="E2840" s="159">
        <v>10</v>
      </c>
      <c r="F2840" s="159" t="s">
        <v>5665</v>
      </c>
      <c r="G2840" s="159" t="s">
        <v>10237</v>
      </c>
    </row>
    <row r="2841" spans="1:7" ht="15.75" customHeight="1">
      <c r="A2841" s="159" t="s">
        <v>9275</v>
      </c>
      <c r="B2841" s="159" t="s">
        <v>9980</v>
      </c>
      <c r="C2841" s="159" t="s">
        <v>5678</v>
      </c>
      <c r="D2841" s="159" t="s">
        <v>484</v>
      </c>
      <c r="E2841" s="159">
        <v>10</v>
      </c>
      <c r="F2841" s="159" t="s">
        <v>5665</v>
      </c>
      <c r="G2841" s="159" t="s">
        <v>10877</v>
      </c>
    </row>
    <row r="2842" spans="1:7" ht="15.75" customHeight="1">
      <c r="A2842" s="159" t="s">
        <v>9275</v>
      </c>
      <c r="B2842" s="159" t="s">
        <v>9980</v>
      </c>
      <c r="C2842" s="159" t="s">
        <v>12244</v>
      </c>
      <c r="D2842" s="159" t="s">
        <v>481</v>
      </c>
      <c r="E2842" s="159">
        <v>12</v>
      </c>
      <c r="F2842" s="159" t="s">
        <v>5667</v>
      </c>
      <c r="G2842" s="159" t="s">
        <v>12245</v>
      </c>
    </row>
    <row r="2843" spans="1:7" ht="15.75" customHeight="1">
      <c r="A2843" s="159" t="s">
        <v>9275</v>
      </c>
      <c r="B2843" s="159" t="s">
        <v>9980</v>
      </c>
      <c r="C2843" s="159" t="s">
        <v>12169</v>
      </c>
      <c r="D2843" s="159" t="s">
        <v>481</v>
      </c>
      <c r="E2843" s="159">
        <v>12</v>
      </c>
      <c r="F2843" s="159" t="s">
        <v>5667</v>
      </c>
      <c r="G2843" s="159" t="s">
        <v>12170</v>
      </c>
    </row>
    <row r="2844" spans="1:7" ht="15.75" customHeight="1">
      <c r="A2844" s="159" t="s">
        <v>9275</v>
      </c>
      <c r="B2844" s="159" t="s">
        <v>9980</v>
      </c>
      <c r="C2844" s="159" t="s">
        <v>12230</v>
      </c>
      <c r="D2844" s="159" t="s">
        <v>481</v>
      </c>
      <c r="E2844" s="159">
        <v>20</v>
      </c>
      <c r="F2844" s="159" t="s">
        <v>5667</v>
      </c>
      <c r="G2844" s="159" t="s">
        <v>12231</v>
      </c>
    </row>
    <row r="2845" spans="1:7" ht="15.75" customHeight="1">
      <c r="A2845" s="159" t="s">
        <v>9275</v>
      </c>
      <c r="B2845" s="159" t="s">
        <v>9980</v>
      </c>
      <c r="C2845" s="159" t="s">
        <v>5845</v>
      </c>
      <c r="D2845" s="159" t="s">
        <v>481</v>
      </c>
      <c r="E2845" s="159">
        <v>12</v>
      </c>
      <c r="F2845" s="159" t="s">
        <v>5667</v>
      </c>
      <c r="G2845" s="159" t="s">
        <v>11064</v>
      </c>
    </row>
    <row r="2846" spans="1:7" ht="15.75" customHeight="1">
      <c r="A2846" s="159" t="s">
        <v>9275</v>
      </c>
      <c r="B2846" s="159" t="s">
        <v>9980</v>
      </c>
      <c r="C2846" s="159" t="s">
        <v>12228</v>
      </c>
      <c r="D2846" s="159" t="s">
        <v>481</v>
      </c>
      <c r="E2846" s="159">
        <v>20</v>
      </c>
      <c r="F2846" s="159" t="s">
        <v>5667</v>
      </c>
      <c r="G2846" s="159" t="s">
        <v>12229</v>
      </c>
    </row>
    <row r="2847" spans="1:7" ht="15.75" customHeight="1">
      <c r="A2847" s="159" t="s">
        <v>9275</v>
      </c>
      <c r="B2847" s="159" t="s">
        <v>9980</v>
      </c>
      <c r="C2847" s="159" t="s">
        <v>12181</v>
      </c>
      <c r="D2847" s="159" t="s">
        <v>481</v>
      </c>
      <c r="E2847" s="159">
        <v>12</v>
      </c>
      <c r="F2847" s="159" t="s">
        <v>5667</v>
      </c>
      <c r="G2847" s="159" t="s">
        <v>12182</v>
      </c>
    </row>
    <row r="2848" spans="1:7" ht="15.75" customHeight="1">
      <c r="A2848" s="159" t="s">
        <v>9275</v>
      </c>
      <c r="B2848" s="159" t="s">
        <v>9980</v>
      </c>
      <c r="C2848" s="159" t="s">
        <v>12248</v>
      </c>
      <c r="D2848" s="159" t="s">
        <v>481</v>
      </c>
      <c r="E2848" s="159">
        <v>12</v>
      </c>
      <c r="F2848" s="159" t="s">
        <v>5667</v>
      </c>
      <c r="G2848" s="159" t="s">
        <v>12249</v>
      </c>
    </row>
    <row r="2849" spans="1:7" ht="15.75" customHeight="1">
      <c r="A2849" s="159" t="s">
        <v>9275</v>
      </c>
      <c r="B2849" s="159" t="s">
        <v>9980</v>
      </c>
      <c r="C2849" s="159" t="s">
        <v>12171</v>
      </c>
      <c r="D2849" s="159" t="s">
        <v>481</v>
      </c>
      <c r="E2849" s="159">
        <v>12</v>
      </c>
      <c r="F2849" s="159" t="s">
        <v>5667</v>
      </c>
      <c r="G2849" s="159" t="s">
        <v>12172</v>
      </c>
    </row>
    <row r="2850" spans="1:7" ht="15.75" customHeight="1">
      <c r="A2850" s="159" t="s">
        <v>9275</v>
      </c>
      <c r="B2850" s="159" t="s">
        <v>9980</v>
      </c>
      <c r="C2850" s="159" t="s">
        <v>12250</v>
      </c>
      <c r="D2850" s="159" t="s">
        <v>481</v>
      </c>
      <c r="E2850" s="159">
        <v>12</v>
      </c>
      <c r="F2850" s="159" t="s">
        <v>5667</v>
      </c>
      <c r="G2850" s="159" t="s">
        <v>12251</v>
      </c>
    </row>
    <row r="2851" spans="1:7" ht="15.75" customHeight="1">
      <c r="A2851" s="159" t="s">
        <v>9275</v>
      </c>
      <c r="B2851" s="159" t="s">
        <v>9980</v>
      </c>
      <c r="C2851" s="159" t="s">
        <v>1826</v>
      </c>
      <c r="D2851" s="159" t="s">
        <v>481</v>
      </c>
      <c r="E2851" s="159">
        <v>12</v>
      </c>
      <c r="F2851" s="159" t="s">
        <v>5667</v>
      </c>
      <c r="G2851" s="159" t="s">
        <v>2415</v>
      </c>
    </row>
    <row r="2852" spans="1:7" ht="15.75" customHeight="1">
      <c r="A2852" s="159" t="s">
        <v>9275</v>
      </c>
      <c r="B2852" s="159" t="s">
        <v>9980</v>
      </c>
      <c r="C2852" s="159" t="s">
        <v>12246</v>
      </c>
      <c r="D2852" s="159" t="s">
        <v>481</v>
      </c>
      <c r="E2852" s="159">
        <v>12</v>
      </c>
      <c r="F2852" s="159" t="s">
        <v>5667</v>
      </c>
      <c r="G2852" s="159" t="s">
        <v>12247</v>
      </c>
    </row>
    <row r="2853" spans="1:7" ht="15.75" customHeight="1">
      <c r="A2853" s="159" t="s">
        <v>9275</v>
      </c>
      <c r="B2853" s="159" t="s">
        <v>9980</v>
      </c>
      <c r="C2853" s="159" t="s">
        <v>10942</v>
      </c>
      <c r="D2853" s="159" t="s">
        <v>481</v>
      </c>
      <c r="E2853" s="159">
        <v>12</v>
      </c>
      <c r="F2853" s="159" t="s">
        <v>5667</v>
      </c>
      <c r="G2853" s="159" t="s">
        <v>3497</v>
      </c>
    </row>
    <row r="2854" spans="1:7" ht="15.75" customHeight="1">
      <c r="A2854" s="159" t="s">
        <v>9275</v>
      </c>
      <c r="B2854" s="159" t="s">
        <v>9980</v>
      </c>
      <c r="C2854" s="159" t="s">
        <v>12254</v>
      </c>
      <c r="D2854" s="159" t="s">
        <v>481</v>
      </c>
      <c r="E2854" s="159">
        <v>12</v>
      </c>
      <c r="F2854" s="159" t="s">
        <v>5667</v>
      </c>
      <c r="G2854" s="159" t="s">
        <v>12255</v>
      </c>
    </row>
    <row r="2855" spans="1:7" ht="15.75" customHeight="1">
      <c r="A2855" s="159" t="s">
        <v>9275</v>
      </c>
      <c r="B2855" s="159" t="s">
        <v>9980</v>
      </c>
      <c r="C2855" s="159" t="s">
        <v>12252</v>
      </c>
      <c r="D2855" s="159" t="s">
        <v>481</v>
      </c>
      <c r="E2855" s="159">
        <v>12</v>
      </c>
      <c r="F2855" s="159" t="s">
        <v>5667</v>
      </c>
      <c r="G2855" s="159" t="s">
        <v>12253</v>
      </c>
    </row>
    <row r="2856" spans="1:7" ht="15.75" customHeight="1">
      <c r="A2856" s="159" t="s">
        <v>9275</v>
      </c>
      <c r="B2856" s="159" t="s">
        <v>9980</v>
      </c>
      <c r="C2856" s="159" t="s">
        <v>1394</v>
      </c>
      <c r="D2856" s="159" t="s">
        <v>484</v>
      </c>
      <c r="E2856" s="159">
        <v>10</v>
      </c>
      <c r="F2856" s="159" t="s">
        <v>5667</v>
      </c>
      <c r="G2856" s="159" t="s">
        <v>4828</v>
      </c>
    </row>
    <row r="2857" spans="1:7" ht="15.75" customHeight="1">
      <c r="A2857" s="159" t="s">
        <v>9275</v>
      </c>
      <c r="B2857" s="159" t="s">
        <v>9980</v>
      </c>
      <c r="C2857" s="159" t="s">
        <v>10680</v>
      </c>
      <c r="D2857" s="159" t="s">
        <v>484</v>
      </c>
      <c r="E2857" s="159">
        <v>10</v>
      </c>
      <c r="F2857" s="159" t="s">
        <v>5667</v>
      </c>
      <c r="G2857" s="159" t="s">
        <v>11324</v>
      </c>
    </row>
    <row r="2858" spans="1:7" ht="15.75" customHeight="1">
      <c r="A2858" s="159" t="s">
        <v>9275</v>
      </c>
      <c r="B2858" s="159" t="s">
        <v>9980</v>
      </c>
      <c r="C2858" s="159" t="s">
        <v>10875</v>
      </c>
      <c r="D2858" s="159" t="s">
        <v>3893</v>
      </c>
      <c r="E2858" s="159">
        <v>65535</v>
      </c>
      <c r="F2858" s="159" t="s">
        <v>5667</v>
      </c>
      <c r="G2858" s="159" t="s">
        <v>12227</v>
      </c>
    </row>
    <row r="2859" spans="1:7" ht="15.75" customHeight="1">
      <c r="A2859" s="159" t="s">
        <v>9275</v>
      </c>
      <c r="B2859" s="159" t="s">
        <v>9980</v>
      </c>
      <c r="C2859" s="159" t="s">
        <v>5891</v>
      </c>
      <c r="D2859" s="159" t="s">
        <v>3893</v>
      </c>
      <c r="E2859" s="159">
        <v>65535</v>
      </c>
      <c r="F2859" s="159" t="s">
        <v>5667</v>
      </c>
      <c r="G2859" s="159" t="s">
        <v>1729</v>
      </c>
    </row>
    <row r="2860" spans="1:7" ht="15.75" customHeight="1">
      <c r="A2860" s="159" t="s">
        <v>9275</v>
      </c>
      <c r="B2860" s="159" t="s">
        <v>9980</v>
      </c>
      <c r="C2860" s="159" t="s">
        <v>5624</v>
      </c>
      <c r="D2860" s="159" t="s">
        <v>477</v>
      </c>
      <c r="E2860" s="159">
        <v>255</v>
      </c>
      <c r="F2860" s="159" t="s">
        <v>5667</v>
      </c>
      <c r="G2860" s="159" t="s">
        <v>12238</v>
      </c>
    </row>
    <row r="2861" spans="1:7" ht="15.75" customHeight="1">
      <c r="A2861" s="159" t="s">
        <v>9275</v>
      </c>
      <c r="B2861" s="159" t="s">
        <v>9980</v>
      </c>
      <c r="C2861" s="159" t="s">
        <v>156</v>
      </c>
      <c r="D2861" s="159" t="s">
        <v>477</v>
      </c>
      <c r="E2861" s="159">
        <v>255</v>
      </c>
      <c r="F2861" s="159" t="s">
        <v>5667</v>
      </c>
      <c r="G2861" s="159" t="s">
        <v>4306</v>
      </c>
    </row>
    <row r="2862" spans="1:7" ht="15.75" customHeight="1">
      <c r="A2862" s="159" t="s">
        <v>9275</v>
      </c>
      <c r="B2862" s="159" t="s">
        <v>9980</v>
      </c>
      <c r="C2862" s="159" t="s">
        <v>12197</v>
      </c>
      <c r="D2862" s="159" t="s">
        <v>481</v>
      </c>
      <c r="E2862" s="159">
        <v>12</v>
      </c>
      <c r="F2862" s="159" t="s">
        <v>5667</v>
      </c>
      <c r="G2862" s="159" t="s">
        <v>12198</v>
      </c>
    </row>
    <row r="2863" spans="1:7" ht="15.75" customHeight="1">
      <c r="A2863" s="159" t="s">
        <v>9275</v>
      </c>
      <c r="B2863" s="159" t="s">
        <v>9980</v>
      </c>
      <c r="C2863" s="159" t="s">
        <v>12199</v>
      </c>
      <c r="D2863" s="159" t="s">
        <v>481</v>
      </c>
      <c r="E2863" s="159">
        <v>12</v>
      </c>
      <c r="F2863" s="159" t="s">
        <v>5667</v>
      </c>
      <c r="G2863" s="159" t="s">
        <v>12200</v>
      </c>
    </row>
    <row r="2864" spans="1:7" ht="15.75" customHeight="1">
      <c r="A2864" s="159" t="s">
        <v>9275</v>
      </c>
      <c r="B2864" s="159" t="s">
        <v>9980</v>
      </c>
      <c r="C2864" s="159" t="s">
        <v>12469</v>
      </c>
      <c r="D2864" s="159" t="s">
        <v>3893</v>
      </c>
      <c r="E2864" s="159">
        <v>65535</v>
      </c>
      <c r="F2864" s="159" t="s">
        <v>5667</v>
      </c>
      <c r="G2864" s="159" t="s">
        <v>12480</v>
      </c>
    </row>
    <row r="2865" spans="1:7" ht="15.75" customHeight="1">
      <c r="A2865" s="159" t="s">
        <v>9275</v>
      </c>
      <c r="B2865" s="159" t="s">
        <v>9980</v>
      </c>
      <c r="C2865" s="159" t="s">
        <v>12268</v>
      </c>
      <c r="D2865" s="159" t="s">
        <v>3893</v>
      </c>
      <c r="E2865" s="159">
        <v>65535</v>
      </c>
      <c r="F2865" s="159" t="s">
        <v>5667</v>
      </c>
      <c r="G2865" s="159" t="s">
        <v>12269</v>
      </c>
    </row>
    <row r="2866" spans="1:7" ht="15.75" customHeight="1">
      <c r="A2866" s="159" t="s">
        <v>9275</v>
      </c>
      <c r="B2866" s="159" t="s">
        <v>9980</v>
      </c>
      <c r="C2866" s="159" t="s">
        <v>12270</v>
      </c>
      <c r="D2866" s="159" t="s">
        <v>481</v>
      </c>
      <c r="E2866" s="159">
        <v>12</v>
      </c>
      <c r="F2866" s="159" t="s">
        <v>5667</v>
      </c>
      <c r="G2866" s="159" t="s">
        <v>12271</v>
      </c>
    </row>
    <row r="2867" spans="1:7" ht="15.75" customHeight="1">
      <c r="A2867" s="159" t="s">
        <v>9275</v>
      </c>
      <c r="B2867" s="159" t="s">
        <v>9980</v>
      </c>
      <c r="C2867" s="159" t="s">
        <v>12272</v>
      </c>
      <c r="D2867" s="159" t="s">
        <v>481</v>
      </c>
      <c r="E2867" s="159">
        <v>12</v>
      </c>
      <c r="F2867" s="159" t="s">
        <v>5667</v>
      </c>
      <c r="G2867" s="159" t="s">
        <v>12273</v>
      </c>
    </row>
    <row r="2868" spans="1:7" ht="15.75" customHeight="1">
      <c r="A2868" s="159" t="s">
        <v>9275</v>
      </c>
      <c r="B2868" s="159" t="s">
        <v>9980</v>
      </c>
      <c r="C2868" s="159" t="s">
        <v>12274</v>
      </c>
      <c r="D2868" s="159" t="s">
        <v>481</v>
      </c>
      <c r="E2868" s="159">
        <v>12</v>
      </c>
      <c r="F2868" s="159" t="s">
        <v>5667</v>
      </c>
      <c r="G2868" s="159" t="s">
        <v>12275</v>
      </c>
    </row>
    <row r="2869" spans="1:7" ht="15.75" customHeight="1">
      <c r="A2869" s="159" t="s">
        <v>9275</v>
      </c>
      <c r="B2869" s="159" t="s">
        <v>9980</v>
      </c>
      <c r="C2869" s="159" t="s">
        <v>12276</v>
      </c>
      <c r="D2869" s="159" t="s">
        <v>481</v>
      </c>
      <c r="E2869" s="159">
        <v>12</v>
      </c>
      <c r="F2869" s="159" t="s">
        <v>5667</v>
      </c>
      <c r="G2869" s="159" t="s">
        <v>12277</v>
      </c>
    </row>
    <row r="2870" spans="1:7" ht="15.75" customHeight="1">
      <c r="A2870" s="159" t="s">
        <v>9275</v>
      </c>
      <c r="B2870" s="159" t="s">
        <v>9980</v>
      </c>
      <c r="C2870" s="159" t="s">
        <v>12278</v>
      </c>
      <c r="D2870" s="159" t="s">
        <v>481</v>
      </c>
      <c r="E2870" s="159">
        <v>12</v>
      </c>
      <c r="F2870" s="159" t="s">
        <v>5667</v>
      </c>
      <c r="G2870" s="159" t="s">
        <v>12279</v>
      </c>
    </row>
    <row r="2871" spans="1:7" ht="15.75" customHeight="1">
      <c r="A2871" s="159" t="s">
        <v>9275</v>
      </c>
      <c r="B2871" s="159" t="s">
        <v>9980</v>
      </c>
      <c r="C2871" s="159" t="s">
        <v>12280</v>
      </c>
      <c r="D2871" s="159" t="s">
        <v>481</v>
      </c>
      <c r="E2871" s="159">
        <v>12</v>
      </c>
      <c r="F2871" s="159" t="s">
        <v>5667</v>
      </c>
      <c r="G2871" s="159" t="s">
        <v>12281</v>
      </c>
    </row>
    <row r="2872" spans="1:7" ht="15.75" customHeight="1">
      <c r="A2872" s="159" t="s">
        <v>9275</v>
      </c>
      <c r="B2872" s="159" t="s">
        <v>9980</v>
      </c>
      <c r="C2872" s="159" t="s">
        <v>12282</v>
      </c>
      <c r="D2872" s="159" t="s">
        <v>481</v>
      </c>
      <c r="E2872" s="159">
        <v>12</v>
      </c>
      <c r="F2872" s="159" t="s">
        <v>5667</v>
      </c>
      <c r="G2872" s="159" t="s">
        <v>12283</v>
      </c>
    </row>
    <row r="2873" spans="1:7" ht="15.75" customHeight="1">
      <c r="A2873" s="159" t="s">
        <v>9275</v>
      </c>
      <c r="B2873" s="159" t="s">
        <v>9980</v>
      </c>
      <c r="C2873" s="159" t="s">
        <v>12284</v>
      </c>
      <c r="D2873" s="159" t="s">
        <v>481</v>
      </c>
      <c r="E2873" s="159">
        <v>12</v>
      </c>
      <c r="F2873" s="159" t="s">
        <v>5667</v>
      </c>
      <c r="G2873" s="159" t="s">
        <v>12285</v>
      </c>
    </row>
    <row r="2874" spans="1:7" ht="15.75" customHeight="1">
      <c r="A2874" s="159" t="s">
        <v>9275</v>
      </c>
      <c r="B2874" s="159" t="s">
        <v>9982</v>
      </c>
      <c r="C2874" s="159" t="s">
        <v>3897</v>
      </c>
      <c r="D2874" s="159" t="s">
        <v>484</v>
      </c>
      <c r="E2874" s="159">
        <v>10</v>
      </c>
      <c r="F2874" s="159" t="s">
        <v>5665</v>
      </c>
      <c r="G2874" s="159" t="s">
        <v>325</v>
      </c>
    </row>
    <row r="2875" spans="1:7" ht="15.75" customHeight="1">
      <c r="A2875" s="159" t="s">
        <v>9275</v>
      </c>
      <c r="B2875" s="159" t="s">
        <v>9982</v>
      </c>
      <c r="C2875" s="159" t="s">
        <v>12383</v>
      </c>
      <c r="D2875" s="159" t="s">
        <v>1974</v>
      </c>
      <c r="E2875" s="159"/>
      <c r="F2875" s="159" t="s">
        <v>5667</v>
      </c>
      <c r="G2875" s="159" t="s">
        <v>6156</v>
      </c>
    </row>
    <row r="2876" spans="1:7" ht="15.75" customHeight="1">
      <c r="A2876" s="159" t="s">
        <v>9275</v>
      </c>
      <c r="B2876" s="159" t="s">
        <v>9982</v>
      </c>
      <c r="C2876" s="159" t="s">
        <v>10290</v>
      </c>
      <c r="D2876" s="159" t="s">
        <v>978</v>
      </c>
      <c r="E2876" s="159">
        <v>5</v>
      </c>
      <c r="F2876" s="159" t="s">
        <v>5667</v>
      </c>
      <c r="G2876" s="159" t="s">
        <v>10507</v>
      </c>
    </row>
    <row r="2877" spans="1:7" ht="15.75" customHeight="1">
      <c r="A2877" s="159" t="s">
        <v>9275</v>
      </c>
      <c r="B2877" s="159" t="s">
        <v>9982</v>
      </c>
      <c r="C2877" s="159" t="s">
        <v>3762</v>
      </c>
      <c r="D2877" s="159" t="s">
        <v>477</v>
      </c>
      <c r="E2877" s="159">
        <v>50</v>
      </c>
      <c r="F2877" s="159" t="s">
        <v>5667</v>
      </c>
      <c r="G2877" s="159" t="s">
        <v>11525</v>
      </c>
    </row>
    <row r="2878" spans="1:7" ht="15.75" customHeight="1">
      <c r="A2878" s="159" t="s">
        <v>9275</v>
      </c>
      <c r="B2878" s="159" t="s">
        <v>9982</v>
      </c>
      <c r="C2878" s="159" t="s">
        <v>12481</v>
      </c>
      <c r="D2878" s="159" t="s">
        <v>484</v>
      </c>
      <c r="E2878" s="159">
        <v>10</v>
      </c>
      <c r="F2878" s="159" t="s">
        <v>5665</v>
      </c>
      <c r="G2878" s="159" t="s">
        <v>12482</v>
      </c>
    </row>
    <row r="2879" spans="1:7" ht="15.75" customHeight="1">
      <c r="A2879" s="159" t="s">
        <v>9275</v>
      </c>
      <c r="B2879" s="159" t="s">
        <v>9982</v>
      </c>
      <c r="C2879" s="159" t="s">
        <v>12483</v>
      </c>
      <c r="D2879" s="159" t="s">
        <v>481</v>
      </c>
      <c r="E2879" s="159">
        <v>12</v>
      </c>
      <c r="F2879" s="159" t="s">
        <v>5667</v>
      </c>
      <c r="G2879" s="159" t="s">
        <v>12484</v>
      </c>
    </row>
    <row r="2880" spans="1:7" ht="15.75" customHeight="1">
      <c r="A2880" s="159" t="s">
        <v>9275</v>
      </c>
      <c r="B2880" s="159" t="s">
        <v>9982</v>
      </c>
      <c r="C2880" s="159" t="s">
        <v>12485</v>
      </c>
      <c r="D2880" s="159" t="s">
        <v>481</v>
      </c>
      <c r="E2880" s="159">
        <v>12</v>
      </c>
      <c r="F2880" s="159" t="s">
        <v>5667</v>
      </c>
      <c r="G2880" s="159" t="s">
        <v>12486</v>
      </c>
    </row>
    <row r="2881" spans="1:7" ht="15.75" customHeight="1">
      <c r="A2881" s="159" t="s">
        <v>9275</v>
      </c>
      <c r="B2881" s="159" t="s">
        <v>9982</v>
      </c>
      <c r="C2881" s="159" t="s">
        <v>12487</v>
      </c>
      <c r="D2881" s="159" t="s">
        <v>481</v>
      </c>
      <c r="E2881" s="159">
        <v>12</v>
      </c>
      <c r="F2881" s="159" t="s">
        <v>5667</v>
      </c>
      <c r="G2881" s="159" t="s">
        <v>12488</v>
      </c>
    </row>
    <row r="2882" spans="1:7" ht="15.75" customHeight="1">
      <c r="A2882" s="159" t="s">
        <v>9275</v>
      </c>
      <c r="B2882" s="159" t="s">
        <v>9982</v>
      </c>
      <c r="C2882" s="159" t="s">
        <v>12489</v>
      </c>
      <c r="D2882" s="159" t="s">
        <v>481</v>
      </c>
      <c r="E2882" s="159">
        <v>12</v>
      </c>
      <c r="F2882" s="159" t="s">
        <v>5667</v>
      </c>
      <c r="G2882" s="159" t="s">
        <v>12490</v>
      </c>
    </row>
    <row r="2883" spans="1:7" ht="15.75" customHeight="1">
      <c r="A2883" s="159" t="s">
        <v>9275</v>
      </c>
      <c r="B2883" s="159" t="s">
        <v>9984</v>
      </c>
      <c r="C2883" s="159" t="s">
        <v>3897</v>
      </c>
      <c r="D2883" s="159" t="s">
        <v>484</v>
      </c>
      <c r="E2883" s="159">
        <v>10</v>
      </c>
      <c r="F2883" s="159" t="s">
        <v>5665</v>
      </c>
      <c r="G2883" s="159" t="s">
        <v>325</v>
      </c>
    </row>
    <row r="2884" spans="1:7" ht="15.75" customHeight="1">
      <c r="A2884" s="159" t="s">
        <v>9275</v>
      </c>
      <c r="B2884" s="159" t="s">
        <v>9984</v>
      </c>
      <c r="C2884" s="159" t="s">
        <v>12383</v>
      </c>
      <c r="D2884" s="159" t="s">
        <v>1974</v>
      </c>
      <c r="E2884" s="159"/>
      <c r="F2884" s="159" t="s">
        <v>5667</v>
      </c>
      <c r="G2884" s="159" t="s">
        <v>6156</v>
      </c>
    </row>
    <row r="2885" spans="1:7" ht="15.75" customHeight="1">
      <c r="A2885" s="159" t="s">
        <v>9275</v>
      </c>
      <c r="B2885" s="159" t="s">
        <v>9984</v>
      </c>
      <c r="C2885" s="159" t="s">
        <v>10290</v>
      </c>
      <c r="D2885" s="159" t="s">
        <v>978</v>
      </c>
      <c r="E2885" s="159">
        <v>5</v>
      </c>
      <c r="F2885" s="159" t="s">
        <v>5667</v>
      </c>
      <c r="G2885" s="159" t="s">
        <v>10507</v>
      </c>
    </row>
    <row r="2886" spans="1:7" ht="15.75" customHeight="1">
      <c r="A2886" s="159" t="s">
        <v>9275</v>
      </c>
      <c r="B2886" s="159" t="s">
        <v>9984</v>
      </c>
      <c r="C2886" s="159" t="s">
        <v>3762</v>
      </c>
      <c r="D2886" s="159" t="s">
        <v>477</v>
      </c>
      <c r="E2886" s="159">
        <v>50</v>
      </c>
      <c r="F2886" s="159" t="s">
        <v>5665</v>
      </c>
      <c r="G2886" s="159" t="s">
        <v>11525</v>
      </c>
    </row>
    <row r="2887" spans="1:7" ht="15.75" customHeight="1">
      <c r="A2887" s="159" t="s">
        <v>9275</v>
      </c>
      <c r="B2887" s="159" t="s">
        <v>9984</v>
      </c>
      <c r="C2887" s="159" t="s">
        <v>12481</v>
      </c>
      <c r="D2887" s="159" t="s">
        <v>484</v>
      </c>
      <c r="E2887" s="159">
        <v>10</v>
      </c>
      <c r="F2887" s="159" t="s">
        <v>5665</v>
      </c>
      <c r="G2887" s="159" t="s">
        <v>12482</v>
      </c>
    </row>
    <row r="2888" spans="1:7" ht="15.75" customHeight="1">
      <c r="A2888" s="159" t="s">
        <v>9275</v>
      </c>
      <c r="B2888" s="159" t="s">
        <v>9984</v>
      </c>
      <c r="C2888" s="159" t="s">
        <v>12483</v>
      </c>
      <c r="D2888" s="159" t="s">
        <v>481</v>
      </c>
      <c r="E2888" s="159">
        <v>12</v>
      </c>
      <c r="F2888" s="159" t="s">
        <v>5667</v>
      </c>
      <c r="G2888" s="159" t="s">
        <v>12484</v>
      </c>
    </row>
    <row r="2889" spans="1:7" ht="15.75" customHeight="1">
      <c r="A2889" s="159" t="s">
        <v>9275</v>
      </c>
      <c r="B2889" s="159" t="s">
        <v>9984</v>
      </c>
      <c r="C2889" s="159" t="s">
        <v>12485</v>
      </c>
      <c r="D2889" s="159" t="s">
        <v>481</v>
      </c>
      <c r="E2889" s="159">
        <v>12</v>
      </c>
      <c r="F2889" s="159" t="s">
        <v>5667</v>
      </c>
      <c r="G2889" s="159" t="s">
        <v>12486</v>
      </c>
    </row>
    <row r="2890" spans="1:7" ht="15.75" customHeight="1">
      <c r="A2890" s="159" t="s">
        <v>9275</v>
      </c>
      <c r="B2890" s="159" t="s">
        <v>9984</v>
      </c>
      <c r="C2890" s="159" t="s">
        <v>12487</v>
      </c>
      <c r="D2890" s="159" t="s">
        <v>481</v>
      </c>
      <c r="E2890" s="159">
        <v>12</v>
      </c>
      <c r="F2890" s="159" t="s">
        <v>5667</v>
      </c>
      <c r="G2890" s="159" t="s">
        <v>12488</v>
      </c>
    </row>
    <row r="2891" spans="1:7" ht="15.75" customHeight="1">
      <c r="A2891" s="159" t="s">
        <v>9275</v>
      </c>
      <c r="B2891" s="159" t="s">
        <v>9984</v>
      </c>
      <c r="C2891" s="159" t="s">
        <v>12489</v>
      </c>
      <c r="D2891" s="159" t="s">
        <v>481</v>
      </c>
      <c r="E2891" s="159">
        <v>12</v>
      </c>
      <c r="F2891" s="159" t="s">
        <v>5667</v>
      </c>
      <c r="G2891" s="159" t="s">
        <v>12490</v>
      </c>
    </row>
    <row r="2892" spans="1:7" ht="15.75" customHeight="1">
      <c r="A2892" s="159" t="s">
        <v>9275</v>
      </c>
      <c r="B2892" s="159" t="s">
        <v>9986</v>
      </c>
      <c r="C2892" s="159" t="s">
        <v>10287</v>
      </c>
      <c r="D2892" s="159" t="s">
        <v>484</v>
      </c>
      <c r="E2892" s="159">
        <v>10</v>
      </c>
      <c r="F2892" s="159" t="s">
        <v>5665</v>
      </c>
      <c r="G2892" s="159" t="s">
        <v>10237</v>
      </c>
    </row>
    <row r="2893" spans="1:7" ht="15.75" customHeight="1">
      <c r="A2893" s="159" t="s">
        <v>9275</v>
      </c>
      <c r="B2893" s="159" t="s">
        <v>9986</v>
      </c>
      <c r="C2893" s="159" t="s">
        <v>5776</v>
      </c>
      <c r="D2893" s="159" t="s">
        <v>477</v>
      </c>
      <c r="E2893" s="159">
        <v>32</v>
      </c>
      <c r="F2893" s="159" t="s">
        <v>5667</v>
      </c>
      <c r="G2893" s="159" t="s">
        <v>7766</v>
      </c>
    </row>
    <row r="2894" spans="1:7" ht="15.75" customHeight="1">
      <c r="A2894" s="159" t="s">
        <v>9275</v>
      </c>
      <c r="B2894" s="159" t="s">
        <v>9986</v>
      </c>
      <c r="C2894" s="159" t="s">
        <v>1419</v>
      </c>
      <c r="D2894" s="159" t="s">
        <v>477</v>
      </c>
      <c r="E2894" s="159">
        <v>32</v>
      </c>
      <c r="F2894" s="159" t="s">
        <v>5667</v>
      </c>
      <c r="G2894" s="159" t="s">
        <v>811</v>
      </c>
    </row>
    <row r="2895" spans="1:7" ht="15.75" customHeight="1">
      <c r="A2895" s="159" t="s">
        <v>9275</v>
      </c>
      <c r="B2895" s="159" t="s">
        <v>9986</v>
      </c>
      <c r="C2895" s="159" t="s">
        <v>2105</v>
      </c>
      <c r="D2895" s="159" t="s">
        <v>477</v>
      </c>
      <c r="E2895" s="159">
        <v>255</v>
      </c>
      <c r="F2895" s="159" t="s">
        <v>5667</v>
      </c>
      <c r="G2895" s="159" t="s">
        <v>12106</v>
      </c>
    </row>
    <row r="2896" spans="1:7" ht="15.75" customHeight="1">
      <c r="A2896" s="159" t="s">
        <v>9275</v>
      </c>
      <c r="B2896" s="159" t="s">
        <v>9986</v>
      </c>
      <c r="C2896" s="159" t="s">
        <v>12491</v>
      </c>
      <c r="D2896" s="159" t="s">
        <v>477</v>
      </c>
      <c r="E2896" s="159">
        <v>255</v>
      </c>
      <c r="F2896" s="159" t="s">
        <v>5667</v>
      </c>
      <c r="G2896" s="159" t="s">
        <v>12492</v>
      </c>
    </row>
    <row r="2897" spans="1:7" ht="15.75" customHeight="1">
      <c r="A2897" s="159" t="s">
        <v>9275</v>
      </c>
      <c r="B2897" s="159" t="s">
        <v>9986</v>
      </c>
      <c r="C2897" s="159" t="s">
        <v>12167</v>
      </c>
      <c r="D2897" s="159" t="s">
        <v>477</v>
      </c>
      <c r="E2897" s="159">
        <v>255</v>
      </c>
      <c r="F2897" s="159" t="s">
        <v>5667</v>
      </c>
      <c r="G2897" s="159" t="s">
        <v>12168</v>
      </c>
    </row>
    <row r="2898" spans="1:7" ht="15.75" customHeight="1">
      <c r="A2898" s="159" t="s">
        <v>9275</v>
      </c>
      <c r="B2898" s="159" t="s">
        <v>9986</v>
      </c>
      <c r="C2898" s="159" t="s">
        <v>12057</v>
      </c>
      <c r="D2898" s="159" t="s">
        <v>978</v>
      </c>
      <c r="E2898" s="159">
        <v>5</v>
      </c>
      <c r="F2898" s="159" t="s">
        <v>5667</v>
      </c>
      <c r="G2898" s="159" t="s">
        <v>12058</v>
      </c>
    </row>
    <row r="2899" spans="1:7" ht="15.75" customHeight="1">
      <c r="A2899" s="159" t="s">
        <v>9275</v>
      </c>
      <c r="B2899" s="159" t="s">
        <v>9986</v>
      </c>
      <c r="C2899" s="159" t="s">
        <v>10290</v>
      </c>
      <c r="D2899" s="159" t="s">
        <v>978</v>
      </c>
      <c r="E2899" s="159">
        <v>5</v>
      </c>
      <c r="F2899" s="159" t="s">
        <v>5667</v>
      </c>
      <c r="G2899" s="159" t="s">
        <v>10507</v>
      </c>
    </row>
    <row r="2900" spans="1:7" ht="15.75" customHeight="1">
      <c r="A2900" s="159" t="s">
        <v>9275</v>
      </c>
      <c r="B2900" s="159" t="s">
        <v>9986</v>
      </c>
      <c r="C2900" s="159" t="s">
        <v>3940</v>
      </c>
      <c r="D2900" s="159" t="s">
        <v>484</v>
      </c>
      <c r="E2900" s="159">
        <v>10</v>
      </c>
      <c r="F2900" s="159" t="s">
        <v>5667</v>
      </c>
      <c r="G2900" s="159" t="s">
        <v>10747</v>
      </c>
    </row>
    <row r="2901" spans="1:7" ht="15.75" customHeight="1">
      <c r="A2901" s="159" t="s">
        <v>9275</v>
      </c>
      <c r="B2901" s="159" t="s">
        <v>9986</v>
      </c>
      <c r="C2901" s="159" t="s">
        <v>12181</v>
      </c>
      <c r="D2901" s="159" t="s">
        <v>481</v>
      </c>
      <c r="E2901" s="159">
        <v>20</v>
      </c>
      <c r="F2901" s="159" t="s">
        <v>5667</v>
      </c>
      <c r="G2901" s="159" t="s">
        <v>12182</v>
      </c>
    </row>
    <row r="2902" spans="1:7" ht="15.75" customHeight="1">
      <c r="A2902" s="159" t="s">
        <v>9275</v>
      </c>
      <c r="B2902" s="159" t="s">
        <v>9986</v>
      </c>
      <c r="C2902" s="159" t="s">
        <v>12493</v>
      </c>
      <c r="D2902" s="159" t="s">
        <v>481</v>
      </c>
      <c r="E2902" s="159">
        <v>20</v>
      </c>
      <c r="F2902" s="159" t="s">
        <v>5667</v>
      </c>
      <c r="G2902" s="159" t="s">
        <v>12494</v>
      </c>
    </row>
    <row r="2903" spans="1:7" ht="15.75" customHeight="1">
      <c r="A2903" s="159" t="s">
        <v>9275</v>
      </c>
      <c r="B2903" s="159" t="s">
        <v>9986</v>
      </c>
      <c r="C2903" s="159" t="s">
        <v>12495</v>
      </c>
      <c r="D2903" s="159" t="s">
        <v>481</v>
      </c>
      <c r="E2903" s="159">
        <v>20</v>
      </c>
      <c r="F2903" s="159" t="s">
        <v>5667</v>
      </c>
      <c r="G2903" s="159" t="s">
        <v>12496</v>
      </c>
    </row>
    <row r="2904" spans="1:7" ht="15.75" customHeight="1">
      <c r="A2904" s="159" t="s">
        <v>9275</v>
      </c>
      <c r="B2904" s="159" t="s">
        <v>9986</v>
      </c>
      <c r="C2904" s="159" t="s">
        <v>12497</v>
      </c>
      <c r="D2904" s="159" t="s">
        <v>481</v>
      </c>
      <c r="E2904" s="159">
        <v>20</v>
      </c>
      <c r="F2904" s="159" t="s">
        <v>5667</v>
      </c>
      <c r="G2904" s="159" t="s">
        <v>12498</v>
      </c>
    </row>
    <row r="2905" spans="1:7" ht="15.75" customHeight="1">
      <c r="A2905" s="159" t="s">
        <v>9275</v>
      </c>
      <c r="B2905" s="159" t="s">
        <v>9986</v>
      </c>
      <c r="C2905" s="159" t="s">
        <v>12077</v>
      </c>
      <c r="D2905" s="159" t="s">
        <v>481</v>
      </c>
      <c r="E2905" s="159">
        <v>20</v>
      </c>
      <c r="F2905" s="159" t="s">
        <v>5667</v>
      </c>
      <c r="G2905" s="159" t="s">
        <v>12078</v>
      </c>
    </row>
    <row r="2906" spans="1:7" ht="15.75" customHeight="1">
      <c r="A2906" s="159" t="s">
        <v>9275</v>
      </c>
      <c r="B2906" s="159" t="s">
        <v>9986</v>
      </c>
      <c r="C2906" s="159" t="s">
        <v>12175</v>
      </c>
      <c r="D2906" s="159" t="s">
        <v>481</v>
      </c>
      <c r="E2906" s="159">
        <v>20</v>
      </c>
      <c r="F2906" s="159" t="s">
        <v>5667</v>
      </c>
      <c r="G2906" s="159" t="s">
        <v>12176</v>
      </c>
    </row>
    <row r="2907" spans="1:7" ht="15.75" customHeight="1">
      <c r="A2907" s="159" t="s">
        <v>9275</v>
      </c>
      <c r="B2907" s="159" t="s">
        <v>9986</v>
      </c>
      <c r="C2907" s="159" t="s">
        <v>12499</v>
      </c>
      <c r="D2907" s="159" t="s">
        <v>481</v>
      </c>
      <c r="E2907" s="159">
        <v>20</v>
      </c>
      <c r="F2907" s="159" t="s">
        <v>5667</v>
      </c>
      <c r="G2907" s="159" t="s">
        <v>12500</v>
      </c>
    </row>
    <row r="2908" spans="1:7" ht="15.75" customHeight="1">
      <c r="A2908" s="159" t="s">
        <v>9275</v>
      </c>
      <c r="B2908" s="159" t="s">
        <v>9986</v>
      </c>
      <c r="C2908" s="159" t="s">
        <v>12501</v>
      </c>
      <c r="D2908" s="159" t="s">
        <v>481</v>
      </c>
      <c r="E2908" s="159">
        <v>20</v>
      </c>
      <c r="F2908" s="159" t="s">
        <v>5667</v>
      </c>
      <c r="G2908" s="159" t="s">
        <v>12502</v>
      </c>
    </row>
    <row r="2909" spans="1:7" ht="15.75" customHeight="1">
      <c r="A2909" s="159" t="s">
        <v>9275</v>
      </c>
      <c r="B2909" s="159" t="s">
        <v>9986</v>
      </c>
      <c r="C2909" s="159" t="s">
        <v>12503</v>
      </c>
      <c r="D2909" s="159" t="s">
        <v>481</v>
      </c>
      <c r="E2909" s="159">
        <v>20</v>
      </c>
      <c r="F2909" s="159" t="s">
        <v>5667</v>
      </c>
      <c r="G2909" s="159" t="s">
        <v>12504</v>
      </c>
    </row>
    <row r="2910" spans="1:7" ht="15.75" customHeight="1">
      <c r="A2910" s="159" t="s">
        <v>9275</v>
      </c>
      <c r="B2910" s="159" t="s">
        <v>9986</v>
      </c>
      <c r="C2910" s="159" t="s">
        <v>12179</v>
      </c>
      <c r="D2910" s="159" t="s">
        <v>481</v>
      </c>
      <c r="E2910" s="159">
        <v>20</v>
      </c>
      <c r="F2910" s="159" t="s">
        <v>5667</v>
      </c>
      <c r="G2910" s="159" t="s">
        <v>12180</v>
      </c>
    </row>
    <row r="2911" spans="1:7" ht="15.75" customHeight="1">
      <c r="A2911" s="159" t="s">
        <v>9275</v>
      </c>
      <c r="B2911" s="159" t="s">
        <v>9986</v>
      </c>
      <c r="C2911" s="159" t="s">
        <v>12505</v>
      </c>
      <c r="D2911" s="159" t="s">
        <v>481</v>
      </c>
      <c r="E2911" s="159">
        <v>20</v>
      </c>
      <c r="F2911" s="159" t="s">
        <v>5667</v>
      </c>
      <c r="G2911" s="159" t="s">
        <v>12506</v>
      </c>
    </row>
    <row r="2912" spans="1:7" ht="15.75" customHeight="1">
      <c r="A2912" s="159" t="s">
        <v>9275</v>
      </c>
      <c r="B2912" s="159" t="s">
        <v>9986</v>
      </c>
      <c r="C2912" s="159" t="s">
        <v>12119</v>
      </c>
      <c r="D2912" s="159" t="s">
        <v>481</v>
      </c>
      <c r="E2912" s="159">
        <v>20</v>
      </c>
      <c r="F2912" s="159" t="s">
        <v>5667</v>
      </c>
      <c r="G2912" s="159" t="s">
        <v>12120</v>
      </c>
    </row>
    <row r="2913" spans="1:7" ht="15.75" customHeight="1">
      <c r="A2913" s="159" t="s">
        <v>9275</v>
      </c>
      <c r="B2913" s="159" t="s">
        <v>9986</v>
      </c>
      <c r="C2913" s="159" t="s">
        <v>12507</v>
      </c>
      <c r="D2913" s="159" t="s">
        <v>481</v>
      </c>
      <c r="E2913" s="159">
        <v>20</v>
      </c>
      <c r="F2913" s="159" t="s">
        <v>5667</v>
      </c>
      <c r="G2913" s="159" t="s">
        <v>12508</v>
      </c>
    </row>
    <row r="2914" spans="1:7" ht="15.75" customHeight="1">
      <c r="A2914" s="159" t="s">
        <v>9275</v>
      </c>
      <c r="B2914" s="159" t="s">
        <v>9986</v>
      </c>
      <c r="C2914" s="159" t="s">
        <v>12509</v>
      </c>
      <c r="D2914" s="159" t="s">
        <v>481</v>
      </c>
      <c r="E2914" s="159">
        <v>20</v>
      </c>
      <c r="F2914" s="159" t="s">
        <v>5667</v>
      </c>
      <c r="G2914" s="159" t="s">
        <v>12510</v>
      </c>
    </row>
    <row r="2915" spans="1:7" ht="15.75" customHeight="1">
      <c r="A2915" s="159" t="s">
        <v>9275</v>
      </c>
      <c r="B2915" s="159" t="s">
        <v>9986</v>
      </c>
      <c r="C2915" s="159" t="s">
        <v>12511</v>
      </c>
      <c r="D2915" s="159" t="s">
        <v>481</v>
      </c>
      <c r="E2915" s="159">
        <v>20</v>
      </c>
      <c r="F2915" s="159" t="s">
        <v>5667</v>
      </c>
      <c r="G2915" s="159" t="s">
        <v>12512</v>
      </c>
    </row>
    <row r="2916" spans="1:7" ht="15.75" customHeight="1">
      <c r="A2916" s="159" t="s">
        <v>9275</v>
      </c>
      <c r="B2916" s="159" t="s">
        <v>9986</v>
      </c>
      <c r="C2916" s="159" t="s">
        <v>12171</v>
      </c>
      <c r="D2916" s="159" t="s">
        <v>481</v>
      </c>
      <c r="E2916" s="159">
        <v>20</v>
      </c>
      <c r="F2916" s="159" t="s">
        <v>5667</v>
      </c>
      <c r="G2916" s="159" t="s">
        <v>12172</v>
      </c>
    </row>
    <row r="2917" spans="1:7" ht="15.75" customHeight="1">
      <c r="A2917" s="159" t="s">
        <v>9275</v>
      </c>
      <c r="B2917" s="159" t="s">
        <v>9986</v>
      </c>
      <c r="C2917" s="159" t="s">
        <v>12513</v>
      </c>
      <c r="D2917" s="159" t="s">
        <v>481</v>
      </c>
      <c r="E2917" s="159">
        <v>20</v>
      </c>
      <c r="F2917" s="159" t="s">
        <v>5667</v>
      </c>
      <c r="G2917" s="159" t="s">
        <v>12514</v>
      </c>
    </row>
    <row r="2918" spans="1:7" ht="15.75" customHeight="1">
      <c r="A2918" s="159" t="s">
        <v>9275</v>
      </c>
      <c r="B2918" s="159" t="s">
        <v>9986</v>
      </c>
      <c r="C2918" s="159" t="s">
        <v>12515</v>
      </c>
      <c r="D2918" s="159" t="s">
        <v>481</v>
      </c>
      <c r="E2918" s="159">
        <v>20</v>
      </c>
      <c r="F2918" s="159" t="s">
        <v>5667</v>
      </c>
      <c r="G2918" s="159" t="s">
        <v>12516</v>
      </c>
    </row>
    <row r="2919" spans="1:7" ht="15.75" customHeight="1">
      <c r="A2919" s="159" t="s">
        <v>9275</v>
      </c>
      <c r="B2919" s="159" t="s">
        <v>9986</v>
      </c>
      <c r="C2919" s="159" t="s">
        <v>12517</v>
      </c>
      <c r="D2919" s="159" t="s">
        <v>481</v>
      </c>
      <c r="E2919" s="159">
        <v>20</v>
      </c>
      <c r="F2919" s="159" t="s">
        <v>5667</v>
      </c>
      <c r="G2919" s="159" t="s">
        <v>12518</v>
      </c>
    </row>
    <row r="2920" spans="1:7" ht="15.75" customHeight="1">
      <c r="A2920" s="159" t="s">
        <v>9275</v>
      </c>
      <c r="B2920" s="159" t="s">
        <v>9986</v>
      </c>
      <c r="C2920" s="159" t="s">
        <v>12109</v>
      </c>
      <c r="D2920" s="159" t="s">
        <v>481</v>
      </c>
      <c r="E2920" s="159">
        <v>20</v>
      </c>
      <c r="F2920" s="159" t="s">
        <v>5667</v>
      </c>
      <c r="G2920" s="159" t="s">
        <v>12110</v>
      </c>
    </row>
    <row r="2921" spans="1:7" ht="15.75" customHeight="1">
      <c r="A2921" s="159" t="s">
        <v>9275</v>
      </c>
      <c r="B2921" s="159" t="s">
        <v>9986</v>
      </c>
      <c r="C2921" s="159" t="s">
        <v>12427</v>
      </c>
      <c r="D2921" s="159" t="s">
        <v>481</v>
      </c>
      <c r="E2921" s="159">
        <v>20</v>
      </c>
      <c r="F2921" s="159" t="s">
        <v>5667</v>
      </c>
      <c r="G2921" s="159" t="s">
        <v>12428</v>
      </c>
    </row>
    <row r="2922" spans="1:7" ht="15.75" customHeight="1">
      <c r="A2922" s="159" t="s">
        <v>9275</v>
      </c>
      <c r="B2922" s="159" t="s">
        <v>9986</v>
      </c>
      <c r="C2922" s="159" t="s">
        <v>12519</v>
      </c>
      <c r="D2922" s="159" t="s">
        <v>481</v>
      </c>
      <c r="E2922" s="159">
        <v>20</v>
      </c>
      <c r="F2922" s="159" t="s">
        <v>5667</v>
      </c>
      <c r="G2922" s="159" t="s">
        <v>12520</v>
      </c>
    </row>
    <row r="2923" spans="1:7" ht="15.75" customHeight="1">
      <c r="A2923" s="159" t="s">
        <v>9275</v>
      </c>
      <c r="B2923" s="159" t="s">
        <v>9986</v>
      </c>
      <c r="C2923" s="159" t="s">
        <v>12521</v>
      </c>
      <c r="D2923" s="159" t="s">
        <v>481</v>
      </c>
      <c r="E2923" s="159">
        <v>20</v>
      </c>
      <c r="F2923" s="159" t="s">
        <v>5667</v>
      </c>
      <c r="G2923" s="159" t="s">
        <v>12522</v>
      </c>
    </row>
    <row r="2924" spans="1:7" ht="15.75" customHeight="1">
      <c r="A2924" s="159" t="s">
        <v>9275</v>
      </c>
      <c r="B2924" s="159" t="s">
        <v>9986</v>
      </c>
      <c r="C2924" s="159" t="s">
        <v>12523</v>
      </c>
      <c r="D2924" s="159" t="s">
        <v>481</v>
      </c>
      <c r="E2924" s="159">
        <v>20</v>
      </c>
      <c r="F2924" s="159" t="s">
        <v>5667</v>
      </c>
      <c r="G2924" s="159" t="s">
        <v>12524</v>
      </c>
    </row>
    <row r="2925" spans="1:7" ht="15.75" customHeight="1">
      <c r="A2925" s="159" t="s">
        <v>9275</v>
      </c>
      <c r="B2925" s="159" t="s">
        <v>9986</v>
      </c>
      <c r="C2925" s="159" t="s">
        <v>12525</v>
      </c>
      <c r="D2925" s="159" t="s">
        <v>481</v>
      </c>
      <c r="E2925" s="159">
        <v>20</v>
      </c>
      <c r="F2925" s="159" t="s">
        <v>5667</v>
      </c>
      <c r="G2925" s="159" t="s">
        <v>12526</v>
      </c>
    </row>
    <row r="2926" spans="1:7" ht="15.75" customHeight="1">
      <c r="A2926" s="159" t="s">
        <v>9275</v>
      </c>
      <c r="B2926" s="159" t="s">
        <v>9986</v>
      </c>
      <c r="C2926" s="159" t="s">
        <v>12527</v>
      </c>
      <c r="D2926" s="159" t="s">
        <v>481</v>
      </c>
      <c r="E2926" s="159">
        <v>20</v>
      </c>
      <c r="F2926" s="159" t="s">
        <v>5667</v>
      </c>
      <c r="G2926" s="159" t="s">
        <v>12528</v>
      </c>
    </row>
    <row r="2927" spans="1:7" ht="15.75" customHeight="1">
      <c r="A2927" s="159" t="s">
        <v>9275</v>
      </c>
      <c r="B2927" s="159" t="s">
        <v>9986</v>
      </c>
      <c r="C2927" s="159" t="s">
        <v>12529</v>
      </c>
      <c r="D2927" s="159" t="s">
        <v>481</v>
      </c>
      <c r="E2927" s="159">
        <v>20</v>
      </c>
      <c r="F2927" s="159" t="s">
        <v>5667</v>
      </c>
      <c r="G2927" s="159" t="s">
        <v>12530</v>
      </c>
    </row>
    <row r="2928" spans="1:7" ht="15.75" customHeight="1">
      <c r="A2928" s="159" t="s">
        <v>9275</v>
      </c>
      <c r="B2928" s="159" t="s">
        <v>9986</v>
      </c>
      <c r="C2928" s="159" t="s">
        <v>12531</v>
      </c>
      <c r="D2928" s="159" t="s">
        <v>481</v>
      </c>
      <c r="E2928" s="159">
        <v>12</v>
      </c>
      <c r="F2928" s="159" t="s">
        <v>5667</v>
      </c>
      <c r="G2928" s="159" t="s">
        <v>12532</v>
      </c>
    </row>
    <row r="2929" spans="1:7" ht="15.75" customHeight="1">
      <c r="A2929" s="159" t="s">
        <v>9275</v>
      </c>
      <c r="B2929" s="159" t="s">
        <v>9986</v>
      </c>
      <c r="C2929" s="159" t="s">
        <v>12477</v>
      </c>
      <c r="D2929" s="159" t="s">
        <v>481</v>
      </c>
      <c r="E2929" s="159">
        <v>20</v>
      </c>
      <c r="F2929" s="159" t="s">
        <v>5667</v>
      </c>
      <c r="G2929" s="159" t="s">
        <v>12478</v>
      </c>
    </row>
    <row r="2930" spans="1:7" ht="15.75" customHeight="1">
      <c r="A2930" s="159" t="s">
        <v>9275</v>
      </c>
      <c r="B2930" s="159" t="s">
        <v>9986</v>
      </c>
      <c r="C2930" s="159" t="s">
        <v>5845</v>
      </c>
      <c r="D2930" s="159" t="s">
        <v>481</v>
      </c>
      <c r="E2930" s="159">
        <v>20</v>
      </c>
      <c r="F2930" s="159" t="s">
        <v>5667</v>
      </c>
      <c r="G2930" s="159" t="s">
        <v>11064</v>
      </c>
    </row>
    <row r="2931" spans="1:7" ht="15.75" customHeight="1">
      <c r="A2931" s="159" t="s">
        <v>9275</v>
      </c>
      <c r="B2931" s="159" t="s">
        <v>9986</v>
      </c>
      <c r="C2931" s="159" t="s">
        <v>12533</v>
      </c>
      <c r="D2931" s="159" t="s">
        <v>481</v>
      </c>
      <c r="E2931" s="159">
        <v>20</v>
      </c>
      <c r="F2931" s="159" t="s">
        <v>5667</v>
      </c>
      <c r="G2931" s="159" t="s">
        <v>12534</v>
      </c>
    </row>
    <row r="2932" spans="1:7" ht="15.75" customHeight="1">
      <c r="A2932" s="159" t="s">
        <v>9275</v>
      </c>
      <c r="B2932" s="159" t="s">
        <v>9986</v>
      </c>
      <c r="C2932" s="159" t="s">
        <v>12535</v>
      </c>
      <c r="D2932" s="159" t="s">
        <v>481</v>
      </c>
      <c r="E2932" s="159">
        <v>20</v>
      </c>
      <c r="F2932" s="159" t="s">
        <v>5667</v>
      </c>
      <c r="G2932" s="159" t="s">
        <v>12536</v>
      </c>
    </row>
    <row r="2933" spans="1:7" ht="15.75" customHeight="1">
      <c r="A2933" s="159" t="s">
        <v>9275</v>
      </c>
      <c r="B2933" s="159" t="s">
        <v>9986</v>
      </c>
      <c r="C2933" s="159" t="s">
        <v>12537</v>
      </c>
      <c r="D2933" s="159" t="s">
        <v>481</v>
      </c>
      <c r="E2933" s="159">
        <v>20</v>
      </c>
      <c r="F2933" s="159" t="s">
        <v>5667</v>
      </c>
      <c r="G2933" s="159" t="s">
        <v>12538</v>
      </c>
    </row>
    <row r="2934" spans="1:7" ht="15.75" customHeight="1">
      <c r="A2934" s="159" t="s">
        <v>9275</v>
      </c>
      <c r="B2934" s="159" t="s">
        <v>9986</v>
      </c>
      <c r="C2934" s="159" t="s">
        <v>12076</v>
      </c>
      <c r="D2934" s="159" t="s">
        <v>481</v>
      </c>
      <c r="E2934" s="159">
        <v>20</v>
      </c>
      <c r="F2934" s="159" t="s">
        <v>5667</v>
      </c>
      <c r="G2934" s="159" t="s">
        <v>9</v>
      </c>
    </row>
    <row r="2935" spans="1:7" ht="15.75" customHeight="1">
      <c r="A2935" s="159" t="s">
        <v>9275</v>
      </c>
      <c r="B2935" s="159" t="s">
        <v>9986</v>
      </c>
      <c r="C2935" s="159" t="s">
        <v>12173</v>
      </c>
      <c r="D2935" s="159" t="s">
        <v>481</v>
      </c>
      <c r="E2935" s="159">
        <v>20</v>
      </c>
      <c r="F2935" s="159" t="s">
        <v>5667</v>
      </c>
      <c r="G2935" s="159" t="s">
        <v>12174</v>
      </c>
    </row>
    <row r="2936" spans="1:7" ht="15.75" customHeight="1">
      <c r="A2936" s="159" t="s">
        <v>9275</v>
      </c>
      <c r="B2936" s="159" t="s">
        <v>9986</v>
      </c>
      <c r="C2936" s="159" t="s">
        <v>12539</v>
      </c>
      <c r="D2936" s="159" t="s">
        <v>481</v>
      </c>
      <c r="E2936" s="159">
        <v>20</v>
      </c>
      <c r="F2936" s="159" t="s">
        <v>5667</v>
      </c>
      <c r="G2936" s="159" t="s">
        <v>12540</v>
      </c>
    </row>
    <row r="2937" spans="1:7" ht="15.75" customHeight="1">
      <c r="A2937" s="159" t="s">
        <v>9275</v>
      </c>
      <c r="B2937" s="159" t="s">
        <v>9986</v>
      </c>
      <c r="C2937" s="159" t="s">
        <v>12541</v>
      </c>
      <c r="D2937" s="159" t="s">
        <v>481</v>
      </c>
      <c r="E2937" s="159">
        <v>20</v>
      </c>
      <c r="F2937" s="159" t="s">
        <v>5667</v>
      </c>
      <c r="G2937" s="159" t="s">
        <v>12542</v>
      </c>
    </row>
    <row r="2938" spans="1:7" ht="15.75" customHeight="1">
      <c r="A2938" s="159" t="s">
        <v>9275</v>
      </c>
      <c r="B2938" s="159" t="s">
        <v>9986</v>
      </c>
      <c r="C2938" s="159" t="s">
        <v>12543</v>
      </c>
      <c r="D2938" s="159" t="s">
        <v>481</v>
      </c>
      <c r="E2938" s="159">
        <v>20</v>
      </c>
      <c r="F2938" s="159" t="s">
        <v>5667</v>
      </c>
      <c r="G2938" s="159" t="s">
        <v>12544</v>
      </c>
    </row>
    <row r="2939" spans="1:7" ht="15.75" customHeight="1">
      <c r="A2939" s="159" t="s">
        <v>9275</v>
      </c>
      <c r="B2939" s="159" t="s">
        <v>9986</v>
      </c>
      <c r="C2939" s="159" t="s">
        <v>12177</v>
      </c>
      <c r="D2939" s="159" t="s">
        <v>481</v>
      </c>
      <c r="E2939" s="159">
        <v>20</v>
      </c>
      <c r="F2939" s="159" t="s">
        <v>5667</v>
      </c>
      <c r="G2939" s="159" t="s">
        <v>12178</v>
      </c>
    </row>
    <row r="2940" spans="1:7" ht="15.75" customHeight="1">
      <c r="A2940" s="159" t="s">
        <v>9275</v>
      </c>
      <c r="B2940" s="159" t="s">
        <v>9986</v>
      </c>
      <c r="C2940" s="159" t="s">
        <v>12545</v>
      </c>
      <c r="D2940" s="159" t="s">
        <v>481</v>
      </c>
      <c r="E2940" s="159">
        <v>20</v>
      </c>
      <c r="F2940" s="159" t="s">
        <v>5667</v>
      </c>
      <c r="G2940" s="159" t="s">
        <v>12546</v>
      </c>
    </row>
    <row r="2941" spans="1:7" ht="15.75" customHeight="1">
      <c r="A2941" s="159" t="s">
        <v>9275</v>
      </c>
      <c r="B2941" s="159" t="s">
        <v>9986</v>
      </c>
      <c r="C2941" s="159" t="s">
        <v>12066</v>
      </c>
      <c r="D2941" s="159" t="s">
        <v>481</v>
      </c>
      <c r="E2941" s="159">
        <v>12</v>
      </c>
      <c r="F2941" s="159" t="s">
        <v>5667</v>
      </c>
      <c r="G2941" s="159" t="s">
        <v>12067</v>
      </c>
    </row>
    <row r="2942" spans="1:7" ht="15.75" customHeight="1">
      <c r="A2942" s="159" t="s">
        <v>9275</v>
      </c>
      <c r="B2942" s="159" t="s">
        <v>9986</v>
      </c>
      <c r="C2942" s="159" t="s">
        <v>12425</v>
      </c>
      <c r="D2942" s="159" t="s">
        <v>481</v>
      </c>
      <c r="E2942" s="159">
        <v>12</v>
      </c>
      <c r="F2942" s="159" t="s">
        <v>5667</v>
      </c>
      <c r="G2942" s="159" t="s">
        <v>12426</v>
      </c>
    </row>
    <row r="2943" spans="1:7" ht="15.75" customHeight="1">
      <c r="A2943" s="159" t="s">
        <v>9275</v>
      </c>
      <c r="B2943" s="159" t="s">
        <v>9986</v>
      </c>
      <c r="C2943" s="159" t="s">
        <v>12117</v>
      </c>
      <c r="D2943" s="159" t="s">
        <v>481</v>
      </c>
      <c r="E2943" s="159">
        <v>20</v>
      </c>
      <c r="F2943" s="159" t="s">
        <v>5667</v>
      </c>
      <c r="G2943" s="159" t="s">
        <v>12118</v>
      </c>
    </row>
    <row r="2944" spans="1:7" ht="15.75" customHeight="1">
      <c r="A2944" s="159" t="s">
        <v>9275</v>
      </c>
      <c r="B2944" s="159" t="s">
        <v>9986</v>
      </c>
      <c r="C2944" s="159" t="s">
        <v>12547</v>
      </c>
      <c r="D2944" s="159" t="s">
        <v>481</v>
      </c>
      <c r="E2944" s="159">
        <v>20</v>
      </c>
      <c r="F2944" s="159" t="s">
        <v>5667</v>
      </c>
      <c r="G2944" s="159" t="s">
        <v>12548</v>
      </c>
    </row>
    <row r="2945" spans="1:7" ht="15.75" customHeight="1">
      <c r="A2945" s="159" t="s">
        <v>9275</v>
      </c>
      <c r="B2945" s="159" t="s">
        <v>9986</v>
      </c>
      <c r="C2945" s="159" t="s">
        <v>12549</v>
      </c>
      <c r="D2945" s="159" t="s">
        <v>481</v>
      </c>
      <c r="E2945" s="159">
        <v>20</v>
      </c>
      <c r="F2945" s="159" t="s">
        <v>5667</v>
      </c>
      <c r="G2945" s="159" t="s">
        <v>12550</v>
      </c>
    </row>
    <row r="2946" spans="1:7" ht="15.75" customHeight="1">
      <c r="A2946" s="159" t="s">
        <v>9275</v>
      </c>
      <c r="B2946" s="159" t="s">
        <v>9986</v>
      </c>
      <c r="C2946" s="159" t="s">
        <v>12551</v>
      </c>
      <c r="D2946" s="159" t="s">
        <v>481</v>
      </c>
      <c r="E2946" s="159">
        <v>20</v>
      </c>
      <c r="F2946" s="159" t="s">
        <v>5667</v>
      </c>
      <c r="G2946" s="159" t="s">
        <v>12552</v>
      </c>
    </row>
    <row r="2947" spans="1:7" ht="15.75" customHeight="1">
      <c r="A2947" s="159" t="s">
        <v>9275</v>
      </c>
      <c r="B2947" s="159" t="s">
        <v>9986</v>
      </c>
      <c r="C2947" s="159" t="s">
        <v>12169</v>
      </c>
      <c r="D2947" s="159" t="s">
        <v>481</v>
      </c>
      <c r="E2947" s="159">
        <v>20</v>
      </c>
      <c r="F2947" s="159" t="s">
        <v>5667</v>
      </c>
      <c r="G2947" s="159" t="s">
        <v>12170</v>
      </c>
    </row>
    <row r="2948" spans="1:7" ht="15.75" customHeight="1">
      <c r="A2948" s="159" t="s">
        <v>9275</v>
      </c>
      <c r="B2948" s="159" t="s">
        <v>9986</v>
      </c>
      <c r="C2948" s="159" t="s">
        <v>12553</v>
      </c>
      <c r="D2948" s="159" t="s">
        <v>481</v>
      </c>
      <c r="E2948" s="159">
        <v>20</v>
      </c>
      <c r="F2948" s="159" t="s">
        <v>5667</v>
      </c>
      <c r="G2948" s="159" t="s">
        <v>12554</v>
      </c>
    </row>
    <row r="2949" spans="1:7" ht="15.75" customHeight="1">
      <c r="A2949" s="159" t="s">
        <v>9275</v>
      </c>
      <c r="B2949" s="159" t="s">
        <v>9986</v>
      </c>
      <c r="C2949" s="159" t="s">
        <v>12555</v>
      </c>
      <c r="D2949" s="159" t="s">
        <v>481</v>
      </c>
      <c r="E2949" s="159">
        <v>20</v>
      </c>
      <c r="F2949" s="159" t="s">
        <v>5667</v>
      </c>
      <c r="G2949" s="159" t="s">
        <v>12556</v>
      </c>
    </row>
    <row r="2950" spans="1:7" ht="15.75" customHeight="1">
      <c r="A2950" s="159" t="s">
        <v>9275</v>
      </c>
      <c r="B2950" s="159" t="s">
        <v>9986</v>
      </c>
      <c r="C2950" s="159" t="s">
        <v>12557</v>
      </c>
      <c r="D2950" s="159" t="s">
        <v>481</v>
      </c>
      <c r="E2950" s="159">
        <v>20</v>
      </c>
      <c r="F2950" s="159" t="s">
        <v>5667</v>
      </c>
      <c r="G2950" s="159" t="s">
        <v>12558</v>
      </c>
    </row>
    <row r="2951" spans="1:7" ht="15.75" customHeight="1">
      <c r="A2951" s="159" t="s">
        <v>9275</v>
      </c>
      <c r="B2951" s="159" t="s">
        <v>9986</v>
      </c>
      <c r="C2951" s="159" t="s">
        <v>12559</v>
      </c>
      <c r="D2951" s="159" t="s">
        <v>481</v>
      </c>
      <c r="E2951" s="159">
        <v>20</v>
      </c>
      <c r="F2951" s="159" t="s">
        <v>5667</v>
      </c>
      <c r="G2951" s="159" t="s">
        <v>12560</v>
      </c>
    </row>
    <row r="2952" spans="1:7" ht="15.75" customHeight="1">
      <c r="A2952" s="159" t="s">
        <v>9275</v>
      </c>
      <c r="B2952" s="159" t="s">
        <v>9986</v>
      </c>
      <c r="C2952" s="159" t="s">
        <v>12561</v>
      </c>
      <c r="D2952" s="159" t="s">
        <v>481</v>
      </c>
      <c r="E2952" s="159">
        <v>20</v>
      </c>
      <c r="F2952" s="159" t="s">
        <v>5667</v>
      </c>
      <c r="G2952" s="159" t="s">
        <v>12562</v>
      </c>
    </row>
    <row r="2953" spans="1:7" ht="15.75" customHeight="1">
      <c r="A2953" s="159" t="s">
        <v>9275</v>
      </c>
      <c r="B2953" s="159" t="s">
        <v>9986</v>
      </c>
      <c r="C2953" s="159" t="s">
        <v>12563</v>
      </c>
      <c r="D2953" s="159" t="s">
        <v>481</v>
      </c>
      <c r="E2953" s="159">
        <v>20</v>
      </c>
      <c r="F2953" s="159" t="s">
        <v>5667</v>
      </c>
      <c r="G2953" s="159" t="s">
        <v>12564</v>
      </c>
    </row>
    <row r="2954" spans="1:7" ht="15.75" customHeight="1">
      <c r="A2954" s="159" t="s">
        <v>9275</v>
      </c>
      <c r="B2954" s="159" t="s">
        <v>9986</v>
      </c>
      <c r="C2954" s="159" t="s">
        <v>12565</v>
      </c>
      <c r="D2954" s="159" t="s">
        <v>481</v>
      </c>
      <c r="E2954" s="159">
        <v>20</v>
      </c>
      <c r="F2954" s="159" t="s">
        <v>5667</v>
      </c>
      <c r="G2954" s="159" t="s">
        <v>12566</v>
      </c>
    </row>
    <row r="2955" spans="1:7" ht="15.75" customHeight="1">
      <c r="A2955" s="159" t="s">
        <v>9275</v>
      </c>
      <c r="B2955" s="159" t="s">
        <v>9986</v>
      </c>
      <c r="C2955" s="159" t="s">
        <v>12567</v>
      </c>
      <c r="D2955" s="159" t="s">
        <v>481</v>
      </c>
      <c r="E2955" s="159">
        <v>20</v>
      </c>
      <c r="F2955" s="159" t="s">
        <v>5667</v>
      </c>
      <c r="G2955" s="159" t="s">
        <v>12568</v>
      </c>
    </row>
    <row r="2956" spans="1:7" ht="15.75" customHeight="1">
      <c r="A2956" s="159" t="s">
        <v>9275</v>
      </c>
      <c r="B2956" s="159" t="s">
        <v>9986</v>
      </c>
      <c r="C2956" s="159" t="s">
        <v>12569</v>
      </c>
      <c r="D2956" s="159" t="s">
        <v>481</v>
      </c>
      <c r="E2956" s="159">
        <v>12</v>
      </c>
      <c r="F2956" s="159" t="s">
        <v>5667</v>
      </c>
      <c r="G2956" s="159" t="s">
        <v>12570</v>
      </c>
    </row>
    <row r="2957" spans="1:7" ht="15.75" customHeight="1">
      <c r="A2957" s="159" t="s">
        <v>9275</v>
      </c>
      <c r="B2957" s="159" t="s">
        <v>9986</v>
      </c>
      <c r="C2957" s="159" t="s">
        <v>12571</v>
      </c>
      <c r="D2957" s="159" t="s">
        <v>481</v>
      </c>
      <c r="E2957" s="159">
        <v>20</v>
      </c>
      <c r="F2957" s="159" t="s">
        <v>5667</v>
      </c>
      <c r="G2957" s="159" t="s">
        <v>12572</v>
      </c>
    </row>
    <row r="2958" spans="1:7" ht="15.75" customHeight="1">
      <c r="A2958" s="159" t="s">
        <v>9275</v>
      </c>
      <c r="B2958" s="159" t="s">
        <v>9986</v>
      </c>
      <c r="C2958" s="159" t="s">
        <v>12573</v>
      </c>
      <c r="D2958" s="159" t="s">
        <v>978</v>
      </c>
      <c r="E2958" s="159">
        <v>5</v>
      </c>
      <c r="F2958" s="159" t="s">
        <v>5667</v>
      </c>
      <c r="G2958" s="159" t="s">
        <v>12574</v>
      </c>
    </row>
    <row r="2959" spans="1:7" ht="15.75" customHeight="1">
      <c r="A2959" s="159" t="s">
        <v>9275</v>
      </c>
      <c r="B2959" s="159" t="s">
        <v>9986</v>
      </c>
      <c r="C2959" s="159" t="s">
        <v>12575</v>
      </c>
      <c r="D2959" s="159" t="s">
        <v>978</v>
      </c>
      <c r="E2959" s="159">
        <v>5</v>
      </c>
      <c r="F2959" s="159" t="s">
        <v>5667</v>
      </c>
      <c r="G2959" s="159" t="s">
        <v>12576</v>
      </c>
    </row>
    <row r="2960" spans="1:7" ht="15.75" customHeight="1">
      <c r="A2960" s="159" t="s">
        <v>9275</v>
      </c>
      <c r="B2960" s="159" t="s">
        <v>9986</v>
      </c>
      <c r="C2960" s="159" t="s">
        <v>12098</v>
      </c>
      <c r="D2960" s="159" t="s">
        <v>978</v>
      </c>
      <c r="E2960" s="159">
        <v>5</v>
      </c>
      <c r="F2960" s="159" t="s">
        <v>5667</v>
      </c>
      <c r="G2960" s="159" t="s">
        <v>12099</v>
      </c>
    </row>
    <row r="2961" spans="1:7" ht="15.75" customHeight="1">
      <c r="A2961" s="159" t="s">
        <v>9275</v>
      </c>
      <c r="B2961" s="159" t="s">
        <v>9986</v>
      </c>
      <c r="C2961" s="159" t="s">
        <v>12096</v>
      </c>
      <c r="D2961" s="159" t="s">
        <v>978</v>
      </c>
      <c r="E2961" s="159">
        <v>5</v>
      </c>
      <c r="F2961" s="159" t="s">
        <v>5667</v>
      </c>
      <c r="G2961" s="159" t="s">
        <v>12097</v>
      </c>
    </row>
    <row r="2962" spans="1:7" ht="15.75" customHeight="1">
      <c r="A2962" s="159" t="s">
        <v>9275</v>
      </c>
      <c r="B2962" s="159" t="s">
        <v>9986</v>
      </c>
      <c r="C2962" s="159" t="s">
        <v>12449</v>
      </c>
      <c r="D2962" s="159" t="s">
        <v>484</v>
      </c>
      <c r="E2962" s="159">
        <v>10</v>
      </c>
      <c r="F2962" s="159" t="s">
        <v>5667</v>
      </c>
      <c r="G2962" s="159" t="s">
        <v>12450</v>
      </c>
    </row>
    <row r="2963" spans="1:7" ht="15.75" customHeight="1">
      <c r="A2963" s="159" t="s">
        <v>9275</v>
      </c>
      <c r="B2963" s="159" t="s">
        <v>9986</v>
      </c>
      <c r="C2963" s="159" t="s">
        <v>10884</v>
      </c>
      <c r="D2963" s="159" t="s">
        <v>484</v>
      </c>
      <c r="E2963" s="159">
        <v>10</v>
      </c>
      <c r="F2963" s="159" t="s">
        <v>5667</v>
      </c>
      <c r="G2963" s="159"/>
    </row>
    <row r="2964" spans="1:7" ht="15.75" customHeight="1">
      <c r="A2964" s="159" t="s">
        <v>9275</v>
      </c>
      <c r="B2964" s="159" t="s">
        <v>9986</v>
      </c>
      <c r="C2964" s="159" t="s">
        <v>12577</v>
      </c>
      <c r="D2964" s="159" t="s">
        <v>484</v>
      </c>
      <c r="E2964" s="159">
        <v>10</v>
      </c>
      <c r="F2964" s="159" t="s">
        <v>5667</v>
      </c>
      <c r="G2964" s="159" t="s">
        <v>12578</v>
      </c>
    </row>
    <row r="2965" spans="1:7" ht="15.75" customHeight="1">
      <c r="A2965" s="159" t="s">
        <v>9275</v>
      </c>
      <c r="B2965" s="159" t="s">
        <v>9986</v>
      </c>
      <c r="C2965" s="159" t="s">
        <v>12441</v>
      </c>
      <c r="D2965" s="159" t="s">
        <v>978</v>
      </c>
      <c r="E2965" s="159">
        <v>5</v>
      </c>
      <c r="F2965" s="159" t="s">
        <v>5667</v>
      </c>
      <c r="G2965" s="159" t="s">
        <v>12442</v>
      </c>
    </row>
    <row r="2966" spans="1:7" ht="15.75" customHeight="1">
      <c r="A2966" s="159" t="s">
        <v>9275</v>
      </c>
      <c r="B2966" s="159" t="s">
        <v>9986</v>
      </c>
      <c r="C2966" s="159" t="s">
        <v>12443</v>
      </c>
      <c r="D2966" s="159" t="s">
        <v>978</v>
      </c>
      <c r="E2966" s="159">
        <v>5</v>
      </c>
      <c r="F2966" s="159" t="s">
        <v>5667</v>
      </c>
      <c r="G2966" s="159" t="s">
        <v>12444</v>
      </c>
    </row>
    <row r="2967" spans="1:7" ht="15.75" customHeight="1">
      <c r="A2967" s="159" t="s">
        <v>9275</v>
      </c>
      <c r="B2967" s="159" t="s">
        <v>9986</v>
      </c>
      <c r="C2967" s="159" t="s">
        <v>12579</v>
      </c>
      <c r="D2967" s="159" t="s">
        <v>978</v>
      </c>
      <c r="E2967" s="159">
        <v>5</v>
      </c>
      <c r="F2967" s="159" t="s">
        <v>5667</v>
      </c>
      <c r="G2967" s="159" t="s">
        <v>12580</v>
      </c>
    </row>
    <row r="2968" spans="1:7" ht="15.75" customHeight="1">
      <c r="A2968" s="159" t="s">
        <v>9275</v>
      </c>
      <c r="B2968" s="159" t="s">
        <v>9986</v>
      </c>
      <c r="C2968" s="159" t="s">
        <v>12581</v>
      </c>
      <c r="D2968" s="159" t="s">
        <v>484</v>
      </c>
      <c r="E2968" s="159">
        <v>10</v>
      </c>
      <c r="F2968" s="159" t="s">
        <v>5667</v>
      </c>
      <c r="G2968" s="159" t="s">
        <v>12582</v>
      </c>
    </row>
    <row r="2969" spans="1:7" ht="15.75" customHeight="1">
      <c r="A2969" s="159" t="s">
        <v>9275</v>
      </c>
      <c r="B2969" s="159" t="s">
        <v>9986</v>
      </c>
      <c r="C2969" s="159" t="s">
        <v>12224</v>
      </c>
      <c r="D2969" s="159" t="s">
        <v>484</v>
      </c>
      <c r="E2969" s="159">
        <v>10</v>
      </c>
      <c r="F2969" s="159" t="s">
        <v>5667</v>
      </c>
      <c r="G2969" s="159" t="s">
        <v>11705</v>
      </c>
    </row>
    <row r="2970" spans="1:7" ht="15.75" customHeight="1">
      <c r="A2970" s="159" t="s">
        <v>9275</v>
      </c>
      <c r="B2970" s="159" t="s">
        <v>9986</v>
      </c>
      <c r="C2970" s="159" t="s">
        <v>10570</v>
      </c>
      <c r="D2970" s="159" t="s">
        <v>484</v>
      </c>
      <c r="E2970" s="159">
        <v>10</v>
      </c>
      <c r="F2970" s="159" t="s">
        <v>5667</v>
      </c>
      <c r="G2970" s="159" t="s">
        <v>10715</v>
      </c>
    </row>
    <row r="2971" spans="1:7" ht="15.75" customHeight="1">
      <c r="A2971" s="159" t="s">
        <v>9275</v>
      </c>
      <c r="B2971" s="159" t="s">
        <v>9986</v>
      </c>
      <c r="C2971" s="159" t="s">
        <v>12447</v>
      </c>
      <c r="D2971" s="159" t="s">
        <v>484</v>
      </c>
      <c r="E2971" s="159">
        <v>10</v>
      </c>
      <c r="F2971" s="159" t="s">
        <v>5667</v>
      </c>
      <c r="G2971" s="159" t="s">
        <v>12448</v>
      </c>
    </row>
    <row r="2972" spans="1:7" ht="15.75" customHeight="1">
      <c r="A2972" s="159" t="s">
        <v>9275</v>
      </c>
      <c r="B2972" s="159" t="s">
        <v>9986</v>
      </c>
      <c r="C2972" s="159" t="s">
        <v>12433</v>
      </c>
      <c r="D2972" s="159" t="s">
        <v>481</v>
      </c>
      <c r="E2972" s="159">
        <v>20</v>
      </c>
      <c r="F2972" s="159" t="s">
        <v>5667</v>
      </c>
      <c r="G2972" s="159" t="s">
        <v>12434</v>
      </c>
    </row>
    <row r="2973" spans="1:7" ht="15.75" customHeight="1">
      <c r="A2973" s="159" t="s">
        <v>9275</v>
      </c>
      <c r="B2973" s="159" t="s">
        <v>9986</v>
      </c>
      <c r="C2973" s="159" t="s">
        <v>12423</v>
      </c>
      <c r="D2973" s="159" t="s">
        <v>481</v>
      </c>
      <c r="E2973" s="159">
        <v>20</v>
      </c>
      <c r="F2973" s="159" t="s">
        <v>5667</v>
      </c>
      <c r="G2973" s="159" t="s">
        <v>12424</v>
      </c>
    </row>
    <row r="2974" spans="1:7" ht="15.75" customHeight="1">
      <c r="A2974" s="159" t="s">
        <v>9275</v>
      </c>
      <c r="B2974" s="159" t="s">
        <v>9986</v>
      </c>
      <c r="C2974" s="159" t="s">
        <v>12429</v>
      </c>
      <c r="D2974" s="159" t="s">
        <v>481</v>
      </c>
      <c r="E2974" s="159">
        <v>20</v>
      </c>
      <c r="F2974" s="159" t="s">
        <v>5667</v>
      </c>
      <c r="G2974" s="159" t="s">
        <v>12430</v>
      </c>
    </row>
    <row r="2975" spans="1:7" ht="15.75" customHeight="1">
      <c r="A2975" s="159" t="s">
        <v>9275</v>
      </c>
      <c r="B2975" s="159" t="s">
        <v>9986</v>
      </c>
      <c r="C2975" s="159" t="s">
        <v>12439</v>
      </c>
      <c r="D2975" s="159" t="s">
        <v>481</v>
      </c>
      <c r="E2975" s="159">
        <v>20</v>
      </c>
      <c r="F2975" s="159" t="s">
        <v>5667</v>
      </c>
      <c r="G2975" s="159" t="s">
        <v>12440</v>
      </c>
    </row>
    <row r="2976" spans="1:7" ht="15.75" customHeight="1">
      <c r="A2976" s="159" t="s">
        <v>9275</v>
      </c>
      <c r="B2976" s="159" t="s">
        <v>9986</v>
      </c>
      <c r="C2976" s="159" t="s">
        <v>12191</v>
      </c>
      <c r="D2976" s="159" t="s">
        <v>481</v>
      </c>
      <c r="E2976" s="159">
        <v>20</v>
      </c>
      <c r="F2976" s="159" t="s">
        <v>5667</v>
      </c>
      <c r="G2976" s="159" t="s">
        <v>12192</v>
      </c>
    </row>
    <row r="2977" spans="1:7" ht="15.75" customHeight="1">
      <c r="A2977" s="159" t="s">
        <v>9275</v>
      </c>
      <c r="B2977" s="159" t="s">
        <v>9986</v>
      </c>
      <c r="C2977" s="159" t="s">
        <v>12431</v>
      </c>
      <c r="D2977" s="159" t="s">
        <v>481</v>
      </c>
      <c r="E2977" s="159">
        <v>20</v>
      </c>
      <c r="F2977" s="159" t="s">
        <v>5667</v>
      </c>
      <c r="G2977" s="159" t="s">
        <v>12432</v>
      </c>
    </row>
    <row r="2978" spans="1:7" ht="15.75" customHeight="1">
      <c r="A2978" s="159" t="s">
        <v>9275</v>
      </c>
      <c r="B2978" s="159" t="s">
        <v>9986</v>
      </c>
      <c r="C2978" s="159" t="s">
        <v>12583</v>
      </c>
      <c r="D2978" s="159" t="s">
        <v>481</v>
      </c>
      <c r="E2978" s="159">
        <v>20</v>
      </c>
      <c r="F2978" s="159" t="s">
        <v>5667</v>
      </c>
      <c r="G2978" s="159" t="s">
        <v>12584</v>
      </c>
    </row>
    <row r="2979" spans="1:7" ht="15.75" customHeight="1">
      <c r="A2979" s="159" t="s">
        <v>9275</v>
      </c>
      <c r="B2979" s="159" t="s">
        <v>9986</v>
      </c>
      <c r="C2979" s="159" t="s">
        <v>12585</v>
      </c>
      <c r="D2979" s="159" t="s">
        <v>481</v>
      </c>
      <c r="E2979" s="159">
        <v>20</v>
      </c>
      <c r="F2979" s="159" t="s">
        <v>5667</v>
      </c>
      <c r="G2979" s="159" t="s">
        <v>12586</v>
      </c>
    </row>
    <row r="2980" spans="1:7" ht="15.75" customHeight="1">
      <c r="A2980" s="159" t="s">
        <v>9275</v>
      </c>
      <c r="B2980" s="159" t="s">
        <v>9986</v>
      </c>
      <c r="C2980" s="159" t="s">
        <v>12189</v>
      </c>
      <c r="D2980" s="159" t="s">
        <v>481</v>
      </c>
      <c r="E2980" s="159">
        <v>20</v>
      </c>
      <c r="F2980" s="159" t="s">
        <v>5667</v>
      </c>
      <c r="G2980" s="159" t="s">
        <v>12190</v>
      </c>
    </row>
    <row r="2981" spans="1:7" ht="15.75" customHeight="1">
      <c r="A2981" s="159" t="s">
        <v>9275</v>
      </c>
      <c r="B2981" s="159" t="s">
        <v>9986</v>
      </c>
      <c r="C2981" s="159" t="s">
        <v>12193</v>
      </c>
      <c r="D2981" s="159" t="s">
        <v>481</v>
      </c>
      <c r="E2981" s="159">
        <v>20</v>
      </c>
      <c r="F2981" s="159" t="s">
        <v>5667</v>
      </c>
      <c r="G2981" s="159" t="s">
        <v>12194</v>
      </c>
    </row>
    <row r="2982" spans="1:7" ht="15.75" customHeight="1">
      <c r="A2982" s="159" t="s">
        <v>9275</v>
      </c>
      <c r="B2982" s="159" t="s">
        <v>9986</v>
      </c>
      <c r="C2982" s="159" t="s">
        <v>12587</v>
      </c>
      <c r="D2982" s="159" t="s">
        <v>481</v>
      </c>
      <c r="E2982" s="159">
        <v>20</v>
      </c>
      <c r="F2982" s="159" t="s">
        <v>5667</v>
      </c>
      <c r="G2982" s="159" t="s">
        <v>12588</v>
      </c>
    </row>
    <row r="2983" spans="1:7" ht="15.75" customHeight="1">
      <c r="A2983" s="159" t="s">
        <v>9275</v>
      </c>
      <c r="B2983" s="159" t="s">
        <v>9986</v>
      </c>
      <c r="C2983" s="159" t="s">
        <v>5882</v>
      </c>
      <c r="D2983" s="159" t="s">
        <v>481</v>
      </c>
      <c r="E2983" s="159">
        <v>12</v>
      </c>
      <c r="F2983" s="159" t="s">
        <v>5667</v>
      </c>
      <c r="G2983" s="159" t="s">
        <v>3277</v>
      </c>
    </row>
    <row r="2984" spans="1:7" ht="15.75" customHeight="1">
      <c r="A2984" s="159" t="s">
        <v>9275</v>
      </c>
      <c r="B2984" s="159" t="s">
        <v>9986</v>
      </c>
      <c r="C2984" s="159" t="s">
        <v>12092</v>
      </c>
      <c r="D2984" s="159" t="s">
        <v>538</v>
      </c>
      <c r="E2984" s="159"/>
      <c r="F2984" s="159" t="s">
        <v>5667</v>
      </c>
      <c r="G2984" s="159" t="s">
        <v>12093</v>
      </c>
    </row>
    <row r="2985" spans="1:7" ht="15.75" customHeight="1">
      <c r="A2985" s="159" t="s">
        <v>9275</v>
      </c>
      <c r="B2985" s="159" t="s">
        <v>9986</v>
      </c>
      <c r="C2985" s="159" t="s">
        <v>11155</v>
      </c>
      <c r="D2985" s="159" t="s">
        <v>477</v>
      </c>
      <c r="E2985" s="159">
        <v>32</v>
      </c>
      <c r="F2985" s="159" t="s">
        <v>5667</v>
      </c>
      <c r="G2985" s="159" t="s">
        <v>11156</v>
      </c>
    </row>
    <row r="2986" spans="1:7" ht="15.75" customHeight="1">
      <c r="A2986" s="159" t="s">
        <v>9275</v>
      </c>
      <c r="B2986" s="159" t="s">
        <v>9986</v>
      </c>
      <c r="C2986" s="159" t="s">
        <v>12102</v>
      </c>
      <c r="D2986" s="159" t="s">
        <v>477</v>
      </c>
      <c r="E2986" s="159">
        <v>128</v>
      </c>
      <c r="F2986" s="159" t="s">
        <v>5667</v>
      </c>
      <c r="G2986" s="159" t="s">
        <v>12103</v>
      </c>
    </row>
    <row r="2987" spans="1:7" ht="15.75" customHeight="1">
      <c r="A2987" s="159" t="s">
        <v>9275</v>
      </c>
      <c r="B2987" s="159" t="s">
        <v>9986</v>
      </c>
      <c r="C2987" s="159" t="s">
        <v>12070</v>
      </c>
      <c r="D2987" s="159" t="s">
        <v>477</v>
      </c>
      <c r="E2987" s="159">
        <v>3</v>
      </c>
      <c r="F2987" s="159" t="s">
        <v>5667</v>
      </c>
      <c r="G2987" s="159" t="s">
        <v>12071</v>
      </c>
    </row>
    <row r="2988" spans="1:7" ht="15.75" customHeight="1">
      <c r="A2988" s="159" t="s">
        <v>9275</v>
      </c>
      <c r="B2988" s="159" t="s">
        <v>9986</v>
      </c>
      <c r="C2988" s="159" t="s">
        <v>11767</v>
      </c>
      <c r="D2988" s="159" t="s">
        <v>477</v>
      </c>
      <c r="E2988" s="159">
        <v>128</v>
      </c>
      <c r="F2988" s="159" t="s">
        <v>5667</v>
      </c>
      <c r="G2988" s="159" t="s">
        <v>11477</v>
      </c>
    </row>
    <row r="2989" spans="1:7" ht="15.75" customHeight="1">
      <c r="A2989" s="159" t="s">
        <v>9275</v>
      </c>
      <c r="B2989" s="159" t="s">
        <v>9986</v>
      </c>
      <c r="C2989" s="159" t="s">
        <v>12084</v>
      </c>
      <c r="D2989" s="159" t="s">
        <v>477</v>
      </c>
      <c r="E2989" s="159">
        <v>128</v>
      </c>
      <c r="F2989" s="159" t="s">
        <v>5667</v>
      </c>
      <c r="G2989" s="159" t="s">
        <v>12085</v>
      </c>
    </row>
    <row r="2990" spans="1:7" ht="15.75" customHeight="1">
      <c r="A2990" s="159" t="s">
        <v>9275</v>
      </c>
      <c r="B2990" s="159" t="s">
        <v>9986</v>
      </c>
      <c r="C2990" s="159" t="s">
        <v>12088</v>
      </c>
      <c r="D2990" s="159" t="s">
        <v>477</v>
      </c>
      <c r="E2990" s="159">
        <v>128</v>
      </c>
      <c r="F2990" s="159" t="s">
        <v>5667</v>
      </c>
      <c r="G2990" s="159" t="s">
        <v>12089</v>
      </c>
    </row>
    <row r="2991" spans="1:7" ht="15.75" customHeight="1">
      <c r="A2991" s="159" t="s">
        <v>9275</v>
      </c>
      <c r="B2991" s="159" t="s">
        <v>9986</v>
      </c>
      <c r="C2991" s="159" t="s">
        <v>12086</v>
      </c>
      <c r="D2991" s="159" t="s">
        <v>477</v>
      </c>
      <c r="E2991" s="159">
        <v>128</v>
      </c>
      <c r="F2991" s="159" t="s">
        <v>5667</v>
      </c>
      <c r="G2991" s="159" t="s">
        <v>12087</v>
      </c>
    </row>
    <row r="2992" spans="1:7" ht="15.75" customHeight="1">
      <c r="A2992" s="159" t="s">
        <v>9275</v>
      </c>
      <c r="B2992" s="159" t="s">
        <v>9986</v>
      </c>
      <c r="C2992" s="159" t="s">
        <v>12082</v>
      </c>
      <c r="D2992" s="159" t="s">
        <v>477</v>
      </c>
      <c r="E2992" s="159">
        <v>32</v>
      </c>
      <c r="F2992" s="159" t="s">
        <v>5667</v>
      </c>
      <c r="G2992" s="159" t="s">
        <v>12083</v>
      </c>
    </row>
    <row r="2993" spans="1:7" ht="15.75" customHeight="1">
      <c r="A2993" s="159" t="s">
        <v>9275</v>
      </c>
      <c r="B2993" s="159" t="s">
        <v>9986</v>
      </c>
      <c r="C2993" s="159" t="s">
        <v>12090</v>
      </c>
      <c r="D2993" s="159" t="s">
        <v>477</v>
      </c>
      <c r="E2993" s="159">
        <v>32</v>
      </c>
      <c r="F2993" s="159" t="s">
        <v>5667</v>
      </c>
      <c r="G2993" s="159" t="s">
        <v>12091</v>
      </c>
    </row>
    <row r="2994" spans="1:7" ht="15.75" customHeight="1">
      <c r="A2994" s="159" t="s">
        <v>9275</v>
      </c>
      <c r="B2994" s="159" t="s">
        <v>9986</v>
      </c>
      <c r="C2994" s="159" t="s">
        <v>12113</v>
      </c>
      <c r="D2994" s="159" t="s">
        <v>477</v>
      </c>
      <c r="E2994" s="159">
        <v>32</v>
      </c>
      <c r="F2994" s="159" t="s">
        <v>5667</v>
      </c>
      <c r="G2994" s="159" t="s">
        <v>12114</v>
      </c>
    </row>
    <row r="2995" spans="1:7" ht="15.75" customHeight="1">
      <c r="A2995" s="159" t="s">
        <v>9275</v>
      </c>
      <c r="B2995" s="159" t="s">
        <v>9986</v>
      </c>
      <c r="C2995" s="159" t="s">
        <v>12187</v>
      </c>
      <c r="D2995" s="159" t="s">
        <v>477</v>
      </c>
      <c r="E2995" s="159">
        <v>255</v>
      </c>
      <c r="F2995" s="159" t="s">
        <v>5667</v>
      </c>
      <c r="G2995" s="159" t="s">
        <v>12188</v>
      </c>
    </row>
    <row r="2996" spans="1:7" ht="15.75" customHeight="1">
      <c r="A2996" s="159" t="s">
        <v>9275</v>
      </c>
      <c r="B2996" s="159" t="s">
        <v>9986</v>
      </c>
      <c r="C2996" s="159" t="s">
        <v>12589</v>
      </c>
      <c r="D2996" s="159" t="s">
        <v>477</v>
      </c>
      <c r="E2996" s="159">
        <v>32</v>
      </c>
      <c r="F2996" s="159" t="s">
        <v>5667</v>
      </c>
      <c r="G2996" s="159" t="s">
        <v>12590</v>
      </c>
    </row>
    <row r="2997" spans="1:7" ht="15.75" customHeight="1">
      <c r="A2997" s="159" t="s">
        <v>9275</v>
      </c>
      <c r="B2997" s="159" t="s">
        <v>9986</v>
      </c>
      <c r="C2997" s="159" t="s">
        <v>12591</v>
      </c>
      <c r="D2997" s="159" t="s">
        <v>477</v>
      </c>
      <c r="E2997" s="159">
        <v>32</v>
      </c>
      <c r="F2997" s="159" t="s">
        <v>5667</v>
      </c>
      <c r="G2997" s="159" t="s">
        <v>12592</v>
      </c>
    </row>
    <row r="2998" spans="1:7" ht="15.75" customHeight="1">
      <c r="A2998" s="159" t="s">
        <v>9275</v>
      </c>
      <c r="B2998" s="159" t="s">
        <v>9986</v>
      </c>
      <c r="C2998" s="159" t="s">
        <v>12107</v>
      </c>
      <c r="D2998" s="159" t="s">
        <v>477</v>
      </c>
      <c r="E2998" s="159">
        <v>3</v>
      </c>
      <c r="F2998" s="159" t="s">
        <v>5667</v>
      </c>
      <c r="G2998" s="159" t="s">
        <v>12108</v>
      </c>
    </row>
    <row r="2999" spans="1:7" ht="15.75" customHeight="1">
      <c r="A2999" s="159" t="s">
        <v>9275</v>
      </c>
      <c r="B2999" s="159" t="s">
        <v>9986</v>
      </c>
      <c r="C2999" s="159" t="s">
        <v>12593</v>
      </c>
      <c r="D2999" s="159" t="s">
        <v>477</v>
      </c>
      <c r="E2999" s="159">
        <v>32</v>
      </c>
      <c r="F2999" s="159" t="s">
        <v>5667</v>
      </c>
      <c r="G2999" s="159" t="s">
        <v>12594</v>
      </c>
    </row>
    <row r="3000" spans="1:7" ht="15.75" customHeight="1">
      <c r="A3000" s="159" t="s">
        <v>9275</v>
      </c>
      <c r="B3000" s="159" t="s">
        <v>9986</v>
      </c>
      <c r="C3000" s="159" t="s">
        <v>12595</v>
      </c>
      <c r="D3000" s="159" t="s">
        <v>477</v>
      </c>
      <c r="E3000" s="159">
        <v>32</v>
      </c>
      <c r="F3000" s="159" t="s">
        <v>5667</v>
      </c>
      <c r="G3000" s="159" t="s">
        <v>12596</v>
      </c>
    </row>
    <row r="3001" spans="1:7" ht="15.75" customHeight="1">
      <c r="A3001" s="159" t="s">
        <v>9275</v>
      </c>
      <c r="B3001" s="159" t="s">
        <v>9986</v>
      </c>
      <c r="C3001" s="159" t="s">
        <v>12451</v>
      </c>
      <c r="D3001" s="159" t="s">
        <v>477</v>
      </c>
      <c r="E3001" s="159">
        <v>3</v>
      </c>
      <c r="F3001" s="159" t="s">
        <v>5667</v>
      </c>
      <c r="G3001" s="159" t="s">
        <v>12452</v>
      </c>
    </row>
    <row r="3002" spans="1:7" ht="15.75" customHeight="1">
      <c r="A3002" s="159" t="s">
        <v>9275</v>
      </c>
      <c r="B3002" s="159" t="s">
        <v>9986</v>
      </c>
      <c r="C3002" s="159" t="s">
        <v>12597</v>
      </c>
      <c r="D3002" s="159" t="s">
        <v>477</v>
      </c>
      <c r="E3002" s="159">
        <v>32</v>
      </c>
      <c r="F3002" s="159" t="s">
        <v>5667</v>
      </c>
      <c r="G3002" s="159" t="s">
        <v>12598</v>
      </c>
    </row>
    <row r="3003" spans="1:7" ht="15.75" customHeight="1">
      <c r="A3003" s="159" t="s">
        <v>9275</v>
      </c>
      <c r="B3003" s="159" t="s">
        <v>9986</v>
      </c>
      <c r="C3003" s="159" t="s">
        <v>12599</v>
      </c>
      <c r="D3003" s="159" t="s">
        <v>477</v>
      </c>
      <c r="E3003" s="159">
        <v>32</v>
      </c>
      <c r="F3003" s="159" t="s">
        <v>5667</v>
      </c>
      <c r="G3003" s="159" t="s">
        <v>12600</v>
      </c>
    </row>
    <row r="3004" spans="1:7" ht="15.75" customHeight="1">
      <c r="A3004" s="159" t="s">
        <v>9275</v>
      </c>
      <c r="B3004" s="159" t="s">
        <v>9986</v>
      </c>
      <c r="C3004" s="159" t="s">
        <v>12601</v>
      </c>
      <c r="D3004" s="159" t="s">
        <v>477</v>
      </c>
      <c r="E3004" s="159">
        <v>32</v>
      </c>
      <c r="F3004" s="159" t="s">
        <v>5667</v>
      </c>
      <c r="G3004" s="159" t="s">
        <v>12602</v>
      </c>
    </row>
    <row r="3005" spans="1:7" ht="15.75" customHeight="1">
      <c r="A3005" s="159" t="s">
        <v>9275</v>
      </c>
      <c r="B3005" s="159" t="s">
        <v>9986</v>
      </c>
      <c r="C3005" s="159" t="s">
        <v>12603</v>
      </c>
      <c r="D3005" s="159" t="s">
        <v>477</v>
      </c>
      <c r="E3005" s="159">
        <v>32</v>
      </c>
      <c r="F3005" s="159" t="s">
        <v>5667</v>
      </c>
      <c r="G3005" s="159" t="s">
        <v>12604</v>
      </c>
    </row>
    <row r="3006" spans="1:7" ht="15.75" customHeight="1">
      <c r="A3006" s="159" t="s">
        <v>9275</v>
      </c>
      <c r="B3006" s="159" t="s">
        <v>9986</v>
      </c>
      <c r="C3006" s="159" t="s">
        <v>12605</v>
      </c>
      <c r="D3006" s="159" t="s">
        <v>477</v>
      </c>
      <c r="E3006" s="159">
        <v>32</v>
      </c>
      <c r="F3006" s="159" t="s">
        <v>5667</v>
      </c>
      <c r="G3006" s="159" t="s">
        <v>12606</v>
      </c>
    </row>
    <row r="3007" spans="1:7" ht="15.75" customHeight="1">
      <c r="A3007" s="159" t="s">
        <v>9275</v>
      </c>
      <c r="B3007" s="159" t="s">
        <v>9986</v>
      </c>
      <c r="C3007" s="159" t="s">
        <v>12100</v>
      </c>
      <c r="D3007" s="159" t="s">
        <v>477</v>
      </c>
      <c r="E3007" s="159">
        <v>45</v>
      </c>
      <c r="F3007" s="159" t="s">
        <v>5667</v>
      </c>
      <c r="G3007" s="159" t="s">
        <v>12101</v>
      </c>
    </row>
    <row r="3008" spans="1:7" ht="15.75" customHeight="1">
      <c r="A3008" s="159" t="s">
        <v>9275</v>
      </c>
      <c r="B3008" s="159" t="s">
        <v>9986</v>
      </c>
      <c r="C3008" s="159" t="s">
        <v>12166</v>
      </c>
      <c r="D3008" s="159" t="s">
        <v>477</v>
      </c>
      <c r="E3008" s="159">
        <v>120</v>
      </c>
      <c r="F3008" s="159" t="s">
        <v>5667</v>
      </c>
      <c r="G3008" s="159"/>
    </row>
    <row r="3009" spans="1:7" ht="15.75" customHeight="1">
      <c r="A3009" s="159" t="s">
        <v>9275</v>
      </c>
      <c r="B3009" s="159" t="s">
        <v>9986</v>
      </c>
      <c r="C3009" s="159" t="s">
        <v>12072</v>
      </c>
      <c r="D3009" s="159" t="s">
        <v>477</v>
      </c>
      <c r="E3009" s="159">
        <v>3</v>
      </c>
      <c r="F3009" s="159" t="s">
        <v>5667</v>
      </c>
      <c r="G3009" s="159" t="s">
        <v>12073</v>
      </c>
    </row>
    <row r="3010" spans="1:7" ht="15.75" customHeight="1">
      <c r="A3010" s="159" t="s">
        <v>9275</v>
      </c>
      <c r="B3010" s="159" t="s">
        <v>9986</v>
      </c>
      <c r="C3010" s="159" t="s">
        <v>2241</v>
      </c>
      <c r="D3010" s="159" t="s">
        <v>477</v>
      </c>
      <c r="E3010" s="159">
        <v>255</v>
      </c>
      <c r="F3010" s="159" t="s">
        <v>5667</v>
      </c>
      <c r="G3010" s="159" t="s">
        <v>12479</v>
      </c>
    </row>
    <row r="3011" spans="1:7" ht="15.75" customHeight="1">
      <c r="A3011" s="159" t="s">
        <v>9275</v>
      </c>
      <c r="B3011" s="159" t="s">
        <v>9986</v>
      </c>
      <c r="C3011" s="159" t="s">
        <v>12607</v>
      </c>
      <c r="D3011" s="159" t="s">
        <v>477</v>
      </c>
      <c r="E3011" s="159">
        <v>255</v>
      </c>
      <c r="F3011" s="159" t="s">
        <v>5667</v>
      </c>
      <c r="G3011" s="159" t="s">
        <v>12608</v>
      </c>
    </row>
    <row r="3012" spans="1:7" ht="15.75" customHeight="1">
      <c r="A3012" s="159" t="s">
        <v>9275</v>
      </c>
      <c r="B3012" s="159" t="s">
        <v>9986</v>
      </c>
      <c r="C3012" s="159" t="s">
        <v>12094</v>
      </c>
      <c r="D3012" s="159" t="s">
        <v>3893</v>
      </c>
      <c r="E3012" s="159">
        <v>65535</v>
      </c>
      <c r="F3012" s="159" t="s">
        <v>5667</v>
      </c>
      <c r="G3012" s="159" t="s">
        <v>12095</v>
      </c>
    </row>
    <row r="3013" spans="1:7" ht="15.75" customHeight="1">
      <c r="A3013" s="159" t="s">
        <v>9275</v>
      </c>
      <c r="B3013" s="159" t="s">
        <v>9986</v>
      </c>
      <c r="C3013" s="159" t="s">
        <v>10190</v>
      </c>
      <c r="D3013" s="159" t="s">
        <v>1413</v>
      </c>
      <c r="E3013" s="159"/>
      <c r="F3013" s="159" t="s">
        <v>5665</v>
      </c>
      <c r="G3013" s="159" t="s">
        <v>10281</v>
      </c>
    </row>
    <row r="3014" spans="1:7" ht="15.75" customHeight="1">
      <c r="A3014" s="159" t="s">
        <v>9275</v>
      </c>
      <c r="B3014" s="159" t="s">
        <v>9986</v>
      </c>
      <c r="C3014" s="159" t="s">
        <v>10242</v>
      </c>
      <c r="D3014" s="159" t="s">
        <v>1413</v>
      </c>
      <c r="E3014" s="159"/>
      <c r="F3014" s="159" t="s">
        <v>5665</v>
      </c>
      <c r="G3014" s="159" t="s">
        <v>10282</v>
      </c>
    </row>
    <row r="3015" spans="1:7" ht="15.75" customHeight="1">
      <c r="A3015" s="159" t="s">
        <v>9275</v>
      </c>
      <c r="B3015" s="159" t="s">
        <v>9986</v>
      </c>
      <c r="C3015" s="159" t="s">
        <v>12609</v>
      </c>
      <c r="D3015" s="159" t="s">
        <v>978</v>
      </c>
      <c r="E3015" s="159">
        <v>5</v>
      </c>
      <c r="F3015" s="159" t="s">
        <v>5665</v>
      </c>
      <c r="G3015" s="159" t="s">
        <v>12610</v>
      </c>
    </row>
    <row r="3016" spans="1:7" ht="15.75" customHeight="1">
      <c r="A3016" s="159" t="s">
        <v>9275</v>
      </c>
      <c r="B3016" s="159" t="s">
        <v>9986</v>
      </c>
      <c r="C3016" s="159" t="s">
        <v>12115</v>
      </c>
      <c r="D3016" s="159" t="s">
        <v>484</v>
      </c>
      <c r="E3016" s="159">
        <v>10</v>
      </c>
      <c r="F3016" s="159" t="s">
        <v>5667</v>
      </c>
      <c r="G3016" s="159" t="s">
        <v>12116</v>
      </c>
    </row>
    <row r="3017" spans="1:7" ht="15.75" customHeight="1">
      <c r="A3017" s="159" t="s">
        <v>9275</v>
      </c>
      <c r="B3017" s="159" t="s">
        <v>9986</v>
      </c>
      <c r="C3017" s="159" t="s">
        <v>12197</v>
      </c>
      <c r="D3017" s="159" t="s">
        <v>481</v>
      </c>
      <c r="E3017" s="159">
        <v>20</v>
      </c>
      <c r="F3017" s="159" t="s">
        <v>5667</v>
      </c>
      <c r="G3017" s="159" t="s">
        <v>12198</v>
      </c>
    </row>
    <row r="3018" spans="1:7" ht="15.75" customHeight="1">
      <c r="A3018" s="159" t="s">
        <v>9275</v>
      </c>
      <c r="B3018" s="159" t="s">
        <v>9986</v>
      </c>
      <c r="C3018" s="159" t="s">
        <v>12199</v>
      </c>
      <c r="D3018" s="159" t="s">
        <v>481</v>
      </c>
      <c r="E3018" s="159">
        <v>20</v>
      </c>
      <c r="F3018" s="159" t="s">
        <v>5667</v>
      </c>
      <c r="G3018" s="159" t="s">
        <v>12200</v>
      </c>
    </row>
    <row r="3019" spans="1:7" ht="15.75" customHeight="1">
      <c r="A3019" s="159" t="s">
        <v>9275</v>
      </c>
      <c r="B3019" s="159" t="s">
        <v>9986</v>
      </c>
      <c r="C3019" s="159" t="s">
        <v>12201</v>
      </c>
      <c r="D3019" s="159" t="s">
        <v>481</v>
      </c>
      <c r="E3019" s="159">
        <v>20</v>
      </c>
      <c r="F3019" s="159" t="s">
        <v>5667</v>
      </c>
      <c r="G3019" s="159" t="s">
        <v>12202</v>
      </c>
    </row>
    <row r="3020" spans="1:7" ht="15.75" customHeight="1">
      <c r="A3020" s="159" t="s">
        <v>9275</v>
      </c>
      <c r="B3020" s="159" t="s">
        <v>9986</v>
      </c>
      <c r="C3020" s="159" t="s">
        <v>12203</v>
      </c>
      <c r="D3020" s="159" t="s">
        <v>481</v>
      </c>
      <c r="E3020" s="159">
        <v>20</v>
      </c>
      <c r="F3020" s="159" t="s">
        <v>5667</v>
      </c>
      <c r="G3020" s="159" t="s">
        <v>12204</v>
      </c>
    </row>
    <row r="3021" spans="1:7" ht="15.75" customHeight="1">
      <c r="A3021" s="159" t="s">
        <v>9275</v>
      </c>
      <c r="B3021" s="159" t="s">
        <v>9986</v>
      </c>
      <c r="C3021" s="159" t="s">
        <v>12611</v>
      </c>
      <c r="D3021" s="159" t="s">
        <v>481</v>
      </c>
      <c r="E3021" s="159">
        <v>20</v>
      </c>
      <c r="F3021" s="159" t="s">
        <v>5667</v>
      </c>
      <c r="G3021" s="159" t="s">
        <v>12612</v>
      </c>
    </row>
    <row r="3022" spans="1:7" ht="15.75" customHeight="1">
      <c r="A3022" s="159" t="s">
        <v>9275</v>
      </c>
      <c r="B3022" s="159" t="s">
        <v>9986</v>
      </c>
      <c r="C3022" s="159" t="s">
        <v>12613</v>
      </c>
      <c r="D3022" s="159" t="s">
        <v>481</v>
      </c>
      <c r="E3022" s="159">
        <v>20</v>
      </c>
      <c r="F3022" s="159" t="s">
        <v>5667</v>
      </c>
      <c r="G3022" s="159" t="s">
        <v>12614</v>
      </c>
    </row>
    <row r="3023" spans="1:7" ht="15.75" customHeight="1">
      <c r="A3023" s="159" t="s">
        <v>9275</v>
      </c>
      <c r="B3023" s="159" t="s">
        <v>9986</v>
      </c>
      <c r="C3023" s="159" t="s">
        <v>12615</v>
      </c>
      <c r="D3023" s="159" t="s">
        <v>481</v>
      </c>
      <c r="E3023" s="159">
        <v>20</v>
      </c>
      <c r="F3023" s="159" t="s">
        <v>5667</v>
      </c>
      <c r="G3023" s="159" t="s">
        <v>12616</v>
      </c>
    </row>
    <row r="3024" spans="1:7" ht="15.75" customHeight="1">
      <c r="A3024" s="159" t="s">
        <v>9275</v>
      </c>
      <c r="B3024" s="159" t="s">
        <v>9986</v>
      </c>
      <c r="C3024" s="159" t="s">
        <v>12617</v>
      </c>
      <c r="D3024" s="159" t="s">
        <v>481</v>
      </c>
      <c r="E3024" s="159">
        <v>20</v>
      </c>
      <c r="F3024" s="159" t="s">
        <v>5667</v>
      </c>
      <c r="G3024" s="159" t="s">
        <v>12618</v>
      </c>
    </row>
    <row r="3025" spans="1:7" ht="15.75" customHeight="1">
      <c r="A3025" s="159" t="s">
        <v>9275</v>
      </c>
      <c r="B3025" s="159" t="s">
        <v>9986</v>
      </c>
      <c r="C3025" s="159" t="s">
        <v>12205</v>
      </c>
      <c r="D3025" s="159" t="s">
        <v>481</v>
      </c>
      <c r="E3025" s="159">
        <v>20</v>
      </c>
      <c r="F3025" s="159" t="s">
        <v>5667</v>
      </c>
      <c r="G3025" s="159" t="s">
        <v>12206</v>
      </c>
    </row>
    <row r="3026" spans="1:7" ht="15.75" customHeight="1">
      <c r="A3026" s="159" t="s">
        <v>9275</v>
      </c>
      <c r="B3026" s="159" t="s">
        <v>9986</v>
      </c>
      <c r="C3026" s="159" t="s">
        <v>12207</v>
      </c>
      <c r="D3026" s="159" t="s">
        <v>481</v>
      </c>
      <c r="E3026" s="159">
        <v>20</v>
      </c>
      <c r="F3026" s="159" t="s">
        <v>5667</v>
      </c>
      <c r="G3026" s="159" t="s">
        <v>12208</v>
      </c>
    </row>
    <row r="3027" spans="1:7" ht="15.75" customHeight="1">
      <c r="A3027" s="159" t="s">
        <v>9275</v>
      </c>
      <c r="B3027" s="159" t="s">
        <v>9986</v>
      </c>
      <c r="C3027" s="159" t="s">
        <v>12619</v>
      </c>
      <c r="D3027" s="159" t="s">
        <v>477</v>
      </c>
      <c r="E3027" s="159">
        <v>255</v>
      </c>
      <c r="F3027" s="159" t="s">
        <v>5667</v>
      </c>
      <c r="G3027" s="159" t="s">
        <v>12620</v>
      </c>
    </row>
    <row r="3028" spans="1:7" ht="15.75" customHeight="1">
      <c r="A3028" s="159" t="s">
        <v>9275</v>
      </c>
      <c r="B3028" s="159" t="s">
        <v>9986</v>
      </c>
      <c r="C3028" s="159" t="s">
        <v>11654</v>
      </c>
      <c r="D3028" s="159" t="s">
        <v>484</v>
      </c>
      <c r="E3028" s="159">
        <v>10</v>
      </c>
      <c r="F3028" s="159" t="s">
        <v>5667</v>
      </c>
      <c r="G3028" s="159" t="s">
        <v>12131</v>
      </c>
    </row>
    <row r="3029" spans="1:7" ht="15.75" customHeight="1">
      <c r="A3029" s="159" t="s">
        <v>9275</v>
      </c>
      <c r="B3029" s="159" t="s">
        <v>9986</v>
      </c>
      <c r="C3029" s="159" t="s">
        <v>12621</v>
      </c>
      <c r="D3029" s="159" t="s">
        <v>484</v>
      </c>
      <c r="E3029" s="159">
        <v>10</v>
      </c>
      <c r="F3029" s="159" t="s">
        <v>5667</v>
      </c>
      <c r="G3029" s="159" t="s">
        <v>12622</v>
      </c>
    </row>
    <row r="3030" spans="1:7" ht="15.75" customHeight="1">
      <c r="A3030" s="159" t="s">
        <v>9275</v>
      </c>
      <c r="B3030" s="159" t="s">
        <v>9986</v>
      </c>
      <c r="C3030" s="159" t="s">
        <v>5668</v>
      </c>
      <c r="D3030" s="159" t="s">
        <v>3893</v>
      </c>
      <c r="E3030" s="159">
        <v>65535</v>
      </c>
      <c r="F3030" s="159" t="s">
        <v>5667</v>
      </c>
      <c r="G3030" s="159" t="s">
        <v>1182</v>
      </c>
    </row>
    <row r="3031" spans="1:7" ht="15.75" customHeight="1">
      <c r="A3031" s="159" t="s">
        <v>9275</v>
      </c>
      <c r="B3031" s="159" t="s">
        <v>9986</v>
      </c>
      <c r="C3031" s="159" t="s">
        <v>12134</v>
      </c>
      <c r="D3031" s="159" t="s">
        <v>805</v>
      </c>
      <c r="E3031" s="159">
        <v>3</v>
      </c>
      <c r="F3031" s="159" t="s">
        <v>5667</v>
      </c>
      <c r="G3031" s="159" t="s">
        <v>12135</v>
      </c>
    </row>
    <row r="3032" spans="1:7" ht="15.75" customHeight="1">
      <c r="A3032" s="159" t="s">
        <v>9275</v>
      </c>
      <c r="B3032" s="159" t="s">
        <v>9986</v>
      </c>
      <c r="C3032" s="159" t="s">
        <v>12136</v>
      </c>
      <c r="D3032" s="159" t="s">
        <v>477</v>
      </c>
      <c r="E3032" s="159">
        <v>30</v>
      </c>
      <c r="F3032" s="159" t="s">
        <v>5667</v>
      </c>
      <c r="G3032" s="159" t="s">
        <v>12137</v>
      </c>
    </row>
    <row r="3033" spans="1:7" ht="15.75" customHeight="1">
      <c r="A3033" s="159" t="s">
        <v>9275</v>
      </c>
      <c r="B3033" s="159" t="s">
        <v>9986</v>
      </c>
      <c r="C3033" s="159" t="s">
        <v>12138</v>
      </c>
      <c r="D3033" s="159" t="s">
        <v>477</v>
      </c>
      <c r="E3033" s="159">
        <v>20</v>
      </c>
      <c r="F3033" s="159" t="s">
        <v>5667</v>
      </c>
      <c r="G3033" s="159" t="s">
        <v>12139</v>
      </c>
    </row>
    <row r="3034" spans="1:7" ht="15.75" customHeight="1">
      <c r="A3034" s="159" t="s">
        <v>9275</v>
      </c>
      <c r="B3034" s="159" t="s">
        <v>9986</v>
      </c>
      <c r="C3034" s="159" t="s">
        <v>12140</v>
      </c>
      <c r="D3034" s="159" t="s">
        <v>477</v>
      </c>
      <c r="E3034" s="159">
        <v>50</v>
      </c>
      <c r="F3034" s="159" t="s">
        <v>5667</v>
      </c>
      <c r="G3034" s="159" t="s">
        <v>12141</v>
      </c>
    </row>
    <row r="3035" spans="1:7" ht="15.75" customHeight="1">
      <c r="A3035" s="159" t="s">
        <v>9275</v>
      </c>
      <c r="B3035" s="159" t="s">
        <v>9986</v>
      </c>
      <c r="C3035" s="159" t="s">
        <v>12623</v>
      </c>
      <c r="D3035" s="159" t="s">
        <v>978</v>
      </c>
      <c r="E3035" s="159">
        <v>5</v>
      </c>
      <c r="F3035" s="159" t="s">
        <v>5667</v>
      </c>
      <c r="G3035" s="159" t="s">
        <v>12624</v>
      </c>
    </row>
    <row r="3036" spans="1:7" ht="15.75" customHeight="1">
      <c r="A3036" s="159" t="s">
        <v>9275</v>
      </c>
      <c r="B3036" s="159" t="s">
        <v>9986</v>
      </c>
      <c r="C3036" s="159" t="s">
        <v>12150</v>
      </c>
      <c r="D3036" s="159" t="s">
        <v>805</v>
      </c>
      <c r="E3036" s="159">
        <v>3</v>
      </c>
      <c r="F3036" s="159" t="s">
        <v>5667</v>
      </c>
      <c r="G3036" s="159" t="s">
        <v>12151</v>
      </c>
    </row>
    <row r="3037" spans="1:7" ht="15.75" customHeight="1">
      <c r="A3037" s="159" t="s">
        <v>9275</v>
      </c>
      <c r="B3037" s="159" t="s">
        <v>9988</v>
      </c>
      <c r="C3037" s="159" t="s">
        <v>10287</v>
      </c>
      <c r="D3037" s="159" t="s">
        <v>484</v>
      </c>
      <c r="E3037" s="159">
        <v>10</v>
      </c>
      <c r="F3037" s="159" t="s">
        <v>5665</v>
      </c>
      <c r="G3037" s="159" t="s">
        <v>10237</v>
      </c>
    </row>
    <row r="3038" spans="1:7" ht="15.75" customHeight="1">
      <c r="A3038" s="159" t="s">
        <v>9275</v>
      </c>
      <c r="B3038" s="159" t="s">
        <v>9988</v>
      </c>
      <c r="C3038" s="159" t="s">
        <v>5678</v>
      </c>
      <c r="D3038" s="159" t="s">
        <v>484</v>
      </c>
      <c r="E3038" s="159">
        <v>10</v>
      </c>
      <c r="F3038" s="159" t="s">
        <v>5667</v>
      </c>
      <c r="G3038" s="159" t="s">
        <v>10877</v>
      </c>
    </row>
    <row r="3039" spans="1:7" ht="15.75" customHeight="1">
      <c r="A3039" s="159" t="s">
        <v>9275</v>
      </c>
      <c r="B3039" s="159" t="s">
        <v>9988</v>
      </c>
      <c r="C3039" s="159" t="s">
        <v>12155</v>
      </c>
      <c r="D3039" s="159" t="s">
        <v>484</v>
      </c>
      <c r="E3039" s="159">
        <v>10</v>
      </c>
      <c r="F3039" s="159" t="s">
        <v>5667</v>
      </c>
      <c r="G3039" s="159" t="s">
        <v>12156</v>
      </c>
    </row>
    <row r="3040" spans="1:7" ht="15.75" customHeight="1">
      <c r="A3040" s="159" t="s">
        <v>9275</v>
      </c>
      <c r="B3040" s="159" t="s">
        <v>9988</v>
      </c>
      <c r="C3040" s="159" t="s">
        <v>12224</v>
      </c>
      <c r="D3040" s="159" t="s">
        <v>484</v>
      </c>
      <c r="E3040" s="159">
        <v>10</v>
      </c>
      <c r="F3040" s="159" t="s">
        <v>5667</v>
      </c>
      <c r="G3040" s="159" t="s">
        <v>11705</v>
      </c>
    </row>
    <row r="3041" spans="1:7" ht="15.75" customHeight="1">
      <c r="A3041" s="159" t="s">
        <v>9275</v>
      </c>
      <c r="B3041" s="159" t="s">
        <v>9988</v>
      </c>
      <c r="C3041" s="159" t="s">
        <v>11165</v>
      </c>
      <c r="D3041" s="159" t="s">
        <v>484</v>
      </c>
      <c r="E3041" s="159">
        <v>10</v>
      </c>
      <c r="F3041" s="159" t="s">
        <v>5667</v>
      </c>
      <c r="G3041" s="159" t="s">
        <v>11277</v>
      </c>
    </row>
    <row r="3042" spans="1:7" ht="15.75" customHeight="1">
      <c r="A3042" s="159" t="s">
        <v>9275</v>
      </c>
      <c r="B3042" s="159" t="s">
        <v>9988</v>
      </c>
      <c r="C3042" s="159" t="s">
        <v>3940</v>
      </c>
      <c r="D3042" s="159" t="s">
        <v>484</v>
      </c>
      <c r="E3042" s="159">
        <v>10</v>
      </c>
      <c r="F3042" s="159" t="s">
        <v>5667</v>
      </c>
      <c r="G3042" s="159" t="s">
        <v>10747</v>
      </c>
    </row>
    <row r="3043" spans="1:7" ht="15.75" customHeight="1">
      <c r="A3043" s="159" t="s">
        <v>9275</v>
      </c>
      <c r="B3043" s="159" t="s">
        <v>9988</v>
      </c>
      <c r="C3043" s="159" t="s">
        <v>3963</v>
      </c>
      <c r="D3043" s="159" t="s">
        <v>477</v>
      </c>
      <c r="E3043" s="159">
        <v>255</v>
      </c>
      <c r="F3043" s="159" t="s">
        <v>5667</v>
      </c>
      <c r="G3043" s="159" t="s">
        <v>7225</v>
      </c>
    </row>
    <row r="3044" spans="1:7" ht="15.75" customHeight="1">
      <c r="A3044" s="159" t="s">
        <v>9275</v>
      </c>
      <c r="B3044" s="159" t="s">
        <v>9988</v>
      </c>
      <c r="C3044" s="159" t="s">
        <v>3946</v>
      </c>
      <c r="D3044" s="159" t="s">
        <v>477</v>
      </c>
      <c r="E3044" s="159">
        <v>255</v>
      </c>
      <c r="F3044" s="159" t="s">
        <v>5667</v>
      </c>
      <c r="G3044" s="159" t="s">
        <v>12625</v>
      </c>
    </row>
    <row r="3045" spans="1:7" ht="15.75" customHeight="1">
      <c r="A3045" s="159" t="s">
        <v>9275</v>
      </c>
      <c r="B3045" s="159" t="s">
        <v>9988</v>
      </c>
      <c r="C3045" s="159" t="s">
        <v>3947</v>
      </c>
      <c r="D3045" s="159" t="s">
        <v>477</v>
      </c>
      <c r="E3045" s="159">
        <v>255</v>
      </c>
      <c r="F3045" s="159" t="s">
        <v>5667</v>
      </c>
      <c r="G3045" s="159" t="s">
        <v>1588</v>
      </c>
    </row>
    <row r="3046" spans="1:7" ht="15.75" customHeight="1">
      <c r="A3046" s="159" t="s">
        <v>9275</v>
      </c>
      <c r="B3046" s="159" t="s">
        <v>9988</v>
      </c>
      <c r="C3046" s="159" t="s">
        <v>10194</v>
      </c>
      <c r="D3046" s="159" t="s">
        <v>477</v>
      </c>
      <c r="E3046" s="159">
        <v>255</v>
      </c>
      <c r="F3046" s="159" t="s">
        <v>5667</v>
      </c>
      <c r="G3046" s="159" t="s">
        <v>12626</v>
      </c>
    </row>
    <row r="3047" spans="1:7" ht="15.75" customHeight="1">
      <c r="A3047" s="159" t="s">
        <v>9275</v>
      </c>
      <c r="B3047" s="159" t="s">
        <v>9988</v>
      </c>
      <c r="C3047" s="159" t="s">
        <v>3943</v>
      </c>
      <c r="D3047" s="159" t="s">
        <v>477</v>
      </c>
      <c r="E3047" s="159">
        <v>255</v>
      </c>
      <c r="F3047" s="159" t="s">
        <v>5667</v>
      </c>
      <c r="G3047" s="159" t="s">
        <v>1816</v>
      </c>
    </row>
    <row r="3048" spans="1:7" ht="15.75" customHeight="1">
      <c r="A3048" s="159" t="s">
        <v>9275</v>
      </c>
      <c r="B3048" s="159" t="s">
        <v>9988</v>
      </c>
      <c r="C3048" s="159" t="s">
        <v>3944</v>
      </c>
      <c r="D3048" s="159" t="s">
        <v>477</v>
      </c>
      <c r="E3048" s="159">
        <v>255</v>
      </c>
      <c r="F3048" s="159" t="s">
        <v>5667</v>
      </c>
      <c r="G3048" s="159" t="s">
        <v>1584</v>
      </c>
    </row>
    <row r="3049" spans="1:7" ht="15.75" customHeight="1">
      <c r="A3049" s="159" t="s">
        <v>9275</v>
      </c>
      <c r="B3049" s="159" t="s">
        <v>9988</v>
      </c>
      <c r="C3049" s="159" t="s">
        <v>3545</v>
      </c>
      <c r="D3049" s="159" t="s">
        <v>477</v>
      </c>
      <c r="E3049" s="159">
        <v>255</v>
      </c>
      <c r="F3049" s="159" t="s">
        <v>5667</v>
      </c>
      <c r="G3049" s="159" t="s">
        <v>5204</v>
      </c>
    </row>
    <row r="3050" spans="1:7" ht="15.75" customHeight="1">
      <c r="A3050" s="159" t="s">
        <v>9275</v>
      </c>
      <c r="B3050" s="159" t="s">
        <v>9988</v>
      </c>
      <c r="C3050" s="159" t="s">
        <v>3948</v>
      </c>
      <c r="D3050" s="159" t="s">
        <v>477</v>
      </c>
      <c r="E3050" s="159">
        <v>255</v>
      </c>
      <c r="F3050" s="159" t="s">
        <v>5667</v>
      </c>
      <c r="G3050" s="159" t="s">
        <v>10751</v>
      </c>
    </row>
    <row r="3051" spans="1:7" ht="15.75" customHeight="1">
      <c r="A3051" s="159" t="s">
        <v>9275</v>
      </c>
      <c r="B3051" s="159" t="s">
        <v>9988</v>
      </c>
      <c r="C3051" s="159" t="s">
        <v>3945</v>
      </c>
      <c r="D3051" s="159" t="s">
        <v>477</v>
      </c>
      <c r="E3051" s="159">
        <v>2</v>
      </c>
      <c r="F3051" s="159" t="s">
        <v>5667</v>
      </c>
      <c r="G3051" s="159" t="s">
        <v>12161</v>
      </c>
    </row>
    <row r="3052" spans="1:7" ht="15.75" customHeight="1">
      <c r="A3052" s="159" t="s">
        <v>9275</v>
      </c>
      <c r="B3052" s="159" t="s">
        <v>9988</v>
      </c>
      <c r="C3052" s="159" t="s">
        <v>10192</v>
      </c>
      <c r="D3052" s="159" t="s">
        <v>477</v>
      </c>
      <c r="E3052" s="159">
        <v>255</v>
      </c>
      <c r="F3052" s="159" t="s">
        <v>5667</v>
      </c>
      <c r="G3052" s="159" t="s">
        <v>12627</v>
      </c>
    </row>
    <row r="3053" spans="1:7" ht="15.75" customHeight="1">
      <c r="A3053" s="159" t="s">
        <v>9275</v>
      </c>
      <c r="B3053" s="159" t="s">
        <v>9988</v>
      </c>
      <c r="C3053" s="159" t="s">
        <v>12157</v>
      </c>
      <c r="D3053" s="159" t="s">
        <v>477</v>
      </c>
      <c r="E3053" s="159">
        <v>255</v>
      </c>
      <c r="F3053" s="159" t="s">
        <v>5667</v>
      </c>
      <c r="G3053" s="159" t="s">
        <v>12158</v>
      </c>
    </row>
    <row r="3054" spans="1:7" ht="15.75" customHeight="1">
      <c r="A3054" s="159" t="s">
        <v>9275</v>
      </c>
      <c r="B3054" s="159" t="s">
        <v>9988</v>
      </c>
      <c r="C3054" s="159" t="s">
        <v>11162</v>
      </c>
      <c r="D3054" s="159" t="s">
        <v>477</v>
      </c>
      <c r="E3054" s="159">
        <v>255</v>
      </c>
      <c r="F3054" s="159" t="s">
        <v>5667</v>
      </c>
      <c r="G3054" s="159" t="s">
        <v>12159</v>
      </c>
    </row>
    <row r="3055" spans="1:7" ht="15.75" customHeight="1">
      <c r="A3055" s="159" t="s">
        <v>9275</v>
      </c>
      <c r="B3055" s="159" t="s">
        <v>9988</v>
      </c>
      <c r="C3055" s="159" t="s">
        <v>11159</v>
      </c>
      <c r="D3055" s="159" t="s">
        <v>477</v>
      </c>
      <c r="E3055" s="159">
        <v>255</v>
      </c>
      <c r="F3055" s="159" t="s">
        <v>5667</v>
      </c>
      <c r="G3055" s="159" t="s">
        <v>12628</v>
      </c>
    </row>
    <row r="3056" spans="1:7" ht="15.75" customHeight="1">
      <c r="A3056" s="159" t="s">
        <v>9275</v>
      </c>
      <c r="B3056" s="159" t="s">
        <v>9988</v>
      </c>
      <c r="C3056" s="159" t="s">
        <v>11167</v>
      </c>
      <c r="D3056" s="159" t="s">
        <v>477</v>
      </c>
      <c r="E3056" s="159">
        <v>255</v>
      </c>
      <c r="F3056" s="159" t="s">
        <v>5667</v>
      </c>
      <c r="G3056" s="159" t="s">
        <v>12160</v>
      </c>
    </row>
    <row r="3057" spans="1:7" ht="15.75" customHeight="1">
      <c r="A3057" s="159" t="s">
        <v>9275</v>
      </c>
      <c r="B3057" s="159" t="s">
        <v>9988</v>
      </c>
      <c r="C3057" s="159" t="s">
        <v>8682</v>
      </c>
      <c r="D3057" s="159" t="s">
        <v>477</v>
      </c>
      <c r="E3057" s="159">
        <v>255</v>
      </c>
      <c r="F3057" s="159" t="s">
        <v>5667</v>
      </c>
      <c r="G3057" s="159" t="s">
        <v>2317</v>
      </c>
    </row>
    <row r="3058" spans="1:7" ht="15.75" customHeight="1">
      <c r="A3058" s="159" t="s">
        <v>9275</v>
      </c>
      <c r="B3058" s="159" t="s">
        <v>9988</v>
      </c>
      <c r="C3058" s="159" t="s">
        <v>11169</v>
      </c>
      <c r="D3058" s="159" t="s">
        <v>3893</v>
      </c>
      <c r="E3058" s="159">
        <v>65535</v>
      </c>
      <c r="F3058" s="159" t="s">
        <v>5667</v>
      </c>
      <c r="G3058" s="159" t="s">
        <v>12209</v>
      </c>
    </row>
    <row r="3059" spans="1:7" ht="15.75" customHeight="1">
      <c r="A3059" s="159" t="s">
        <v>9275</v>
      </c>
      <c r="B3059" s="159" t="s">
        <v>9988</v>
      </c>
      <c r="C3059" s="159" t="s">
        <v>11171</v>
      </c>
      <c r="D3059" s="159" t="s">
        <v>978</v>
      </c>
      <c r="E3059" s="159">
        <v>5</v>
      </c>
      <c r="F3059" s="159" t="s">
        <v>5667</v>
      </c>
      <c r="G3059" s="159" t="s">
        <v>12210</v>
      </c>
    </row>
    <row r="3060" spans="1:7" ht="15.75" customHeight="1">
      <c r="A3060" s="159" t="s">
        <v>9275</v>
      </c>
      <c r="B3060" s="159" t="s">
        <v>9988</v>
      </c>
      <c r="C3060" s="159" t="s">
        <v>11175</v>
      </c>
      <c r="D3060" s="159" t="s">
        <v>3893</v>
      </c>
      <c r="E3060" s="159">
        <v>65535</v>
      </c>
      <c r="F3060" s="159" t="s">
        <v>5667</v>
      </c>
      <c r="G3060" s="159" t="s">
        <v>12211</v>
      </c>
    </row>
    <row r="3061" spans="1:7" ht="15.75" customHeight="1">
      <c r="A3061" s="159" t="s">
        <v>9275</v>
      </c>
      <c r="B3061" s="159" t="s">
        <v>9988</v>
      </c>
      <c r="C3061" s="159" t="s">
        <v>11173</v>
      </c>
      <c r="D3061" s="159" t="s">
        <v>3893</v>
      </c>
      <c r="E3061" s="159">
        <v>65535</v>
      </c>
      <c r="F3061" s="159" t="s">
        <v>5667</v>
      </c>
      <c r="G3061" s="159" t="s">
        <v>12212</v>
      </c>
    </row>
    <row r="3062" spans="1:7" ht="15.75" customHeight="1">
      <c r="A3062" s="159" t="s">
        <v>9275</v>
      </c>
      <c r="B3062" s="159" t="s">
        <v>9988</v>
      </c>
      <c r="C3062" s="159" t="s">
        <v>11177</v>
      </c>
      <c r="D3062" s="159" t="s">
        <v>978</v>
      </c>
      <c r="E3062" s="159">
        <v>5</v>
      </c>
      <c r="F3062" s="159" t="s">
        <v>5667</v>
      </c>
      <c r="G3062" s="159" t="s">
        <v>12213</v>
      </c>
    </row>
    <row r="3063" spans="1:7" ht="15.75" customHeight="1">
      <c r="A3063" s="159" t="s">
        <v>9275</v>
      </c>
      <c r="B3063" s="159" t="s">
        <v>9988</v>
      </c>
      <c r="C3063" s="159" t="s">
        <v>10150</v>
      </c>
      <c r="D3063" s="159" t="s">
        <v>477</v>
      </c>
      <c r="E3063" s="159">
        <v>255</v>
      </c>
      <c r="F3063" s="159" t="s">
        <v>5667</v>
      </c>
      <c r="G3063" s="159" t="s">
        <v>12629</v>
      </c>
    </row>
    <row r="3064" spans="1:7" ht="15.75" customHeight="1">
      <c r="A3064" s="159" t="s">
        <v>9275</v>
      </c>
      <c r="B3064" s="159" t="s">
        <v>9988</v>
      </c>
      <c r="C3064" s="159" t="s">
        <v>11179</v>
      </c>
      <c r="D3064" s="159" t="s">
        <v>484</v>
      </c>
      <c r="E3064" s="159">
        <v>10</v>
      </c>
      <c r="F3064" s="159" t="s">
        <v>5667</v>
      </c>
      <c r="G3064" s="159" t="s">
        <v>11180</v>
      </c>
    </row>
    <row r="3065" spans="1:7" ht="15.75" customHeight="1">
      <c r="A3065" s="159" t="s">
        <v>9275</v>
      </c>
      <c r="B3065" s="159" t="s">
        <v>9988</v>
      </c>
      <c r="C3065" s="159" t="s">
        <v>11181</v>
      </c>
      <c r="D3065" s="159" t="s">
        <v>484</v>
      </c>
      <c r="E3065" s="159">
        <v>10</v>
      </c>
      <c r="F3065" s="159" t="s">
        <v>5667</v>
      </c>
      <c r="G3065" s="159" t="s">
        <v>11180</v>
      </c>
    </row>
    <row r="3066" spans="1:7" ht="15.75" customHeight="1">
      <c r="A3066" s="159" t="s">
        <v>9275</v>
      </c>
      <c r="B3066" s="159" t="s">
        <v>9988</v>
      </c>
      <c r="C3066" s="159" t="s">
        <v>11182</v>
      </c>
      <c r="D3066" s="159" t="s">
        <v>477</v>
      </c>
      <c r="E3066" s="159">
        <v>255</v>
      </c>
      <c r="F3066" s="159" t="s">
        <v>5667</v>
      </c>
      <c r="G3066" s="159" t="s">
        <v>11183</v>
      </c>
    </row>
    <row r="3067" spans="1:7" ht="15.75" customHeight="1">
      <c r="A3067" s="159" t="s">
        <v>9275</v>
      </c>
      <c r="B3067" s="159" t="s">
        <v>9990</v>
      </c>
      <c r="C3067" s="159" t="s">
        <v>3897</v>
      </c>
      <c r="D3067" s="159" t="s">
        <v>484</v>
      </c>
      <c r="E3067" s="159">
        <v>10</v>
      </c>
      <c r="F3067" s="159" t="s">
        <v>5665</v>
      </c>
      <c r="G3067" s="159" t="s">
        <v>325</v>
      </c>
    </row>
    <row r="3068" spans="1:7" ht="15.75" customHeight="1">
      <c r="A3068" s="159" t="s">
        <v>9275</v>
      </c>
      <c r="B3068" s="159" t="s">
        <v>9990</v>
      </c>
      <c r="C3068" s="159" t="s">
        <v>12383</v>
      </c>
      <c r="D3068" s="159" t="s">
        <v>1974</v>
      </c>
      <c r="E3068" s="159"/>
      <c r="F3068" s="159" t="s">
        <v>5667</v>
      </c>
      <c r="G3068" s="159" t="s">
        <v>6156</v>
      </c>
    </row>
    <row r="3069" spans="1:7" ht="15.75" customHeight="1">
      <c r="A3069" s="159" t="s">
        <v>9275</v>
      </c>
      <c r="B3069" s="159" t="s">
        <v>9990</v>
      </c>
      <c r="C3069" s="159" t="s">
        <v>10290</v>
      </c>
      <c r="D3069" s="159" t="s">
        <v>978</v>
      </c>
      <c r="E3069" s="159">
        <v>5</v>
      </c>
      <c r="F3069" s="159" t="s">
        <v>5667</v>
      </c>
      <c r="G3069" s="159" t="s">
        <v>10507</v>
      </c>
    </row>
    <row r="3070" spans="1:7" ht="15.75" customHeight="1">
      <c r="A3070" s="159" t="s">
        <v>9275</v>
      </c>
      <c r="B3070" s="159" t="s">
        <v>9990</v>
      </c>
      <c r="C3070" s="159" t="s">
        <v>3762</v>
      </c>
      <c r="D3070" s="159" t="s">
        <v>477</v>
      </c>
      <c r="E3070" s="159">
        <v>50</v>
      </c>
      <c r="F3070" s="159" t="s">
        <v>5665</v>
      </c>
      <c r="G3070" s="159" t="s">
        <v>11525</v>
      </c>
    </row>
    <row r="3071" spans="1:7" ht="15.75" customHeight="1">
      <c r="A3071" s="159" t="s">
        <v>9275</v>
      </c>
      <c r="B3071" s="159" t="s">
        <v>9990</v>
      </c>
      <c r="C3071" s="159" t="s">
        <v>12481</v>
      </c>
      <c r="D3071" s="159" t="s">
        <v>484</v>
      </c>
      <c r="E3071" s="159">
        <v>10</v>
      </c>
      <c r="F3071" s="159" t="s">
        <v>5665</v>
      </c>
      <c r="G3071" s="159" t="s">
        <v>12482</v>
      </c>
    </row>
    <row r="3072" spans="1:7" ht="15.75" customHeight="1">
      <c r="A3072" s="159" t="s">
        <v>9275</v>
      </c>
      <c r="B3072" s="159" t="s">
        <v>9990</v>
      </c>
      <c r="C3072" s="159" t="s">
        <v>12569</v>
      </c>
      <c r="D3072" s="159" t="s">
        <v>481</v>
      </c>
      <c r="E3072" s="159">
        <v>12</v>
      </c>
      <c r="F3072" s="159" t="s">
        <v>5665</v>
      </c>
      <c r="G3072" s="159" t="s">
        <v>12570</v>
      </c>
    </row>
    <row r="3073" spans="1:7" ht="15.75" customHeight="1">
      <c r="A3073" s="159" t="s">
        <v>9275</v>
      </c>
      <c r="B3073" s="159" t="s">
        <v>9990</v>
      </c>
      <c r="C3073" s="159" t="s">
        <v>12630</v>
      </c>
      <c r="D3073" s="159" t="s">
        <v>481</v>
      </c>
      <c r="E3073" s="159">
        <v>12</v>
      </c>
      <c r="F3073" s="159" t="s">
        <v>5665</v>
      </c>
      <c r="G3073" s="159" t="s">
        <v>12631</v>
      </c>
    </row>
    <row r="3074" spans="1:7" ht="15.75" customHeight="1">
      <c r="A3074" s="159" t="s">
        <v>9275</v>
      </c>
      <c r="B3074" s="159" t="s">
        <v>9990</v>
      </c>
      <c r="C3074" s="159" t="s">
        <v>12632</v>
      </c>
      <c r="D3074" s="159" t="s">
        <v>481</v>
      </c>
      <c r="E3074" s="159">
        <v>20</v>
      </c>
      <c r="F3074" s="159" t="s">
        <v>5665</v>
      </c>
      <c r="G3074" s="159" t="s">
        <v>12633</v>
      </c>
    </row>
    <row r="3075" spans="1:7" ht="15.75" customHeight="1">
      <c r="A3075" s="159" t="s">
        <v>9275</v>
      </c>
      <c r="B3075" s="159" t="s">
        <v>9990</v>
      </c>
      <c r="C3075" s="159" t="s">
        <v>12634</v>
      </c>
      <c r="D3075" s="159" t="s">
        <v>481</v>
      </c>
      <c r="E3075" s="159">
        <v>20</v>
      </c>
      <c r="F3075" s="159" t="s">
        <v>5665</v>
      </c>
      <c r="G3075" s="159" t="s">
        <v>12635</v>
      </c>
    </row>
    <row r="3076" spans="1:7" ht="15.75" customHeight="1">
      <c r="A3076" s="159" t="s">
        <v>9275</v>
      </c>
      <c r="B3076" s="159" t="s">
        <v>9990</v>
      </c>
      <c r="C3076" s="159" t="s">
        <v>12636</v>
      </c>
      <c r="D3076" s="159" t="s">
        <v>481</v>
      </c>
      <c r="E3076" s="159">
        <v>20</v>
      </c>
      <c r="F3076" s="159" t="s">
        <v>5665</v>
      </c>
      <c r="G3076" s="159" t="s">
        <v>12637</v>
      </c>
    </row>
    <row r="3077" spans="1:7" ht="15.75" customHeight="1">
      <c r="A3077" s="159" t="s">
        <v>9275</v>
      </c>
      <c r="B3077" s="159" t="s">
        <v>9990</v>
      </c>
      <c r="C3077" s="159" t="s">
        <v>12638</v>
      </c>
      <c r="D3077" s="159" t="s">
        <v>481</v>
      </c>
      <c r="E3077" s="159">
        <v>20</v>
      </c>
      <c r="F3077" s="159" t="s">
        <v>5665</v>
      </c>
      <c r="G3077" s="159" t="s">
        <v>12639</v>
      </c>
    </row>
    <row r="3078" spans="1:7" ht="15.75" customHeight="1">
      <c r="A3078" s="159" t="s">
        <v>9275</v>
      </c>
      <c r="B3078" s="159" t="s">
        <v>9990</v>
      </c>
      <c r="C3078" s="159" t="s">
        <v>12640</v>
      </c>
      <c r="D3078" s="159" t="s">
        <v>481</v>
      </c>
      <c r="E3078" s="159">
        <v>20</v>
      </c>
      <c r="F3078" s="159" t="s">
        <v>5665</v>
      </c>
      <c r="G3078" s="159" t="s">
        <v>12641</v>
      </c>
    </row>
    <row r="3079" spans="1:7" ht="15.75" customHeight="1">
      <c r="A3079" s="159" t="s">
        <v>9275</v>
      </c>
      <c r="B3079" s="159" t="s">
        <v>9990</v>
      </c>
      <c r="C3079" s="159" t="s">
        <v>12642</v>
      </c>
      <c r="D3079" s="159" t="s">
        <v>481</v>
      </c>
      <c r="E3079" s="159">
        <v>20</v>
      </c>
      <c r="F3079" s="159" t="s">
        <v>5665</v>
      </c>
      <c r="G3079" s="159" t="s">
        <v>12643</v>
      </c>
    </row>
    <row r="3080" spans="1:7" ht="15.75" customHeight="1">
      <c r="A3080" s="159" t="s">
        <v>9275</v>
      </c>
      <c r="B3080" s="159" t="s">
        <v>9990</v>
      </c>
      <c r="C3080" s="159" t="s">
        <v>12644</v>
      </c>
      <c r="D3080" s="159" t="s">
        <v>481</v>
      </c>
      <c r="E3080" s="159">
        <v>20</v>
      </c>
      <c r="F3080" s="159" t="s">
        <v>5665</v>
      </c>
      <c r="G3080" s="159" t="s">
        <v>12645</v>
      </c>
    </row>
    <row r="3081" spans="1:7" ht="15.75" customHeight="1">
      <c r="A3081" s="159" t="s">
        <v>9275</v>
      </c>
      <c r="B3081" s="159" t="s">
        <v>9990</v>
      </c>
      <c r="C3081" s="159" t="s">
        <v>12646</v>
      </c>
      <c r="D3081" s="159" t="s">
        <v>481</v>
      </c>
      <c r="E3081" s="159">
        <v>20</v>
      </c>
      <c r="F3081" s="159" t="s">
        <v>5665</v>
      </c>
      <c r="G3081" s="159" t="s">
        <v>12647</v>
      </c>
    </row>
    <row r="3082" spans="1:7" ht="15.75" customHeight="1">
      <c r="A3082" s="159" t="s">
        <v>9275</v>
      </c>
      <c r="B3082" s="159" t="s">
        <v>9990</v>
      </c>
      <c r="C3082" s="159" t="s">
        <v>12648</v>
      </c>
      <c r="D3082" s="159" t="s">
        <v>481</v>
      </c>
      <c r="E3082" s="159">
        <v>20</v>
      </c>
      <c r="F3082" s="159" t="s">
        <v>5665</v>
      </c>
      <c r="G3082" s="159" t="s">
        <v>12649</v>
      </c>
    </row>
    <row r="3083" spans="1:7" ht="15.75" customHeight="1">
      <c r="A3083" s="159" t="s">
        <v>9275</v>
      </c>
      <c r="B3083" s="159" t="s">
        <v>9990</v>
      </c>
      <c r="C3083" s="159" t="s">
        <v>12650</v>
      </c>
      <c r="D3083" s="159" t="s">
        <v>481</v>
      </c>
      <c r="E3083" s="159">
        <v>20</v>
      </c>
      <c r="F3083" s="159" t="s">
        <v>5665</v>
      </c>
      <c r="G3083" s="159" t="s">
        <v>12651</v>
      </c>
    </row>
    <row r="3084" spans="1:7" ht="15.75" customHeight="1">
      <c r="A3084" s="159" t="s">
        <v>9275</v>
      </c>
      <c r="B3084" s="159" t="s">
        <v>9990</v>
      </c>
      <c r="C3084" s="159" t="s">
        <v>12652</v>
      </c>
      <c r="D3084" s="159" t="s">
        <v>481</v>
      </c>
      <c r="E3084" s="159">
        <v>20</v>
      </c>
      <c r="F3084" s="159" t="s">
        <v>5665</v>
      </c>
      <c r="G3084" s="159" t="s">
        <v>12653</v>
      </c>
    </row>
    <row r="3085" spans="1:7" ht="15.75" customHeight="1">
      <c r="A3085" s="159" t="s">
        <v>9275</v>
      </c>
      <c r="B3085" s="159" t="s">
        <v>9990</v>
      </c>
      <c r="C3085" s="159" t="s">
        <v>12654</v>
      </c>
      <c r="D3085" s="159" t="s">
        <v>481</v>
      </c>
      <c r="E3085" s="159">
        <v>20</v>
      </c>
      <c r="F3085" s="159" t="s">
        <v>5665</v>
      </c>
      <c r="G3085" s="159" t="s">
        <v>12655</v>
      </c>
    </row>
    <row r="3086" spans="1:7" ht="15.75" customHeight="1">
      <c r="A3086" s="159" t="s">
        <v>9275</v>
      </c>
      <c r="B3086" s="159" t="s">
        <v>9990</v>
      </c>
      <c r="C3086" s="159" t="s">
        <v>12656</v>
      </c>
      <c r="D3086" s="159" t="s">
        <v>481</v>
      </c>
      <c r="E3086" s="159">
        <v>20</v>
      </c>
      <c r="F3086" s="159" t="s">
        <v>5665</v>
      </c>
      <c r="G3086" s="159" t="s">
        <v>12657</v>
      </c>
    </row>
    <row r="3087" spans="1:7" ht="15.75" customHeight="1">
      <c r="A3087" s="159" t="s">
        <v>9275</v>
      </c>
      <c r="B3087" s="159" t="s">
        <v>9992</v>
      </c>
      <c r="C3087" s="159" t="s">
        <v>3897</v>
      </c>
      <c r="D3087" s="159" t="s">
        <v>484</v>
      </c>
      <c r="E3087" s="159">
        <v>10</v>
      </c>
      <c r="F3087" s="159" t="s">
        <v>5665</v>
      </c>
      <c r="G3087" s="159" t="s">
        <v>325</v>
      </c>
    </row>
    <row r="3088" spans="1:7" ht="15.75" customHeight="1">
      <c r="A3088" s="159" t="s">
        <v>9275</v>
      </c>
      <c r="B3088" s="159" t="s">
        <v>9992</v>
      </c>
      <c r="C3088" s="159" t="s">
        <v>12383</v>
      </c>
      <c r="D3088" s="159" t="s">
        <v>1974</v>
      </c>
      <c r="E3088" s="159"/>
      <c r="F3088" s="159" t="s">
        <v>5667</v>
      </c>
      <c r="G3088" s="159" t="s">
        <v>6156</v>
      </c>
    </row>
    <row r="3089" spans="1:7" ht="15.75" customHeight="1">
      <c r="A3089" s="159" t="s">
        <v>9275</v>
      </c>
      <c r="B3089" s="159" t="s">
        <v>9992</v>
      </c>
      <c r="C3089" s="159" t="s">
        <v>10290</v>
      </c>
      <c r="D3089" s="159" t="s">
        <v>978</v>
      </c>
      <c r="E3089" s="159">
        <v>5</v>
      </c>
      <c r="F3089" s="159" t="s">
        <v>5667</v>
      </c>
      <c r="G3089" s="159" t="s">
        <v>10507</v>
      </c>
    </row>
    <row r="3090" spans="1:7" ht="15.75" customHeight="1">
      <c r="A3090" s="159" t="s">
        <v>9275</v>
      </c>
      <c r="B3090" s="159" t="s">
        <v>9992</v>
      </c>
      <c r="C3090" s="159" t="s">
        <v>3762</v>
      </c>
      <c r="D3090" s="159" t="s">
        <v>477</v>
      </c>
      <c r="E3090" s="159">
        <v>50</v>
      </c>
      <c r="F3090" s="159" t="s">
        <v>5665</v>
      </c>
      <c r="G3090" s="159" t="s">
        <v>11525</v>
      </c>
    </row>
    <row r="3091" spans="1:7" ht="15.75" customHeight="1">
      <c r="A3091" s="159" t="s">
        <v>9275</v>
      </c>
      <c r="B3091" s="159" t="s">
        <v>9992</v>
      </c>
      <c r="C3091" s="159" t="s">
        <v>12481</v>
      </c>
      <c r="D3091" s="159" t="s">
        <v>484</v>
      </c>
      <c r="E3091" s="159">
        <v>10</v>
      </c>
      <c r="F3091" s="159" t="s">
        <v>5665</v>
      </c>
      <c r="G3091" s="159" t="s">
        <v>12482</v>
      </c>
    </row>
    <row r="3092" spans="1:7" ht="15.75" customHeight="1">
      <c r="A3092" s="159" t="s">
        <v>9275</v>
      </c>
      <c r="B3092" s="159" t="s">
        <v>9992</v>
      </c>
      <c r="C3092" s="159" t="s">
        <v>12569</v>
      </c>
      <c r="D3092" s="159" t="s">
        <v>481</v>
      </c>
      <c r="E3092" s="159">
        <v>12</v>
      </c>
      <c r="F3092" s="159" t="s">
        <v>5665</v>
      </c>
      <c r="G3092" s="159" t="s">
        <v>12570</v>
      </c>
    </row>
    <row r="3093" spans="1:7" ht="15.75" customHeight="1">
      <c r="A3093" s="159" t="s">
        <v>9275</v>
      </c>
      <c r="B3093" s="159" t="s">
        <v>9992</v>
      </c>
      <c r="C3093" s="159" t="s">
        <v>12630</v>
      </c>
      <c r="D3093" s="159" t="s">
        <v>481</v>
      </c>
      <c r="E3093" s="159">
        <v>12</v>
      </c>
      <c r="F3093" s="159" t="s">
        <v>5665</v>
      </c>
      <c r="G3093" s="159" t="s">
        <v>12631</v>
      </c>
    </row>
    <row r="3094" spans="1:7" ht="15.75" customHeight="1">
      <c r="A3094" s="159" t="s">
        <v>9275</v>
      </c>
      <c r="B3094" s="159" t="s">
        <v>9992</v>
      </c>
      <c r="C3094" s="159" t="s">
        <v>12632</v>
      </c>
      <c r="D3094" s="159" t="s">
        <v>481</v>
      </c>
      <c r="E3094" s="159">
        <v>20</v>
      </c>
      <c r="F3094" s="159" t="s">
        <v>5665</v>
      </c>
      <c r="G3094" s="159" t="s">
        <v>12633</v>
      </c>
    </row>
    <row r="3095" spans="1:7" ht="15.75" customHeight="1">
      <c r="A3095" s="159" t="s">
        <v>9275</v>
      </c>
      <c r="B3095" s="159" t="s">
        <v>9992</v>
      </c>
      <c r="C3095" s="159" t="s">
        <v>12634</v>
      </c>
      <c r="D3095" s="159" t="s">
        <v>481</v>
      </c>
      <c r="E3095" s="159">
        <v>20</v>
      </c>
      <c r="F3095" s="159" t="s">
        <v>5665</v>
      </c>
      <c r="G3095" s="159" t="s">
        <v>12635</v>
      </c>
    </row>
    <row r="3096" spans="1:7" ht="15.75" customHeight="1">
      <c r="A3096" s="159" t="s">
        <v>9275</v>
      </c>
      <c r="B3096" s="159" t="s">
        <v>9992</v>
      </c>
      <c r="C3096" s="159" t="s">
        <v>12636</v>
      </c>
      <c r="D3096" s="159" t="s">
        <v>481</v>
      </c>
      <c r="E3096" s="159">
        <v>20</v>
      </c>
      <c r="F3096" s="159" t="s">
        <v>5665</v>
      </c>
      <c r="G3096" s="159" t="s">
        <v>12637</v>
      </c>
    </row>
    <row r="3097" spans="1:7" ht="15.75" customHeight="1">
      <c r="A3097" s="159" t="s">
        <v>9275</v>
      </c>
      <c r="B3097" s="159" t="s">
        <v>9992</v>
      </c>
      <c r="C3097" s="159" t="s">
        <v>12638</v>
      </c>
      <c r="D3097" s="159" t="s">
        <v>481</v>
      </c>
      <c r="E3097" s="159">
        <v>20</v>
      </c>
      <c r="F3097" s="159" t="s">
        <v>5665</v>
      </c>
      <c r="G3097" s="159" t="s">
        <v>12639</v>
      </c>
    </row>
    <row r="3098" spans="1:7" ht="15.75" customHeight="1">
      <c r="A3098" s="159" t="s">
        <v>9275</v>
      </c>
      <c r="B3098" s="159" t="s">
        <v>9992</v>
      </c>
      <c r="C3098" s="159" t="s">
        <v>12640</v>
      </c>
      <c r="D3098" s="159" t="s">
        <v>481</v>
      </c>
      <c r="E3098" s="159">
        <v>20</v>
      </c>
      <c r="F3098" s="159" t="s">
        <v>5665</v>
      </c>
      <c r="G3098" s="159" t="s">
        <v>12641</v>
      </c>
    </row>
    <row r="3099" spans="1:7" ht="15.75" customHeight="1">
      <c r="A3099" s="159" t="s">
        <v>9275</v>
      </c>
      <c r="B3099" s="159" t="s">
        <v>9992</v>
      </c>
      <c r="C3099" s="159" t="s">
        <v>12642</v>
      </c>
      <c r="D3099" s="159" t="s">
        <v>481</v>
      </c>
      <c r="E3099" s="159">
        <v>20</v>
      </c>
      <c r="F3099" s="159" t="s">
        <v>5665</v>
      </c>
      <c r="G3099" s="159" t="s">
        <v>12643</v>
      </c>
    </row>
    <row r="3100" spans="1:7" ht="15.75" customHeight="1">
      <c r="A3100" s="159" t="s">
        <v>9275</v>
      </c>
      <c r="B3100" s="159" t="s">
        <v>9992</v>
      </c>
      <c r="C3100" s="159" t="s">
        <v>12644</v>
      </c>
      <c r="D3100" s="159" t="s">
        <v>481</v>
      </c>
      <c r="E3100" s="159">
        <v>20</v>
      </c>
      <c r="F3100" s="159" t="s">
        <v>5665</v>
      </c>
      <c r="G3100" s="159" t="s">
        <v>12645</v>
      </c>
    </row>
    <row r="3101" spans="1:7" ht="15.75" customHeight="1">
      <c r="A3101" s="159" t="s">
        <v>9275</v>
      </c>
      <c r="B3101" s="159" t="s">
        <v>9992</v>
      </c>
      <c r="C3101" s="159" t="s">
        <v>12646</v>
      </c>
      <c r="D3101" s="159" t="s">
        <v>481</v>
      </c>
      <c r="E3101" s="159">
        <v>20</v>
      </c>
      <c r="F3101" s="159" t="s">
        <v>5665</v>
      </c>
      <c r="G3101" s="159" t="s">
        <v>12647</v>
      </c>
    </row>
    <row r="3102" spans="1:7" ht="15.75" customHeight="1">
      <c r="A3102" s="159" t="s">
        <v>9275</v>
      </c>
      <c r="B3102" s="159" t="s">
        <v>9992</v>
      </c>
      <c r="C3102" s="159" t="s">
        <v>12648</v>
      </c>
      <c r="D3102" s="159" t="s">
        <v>481</v>
      </c>
      <c r="E3102" s="159">
        <v>20</v>
      </c>
      <c r="F3102" s="159" t="s">
        <v>5665</v>
      </c>
      <c r="G3102" s="159" t="s">
        <v>12649</v>
      </c>
    </row>
    <row r="3103" spans="1:7" ht="15.75" customHeight="1">
      <c r="A3103" s="159" t="s">
        <v>9275</v>
      </c>
      <c r="B3103" s="159" t="s">
        <v>9992</v>
      </c>
      <c r="C3103" s="159" t="s">
        <v>12650</v>
      </c>
      <c r="D3103" s="159" t="s">
        <v>481</v>
      </c>
      <c r="E3103" s="159">
        <v>20</v>
      </c>
      <c r="F3103" s="159" t="s">
        <v>5665</v>
      </c>
      <c r="G3103" s="159" t="s">
        <v>12651</v>
      </c>
    </row>
    <row r="3104" spans="1:7" ht="15.75" customHeight="1">
      <c r="A3104" s="159" t="s">
        <v>9275</v>
      </c>
      <c r="B3104" s="159" t="s">
        <v>9992</v>
      </c>
      <c r="C3104" s="159" t="s">
        <v>12652</v>
      </c>
      <c r="D3104" s="159" t="s">
        <v>481</v>
      </c>
      <c r="E3104" s="159">
        <v>20</v>
      </c>
      <c r="F3104" s="159" t="s">
        <v>5665</v>
      </c>
      <c r="G3104" s="159" t="s">
        <v>12653</v>
      </c>
    </row>
    <row r="3105" spans="1:7" ht="15.75" customHeight="1">
      <c r="A3105" s="159" t="s">
        <v>9275</v>
      </c>
      <c r="B3105" s="159" t="s">
        <v>9992</v>
      </c>
      <c r="C3105" s="159" t="s">
        <v>12654</v>
      </c>
      <c r="D3105" s="159" t="s">
        <v>481</v>
      </c>
      <c r="E3105" s="159">
        <v>20</v>
      </c>
      <c r="F3105" s="159" t="s">
        <v>5665</v>
      </c>
      <c r="G3105" s="159" t="s">
        <v>12655</v>
      </c>
    </row>
    <row r="3106" spans="1:7" ht="15.75" customHeight="1">
      <c r="A3106" s="159" t="s">
        <v>9275</v>
      </c>
      <c r="B3106" s="159" t="s">
        <v>9992</v>
      </c>
      <c r="C3106" s="159" t="s">
        <v>12656</v>
      </c>
      <c r="D3106" s="159" t="s">
        <v>481</v>
      </c>
      <c r="E3106" s="159">
        <v>20</v>
      </c>
      <c r="F3106" s="159" t="s">
        <v>5665</v>
      </c>
      <c r="G3106" s="159" t="s">
        <v>12657</v>
      </c>
    </row>
    <row r="3107" spans="1:7" ht="15.75" customHeight="1">
      <c r="A3107" s="159" t="s">
        <v>9275</v>
      </c>
      <c r="B3107" s="159" t="s">
        <v>9994</v>
      </c>
      <c r="C3107" s="159" t="s">
        <v>10287</v>
      </c>
      <c r="D3107" s="159" t="s">
        <v>484</v>
      </c>
      <c r="E3107" s="159">
        <v>10</v>
      </c>
      <c r="F3107" s="159" t="s">
        <v>5665</v>
      </c>
      <c r="G3107" s="159" t="s">
        <v>10237</v>
      </c>
    </row>
    <row r="3108" spans="1:7" ht="15.75" customHeight="1">
      <c r="A3108" s="159" t="s">
        <v>9275</v>
      </c>
      <c r="B3108" s="159" t="s">
        <v>9994</v>
      </c>
      <c r="C3108" s="159" t="s">
        <v>1419</v>
      </c>
      <c r="D3108" s="159" t="s">
        <v>477</v>
      </c>
      <c r="E3108" s="159">
        <v>32</v>
      </c>
      <c r="F3108" s="159" t="s">
        <v>5667</v>
      </c>
      <c r="G3108" s="159" t="s">
        <v>811</v>
      </c>
    </row>
    <row r="3109" spans="1:7" ht="15.75" customHeight="1">
      <c r="A3109" s="159" t="s">
        <v>9275</v>
      </c>
      <c r="B3109" s="159" t="s">
        <v>9994</v>
      </c>
      <c r="C3109" s="159" t="s">
        <v>10290</v>
      </c>
      <c r="D3109" s="159" t="s">
        <v>978</v>
      </c>
      <c r="E3109" s="159">
        <v>5</v>
      </c>
      <c r="F3109" s="159" t="s">
        <v>5667</v>
      </c>
      <c r="G3109" s="159" t="s">
        <v>10507</v>
      </c>
    </row>
    <row r="3110" spans="1:7" ht="15.75" customHeight="1">
      <c r="A3110" s="159" t="s">
        <v>9275</v>
      </c>
      <c r="B3110" s="159" t="s">
        <v>9994</v>
      </c>
      <c r="C3110" s="159" t="s">
        <v>2241</v>
      </c>
      <c r="D3110" s="159" t="s">
        <v>477</v>
      </c>
      <c r="E3110" s="159">
        <v>255</v>
      </c>
      <c r="F3110" s="159" t="s">
        <v>5667</v>
      </c>
      <c r="G3110" s="159" t="s">
        <v>12479</v>
      </c>
    </row>
    <row r="3111" spans="1:7" ht="15.75" customHeight="1">
      <c r="A3111" s="159" t="s">
        <v>9275</v>
      </c>
      <c r="B3111" s="159" t="s">
        <v>9994</v>
      </c>
      <c r="C3111" s="159" t="s">
        <v>3940</v>
      </c>
      <c r="D3111" s="159" t="s">
        <v>484</v>
      </c>
      <c r="E3111" s="159">
        <v>10</v>
      </c>
      <c r="F3111" s="159" t="s">
        <v>5667</v>
      </c>
      <c r="G3111" s="159" t="s">
        <v>10747</v>
      </c>
    </row>
    <row r="3112" spans="1:7" ht="15.75" customHeight="1">
      <c r="A3112" s="159" t="s">
        <v>9275</v>
      </c>
      <c r="B3112" s="159" t="s">
        <v>9994</v>
      </c>
      <c r="C3112" s="159" t="s">
        <v>12077</v>
      </c>
      <c r="D3112" s="159" t="s">
        <v>481</v>
      </c>
      <c r="E3112" s="159">
        <v>20</v>
      </c>
      <c r="F3112" s="159" t="s">
        <v>5667</v>
      </c>
      <c r="G3112" s="159" t="s">
        <v>12078</v>
      </c>
    </row>
    <row r="3113" spans="1:7" ht="15.75" customHeight="1">
      <c r="A3113" s="159" t="s">
        <v>9275</v>
      </c>
      <c r="B3113" s="159" t="s">
        <v>9994</v>
      </c>
      <c r="C3113" s="159" t="s">
        <v>12529</v>
      </c>
      <c r="D3113" s="159" t="s">
        <v>481</v>
      </c>
      <c r="E3113" s="159">
        <v>20</v>
      </c>
      <c r="F3113" s="159" t="s">
        <v>5667</v>
      </c>
      <c r="G3113" s="159" t="s">
        <v>12530</v>
      </c>
    </row>
    <row r="3114" spans="1:7" ht="15.75" customHeight="1">
      <c r="A3114" s="159" t="s">
        <v>9275</v>
      </c>
      <c r="B3114" s="159" t="s">
        <v>9994</v>
      </c>
      <c r="C3114" s="159" t="s">
        <v>12076</v>
      </c>
      <c r="D3114" s="159" t="s">
        <v>481</v>
      </c>
      <c r="E3114" s="159">
        <v>20</v>
      </c>
      <c r="F3114" s="159" t="s">
        <v>5667</v>
      </c>
      <c r="G3114" s="159" t="s">
        <v>9</v>
      </c>
    </row>
    <row r="3115" spans="1:7" ht="15.75" customHeight="1">
      <c r="A3115" s="159" t="s">
        <v>9275</v>
      </c>
      <c r="B3115" s="159" t="s">
        <v>9994</v>
      </c>
      <c r="C3115" s="159" t="s">
        <v>12567</v>
      </c>
      <c r="D3115" s="159" t="s">
        <v>481</v>
      </c>
      <c r="E3115" s="159">
        <v>20</v>
      </c>
      <c r="F3115" s="159" t="s">
        <v>5667</v>
      </c>
      <c r="G3115" s="159" t="s">
        <v>12568</v>
      </c>
    </row>
    <row r="3116" spans="1:7" ht="15.75" customHeight="1">
      <c r="A3116" s="159" t="s">
        <v>9275</v>
      </c>
      <c r="B3116" s="159" t="s">
        <v>9994</v>
      </c>
      <c r="C3116" s="159" t="s">
        <v>11155</v>
      </c>
      <c r="D3116" s="159" t="s">
        <v>477</v>
      </c>
      <c r="E3116" s="159">
        <v>50</v>
      </c>
      <c r="F3116" s="159" t="s">
        <v>5667</v>
      </c>
      <c r="G3116" s="159" t="s">
        <v>11156</v>
      </c>
    </row>
    <row r="3117" spans="1:7" ht="15.75" customHeight="1">
      <c r="A3117" s="159" t="s">
        <v>9275</v>
      </c>
      <c r="B3117" s="159" t="s">
        <v>9994</v>
      </c>
      <c r="C3117" s="159" t="s">
        <v>12070</v>
      </c>
      <c r="D3117" s="159" t="s">
        <v>477</v>
      </c>
      <c r="E3117" s="159">
        <v>3</v>
      </c>
      <c r="F3117" s="159" t="s">
        <v>5667</v>
      </c>
      <c r="G3117" s="159" t="s">
        <v>12071</v>
      </c>
    </row>
    <row r="3118" spans="1:7" ht="15.75" customHeight="1">
      <c r="A3118" s="159" t="s">
        <v>9275</v>
      </c>
      <c r="B3118" s="159" t="s">
        <v>9994</v>
      </c>
      <c r="C3118" s="159" t="s">
        <v>12451</v>
      </c>
      <c r="D3118" s="159" t="s">
        <v>477</v>
      </c>
      <c r="E3118" s="159">
        <v>255</v>
      </c>
      <c r="F3118" s="159" t="s">
        <v>5667</v>
      </c>
      <c r="G3118" s="159" t="s">
        <v>12452</v>
      </c>
    </row>
    <row r="3119" spans="1:7" ht="15.75" customHeight="1">
      <c r="A3119" s="159" t="s">
        <v>9275</v>
      </c>
      <c r="B3119" s="159" t="s">
        <v>9994</v>
      </c>
      <c r="C3119" s="159" t="s">
        <v>12658</v>
      </c>
      <c r="D3119" s="159" t="s">
        <v>477</v>
      </c>
      <c r="E3119" s="159">
        <v>255</v>
      </c>
      <c r="F3119" s="159" t="s">
        <v>5667</v>
      </c>
      <c r="G3119" s="159" t="s">
        <v>12659</v>
      </c>
    </row>
    <row r="3120" spans="1:7" ht="15.75" customHeight="1">
      <c r="A3120" s="159" t="s">
        <v>9275</v>
      </c>
      <c r="B3120" s="159" t="s">
        <v>9994</v>
      </c>
      <c r="C3120" s="159" t="s">
        <v>12457</v>
      </c>
      <c r="D3120" s="159" t="s">
        <v>477</v>
      </c>
      <c r="E3120" s="159">
        <v>255</v>
      </c>
      <c r="F3120" s="159" t="s">
        <v>5667</v>
      </c>
      <c r="G3120" s="159" t="s">
        <v>12458</v>
      </c>
    </row>
    <row r="3121" spans="1:7" ht="15.75" customHeight="1">
      <c r="A3121" s="159" t="s">
        <v>9275</v>
      </c>
      <c r="B3121" s="159" t="s">
        <v>9994</v>
      </c>
      <c r="C3121" s="159" t="s">
        <v>10190</v>
      </c>
      <c r="D3121" s="159" t="s">
        <v>1413</v>
      </c>
      <c r="E3121" s="159"/>
      <c r="F3121" s="159" t="s">
        <v>5667</v>
      </c>
      <c r="G3121" s="159" t="s">
        <v>10281</v>
      </c>
    </row>
    <row r="3122" spans="1:7" ht="15.75" customHeight="1">
      <c r="A3122" s="159" t="s">
        <v>9275</v>
      </c>
      <c r="B3122" s="159" t="s">
        <v>9994</v>
      </c>
      <c r="C3122" s="159" t="s">
        <v>10242</v>
      </c>
      <c r="D3122" s="159" t="s">
        <v>1413</v>
      </c>
      <c r="E3122" s="159"/>
      <c r="F3122" s="159" t="s">
        <v>5667</v>
      </c>
      <c r="G3122" s="159" t="s">
        <v>10282</v>
      </c>
    </row>
    <row r="3123" spans="1:7" ht="15.75" customHeight="1">
      <c r="A3123" s="159" t="s">
        <v>9275</v>
      </c>
      <c r="B3123" s="159" t="s">
        <v>9994</v>
      </c>
      <c r="C3123" s="159" t="s">
        <v>12459</v>
      </c>
      <c r="D3123" s="159" t="s">
        <v>477</v>
      </c>
      <c r="E3123" s="159">
        <v>255</v>
      </c>
      <c r="F3123" s="159" t="s">
        <v>5667</v>
      </c>
      <c r="G3123" s="159" t="s">
        <v>12460</v>
      </c>
    </row>
    <row r="3124" spans="1:7" ht="15.75" customHeight="1">
      <c r="A3124" s="159" t="s">
        <v>9275</v>
      </c>
      <c r="B3124" s="159" t="s">
        <v>9994</v>
      </c>
      <c r="C3124" s="159" t="s">
        <v>12461</v>
      </c>
      <c r="D3124" s="159" t="s">
        <v>477</v>
      </c>
      <c r="E3124" s="159">
        <v>255</v>
      </c>
      <c r="F3124" s="159" t="s">
        <v>5667</v>
      </c>
      <c r="G3124" s="159" t="s">
        <v>12462</v>
      </c>
    </row>
    <row r="3125" spans="1:7" ht="15.75" customHeight="1">
      <c r="A3125" s="159" t="s">
        <v>9275</v>
      </c>
      <c r="B3125" s="159" t="s">
        <v>9994</v>
      </c>
      <c r="C3125" s="159" t="s">
        <v>12463</v>
      </c>
      <c r="D3125" s="159" t="s">
        <v>477</v>
      </c>
      <c r="E3125" s="159">
        <v>255</v>
      </c>
      <c r="F3125" s="159" t="s">
        <v>5667</v>
      </c>
      <c r="G3125" s="159" t="s">
        <v>12464</v>
      </c>
    </row>
    <row r="3126" spans="1:7" ht="15.75" customHeight="1">
      <c r="A3126" s="159" t="s">
        <v>9275</v>
      </c>
      <c r="B3126" s="159" t="s">
        <v>9994</v>
      </c>
      <c r="C3126" s="159" t="s">
        <v>11767</v>
      </c>
      <c r="D3126" s="159" t="s">
        <v>477</v>
      </c>
      <c r="E3126" s="159">
        <v>255</v>
      </c>
      <c r="F3126" s="159" t="s">
        <v>5667</v>
      </c>
      <c r="G3126" s="159" t="s">
        <v>11477</v>
      </c>
    </row>
    <row r="3127" spans="1:7" ht="15.75" customHeight="1">
      <c r="A3127" s="159" t="s">
        <v>9275</v>
      </c>
      <c r="B3127" s="159" t="s">
        <v>9994</v>
      </c>
      <c r="C3127" s="159" t="s">
        <v>9649</v>
      </c>
      <c r="D3127" s="159" t="s">
        <v>477</v>
      </c>
      <c r="E3127" s="159">
        <v>255</v>
      </c>
      <c r="F3127" s="159" t="s">
        <v>5667</v>
      </c>
      <c r="G3127" s="159" t="s">
        <v>9650</v>
      </c>
    </row>
    <row r="3128" spans="1:7" ht="15.75" customHeight="1">
      <c r="A3128" s="159" t="s">
        <v>9275</v>
      </c>
      <c r="B3128" s="159" t="s">
        <v>9994</v>
      </c>
      <c r="C3128" s="159" t="s">
        <v>12117</v>
      </c>
      <c r="D3128" s="159" t="s">
        <v>481</v>
      </c>
      <c r="E3128" s="159">
        <v>20</v>
      </c>
      <c r="F3128" s="159" t="s">
        <v>5667</v>
      </c>
      <c r="G3128" s="159" t="s">
        <v>12118</v>
      </c>
    </row>
    <row r="3129" spans="1:7" ht="15.75" customHeight="1">
      <c r="A3129" s="159" t="s">
        <v>9275</v>
      </c>
      <c r="B3129" s="159" t="s">
        <v>9994</v>
      </c>
      <c r="C3129" s="159" t="s">
        <v>12465</v>
      </c>
      <c r="D3129" s="159" t="s">
        <v>481</v>
      </c>
      <c r="E3129" s="159">
        <v>20</v>
      </c>
      <c r="F3129" s="159" t="s">
        <v>5667</v>
      </c>
      <c r="G3129" s="159" t="s">
        <v>12466</v>
      </c>
    </row>
    <row r="3130" spans="1:7" ht="15.75" customHeight="1">
      <c r="A3130" s="159" t="s">
        <v>9275</v>
      </c>
      <c r="B3130" s="159" t="s">
        <v>9994</v>
      </c>
      <c r="C3130" s="159" t="s">
        <v>3941</v>
      </c>
      <c r="D3130" s="159" t="s">
        <v>477</v>
      </c>
      <c r="E3130" s="159">
        <v>255</v>
      </c>
      <c r="F3130" s="159" t="s">
        <v>5667</v>
      </c>
      <c r="G3130" s="159" t="s">
        <v>10750</v>
      </c>
    </row>
    <row r="3131" spans="1:7" ht="15.75" customHeight="1">
      <c r="A3131" s="159" t="s">
        <v>9275</v>
      </c>
      <c r="B3131" s="159" t="s">
        <v>9994</v>
      </c>
      <c r="C3131" s="159" t="s">
        <v>10752</v>
      </c>
      <c r="D3131" s="159" t="s">
        <v>477</v>
      </c>
      <c r="E3131" s="159">
        <v>255</v>
      </c>
      <c r="F3131" s="159" t="s">
        <v>5667</v>
      </c>
      <c r="G3131" s="159" t="s">
        <v>10753</v>
      </c>
    </row>
    <row r="3132" spans="1:7" ht="15.75" customHeight="1">
      <c r="A3132" s="159" t="s">
        <v>9275</v>
      </c>
      <c r="B3132" s="159" t="s">
        <v>9994</v>
      </c>
      <c r="C3132" s="159" t="s">
        <v>12571</v>
      </c>
      <c r="D3132" s="159" t="s">
        <v>481</v>
      </c>
      <c r="E3132" s="159">
        <v>20</v>
      </c>
      <c r="F3132" s="159" t="s">
        <v>5667</v>
      </c>
      <c r="G3132" s="159" t="s">
        <v>12572</v>
      </c>
    </row>
    <row r="3133" spans="1:7" ht="15.75" customHeight="1">
      <c r="A3133" s="159" t="s">
        <v>9275</v>
      </c>
      <c r="B3133" s="159" t="s">
        <v>9994</v>
      </c>
      <c r="C3133" s="159" t="s">
        <v>11702</v>
      </c>
      <c r="D3133" s="159" t="s">
        <v>477</v>
      </c>
      <c r="E3133" s="159">
        <v>255</v>
      </c>
      <c r="F3133" s="159" t="s">
        <v>5667</v>
      </c>
      <c r="G3133" s="159" t="s">
        <v>11703</v>
      </c>
    </row>
    <row r="3134" spans="1:7" ht="15.75" customHeight="1">
      <c r="A3134" s="159" t="s">
        <v>9275</v>
      </c>
      <c r="B3134" s="159" t="s">
        <v>9996</v>
      </c>
      <c r="C3134" s="159" t="s">
        <v>10761</v>
      </c>
      <c r="D3134" s="159" t="s">
        <v>484</v>
      </c>
      <c r="E3134" s="159">
        <v>10</v>
      </c>
      <c r="F3134" s="159" t="s">
        <v>5665</v>
      </c>
      <c r="G3134" s="159" t="s">
        <v>10762</v>
      </c>
    </row>
    <row r="3135" spans="1:7" ht="15.75" customHeight="1">
      <c r="A3135" s="159" t="s">
        <v>9275</v>
      </c>
      <c r="B3135" s="159" t="s">
        <v>9996</v>
      </c>
      <c r="C3135" s="159" t="s">
        <v>3635</v>
      </c>
      <c r="D3135" s="159" t="s">
        <v>484</v>
      </c>
      <c r="E3135" s="159">
        <v>10</v>
      </c>
      <c r="F3135" s="159" t="s">
        <v>5665</v>
      </c>
      <c r="G3135" s="159" t="s">
        <v>10722</v>
      </c>
    </row>
    <row r="3136" spans="1:7" ht="15.75" customHeight="1">
      <c r="A3136" s="159" t="s">
        <v>9275</v>
      </c>
      <c r="B3136" s="159" t="s">
        <v>9996</v>
      </c>
      <c r="C3136" s="159" t="s">
        <v>12222</v>
      </c>
      <c r="D3136" s="159" t="s">
        <v>484</v>
      </c>
      <c r="E3136" s="159">
        <v>10</v>
      </c>
      <c r="F3136" s="159" t="s">
        <v>5667</v>
      </c>
      <c r="G3136" s="159" t="s">
        <v>12223</v>
      </c>
    </row>
    <row r="3137" spans="1:7" ht="15.75" customHeight="1">
      <c r="A3137" s="159" t="s">
        <v>9275</v>
      </c>
      <c r="B3137" s="159" t="s">
        <v>9996</v>
      </c>
      <c r="C3137" s="159" t="s">
        <v>12225</v>
      </c>
      <c r="D3137" s="159" t="s">
        <v>484</v>
      </c>
      <c r="E3137" s="159">
        <v>10</v>
      </c>
      <c r="F3137" s="159" t="s">
        <v>5667</v>
      </c>
      <c r="G3137" s="159" t="s">
        <v>12226</v>
      </c>
    </row>
    <row r="3138" spans="1:7" ht="15.75" customHeight="1">
      <c r="A3138" s="159" t="s">
        <v>9275</v>
      </c>
      <c r="B3138" s="159" t="s">
        <v>9996</v>
      </c>
      <c r="C3138" s="159" t="s">
        <v>10290</v>
      </c>
      <c r="D3138" s="159" t="s">
        <v>978</v>
      </c>
      <c r="E3138" s="159">
        <v>5</v>
      </c>
      <c r="F3138" s="159" t="s">
        <v>5667</v>
      </c>
      <c r="G3138" s="159" t="s">
        <v>10507</v>
      </c>
    </row>
    <row r="3139" spans="1:7" ht="15.75" customHeight="1">
      <c r="A3139" s="159" t="s">
        <v>9275</v>
      </c>
      <c r="B3139" s="159" t="s">
        <v>9996</v>
      </c>
      <c r="C3139" s="159" t="s">
        <v>10190</v>
      </c>
      <c r="D3139" s="159" t="s">
        <v>1413</v>
      </c>
      <c r="E3139" s="159"/>
      <c r="F3139" s="159" t="s">
        <v>5665</v>
      </c>
      <c r="G3139" s="159" t="s">
        <v>10281</v>
      </c>
    </row>
    <row r="3140" spans="1:7" ht="15.75" customHeight="1">
      <c r="A3140" s="159" t="s">
        <v>9275</v>
      </c>
      <c r="B3140" s="159" t="s">
        <v>9996</v>
      </c>
      <c r="C3140" s="159" t="s">
        <v>10242</v>
      </c>
      <c r="D3140" s="159" t="s">
        <v>1413</v>
      </c>
      <c r="E3140" s="159"/>
      <c r="F3140" s="159" t="s">
        <v>5665</v>
      </c>
      <c r="G3140" s="159" t="s">
        <v>10282</v>
      </c>
    </row>
    <row r="3141" spans="1:7" ht="15.75" customHeight="1">
      <c r="A3141" s="159" t="s">
        <v>9275</v>
      </c>
      <c r="B3141" s="159" t="s">
        <v>9996</v>
      </c>
      <c r="C3141" s="159" t="s">
        <v>1394</v>
      </c>
      <c r="D3141" s="159" t="s">
        <v>484</v>
      </c>
      <c r="E3141" s="159">
        <v>10</v>
      </c>
      <c r="F3141" s="159" t="s">
        <v>5667</v>
      </c>
      <c r="G3141" s="159" t="s">
        <v>4828</v>
      </c>
    </row>
    <row r="3142" spans="1:7" ht="15.75" customHeight="1">
      <c r="A3142" s="159" t="s">
        <v>9275</v>
      </c>
      <c r="B3142" s="159" t="s">
        <v>9996</v>
      </c>
      <c r="C3142" s="159" t="s">
        <v>1849</v>
      </c>
      <c r="D3142" s="159" t="s">
        <v>477</v>
      </c>
      <c r="E3142" s="159">
        <v>255</v>
      </c>
      <c r="F3142" s="159" t="s">
        <v>5667</v>
      </c>
      <c r="G3142" s="159" t="s">
        <v>12259</v>
      </c>
    </row>
    <row r="3143" spans="1:7" ht="15.75" customHeight="1">
      <c r="A3143" s="159" t="s">
        <v>9275</v>
      </c>
      <c r="B3143" s="159" t="s">
        <v>9996</v>
      </c>
      <c r="C3143" s="159" t="s">
        <v>12660</v>
      </c>
      <c r="D3143" s="159" t="s">
        <v>3893</v>
      </c>
      <c r="E3143" s="159">
        <v>65535</v>
      </c>
      <c r="F3143" s="159" t="s">
        <v>5667</v>
      </c>
      <c r="G3143" s="159" t="s">
        <v>12661</v>
      </c>
    </row>
    <row r="3144" spans="1:7" ht="15.75" customHeight="1">
      <c r="A3144" s="159" t="s">
        <v>9275</v>
      </c>
      <c r="B3144" s="159" t="s">
        <v>9996</v>
      </c>
      <c r="C3144" s="159" t="s">
        <v>5882</v>
      </c>
      <c r="D3144" s="159" t="s">
        <v>481</v>
      </c>
      <c r="E3144" s="159">
        <v>12</v>
      </c>
      <c r="F3144" s="159" t="s">
        <v>5667</v>
      </c>
      <c r="G3144" s="159" t="s">
        <v>3277</v>
      </c>
    </row>
    <row r="3145" spans="1:7" ht="15.75" customHeight="1">
      <c r="A3145" s="159" t="s">
        <v>9275</v>
      </c>
      <c r="B3145" s="159" t="s">
        <v>9996</v>
      </c>
      <c r="C3145" s="159" t="s">
        <v>12057</v>
      </c>
      <c r="D3145" s="159" t="s">
        <v>978</v>
      </c>
      <c r="E3145" s="159">
        <v>5</v>
      </c>
      <c r="F3145" s="159" t="s">
        <v>5667</v>
      </c>
      <c r="G3145" s="159" t="s">
        <v>12058</v>
      </c>
    </row>
    <row r="3146" spans="1:7" ht="15.75" customHeight="1">
      <c r="A3146" s="159" t="s">
        <v>9275</v>
      </c>
      <c r="B3146" s="159" t="s">
        <v>9996</v>
      </c>
      <c r="C3146" s="159" t="s">
        <v>5624</v>
      </c>
      <c r="D3146" s="159" t="s">
        <v>477</v>
      </c>
      <c r="E3146" s="159">
        <v>255</v>
      </c>
      <c r="F3146" s="159" t="s">
        <v>5667</v>
      </c>
      <c r="G3146" s="159" t="s">
        <v>12238</v>
      </c>
    </row>
    <row r="3147" spans="1:7" ht="15.75" customHeight="1">
      <c r="A3147" s="159" t="s">
        <v>9275</v>
      </c>
      <c r="B3147" s="159" t="s">
        <v>9996</v>
      </c>
      <c r="C3147" s="159" t="s">
        <v>156</v>
      </c>
      <c r="D3147" s="159" t="s">
        <v>477</v>
      </c>
      <c r="E3147" s="159">
        <v>255</v>
      </c>
      <c r="F3147" s="159" t="s">
        <v>5667</v>
      </c>
      <c r="G3147" s="159" t="s">
        <v>4306</v>
      </c>
    </row>
    <row r="3148" spans="1:7" ht="15.75" customHeight="1">
      <c r="A3148" s="159" t="s">
        <v>9275</v>
      </c>
      <c r="B3148" s="159" t="s">
        <v>9996</v>
      </c>
      <c r="C3148" s="159" t="s">
        <v>5891</v>
      </c>
      <c r="D3148" s="159" t="s">
        <v>3893</v>
      </c>
      <c r="E3148" s="159">
        <v>65535</v>
      </c>
      <c r="F3148" s="159" t="s">
        <v>5667</v>
      </c>
      <c r="G3148" s="159" t="s">
        <v>1729</v>
      </c>
    </row>
    <row r="3149" spans="1:7" ht="15.75" customHeight="1">
      <c r="A3149" s="159" t="s">
        <v>9275</v>
      </c>
      <c r="B3149" s="159" t="s">
        <v>9996</v>
      </c>
      <c r="C3149" s="159" t="s">
        <v>12102</v>
      </c>
      <c r="D3149" s="159" t="s">
        <v>3893</v>
      </c>
      <c r="E3149" s="159">
        <v>65535</v>
      </c>
      <c r="F3149" s="159" t="s">
        <v>5667</v>
      </c>
      <c r="G3149" s="159" t="s">
        <v>12103</v>
      </c>
    </row>
    <row r="3150" spans="1:7" ht="15.75" customHeight="1">
      <c r="A3150" s="159" t="s">
        <v>9275</v>
      </c>
      <c r="B3150" s="159" t="s">
        <v>9996</v>
      </c>
      <c r="C3150" s="159" t="s">
        <v>10875</v>
      </c>
      <c r="D3150" s="159" t="s">
        <v>3893</v>
      </c>
      <c r="E3150" s="159">
        <v>65535</v>
      </c>
      <c r="F3150" s="159" t="s">
        <v>5667</v>
      </c>
      <c r="G3150" s="159" t="s">
        <v>12227</v>
      </c>
    </row>
    <row r="3151" spans="1:7" ht="15.75" customHeight="1">
      <c r="A3151" s="159" t="s">
        <v>9275</v>
      </c>
      <c r="B3151" s="159" t="s">
        <v>9996</v>
      </c>
      <c r="C3151" s="159" t="s">
        <v>11016</v>
      </c>
      <c r="D3151" s="159" t="s">
        <v>978</v>
      </c>
      <c r="E3151" s="159">
        <v>5</v>
      </c>
      <c r="F3151" s="159" t="s">
        <v>5667</v>
      </c>
      <c r="G3151" s="159" t="s">
        <v>11017</v>
      </c>
    </row>
    <row r="3152" spans="1:7" ht="15.75" customHeight="1">
      <c r="A3152" s="159" t="s">
        <v>9275</v>
      </c>
      <c r="B3152" s="159" t="s">
        <v>9996</v>
      </c>
      <c r="C3152" s="159" t="s">
        <v>12240</v>
      </c>
      <c r="D3152" s="159" t="s">
        <v>978</v>
      </c>
      <c r="E3152" s="159">
        <v>5</v>
      </c>
      <c r="F3152" s="159" t="s">
        <v>5665</v>
      </c>
      <c r="G3152" s="159" t="s">
        <v>12241</v>
      </c>
    </row>
    <row r="3153" spans="1:7" ht="15.75" customHeight="1">
      <c r="A3153" s="159" t="s">
        <v>9275</v>
      </c>
      <c r="B3153" s="159" t="s">
        <v>9996</v>
      </c>
      <c r="C3153" s="159" t="s">
        <v>12662</v>
      </c>
      <c r="D3153" s="159" t="s">
        <v>481</v>
      </c>
      <c r="E3153" s="159">
        <v>12</v>
      </c>
      <c r="F3153" s="159" t="s">
        <v>5667</v>
      </c>
      <c r="G3153" s="159" t="s">
        <v>12663</v>
      </c>
    </row>
    <row r="3154" spans="1:7" ht="15.75" customHeight="1">
      <c r="A3154" s="159" t="s">
        <v>9275</v>
      </c>
      <c r="B3154" s="159" t="s">
        <v>9996</v>
      </c>
      <c r="C3154" s="159" t="s">
        <v>12664</v>
      </c>
      <c r="D3154" s="159" t="s">
        <v>481</v>
      </c>
      <c r="E3154" s="159">
        <v>12</v>
      </c>
      <c r="F3154" s="159" t="s">
        <v>5667</v>
      </c>
      <c r="G3154" s="159" t="s">
        <v>12665</v>
      </c>
    </row>
    <row r="3155" spans="1:7" ht="15.75" customHeight="1">
      <c r="A3155" s="159" t="s">
        <v>9275</v>
      </c>
      <c r="B3155" s="159" t="s">
        <v>9996</v>
      </c>
      <c r="C3155" s="159" t="s">
        <v>12666</v>
      </c>
      <c r="D3155" s="159" t="s">
        <v>481</v>
      </c>
      <c r="E3155" s="159">
        <v>12</v>
      </c>
      <c r="F3155" s="159" t="s">
        <v>5667</v>
      </c>
      <c r="G3155" s="159" t="s">
        <v>12667</v>
      </c>
    </row>
    <row r="3156" spans="1:7" ht="15.75" customHeight="1">
      <c r="A3156" s="159" t="s">
        <v>9275</v>
      </c>
      <c r="B3156" s="159" t="s">
        <v>9996</v>
      </c>
      <c r="C3156" s="159" t="s">
        <v>10690</v>
      </c>
      <c r="D3156" s="159" t="s">
        <v>481</v>
      </c>
      <c r="E3156" s="159">
        <v>12</v>
      </c>
      <c r="F3156" s="159" t="s">
        <v>5667</v>
      </c>
      <c r="G3156" s="159" t="s">
        <v>12422</v>
      </c>
    </row>
    <row r="3157" spans="1:7" ht="15.75" customHeight="1">
      <c r="A3157" s="159" t="s">
        <v>9275</v>
      </c>
      <c r="B3157" s="159" t="s">
        <v>9996</v>
      </c>
      <c r="C3157" s="159" t="s">
        <v>12668</v>
      </c>
      <c r="D3157" s="159" t="s">
        <v>481</v>
      </c>
      <c r="E3157" s="159">
        <v>12</v>
      </c>
      <c r="F3157" s="159" t="s">
        <v>5667</v>
      </c>
      <c r="G3157" s="159" t="s">
        <v>12669</v>
      </c>
    </row>
    <row r="3158" spans="1:7" ht="15.75" customHeight="1">
      <c r="A3158" s="159" t="s">
        <v>9275</v>
      </c>
      <c r="B3158" s="159" t="s">
        <v>9996</v>
      </c>
      <c r="C3158" s="159" t="s">
        <v>12670</v>
      </c>
      <c r="D3158" s="159" t="s">
        <v>481</v>
      </c>
      <c r="E3158" s="159">
        <v>12</v>
      </c>
      <c r="F3158" s="159" t="s">
        <v>5667</v>
      </c>
      <c r="G3158" s="159" t="s">
        <v>12671</v>
      </c>
    </row>
    <row r="3159" spans="1:7" ht="15.75" customHeight="1">
      <c r="A3159" s="159" t="s">
        <v>9275</v>
      </c>
      <c r="B3159" s="159" t="s">
        <v>9996</v>
      </c>
      <c r="C3159" s="159" t="s">
        <v>12246</v>
      </c>
      <c r="D3159" s="159" t="s">
        <v>481</v>
      </c>
      <c r="E3159" s="159">
        <v>12</v>
      </c>
      <c r="F3159" s="159" t="s">
        <v>5667</v>
      </c>
      <c r="G3159" s="159" t="s">
        <v>12247</v>
      </c>
    </row>
    <row r="3160" spans="1:7" ht="15.75" customHeight="1">
      <c r="A3160" s="159" t="s">
        <v>9275</v>
      </c>
      <c r="B3160" s="159" t="s">
        <v>9996</v>
      </c>
      <c r="C3160" s="159" t="s">
        <v>10942</v>
      </c>
      <c r="D3160" s="159" t="s">
        <v>481</v>
      </c>
      <c r="E3160" s="159">
        <v>12</v>
      </c>
      <c r="F3160" s="159" t="s">
        <v>5665</v>
      </c>
      <c r="G3160" s="159" t="s">
        <v>3497</v>
      </c>
    </row>
    <row r="3161" spans="1:7" ht="15.75" customHeight="1">
      <c r="A3161" s="159" t="s">
        <v>9275</v>
      </c>
      <c r="B3161" s="159" t="s">
        <v>9996</v>
      </c>
      <c r="C3161" s="159" t="s">
        <v>12244</v>
      </c>
      <c r="D3161" s="159" t="s">
        <v>481</v>
      </c>
      <c r="E3161" s="159">
        <v>12</v>
      </c>
      <c r="F3161" s="159" t="s">
        <v>5665</v>
      </c>
      <c r="G3161" s="159" t="s">
        <v>12245</v>
      </c>
    </row>
    <row r="3162" spans="1:7" ht="15.75" customHeight="1">
      <c r="A3162" s="159" t="s">
        <v>9275</v>
      </c>
      <c r="B3162" s="159" t="s">
        <v>9996</v>
      </c>
      <c r="C3162" s="159" t="s">
        <v>12672</v>
      </c>
      <c r="D3162" s="159" t="s">
        <v>481</v>
      </c>
      <c r="E3162" s="159">
        <v>12</v>
      </c>
      <c r="F3162" s="159" t="s">
        <v>5667</v>
      </c>
      <c r="G3162" s="159" t="s">
        <v>10968</v>
      </c>
    </row>
    <row r="3163" spans="1:7" ht="15.75" customHeight="1">
      <c r="A3163" s="159" t="s">
        <v>9275</v>
      </c>
      <c r="B3163" s="159" t="s">
        <v>9996</v>
      </c>
      <c r="C3163" s="159" t="s">
        <v>12673</v>
      </c>
      <c r="D3163" s="159" t="s">
        <v>481</v>
      </c>
      <c r="E3163" s="159">
        <v>12</v>
      </c>
      <c r="F3163" s="159" t="s">
        <v>5667</v>
      </c>
      <c r="G3163" s="159" t="s">
        <v>12674</v>
      </c>
    </row>
    <row r="3164" spans="1:7" ht="15.75" customHeight="1">
      <c r="A3164" s="159" t="s">
        <v>9275</v>
      </c>
      <c r="B3164" s="159" t="s">
        <v>9996</v>
      </c>
      <c r="C3164" s="159" t="s">
        <v>12242</v>
      </c>
      <c r="D3164" s="159" t="s">
        <v>481</v>
      </c>
      <c r="E3164" s="159">
        <v>12</v>
      </c>
      <c r="F3164" s="159" t="s">
        <v>5667</v>
      </c>
      <c r="G3164" s="159" t="s">
        <v>12243</v>
      </c>
    </row>
    <row r="3165" spans="1:7" ht="15.75" customHeight="1">
      <c r="A3165" s="159" t="s">
        <v>9275</v>
      </c>
      <c r="B3165" s="159" t="s">
        <v>9996</v>
      </c>
      <c r="C3165" s="159" t="s">
        <v>12169</v>
      </c>
      <c r="D3165" s="159" t="s">
        <v>481</v>
      </c>
      <c r="E3165" s="159">
        <v>20</v>
      </c>
      <c r="F3165" s="159" t="s">
        <v>5667</v>
      </c>
      <c r="G3165" s="159" t="s">
        <v>12170</v>
      </c>
    </row>
    <row r="3166" spans="1:7" ht="15.75" customHeight="1">
      <c r="A3166" s="159" t="s">
        <v>9275</v>
      </c>
      <c r="B3166" s="159" t="s">
        <v>9996</v>
      </c>
      <c r="C3166" s="159" t="s">
        <v>12171</v>
      </c>
      <c r="D3166" s="159" t="s">
        <v>481</v>
      </c>
      <c r="E3166" s="159">
        <v>20</v>
      </c>
      <c r="F3166" s="159" t="s">
        <v>5667</v>
      </c>
      <c r="G3166" s="159" t="s">
        <v>12172</v>
      </c>
    </row>
    <row r="3167" spans="1:7" ht="15.75" customHeight="1">
      <c r="A3167" s="159" t="s">
        <v>9275</v>
      </c>
      <c r="B3167" s="159" t="s">
        <v>9996</v>
      </c>
      <c r="C3167" s="159" t="s">
        <v>12555</v>
      </c>
      <c r="D3167" s="159" t="s">
        <v>481</v>
      </c>
      <c r="E3167" s="159">
        <v>20</v>
      </c>
      <c r="F3167" s="159" t="s">
        <v>5667</v>
      </c>
      <c r="G3167" s="159" t="s">
        <v>12556</v>
      </c>
    </row>
    <row r="3168" spans="1:7" ht="15.75" customHeight="1">
      <c r="A3168" s="159" t="s">
        <v>9275</v>
      </c>
      <c r="B3168" s="159" t="s">
        <v>9996</v>
      </c>
      <c r="C3168" s="159" t="s">
        <v>12515</v>
      </c>
      <c r="D3168" s="159" t="s">
        <v>481</v>
      </c>
      <c r="E3168" s="159">
        <v>20</v>
      </c>
      <c r="F3168" s="159" t="s">
        <v>5667</v>
      </c>
      <c r="G3168" s="159" t="s">
        <v>12516</v>
      </c>
    </row>
    <row r="3169" spans="1:7" ht="15.75" customHeight="1">
      <c r="A3169" s="159" t="s">
        <v>9275</v>
      </c>
      <c r="B3169" s="159" t="s">
        <v>9996</v>
      </c>
      <c r="C3169" s="159" t="s">
        <v>5965</v>
      </c>
      <c r="D3169" s="159" t="s">
        <v>481</v>
      </c>
      <c r="E3169" s="159">
        <v>12</v>
      </c>
      <c r="F3169" s="159" t="s">
        <v>5667</v>
      </c>
      <c r="G3169" s="159" t="s">
        <v>12239</v>
      </c>
    </row>
    <row r="3170" spans="1:7" ht="15.75" customHeight="1">
      <c r="A3170" s="159" t="s">
        <v>9275</v>
      </c>
      <c r="B3170" s="159" t="s">
        <v>9996</v>
      </c>
      <c r="C3170" s="159" t="s">
        <v>5845</v>
      </c>
      <c r="D3170" s="159" t="s">
        <v>481</v>
      </c>
      <c r="E3170" s="159">
        <v>20</v>
      </c>
      <c r="F3170" s="159" t="s">
        <v>5667</v>
      </c>
      <c r="G3170" s="159" t="s">
        <v>11064</v>
      </c>
    </row>
    <row r="3171" spans="1:7" ht="15.75" customHeight="1">
      <c r="A3171" s="159" t="s">
        <v>9275</v>
      </c>
      <c r="B3171" s="159" t="s">
        <v>9996</v>
      </c>
      <c r="C3171" s="159" t="s">
        <v>12181</v>
      </c>
      <c r="D3171" s="159" t="s">
        <v>481</v>
      </c>
      <c r="E3171" s="159">
        <v>20</v>
      </c>
      <c r="F3171" s="159" t="s">
        <v>5667</v>
      </c>
      <c r="G3171" s="159" t="s">
        <v>12182</v>
      </c>
    </row>
    <row r="3172" spans="1:7" ht="15.75" customHeight="1">
      <c r="A3172" s="159" t="s">
        <v>9275</v>
      </c>
      <c r="B3172" s="159" t="s">
        <v>9996</v>
      </c>
      <c r="C3172" s="159" t="s">
        <v>12535</v>
      </c>
      <c r="D3172" s="159" t="s">
        <v>481</v>
      </c>
      <c r="E3172" s="159">
        <v>20</v>
      </c>
      <c r="F3172" s="159" t="s">
        <v>5667</v>
      </c>
      <c r="G3172" s="159" t="s">
        <v>12536</v>
      </c>
    </row>
    <row r="3173" spans="1:7" ht="15.75" customHeight="1">
      <c r="A3173" s="159" t="s">
        <v>9275</v>
      </c>
      <c r="B3173" s="159" t="s">
        <v>9996</v>
      </c>
      <c r="C3173" s="159" t="s">
        <v>12495</v>
      </c>
      <c r="D3173" s="159" t="s">
        <v>481</v>
      </c>
      <c r="E3173" s="159">
        <v>20</v>
      </c>
      <c r="F3173" s="159" t="s">
        <v>5667</v>
      </c>
      <c r="G3173" s="159" t="s">
        <v>12496</v>
      </c>
    </row>
    <row r="3174" spans="1:7" ht="15.75" customHeight="1">
      <c r="A3174" s="159" t="s">
        <v>9275</v>
      </c>
      <c r="B3174" s="159" t="s">
        <v>9996</v>
      </c>
      <c r="C3174" s="159" t="s">
        <v>12675</v>
      </c>
      <c r="D3174" s="159" t="s">
        <v>481</v>
      </c>
      <c r="E3174" s="159">
        <v>20</v>
      </c>
      <c r="F3174" s="159" t="s">
        <v>5667</v>
      </c>
      <c r="G3174" s="159" t="s">
        <v>12676</v>
      </c>
    </row>
    <row r="3175" spans="1:7" ht="15.75" customHeight="1">
      <c r="A3175" s="159" t="s">
        <v>9275</v>
      </c>
      <c r="B3175" s="159" t="s">
        <v>9996</v>
      </c>
      <c r="C3175" s="159" t="s">
        <v>12677</v>
      </c>
      <c r="D3175" s="159" t="s">
        <v>481</v>
      </c>
      <c r="E3175" s="159">
        <v>20</v>
      </c>
      <c r="F3175" s="159" t="s">
        <v>5667</v>
      </c>
      <c r="G3175" s="159" t="s">
        <v>12678</v>
      </c>
    </row>
    <row r="3176" spans="1:7" ht="15.75" customHeight="1">
      <c r="A3176" s="159" t="s">
        <v>9275</v>
      </c>
      <c r="B3176" s="159" t="s">
        <v>9996</v>
      </c>
      <c r="C3176" s="159" t="s">
        <v>12228</v>
      </c>
      <c r="D3176" s="159" t="s">
        <v>481</v>
      </c>
      <c r="E3176" s="159">
        <v>20</v>
      </c>
      <c r="F3176" s="159" t="s">
        <v>5665</v>
      </c>
      <c r="G3176" s="159" t="s">
        <v>12229</v>
      </c>
    </row>
    <row r="3177" spans="1:7" ht="15.75" customHeight="1">
      <c r="A3177" s="159" t="s">
        <v>9275</v>
      </c>
      <c r="B3177" s="159" t="s">
        <v>9996</v>
      </c>
      <c r="C3177" s="159" t="s">
        <v>12230</v>
      </c>
      <c r="D3177" s="159" t="s">
        <v>481</v>
      </c>
      <c r="E3177" s="159">
        <v>20</v>
      </c>
      <c r="F3177" s="159" t="s">
        <v>5665</v>
      </c>
      <c r="G3177" s="159" t="s">
        <v>12231</v>
      </c>
    </row>
    <row r="3178" spans="1:7" ht="15.75" customHeight="1">
      <c r="A3178" s="159" t="s">
        <v>9275</v>
      </c>
      <c r="B3178" s="159" t="s">
        <v>9996</v>
      </c>
      <c r="C3178" s="159" t="s">
        <v>12679</v>
      </c>
      <c r="D3178" s="159" t="s">
        <v>481</v>
      </c>
      <c r="E3178" s="159">
        <v>20</v>
      </c>
      <c r="F3178" s="159" t="s">
        <v>5665</v>
      </c>
      <c r="G3178" s="159" t="s">
        <v>12680</v>
      </c>
    </row>
    <row r="3179" spans="1:7" ht="15.75" customHeight="1">
      <c r="A3179" s="159" t="s">
        <v>9275</v>
      </c>
      <c r="B3179" s="159" t="s">
        <v>9996</v>
      </c>
      <c r="C3179" s="159" t="s">
        <v>12681</v>
      </c>
      <c r="D3179" s="159" t="s">
        <v>481</v>
      </c>
      <c r="E3179" s="159">
        <v>20</v>
      </c>
      <c r="F3179" s="159" t="s">
        <v>5665</v>
      </c>
      <c r="G3179" s="159" t="s">
        <v>12682</v>
      </c>
    </row>
    <row r="3180" spans="1:7" ht="15.75" customHeight="1">
      <c r="A3180" s="159" t="s">
        <v>9275</v>
      </c>
      <c r="B3180" s="159" t="s">
        <v>9996</v>
      </c>
      <c r="C3180" s="159" t="s">
        <v>12234</v>
      </c>
      <c r="D3180" s="159" t="s">
        <v>481</v>
      </c>
      <c r="E3180" s="159">
        <v>12</v>
      </c>
      <c r="F3180" s="159" t="s">
        <v>5667</v>
      </c>
      <c r="G3180" s="159" t="s">
        <v>12235</v>
      </c>
    </row>
    <row r="3181" spans="1:7" ht="15.75" customHeight="1">
      <c r="A3181" s="159" t="s">
        <v>9275</v>
      </c>
      <c r="B3181" s="159" t="s">
        <v>9996</v>
      </c>
      <c r="C3181" s="159" t="s">
        <v>12260</v>
      </c>
      <c r="D3181" s="159" t="s">
        <v>481</v>
      </c>
      <c r="E3181" s="159">
        <v>20</v>
      </c>
      <c r="F3181" s="159" t="s">
        <v>5667</v>
      </c>
      <c r="G3181" s="159" t="s">
        <v>12261</v>
      </c>
    </row>
    <row r="3182" spans="1:7" ht="15.75" customHeight="1">
      <c r="A3182" s="159" t="s">
        <v>9275</v>
      </c>
      <c r="B3182" s="159" t="s">
        <v>9996</v>
      </c>
      <c r="C3182" s="159" t="s">
        <v>12262</v>
      </c>
      <c r="D3182" s="159" t="s">
        <v>481</v>
      </c>
      <c r="E3182" s="159">
        <v>20</v>
      </c>
      <c r="F3182" s="159" t="s">
        <v>5667</v>
      </c>
      <c r="G3182" s="159" t="s">
        <v>12263</v>
      </c>
    </row>
    <row r="3183" spans="1:7" ht="15.75" customHeight="1">
      <c r="A3183" s="159" t="s">
        <v>9275</v>
      </c>
      <c r="B3183" s="159" t="s">
        <v>9996</v>
      </c>
      <c r="C3183" s="159" t="s">
        <v>12683</v>
      </c>
      <c r="D3183" s="159" t="s">
        <v>477</v>
      </c>
      <c r="E3183" s="159">
        <v>255</v>
      </c>
      <c r="F3183" s="159" t="s">
        <v>5667</v>
      </c>
      <c r="G3183" s="159" t="s">
        <v>12684</v>
      </c>
    </row>
    <row r="3184" spans="1:7" ht="15.75" customHeight="1">
      <c r="A3184" s="159" t="s">
        <v>9275</v>
      </c>
      <c r="B3184" s="159" t="s">
        <v>9996</v>
      </c>
      <c r="C3184" s="159" t="s">
        <v>12685</v>
      </c>
      <c r="D3184" s="159" t="s">
        <v>978</v>
      </c>
      <c r="E3184" s="159">
        <v>5</v>
      </c>
      <c r="F3184" s="159" t="s">
        <v>5667</v>
      </c>
      <c r="G3184" s="159" t="s">
        <v>12686</v>
      </c>
    </row>
    <row r="3185" spans="1:7" ht="15.75" customHeight="1">
      <c r="A3185" s="159" t="s">
        <v>9275</v>
      </c>
      <c r="B3185" s="159" t="s">
        <v>9996</v>
      </c>
      <c r="C3185" s="159" t="s">
        <v>12687</v>
      </c>
      <c r="D3185" s="159" t="s">
        <v>978</v>
      </c>
      <c r="E3185" s="159">
        <v>5</v>
      </c>
      <c r="F3185" s="159" t="s">
        <v>5667</v>
      </c>
      <c r="G3185" s="159" t="s">
        <v>12688</v>
      </c>
    </row>
    <row r="3186" spans="1:7" ht="15.75" customHeight="1">
      <c r="A3186" s="159" t="s">
        <v>9275</v>
      </c>
      <c r="B3186" s="159" t="s">
        <v>9996</v>
      </c>
      <c r="C3186" s="159" t="s">
        <v>12248</v>
      </c>
      <c r="D3186" s="159" t="s">
        <v>481</v>
      </c>
      <c r="E3186" s="159">
        <v>20</v>
      </c>
      <c r="F3186" s="159" t="s">
        <v>5667</v>
      </c>
      <c r="G3186" s="159" t="s">
        <v>12249</v>
      </c>
    </row>
    <row r="3187" spans="1:7" ht="15.75" customHeight="1">
      <c r="A3187" s="159" t="s">
        <v>9275</v>
      </c>
      <c r="B3187" s="159" t="s">
        <v>9996</v>
      </c>
      <c r="C3187" s="159" t="s">
        <v>12250</v>
      </c>
      <c r="D3187" s="159" t="s">
        <v>481</v>
      </c>
      <c r="E3187" s="159">
        <v>20</v>
      </c>
      <c r="F3187" s="159" t="s">
        <v>5667</v>
      </c>
      <c r="G3187" s="159" t="s">
        <v>12251</v>
      </c>
    </row>
    <row r="3188" spans="1:7" ht="15.75" customHeight="1">
      <c r="A3188" s="159" t="s">
        <v>9275</v>
      </c>
      <c r="B3188" s="159" t="s">
        <v>9996</v>
      </c>
      <c r="C3188" s="159" t="s">
        <v>12252</v>
      </c>
      <c r="D3188" s="159" t="s">
        <v>481</v>
      </c>
      <c r="E3188" s="159">
        <v>20</v>
      </c>
      <c r="F3188" s="159" t="s">
        <v>5667</v>
      </c>
      <c r="G3188" s="159" t="s">
        <v>12253</v>
      </c>
    </row>
    <row r="3189" spans="1:7" ht="15.75" customHeight="1">
      <c r="A3189" s="159" t="s">
        <v>9275</v>
      </c>
      <c r="B3189" s="159" t="s">
        <v>9996</v>
      </c>
      <c r="C3189" s="159" t="s">
        <v>12254</v>
      </c>
      <c r="D3189" s="159" t="s">
        <v>481</v>
      </c>
      <c r="E3189" s="159">
        <v>20</v>
      </c>
      <c r="F3189" s="159" t="s">
        <v>5667</v>
      </c>
      <c r="G3189" s="159" t="s">
        <v>12255</v>
      </c>
    </row>
    <row r="3190" spans="1:7" ht="15.75" customHeight="1">
      <c r="A3190" s="159" t="s">
        <v>9275</v>
      </c>
      <c r="B3190" s="159" t="s">
        <v>9996</v>
      </c>
      <c r="C3190" s="159" t="s">
        <v>12197</v>
      </c>
      <c r="D3190" s="159" t="s">
        <v>481</v>
      </c>
      <c r="E3190" s="159">
        <v>20</v>
      </c>
      <c r="F3190" s="159" t="s">
        <v>5667</v>
      </c>
      <c r="G3190" s="159" t="s">
        <v>12198</v>
      </c>
    </row>
    <row r="3191" spans="1:7" ht="15.75" customHeight="1">
      <c r="A3191" s="159" t="s">
        <v>9275</v>
      </c>
      <c r="B3191" s="159" t="s">
        <v>9996</v>
      </c>
      <c r="C3191" s="159" t="s">
        <v>12199</v>
      </c>
      <c r="D3191" s="159" t="s">
        <v>481</v>
      </c>
      <c r="E3191" s="159">
        <v>20</v>
      </c>
      <c r="F3191" s="159" t="s">
        <v>5667</v>
      </c>
      <c r="G3191" s="159" t="s">
        <v>12200</v>
      </c>
    </row>
    <row r="3192" spans="1:7" ht="15.75" customHeight="1">
      <c r="A3192" s="159" t="s">
        <v>9275</v>
      </c>
      <c r="B3192" s="159" t="s">
        <v>9996</v>
      </c>
      <c r="C3192" s="159" t="s">
        <v>12611</v>
      </c>
      <c r="D3192" s="159" t="s">
        <v>481</v>
      </c>
      <c r="E3192" s="159">
        <v>20</v>
      </c>
      <c r="F3192" s="159" t="s">
        <v>5667</v>
      </c>
      <c r="G3192" s="159" t="s">
        <v>12612</v>
      </c>
    </row>
    <row r="3193" spans="1:7" ht="15.75" customHeight="1">
      <c r="A3193" s="159" t="s">
        <v>9275</v>
      </c>
      <c r="B3193" s="159" t="s">
        <v>9996</v>
      </c>
      <c r="C3193" s="159" t="s">
        <v>12613</v>
      </c>
      <c r="D3193" s="159" t="s">
        <v>481</v>
      </c>
      <c r="E3193" s="159">
        <v>20</v>
      </c>
      <c r="F3193" s="159" t="s">
        <v>5667</v>
      </c>
      <c r="G3193" s="159" t="s">
        <v>12614</v>
      </c>
    </row>
    <row r="3194" spans="1:7" ht="15.75" customHeight="1">
      <c r="A3194" s="159" t="s">
        <v>9275</v>
      </c>
      <c r="B3194" s="159" t="s">
        <v>9996</v>
      </c>
      <c r="C3194" s="159" t="s">
        <v>12615</v>
      </c>
      <c r="D3194" s="159" t="s">
        <v>481</v>
      </c>
      <c r="E3194" s="159">
        <v>20</v>
      </c>
      <c r="F3194" s="159" t="s">
        <v>5667</v>
      </c>
      <c r="G3194" s="159" t="s">
        <v>12616</v>
      </c>
    </row>
    <row r="3195" spans="1:7" ht="15.75" customHeight="1">
      <c r="A3195" s="159" t="s">
        <v>9275</v>
      </c>
      <c r="B3195" s="159" t="s">
        <v>9996</v>
      </c>
      <c r="C3195" s="159" t="s">
        <v>12617</v>
      </c>
      <c r="D3195" s="159" t="s">
        <v>481</v>
      </c>
      <c r="E3195" s="159">
        <v>20</v>
      </c>
      <c r="F3195" s="159" t="s">
        <v>5667</v>
      </c>
      <c r="G3195" s="159" t="s">
        <v>12618</v>
      </c>
    </row>
    <row r="3196" spans="1:7" ht="15.75" customHeight="1">
      <c r="A3196" s="159" t="s">
        <v>9275</v>
      </c>
      <c r="B3196" s="159" t="s">
        <v>9996</v>
      </c>
      <c r="C3196" s="159" t="s">
        <v>12553</v>
      </c>
      <c r="D3196" s="159" t="s">
        <v>481</v>
      </c>
      <c r="E3196" s="159">
        <v>12</v>
      </c>
      <c r="F3196" s="159" t="s">
        <v>5667</v>
      </c>
      <c r="G3196" s="159" t="s">
        <v>12554</v>
      </c>
    </row>
    <row r="3197" spans="1:7" ht="15.75" customHeight="1">
      <c r="A3197" s="159" t="s">
        <v>9275</v>
      </c>
      <c r="B3197" s="159" t="s">
        <v>9996</v>
      </c>
      <c r="C3197" s="159" t="s">
        <v>12689</v>
      </c>
      <c r="D3197" s="159" t="s">
        <v>481</v>
      </c>
      <c r="E3197" s="159">
        <v>20</v>
      </c>
      <c r="F3197" s="159" t="s">
        <v>5667</v>
      </c>
      <c r="G3197" s="159" t="s">
        <v>12690</v>
      </c>
    </row>
    <row r="3198" spans="1:7" ht="15.75" customHeight="1">
      <c r="A3198" s="159" t="s">
        <v>9275</v>
      </c>
      <c r="B3198" s="159" t="s">
        <v>9996</v>
      </c>
      <c r="C3198" s="159" t="s">
        <v>12557</v>
      </c>
      <c r="D3198" s="159" t="s">
        <v>481</v>
      </c>
      <c r="E3198" s="159">
        <v>20</v>
      </c>
      <c r="F3198" s="159" t="s">
        <v>5667</v>
      </c>
      <c r="G3198" s="159" t="s">
        <v>12558</v>
      </c>
    </row>
    <row r="3199" spans="1:7" ht="15.75" customHeight="1">
      <c r="A3199" s="159" t="s">
        <v>9275</v>
      </c>
      <c r="B3199" s="159" t="s">
        <v>9996</v>
      </c>
      <c r="C3199" s="159" t="s">
        <v>12517</v>
      </c>
      <c r="D3199" s="159" t="s">
        <v>481</v>
      </c>
      <c r="E3199" s="159">
        <v>20</v>
      </c>
      <c r="F3199" s="159" t="s">
        <v>5667</v>
      </c>
      <c r="G3199" s="159" t="s">
        <v>12518</v>
      </c>
    </row>
    <row r="3200" spans="1:7" ht="15.75" customHeight="1">
      <c r="A3200" s="159" t="s">
        <v>9275</v>
      </c>
      <c r="B3200" s="159" t="s">
        <v>9996</v>
      </c>
      <c r="C3200" s="159" t="s">
        <v>12537</v>
      </c>
      <c r="D3200" s="159" t="s">
        <v>481</v>
      </c>
      <c r="E3200" s="159">
        <v>20</v>
      </c>
      <c r="F3200" s="159" t="s">
        <v>5667</v>
      </c>
      <c r="G3200" s="159" t="s">
        <v>12538</v>
      </c>
    </row>
    <row r="3201" spans="1:7" ht="15.75" customHeight="1">
      <c r="A3201" s="159" t="s">
        <v>9275</v>
      </c>
      <c r="B3201" s="159" t="s">
        <v>9996</v>
      </c>
      <c r="C3201" s="159" t="s">
        <v>12497</v>
      </c>
      <c r="D3201" s="159" t="s">
        <v>481</v>
      </c>
      <c r="E3201" s="159">
        <v>20</v>
      </c>
      <c r="F3201" s="159" t="s">
        <v>5667</v>
      </c>
      <c r="G3201" s="159" t="s">
        <v>12498</v>
      </c>
    </row>
    <row r="3202" spans="1:7" ht="15.75" customHeight="1">
      <c r="A3202" s="159" t="s">
        <v>9275</v>
      </c>
      <c r="B3202" s="159" t="s">
        <v>9996</v>
      </c>
      <c r="C3202" s="159" t="s">
        <v>11654</v>
      </c>
      <c r="D3202" s="159" t="s">
        <v>484</v>
      </c>
      <c r="E3202" s="159">
        <v>10</v>
      </c>
      <c r="F3202" s="159" t="s">
        <v>5667</v>
      </c>
      <c r="G3202" s="159" t="s">
        <v>12131</v>
      </c>
    </row>
    <row r="3203" spans="1:7" ht="15.75" customHeight="1">
      <c r="A3203" s="159" t="s">
        <v>9275</v>
      </c>
      <c r="B3203" s="159" t="s">
        <v>9996</v>
      </c>
      <c r="C3203" s="159" t="s">
        <v>12691</v>
      </c>
      <c r="D3203" s="159" t="s">
        <v>484</v>
      </c>
      <c r="E3203" s="159">
        <v>10</v>
      </c>
      <c r="F3203" s="159" t="s">
        <v>5667</v>
      </c>
      <c r="G3203" s="159" t="s">
        <v>12692</v>
      </c>
    </row>
    <row r="3204" spans="1:7" ht="15.75" customHeight="1">
      <c r="A3204" s="159" t="s">
        <v>9275</v>
      </c>
      <c r="B3204" s="159" t="s">
        <v>9996</v>
      </c>
      <c r="C3204" s="159" t="s">
        <v>12218</v>
      </c>
      <c r="D3204" s="159" t="s">
        <v>978</v>
      </c>
      <c r="E3204" s="159">
        <v>5</v>
      </c>
      <c r="F3204" s="159" t="s">
        <v>5665</v>
      </c>
      <c r="G3204" s="159" t="s">
        <v>12219</v>
      </c>
    </row>
    <row r="3205" spans="1:7" ht="15.75" customHeight="1">
      <c r="A3205" s="159" t="s">
        <v>9275</v>
      </c>
      <c r="B3205" s="159" t="s">
        <v>9996</v>
      </c>
      <c r="C3205" s="159" t="s">
        <v>12268</v>
      </c>
      <c r="D3205" s="159" t="s">
        <v>3893</v>
      </c>
      <c r="E3205" s="159">
        <v>65535</v>
      </c>
      <c r="F3205" s="159" t="s">
        <v>5667</v>
      </c>
      <c r="G3205" s="159" t="s">
        <v>12269</v>
      </c>
    </row>
    <row r="3206" spans="1:7" ht="15.75" customHeight="1">
      <c r="A3206" s="159" t="s">
        <v>9275</v>
      </c>
      <c r="B3206" s="159" t="s">
        <v>9996</v>
      </c>
      <c r="C3206" s="159" t="s">
        <v>12270</v>
      </c>
      <c r="D3206" s="159" t="s">
        <v>481</v>
      </c>
      <c r="E3206" s="159">
        <v>12</v>
      </c>
      <c r="F3206" s="159" t="s">
        <v>5667</v>
      </c>
      <c r="G3206" s="159" t="s">
        <v>12271</v>
      </c>
    </row>
    <row r="3207" spans="1:7" ht="15.75" customHeight="1">
      <c r="A3207" s="159" t="s">
        <v>9275</v>
      </c>
      <c r="B3207" s="159" t="s">
        <v>9996</v>
      </c>
      <c r="C3207" s="159" t="s">
        <v>12272</v>
      </c>
      <c r="D3207" s="159" t="s">
        <v>481</v>
      </c>
      <c r="E3207" s="159">
        <v>12</v>
      </c>
      <c r="F3207" s="159" t="s">
        <v>5667</v>
      </c>
      <c r="G3207" s="159" t="s">
        <v>12273</v>
      </c>
    </row>
    <row r="3208" spans="1:7" ht="15.75" customHeight="1">
      <c r="A3208" s="159" t="s">
        <v>9275</v>
      </c>
      <c r="B3208" s="159" t="s">
        <v>9996</v>
      </c>
      <c r="C3208" s="159" t="s">
        <v>12274</v>
      </c>
      <c r="D3208" s="159" t="s">
        <v>481</v>
      </c>
      <c r="E3208" s="159">
        <v>12</v>
      </c>
      <c r="F3208" s="159" t="s">
        <v>5667</v>
      </c>
      <c r="G3208" s="159" t="s">
        <v>12275</v>
      </c>
    </row>
    <row r="3209" spans="1:7" ht="15.75" customHeight="1">
      <c r="A3209" s="159" t="s">
        <v>9275</v>
      </c>
      <c r="B3209" s="159" t="s">
        <v>9996</v>
      </c>
      <c r="C3209" s="159" t="s">
        <v>12276</v>
      </c>
      <c r="D3209" s="159" t="s">
        <v>481</v>
      </c>
      <c r="E3209" s="159">
        <v>12</v>
      </c>
      <c r="F3209" s="159" t="s">
        <v>5667</v>
      </c>
      <c r="G3209" s="159" t="s">
        <v>12277</v>
      </c>
    </row>
    <row r="3210" spans="1:7" ht="15.75" customHeight="1">
      <c r="A3210" s="159" t="s">
        <v>9275</v>
      </c>
      <c r="B3210" s="159" t="s">
        <v>9996</v>
      </c>
      <c r="C3210" s="159" t="s">
        <v>12278</v>
      </c>
      <c r="D3210" s="159" t="s">
        <v>481</v>
      </c>
      <c r="E3210" s="159">
        <v>12</v>
      </c>
      <c r="F3210" s="159" t="s">
        <v>5667</v>
      </c>
      <c r="G3210" s="159" t="s">
        <v>12279</v>
      </c>
    </row>
    <row r="3211" spans="1:7" ht="15.75" customHeight="1">
      <c r="A3211" s="159" t="s">
        <v>9275</v>
      </c>
      <c r="B3211" s="159" t="s">
        <v>9996</v>
      </c>
      <c r="C3211" s="159" t="s">
        <v>12280</v>
      </c>
      <c r="D3211" s="159" t="s">
        <v>481</v>
      </c>
      <c r="E3211" s="159">
        <v>12</v>
      </c>
      <c r="F3211" s="159" t="s">
        <v>5667</v>
      </c>
      <c r="G3211" s="159" t="s">
        <v>12281</v>
      </c>
    </row>
    <row r="3212" spans="1:7" ht="15.75" customHeight="1">
      <c r="A3212" s="159" t="s">
        <v>9275</v>
      </c>
      <c r="B3212" s="159" t="s">
        <v>9996</v>
      </c>
      <c r="C3212" s="159" t="s">
        <v>12282</v>
      </c>
      <c r="D3212" s="159" t="s">
        <v>481</v>
      </c>
      <c r="E3212" s="159">
        <v>12</v>
      </c>
      <c r="F3212" s="159" t="s">
        <v>5667</v>
      </c>
      <c r="G3212" s="159" t="s">
        <v>12283</v>
      </c>
    </row>
    <row r="3213" spans="1:7" ht="15.75" customHeight="1">
      <c r="A3213" s="159" t="s">
        <v>9275</v>
      </c>
      <c r="B3213" s="159" t="s">
        <v>9996</v>
      </c>
      <c r="C3213" s="159" t="s">
        <v>12284</v>
      </c>
      <c r="D3213" s="159" t="s">
        <v>481</v>
      </c>
      <c r="E3213" s="159">
        <v>12</v>
      </c>
      <c r="F3213" s="159" t="s">
        <v>5667</v>
      </c>
      <c r="G3213" s="159" t="s">
        <v>12285</v>
      </c>
    </row>
    <row r="3214" spans="1:7" ht="15.75" customHeight="1">
      <c r="A3214" s="159" t="s">
        <v>9275</v>
      </c>
      <c r="B3214" s="159" t="s">
        <v>9996</v>
      </c>
      <c r="C3214" s="159" t="s">
        <v>12286</v>
      </c>
      <c r="D3214" s="159" t="s">
        <v>3893</v>
      </c>
      <c r="E3214" s="159">
        <v>65535</v>
      </c>
      <c r="F3214" s="159" t="s">
        <v>5667</v>
      </c>
      <c r="G3214" s="159" t="s">
        <v>12287</v>
      </c>
    </row>
    <row r="3215" spans="1:7" ht="15.75" customHeight="1">
      <c r="A3215" s="159" t="s">
        <v>9275</v>
      </c>
      <c r="B3215" s="159" t="s">
        <v>9998</v>
      </c>
      <c r="C3215" s="159" t="s">
        <v>10287</v>
      </c>
      <c r="D3215" s="159" t="s">
        <v>484</v>
      </c>
      <c r="E3215" s="159">
        <v>10</v>
      </c>
      <c r="F3215" s="159" t="s">
        <v>5665</v>
      </c>
      <c r="G3215" s="159" t="s">
        <v>10237</v>
      </c>
    </row>
    <row r="3216" spans="1:7" ht="15.75" customHeight="1">
      <c r="A3216" s="159" t="s">
        <v>9275</v>
      </c>
      <c r="B3216" s="159" t="s">
        <v>9998</v>
      </c>
      <c r="C3216" s="159" t="s">
        <v>5678</v>
      </c>
      <c r="D3216" s="159" t="s">
        <v>484</v>
      </c>
      <c r="E3216" s="159">
        <v>10</v>
      </c>
      <c r="F3216" s="159" t="s">
        <v>5665</v>
      </c>
      <c r="G3216" s="159" t="s">
        <v>10877</v>
      </c>
    </row>
    <row r="3217" spans="1:7" ht="15.75" customHeight="1">
      <c r="A3217" s="159" t="s">
        <v>9275</v>
      </c>
      <c r="B3217" s="159" t="s">
        <v>9998</v>
      </c>
      <c r="C3217" s="159" t="s">
        <v>12693</v>
      </c>
      <c r="D3217" s="159" t="s">
        <v>481</v>
      </c>
      <c r="E3217" s="159">
        <v>20</v>
      </c>
      <c r="F3217" s="159" t="s">
        <v>5667</v>
      </c>
      <c r="G3217" s="159" t="s">
        <v>12694</v>
      </c>
    </row>
    <row r="3218" spans="1:7" ht="15.75" customHeight="1">
      <c r="A3218" s="159" t="s">
        <v>9275</v>
      </c>
      <c r="B3218" s="159" t="s">
        <v>9998</v>
      </c>
      <c r="C3218" s="159" t="s">
        <v>12695</v>
      </c>
      <c r="D3218" s="159" t="s">
        <v>481</v>
      </c>
      <c r="E3218" s="159">
        <v>20</v>
      </c>
      <c r="F3218" s="159" t="s">
        <v>5667</v>
      </c>
      <c r="G3218" s="159" t="s">
        <v>12696</v>
      </c>
    </row>
    <row r="3219" spans="1:7" ht="15.75" customHeight="1">
      <c r="A3219" s="159" t="s">
        <v>9275</v>
      </c>
      <c r="B3219" s="159" t="s">
        <v>9998</v>
      </c>
      <c r="C3219" s="159" t="s">
        <v>12675</v>
      </c>
      <c r="D3219" s="159" t="s">
        <v>481</v>
      </c>
      <c r="E3219" s="159">
        <v>20</v>
      </c>
      <c r="F3219" s="159" t="s">
        <v>5667</v>
      </c>
      <c r="G3219" s="159" t="s">
        <v>12676</v>
      </c>
    </row>
    <row r="3220" spans="1:7" ht="15.75" customHeight="1">
      <c r="A3220" s="159" t="s">
        <v>9275</v>
      </c>
      <c r="B3220" s="159" t="s">
        <v>9998</v>
      </c>
      <c r="C3220" s="159" t="s">
        <v>12697</v>
      </c>
      <c r="D3220" s="159" t="s">
        <v>481</v>
      </c>
      <c r="E3220" s="159">
        <v>20</v>
      </c>
      <c r="F3220" s="159" t="s">
        <v>5667</v>
      </c>
      <c r="G3220" s="159" t="s">
        <v>12698</v>
      </c>
    </row>
    <row r="3221" spans="1:7" ht="15.75" customHeight="1">
      <c r="A3221" s="159" t="s">
        <v>9275</v>
      </c>
      <c r="B3221" s="159" t="s">
        <v>9998</v>
      </c>
      <c r="C3221" s="159" t="s">
        <v>12699</v>
      </c>
      <c r="D3221" s="159" t="s">
        <v>481</v>
      </c>
      <c r="E3221" s="159">
        <v>20</v>
      </c>
      <c r="F3221" s="159" t="s">
        <v>5667</v>
      </c>
      <c r="G3221" s="159" t="s">
        <v>12700</v>
      </c>
    </row>
    <row r="3222" spans="1:7" ht="15.75" customHeight="1">
      <c r="A3222" s="159" t="s">
        <v>9275</v>
      </c>
      <c r="B3222" s="159" t="s">
        <v>9998</v>
      </c>
      <c r="C3222" s="159" t="s">
        <v>12701</v>
      </c>
      <c r="D3222" s="159" t="s">
        <v>481</v>
      </c>
      <c r="E3222" s="159">
        <v>20</v>
      </c>
      <c r="F3222" s="159" t="s">
        <v>5667</v>
      </c>
      <c r="G3222" s="159" t="s">
        <v>12702</v>
      </c>
    </row>
    <row r="3223" spans="1:7" ht="15.75" customHeight="1">
      <c r="A3223" s="159" t="s">
        <v>9275</v>
      </c>
      <c r="B3223" s="159" t="s">
        <v>9998</v>
      </c>
      <c r="C3223" s="159" t="s">
        <v>12703</v>
      </c>
      <c r="D3223" s="159" t="s">
        <v>481</v>
      </c>
      <c r="E3223" s="159">
        <v>20</v>
      </c>
      <c r="F3223" s="159" t="s">
        <v>5667</v>
      </c>
      <c r="G3223" s="159" t="s">
        <v>12704</v>
      </c>
    </row>
    <row r="3224" spans="1:7" ht="15.75" customHeight="1">
      <c r="A3224" s="159" t="s">
        <v>9275</v>
      </c>
      <c r="B3224" s="159" t="s">
        <v>9998</v>
      </c>
      <c r="C3224" s="159" t="s">
        <v>12705</v>
      </c>
      <c r="D3224" s="159" t="s">
        <v>481</v>
      </c>
      <c r="E3224" s="159">
        <v>20</v>
      </c>
      <c r="F3224" s="159" t="s">
        <v>5667</v>
      </c>
      <c r="G3224" s="159" t="s">
        <v>12706</v>
      </c>
    </row>
    <row r="3225" spans="1:7" ht="15.75" customHeight="1">
      <c r="A3225" s="159" t="s">
        <v>9275</v>
      </c>
      <c r="B3225" s="159" t="s">
        <v>9998</v>
      </c>
      <c r="C3225" s="159" t="s">
        <v>12175</v>
      </c>
      <c r="D3225" s="159" t="s">
        <v>481</v>
      </c>
      <c r="E3225" s="159">
        <v>20</v>
      </c>
      <c r="F3225" s="159" t="s">
        <v>5667</v>
      </c>
      <c r="G3225" s="159" t="s">
        <v>12176</v>
      </c>
    </row>
    <row r="3226" spans="1:7" ht="15.75" customHeight="1">
      <c r="A3226" s="159" t="s">
        <v>9275</v>
      </c>
      <c r="B3226" s="159" t="s">
        <v>9998</v>
      </c>
      <c r="C3226" s="159" t="s">
        <v>12173</v>
      </c>
      <c r="D3226" s="159" t="s">
        <v>481</v>
      </c>
      <c r="E3226" s="159">
        <v>20</v>
      </c>
      <c r="F3226" s="159" t="s">
        <v>5667</v>
      </c>
      <c r="G3226" s="159" t="s">
        <v>12174</v>
      </c>
    </row>
    <row r="3227" spans="1:7" ht="15.75" customHeight="1">
      <c r="A3227" s="159" t="s">
        <v>9275</v>
      </c>
      <c r="B3227" s="159" t="s">
        <v>9998</v>
      </c>
      <c r="C3227" s="159" t="s">
        <v>5806</v>
      </c>
      <c r="D3227" s="159" t="s">
        <v>481</v>
      </c>
      <c r="E3227" s="159">
        <v>20</v>
      </c>
      <c r="F3227" s="159" t="s">
        <v>5667</v>
      </c>
      <c r="G3227" s="159" t="s">
        <v>12707</v>
      </c>
    </row>
    <row r="3228" spans="1:7" ht="15.75" customHeight="1">
      <c r="A3228" s="159" t="s">
        <v>9275</v>
      </c>
      <c r="B3228" s="159" t="s">
        <v>9998</v>
      </c>
      <c r="C3228" s="159" t="s">
        <v>12708</v>
      </c>
      <c r="D3228" s="159" t="s">
        <v>481</v>
      </c>
      <c r="E3228" s="159">
        <v>20</v>
      </c>
      <c r="F3228" s="159" t="s">
        <v>5667</v>
      </c>
      <c r="G3228" s="159" t="s">
        <v>12709</v>
      </c>
    </row>
    <row r="3229" spans="1:7" ht="15.75" customHeight="1">
      <c r="A3229" s="159" t="s">
        <v>9275</v>
      </c>
      <c r="B3229" s="159" t="s">
        <v>9998</v>
      </c>
      <c r="C3229" s="159" t="s">
        <v>12710</v>
      </c>
      <c r="D3229" s="159" t="s">
        <v>481</v>
      </c>
      <c r="E3229" s="159">
        <v>20</v>
      </c>
      <c r="F3229" s="159" t="s">
        <v>5667</v>
      </c>
      <c r="G3229" s="159" t="s">
        <v>12711</v>
      </c>
    </row>
    <row r="3230" spans="1:7" ht="15.75" customHeight="1">
      <c r="A3230" s="159" t="s">
        <v>9275</v>
      </c>
      <c r="B3230" s="159" t="s">
        <v>9998</v>
      </c>
      <c r="C3230" s="159" t="s">
        <v>12503</v>
      </c>
      <c r="D3230" s="159" t="s">
        <v>481</v>
      </c>
      <c r="E3230" s="159">
        <v>20</v>
      </c>
      <c r="F3230" s="159" t="s">
        <v>5667</v>
      </c>
      <c r="G3230" s="159" t="s">
        <v>12504</v>
      </c>
    </row>
    <row r="3231" spans="1:7" ht="15.75" customHeight="1">
      <c r="A3231" s="159" t="s">
        <v>9275</v>
      </c>
      <c r="B3231" s="159" t="s">
        <v>9998</v>
      </c>
      <c r="C3231" s="159" t="s">
        <v>12543</v>
      </c>
      <c r="D3231" s="159" t="s">
        <v>481</v>
      </c>
      <c r="E3231" s="159">
        <v>20</v>
      </c>
      <c r="F3231" s="159" t="s">
        <v>5667</v>
      </c>
      <c r="G3231" s="159" t="s">
        <v>12544</v>
      </c>
    </row>
    <row r="3232" spans="1:7" ht="15.75" customHeight="1">
      <c r="A3232" s="159" t="s">
        <v>9275</v>
      </c>
      <c r="B3232" s="159" t="s">
        <v>9998</v>
      </c>
      <c r="C3232" s="159" t="s">
        <v>12677</v>
      </c>
      <c r="D3232" s="159" t="s">
        <v>481</v>
      </c>
      <c r="E3232" s="159">
        <v>20</v>
      </c>
      <c r="F3232" s="159" t="s">
        <v>5667</v>
      </c>
      <c r="G3232" s="159" t="s">
        <v>12678</v>
      </c>
    </row>
    <row r="3233" spans="1:7" ht="15.75" customHeight="1">
      <c r="A3233" s="159" t="s">
        <v>9275</v>
      </c>
      <c r="B3233" s="159" t="s">
        <v>9998</v>
      </c>
      <c r="C3233" s="159" t="s">
        <v>12712</v>
      </c>
      <c r="D3233" s="159" t="s">
        <v>481</v>
      </c>
      <c r="E3233" s="159">
        <v>20</v>
      </c>
      <c r="F3233" s="159" t="s">
        <v>5667</v>
      </c>
      <c r="G3233" s="159" t="s">
        <v>12713</v>
      </c>
    </row>
    <row r="3234" spans="1:7" ht="15.75" customHeight="1">
      <c r="A3234" s="159" t="s">
        <v>9275</v>
      </c>
      <c r="B3234" s="159" t="s">
        <v>9998</v>
      </c>
      <c r="C3234" s="159" t="s">
        <v>12714</v>
      </c>
      <c r="D3234" s="159" t="s">
        <v>481</v>
      </c>
      <c r="E3234" s="159">
        <v>20</v>
      </c>
      <c r="F3234" s="159" t="s">
        <v>5667</v>
      </c>
      <c r="G3234" s="159" t="s">
        <v>12715</v>
      </c>
    </row>
    <row r="3235" spans="1:7" ht="15.75" customHeight="1">
      <c r="A3235" s="159" t="s">
        <v>9275</v>
      </c>
      <c r="B3235" s="159" t="s">
        <v>9998</v>
      </c>
      <c r="C3235" s="159" t="s">
        <v>12716</v>
      </c>
      <c r="D3235" s="159" t="s">
        <v>484</v>
      </c>
      <c r="E3235" s="159">
        <v>10</v>
      </c>
      <c r="F3235" s="159" t="s">
        <v>5667</v>
      </c>
      <c r="G3235" s="159" t="s">
        <v>12717</v>
      </c>
    </row>
    <row r="3236" spans="1:7" ht="15.75" customHeight="1">
      <c r="A3236" s="159" t="s">
        <v>9275</v>
      </c>
      <c r="B3236" s="159" t="s">
        <v>9998</v>
      </c>
      <c r="C3236" s="159" t="s">
        <v>10875</v>
      </c>
      <c r="D3236" s="159" t="s">
        <v>3893</v>
      </c>
      <c r="E3236" s="159">
        <v>65535</v>
      </c>
      <c r="F3236" s="159" t="s">
        <v>5667</v>
      </c>
      <c r="G3236" s="159" t="s">
        <v>12227</v>
      </c>
    </row>
    <row r="3237" spans="1:7" ht="15.75" customHeight="1">
      <c r="A3237" s="159" t="s">
        <v>9275</v>
      </c>
      <c r="B3237" s="159" t="s">
        <v>9998</v>
      </c>
      <c r="C3237" s="159" t="s">
        <v>12299</v>
      </c>
      <c r="D3237" s="159" t="s">
        <v>477</v>
      </c>
      <c r="E3237" s="159">
        <v>12</v>
      </c>
      <c r="F3237" s="159" t="s">
        <v>5667</v>
      </c>
      <c r="G3237" s="159" t="s">
        <v>12300</v>
      </c>
    </row>
    <row r="3238" spans="1:7" ht="15.75" customHeight="1">
      <c r="A3238" s="159" t="s">
        <v>9275</v>
      </c>
      <c r="B3238" s="159" t="s">
        <v>9998</v>
      </c>
      <c r="C3238" s="159" t="s">
        <v>12307</v>
      </c>
      <c r="D3238" s="159" t="s">
        <v>477</v>
      </c>
      <c r="E3238" s="159">
        <v>12</v>
      </c>
      <c r="F3238" s="159" t="s">
        <v>5667</v>
      </c>
      <c r="G3238" s="159" t="s">
        <v>12308</v>
      </c>
    </row>
    <row r="3239" spans="1:7" ht="15.75" customHeight="1">
      <c r="A3239" s="159" t="s">
        <v>9275</v>
      </c>
      <c r="B3239" s="159" t="s">
        <v>9998</v>
      </c>
      <c r="C3239" s="159" t="s">
        <v>12718</v>
      </c>
      <c r="D3239" s="159" t="s">
        <v>477</v>
      </c>
      <c r="E3239" s="159">
        <v>128</v>
      </c>
      <c r="F3239" s="159" t="s">
        <v>5667</v>
      </c>
      <c r="G3239" s="159" t="s">
        <v>12719</v>
      </c>
    </row>
    <row r="3240" spans="1:7" ht="15.75" customHeight="1">
      <c r="A3240" s="159" t="s">
        <v>9275</v>
      </c>
      <c r="B3240" s="159" t="s">
        <v>9998</v>
      </c>
      <c r="C3240" s="159" t="s">
        <v>2078</v>
      </c>
      <c r="D3240" s="159" t="s">
        <v>477</v>
      </c>
      <c r="E3240" s="159">
        <v>128</v>
      </c>
      <c r="F3240" s="159" t="s">
        <v>5667</v>
      </c>
      <c r="G3240" s="159" t="s">
        <v>10333</v>
      </c>
    </row>
    <row r="3241" spans="1:7" ht="15.75" customHeight="1">
      <c r="A3241" s="159" t="s">
        <v>9275</v>
      </c>
      <c r="B3241" s="159" t="s">
        <v>9998</v>
      </c>
      <c r="C3241" s="159" t="s">
        <v>12720</v>
      </c>
      <c r="D3241" s="159" t="s">
        <v>477</v>
      </c>
      <c r="E3241" s="159">
        <v>32</v>
      </c>
      <c r="F3241" s="159" t="s">
        <v>5667</v>
      </c>
      <c r="G3241" s="159" t="s">
        <v>12721</v>
      </c>
    </row>
    <row r="3242" spans="1:7" ht="15.75" customHeight="1">
      <c r="A3242" s="159" t="s">
        <v>9275</v>
      </c>
      <c r="B3242" s="159" t="s">
        <v>9998</v>
      </c>
      <c r="C3242" s="159" t="s">
        <v>12722</v>
      </c>
      <c r="D3242" s="159" t="s">
        <v>477</v>
      </c>
      <c r="E3242" s="159">
        <v>32</v>
      </c>
      <c r="F3242" s="159" t="s">
        <v>5667</v>
      </c>
      <c r="G3242" s="159" t="s">
        <v>12723</v>
      </c>
    </row>
    <row r="3243" spans="1:7" ht="15.75" customHeight="1">
      <c r="A3243" s="159" t="s">
        <v>9275</v>
      </c>
      <c r="B3243" s="159" t="s">
        <v>9998</v>
      </c>
      <c r="C3243" s="159" t="s">
        <v>12724</v>
      </c>
      <c r="D3243" s="159" t="s">
        <v>477</v>
      </c>
      <c r="E3243" s="159">
        <v>32</v>
      </c>
      <c r="F3243" s="159" t="s">
        <v>5667</v>
      </c>
      <c r="G3243" s="159" t="s">
        <v>12725</v>
      </c>
    </row>
    <row r="3244" spans="1:7" ht="15.75" customHeight="1">
      <c r="A3244" s="159" t="s">
        <v>9275</v>
      </c>
      <c r="B3244" s="159" t="s">
        <v>9998</v>
      </c>
      <c r="C3244" s="159" t="s">
        <v>12726</v>
      </c>
      <c r="D3244" s="159" t="s">
        <v>477</v>
      </c>
      <c r="E3244" s="159">
        <v>32</v>
      </c>
      <c r="F3244" s="159" t="s">
        <v>5667</v>
      </c>
      <c r="G3244" s="159" t="s">
        <v>12727</v>
      </c>
    </row>
    <row r="3245" spans="1:7" ht="15.75" customHeight="1">
      <c r="A3245" s="159" t="s">
        <v>9275</v>
      </c>
      <c r="B3245" s="159" t="s">
        <v>9998</v>
      </c>
      <c r="C3245" s="159" t="s">
        <v>12293</v>
      </c>
      <c r="D3245" s="159" t="s">
        <v>477</v>
      </c>
      <c r="E3245" s="159">
        <v>100</v>
      </c>
      <c r="F3245" s="159" t="s">
        <v>5667</v>
      </c>
      <c r="G3245" s="159" t="s">
        <v>12294</v>
      </c>
    </row>
    <row r="3246" spans="1:7" ht="15.75" customHeight="1">
      <c r="A3246" s="159" t="s">
        <v>9275</v>
      </c>
      <c r="B3246" s="159" t="s">
        <v>9998</v>
      </c>
      <c r="C3246" s="159" t="s">
        <v>12728</v>
      </c>
      <c r="D3246" s="159" t="s">
        <v>477</v>
      </c>
      <c r="E3246" s="159">
        <v>32</v>
      </c>
      <c r="F3246" s="159" t="s">
        <v>5667</v>
      </c>
      <c r="G3246" s="159" t="s">
        <v>12729</v>
      </c>
    </row>
    <row r="3247" spans="1:7" ht="15.75" customHeight="1">
      <c r="A3247" s="159" t="s">
        <v>9275</v>
      </c>
      <c r="B3247" s="159" t="s">
        <v>9998</v>
      </c>
      <c r="C3247" s="159" t="s">
        <v>12730</v>
      </c>
      <c r="D3247" s="159" t="s">
        <v>477</v>
      </c>
      <c r="E3247" s="159">
        <v>32</v>
      </c>
      <c r="F3247" s="159" t="s">
        <v>5667</v>
      </c>
      <c r="G3247" s="159" t="s">
        <v>12731</v>
      </c>
    </row>
    <row r="3248" spans="1:7" ht="15.75" customHeight="1">
      <c r="A3248" s="159" t="s">
        <v>9275</v>
      </c>
      <c r="B3248" s="159" t="s">
        <v>9998</v>
      </c>
      <c r="C3248" s="159" t="s">
        <v>12732</v>
      </c>
      <c r="D3248" s="159" t="s">
        <v>477</v>
      </c>
      <c r="E3248" s="159">
        <v>32</v>
      </c>
      <c r="F3248" s="159" t="s">
        <v>5667</v>
      </c>
      <c r="G3248" s="159" t="s">
        <v>12733</v>
      </c>
    </row>
    <row r="3249" spans="1:7" ht="15.75" customHeight="1">
      <c r="A3249" s="159" t="s">
        <v>9275</v>
      </c>
      <c r="B3249" s="159" t="s">
        <v>9998</v>
      </c>
      <c r="C3249" s="159" t="s">
        <v>12305</v>
      </c>
      <c r="D3249" s="159" t="s">
        <v>477</v>
      </c>
      <c r="E3249" s="159">
        <v>128</v>
      </c>
      <c r="F3249" s="159" t="s">
        <v>5667</v>
      </c>
      <c r="G3249" s="159" t="s">
        <v>12306</v>
      </c>
    </row>
    <row r="3250" spans="1:7" ht="15.75" customHeight="1">
      <c r="A3250" s="159" t="s">
        <v>9275</v>
      </c>
      <c r="B3250" s="159" t="s">
        <v>9998</v>
      </c>
      <c r="C3250" s="159" t="s">
        <v>12734</v>
      </c>
      <c r="D3250" s="159" t="s">
        <v>477</v>
      </c>
      <c r="E3250" s="159">
        <v>255</v>
      </c>
      <c r="F3250" s="159" t="s">
        <v>5667</v>
      </c>
      <c r="G3250" s="159" t="s">
        <v>12735</v>
      </c>
    </row>
    <row r="3251" spans="1:7" ht="15.75" customHeight="1">
      <c r="A3251" s="159" t="s">
        <v>9275</v>
      </c>
      <c r="B3251" s="159" t="s">
        <v>9998</v>
      </c>
      <c r="C3251" s="159" t="s">
        <v>12736</v>
      </c>
      <c r="D3251" s="159" t="s">
        <v>477</v>
      </c>
      <c r="E3251" s="159">
        <v>255</v>
      </c>
      <c r="F3251" s="159" t="s">
        <v>5667</v>
      </c>
      <c r="G3251" s="159" t="s">
        <v>12737</v>
      </c>
    </row>
    <row r="3252" spans="1:7" ht="15.75" customHeight="1">
      <c r="A3252" s="159" t="s">
        <v>9275</v>
      </c>
      <c r="B3252" s="159" t="s">
        <v>9998</v>
      </c>
      <c r="C3252" s="159" t="s">
        <v>12738</v>
      </c>
      <c r="D3252" s="159" t="s">
        <v>477</v>
      </c>
      <c r="E3252" s="159">
        <v>32</v>
      </c>
      <c r="F3252" s="159" t="s">
        <v>5667</v>
      </c>
      <c r="G3252" s="159" t="s">
        <v>12739</v>
      </c>
    </row>
    <row r="3253" spans="1:7" ht="15.75" customHeight="1">
      <c r="A3253" s="159" t="s">
        <v>9275</v>
      </c>
      <c r="B3253" s="159" t="s">
        <v>9998</v>
      </c>
      <c r="C3253" s="159" t="s">
        <v>12297</v>
      </c>
      <c r="D3253" s="159" t="s">
        <v>477</v>
      </c>
      <c r="E3253" s="159">
        <v>128</v>
      </c>
      <c r="F3253" s="159" t="s">
        <v>5667</v>
      </c>
      <c r="G3253" s="159" t="s">
        <v>12298</v>
      </c>
    </row>
    <row r="3254" spans="1:7" ht="15.75" customHeight="1">
      <c r="A3254" s="159" t="s">
        <v>9275</v>
      </c>
      <c r="B3254" s="159" t="s">
        <v>9998</v>
      </c>
      <c r="C3254" s="159" t="s">
        <v>12289</v>
      </c>
      <c r="D3254" s="159" t="s">
        <v>477</v>
      </c>
      <c r="E3254" s="159">
        <v>32</v>
      </c>
      <c r="F3254" s="159" t="s">
        <v>5667</v>
      </c>
      <c r="G3254" s="159" t="s">
        <v>12290</v>
      </c>
    </row>
    <row r="3255" spans="1:7" ht="15.75" customHeight="1">
      <c r="A3255" s="159" t="s">
        <v>9275</v>
      </c>
      <c r="B3255" s="159" t="s">
        <v>9998</v>
      </c>
      <c r="C3255" s="159" t="s">
        <v>12309</v>
      </c>
      <c r="D3255" s="159" t="s">
        <v>477</v>
      </c>
      <c r="E3255" s="159">
        <v>32</v>
      </c>
      <c r="F3255" s="159" t="s">
        <v>5667</v>
      </c>
      <c r="G3255" s="159" t="s">
        <v>12310</v>
      </c>
    </row>
    <row r="3256" spans="1:7" ht="15.75" customHeight="1">
      <c r="A3256" s="159" t="s">
        <v>9275</v>
      </c>
      <c r="B3256" s="159" t="s">
        <v>9998</v>
      </c>
      <c r="C3256" s="159" t="s">
        <v>12301</v>
      </c>
      <c r="D3256" s="159" t="s">
        <v>477</v>
      </c>
      <c r="E3256" s="159">
        <v>4</v>
      </c>
      <c r="F3256" s="159" t="s">
        <v>5667</v>
      </c>
      <c r="G3256" s="159" t="s">
        <v>12302</v>
      </c>
    </row>
    <row r="3257" spans="1:7" ht="15.75" customHeight="1">
      <c r="A3257" s="159" t="s">
        <v>9275</v>
      </c>
      <c r="B3257" s="159" t="s">
        <v>9998</v>
      </c>
      <c r="C3257" s="159" t="s">
        <v>12740</v>
      </c>
      <c r="D3257" s="159" t="s">
        <v>477</v>
      </c>
      <c r="E3257" s="159">
        <v>4</v>
      </c>
      <c r="F3257" s="159" t="s">
        <v>5667</v>
      </c>
      <c r="G3257" s="159" t="s">
        <v>12741</v>
      </c>
    </row>
    <row r="3258" spans="1:7" ht="15.75" customHeight="1">
      <c r="A3258" s="159" t="s">
        <v>9275</v>
      </c>
      <c r="B3258" s="159" t="s">
        <v>9998</v>
      </c>
      <c r="C3258" s="159" t="s">
        <v>12742</v>
      </c>
      <c r="D3258" s="159" t="s">
        <v>477</v>
      </c>
      <c r="E3258" s="159">
        <v>32</v>
      </c>
      <c r="F3258" s="159" t="s">
        <v>5667</v>
      </c>
      <c r="G3258" s="159" t="s">
        <v>12743</v>
      </c>
    </row>
    <row r="3259" spans="1:7" ht="15.75" customHeight="1">
      <c r="A3259" s="159" t="s">
        <v>9275</v>
      </c>
      <c r="B3259" s="159" t="s">
        <v>9998</v>
      </c>
      <c r="C3259" s="159" t="s">
        <v>1431</v>
      </c>
      <c r="D3259" s="159" t="s">
        <v>477</v>
      </c>
      <c r="E3259" s="159">
        <v>32</v>
      </c>
      <c r="F3259" s="159" t="s">
        <v>5667</v>
      </c>
      <c r="G3259" s="159" t="s">
        <v>12744</v>
      </c>
    </row>
    <row r="3260" spans="1:7" ht="15.75" customHeight="1">
      <c r="A3260" s="159" t="s">
        <v>9275</v>
      </c>
      <c r="B3260" s="159" t="s">
        <v>9998</v>
      </c>
      <c r="C3260" s="159" t="s">
        <v>12745</v>
      </c>
      <c r="D3260" s="159" t="s">
        <v>477</v>
      </c>
      <c r="E3260" s="159">
        <v>32</v>
      </c>
      <c r="F3260" s="159" t="s">
        <v>5667</v>
      </c>
      <c r="G3260" s="159" t="s">
        <v>12746</v>
      </c>
    </row>
    <row r="3261" spans="1:7" ht="15.75" customHeight="1">
      <c r="A3261" s="159" t="s">
        <v>9275</v>
      </c>
      <c r="B3261" s="159" t="s">
        <v>9998</v>
      </c>
      <c r="C3261" s="159" t="s">
        <v>12747</v>
      </c>
      <c r="D3261" s="159" t="s">
        <v>477</v>
      </c>
      <c r="E3261" s="159">
        <v>32</v>
      </c>
      <c r="F3261" s="159" t="s">
        <v>5667</v>
      </c>
      <c r="G3261" s="159" t="s">
        <v>12748</v>
      </c>
    </row>
    <row r="3262" spans="1:7" ht="15.75" customHeight="1">
      <c r="A3262" s="159" t="s">
        <v>9275</v>
      </c>
      <c r="B3262" s="159" t="s">
        <v>9998</v>
      </c>
      <c r="C3262" s="159" t="s">
        <v>12311</v>
      </c>
      <c r="D3262" s="159" t="s">
        <v>477</v>
      </c>
      <c r="E3262" s="159">
        <v>32</v>
      </c>
      <c r="F3262" s="159" t="s">
        <v>5667</v>
      </c>
      <c r="G3262" s="159" t="s">
        <v>12312</v>
      </c>
    </row>
    <row r="3263" spans="1:7" ht="15.75" customHeight="1">
      <c r="A3263" s="159" t="s">
        <v>9275</v>
      </c>
      <c r="B3263" s="159" t="s">
        <v>9998</v>
      </c>
      <c r="C3263" s="159" t="s">
        <v>12749</v>
      </c>
      <c r="D3263" s="159" t="s">
        <v>477</v>
      </c>
      <c r="E3263" s="159">
        <v>32</v>
      </c>
      <c r="F3263" s="159" t="s">
        <v>5667</v>
      </c>
      <c r="G3263" s="159" t="s">
        <v>12750</v>
      </c>
    </row>
    <row r="3264" spans="1:7" ht="15.75" customHeight="1">
      <c r="A3264" s="159" t="s">
        <v>9275</v>
      </c>
      <c r="B3264" s="159" t="s">
        <v>9998</v>
      </c>
      <c r="C3264" s="159" t="s">
        <v>12751</v>
      </c>
      <c r="D3264" s="159" t="s">
        <v>477</v>
      </c>
      <c r="E3264" s="159">
        <v>32</v>
      </c>
      <c r="F3264" s="159" t="s">
        <v>5667</v>
      </c>
      <c r="G3264" s="159" t="s">
        <v>12752</v>
      </c>
    </row>
    <row r="3265" spans="1:7" ht="15.75" customHeight="1">
      <c r="A3265" s="159" t="s">
        <v>9275</v>
      </c>
      <c r="B3265" s="159" t="s">
        <v>9998</v>
      </c>
      <c r="C3265" s="159" t="s">
        <v>12291</v>
      </c>
      <c r="D3265" s="159" t="s">
        <v>477</v>
      </c>
      <c r="E3265" s="159">
        <v>128</v>
      </c>
      <c r="F3265" s="159" t="s">
        <v>5667</v>
      </c>
      <c r="G3265" s="159"/>
    </row>
    <row r="3266" spans="1:7" ht="15.75" customHeight="1">
      <c r="A3266" s="159" t="s">
        <v>9275</v>
      </c>
      <c r="B3266" s="159" t="s">
        <v>9998</v>
      </c>
      <c r="C3266" s="159" t="s">
        <v>12753</v>
      </c>
      <c r="D3266" s="159" t="s">
        <v>477</v>
      </c>
      <c r="E3266" s="159">
        <v>32</v>
      </c>
      <c r="F3266" s="159" t="s">
        <v>5667</v>
      </c>
      <c r="G3266" s="159" t="s">
        <v>12754</v>
      </c>
    </row>
    <row r="3267" spans="1:7" ht="15.75" customHeight="1">
      <c r="A3267" s="159" t="s">
        <v>9275</v>
      </c>
      <c r="B3267" s="159" t="s">
        <v>9998</v>
      </c>
      <c r="C3267" s="159" t="s">
        <v>12755</v>
      </c>
      <c r="D3267" s="159" t="s">
        <v>477</v>
      </c>
      <c r="E3267" s="159">
        <v>32</v>
      </c>
      <c r="F3267" s="159" t="s">
        <v>5667</v>
      </c>
      <c r="G3267" s="159" t="s">
        <v>12756</v>
      </c>
    </row>
    <row r="3268" spans="1:7" ht="15.75" customHeight="1">
      <c r="A3268" s="159" t="s">
        <v>9275</v>
      </c>
      <c r="B3268" s="159" t="s">
        <v>9998</v>
      </c>
      <c r="C3268" s="159" t="s">
        <v>11987</v>
      </c>
      <c r="D3268" s="159" t="s">
        <v>3893</v>
      </c>
      <c r="E3268" s="159">
        <v>65535</v>
      </c>
      <c r="F3268" s="159" t="s">
        <v>5667</v>
      </c>
      <c r="G3268" s="159" t="s">
        <v>11988</v>
      </c>
    </row>
    <row r="3269" spans="1:7" ht="15.75" customHeight="1">
      <c r="A3269" s="159" t="s">
        <v>9275</v>
      </c>
      <c r="B3269" s="159" t="s">
        <v>10000</v>
      </c>
      <c r="C3269" s="159" t="s">
        <v>1419</v>
      </c>
      <c r="D3269" s="159" t="s">
        <v>477</v>
      </c>
      <c r="E3269" s="159">
        <v>32</v>
      </c>
      <c r="F3269" s="159" t="s">
        <v>5665</v>
      </c>
      <c r="G3269" s="159" t="s">
        <v>811</v>
      </c>
    </row>
    <row r="3270" spans="1:7" ht="15.75" customHeight="1">
      <c r="A3270" s="159" t="s">
        <v>9275</v>
      </c>
      <c r="B3270" s="159" t="s">
        <v>10000</v>
      </c>
      <c r="C3270" s="159" t="s">
        <v>10916</v>
      </c>
      <c r="D3270" s="159" t="s">
        <v>477</v>
      </c>
      <c r="E3270" s="159">
        <v>128</v>
      </c>
      <c r="F3270" s="159" t="s">
        <v>5665</v>
      </c>
      <c r="G3270" s="159" t="s">
        <v>10917</v>
      </c>
    </row>
    <row r="3271" spans="1:7" ht="15.75" customHeight="1">
      <c r="A3271" s="159" t="s">
        <v>9275</v>
      </c>
      <c r="B3271" s="159" t="s">
        <v>10002</v>
      </c>
      <c r="C3271" s="159" t="s">
        <v>10287</v>
      </c>
      <c r="D3271" s="159" t="s">
        <v>484</v>
      </c>
      <c r="E3271" s="159">
        <v>10</v>
      </c>
      <c r="F3271" s="159" t="s">
        <v>5665</v>
      </c>
      <c r="G3271" s="159" t="s">
        <v>10237</v>
      </c>
    </row>
    <row r="3272" spans="1:7" ht="15.75" customHeight="1">
      <c r="A3272" s="159" t="s">
        <v>9275</v>
      </c>
      <c r="B3272" s="159" t="s">
        <v>10002</v>
      </c>
      <c r="C3272" s="159" t="s">
        <v>5678</v>
      </c>
      <c r="D3272" s="159" t="s">
        <v>484</v>
      </c>
      <c r="E3272" s="159">
        <v>10</v>
      </c>
      <c r="F3272" s="159" t="s">
        <v>5665</v>
      </c>
      <c r="G3272" s="159" t="s">
        <v>10877</v>
      </c>
    </row>
    <row r="3273" spans="1:7" ht="15.75" customHeight="1">
      <c r="A3273" s="159" t="s">
        <v>9275</v>
      </c>
      <c r="B3273" s="159" t="s">
        <v>10002</v>
      </c>
      <c r="C3273" s="159" t="s">
        <v>12453</v>
      </c>
      <c r="D3273" s="159" t="s">
        <v>484</v>
      </c>
      <c r="E3273" s="159">
        <v>10</v>
      </c>
      <c r="F3273" s="159" t="s">
        <v>5667</v>
      </c>
      <c r="G3273" s="159" t="s">
        <v>12454</v>
      </c>
    </row>
    <row r="3274" spans="1:7" ht="15.75" customHeight="1">
      <c r="A3274" s="159" t="s">
        <v>9275</v>
      </c>
      <c r="B3274" s="159" t="s">
        <v>10002</v>
      </c>
      <c r="C3274" s="159" t="s">
        <v>10845</v>
      </c>
      <c r="D3274" s="159" t="s">
        <v>978</v>
      </c>
      <c r="E3274" s="159">
        <v>5</v>
      </c>
      <c r="F3274" s="159" t="s">
        <v>5665</v>
      </c>
      <c r="G3274" s="159" t="s">
        <v>10846</v>
      </c>
    </row>
    <row r="3275" spans="1:7" ht="15.75" customHeight="1">
      <c r="A3275" s="159" t="s">
        <v>9275</v>
      </c>
      <c r="B3275" s="159" t="s">
        <v>10002</v>
      </c>
      <c r="C3275" s="159" t="s">
        <v>5668</v>
      </c>
      <c r="D3275" s="159" t="s">
        <v>3893</v>
      </c>
      <c r="E3275" s="159">
        <v>65535</v>
      </c>
      <c r="F3275" s="159" t="s">
        <v>5667</v>
      </c>
      <c r="G3275" s="159" t="s">
        <v>1182</v>
      </c>
    </row>
    <row r="3276" spans="1:7" ht="15.75" customHeight="1">
      <c r="A3276" s="159" t="s">
        <v>9275</v>
      </c>
      <c r="B3276" s="159" t="s">
        <v>10002</v>
      </c>
      <c r="C3276" s="159" t="s">
        <v>1419</v>
      </c>
      <c r="D3276" s="159" t="s">
        <v>477</v>
      </c>
      <c r="E3276" s="159">
        <v>32</v>
      </c>
      <c r="F3276" s="159" t="s">
        <v>5667</v>
      </c>
      <c r="G3276" s="159" t="s">
        <v>811</v>
      </c>
    </row>
    <row r="3277" spans="1:7" ht="15.75" customHeight="1">
      <c r="A3277" s="159" t="s">
        <v>9275</v>
      </c>
      <c r="B3277" s="159" t="s">
        <v>10002</v>
      </c>
      <c r="C3277" s="159" t="s">
        <v>10190</v>
      </c>
      <c r="D3277" s="159" t="s">
        <v>1413</v>
      </c>
      <c r="E3277" s="159"/>
      <c r="F3277" s="159" t="s">
        <v>5665</v>
      </c>
      <c r="G3277" s="159" t="s">
        <v>10281</v>
      </c>
    </row>
    <row r="3278" spans="1:7" ht="15.75" customHeight="1">
      <c r="A3278" s="159" t="s">
        <v>9275</v>
      </c>
      <c r="B3278" s="159" t="s">
        <v>10002</v>
      </c>
      <c r="C3278" s="159" t="s">
        <v>12757</v>
      </c>
      <c r="D3278" s="159" t="s">
        <v>477</v>
      </c>
      <c r="E3278" s="159">
        <v>32</v>
      </c>
      <c r="F3278" s="159" t="s">
        <v>5667</v>
      </c>
      <c r="G3278" s="159" t="s">
        <v>12758</v>
      </c>
    </row>
    <row r="3279" spans="1:7" ht="15.75" customHeight="1">
      <c r="A3279" s="159" t="s">
        <v>9275</v>
      </c>
      <c r="B3279" s="159" t="s">
        <v>10004</v>
      </c>
      <c r="C3279" s="159" t="s">
        <v>1419</v>
      </c>
      <c r="D3279" s="159" t="s">
        <v>477</v>
      </c>
      <c r="E3279" s="159">
        <v>32</v>
      </c>
      <c r="F3279" s="159" t="s">
        <v>5665</v>
      </c>
      <c r="G3279" s="159" t="s">
        <v>811</v>
      </c>
    </row>
    <row r="3280" spans="1:7" ht="15.75" customHeight="1">
      <c r="A3280" s="159" t="s">
        <v>9275</v>
      </c>
      <c r="B3280" s="159" t="s">
        <v>10004</v>
      </c>
      <c r="C3280" s="159" t="s">
        <v>10290</v>
      </c>
      <c r="D3280" s="159" t="s">
        <v>978</v>
      </c>
      <c r="E3280" s="159">
        <v>5</v>
      </c>
      <c r="F3280" s="159" t="s">
        <v>5665</v>
      </c>
      <c r="G3280" s="159" t="s">
        <v>10507</v>
      </c>
    </row>
    <row r="3281" spans="1:7" ht="15.75" customHeight="1">
      <c r="A3281" s="159" t="s">
        <v>9275</v>
      </c>
      <c r="B3281" s="159" t="s">
        <v>10004</v>
      </c>
      <c r="C3281" s="159" t="s">
        <v>10916</v>
      </c>
      <c r="D3281" s="159" t="s">
        <v>477</v>
      </c>
      <c r="E3281" s="159">
        <v>128</v>
      </c>
      <c r="F3281" s="159" t="s">
        <v>5665</v>
      </c>
      <c r="G3281" s="159" t="s">
        <v>10917</v>
      </c>
    </row>
    <row r="3282" spans="1:7" ht="15.75" customHeight="1">
      <c r="A3282" s="159" t="s">
        <v>9275</v>
      </c>
      <c r="B3282" s="159" t="s">
        <v>10006</v>
      </c>
      <c r="C3282" s="159" t="s">
        <v>1419</v>
      </c>
      <c r="D3282" s="159" t="s">
        <v>477</v>
      </c>
      <c r="E3282" s="159">
        <v>32</v>
      </c>
      <c r="F3282" s="159" t="s">
        <v>5665</v>
      </c>
      <c r="G3282" s="159" t="s">
        <v>811</v>
      </c>
    </row>
    <row r="3283" spans="1:7" ht="15.75" customHeight="1">
      <c r="A3283" s="159" t="s">
        <v>9275</v>
      </c>
      <c r="B3283" s="159" t="s">
        <v>10006</v>
      </c>
      <c r="C3283" s="159" t="s">
        <v>5776</v>
      </c>
      <c r="D3283" s="159" t="s">
        <v>477</v>
      </c>
      <c r="E3283" s="159">
        <v>32</v>
      </c>
      <c r="F3283" s="159" t="s">
        <v>5665</v>
      </c>
      <c r="G3283" s="159" t="s">
        <v>10917</v>
      </c>
    </row>
    <row r="3284" spans="1:7" ht="15.75" customHeight="1">
      <c r="A3284" s="159" t="s">
        <v>9275</v>
      </c>
      <c r="B3284" s="159" t="s">
        <v>10006</v>
      </c>
      <c r="C3284" s="159" t="s">
        <v>10892</v>
      </c>
      <c r="D3284" s="159" t="s">
        <v>978</v>
      </c>
      <c r="E3284" s="159">
        <v>5</v>
      </c>
      <c r="F3284" s="159" t="s">
        <v>5665</v>
      </c>
      <c r="G3284" s="159" t="s">
        <v>10893</v>
      </c>
    </row>
    <row r="3285" spans="1:7" ht="15.75" customHeight="1">
      <c r="A3285" s="159" t="s">
        <v>9275</v>
      </c>
      <c r="B3285" s="159" t="s">
        <v>10006</v>
      </c>
      <c r="C3285" s="159" t="s">
        <v>12759</v>
      </c>
      <c r="D3285" s="159" t="s">
        <v>978</v>
      </c>
      <c r="E3285" s="159">
        <v>5</v>
      </c>
      <c r="F3285" s="159" t="s">
        <v>5665</v>
      </c>
      <c r="G3285" s="159" t="s">
        <v>12760</v>
      </c>
    </row>
    <row r="3286" spans="1:7" ht="15.75" customHeight="1">
      <c r="A3286" s="159" t="s">
        <v>9275</v>
      </c>
      <c r="B3286" s="159" t="s">
        <v>10007</v>
      </c>
      <c r="C3286" s="159" t="s">
        <v>3942</v>
      </c>
      <c r="D3286" s="159" t="s">
        <v>484</v>
      </c>
      <c r="E3286" s="159">
        <v>10</v>
      </c>
      <c r="F3286" s="159" t="s">
        <v>5665</v>
      </c>
      <c r="G3286" s="159" t="s">
        <v>12761</v>
      </c>
    </row>
    <row r="3287" spans="1:7" ht="15.75" customHeight="1">
      <c r="A3287" s="159" t="s">
        <v>9275</v>
      </c>
      <c r="B3287" s="159" t="s">
        <v>10007</v>
      </c>
      <c r="C3287" s="159" t="s">
        <v>3635</v>
      </c>
      <c r="D3287" s="159" t="s">
        <v>484</v>
      </c>
      <c r="E3287" s="159">
        <v>10</v>
      </c>
      <c r="F3287" s="159" t="s">
        <v>5665</v>
      </c>
      <c r="G3287" s="159" t="s">
        <v>10722</v>
      </c>
    </row>
    <row r="3288" spans="1:7" ht="15.75" customHeight="1">
      <c r="A3288" s="159" t="s">
        <v>9275</v>
      </c>
      <c r="B3288" s="159" t="s">
        <v>10007</v>
      </c>
      <c r="C3288" s="159" t="s">
        <v>5764</v>
      </c>
      <c r="D3288" s="159" t="s">
        <v>477</v>
      </c>
      <c r="E3288" s="159">
        <v>255</v>
      </c>
      <c r="F3288" s="159" t="s">
        <v>5667</v>
      </c>
      <c r="G3288" s="159" t="s">
        <v>4246</v>
      </c>
    </row>
    <row r="3289" spans="1:7" ht="15.75" customHeight="1">
      <c r="A3289" s="159" t="s">
        <v>9275</v>
      </c>
      <c r="B3289" s="159" t="s">
        <v>10007</v>
      </c>
      <c r="C3289" s="159" t="s">
        <v>5676</v>
      </c>
      <c r="D3289" s="159" t="s">
        <v>477</v>
      </c>
      <c r="E3289" s="159">
        <v>255</v>
      </c>
      <c r="F3289" s="159" t="s">
        <v>5667</v>
      </c>
      <c r="G3289" s="159" t="s">
        <v>5186</v>
      </c>
    </row>
    <row r="3290" spans="1:7" ht="15.75" customHeight="1">
      <c r="A3290" s="159" t="s">
        <v>9275</v>
      </c>
      <c r="B3290" s="159" t="s">
        <v>10007</v>
      </c>
      <c r="C3290" s="159" t="s">
        <v>12350</v>
      </c>
      <c r="D3290" s="159" t="s">
        <v>481</v>
      </c>
      <c r="E3290" s="159">
        <v>12</v>
      </c>
      <c r="F3290" s="159" t="s">
        <v>5667</v>
      </c>
      <c r="G3290" s="159" t="s">
        <v>12762</v>
      </c>
    </row>
    <row r="3291" spans="1:7" ht="15.75" customHeight="1">
      <c r="A3291" s="159" t="s">
        <v>9275</v>
      </c>
      <c r="B3291" s="159" t="s">
        <v>10007</v>
      </c>
      <c r="C3291" s="159" t="s">
        <v>11930</v>
      </c>
      <c r="D3291" s="159" t="s">
        <v>481</v>
      </c>
      <c r="E3291" s="159">
        <v>20</v>
      </c>
      <c r="F3291" s="159" t="s">
        <v>5667</v>
      </c>
      <c r="G3291" s="159" t="s">
        <v>6207</v>
      </c>
    </row>
    <row r="3292" spans="1:7" ht="15.75" customHeight="1">
      <c r="A3292" s="159" t="s">
        <v>9275</v>
      </c>
      <c r="B3292" s="159" t="s">
        <v>10007</v>
      </c>
      <c r="C3292" s="159" t="s">
        <v>8686</v>
      </c>
      <c r="D3292" s="159" t="s">
        <v>484</v>
      </c>
      <c r="E3292" s="159">
        <v>10</v>
      </c>
      <c r="F3292" s="159" t="s">
        <v>5665</v>
      </c>
      <c r="G3292" s="159" t="s">
        <v>7820</v>
      </c>
    </row>
    <row r="3293" spans="1:7" ht="15.75" customHeight="1">
      <c r="A3293" s="159" t="s">
        <v>9275</v>
      </c>
      <c r="B3293" s="159" t="s">
        <v>10007</v>
      </c>
      <c r="C3293" s="159" t="s">
        <v>3965</v>
      </c>
      <c r="D3293" s="159" t="s">
        <v>484</v>
      </c>
      <c r="E3293" s="159">
        <v>10</v>
      </c>
      <c r="F3293" s="159" t="s">
        <v>5665</v>
      </c>
      <c r="G3293" s="159" t="s">
        <v>10462</v>
      </c>
    </row>
    <row r="3294" spans="1:7" ht="15.75" customHeight="1">
      <c r="A3294" s="159" t="s">
        <v>9275</v>
      </c>
      <c r="B3294" s="159" t="s">
        <v>10007</v>
      </c>
      <c r="C3294" s="159" t="s">
        <v>12763</v>
      </c>
      <c r="D3294" s="159" t="s">
        <v>481</v>
      </c>
      <c r="E3294" s="159">
        <v>20</v>
      </c>
      <c r="F3294" s="159" t="s">
        <v>5667</v>
      </c>
      <c r="G3294" s="159" t="s">
        <v>12764</v>
      </c>
    </row>
    <row r="3295" spans="1:7" ht="15.75" customHeight="1">
      <c r="A3295" s="159" t="s">
        <v>9275</v>
      </c>
      <c r="B3295" s="159" t="s">
        <v>10007</v>
      </c>
      <c r="C3295" s="159" t="s">
        <v>3891</v>
      </c>
      <c r="D3295" s="159" t="s">
        <v>978</v>
      </c>
      <c r="E3295" s="159">
        <v>5</v>
      </c>
      <c r="F3295" s="159" t="s">
        <v>5665</v>
      </c>
      <c r="G3295" s="159" t="s">
        <v>12765</v>
      </c>
    </row>
    <row r="3296" spans="1:7" ht="15.75" customHeight="1">
      <c r="A3296" s="159" t="s">
        <v>9275</v>
      </c>
      <c r="B3296" s="159" t="s">
        <v>10007</v>
      </c>
      <c r="C3296" s="159" t="s">
        <v>12766</v>
      </c>
      <c r="D3296" s="159" t="s">
        <v>481</v>
      </c>
      <c r="E3296" s="159">
        <v>20</v>
      </c>
      <c r="F3296" s="159" t="s">
        <v>5667</v>
      </c>
      <c r="G3296" s="159" t="s">
        <v>12767</v>
      </c>
    </row>
    <row r="3297" spans="1:7" ht="15.75" customHeight="1">
      <c r="A3297" s="159" t="s">
        <v>9275</v>
      </c>
      <c r="B3297" s="159" t="s">
        <v>10009</v>
      </c>
      <c r="C3297" s="159" t="s">
        <v>12768</v>
      </c>
      <c r="D3297" s="159" t="s">
        <v>484</v>
      </c>
      <c r="E3297" s="159">
        <v>10</v>
      </c>
      <c r="F3297" s="159" t="s">
        <v>5665</v>
      </c>
      <c r="G3297" s="159" t="s">
        <v>12769</v>
      </c>
    </row>
    <row r="3298" spans="1:7" ht="15.75" customHeight="1">
      <c r="A3298" s="159" t="s">
        <v>9275</v>
      </c>
      <c r="B3298" s="159" t="s">
        <v>10009</v>
      </c>
      <c r="C3298" s="159" t="s">
        <v>3942</v>
      </c>
      <c r="D3298" s="159" t="s">
        <v>484</v>
      </c>
      <c r="E3298" s="159">
        <v>10</v>
      </c>
      <c r="F3298" s="159" t="s">
        <v>5665</v>
      </c>
      <c r="G3298" s="159" t="s">
        <v>12761</v>
      </c>
    </row>
    <row r="3299" spans="1:7" ht="15.75" customHeight="1">
      <c r="A3299" s="159" t="s">
        <v>9275</v>
      </c>
      <c r="B3299" s="159" t="s">
        <v>10009</v>
      </c>
      <c r="C3299" s="159" t="s">
        <v>10761</v>
      </c>
      <c r="D3299" s="159" t="s">
        <v>484</v>
      </c>
      <c r="E3299" s="159">
        <v>10</v>
      </c>
      <c r="F3299" s="159" t="s">
        <v>5667</v>
      </c>
      <c r="G3299" s="159" t="s">
        <v>10762</v>
      </c>
    </row>
    <row r="3300" spans="1:7" ht="15.75" customHeight="1">
      <c r="A3300" s="159" t="s">
        <v>9275</v>
      </c>
      <c r="B3300" s="159" t="s">
        <v>10009</v>
      </c>
      <c r="C3300" s="159" t="s">
        <v>12242</v>
      </c>
      <c r="D3300" s="159" t="s">
        <v>481</v>
      </c>
      <c r="E3300" s="159">
        <v>12</v>
      </c>
      <c r="F3300" s="159" t="s">
        <v>5665</v>
      </c>
      <c r="G3300" s="159" t="s">
        <v>12770</v>
      </c>
    </row>
    <row r="3301" spans="1:7" ht="15.75" customHeight="1">
      <c r="A3301" s="159" t="s">
        <v>9275</v>
      </c>
      <c r="B3301" s="159" t="s">
        <v>10009</v>
      </c>
      <c r="C3301" s="159" t="s">
        <v>11930</v>
      </c>
      <c r="D3301" s="159" t="s">
        <v>481</v>
      </c>
      <c r="E3301" s="159">
        <v>20</v>
      </c>
      <c r="F3301" s="159" t="s">
        <v>5665</v>
      </c>
      <c r="G3301" s="159" t="s">
        <v>12771</v>
      </c>
    </row>
    <row r="3302" spans="1:7" ht="15.75" customHeight="1">
      <c r="A3302" s="159" t="s">
        <v>9275</v>
      </c>
      <c r="B3302" s="159" t="s">
        <v>10009</v>
      </c>
      <c r="C3302" s="159" t="s">
        <v>12763</v>
      </c>
      <c r="D3302" s="159" t="s">
        <v>481</v>
      </c>
      <c r="E3302" s="159">
        <v>20</v>
      </c>
      <c r="F3302" s="159" t="s">
        <v>5665</v>
      </c>
      <c r="G3302" s="159" t="s">
        <v>12772</v>
      </c>
    </row>
    <row r="3303" spans="1:7" ht="15.75" customHeight="1">
      <c r="A3303" s="159" t="s">
        <v>9275</v>
      </c>
      <c r="B3303" s="159" t="s">
        <v>10009</v>
      </c>
      <c r="C3303" s="159" t="s">
        <v>12773</v>
      </c>
      <c r="D3303" s="159" t="s">
        <v>481</v>
      </c>
      <c r="E3303" s="159">
        <v>20</v>
      </c>
      <c r="F3303" s="159" t="s">
        <v>5665</v>
      </c>
      <c r="G3303" s="159" t="s">
        <v>12774</v>
      </c>
    </row>
    <row r="3304" spans="1:7" ht="15.75" customHeight="1">
      <c r="A3304" s="159" t="s">
        <v>9275</v>
      </c>
      <c r="B3304" s="159" t="s">
        <v>10009</v>
      </c>
      <c r="C3304" s="159" t="s">
        <v>12775</v>
      </c>
      <c r="D3304" s="159" t="s">
        <v>481</v>
      </c>
      <c r="E3304" s="159">
        <v>20</v>
      </c>
      <c r="F3304" s="159" t="s">
        <v>5665</v>
      </c>
      <c r="G3304" s="159" t="s">
        <v>12776</v>
      </c>
    </row>
    <row r="3305" spans="1:7" ht="15.75" customHeight="1">
      <c r="A3305" s="159" t="s">
        <v>9275</v>
      </c>
      <c r="B3305" s="159" t="s">
        <v>10009</v>
      </c>
      <c r="C3305" s="159" t="s">
        <v>12777</v>
      </c>
      <c r="D3305" s="159" t="s">
        <v>484</v>
      </c>
      <c r="E3305" s="159">
        <v>10</v>
      </c>
      <c r="F3305" s="159" t="s">
        <v>5667</v>
      </c>
      <c r="G3305" s="159" t="s">
        <v>12778</v>
      </c>
    </row>
    <row r="3306" spans="1:7" ht="15.75" customHeight="1">
      <c r="A3306" s="159" t="s">
        <v>9275</v>
      </c>
      <c r="B3306" s="159" t="s">
        <v>10009</v>
      </c>
      <c r="C3306" s="159" t="s">
        <v>12779</v>
      </c>
      <c r="D3306" s="159" t="s">
        <v>477</v>
      </c>
      <c r="E3306" s="159">
        <v>32</v>
      </c>
      <c r="F3306" s="159" t="s">
        <v>5665</v>
      </c>
      <c r="G3306" s="159" t="s">
        <v>12780</v>
      </c>
    </row>
    <row r="3307" spans="1:7" ht="15.75" customHeight="1">
      <c r="A3307" s="159" t="s">
        <v>9275</v>
      </c>
      <c r="B3307" s="159" t="s">
        <v>10011</v>
      </c>
      <c r="C3307" s="159" t="s">
        <v>11984</v>
      </c>
      <c r="D3307" s="159" t="s">
        <v>484</v>
      </c>
      <c r="E3307" s="159">
        <v>10</v>
      </c>
      <c r="F3307" s="159" t="s">
        <v>5665</v>
      </c>
      <c r="G3307" s="159" t="s">
        <v>11998</v>
      </c>
    </row>
    <row r="3308" spans="1:7" ht="15.75" customHeight="1">
      <c r="A3308" s="159" t="s">
        <v>9275</v>
      </c>
      <c r="B3308" s="159" t="s">
        <v>10011</v>
      </c>
      <c r="C3308" s="159" t="s">
        <v>5678</v>
      </c>
      <c r="D3308" s="159" t="s">
        <v>484</v>
      </c>
      <c r="E3308" s="159">
        <v>10</v>
      </c>
      <c r="F3308" s="159" t="s">
        <v>5667</v>
      </c>
      <c r="G3308" s="159" t="s">
        <v>10877</v>
      </c>
    </row>
    <row r="3309" spans="1:7" ht="15.75" customHeight="1">
      <c r="A3309" s="159" t="s">
        <v>9275</v>
      </c>
      <c r="B3309" s="159" t="s">
        <v>10011</v>
      </c>
      <c r="C3309" s="159" t="s">
        <v>3635</v>
      </c>
      <c r="D3309" s="159" t="s">
        <v>484</v>
      </c>
      <c r="E3309" s="159">
        <v>10</v>
      </c>
      <c r="F3309" s="159" t="s">
        <v>5665</v>
      </c>
      <c r="G3309" s="159" t="s">
        <v>10722</v>
      </c>
    </row>
    <row r="3310" spans="1:7" ht="15.75" customHeight="1">
      <c r="A3310" s="159" t="s">
        <v>9275</v>
      </c>
      <c r="B3310" s="159" t="s">
        <v>10011</v>
      </c>
      <c r="C3310" s="159" t="s">
        <v>10699</v>
      </c>
      <c r="D3310" s="159" t="s">
        <v>484</v>
      </c>
      <c r="E3310" s="159">
        <v>10</v>
      </c>
      <c r="F3310" s="159" t="s">
        <v>5665</v>
      </c>
      <c r="G3310" s="159" t="s">
        <v>12288</v>
      </c>
    </row>
    <row r="3311" spans="1:7" ht="15.75" customHeight="1">
      <c r="A3311" s="159" t="s">
        <v>9275</v>
      </c>
      <c r="B3311" s="159" t="s">
        <v>10011</v>
      </c>
      <c r="C3311" s="159" t="s">
        <v>11985</v>
      </c>
      <c r="D3311" s="159" t="s">
        <v>477</v>
      </c>
      <c r="E3311" s="159">
        <v>100</v>
      </c>
      <c r="F3311" s="159" t="s">
        <v>5667</v>
      </c>
      <c r="G3311" s="159" t="s">
        <v>11986</v>
      </c>
    </row>
    <row r="3312" spans="1:7" ht="15.75" customHeight="1">
      <c r="A3312" s="159" t="s">
        <v>9275</v>
      </c>
      <c r="B3312" s="159" t="s">
        <v>10011</v>
      </c>
      <c r="C3312" s="159" t="s">
        <v>12781</v>
      </c>
      <c r="D3312" s="159" t="s">
        <v>477</v>
      </c>
      <c r="E3312" s="159">
        <v>100</v>
      </c>
      <c r="F3312" s="159" t="s">
        <v>5667</v>
      </c>
      <c r="G3312" s="159" t="s">
        <v>12782</v>
      </c>
    </row>
    <row r="3313" spans="1:7" ht="15.75" customHeight="1">
      <c r="A3313" s="159" t="s">
        <v>9275</v>
      </c>
      <c r="B3313" s="159" t="s">
        <v>10011</v>
      </c>
      <c r="C3313" s="159" t="s">
        <v>12783</v>
      </c>
      <c r="D3313" s="159" t="s">
        <v>477</v>
      </c>
      <c r="E3313" s="159">
        <v>15</v>
      </c>
      <c r="F3313" s="159" t="s">
        <v>5667</v>
      </c>
      <c r="G3313" s="159" t="s">
        <v>12784</v>
      </c>
    </row>
    <row r="3314" spans="1:7" ht="15.75" customHeight="1">
      <c r="A3314" s="159" t="s">
        <v>9275</v>
      </c>
      <c r="B3314" s="159" t="s">
        <v>10011</v>
      </c>
      <c r="C3314" s="159" t="s">
        <v>12785</v>
      </c>
      <c r="D3314" s="159" t="s">
        <v>978</v>
      </c>
      <c r="E3314" s="159">
        <v>5</v>
      </c>
      <c r="F3314" s="159" t="s">
        <v>5665</v>
      </c>
      <c r="G3314" s="159" t="s">
        <v>12786</v>
      </c>
    </row>
    <row r="3315" spans="1:7" ht="15.75" customHeight="1">
      <c r="A3315" s="159" t="s">
        <v>9275</v>
      </c>
      <c r="B3315" s="159" t="s">
        <v>10011</v>
      </c>
      <c r="C3315" s="159" t="s">
        <v>11987</v>
      </c>
      <c r="D3315" s="159" t="s">
        <v>11537</v>
      </c>
      <c r="E3315" s="159">
        <v>65535</v>
      </c>
      <c r="F3315" s="159" t="s">
        <v>5667</v>
      </c>
      <c r="G3315" s="159" t="s">
        <v>11988</v>
      </c>
    </row>
    <row r="3316" spans="1:7" ht="15.75" customHeight="1">
      <c r="A3316" s="159" t="s">
        <v>9275</v>
      </c>
      <c r="B3316" s="159" t="s">
        <v>10011</v>
      </c>
      <c r="C3316" s="159" t="s">
        <v>10190</v>
      </c>
      <c r="D3316" s="159" t="s">
        <v>1413</v>
      </c>
      <c r="E3316" s="159"/>
      <c r="F3316" s="159" t="s">
        <v>5665</v>
      </c>
      <c r="G3316" s="159" t="s">
        <v>10281</v>
      </c>
    </row>
    <row r="3317" spans="1:7" ht="15.75" customHeight="1">
      <c r="A3317" s="159" t="s">
        <v>9275</v>
      </c>
      <c r="B3317" s="159" t="s">
        <v>10013</v>
      </c>
      <c r="C3317" s="159" t="s">
        <v>3897</v>
      </c>
      <c r="D3317" s="159" t="s">
        <v>484</v>
      </c>
      <c r="E3317" s="159">
        <v>10</v>
      </c>
      <c r="F3317" s="159" t="s">
        <v>5665</v>
      </c>
      <c r="G3317" s="159" t="s">
        <v>325</v>
      </c>
    </row>
    <row r="3318" spans="1:7" ht="15.75" customHeight="1">
      <c r="A3318" s="159" t="s">
        <v>9275</v>
      </c>
      <c r="B3318" s="159" t="s">
        <v>10013</v>
      </c>
      <c r="C3318" s="159" t="s">
        <v>12383</v>
      </c>
      <c r="D3318" s="159" t="s">
        <v>1974</v>
      </c>
      <c r="E3318" s="159"/>
      <c r="F3318" s="159" t="s">
        <v>5667</v>
      </c>
      <c r="G3318" s="159" t="s">
        <v>6156</v>
      </c>
    </row>
    <row r="3319" spans="1:7" ht="15.75" customHeight="1">
      <c r="A3319" s="159" t="s">
        <v>9275</v>
      </c>
      <c r="B3319" s="159" t="s">
        <v>10013</v>
      </c>
      <c r="C3319" s="159" t="s">
        <v>10290</v>
      </c>
      <c r="D3319" s="159" t="s">
        <v>978</v>
      </c>
      <c r="E3319" s="159">
        <v>5</v>
      </c>
      <c r="F3319" s="159" t="s">
        <v>5667</v>
      </c>
      <c r="G3319" s="159" t="s">
        <v>10507</v>
      </c>
    </row>
    <row r="3320" spans="1:7" ht="15.75" customHeight="1">
      <c r="A3320" s="159" t="s">
        <v>9275</v>
      </c>
      <c r="B3320" s="159" t="s">
        <v>10013</v>
      </c>
      <c r="C3320" s="159" t="s">
        <v>3762</v>
      </c>
      <c r="D3320" s="159" t="s">
        <v>477</v>
      </c>
      <c r="E3320" s="159">
        <v>50</v>
      </c>
      <c r="F3320" s="159" t="s">
        <v>5665</v>
      </c>
      <c r="G3320" s="159" t="s">
        <v>11525</v>
      </c>
    </row>
    <row r="3321" spans="1:7" ht="15.75" customHeight="1">
      <c r="A3321" s="159" t="s">
        <v>9275</v>
      </c>
      <c r="B3321" s="159" t="s">
        <v>10013</v>
      </c>
      <c r="C3321" s="159" t="s">
        <v>12481</v>
      </c>
      <c r="D3321" s="159" t="s">
        <v>484</v>
      </c>
      <c r="E3321" s="159">
        <v>10</v>
      </c>
      <c r="F3321" s="159" t="s">
        <v>5665</v>
      </c>
      <c r="G3321" s="159" t="s">
        <v>12482</v>
      </c>
    </row>
    <row r="3322" spans="1:7" ht="15.75" customHeight="1">
      <c r="A3322" s="159" t="s">
        <v>9275</v>
      </c>
      <c r="B3322" s="159" t="s">
        <v>10013</v>
      </c>
      <c r="C3322" s="159" t="s">
        <v>12787</v>
      </c>
      <c r="D3322" s="159" t="s">
        <v>481</v>
      </c>
      <c r="E3322" s="159">
        <v>20</v>
      </c>
      <c r="F3322" s="159" t="s">
        <v>5667</v>
      </c>
      <c r="G3322" s="159" t="s">
        <v>12788</v>
      </c>
    </row>
    <row r="3323" spans="1:7" ht="15.75" customHeight="1">
      <c r="A3323" s="159" t="s">
        <v>9275</v>
      </c>
      <c r="B3323" s="159" t="s">
        <v>10013</v>
      </c>
      <c r="C3323" s="159" t="s">
        <v>12789</v>
      </c>
      <c r="D3323" s="159" t="s">
        <v>481</v>
      </c>
      <c r="E3323" s="159">
        <v>20</v>
      </c>
      <c r="F3323" s="159" t="s">
        <v>5667</v>
      </c>
      <c r="G3323" s="159" t="s">
        <v>12790</v>
      </c>
    </row>
    <row r="3324" spans="1:7" ht="15.75" customHeight="1">
      <c r="A3324" s="159" t="s">
        <v>9275</v>
      </c>
      <c r="B3324" s="159" t="s">
        <v>10013</v>
      </c>
      <c r="C3324" s="159" t="s">
        <v>12791</v>
      </c>
      <c r="D3324" s="159" t="s">
        <v>481</v>
      </c>
      <c r="E3324" s="159">
        <v>20</v>
      </c>
      <c r="F3324" s="159" t="s">
        <v>5667</v>
      </c>
      <c r="G3324" s="159" t="s">
        <v>12792</v>
      </c>
    </row>
    <row r="3325" spans="1:7" ht="15.75" customHeight="1">
      <c r="A3325" s="159" t="s">
        <v>9275</v>
      </c>
      <c r="B3325" s="159" t="s">
        <v>10015</v>
      </c>
      <c r="C3325" s="159" t="s">
        <v>3897</v>
      </c>
      <c r="D3325" s="159" t="s">
        <v>484</v>
      </c>
      <c r="E3325" s="159">
        <v>10</v>
      </c>
      <c r="F3325" s="159" t="s">
        <v>5665</v>
      </c>
      <c r="G3325" s="159" t="s">
        <v>325</v>
      </c>
    </row>
    <row r="3326" spans="1:7" ht="15.75" customHeight="1">
      <c r="A3326" s="159" t="s">
        <v>9275</v>
      </c>
      <c r="B3326" s="159" t="s">
        <v>10015</v>
      </c>
      <c r="C3326" s="159" t="s">
        <v>12383</v>
      </c>
      <c r="D3326" s="159" t="s">
        <v>1974</v>
      </c>
      <c r="E3326" s="159"/>
      <c r="F3326" s="159" t="s">
        <v>5667</v>
      </c>
      <c r="G3326" s="159" t="s">
        <v>6156</v>
      </c>
    </row>
    <row r="3327" spans="1:7" ht="15.75" customHeight="1">
      <c r="A3327" s="159" t="s">
        <v>9275</v>
      </c>
      <c r="B3327" s="159" t="s">
        <v>10015</v>
      </c>
      <c r="C3327" s="159" t="s">
        <v>10290</v>
      </c>
      <c r="D3327" s="159" t="s">
        <v>978</v>
      </c>
      <c r="E3327" s="159">
        <v>5</v>
      </c>
      <c r="F3327" s="159" t="s">
        <v>5667</v>
      </c>
      <c r="G3327" s="159" t="s">
        <v>10507</v>
      </c>
    </row>
    <row r="3328" spans="1:7" ht="15.75" customHeight="1">
      <c r="A3328" s="159" t="s">
        <v>9275</v>
      </c>
      <c r="B3328" s="159" t="s">
        <v>10015</v>
      </c>
      <c r="C3328" s="159" t="s">
        <v>3762</v>
      </c>
      <c r="D3328" s="159" t="s">
        <v>477</v>
      </c>
      <c r="E3328" s="159">
        <v>50</v>
      </c>
      <c r="F3328" s="159" t="s">
        <v>5667</v>
      </c>
      <c r="G3328" s="159" t="s">
        <v>11525</v>
      </c>
    </row>
    <row r="3329" spans="1:7" ht="15.75" customHeight="1">
      <c r="A3329" s="159" t="s">
        <v>9275</v>
      </c>
      <c r="B3329" s="159" t="s">
        <v>10015</v>
      </c>
      <c r="C3329" s="159" t="s">
        <v>12481</v>
      </c>
      <c r="D3329" s="159" t="s">
        <v>484</v>
      </c>
      <c r="E3329" s="159">
        <v>10</v>
      </c>
      <c r="F3329" s="159" t="s">
        <v>5665</v>
      </c>
      <c r="G3329" s="159" t="s">
        <v>12482</v>
      </c>
    </row>
    <row r="3330" spans="1:7" ht="15.75" customHeight="1">
      <c r="A3330" s="159" t="s">
        <v>9275</v>
      </c>
      <c r="B3330" s="159" t="s">
        <v>10015</v>
      </c>
      <c r="C3330" s="159" t="s">
        <v>12787</v>
      </c>
      <c r="D3330" s="159" t="s">
        <v>481</v>
      </c>
      <c r="E3330" s="159">
        <v>20</v>
      </c>
      <c r="F3330" s="159" t="s">
        <v>5667</v>
      </c>
      <c r="G3330" s="159" t="s">
        <v>12788</v>
      </c>
    </row>
    <row r="3331" spans="1:7" ht="15.75" customHeight="1">
      <c r="A3331" s="159" t="s">
        <v>9275</v>
      </c>
      <c r="B3331" s="159" t="s">
        <v>10015</v>
      </c>
      <c r="C3331" s="159" t="s">
        <v>12789</v>
      </c>
      <c r="D3331" s="159" t="s">
        <v>481</v>
      </c>
      <c r="E3331" s="159">
        <v>20</v>
      </c>
      <c r="F3331" s="159" t="s">
        <v>5667</v>
      </c>
      <c r="G3331" s="159" t="s">
        <v>12790</v>
      </c>
    </row>
    <row r="3332" spans="1:7" ht="15.75" customHeight="1">
      <c r="A3332" s="159" t="s">
        <v>9275</v>
      </c>
      <c r="B3332" s="159" t="s">
        <v>10015</v>
      </c>
      <c r="C3332" s="159" t="s">
        <v>12791</v>
      </c>
      <c r="D3332" s="159" t="s">
        <v>481</v>
      </c>
      <c r="E3332" s="159">
        <v>20</v>
      </c>
      <c r="F3332" s="159" t="s">
        <v>5667</v>
      </c>
      <c r="G3332" s="159" t="s">
        <v>12792</v>
      </c>
    </row>
    <row r="3333" spans="1:7" ht="15.75" customHeight="1">
      <c r="A3333" s="159" t="s">
        <v>9275</v>
      </c>
      <c r="B3333" s="159" t="s">
        <v>10017</v>
      </c>
      <c r="C3333" s="159" t="s">
        <v>12793</v>
      </c>
      <c r="D3333" s="159" t="s">
        <v>484</v>
      </c>
      <c r="E3333" s="159">
        <v>10</v>
      </c>
      <c r="F3333" s="159" t="s">
        <v>5665</v>
      </c>
      <c r="G3333" s="159" t="s">
        <v>325</v>
      </c>
    </row>
    <row r="3334" spans="1:7" ht="15.75" customHeight="1">
      <c r="A3334" s="159" t="s">
        <v>9275</v>
      </c>
      <c r="B3334" s="159" t="s">
        <v>10017</v>
      </c>
      <c r="C3334" s="159" t="s">
        <v>11625</v>
      </c>
      <c r="D3334" s="159" t="s">
        <v>477</v>
      </c>
      <c r="E3334" s="159">
        <v>32</v>
      </c>
      <c r="F3334" s="159" t="s">
        <v>5665</v>
      </c>
      <c r="G3334" s="159" t="s">
        <v>12159</v>
      </c>
    </row>
    <row r="3335" spans="1:7" ht="15.75" customHeight="1">
      <c r="A3335" s="159" t="s">
        <v>9275</v>
      </c>
      <c r="B3335" s="159" t="s">
        <v>10017</v>
      </c>
      <c r="C3335" s="159" t="s">
        <v>10290</v>
      </c>
      <c r="D3335" s="159" t="s">
        <v>978</v>
      </c>
      <c r="E3335" s="159">
        <v>5</v>
      </c>
      <c r="F3335" s="159" t="s">
        <v>5665</v>
      </c>
      <c r="G3335" s="159" t="s">
        <v>10507</v>
      </c>
    </row>
    <row r="3336" spans="1:7" ht="15.75" customHeight="1">
      <c r="A3336" s="159" t="s">
        <v>9275</v>
      </c>
      <c r="B3336" s="159" t="s">
        <v>10017</v>
      </c>
      <c r="C3336" s="159" t="s">
        <v>12794</v>
      </c>
      <c r="D3336" s="159" t="s">
        <v>477</v>
      </c>
      <c r="E3336" s="159">
        <v>64</v>
      </c>
      <c r="F3336" s="159" t="s">
        <v>5665</v>
      </c>
      <c r="G3336" s="159" t="s">
        <v>12795</v>
      </c>
    </row>
    <row r="3337" spans="1:7" ht="15.75" customHeight="1">
      <c r="A3337" s="159" t="s">
        <v>9275</v>
      </c>
      <c r="B3337" s="159" t="s">
        <v>10018</v>
      </c>
      <c r="C3337" s="159" t="s">
        <v>12796</v>
      </c>
      <c r="D3337" s="159" t="s">
        <v>484</v>
      </c>
      <c r="E3337" s="159">
        <v>10</v>
      </c>
      <c r="F3337" s="159" t="s">
        <v>5665</v>
      </c>
      <c r="G3337" s="159" t="s">
        <v>325</v>
      </c>
    </row>
    <row r="3338" spans="1:7" ht="15.75" customHeight="1">
      <c r="A3338" s="159" t="s">
        <v>9275</v>
      </c>
      <c r="B3338" s="159" t="s">
        <v>10018</v>
      </c>
      <c r="C3338" s="159" t="s">
        <v>12793</v>
      </c>
      <c r="D3338" s="159" t="s">
        <v>484</v>
      </c>
      <c r="E3338" s="159">
        <v>10</v>
      </c>
      <c r="F3338" s="159" t="s">
        <v>5665</v>
      </c>
      <c r="G3338" s="159" t="s">
        <v>12797</v>
      </c>
    </row>
    <row r="3339" spans="1:7" ht="15.75" customHeight="1">
      <c r="A3339" s="159" t="s">
        <v>9275</v>
      </c>
      <c r="B3339" s="159" t="s">
        <v>10018</v>
      </c>
      <c r="C3339" s="159" t="s">
        <v>11162</v>
      </c>
      <c r="D3339" s="159" t="s">
        <v>477</v>
      </c>
      <c r="E3339" s="159">
        <v>32</v>
      </c>
      <c r="F3339" s="159" t="s">
        <v>5667</v>
      </c>
      <c r="G3339" s="159" t="s">
        <v>12159</v>
      </c>
    </row>
    <row r="3340" spans="1:7" ht="15.75" customHeight="1">
      <c r="A3340" s="159" t="s">
        <v>9275</v>
      </c>
      <c r="B3340" s="159" t="s">
        <v>10018</v>
      </c>
      <c r="C3340" s="159" t="s">
        <v>11167</v>
      </c>
      <c r="D3340" s="159" t="s">
        <v>477</v>
      </c>
      <c r="E3340" s="159">
        <v>32</v>
      </c>
      <c r="F3340" s="159" t="s">
        <v>5667</v>
      </c>
      <c r="G3340" s="159" t="s">
        <v>12160</v>
      </c>
    </row>
    <row r="3341" spans="1:7" ht="15.75" customHeight="1">
      <c r="A3341" s="159" t="s">
        <v>9275</v>
      </c>
      <c r="B3341" s="159" t="s">
        <v>10018</v>
      </c>
      <c r="C3341" s="159" t="s">
        <v>12798</v>
      </c>
      <c r="D3341" s="159" t="s">
        <v>484</v>
      </c>
      <c r="E3341" s="159">
        <v>10</v>
      </c>
      <c r="F3341" s="159" t="s">
        <v>5665</v>
      </c>
      <c r="G3341" s="159" t="s">
        <v>12799</v>
      </c>
    </row>
    <row r="3342" spans="1:7" ht="15.75" customHeight="1">
      <c r="A3342" s="159" t="s">
        <v>9275</v>
      </c>
      <c r="B3342" s="159" t="s">
        <v>10018</v>
      </c>
      <c r="C3342" s="159" t="s">
        <v>12800</v>
      </c>
      <c r="D3342" s="159" t="s">
        <v>484</v>
      </c>
      <c r="E3342" s="159">
        <v>10</v>
      </c>
      <c r="F3342" s="159" t="s">
        <v>5665</v>
      </c>
      <c r="G3342" s="159" t="s">
        <v>12801</v>
      </c>
    </row>
    <row r="3343" spans="1:7" ht="15.75" customHeight="1">
      <c r="A3343" s="159" t="s">
        <v>9275</v>
      </c>
      <c r="B3343" s="159" t="s">
        <v>10018</v>
      </c>
      <c r="C3343" s="159" t="s">
        <v>12802</v>
      </c>
      <c r="D3343" s="159" t="s">
        <v>484</v>
      </c>
      <c r="E3343" s="159">
        <v>10</v>
      </c>
      <c r="F3343" s="159" t="s">
        <v>5665</v>
      </c>
      <c r="G3343" s="159" t="s">
        <v>12803</v>
      </c>
    </row>
    <row r="3344" spans="1:7" ht="15.75" customHeight="1">
      <c r="A3344" s="159" t="s">
        <v>9275</v>
      </c>
      <c r="B3344" s="159" t="s">
        <v>10018</v>
      </c>
      <c r="C3344" s="159" t="s">
        <v>12804</v>
      </c>
      <c r="D3344" s="159" t="s">
        <v>484</v>
      </c>
      <c r="E3344" s="159">
        <v>10</v>
      </c>
      <c r="F3344" s="159" t="s">
        <v>5665</v>
      </c>
      <c r="G3344" s="159" t="s">
        <v>12805</v>
      </c>
    </row>
    <row r="3345" spans="1:7" ht="15.75" customHeight="1">
      <c r="A3345" s="159" t="s">
        <v>9275</v>
      </c>
      <c r="B3345" s="159" t="s">
        <v>10018</v>
      </c>
      <c r="C3345" s="159" t="s">
        <v>10211</v>
      </c>
      <c r="D3345" s="159" t="s">
        <v>805</v>
      </c>
      <c r="E3345" s="159">
        <v>3</v>
      </c>
      <c r="F3345" s="159" t="s">
        <v>5665</v>
      </c>
      <c r="G3345" s="159" t="s">
        <v>12806</v>
      </c>
    </row>
    <row r="3346" spans="1:7" ht="15.75" customHeight="1">
      <c r="A3346" s="159" t="s">
        <v>9275</v>
      </c>
      <c r="B3346" s="159" t="s">
        <v>10019</v>
      </c>
      <c r="C3346" s="159" t="s">
        <v>10287</v>
      </c>
      <c r="D3346" s="159" t="s">
        <v>484</v>
      </c>
      <c r="E3346" s="159">
        <v>10</v>
      </c>
      <c r="F3346" s="159" t="s">
        <v>5665</v>
      </c>
      <c r="G3346" s="159" t="s">
        <v>10237</v>
      </c>
    </row>
    <row r="3347" spans="1:7" ht="15.75" customHeight="1">
      <c r="A3347" s="159" t="s">
        <v>9275</v>
      </c>
      <c r="B3347" s="159" t="s">
        <v>10019</v>
      </c>
      <c r="C3347" s="159" t="s">
        <v>10290</v>
      </c>
      <c r="D3347" s="159" t="s">
        <v>978</v>
      </c>
      <c r="E3347" s="159">
        <v>5</v>
      </c>
      <c r="F3347" s="159" t="s">
        <v>5667</v>
      </c>
      <c r="G3347" s="159" t="s">
        <v>10507</v>
      </c>
    </row>
    <row r="3348" spans="1:7" ht="15.75" customHeight="1">
      <c r="A3348" s="159" t="s">
        <v>9275</v>
      </c>
      <c r="B3348" s="159" t="s">
        <v>10019</v>
      </c>
      <c r="C3348" s="159" t="s">
        <v>12807</v>
      </c>
      <c r="D3348" s="159" t="s">
        <v>481</v>
      </c>
      <c r="E3348" s="159">
        <v>12</v>
      </c>
      <c r="F3348" s="159" t="s">
        <v>5667</v>
      </c>
      <c r="G3348" s="159" t="s">
        <v>12808</v>
      </c>
    </row>
    <row r="3349" spans="1:7" ht="15.75" customHeight="1">
      <c r="A3349" s="159" t="s">
        <v>9275</v>
      </c>
      <c r="B3349" s="159" t="s">
        <v>10019</v>
      </c>
      <c r="C3349" s="159" t="s">
        <v>12471</v>
      </c>
      <c r="D3349" s="159" t="s">
        <v>481</v>
      </c>
      <c r="E3349" s="159">
        <v>12</v>
      </c>
      <c r="F3349" s="159" t="s">
        <v>5667</v>
      </c>
      <c r="G3349" s="159" t="s">
        <v>12472</v>
      </c>
    </row>
    <row r="3350" spans="1:7" ht="15.75" customHeight="1">
      <c r="A3350" s="159" t="s">
        <v>9275</v>
      </c>
      <c r="B3350" s="159" t="s">
        <v>10019</v>
      </c>
      <c r="C3350" s="159" t="s">
        <v>12441</v>
      </c>
      <c r="D3350" s="159" t="s">
        <v>978</v>
      </c>
      <c r="E3350" s="159">
        <v>5</v>
      </c>
      <c r="F3350" s="159" t="s">
        <v>5667</v>
      </c>
      <c r="G3350" s="159" t="s">
        <v>12442</v>
      </c>
    </row>
    <row r="3351" spans="1:7" ht="15.75" customHeight="1">
      <c r="A3351" s="159" t="s">
        <v>9275</v>
      </c>
      <c r="B3351" s="159" t="s">
        <v>10019</v>
      </c>
      <c r="C3351" s="159" t="s">
        <v>12443</v>
      </c>
      <c r="D3351" s="159" t="s">
        <v>978</v>
      </c>
      <c r="E3351" s="159">
        <v>5</v>
      </c>
      <c r="F3351" s="159" t="s">
        <v>5667</v>
      </c>
      <c r="G3351" s="159" t="s">
        <v>12444</v>
      </c>
    </row>
    <row r="3352" spans="1:7" ht="15.75" customHeight="1">
      <c r="A3352" s="159" t="s">
        <v>9275</v>
      </c>
      <c r="B3352" s="159" t="s">
        <v>10019</v>
      </c>
      <c r="C3352" s="159" t="s">
        <v>3635</v>
      </c>
      <c r="D3352" s="159" t="s">
        <v>484</v>
      </c>
      <c r="E3352" s="159">
        <v>10</v>
      </c>
      <c r="F3352" s="159" t="s">
        <v>5665</v>
      </c>
      <c r="G3352" s="159" t="s">
        <v>10722</v>
      </c>
    </row>
    <row r="3353" spans="1:7" ht="15.75" customHeight="1">
      <c r="A3353" s="159" t="s">
        <v>9275</v>
      </c>
      <c r="B3353" s="159" t="s">
        <v>10019</v>
      </c>
      <c r="C3353" s="159" t="s">
        <v>3940</v>
      </c>
      <c r="D3353" s="159" t="s">
        <v>484</v>
      </c>
      <c r="E3353" s="159">
        <v>10</v>
      </c>
      <c r="F3353" s="159" t="s">
        <v>5667</v>
      </c>
      <c r="G3353" s="159" t="s">
        <v>10747</v>
      </c>
    </row>
    <row r="3354" spans="1:7" ht="15.75" customHeight="1">
      <c r="A3354" s="159" t="s">
        <v>9275</v>
      </c>
      <c r="B3354" s="159" t="s">
        <v>10019</v>
      </c>
      <c r="C3354" s="159" t="s">
        <v>12447</v>
      </c>
      <c r="D3354" s="159" t="s">
        <v>484</v>
      </c>
      <c r="E3354" s="159">
        <v>10</v>
      </c>
      <c r="F3354" s="159" t="s">
        <v>5667</v>
      </c>
      <c r="G3354" s="159" t="s">
        <v>12448</v>
      </c>
    </row>
    <row r="3355" spans="1:7" ht="15.75" customHeight="1">
      <c r="A3355" s="159" t="s">
        <v>9275</v>
      </c>
      <c r="B3355" s="159" t="s">
        <v>10019</v>
      </c>
      <c r="C3355" s="159" t="s">
        <v>12449</v>
      </c>
      <c r="D3355" s="159" t="s">
        <v>484</v>
      </c>
      <c r="E3355" s="159">
        <v>10</v>
      </c>
      <c r="F3355" s="159" t="s">
        <v>5667</v>
      </c>
      <c r="G3355" s="159" t="s">
        <v>12450</v>
      </c>
    </row>
    <row r="3356" spans="1:7" ht="15.75" customHeight="1">
      <c r="A3356" s="159" t="s">
        <v>9275</v>
      </c>
      <c r="B3356" s="159" t="s">
        <v>10019</v>
      </c>
      <c r="C3356" s="159" t="s">
        <v>12809</v>
      </c>
      <c r="D3356" s="159" t="s">
        <v>484</v>
      </c>
      <c r="E3356" s="159">
        <v>10</v>
      </c>
      <c r="F3356" s="159" t="s">
        <v>5667</v>
      </c>
      <c r="G3356" s="159" t="s">
        <v>12810</v>
      </c>
    </row>
    <row r="3357" spans="1:7" ht="15.75" customHeight="1">
      <c r="A3357" s="159" t="s">
        <v>9275</v>
      </c>
      <c r="B3357" s="159" t="s">
        <v>10019</v>
      </c>
      <c r="C3357" s="159" t="s">
        <v>11155</v>
      </c>
      <c r="D3357" s="159" t="s">
        <v>477</v>
      </c>
      <c r="E3357" s="159">
        <v>50</v>
      </c>
      <c r="F3357" s="159" t="s">
        <v>5667</v>
      </c>
      <c r="G3357" s="159" t="s">
        <v>11156</v>
      </c>
    </row>
    <row r="3358" spans="1:7" ht="15.75" customHeight="1">
      <c r="A3358" s="159" t="s">
        <v>9275</v>
      </c>
      <c r="B3358" s="159" t="s">
        <v>10019</v>
      </c>
      <c r="C3358" s="159" t="s">
        <v>10190</v>
      </c>
      <c r="D3358" s="159" t="s">
        <v>1413</v>
      </c>
      <c r="E3358" s="159"/>
      <c r="F3358" s="159" t="s">
        <v>5665</v>
      </c>
      <c r="G3358" s="159" t="s">
        <v>10281</v>
      </c>
    </row>
    <row r="3359" spans="1:7" ht="15.75" customHeight="1">
      <c r="A3359" s="159" t="s">
        <v>9275</v>
      </c>
      <c r="B3359" s="159" t="s">
        <v>10019</v>
      </c>
      <c r="C3359" s="159" t="s">
        <v>10242</v>
      </c>
      <c r="D3359" s="159" t="s">
        <v>1413</v>
      </c>
      <c r="E3359" s="159"/>
      <c r="F3359" s="159" t="s">
        <v>5665</v>
      </c>
      <c r="G3359" s="159" t="s">
        <v>10282</v>
      </c>
    </row>
    <row r="3360" spans="1:7" ht="15.75" customHeight="1">
      <c r="A3360" s="159" t="s">
        <v>9275</v>
      </c>
      <c r="B3360" s="159" t="s">
        <v>10019</v>
      </c>
      <c r="C3360" s="159" t="s">
        <v>12811</v>
      </c>
      <c r="D3360" s="159" t="s">
        <v>3893</v>
      </c>
      <c r="E3360" s="159">
        <v>65535</v>
      </c>
      <c r="F3360" s="159" t="s">
        <v>5667</v>
      </c>
      <c r="G3360" s="159" t="s">
        <v>12812</v>
      </c>
    </row>
    <row r="3361" spans="1:7" ht="15.75" customHeight="1">
      <c r="A3361" s="159" t="s">
        <v>9275</v>
      </c>
      <c r="B3361" s="159" t="s">
        <v>10019</v>
      </c>
      <c r="C3361" s="159" t="s">
        <v>12813</v>
      </c>
      <c r="D3361" s="159" t="s">
        <v>10796</v>
      </c>
      <c r="E3361" s="159">
        <v>16777215</v>
      </c>
      <c r="F3361" s="159" t="s">
        <v>5667</v>
      </c>
      <c r="G3361" s="159" t="s">
        <v>12814</v>
      </c>
    </row>
    <row r="3362" spans="1:7" ht="15.75" customHeight="1">
      <c r="A3362" s="159" t="s">
        <v>9275</v>
      </c>
      <c r="B3362" s="159" t="s">
        <v>10019</v>
      </c>
      <c r="C3362" s="159" t="s">
        <v>12094</v>
      </c>
      <c r="D3362" s="159" t="s">
        <v>3893</v>
      </c>
      <c r="E3362" s="159">
        <v>65535</v>
      </c>
      <c r="F3362" s="159" t="s">
        <v>5667</v>
      </c>
      <c r="G3362" s="159" t="s">
        <v>12095</v>
      </c>
    </row>
    <row r="3363" spans="1:7" ht="15.75" customHeight="1">
      <c r="A3363" s="159" t="s">
        <v>9275</v>
      </c>
      <c r="B3363" s="159" t="s">
        <v>10019</v>
      </c>
      <c r="C3363" s="159" t="s">
        <v>12096</v>
      </c>
      <c r="D3363" s="159" t="s">
        <v>978</v>
      </c>
      <c r="E3363" s="159">
        <v>5</v>
      </c>
      <c r="F3363" s="159" t="s">
        <v>5667</v>
      </c>
      <c r="G3363" s="159" t="s">
        <v>12097</v>
      </c>
    </row>
    <row r="3364" spans="1:7" ht="15.75" customHeight="1">
      <c r="A3364" s="159" t="s">
        <v>9275</v>
      </c>
      <c r="B3364" s="159" t="s">
        <v>10021</v>
      </c>
      <c r="C3364" s="159" t="s">
        <v>10287</v>
      </c>
      <c r="D3364" s="159" t="s">
        <v>484</v>
      </c>
      <c r="E3364" s="159">
        <v>10</v>
      </c>
      <c r="F3364" s="159" t="s">
        <v>5665</v>
      </c>
      <c r="G3364" s="159" t="s">
        <v>10237</v>
      </c>
    </row>
    <row r="3365" spans="1:7" ht="15.75" customHeight="1">
      <c r="A3365" s="159" t="s">
        <v>9275</v>
      </c>
      <c r="B3365" s="159" t="s">
        <v>10021</v>
      </c>
      <c r="C3365" s="159" t="s">
        <v>5678</v>
      </c>
      <c r="D3365" s="159" t="s">
        <v>484</v>
      </c>
      <c r="E3365" s="159">
        <v>10</v>
      </c>
      <c r="F3365" s="159" t="s">
        <v>5665</v>
      </c>
      <c r="G3365" s="159" t="s">
        <v>10877</v>
      </c>
    </row>
    <row r="3366" spans="1:7" ht="15.75" customHeight="1">
      <c r="A3366" s="159" t="s">
        <v>9275</v>
      </c>
      <c r="B3366" s="159" t="s">
        <v>10021</v>
      </c>
      <c r="C3366" s="159" t="s">
        <v>12453</v>
      </c>
      <c r="D3366" s="159" t="s">
        <v>484</v>
      </c>
      <c r="E3366" s="159">
        <v>10</v>
      </c>
      <c r="F3366" s="159" t="s">
        <v>5667</v>
      </c>
      <c r="G3366" s="159" t="s">
        <v>12454</v>
      </c>
    </row>
    <row r="3367" spans="1:7" ht="15.75" customHeight="1">
      <c r="A3367" s="159" t="s">
        <v>9275</v>
      </c>
      <c r="B3367" s="159" t="s">
        <v>10021</v>
      </c>
      <c r="C3367" s="159" t="s">
        <v>10845</v>
      </c>
      <c r="D3367" s="159" t="s">
        <v>978</v>
      </c>
      <c r="E3367" s="159">
        <v>5</v>
      </c>
      <c r="F3367" s="159" t="s">
        <v>5665</v>
      </c>
      <c r="G3367" s="159" t="s">
        <v>10846</v>
      </c>
    </row>
    <row r="3368" spans="1:7" ht="15.75" customHeight="1">
      <c r="A3368" s="159" t="s">
        <v>9275</v>
      </c>
      <c r="B3368" s="159" t="s">
        <v>10021</v>
      </c>
      <c r="C3368" s="159" t="s">
        <v>5668</v>
      </c>
      <c r="D3368" s="159" t="s">
        <v>3893</v>
      </c>
      <c r="E3368" s="159">
        <v>65535</v>
      </c>
      <c r="F3368" s="159" t="s">
        <v>5667</v>
      </c>
      <c r="G3368" s="159" t="s">
        <v>1182</v>
      </c>
    </row>
    <row r="3369" spans="1:7" ht="15.75" customHeight="1">
      <c r="A3369" s="159" t="s">
        <v>9275</v>
      </c>
      <c r="B3369" s="159" t="s">
        <v>10021</v>
      </c>
      <c r="C3369" s="159" t="s">
        <v>10190</v>
      </c>
      <c r="D3369" s="159" t="s">
        <v>1413</v>
      </c>
      <c r="E3369" s="159"/>
      <c r="F3369" s="159" t="s">
        <v>5665</v>
      </c>
      <c r="G3369" s="159" t="s">
        <v>10281</v>
      </c>
    </row>
    <row r="3370" spans="1:7" ht="15.75" customHeight="1">
      <c r="A3370" s="159" t="s">
        <v>9275</v>
      </c>
      <c r="B3370" s="159" t="s">
        <v>10023</v>
      </c>
      <c r="C3370" s="159" t="s">
        <v>10287</v>
      </c>
      <c r="D3370" s="159" t="s">
        <v>484</v>
      </c>
      <c r="E3370" s="159">
        <v>10</v>
      </c>
      <c r="F3370" s="159" t="s">
        <v>5665</v>
      </c>
      <c r="G3370" s="159" t="s">
        <v>10237</v>
      </c>
    </row>
    <row r="3371" spans="1:7" ht="15.75" customHeight="1">
      <c r="A3371" s="159" t="s">
        <v>9275</v>
      </c>
      <c r="B3371" s="159" t="s">
        <v>10023</v>
      </c>
      <c r="C3371" s="159" t="s">
        <v>11155</v>
      </c>
      <c r="D3371" s="159" t="s">
        <v>477</v>
      </c>
      <c r="E3371" s="159">
        <v>50</v>
      </c>
      <c r="F3371" s="159" t="s">
        <v>5667</v>
      </c>
      <c r="G3371" s="159" t="s">
        <v>11156</v>
      </c>
    </row>
    <row r="3372" spans="1:7" ht="15.75" customHeight="1">
      <c r="A3372" s="159" t="s">
        <v>9275</v>
      </c>
      <c r="B3372" s="159" t="s">
        <v>10023</v>
      </c>
      <c r="C3372" s="159" t="s">
        <v>10290</v>
      </c>
      <c r="D3372" s="159" t="s">
        <v>978</v>
      </c>
      <c r="E3372" s="159">
        <v>5</v>
      </c>
      <c r="F3372" s="159" t="s">
        <v>5667</v>
      </c>
      <c r="G3372" s="159" t="s">
        <v>10507</v>
      </c>
    </row>
    <row r="3373" spans="1:7" ht="15.75" customHeight="1">
      <c r="A3373" s="159" t="s">
        <v>9275</v>
      </c>
      <c r="B3373" s="159" t="s">
        <v>10023</v>
      </c>
      <c r="C3373" s="159" t="s">
        <v>10748</v>
      </c>
      <c r="D3373" s="159" t="s">
        <v>477</v>
      </c>
      <c r="E3373" s="159">
        <v>32</v>
      </c>
      <c r="F3373" s="159" t="s">
        <v>5665</v>
      </c>
      <c r="G3373" s="159" t="s">
        <v>10749</v>
      </c>
    </row>
    <row r="3374" spans="1:7" ht="15.75" customHeight="1">
      <c r="A3374" s="159" t="s">
        <v>9275</v>
      </c>
      <c r="B3374" s="159" t="s">
        <v>10023</v>
      </c>
      <c r="C3374" s="159" t="s">
        <v>3635</v>
      </c>
      <c r="D3374" s="159" t="s">
        <v>484</v>
      </c>
      <c r="E3374" s="159">
        <v>10</v>
      </c>
      <c r="F3374" s="159" t="s">
        <v>5665</v>
      </c>
      <c r="G3374" s="159" t="s">
        <v>10722</v>
      </c>
    </row>
    <row r="3375" spans="1:7" ht="15.75" customHeight="1">
      <c r="A3375" s="159" t="s">
        <v>9275</v>
      </c>
      <c r="B3375" s="159" t="s">
        <v>10023</v>
      </c>
      <c r="C3375" s="159" t="s">
        <v>12455</v>
      </c>
      <c r="D3375" s="159" t="s">
        <v>1413</v>
      </c>
      <c r="E3375" s="159"/>
      <c r="F3375" s="159" t="s">
        <v>5665</v>
      </c>
      <c r="G3375" s="159" t="s">
        <v>10749</v>
      </c>
    </row>
    <row r="3376" spans="1:7" ht="15.75" customHeight="1">
      <c r="A3376" s="159" t="s">
        <v>9275</v>
      </c>
      <c r="B3376" s="159" t="s">
        <v>10023</v>
      </c>
      <c r="C3376" s="159" t="s">
        <v>3941</v>
      </c>
      <c r="D3376" s="159" t="s">
        <v>477</v>
      </c>
      <c r="E3376" s="159">
        <v>128</v>
      </c>
      <c r="F3376" s="159" t="s">
        <v>5665</v>
      </c>
      <c r="G3376" s="159" t="s">
        <v>10750</v>
      </c>
    </row>
    <row r="3377" spans="1:7" ht="15.75" customHeight="1">
      <c r="A3377" s="159" t="s">
        <v>9275</v>
      </c>
      <c r="B3377" s="159" t="s">
        <v>10023</v>
      </c>
      <c r="C3377" s="159" t="s">
        <v>12471</v>
      </c>
      <c r="D3377" s="159" t="s">
        <v>481</v>
      </c>
      <c r="E3377" s="159">
        <v>12</v>
      </c>
      <c r="F3377" s="159" t="s">
        <v>5667</v>
      </c>
      <c r="G3377" s="159" t="s">
        <v>12472</v>
      </c>
    </row>
    <row r="3378" spans="1:7" ht="15.75" customHeight="1">
      <c r="A3378" s="159" t="s">
        <v>9275</v>
      </c>
      <c r="B3378" s="159" t="s">
        <v>10023</v>
      </c>
      <c r="C3378" s="159" t="s">
        <v>12809</v>
      </c>
      <c r="D3378" s="159" t="s">
        <v>484</v>
      </c>
      <c r="E3378" s="159">
        <v>10</v>
      </c>
      <c r="F3378" s="159" t="s">
        <v>5667</v>
      </c>
      <c r="G3378" s="159" t="s">
        <v>12810</v>
      </c>
    </row>
    <row r="3379" spans="1:7" ht="15.75" customHeight="1">
      <c r="A3379" s="159" t="s">
        <v>9275</v>
      </c>
      <c r="B3379" s="159" t="s">
        <v>10023</v>
      </c>
      <c r="C3379" s="159" t="s">
        <v>3762</v>
      </c>
      <c r="D3379" s="159" t="s">
        <v>477</v>
      </c>
      <c r="E3379" s="159">
        <v>32</v>
      </c>
      <c r="F3379" s="159" t="s">
        <v>5667</v>
      </c>
      <c r="G3379" s="159" t="s">
        <v>12815</v>
      </c>
    </row>
    <row r="3380" spans="1:7" ht="15.75" customHeight="1">
      <c r="A3380" s="159" t="s">
        <v>9275</v>
      </c>
      <c r="B3380" s="159" t="s">
        <v>10023</v>
      </c>
      <c r="C3380" s="159" t="s">
        <v>12459</v>
      </c>
      <c r="D3380" s="159" t="s">
        <v>477</v>
      </c>
      <c r="E3380" s="159">
        <v>255</v>
      </c>
      <c r="F3380" s="159" t="s">
        <v>5667</v>
      </c>
      <c r="G3380" s="159" t="s">
        <v>12460</v>
      </c>
    </row>
    <row r="3381" spans="1:7" ht="15.75" customHeight="1">
      <c r="A3381" s="159" t="s">
        <v>9275</v>
      </c>
      <c r="B3381" s="159" t="s">
        <v>10023</v>
      </c>
      <c r="C3381" s="159" t="s">
        <v>12461</v>
      </c>
      <c r="D3381" s="159" t="s">
        <v>477</v>
      </c>
      <c r="E3381" s="159">
        <v>255</v>
      </c>
      <c r="F3381" s="159" t="s">
        <v>5667</v>
      </c>
      <c r="G3381" s="159" t="s">
        <v>12462</v>
      </c>
    </row>
    <row r="3382" spans="1:7" ht="15.75" customHeight="1">
      <c r="A3382" s="159" t="s">
        <v>9275</v>
      </c>
      <c r="B3382" s="159" t="s">
        <v>10023</v>
      </c>
      <c r="C3382" s="159" t="s">
        <v>12457</v>
      </c>
      <c r="D3382" s="159" t="s">
        <v>477</v>
      </c>
      <c r="E3382" s="159">
        <v>128</v>
      </c>
      <c r="F3382" s="159" t="s">
        <v>5667</v>
      </c>
      <c r="G3382" s="159" t="s">
        <v>12458</v>
      </c>
    </row>
    <row r="3383" spans="1:7" ht="15.75" customHeight="1">
      <c r="A3383" s="159" t="s">
        <v>9275</v>
      </c>
      <c r="B3383" s="159" t="s">
        <v>10023</v>
      </c>
      <c r="C3383" s="159" t="s">
        <v>12658</v>
      </c>
      <c r="D3383" s="159" t="s">
        <v>477</v>
      </c>
      <c r="E3383" s="159">
        <v>128</v>
      </c>
      <c r="F3383" s="159" t="s">
        <v>5667</v>
      </c>
      <c r="G3383" s="159" t="s">
        <v>12659</v>
      </c>
    </row>
    <row r="3384" spans="1:7" ht="15.75" customHeight="1">
      <c r="A3384" s="159" t="s">
        <v>9275</v>
      </c>
      <c r="B3384" s="159" t="s">
        <v>10023</v>
      </c>
      <c r="C3384" s="159" t="s">
        <v>11767</v>
      </c>
      <c r="D3384" s="159" t="s">
        <v>477</v>
      </c>
      <c r="E3384" s="159">
        <v>128</v>
      </c>
      <c r="F3384" s="159" t="s">
        <v>5667</v>
      </c>
      <c r="G3384" s="159" t="s">
        <v>11477</v>
      </c>
    </row>
    <row r="3385" spans="1:7" ht="15.75" customHeight="1">
      <c r="A3385" s="159" t="s">
        <v>9275</v>
      </c>
      <c r="B3385" s="159" t="s">
        <v>10023</v>
      </c>
      <c r="C3385" s="159" t="s">
        <v>10884</v>
      </c>
      <c r="D3385" s="159" t="s">
        <v>484</v>
      </c>
      <c r="E3385" s="159">
        <v>10</v>
      </c>
      <c r="F3385" s="159" t="s">
        <v>5667</v>
      </c>
      <c r="G3385" s="159"/>
    </row>
    <row r="3386" spans="1:7" ht="15.75" customHeight="1">
      <c r="A3386" s="159" t="s">
        <v>9275</v>
      </c>
      <c r="B3386" s="159" t="s">
        <v>10023</v>
      </c>
      <c r="C3386" s="159" t="s">
        <v>10752</v>
      </c>
      <c r="D3386" s="159" t="s">
        <v>477</v>
      </c>
      <c r="E3386" s="159">
        <v>32</v>
      </c>
      <c r="F3386" s="159" t="s">
        <v>5667</v>
      </c>
      <c r="G3386" s="159" t="s">
        <v>10753</v>
      </c>
    </row>
    <row r="3387" spans="1:7" ht="15.75" customHeight="1">
      <c r="A3387" s="159" t="s">
        <v>9275</v>
      </c>
      <c r="B3387" s="159" t="s">
        <v>10023</v>
      </c>
      <c r="C3387" s="159" t="s">
        <v>12463</v>
      </c>
      <c r="D3387" s="159" t="s">
        <v>477</v>
      </c>
      <c r="E3387" s="159">
        <v>255</v>
      </c>
      <c r="F3387" s="159" t="s">
        <v>5667</v>
      </c>
      <c r="G3387" s="159" t="s">
        <v>12464</v>
      </c>
    </row>
    <row r="3388" spans="1:7" ht="15.75" customHeight="1">
      <c r="A3388" s="159" t="s">
        <v>9275</v>
      </c>
      <c r="B3388" s="159" t="s">
        <v>10023</v>
      </c>
      <c r="C3388" s="159" t="s">
        <v>10190</v>
      </c>
      <c r="D3388" s="159" t="s">
        <v>1413</v>
      </c>
      <c r="E3388" s="159"/>
      <c r="F3388" s="159" t="s">
        <v>5667</v>
      </c>
      <c r="G3388" s="159" t="s">
        <v>10281</v>
      </c>
    </row>
    <row r="3389" spans="1:7" ht="15.75" customHeight="1">
      <c r="A3389" s="159" t="s">
        <v>9275</v>
      </c>
      <c r="B3389" s="159" t="s">
        <v>10023</v>
      </c>
      <c r="C3389" s="159" t="s">
        <v>10242</v>
      </c>
      <c r="D3389" s="159" t="s">
        <v>1413</v>
      </c>
      <c r="E3389" s="159"/>
      <c r="F3389" s="159" t="s">
        <v>5667</v>
      </c>
      <c r="G3389" s="159" t="s">
        <v>10282</v>
      </c>
    </row>
    <row r="3390" spans="1:7" ht="15.75" customHeight="1">
      <c r="A3390" s="159" t="s">
        <v>9275</v>
      </c>
      <c r="B3390" s="159" t="s">
        <v>10025</v>
      </c>
      <c r="C3390" s="159" t="s">
        <v>10287</v>
      </c>
      <c r="D3390" s="159" t="s">
        <v>484</v>
      </c>
      <c r="E3390" s="159">
        <v>10</v>
      </c>
      <c r="F3390" s="159" t="s">
        <v>5665</v>
      </c>
      <c r="G3390" s="159" t="s">
        <v>10237</v>
      </c>
    </row>
    <row r="3391" spans="1:7" ht="15.75" customHeight="1">
      <c r="A3391" s="159" t="s">
        <v>9275</v>
      </c>
      <c r="B3391" s="159" t="s">
        <v>10025</v>
      </c>
      <c r="C3391" s="159" t="s">
        <v>5678</v>
      </c>
      <c r="D3391" s="159" t="s">
        <v>484</v>
      </c>
      <c r="E3391" s="159">
        <v>10</v>
      </c>
      <c r="F3391" s="159" t="s">
        <v>5665</v>
      </c>
      <c r="G3391" s="159" t="s">
        <v>10877</v>
      </c>
    </row>
    <row r="3392" spans="1:7" ht="15.75" customHeight="1">
      <c r="A3392" s="159" t="s">
        <v>9275</v>
      </c>
      <c r="B3392" s="159" t="s">
        <v>10025</v>
      </c>
      <c r="C3392" s="159" t="s">
        <v>12228</v>
      </c>
      <c r="D3392" s="159" t="s">
        <v>481</v>
      </c>
      <c r="E3392" s="159">
        <v>20</v>
      </c>
      <c r="F3392" s="159" t="s">
        <v>5667</v>
      </c>
      <c r="G3392" s="159" t="s">
        <v>12229</v>
      </c>
    </row>
    <row r="3393" spans="1:7" ht="15.75" customHeight="1">
      <c r="A3393" s="159" t="s">
        <v>9275</v>
      </c>
      <c r="B3393" s="159" t="s">
        <v>10025</v>
      </c>
      <c r="C3393" s="159" t="s">
        <v>10942</v>
      </c>
      <c r="D3393" s="159" t="s">
        <v>481</v>
      </c>
      <c r="E3393" s="159">
        <v>20</v>
      </c>
      <c r="F3393" s="159" t="s">
        <v>5667</v>
      </c>
      <c r="G3393" s="159" t="s">
        <v>3497</v>
      </c>
    </row>
    <row r="3394" spans="1:7" ht="15.75" customHeight="1">
      <c r="A3394" s="159" t="s">
        <v>9275</v>
      </c>
      <c r="B3394" s="159" t="s">
        <v>10025</v>
      </c>
      <c r="C3394" s="159" t="s">
        <v>5882</v>
      </c>
      <c r="D3394" s="159" t="s">
        <v>481</v>
      </c>
      <c r="E3394" s="159">
        <v>12</v>
      </c>
      <c r="F3394" s="159" t="s">
        <v>5667</v>
      </c>
      <c r="G3394" s="159" t="s">
        <v>3277</v>
      </c>
    </row>
    <row r="3395" spans="1:7" ht="15.75" customHeight="1">
      <c r="A3395" s="159" t="s">
        <v>9275</v>
      </c>
      <c r="B3395" s="159" t="s">
        <v>10025</v>
      </c>
      <c r="C3395" s="159" t="s">
        <v>1826</v>
      </c>
      <c r="D3395" s="159" t="s">
        <v>481</v>
      </c>
      <c r="E3395" s="159">
        <v>12</v>
      </c>
      <c r="F3395" s="159" t="s">
        <v>5667</v>
      </c>
      <c r="G3395" s="159" t="s">
        <v>2415</v>
      </c>
    </row>
    <row r="3396" spans="1:7" ht="15.75" customHeight="1">
      <c r="A3396" s="159" t="s">
        <v>9275</v>
      </c>
      <c r="B3396" s="159" t="s">
        <v>10025</v>
      </c>
      <c r="C3396" s="159" t="s">
        <v>1394</v>
      </c>
      <c r="D3396" s="159" t="s">
        <v>484</v>
      </c>
      <c r="E3396" s="159">
        <v>10</v>
      </c>
      <c r="F3396" s="159" t="s">
        <v>5667</v>
      </c>
      <c r="G3396" s="159" t="s">
        <v>4828</v>
      </c>
    </row>
    <row r="3397" spans="1:7" ht="15.75" customHeight="1">
      <c r="A3397" s="159" t="s">
        <v>9275</v>
      </c>
      <c r="B3397" s="159" t="s">
        <v>10025</v>
      </c>
      <c r="C3397" s="159" t="s">
        <v>10680</v>
      </c>
      <c r="D3397" s="159" t="s">
        <v>484</v>
      </c>
      <c r="E3397" s="159">
        <v>10</v>
      </c>
      <c r="F3397" s="159" t="s">
        <v>5667</v>
      </c>
      <c r="G3397" s="159" t="s">
        <v>11324</v>
      </c>
    </row>
    <row r="3398" spans="1:7" ht="15.75" customHeight="1">
      <c r="A3398" s="159" t="s">
        <v>9275</v>
      </c>
      <c r="B3398" s="159" t="s">
        <v>10025</v>
      </c>
      <c r="C3398" s="159" t="s">
        <v>10875</v>
      </c>
      <c r="D3398" s="159" t="s">
        <v>3893</v>
      </c>
      <c r="E3398" s="159">
        <v>65535</v>
      </c>
      <c r="F3398" s="159" t="s">
        <v>5667</v>
      </c>
      <c r="G3398" s="159" t="s">
        <v>12227</v>
      </c>
    </row>
    <row r="3399" spans="1:7" ht="15.75" customHeight="1">
      <c r="A3399" s="159" t="s">
        <v>9275</v>
      </c>
      <c r="B3399" s="159" t="s">
        <v>10025</v>
      </c>
      <c r="C3399" s="159" t="s">
        <v>5891</v>
      </c>
      <c r="D3399" s="159" t="s">
        <v>3893</v>
      </c>
      <c r="E3399" s="159">
        <v>65535</v>
      </c>
      <c r="F3399" s="159" t="s">
        <v>5667</v>
      </c>
      <c r="G3399" s="159" t="s">
        <v>1729</v>
      </c>
    </row>
    <row r="3400" spans="1:7" ht="15.75" customHeight="1">
      <c r="A3400" s="159" t="s">
        <v>9275</v>
      </c>
      <c r="B3400" s="159" t="s">
        <v>10025</v>
      </c>
      <c r="C3400" s="159" t="s">
        <v>156</v>
      </c>
      <c r="D3400" s="159" t="s">
        <v>477</v>
      </c>
      <c r="E3400" s="159">
        <v>255</v>
      </c>
      <c r="F3400" s="159" t="s">
        <v>5667</v>
      </c>
      <c r="G3400" s="159" t="s">
        <v>4306</v>
      </c>
    </row>
    <row r="3401" spans="1:7" ht="15.75" customHeight="1">
      <c r="A3401" s="159" t="s">
        <v>9275</v>
      </c>
      <c r="B3401" s="159" t="s">
        <v>10025</v>
      </c>
      <c r="C3401" s="159" t="s">
        <v>5624</v>
      </c>
      <c r="D3401" s="159" t="s">
        <v>477</v>
      </c>
      <c r="E3401" s="159">
        <v>255</v>
      </c>
      <c r="F3401" s="159" t="s">
        <v>5667</v>
      </c>
      <c r="G3401" s="159" t="s">
        <v>12238</v>
      </c>
    </row>
    <row r="3402" spans="1:7" ht="15.75" customHeight="1">
      <c r="A3402" s="159" t="s">
        <v>9275</v>
      </c>
      <c r="B3402" s="159" t="s">
        <v>10027</v>
      </c>
      <c r="C3402" s="159" t="s">
        <v>10287</v>
      </c>
      <c r="D3402" s="159" t="s">
        <v>484</v>
      </c>
      <c r="E3402" s="159">
        <v>10</v>
      </c>
      <c r="F3402" s="159" t="s">
        <v>5665</v>
      </c>
      <c r="G3402" s="159" t="s">
        <v>10237</v>
      </c>
    </row>
    <row r="3403" spans="1:7" ht="15.75" customHeight="1">
      <c r="A3403" s="159" t="s">
        <v>9275</v>
      </c>
      <c r="B3403" s="159" t="s">
        <v>10027</v>
      </c>
      <c r="C3403" s="159" t="s">
        <v>5678</v>
      </c>
      <c r="D3403" s="159" t="s">
        <v>484</v>
      </c>
      <c r="E3403" s="159">
        <v>10</v>
      </c>
      <c r="F3403" s="159" t="s">
        <v>5665</v>
      </c>
      <c r="G3403" s="159" t="s">
        <v>10877</v>
      </c>
    </row>
    <row r="3404" spans="1:7" ht="15.75" customHeight="1">
      <c r="A3404" s="159" t="s">
        <v>9275</v>
      </c>
      <c r="B3404" s="159" t="s">
        <v>10027</v>
      </c>
      <c r="C3404" s="159" t="s">
        <v>5882</v>
      </c>
      <c r="D3404" s="159" t="s">
        <v>481</v>
      </c>
      <c r="E3404" s="159">
        <v>12</v>
      </c>
      <c r="F3404" s="159" t="s">
        <v>5667</v>
      </c>
      <c r="G3404" s="159" t="s">
        <v>3277</v>
      </c>
    </row>
    <row r="3405" spans="1:7" ht="15.75" customHeight="1">
      <c r="A3405" s="159" t="s">
        <v>9275</v>
      </c>
      <c r="B3405" s="159" t="s">
        <v>10027</v>
      </c>
      <c r="C3405" s="159" t="s">
        <v>1826</v>
      </c>
      <c r="D3405" s="159" t="s">
        <v>481</v>
      </c>
      <c r="E3405" s="159">
        <v>12</v>
      </c>
      <c r="F3405" s="159" t="s">
        <v>5667</v>
      </c>
      <c r="G3405" s="159" t="s">
        <v>2415</v>
      </c>
    </row>
    <row r="3406" spans="1:7" ht="15.75" customHeight="1">
      <c r="A3406" s="159" t="s">
        <v>9275</v>
      </c>
      <c r="B3406" s="159" t="s">
        <v>10027</v>
      </c>
      <c r="C3406" s="159" t="s">
        <v>3635</v>
      </c>
      <c r="D3406" s="159" t="s">
        <v>484</v>
      </c>
      <c r="E3406" s="159">
        <v>10</v>
      </c>
      <c r="F3406" s="159" t="s">
        <v>5665</v>
      </c>
      <c r="G3406" s="159" t="s">
        <v>10722</v>
      </c>
    </row>
    <row r="3407" spans="1:7" ht="15.75" customHeight="1">
      <c r="A3407" s="159" t="s">
        <v>9275</v>
      </c>
      <c r="B3407" s="159" t="s">
        <v>10027</v>
      </c>
      <c r="C3407" s="159" t="s">
        <v>12816</v>
      </c>
      <c r="D3407" s="159" t="s">
        <v>3893</v>
      </c>
      <c r="E3407" s="159">
        <v>65535</v>
      </c>
      <c r="F3407" s="159" t="s">
        <v>5667</v>
      </c>
      <c r="G3407" s="159" t="s">
        <v>8697</v>
      </c>
    </row>
    <row r="3408" spans="1:7" ht="15.75" customHeight="1">
      <c r="A3408" s="159" t="s">
        <v>9275</v>
      </c>
      <c r="B3408" s="159" t="s">
        <v>10027</v>
      </c>
      <c r="C3408" s="159" t="s">
        <v>5891</v>
      </c>
      <c r="D3408" s="159" t="s">
        <v>3893</v>
      </c>
      <c r="E3408" s="159">
        <v>65535</v>
      </c>
      <c r="F3408" s="159" t="s">
        <v>5667</v>
      </c>
      <c r="G3408" s="159" t="s">
        <v>1729</v>
      </c>
    </row>
    <row r="3409" spans="1:7" ht="15.75" customHeight="1">
      <c r="A3409" s="159" t="s">
        <v>9275</v>
      </c>
      <c r="B3409" s="159" t="s">
        <v>10027</v>
      </c>
      <c r="C3409" s="159" t="s">
        <v>5676</v>
      </c>
      <c r="D3409" s="159" t="s">
        <v>477</v>
      </c>
      <c r="E3409" s="159">
        <v>255</v>
      </c>
      <c r="F3409" s="159" t="s">
        <v>5667</v>
      </c>
      <c r="G3409" s="159" t="s">
        <v>5186</v>
      </c>
    </row>
    <row r="3410" spans="1:7" ht="15.75" customHeight="1">
      <c r="A3410" s="159" t="s">
        <v>9275</v>
      </c>
      <c r="B3410" s="159" t="s">
        <v>10027</v>
      </c>
      <c r="C3410" s="159" t="s">
        <v>11712</v>
      </c>
      <c r="D3410" s="159" t="s">
        <v>477</v>
      </c>
      <c r="E3410" s="159">
        <v>32</v>
      </c>
      <c r="F3410" s="159" t="s">
        <v>5667</v>
      </c>
      <c r="G3410" s="159" t="s">
        <v>12817</v>
      </c>
    </row>
    <row r="3411" spans="1:7" ht="15.75" customHeight="1">
      <c r="A3411" s="159" t="s">
        <v>9275</v>
      </c>
      <c r="B3411" s="159" t="s">
        <v>10027</v>
      </c>
      <c r="C3411" s="159" t="s">
        <v>10190</v>
      </c>
      <c r="D3411" s="159" t="s">
        <v>1413</v>
      </c>
      <c r="E3411" s="159"/>
      <c r="F3411" s="159" t="s">
        <v>5665</v>
      </c>
      <c r="G3411" s="159" t="s">
        <v>10281</v>
      </c>
    </row>
    <row r="3412" spans="1:7" ht="15.75" customHeight="1">
      <c r="A3412" s="159" t="s">
        <v>9275</v>
      </c>
      <c r="B3412" s="159" t="s">
        <v>10027</v>
      </c>
      <c r="C3412" s="159" t="s">
        <v>10242</v>
      </c>
      <c r="D3412" s="159" t="s">
        <v>1413</v>
      </c>
      <c r="E3412" s="159"/>
      <c r="F3412" s="159" t="s">
        <v>5665</v>
      </c>
      <c r="G3412" s="159" t="s">
        <v>10282</v>
      </c>
    </row>
    <row r="3413" spans="1:7" ht="15.75" customHeight="1">
      <c r="A3413" s="159" t="s">
        <v>9275</v>
      </c>
      <c r="B3413" s="159" t="s">
        <v>10029</v>
      </c>
      <c r="C3413" s="159" t="s">
        <v>3897</v>
      </c>
      <c r="D3413" s="159" t="s">
        <v>484</v>
      </c>
      <c r="E3413" s="159">
        <v>10</v>
      </c>
      <c r="F3413" s="159" t="s">
        <v>5665</v>
      </c>
      <c r="G3413" s="159" t="s">
        <v>325</v>
      </c>
    </row>
    <row r="3414" spans="1:7" ht="15.75" customHeight="1">
      <c r="A3414" s="159" t="s">
        <v>9275</v>
      </c>
      <c r="B3414" s="159" t="s">
        <v>10029</v>
      </c>
      <c r="C3414" s="159" t="s">
        <v>12383</v>
      </c>
      <c r="D3414" s="159" t="s">
        <v>1974</v>
      </c>
      <c r="E3414" s="159"/>
      <c r="F3414" s="159" t="s">
        <v>5667</v>
      </c>
      <c r="G3414" s="159" t="s">
        <v>6156</v>
      </c>
    </row>
    <row r="3415" spans="1:7" ht="15.75" customHeight="1">
      <c r="A3415" s="159" t="s">
        <v>9275</v>
      </c>
      <c r="B3415" s="159" t="s">
        <v>10029</v>
      </c>
      <c r="C3415" s="159" t="s">
        <v>10290</v>
      </c>
      <c r="D3415" s="159" t="s">
        <v>978</v>
      </c>
      <c r="E3415" s="159">
        <v>5</v>
      </c>
      <c r="F3415" s="159" t="s">
        <v>5667</v>
      </c>
      <c r="G3415" s="159" t="s">
        <v>10507</v>
      </c>
    </row>
    <row r="3416" spans="1:7" ht="15.75" customHeight="1">
      <c r="A3416" s="159" t="s">
        <v>9275</v>
      </c>
      <c r="B3416" s="159" t="s">
        <v>10029</v>
      </c>
      <c r="C3416" s="159" t="s">
        <v>3762</v>
      </c>
      <c r="D3416" s="159" t="s">
        <v>477</v>
      </c>
      <c r="E3416" s="159">
        <v>50</v>
      </c>
      <c r="F3416" s="159" t="s">
        <v>5667</v>
      </c>
      <c r="G3416" s="159" t="s">
        <v>11525</v>
      </c>
    </row>
    <row r="3417" spans="1:7" ht="15.75" customHeight="1">
      <c r="A3417" s="159" t="s">
        <v>9275</v>
      </c>
      <c r="B3417" s="159" t="s">
        <v>10029</v>
      </c>
      <c r="C3417" s="159" t="s">
        <v>12167</v>
      </c>
      <c r="D3417" s="159" t="s">
        <v>477</v>
      </c>
      <c r="E3417" s="159">
        <v>255</v>
      </c>
      <c r="F3417" s="159" t="s">
        <v>5667</v>
      </c>
      <c r="G3417" s="159" t="s">
        <v>12168</v>
      </c>
    </row>
    <row r="3418" spans="1:7" ht="15.75" customHeight="1">
      <c r="A3418" s="159" t="s">
        <v>9275</v>
      </c>
      <c r="B3418" s="159" t="s">
        <v>10029</v>
      </c>
      <c r="C3418" s="159" t="s">
        <v>12481</v>
      </c>
      <c r="D3418" s="159" t="s">
        <v>484</v>
      </c>
      <c r="E3418" s="159">
        <v>10</v>
      </c>
      <c r="F3418" s="159" t="s">
        <v>5665</v>
      </c>
      <c r="G3418" s="159" t="s">
        <v>12482</v>
      </c>
    </row>
    <row r="3419" spans="1:7" ht="15.75" customHeight="1">
      <c r="A3419" s="159" t="s">
        <v>9275</v>
      </c>
      <c r="B3419" s="159" t="s">
        <v>10029</v>
      </c>
      <c r="C3419" s="159" t="s">
        <v>12818</v>
      </c>
      <c r="D3419" s="159" t="s">
        <v>481</v>
      </c>
      <c r="E3419" s="159">
        <v>20</v>
      </c>
      <c r="F3419" s="159" t="s">
        <v>5667</v>
      </c>
      <c r="G3419" s="159" t="s">
        <v>12819</v>
      </c>
    </row>
    <row r="3420" spans="1:7" ht="15.75" customHeight="1">
      <c r="A3420" s="159" t="s">
        <v>9275</v>
      </c>
      <c r="B3420" s="159" t="s">
        <v>10029</v>
      </c>
      <c r="C3420" s="159" t="s">
        <v>12820</v>
      </c>
      <c r="D3420" s="159" t="s">
        <v>481</v>
      </c>
      <c r="E3420" s="159">
        <v>20</v>
      </c>
      <c r="F3420" s="159" t="s">
        <v>5667</v>
      </c>
      <c r="G3420" s="159" t="s">
        <v>12821</v>
      </c>
    </row>
    <row r="3421" spans="1:7" ht="15.75" customHeight="1">
      <c r="A3421" s="159" t="s">
        <v>9275</v>
      </c>
      <c r="B3421" s="159" t="s">
        <v>10031</v>
      </c>
      <c r="C3421" s="159" t="s">
        <v>3897</v>
      </c>
      <c r="D3421" s="159" t="s">
        <v>484</v>
      </c>
      <c r="E3421" s="159">
        <v>10</v>
      </c>
      <c r="F3421" s="159" t="s">
        <v>5665</v>
      </c>
      <c r="G3421" s="159" t="s">
        <v>325</v>
      </c>
    </row>
    <row r="3422" spans="1:7" ht="15.75" customHeight="1">
      <c r="A3422" s="159" t="s">
        <v>9275</v>
      </c>
      <c r="B3422" s="159" t="s">
        <v>10031</v>
      </c>
      <c r="C3422" s="159" t="s">
        <v>12383</v>
      </c>
      <c r="D3422" s="159" t="s">
        <v>1974</v>
      </c>
      <c r="E3422" s="159"/>
      <c r="F3422" s="159" t="s">
        <v>5667</v>
      </c>
      <c r="G3422" s="159" t="s">
        <v>6156</v>
      </c>
    </row>
    <row r="3423" spans="1:7" ht="15.75" customHeight="1">
      <c r="A3423" s="159" t="s">
        <v>9275</v>
      </c>
      <c r="B3423" s="159" t="s">
        <v>10031</v>
      </c>
      <c r="C3423" s="159" t="s">
        <v>10290</v>
      </c>
      <c r="D3423" s="159" t="s">
        <v>978</v>
      </c>
      <c r="E3423" s="159">
        <v>5</v>
      </c>
      <c r="F3423" s="159" t="s">
        <v>5667</v>
      </c>
      <c r="G3423" s="159" t="s">
        <v>10507</v>
      </c>
    </row>
    <row r="3424" spans="1:7" ht="15.75" customHeight="1">
      <c r="A3424" s="159" t="s">
        <v>9275</v>
      </c>
      <c r="B3424" s="159" t="s">
        <v>10031</v>
      </c>
      <c r="C3424" s="159" t="s">
        <v>3762</v>
      </c>
      <c r="D3424" s="159" t="s">
        <v>477</v>
      </c>
      <c r="E3424" s="159">
        <v>50</v>
      </c>
      <c r="F3424" s="159" t="s">
        <v>5667</v>
      </c>
      <c r="G3424" s="159" t="s">
        <v>11525</v>
      </c>
    </row>
    <row r="3425" spans="1:7" ht="15.75" customHeight="1">
      <c r="A3425" s="159" t="s">
        <v>9275</v>
      </c>
      <c r="B3425" s="159" t="s">
        <v>10031</v>
      </c>
      <c r="C3425" s="159" t="s">
        <v>12167</v>
      </c>
      <c r="D3425" s="159" t="s">
        <v>477</v>
      </c>
      <c r="E3425" s="159">
        <v>255</v>
      </c>
      <c r="F3425" s="159" t="s">
        <v>5667</v>
      </c>
      <c r="G3425" s="159" t="s">
        <v>12168</v>
      </c>
    </row>
    <row r="3426" spans="1:7" ht="15.75" customHeight="1">
      <c r="A3426" s="159" t="s">
        <v>9275</v>
      </c>
      <c r="B3426" s="159" t="s">
        <v>10031</v>
      </c>
      <c r="C3426" s="159" t="s">
        <v>12481</v>
      </c>
      <c r="D3426" s="159" t="s">
        <v>484</v>
      </c>
      <c r="E3426" s="159">
        <v>10</v>
      </c>
      <c r="F3426" s="159" t="s">
        <v>5665</v>
      </c>
      <c r="G3426" s="159" t="s">
        <v>12482</v>
      </c>
    </row>
    <row r="3427" spans="1:7" ht="15.75" customHeight="1">
      <c r="A3427" s="159" t="s">
        <v>9275</v>
      </c>
      <c r="B3427" s="159" t="s">
        <v>10031</v>
      </c>
      <c r="C3427" s="159" t="s">
        <v>12818</v>
      </c>
      <c r="D3427" s="159" t="s">
        <v>481</v>
      </c>
      <c r="E3427" s="159">
        <v>20</v>
      </c>
      <c r="F3427" s="159" t="s">
        <v>5667</v>
      </c>
      <c r="G3427" s="159" t="s">
        <v>12819</v>
      </c>
    </row>
    <row r="3428" spans="1:7" ht="15.75" customHeight="1">
      <c r="A3428" s="159" t="s">
        <v>9275</v>
      </c>
      <c r="B3428" s="159" t="s">
        <v>10031</v>
      </c>
      <c r="C3428" s="159" t="s">
        <v>12820</v>
      </c>
      <c r="D3428" s="159" t="s">
        <v>481</v>
      </c>
      <c r="E3428" s="159">
        <v>20</v>
      </c>
      <c r="F3428" s="159" t="s">
        <v>5667</v>
      </c>
      <c r="G3428" s="159" t="s">
        <v>12821</v>
      </c>
    </row>
    <row r="3429" spans="1:7" ht="15.75" customHeight="1">
      <c r="A3429" s="159" t="s">
        <v>9275</v>
      </c>
      <c r="B3429" s="159" t="s">
        <v>10033</v>
      </c>
      <c r="C3429" s="159" t="s">
        <v>10735</v>
      </c>
      <c r="D3429" s="159" t="s">
        <v>484</v>
      </c>
      <c r="E3429" s="159">
        <v>10</v>
      </c>
      <c r="F3429" s="159" t="s">
        <v>5665</v>
      </c>
      <c r="G3429" s="159" t="s">
        <v>10237</v>
      </c>
    </row>
    <row r="3430" spans="1:7" ht="15.75" customHeight="1">
      <c r="A3430" s="159" t="s">
        <v>9275</v>
      </c>
      <c r="B3430" s="159" t="s">
        <v>10033</v>
      </c>
      <c r="C3430" s="159" t="s">
        <v>156</v>
      </c>
      <c r="D3430" s="159" t="s">
        <v>477</v>
      </c>
      <c r="E3430" s="159">
        <v>255</v>
      </c>
      <c r="F3430" s="159" t="s">
        <v>5667</v>
      </c>
      <c r="G3430" s="159" t="s">
        <v>4306</v>
      </c>
    </row>
    <row r="3431" spans="1:7" ht="15.75" customHeight="1">
      <c r="A3431" s="159" t="s">
        <v>9275</v>
      </c>
      <c r="B3431" s="159" t="s">
        <v>10033</v>
      </c>
      <c r="C3431" s="159" t="s">
        <v>5891</v>
      </c>
      <c r="D3431" s="159" t="s">
        <v>3893</v>
      </c>
      <c r="E3431" s="159">
        <v>65535</v>
      </c>
      <c r="F3431" s="159" t="s">
        <v>5667</v>
      </c>
      <c r="G3431" s="159" t="s">
        <v>1729</v>
      </c>
    </row>
    <row r="3432" spans="1:7" ht="15.75" customHeight="1">
      <c r="A3432" s="159" t="s">
        <v>9275</v>
      </c>
      <c r="B3432" s="159" t="s">
        <v>10033</v>
      </c>
      <c r="C3432" s="159" t="s">
        <v>11054</v>
      </c>
      <c r="D3432" s="159" t="s">
        <v>1974</v>
      </c>
      <c r="E3432" s="159"/>
      <c r="F3432" s="159" t="s">
        <v>5667</v>
      </c>
      <c r="G3432" s="159" t="s">
        <v>11055</v>
      </c>
    </row>
    <row r="3433" spans="1:7" ht="15.75" customHeight="1">
      <c r="A3433" s="159" t="s">
        <v>9275</v>
      </c>
      <c r="B3433" s="159" t="s">
        <v>10033</v>
      </c>
      <c r="C3433" s="159" t="s">
        <v>11056</v>
      </c>
      <c r="D3433" s="159" t="s">
        <v>1974</v>
      </c>
      <c r="E3433" s="159"/>
      <c r="F3433" s="159" t="s">
        <v>5667</v>
      </c>
      <c r="G3433" s="159" t="s">
        <v>11057</v>
      </c>
    </row>
    <row r="3434" spans="1:7" ht="15.75" customHeight="1">
      <c r="A3434" s="159" t="s">
        <v>9275</v>
      </c>
      <c r="B3434" s="159" t="s">
        <v>10033</v>
      </c>
      <c r="C3434" s="159" t="s">
        <v>12822</v>
      </c>
      <c r="D3434" s="159" t="s">
        <v>484</v>
      </c>
      <c r="E3434" s="159">
        <v>10</v>
      </c>
      <c r="F3434" s="159" t="s">
        <v>5665</v>
      </c>
      <c r="G3434" s="159" t="s">
        <v>12823</v>
      </c>
    </row>
    <row r="3435" spans="1:7" ht="15.75" customHeight="1">
      <c r="A3435" s="159" t="s">
        <v>9275</v>
      </c>
      <c r="B3435" s="159" t="s">
        <v>10033</v>
      </c>
      <c r="C3435" s="159" t="s">
        <v>10211</v>
      </c>
      <c r="D3435" s="159" t="s">
        <v>978</v>
      </c>
      <c r="E3435" s="159">
        <v>5</v>
      </c>
      <c r="F3435" s="159" t="s">
        <v>5665</v>
      </c>
      <c r="G3435" s="159" t="s">
        <v>10587</v>
      </c>
    </row>
    <row r="3436" spans="1:7" ht="15.75" customHeight="1">
      <c r="A3436" s="159" t="s">
        <v>9275</v>
      </c>
      <c r="B3436" s="159" t="s">
        <v>10033</v>
      </c>
      <c r="C3436" s="159" t="s">
        <v>10620</v>
      </c>
      <c r="D3436" s="159" t="s">
        <v>10334</v>
      </c>
      <c r="E3436" s="159">
        <v>16777215</v>
      </c>
      <c r="F3436" s="159" t="s">
        <v>5667</v>
      </c>
      <c r="G3436" s="159" t="s">
        <v>10621</v>
      </c>
    </row>
    <row r="3437" spans="1:7" ht="15.75" customHeight="1">
      <c r="A3437" s="159" t="s">
        <v>9275</v>
      </c>
      <c r="B3437" s="159" t="s">
        <v>10033</v>
      </c>
      <c r="C3437" s="159" t="s">
        <v>11058</v>
      </c>
      <c r="D3437" s="159" t="s">
        <v>10334</v>
      </c>
      <c r="E3437" s="159">
        <v>16777215</v>
      </c>
      <c r="F3437" s="159" t="s">
        <v>5667</v>
      </c>
      <c r="G3437" s="159" t="s">
        <v>11059</v>
      </c>
    </row>
    <row r="3438" spans="1:7" ht="15.75" customHeight="1">
      <c r="A3438" s="159" t="s">
        <v>9275</v>
      </c>
      <c r="B3438" s="159" t="s">
        <v>10033</v>
      </c>
      <c r="C3438" s="159" t="s">
        <v>11060</v>
      </c>
      <c r="D3438" s="159" t="s">
        <v>978</v>
      </c>
      <c r="E3438" s="159">
        <v>5</v>
      </c>
      <c r="F3438" s="159" t="s">
        <v>5665</v>
      </c>
      <c r="G3438" s="159" t="s">
        <v>11061</v>
      </c>
    </row>
    <row r="3439" spans="1:7" ht="15.75" customHeight="1">
      <c r="A3439" s="159" t="s">
        <v>9275</v>
      </c>
      <c r="B3439" s="159" t="s">
        <v>10033</v>
      </c>
      <c r="C3439" s="159" t="s">
        <v>12824</v>
      </c>
      <c r="D3439" s="159" t="s">
        <v>978</v>
      </c>
      <c r="E3439" s="159">
        <v>5</v>
      </c>
      <c r="F3439" s="159" t="s">
        <v>5665</v>
      </c>
      <c r="G3439" s="159" t="s">
        <v>12825</v>
      </c>
    </row>
    <row r="3440" spans="1:7" ht="15.75" customHeight="1">
      <c r="A3440" s="159" t="s">
        <v>9275</v>
      </c>
      <c r="B3440" s="159" t="s">
        <v>10033</v>
      </c>
      <c r="C3440" s="159" t="s">
        <v>12826</v>
      </c>
      <c r="D3440" s="159" t="s">
        <v>3893</v>
      </c>
      <c r="E3440" s="159">
        <v>65535</v>
      </c>
      <c r="F3440" s="159" t="s">
        <v>5667</v>
      </c>
      <c r="G3440" s="159" t="s">
        <v>12827</v>
      </c>
    </row>
    <row r="3441" spans="1:7" ht="15.75" customHeight="1">
      <c r="A3441" s="159" t="s">
        <v>9275</v>
      </c>
      <c r="B3441" s="159" t="s">
        <v>10033</v>
      </c>
      <c r="C3441" s="159" t="s">
        <v>10469</v>
      </c>
      <c r="D3441" s="159" t="s">
        <v>484</v>
      </c>
      <c r="E3441" s="159">
        <v>10</v>
      </c>
      <c r="F3441" s="159" t="s">
        <v>5665</v>
      </c>
      <c r="G3441" s="159" t="s">
        <v>10470</v>
      </c>
    </row>
    <row r="3442" spans="1:7" ht="15.75" customHeight="1">
      <c r="A3442" s="159" t="s">
        <v>9275</v>
      </c>
      <c r="B3442" s="159" t="s">
        <v>10033</v>
      </c>
      <c r="C3442" s="159" t="s">
        <v>11062</v>
      </c>
      <c r="D3442" s="159" t="s">
        <v>477</v>
      </c>
      <c r="E3442" s="159">
        <v>32</v>
      </c>
      <c r="F3442" s="159" t="s">
        <v>5667</v>
      </c>
      <c r="G3442" s="159" t="s">
        <v>11063</v>
      </c>
    </row>
    <row r="3443" spans="1:7" ht="15.75" customHeight="1">
      <c r="A3443" s="159" t="s">
        <v>9275</v>
      </c>
      <c r="B3443" s="159" t="s">
        <v>10033</v>
      </c>
      <c r="C3443" s="159" t="s">
        <v>5845</v>
      </c>
      <c r="D3443" s="159" t="s">
        <v>481</v>
      </c>
      <c r="E3443" s="159">
        <v>12</v>
      </c>
      <c r="F3443" s="159" t="s">
        <v>5665</v>
      </c>
      <c r="G3443" s="159" t="s">
        <v>11064</v>
      </c>
    </row>
    <row r="3444" spans="1:7" ht="15.75" customHeight="1">
      <c r="A3444" s="159" t="s">
        <v>9275</v>
      </c>
      <c r="B3444" s="159" t="s">
        <v>10033</v>
      </c>
      <c r="C3444" s="159" t="s">
        <v>12828</v>
      </c>
      <c r="D3444" s="159" t="s">
        <v>481</v>
      </c>
      <c r="E3444" s="159">
        <v>12</v>
      </c>
      <c r="F3444" s="159" t="s">
        <v>5667</v>
      </c>
      <c r="G3444" s="159" t="s">
        <v>12829</v>
      </c>
    </row>
    <row r="3445" spans="1:7" ht="15.75" customHeight="1">
      <c r="A3445" s="159" t="s">
        <v>9275</v>
      </c>
      <c r="B3445" s="159" t="s">
        <v>10033</v>
      </c>
      <c r="C3445" s="159" t="s">
        <v>12830</v>
      </c>
      <c r="D3445" s="159" t="s">
        <v>484</v>
      </c>
      <c r="E3445" s="159">
        <v>10</v>
      </c>
      <c r="F3445" s="159" t="s">
        <v>5665</v>
      </c>
      <c r="G3445" s="159" t="s">
        <v>12831</v>
      </c>
    </row>
    <row r="3446" spans="1:7" ht="15.75" customHeight="1">
      <c r="A3446" s="159" t="s">
        <v>9275</v>
      </c>
      <c r="B3446" s="159" t="s">
        <v>10033</v>
      </c>
      <c r="C3446" s="159" t="s">
        <v>12832</v>
      </c>
      <c r="D3446" s="159" t="s">
        <v>978</v>
      </c>
      <c r="E3446" s="159">
        <v>5</v>
      </c>
      <c r="F3446" s="159" t="s">
        <v>5665</v>
      </c>
      <c r="G3446" s="159" t="s">
        <v>12833</v>
      </c>
    </row>
    <row r="3447" spans="1:7" ht="15.75" customHeight="1">
      <c r="A3447" s="159" t="s">
        <v>9275</v>
      </c>
      <c r="B3447" s="159" t="s">
        <v>10033</v>
      </c>
      <c r="C3447" s="159" t="s">
        <v>12834</v>
      </c>
      <c r="D3447" s="159" t="s">
        <v>484</v>
      </c>
      <c r="E3447" s="159">
        <v>10</v>
      </c>
      <c r="F3447" s="159" t="s">
        <v>5665</v>
      </c>
      <c r="G3447" s="159" t="s">
        <v>12835</v>
      </c>
    </row>
    <row r="3448" spans="1:7" ht="15.75" customHeight="1">
      <c r="A3448" s="159" t="s">
        <v>9275</v>
      </c>
      <c r="B3448" s="159" t="s">
        <v>10033</v>
      </c>
      <c r="C3448" s="159" t="s">
        <v>12836</v>
      </c>
      <c r="D3448" s="159" t="s">
        <v>978</v>
      </c>
      <c r="E3448" s="159">
        <v>5</v>
      </c>
      <c r="F3448" s="159" t="s">
        <v>5665</v>
      </c>
      <c r="G3448" s="159" t="s">
        <v>12837</v>
      </c>
    </row>
    <row r="3449" spans="1:7" ht="15.75" customHeight="1">
      <c r="A3449" s="159" t="s">
        <v>9275</v>
      </c>
      <c r="B3449" s="159" t="s">
        <v>10033</v>
      </c>
      <c r="C3449" s="159" t="s">
        <v>5886</v>
      </c>
      <c r="D3449" s="159" t="s">
        <v>978</v>
      </c>
      <c r="E3449" s="159">
        <v>5</v>
      </c>
      <c r="F3449" s="159" t="s">
        <v>5665</v>
      </c>
      <c r="G3449" s="159" t="s">
        <v>12838</v>
      </c>
    </row>
    <row r="3450" spans="1:7" ht="15.75" customHeight="1">
      <c r="A3450" s="159" t="s">
        <v>9275</v>
      </c>
      <c r="B3450" s="159" t="s">
        <v>10033</v>
      </c>
      <c r="C3450" s="159" t="s">
        <v>12839</v>
      </c>
      <c r="D3450" s="159" t="s">
        <v>978</v>
      </c>
      <c r="E3450" s="159">
        <v>5</v>
      </c>
      <c r="F3450" s="159" t="s">
        <v>5665</v>
      </c>
      <c r="G3450" s="159" t="s">
        <v>12840</v>
      </c>
    </row>
    <row r="3451" spans="1:7" ht="15.75" customHeight="1">
      <c r="A3451" s="159" t="s">
        <v>9275</v>
      </c>
      <c r="B3451" s="159" t="s">
        <v>10033</v>
      </c>
      <c r="C3451" s="159" t="s">
        <v>12841</v>
      </c>
      <c r="D3451" s="159" t="s">
        <v>484</v>
      </c>
      <c r="E3451" s="159">
        <v>10</v>
      </c>
      <c r="F3451" s="159" t="s">
        <v>5665</v>
      </c>
      <c r="G3451" s="159" t="s">
        <v>12842</v>
      </c>
    </row>
    <row r="3452" spans="1:7" ht="15.75" customHeight="1">
      <c r="A3452" s="159" t="s">
        <v>9275</v>
      </c>
      <c r="B3452" s="159" t="s">
        <v>10033</v>
      </c>
      <c r="C3452" s="159" t="s">
        <v>12843</v>
      </c>
      <c r="D3452" s="159" t="s">
        <v>978</v>
      </c>
      <c r="E3452" s="159">
        <v>5</v>
      </c>
      <c r="F3452" s="159" t="s">
        <v>5665</v>
      </c>
      <c r="G3452" s="159" t="s">
        <v>12844</v>
      </c>
    </row>
    <row r="3453" spans="1:7" ht="15.75" customHeight="1">
      <c r="A3453" s="159" t="s">
        <v>9275</v>
      </c>
      <c r="B3453" s="159" t="s">
        <v>10035</v>
      </c>
      <c r="C3453" s="159" t="s">
        <v>12845</v>
      </c>
      <c r="D3453" s="159" t="s">
        <v>484</v>
      </c>
      <c r="E3453" s="159">
        <v>10</v>
      </c>
      <c r="F3453" s="159" t="s">
        <v>5665</v>
      </c>
      <c r="G3453" s="159" t="s">
        <v>11500</v>
      </c>
    </row>
    <row r="3454" spans="1:7" ht="15.75" customHeight="1">
      <c r="A3454" s="159" t="s">
        <v>9275</v>
      </c>
      <c r="B3454" s="159" t="s">
        <v>10035</v>
      </c>
      <c r="C3454" s="159" t="s">
        <v>10735</v>
      </c>
      <c r="D3454" s="159" t="s">
        <v>484</v>
      </c>
      <c r="E3454" s="159">
        <v>10</v>
      </c>
      <c r="F3454" s="159" t="s">
        <v>5665</v>
      </c>
      <c r="G3454" s="159" t="s">
        <v>10736</v>
      </c>
    </row>
    <row r="3455" spans="1:7" ht="15.75" customHeight="1">
      <c r="A3455" s="159" t="s">
        <v>9275</v>
      </c>
      <c r="B3455" s="159" t="s">
        <v>10035</v>
      </c>
      <c r="C3455" s="159" t="s">
        <v>5764</v>
      </c>
      <c r="D3455" s="159" t="s">
        <v>477</v>
      </c>
      <c r="E3455" s="159">
        <v>255</v>
      </c>
      <c r="F3455" s="159" t="s">
        <v>5667</v>
      </c>
      <c r="G3455" s="159" t="s">
        <v>4246</v>
      </c>
    </row>
    <row r="3456" spans="1:7" ht="15.75" customHeight="1">
      <c r="A3456" s="159" t="s">
        <v>9275</v>
      </c>
      <c r="B3456" s="159" t="s">
        <v>10035</v>
      </c>
      <c r="C3456" s="159" t="s">
        <v>12846</v>
      </c>
      <c r="D3456" s="159" t="s">
        <v>484</v>
      </c>
      <c r="E3456" s="159">
        <v>10</v>
      </c>
      <c r="F3456" s="159" t="s">
        <v>5667</v>
      </c>
      <c r="G3456" s="159" t="s">
        <v>12847</v>
      </c>
    </row>
    <row r="3457" spans="1:7" ht="15.75" customHeight="1">
      <c r="A3457" s="159" t="s">
        <v>9275</v>
      </c>
      <c r="B3457" s="159" t="s">
        <v>10035</v>
      </c>
      <c r="C3457" s="159" t="s">
        <v>12848</v>
      </c>
      <c r="D3457" s="159" t="s">
        <v>484</v>
      </c>
      <c r="E3457" s="159">
        <v>10</v>
      </c>
      <c r="F3457" s="159" t="s">
        <v>5667</v>
      </c>
      <c r="G3457" s="159" t="s">
        <v>12849</v>
      </c>
    </row>
    <row r="3458" spans="1:7" ht="15.75" customHeight="1">
      <c r="A3458" s="159" t="s">
        <v>9275</v>
      </c>
      <c r="B3458" s="159" t="s">
        <v>10035</v>
      </c>
      <c r="C3458" s="159" t="s">
        <v>12834</v>
      </c>
      <c r="D3458" s="159" t="s">
        <v>484</v>
      </c>
      <c r="E3458" s="159">
        <v>10</v>
      </c>
      <c r="F3458" s="159" t="s">
        <v>5665</v>
      </c>
      <c r="G3458" s="159" t="s">
        <v>12835</v>
      </c>
    </row>
    <row r="3459" spans="1:7" ht="15.75" customHeight="1">
      <c r="A3459" s="159" t="s">
        <v>9275</v>
      </c>
      <c r="B3459" s="159" t="s">
        <v>10035</v>
      </c>
      <c r="C3459" s="159" t="s">
        <v>10257</v>
      </c>
      <c r="D3459" s="159" t="s">
        <v>538</v>
      </c>
      <c r="E3459" s="159"/>
      <c r="F3459" s="159" t="s">
        <v>5667</v>
      </c>
      <c r="G3459" s="159" t="s">
        <v>10258</v>
      </c>
    </row>
    <row r="3460" spans="1:7" ht="15.75" customHeight="1">
      <c r="A3460" s="159" t="s">
        <v>9275</v>
      </c>
      <c r="B3460" s="159" t="s">
        <v>10035</v>
      </c>
      <c r="C3460" s="159" t="s">
        <v>12850</v>
      </c>
      <c r="D3460" s="159" t="s">
        <v>978</v>
      </c>
      <c r="E3460" s="159">
        <v>5</v>
      </c>
      <c r="F3460" s="159" t="s">
        <v>5667</v>
      </c>
      <c r="G3460" s="159" t="s">
        <v>12851</v>
      </c>
    </row>
    <row r="3461" spans="1:7" ht="15.75" customHeight="1">
      <c r="A3461" s="159" t="s">
        <v>9275</v>
      </c>
      <c r="B3461" s="159" t="s">
        <v>10035</v>
      </c>
      <c r="C3461" s="159" t="s">
        <v>10190</v>
      </c>
      <c r="D3461" s="159" t="s">
        <v>1413</v>
      </c>
      <c r="E3461" s="159"/>
      <c r="F3461" s="159" t="s">
        <v>5667</v>
      </c>
      <c r="G3461" s="159" t="s">
        <v>12852</v>
      </c>
    </row>
    <row r="3462" spans="1:7" ht="15.75" customHeight="1">
      <c r="A3462" s="159" t="s">
        <v>9275</v>
      </c>
      <c r="B3462" s="159" t="s">
        <v>10035</v>
      </c>
      <c r="C3462" s="159" t="s">
        <v>5609</v>
      </c>
      <c r="D3462" s="159" t="s">
        <v>978</v>
      </c>
      <c r="E3462" s="159">
        <v>5</v>
      </c>
      <c r="F3462" s="159" t="s">
        <v>5667</v>
      </c>
      <c r="G3462" s="159" t="s">
        <v>12853</v>
      </c>
    </row>
    <row r="3463" spans="1:7" ht="15.75" customHeight="1">
      <c r="A3463" s="159" t="s">
        <v>9275</v>
      </c>
      <c r="B3463" s="159" t="s">
        <v>10035</v>
      </c>
      <c r="C3463" s="159" t="s">
        <v>12854</v>
      </c>
      <c r="D3463" s="159" t="s">
        <v>978</v>
      </c>
      <c r="E3463" s="159">
        <v>5</v>
      </c>
      <c r="F3463" s="159" t="s">
        <v>5667</v>
      </c>
      <c r="G3463" s="159" t="s">
        <v>12855</v>
      </c>
    </row>
    <row r="3464" spans="1:7" ht="15.75" customHeight="1">
      <c r="A3464" s="159" t="s">
        <v>9275</v>
      </c>
      <c r="B3464" s="159" t="s">
        <v>10037</v>
      </c>
      <c r="C3464" s="159" t="s">
        <v>3897</v>
      </c>
      <c r="D3464" s="159" t="s">
        <v>484</v>
      </c>
      <c r="E3464" s="159">
        <v>10</v>
      </c>
      <c r="F3464" s="159" t="s">
        <v>5665</v>
      </c>
      <c r="G3464" s="159" t="s">
        <v>325</v>
      </c>
    </row>
    <row r="3465" spans="1:7" ht="15.75" customHeight="1">
      <c r="A3465" s="159" t="s">
        <v>9275</v>
      </c>
      <c r="B3465" s="159" t="s">
        <v>10037</v>
      </c>
      <c r="C3465" s="159" t="s">
        <v>12383</v>
      </c>
      <c r="D3465" s="159" t="s">
        <v>1974</v>
      </c>
      <c r="E3465" s="159"/>
      <c r="F3465" s="159" t="s">
        <v>5665</v>
      </c>
      <c r="G3465" s="159" t="s">
        <v>6156</v>
      </c>
    </row>
    <row r="3466" spans="1:7" ht="15.75" customHeight="1">
      <c r="A3466" s="159" t="s">
        <v>9275</v>
      </c>
      <c r="B3466" s="159" t="s">
        <v>10037</v>
      </c>
      <c r="C3466" s="159" t="s">
        <v>10290</v>
      </c>
      <c r="D3466" s="159" t="s">
        <v>978</v>
      </c>
      <c r="E3466" s="159">
        <v>5</v>
      </c>
      <c r="F3466" s="159" t="s">
        <v>5667</v>
      </c>
      <c r="G3466" s="159" t="s">
        <v>10507</v>
      </c>
    </row>
    <row r="3467" spans="1:7" ht="15.75" customHeight="1">
      <c r="A3467" s="159" t="s">
        <v>9275</v>
      </c>
      <c r="B3467" s="159" t="s">
        <v>10037</v>
      </c>
      <c r="C3467" s="159" t="s">
        <v>3762</v>
      </c>
      <c r="D3467" s="159" t="s">
        <v>477</v>
      </c>
      <c r="E3467" s="159">
        <v>50</v>
      </c>
      <c r="F3467" s="159" t="s">
        <v>5667</v>
      </c>
      <c r="G3467" s="159" t="s">
        <v>11525</v>
      </c>
    </row>
    <row r="3468" spans="1:7" ht="15.75" customHeight="1">
      <c r="A3468" s="159" t="s">
        <v>9275</v>
      </c>
      <c r="B3468" s="159" t="s">
        <v>10037</v>
      </c>
      <c r="C3468" s="159" t="s">
        <v>2105</v>
      </c>
      <c r="D3468" s="159" t="s">
        <v>477</v>
      </c>
      <c r="E3468" s="159">
        <v>50</v>
      </c>
      <c r="F3468" s="159" t="s">
        <v>5667</v>
      </c>
      <c r="G3468" s="159" t="s">
        <v>12106</v>
      </c>
    </row>
    <row r="3469" spans="1:7" ht="15.75" customHeight="1">
      <c r="A3469" s="159" t="s">
        <v>9275</v>
      </c>
      <c r="B3469" s="159" t="s">
        <v>10037</v>
      </c>
      <c r="C3469" s="159" t="s">
        <v>12856</v>
      </c>
      <c r="D3469" s="159" t="s">
        <v>484</v>
      </c>
      <c r="E3469" s="159">
        <v>10</v>
      </c>
      <c r="F3469" s="159" t="s">
        <v>5665</v>
      </c>
      <c r="G3469" s="159" t="s">
        <v>12857</v>
      </c>
    </row>
    <row r="3470" spans="1:7" ht="15.75" customHeight="1">
      <c r="A3470" s="159" t="s">
        <v>9275</v>
      </c>
      <c r="B3470" s="159" t="s">
        <v>10037</v>
      </c>
      <c r="C3470" s="159" t="s">
        <v>12858</v>
      </c>
      <c r="D3470" s="159" t="s">
        <v>481</v>
      </c>
      <c r="E3470" s="159">
        <v>20</v>
      </c>
      <c r="F3470" s="159" t="s">
        <v>5665</v>
      </c>
      <c r="G3470" s="159" t="s">
        <v>12859</v>
      </c>
    </row>
    <row r="3471" spans="1:7" ht="15.75" customHeight="1">
      <c r="A3471" s="159" t="s">
        <v>9275</v>
      </c>
      <c r="B3471" s="159" t="s">
        <v>10037</v>
      </c>
      <c r="C3471" s="159" t="s">
        <v>5845</v>
      </c>
      <c r="D3471" s="159" t="s">
        <v>481</v>
      </c>
      <c r="E3471" s="159">
        <v>12</v>
      </c>
      <c r="F3471" s="159" t="s">
        <v>5665</v>
      </c>
      <c r="G3471" s="159" t="s">
        <v>11064</v>
      </c>
    </row>
    <row r="3472" spans="1:7" ht="15.75" customHeight="1">
      <c r="A3472" s="159" t="s">
        <v>9275</v>
      </c>
      <c r="B3472" s="159" t="s">
        <v>10037</v>
      </c>
      <c r="C3472" s="159" t="s">
        <v>12860</v>
      </c>
      <c r="D3472" s="159" t="s">
        <v>481</v>
      </c>
      <c r="E3472" s="159">
        <v>20</v>
      </c>
      <c r="F3472" s="159" t="s">
        <v>5665</v>
      </c>
      <c r="G3472" s="159" t="s">
        <v>12861</v>
      </c>
    </row>
    <row r="3473" spans="1:7" ht="15.75" customHeight="1">
      <c r="A3473" s="159" t="s">
        <v>9275</v>
      </c>
      <c r="B3473" s="159" t="s">
        <v>10037</v>
      </c>
      <c r="C3473" s="159" t="s">
        <v>12862</v>
      </c>
      <c r="D3473" s="159" t="s">
        <v>481</v>
      </c>
      <c r="E3473" s="159">
        <v>20</v>
      </c>
      <c r="F3473" s="159" t="s">
        <v>5665</v>
      </c>
      <c r="G3473" s="159" t="s">
        <v>12863</v>
      </c>
    </row>
    <row r="3474" spans="1:7" ht="15.75" customHeight="1">
      <c r="A3474" s="159" t="s">
        <v>9275</v>
      </c>
      <c r="B3474" s="159" t="s">
        <v>10037</v>
      </c>
      <c r="C3474" s="159" t="s">
        <v>12864</v>
      </c>
      <c r="D3474" s="159" t="s">
        <v>481</v>
      </c>
      <c r="E3474" s="159">
        <v>12</v>
      </c>
      <c r="F3474" s="159" t="s">
        <v>5665</v>
      </c>
      <c r="G3474" s="159" t="s">
        <v>12865</v>
      </c>
    </row>
    <row r="3475" spans="1:7" ht="15.75" customHeight="1">
      <c r="A3475" s="159" t="s">
        <v>9275</v>
      </c>
      <c r="B3475" s="159" t="s">
        <v>10037</v>
      </c>
      <c r="C3475" s="159" t="s">
        <v>12866</v>
      </c>
      <c r="D3475" s="159" t="s">
        <v>481</v>
      </c>
      <c r="E3475" s="159">
        <v>20</v>
      </c>
      <c r="F3475" s="159" t="s">
        <v>5665</v>
      </c>
      <c r="G3475" s="159" t="s">
        <v>12867</v>
      </c>
    </row>
    <row r="3476" spans="1:7" ht="15.75" customHeight="1">
      <c r="A3476" s="159" t="s">
        <v>9275</v>
      </c>
      <c r="B3476" s="159" t="s">
        <v>10037</v>
      </c>
      <c r="C3476" s="159" t="s">
        <v>12868</v>
      </c>
      <c r="D3476" s="159" t="s">
        <v>477</v>
      </c>
      <c r="E3476" s="159">
        <v>255</v>
      </c>
      <c r="F3476" s="159" t="s">
        <v>5667</v>
      </c>
      <c r="G3476" s="159" t="s">
        <v>11532</v>
      </c>
    </row>
    <row r="3477" spans="1:7" ht="15.75" customHeight="1">
      <c r="A3477" s="159" t="s">
        <v>9275</v>
      </c>
      <c r="B3477" s="159" t="s">
        <v>10039</v>
      </c>
      <c r="C3477" s="159" t="s">
        <v>3897</v>
      </c>
      <c r="D3477" s="159" t="s">
        <v>484</v>
      </c>
      <c r="E3477" s="159">
        <v>10</v>
      </c>
      <c r="F3477" s="159" t="s">
        <v>5665</v>
      </c>
      <c r="G3477" s="159" t="s">
        <v>325</v>
      </c>
    </row>
    <row r="3478" spans="1:7" ht="15.75" customHeight="1">
      <c r="A3478" s="159" t="s">
        <v>9275</v>
      </c>
      <c r="B3478" s="159" t="s">
        <v>10039</v>
      </c>
      <c r="C3478" s="159" t="s">
        <v>12383</v>
      </c>
      <c r="D3478" s="159" t="s">
        <v>1974</v>
      </c>
      <c r="E3478" s="159"/>
      <c r="F3478" s="159" t="s">
        <v>5665</v>
      </c>
      <c r="G3478" s="159" t="s">
        <v>6156</v>
      </c>
    </row>
    <row r="3479" spans="1:7" ht="15.75" customHeight="1">
      <c r="A3479" s="159" t="s">
        <v>9275</v>
      </c>
      <c r="B3479" s="159" t="s">
        <v>10039</v>
      </c>
      <c r="C3479" s="159" t="s">
        <v>10290</v>
      </c>
      <c r="D3479" s="159" t="s">
        <v>978</v>
      </c>
      <c r="E3479" s="159">
        <v>5</v>
      </c>
      <c r="F3479" s="159" t="s">
        <v>5667</v>
      </c>
      <c r="G3479" s="159" t="s">
        <v>10507</v>
      </c>
    </row>
    <row r="3480" spans="1:7" ht="15.75" customHeight="1">
      <c r="A3480" s="159" t="s">
        <v>9275</v>
      </c>
      <c r="B3480" s="159" t="s">
        <v>10039</v>
      </c>
      <c r="C3480" s="159" t="s">
        <v>3762</v>
      </c>
      <c r="D3480" s="159" t="s">
        <v>477</v>
      </c>
      <c r="E3480" s="159">
        <v>50</v>
      </c>
      <c r="F3480" s="159" t="s">
        <v>5667</v>
      </c>
      <c r="G3480" s="159" t="s">
        <v>11525</v>
      </c>
    </row>
    <row r="3481" spans="1:7" ht="15.75" customHeight="1">
      <c r="A3481" s="159" t="s">
        <v>9275</v>
      </c>
      <c r="B3481" s="159" t="s">
        <v>10039</v>
      </c>
      <c r="C3481" s="159" t="s">
        <v>2105</v>
      </c>
      <c r="D3481" s="159" t="s">
        <v>477</v>
      </c>
      <c r="E3481" s="159">
        <v>50</v>
      </c>
      <c r="F3481" s="159" t="s">
        <v>5667</v>
      </c>
      <c r="G3481" s="159" t="s">
        <v>12106</v>
      </c>
    </row>
    <row r="3482" spans="1:7" ht="15.75" customHeight="1">
      <c r="A3482" s="159" t="s">
        <v>9275</v>
      </c>
      <c r="B3482" s="159" t="s">
        <v>10039</v>
      </c>
      <c r="C3482" s="159" t="s">
        <v>12856</v>
      </c>
      <c r="D3482" s="159" t="s">
        <v>484</v>
      </c>
      <c r="E3482" s="159">
        <v>10</v>
      </c>
      <c r="F3482" s="159" t="s">
        <v>5665</v>
      </c>
      <c r="G3482" s="159" t="s">
        <v>12857</v>
      </c>
    </row>
    <row r="3483" spans="1:7" ht="15.75" customHeight="1">
      <c r="A3483" s="159" t="s">
        <v>9275</v>
      </c>
      <c r="B3483" s="159" t="s">
        <v>10039</v>
      </c>
      <c r="C3483" s="159" t="s">
        <v>12858</v>
      </c>
      <c r="D3483" s="159" t="s">
        <v>481</v>
      </c>
      <c r="E3483" s="159">
        <v>20</v>
      </c>
      <c r="F3483" s="159" t="s">
        <v>5665</v>
      </c>
      <c r="G3483" s="159" t="s">
        <v>12859</v>
      </c>
    </row>
    <row r="3484" spans="1:7" ht="15.75" customHeight="1">
      <c r="A3484" s="159" t="s">
        <v>9275</v>
      </c>
      <c r="B3484" s="159" t="s">
        <v>10039</v>
      </c>
      <c r="C3484" s="159" t="s">
        <v>5845</v>
      </c>
      <c r="D3484" s="159" t="s">
        <v>481</v>
      </c>
      <c r="E3484" s="159">
        <v>12</v>
      </c>
      <c r="F3484" s="159" t="s">
        <v>5665</v>
      </c>
      <c r="G3484" s="159" t="s">
        <v>11064</v>
      </c>
    </row>
    <row r="3485" spans="1:7" ht="15.75" customHeight="1">
      <c r="A3485" s="159" t="s">
        <v>9275</v>
      </c>
      <c r="B3485" s="159" t="s">
        <v>10039</v>
      </c>
      <c r="C3485" s="159" t="s">
        <v>12860</v>
      </c>
      <c r="D3485" s="159" t="s">
        <v>481</v>
      </c>
      <c r="E3485" s="159">
        <v>20</v>
      </c>
      <c r="F3485" s="159" t="s">
        <v>5665</v>
      </c>
      <c r="G3485" s="159" t="s">
        <v>12861</v>
      </c>
    </row>
    <row r="3486" spans="1:7" ht="15.75" customHeight="1">
      <c r="A3486" s="159" t="s">
        <v>9275</v>
      </c>
      <c r="B3486" s="159" t="s">
        <v>10039</v>
      </c>
      <c r="C3486" s="159" t="s">
        <v>12868</v>
      </c>
      <c r="D3486" s="159" t="s">
        <v>477</v>
      </c>
      <c r="E3486" s="159">
        <v>255</v>
      </c>
      <c r="F3486" s="159" t="s">
        <v>5667</v>
      </c>
      <c r="G3486" s="159" t="s">
        <v>11532</v>
      </c>
    </row>
    <row r="3487" spans="1:7" ht="15.75" customHeight="1">
      <c r="A3487" s="159" t="s">
        <v>9275</v>
      </c>
      <c r="B3487" s="159" t="s">
        <v>10041</v>
      </c>
      <c r="C3487" s="159" t="s">
        <v>3897</v>
      </c>
      <c r="D3487" s="159" t="s">
        <v>484</v>
      </c>
      <c r="E3487" s="159">
        <v>10</v>
      </c>
      <c r="F3487" s="159" t="s">
        <v>5665</v>
      </c>
      <c r="G3487" s="159" t="s">
        <v>325</v>
      </c>
    </row>
    <row r="3488" spans="1:7" ht="15.75" customHeight="1">
      <c r="A3488" s="159" t="s">
        <v>9275</v>
      </c>
      <c r="B3488" s="159" t="s">
        <v>10041</v>
      </c>
      <c r="C3488" s="159" t="s">
        <v>12383</v>
      </c>
      <c r="D3488" s="159" t="s">
        <v>1974</v>
      </c>
      <c r="E3488" s="159"/>
      <c r="F3488" s="159" t="s">
        <v>5665</v>
      </c>
      <c r="G3488" s="159" t="s">
        <v>6156</v>
      </c>
    </row>
    <row r="3489" spans="1:7" ht="15.75" customHeight="1">
      <c r="A3489" s="159" t="s">
        <v>9275</v>
      </c>
      <c r="B3489" s="159" t="s">
        <v>10041</v>
      </c>
      <c r="C3489" s="159" t="s">
        <v>10290</v>
      </c>
      <c r="D3489" s="159" t="s">
        <v>978</v>
      </c>
      <c r="E3489" s="159">
        <v>5</v>
      </c>
      <c r="F3489" s="159" t="s">
        <v>5667</v>
      </c>
      <c r="G3489" s="159" t="s">
        <v>10507</v>
      </c>
    </row>
    <row r="3490" spans="1:7" ht="15.75" customHeight="1">
      <c r="A3490" s="159" t="s">
        <v>9275</v>
      </c>
      <c r="B3490" s="159" t="s">
        <v>10041</v>
      </c>
      <c r="C3490" s="159" t="s">
        <v>3762</v>
      </c>
      <c r="D3490" s="159" t="s">
        <v>477</v>
      </c>
      <c r="E3490" s="159">
        <v>50</v>
      </c>
      <c r="F3490" s="159" t="s">
        <v>5667</v>
      </c>
      <c r="G3490" s="159" t="s">
        <v>11525</v>
      </c>
    </row>
    <row r="3491" spans="1:7" ht="15.75" customHeight="1">
      <c r="A3491" s="159" t="s">
        <v>9275</v>
      </c>
      <c r="B3491" s="159" t="s">
        <v>10041</v>
      </c>
      <c r="C3491" s="159" t="s">
        <v>2105</v>
      </c>
      <c r="D3491" s="159" t="s">
        <v>477</v>
      </c>
      <c r="E3491" s="159">
        <v>50</v>
      </c>
      <c r="F3491" s="159" t="s">
        <v>5667</v>
      </c>
      <c r="G3491" s="159" t="s">
        <v>12106</v>
      </c>
    </row>
    <row r="3492" spans="1:7" ht="15.75" customHeight="1">
      <c r="A3492" s="159" t="s">
        <v>9275</v>
      </c>
      <c r="B3492" s="159" t="s">
        <v>10041</v>
      </c>
      <c r="C3492" s="159" t="s">
        <v>12856</v>
      </c>
      <c r="D3492" s="159" t="s">
        <v>484</v>
      </c>
      <c r="E3492" s="159">
        <v>10</v>
      </c>
      <c r="F3492" s="159" t="s">
        <v>5665</v>
      </c>
      <c r="G3492" s="159" t="s">
        <v>12857</v>
      </c>
    </row>
    <row r="3493" spans="1:7" ht="15.75" customHeight="1">
      <c r="A3493" s="159" t="s">
        <v>9275</v>
      </c>
      <c r="B3493" s="159" t="s">
        <v>10041</v>
      </c>
      <c r="C3493" s="159" t="s">
        <v>12858</v>
      </c>
      <c r="D3493" s="159" t="s">
        <v>481</v>
      </c>
      <c r="E3493" s="159">
        <v>20</v>
      </c>
      <c r="F3493" s="159" t="s">
        <v>5665</v>
      </c>
      <c r="G3493" s="159" t="s">
        <v>12859</v>
      </c>
    </row>
    <row r="3494" spans="1:7" ht="15.75" customHeight="1">
      <c r="A3494" s="159" t="s">
        <v>9275</v>
      </c>
      <c r="B3494" s="159" t="s">
        <v>10041</v>
      </c>
      <c r="C3494" s="159" t="s">
        <v>5845</v>
      </c>
      <c r="D3494" s="159" t="s">
        <v>481</v>
      </c>
      <c r="E3494" s="159">
        <v>12</v>
      </c>
      <c r="F3494" s="159" t="s">
        <v>5665</v>
      </c>
      <c r="G3494" s="159" t="s">
        <v>11064</v>
      </c>
    </row>
    <row r="3495" spans="1:7" ht="15.75" customHeight="1">
      <c r="A3495" s="159" t="s">
        <v>9275</v>
      </c>
      <c r="B3495" s="159" t="s">
        <v>10041</v>
      </c>
      <c r="C3495" s="159" t="s">
        <v>12860</v>
      </c>
      <c r="D3495" s="159" t="s">
        <v>481</v>
      </c>
      <c r="E3495" s="159">
        <v>20</v>
      </c>
      <c r="F3495" s="159" t="s">
        <v>5665</v>
      </c>
      <c r="G3495" s="159" t="s">
        <v>12861</v>
      </c>
    </row>
    <row r="3496" spans="1:7" ht="15.75" customHeight="1">
      <c r="A3496" s="159" t="s">
        <v>9275</v>
      </c>
      <c r="B3496" s="159" t="s">
        <v>10041</v>
      </c>
      <c r="C3496" s="159" t="s">
        <v>12862</v>
      </c>
      <c r="D3496" s="159" t="s">
        <v>481</v>
      </c>
      <c r="E3496" s="159">
        <v>20</v>
      </c>
      <c r="F3496" s="159" t="s">
        <v>5665</v>
      </c>
      <c r="G3496" s="159" t="s">
        <v>12863</v>
      </c>
    </row>
    <row r="3497" spans="1:7" ht="15.75" customHeight="1">
      <c r="A3497" s="159" t="s">
        <v>9275</v>
      </c>
      <c r="B3497" s="159" t="s">
        <v>10041</v>
      </c>
      <c r="C3497" s="159" t="s">
        <v>12864</v>
      </c>
      <c r="D3497" s="159" t="s">
        <v>481</v>
      </c>
      <c r="E3497" s="159">
        <v>12</v>
      </c>
      <c r="F3497" s="159" t="s">
        <v>5665</v>
      </c>
      <c r="G3497" s="159" t="s">
        <v>12865</v>
      </c>
    </row>
    <row r="3498" spans="1:7" ht="15.75" customHeight="1">
      <c r="A3498" s="159" t="s">
        <v>9275</v>
      </c>
      <c r="B3498" s="159" t="s">
        <v>10041</v>
      </c>
      <c r="C3498" s="159" t="s">
        <v>12866</v>
      </c>
      <c r="D3498" s="159" t="s">
        <v>481</v>
      </c>
      <c r="E3498" s="159">
        <v>20</v>
      </c>
      <c r="F3498" s="159" t="s">
        <v>5665</v>
      </c>
      <c r="G3498" s="159" t="s">
        <v>12867</v>
      </c>
    </row>
    <row r="3499" spans="1:7" ht="15.75" customHeight="1">
      <c r="A3499" s="159" t="s">
        <v>9275</v>
      </c>
      <c r="B3499" s="159" t="s">
        <v>10041</v>
      </c>
      <c r="C3499" s="159" t="s">
        <v>12868</v>
      </c>
      <c r="D3499" s="159" t="s">
        <v>477</v>
      </c>
      <c r="E3499" s="159">
        <v>255</v>
      </c>
      <c r="F3499" s="159" t="s">
        <v>5667</v>
      </c>
      <c r="G3499" s="159" t="s">
        <v>11532</v>
      </c>
    </row>
    <row r="3500" spans="1:7" ht="15.75" customHeight="1">
      <c r="A3500" s="159" t="s">
        <v>9275</v>
      </c>
      <c r="B3500" s="159" t="s">
        <v>10043</v>
      </c>
      <c r="C3500" s="159" t="s">
        <v>12845</v>
      </c>
      <c r="D3500" s="159" t="s">
        <v>484</v>
      </c>
      <c r="E3500" s="159">
        <v>10</v>
      </c>
      <c r="F3500" s="159" t="s">
        <v>5665</v>
      </c>
      <c r="G3500" s="159" t="s">
        <v>11500</v>
      </c>
    </row>
    <row r="3501" spans="1:7" ht="15.75" customHeight="1">
      <c r="A3501" s="159" t="s">
        <v>9275</v>
      </c>
      <c r="B3501" s="159" t="s">
        <v>10043</v>
      </c>
      <c r="C3501" s="159" t="s">
        <v>3940</v>
      </c>
      <c r="D3501" s="159" t="s">
        <v>484</v>
      </c>
      <c r="E3501" s="159">
        <v>10</v>
      </c>
      <c r="F3501" s="159" t="s">
        <v>5665</v>
      </c>
      <c r="G3501" s="159" t="s">
        <v>10747</v>
      </c>
    </row>
    <row r="3502" spans="1:7" ht="15.75" customHeight="1">
      <c r="A3502" s="159" t="s">
        <v>9275</v>
      </c>
      <c r="B3502" s="159" t="s">
        <v>10043</v>
      </c>
      <c r="C3502" s="159" t="s">
        <v>12834</v>
      </c>
      <c r="D3502" s="159" t="s">
        <v>484</v>
      </c>
      <c r="E3502" s="159">
        <v>10</v>
      </c>
      <c r="F3502" s="159" t="s">
        <v>5665</v>
      </c>
      <c r="G3502" s="159" t="s">
        <v>12835</v>
      </c>
    </row>
    <row r="3503" spans="1:7" ht="15.75" customHeight="1">
      <c r="A3503" s="159" t="s">
        <v>9275</v>
      </c>
      <c r="B3503" s="159" t="s">
        <v>10045</v>
      </c>
      <c r="C3503" s="159" t="s">
        <v>12869</v>
      </c>
      <c r="D3503" s="159" t="s">
        <v>484</v>
      </c>
      <c r="E3503" s="159">
        <v>10</v>
      </c>
      <c r="F3503" s="159" t="s">
        <v>5665</v>
      </c>
      <c r="G3503" s="159" t="s">
        <v>12870</v>
      </c>
    </row>
    <row r="3504" spans="1:7" ht="15.75" customHeight="1">
      <c r="A3504" s="159" t="s">
        <v>9275</v>
      </c>
      <c r="B3504" s="159" t="s">
        <v>10045</v>
      </c>
      <c r="C3504" s="159" t="s">
        <v>10735</v>
      </c>
      <c r="D3504" s="159" t="s">
        <v>484</v>
      </c>
      <c r="E3504" s="159">
        <v>10</v>
      </c>
      <c r="F3504" s="159" t="s">
        <v>5665</v>
      </c>
      <c r="G3504" s="159" t="s">
        <v>10736</v>
      </c>
    </row>
    <row r="3505" spans="1:7" ht="15.75" customHeight="1">
      <c r="A3505" s="159" t="s">
        <v>9275</v>
      </c>
      <c r="B3505" s="159" t="s">
        <v>10045</v>
      </c>
      <c r="C3505" s="159" t="s">
        <v>3940</v>
      </c>
      <c r="D3505" s="159" t="s">
        <v>484</v>
      </c>
      <c r="E3505" s="159">
        <v>10</v>
      </c>
      <c r="F3505" s="159" t="s">
        <v>5665</v>
      </c>
      <c r="G3505" s="159" t="s">
        <v>10747</v>
      </c>
    </row>
    <row r="3506" spans="1:7" ht="15.75" customHeight="1">
      <c r="A3506" s="159" t="s">
        <v>9275</v>
      </c>
      <c r="B3506" s="159" t="s">
        <v>10045</v>
      </c>
      <c r="C3506" s="159" t="s">
        <v>12834</v>
      </c>
      <c r="D3506" s="159" t="s">
        <v>978</v>
      </c>
      <c r="E3506" s="159">
        <v>5</v>
      </c>
      <c r="F3506" s="159" t="s">
        <v>5665</v>
      </c>
      <c r="G3506" s="159" t="s">
        <v>12835</v>
      </c>
    </row>
    <row r="3507" spans="1:7" ht="15.75" customHeight="1">
      <c r="A3507" s="159" t="s">
        <v>9275</v>
      </c>
      <c r="B3507" s="159" t="s">
        <v>10047</v>
      </c>
      <c r="C3507" s="159" t="s">
        <v>10735</v>
      </c>
      <c r="D3507" s="159" t="s">
        <v>484</v>
      </c>
      <c r="E3507" s="159">
        <v>10</v>
      </c>
      <c r="F3507" s="159" t="s">
        <v>5665</v>
      </c>
      <c r="G3507" s="159" t="s">
        <v>10736</v>
      </c>
    </row>
    <row r="3508" spans="1:7" ht="15.75" customHeight="1">
      <c r="A3508" s="159" t="s">
        <v>9275</v>
      </c>
      <c r="B3508" s="159" t="s">
        <v>10047</v>
      </c>
      <c r="C3508" s="159" t="s">
        <v>10884</v>
      </c>
      <c r="D3508" s="159" t="s">
        <v>484</v>
      </c>
      <c r="E3508" s="159">
        <v>10</v>
      </c>
      <c r="F3508" s="159" t="s">
        <v>5665</v>
      </c>
      <c r="G3508" s="159" t="s">
        <v>10885</v>
      </c>
    </row>
    <row r="3509" spans="1:7" ht="15.75" customHeight="1">
      <c r="A3509" s="159" t="s">
        <v>9275</v>
      </c>
      <c r="B3509" s="159" t="s">
        <v>10049</v>
      </c>
      <c r="C3509" s="159" t="s">
        <v>12871</v>
      </c>
      <c r="D3509" s="159" t="s">
        <v>484</v>
      </c>
      <c r="E3509" s="159">
        <v>10</v>
      </c>
      <c r="F3509" s="159" t="s">
        <v>5665</v>
      </c>
      <c r="G3509" s="159" t="s">
        <v>12872</v>
      </c>
    </row>
    <row r="3510" spans="1:7" ht="15.75" customHeight="1">
      <c r="A3510" s="159" t="s">
        <v>9275</v>
      </c>
      <c r="B3510" s="159" t="s">
        <v>10049</v>
      </c>
      <c r="C3510" s="159" t="s">
        <v>10735</v>
      </c>
      <c r="D3510" s="159" t="s">
        <v>484</v>
      </c>
      <c r="E3510" s="159">
        <v>10</v>
      </c>
      <c r="F3510" s="159" t="s">
        <v>5665</v>
      </c>
      <c r="G3510" s="159" t="s">
        <v>10736</v>
      </c>
    </row>
    <row r="3511" spans="1:7" ht="15.75" customHeight="1">
      <c r="A3511" s="159" t="s">
        <v>9275</v>
      </c>
      <c r="B3511" s="159" t="s">
        <v>10049</v>
      </c>
      <c r="C3511" s="159" t="s">
        <v>10290</v>
      </c>
      <c r="D3511" s="159" t="s">
        <v>978</v>
      </c>
      <c r="E3511" s="159">
        <v>5</v>
      </c>
      <c r="F3511" s="159" t="s">
        <v>5665</v>
      </c>
      <c r="G3511" s="159" t="s">
        <v>10507</v>
      </c>
    </row>
    <row r="3512" spans="1:7" ht="15.75" customHeight="1">
      <c r="A3512" s="159" t="s">
        <v>9275</v>
      </c>
      <c r="B3512" s="159" t="s">
        <v>10049</v>
      </c>
      <c r="C3512" s="159" t="s">
        <v>10916</v>
      </c>
      <c r="D3512" s="159" t="s">
        <v>477</v>
      </c>
      <c r="E3512" s="159">
        <v>255</v>
      </c>
      <c r="F3512" s="159" t="s">
        <v>5667</v>
      </c>
      <c r="G3512" s="159" t="s">
        <v>10917</v>
      </c>
    </row>
    <row r="3513" spans="1:7" ht="15.75" customHeight="1">
      <c r="A3513" s="159" t="s">
        <v>9275</v>
      </c>
      <c r="B3513" s="159" t="s">
        <v>10051</v>
      </c>
      <c r="C3513" s="159" t="s">
        <v>10735</v>
      </c>
      <c r="D3513" s="159" t="s">
        <v>484</v>
      </c>
      <c r="E3513" s="159">
        <v>10</v>
      </c>
      <c r="F3513" s="159" t="s">
        <v>5665</v>
      </c>
      <c r="G3513" s="159" t="s">
        <v>10736</v>
      </c>
    </row>
    <row r="3514" spans="1:7" ht="15.75" customHeight="1">
      <c r="A3514" s="159" t="s">
        <v>9275</v>
      </c>
      <c r="B3514" s="159" t="s">
        <v>10051</v>
      </c>
      <c r="C3514" s="159" t="s">
        <v>10882</v>
      </c>
      <c r="D3514" s="159" t="s">
        <v>978</v>
      </c>
      <c r="E3514" s="159">
        <v>5</v>
      </c>
      <c r="F3514" s="159" t="s">
        <v>5665</v>
      </c>
      <c r="G3514" s="159" t="s">
        <v>10883</v>
      </c>
    </row>
    <row r="3515" spans="1:7" ht="15.75" customHeight="1">
      <c r="A3515" s="159" t="s">
        <v>9275</v>
      </c>
      <c r="B3515" s="159" t="s">
        <v>10051</v>
      </c>
      <c r="C3515" s="159" t="s">
        <v>10884</v>
      </c>
      <c r="D3515" s="159" t="s">
        <v>484</v>
      </c>
      <c r="E3515" s="159">
        <v>10</v>
      </c>
      <c r="F3515" s="159" t="s">
        <v>5665</v>
      </c>
      <c r="G3515" s="159" t="s">
        <v>10885</v>
      </c>
    </row>
    <row r="3516" spans="1:7" ht="15.75" customHeight="1">
      <c r="A3516" s="159" t="s">
        <v>9275</v>
      </c>
      <c r="B3516" s="159" t="s">
        <v>10051</v>
      </c>
      <c r="C3516" s="159" t="s">
        <v>9217</v>
      </c>
      <c r="D3516" s="159" t="s">
        <v>978</v>
      </c>
      <c r="E3516" s="159">
        <v>5</v>
      </c>
      <c r="F3516" s="159" t="s">
        <v>5665</v>
      </c>
      <c r="G3516" s="159" t="s">
        <v>10818</v>
      </c>
    </row>
    <row r="3517" spans="1:7" ht="15.75" customHeight="1">
      <c r="A3517" s="159" t="s">
        <v>9275</v>
      </c>
      <c r="B3517" s="159" t="s">
        <v>10053</v>
      </c>
      <c r="C3517" s="159" t="s">
        <v>10735</v>
      </c>
      <c r="D3517" s="159" t="s">
        <v>484</v>
      </c>
      <c r="E3517" s="159">
        <v>10</v>
      </c>
      <c r="F3517" s="159" t="s">
        <v>5665</v>
      </c>
      <c r="G3517" s="159" t="s">
        <v>10736</v>
      </c>
    </row>
    <row r="3518" spans="1:7" ht="15.75" customHeight="1">
      <c r="A3518" s="159" t="s">
        <v>9275</v>
      </c>
      <c r="B3518" s="159" t="s">
        <v>10053</v>
      </c>
      <c r="C3518" s="159" t="s">
        <v>10882</v>
      </c>
      <c r="D3518" s="159" t="s">
        <v>978</v>
      </c>
      <c r="E3518" s="159">
        <v>5</v>
      </c>
      <c r="F3518" s="159" t="s">
        <v>5665</v>
      </c>
      <c r="G3518" s="159" t="s">
        <v>10883</v>
      </c>
    </row>
    <row r="3519" spans="1:7" ht="15.75" customHeight="1">
      <c r="A3519" s="159" t="s">
        <v>9275</v>
      </c>
      <c r="B3519" s="159" t="s">
        <v>10055</v>
      </c>
      <c r="C3519" s="159" t="s">
        <v>10315</v>
      </c>
      <c r="D3519" s="159" t="s">
        <v>484</v>
      </c>
      <c r="E3519" s="159">
        <v>10</v>
      </c>
      <c r="F3519" s="159" t="s">
        <v>5665</v>
      </c>
      <c r="G3519" s="159" t="s">
        <v>11087</v>
      </c>
    </row>
    <row r="3520" spans="1:7" ht="15.75" customHeight="1">
      <c r="A3520" s="159" t="s">
        <v>9275</v>
      </c>
      <c r="B3520" s="159" t="s">
        <v>10055</v>
      </c>
      <c r="C3520" s="159" t="s">
        <v>10317</v>
      </c>
      <c r="D3520" s="159" t="s">
        <v>477</v>
      </c>
      <c r="E3520" s="159">
        <v>255</v>
      </c>
      <c r="F3520" s="159" t="s">
        <v>5667</v>
      </c>
      <c r="G3520" s="159" t="s">
        <v>12873</v>
      </c>
    </row>
    <row r="3521" spans="1:7" ht="15.75" customHeight="1">
      <c r="A3521" s="159" t="s">
        <v>9275</v>
      </c>
      <c r="B3521" s="159" t="s">
        <v>10055</v>
      </c>
      <c r="C3521" s="159" t="s">
        <v>12874</v>
      </c>
      <c r="D3521" s="159" t="s">
        <v>484</v>
      </c>
      <c r="E3521" s="159">
        <v>10</v>
      </c>
      <c r="F3521" s="159" t="s">
        <v>5665</v>
      </c>
      <c r="G3521" s="159" t="s">
        <v>12875</v>
      </c>
    </row>
    <row r="3522" spans="1:7" ht="15.75" customHeight="1">
      <c r="A3522" s="159" t="s">
        <v>9275</v>
      </c>
      <c r="B3522" s="159" t="s">
        <v>10055</v>
      </c>
      <c r="C3522" s="159" t="s">
        <v>12876</v>
      </c>
      <c r="D3522" s="159" t="s">
        <v>484</v>
      </c>
      <c r="E3522" s="159">
        <v>10</v>
      </c>
      <c r="F3522" s="159" t="s">
        <v>5665</v>
      </c>
      <c r="G3522" s="159" t="s">
        <v>12877</v>
      </c>
    </row>
    <row r="3523" spans="1:7" ht="15.75" customHeight="1">
      <c r="A3523" s="159" t="s">
        <v>9275</v>
      </c>
      <c r="B3523" s="159" t="s">
        <v>10055</v>
      </c>
      <c r="C3523" s="159" t="s">
        <v>12878</v>
      </c>
      <c r="D3523" s="159" t="s">
        <v>477</v>
      </c>
      <c r="E3523" s="159">
        <v>255</v>
      </c>
      <c r="F3523" s="159" t="s">
        <v>5667</v>
      </c>
      <c r="G3523" s="159" t="s">
        <v>12879</v>
      </c>
    </row>
    <row r="3524" spans="1:7" ht="15.75" customHeight="1">
      <c r="A3524" s="159" t="s">
        <v>9275</v>
      </c>
      <c r="B3524" s="159" t="s">
        <v>10055</v>
      </c>
      <c r="C3524" s="159" t="s">
        <v>10290</v>
      </c>
      <c r="D3524" s="159" t="s">
        <v>978</v>
      </c>
      <c r="E3524" s="159">
        <v>5</v>
      </c>
      <c r="F3524" s="159" t="s">
        <v>5665</v>
      </c>
      <c r="G3524" s="159" t="s">
        <v>10507</v>
      </c>
    </row>
    <row r="3525" spans="1:7" ht="15.75" customHeight="1">
      <c r="A3525" s="159" t="s">
        <v>9275</v>
      </c>
      <c r="B3525" s="159" t="s">
        <v>10055</v>
      </c>
      <c r="C3525" s="159" t="s">
        <v>12880</v>
      </c>
      <c r="D3525" s="159" t="s">
        <v>978</v>
      </c>
      <c r="E3525" s="159">
        <v>5</v>
      </c>
      <c r="F3525" s="159" t="s">
        <v>5665</v>
      </c>
      <c r="G3525" s="159" t="s">
        <v>12881</v>
      </c>
    </row>
    <row r="3526" spans="1:7" ht="15.75" customHeight="1">
      <c r="A3526" s="159" t="s">
        <v>9275</v>
      </c>
      <c r="B3526" s="159" t="s">
        <v>10055</v>
      </c>
      <c r="C3526" s="159" t="s">
        <v>10211</v>
      </c>
      <c r="D3526" s="159" t="s">
        <v>978</v>
      </c>
      <c r="E3526" s="159">
        <v>5</v>
      </c>
      <c r="F3526" s="159" t="s">
        <v>5667</v>
      </c>
      <c r="G3526" s="159" t="s">
        <v>12882</v>
      </c>
    </row>
    <row r="3527" spans="1:7" ht="15.75" customHeight="1">
      <c r="A3527" s="159" t="s">
        <v>9275</v>
      </c>
      <c r="B3527" s="159" t="s">
        <v>10055</v>
      </c>
      <c r="C3527" s="159" t="s">
        <v>12883</v>
      </c>
      <c r="D3527" s="159" t="s">
        <v>978</v>
      </c>
      <c r="E3527" s="159">
        <v>5</v>
      </c>
      <c r="F3527" s="159" t="s">
        <v>5667</v>
      </c>
      <c r="G3527" s="159" t="s">
        <v>12884</v>
      </c>
    </row>
    <row r="3528" spans="1:7" ht="15.75" customHeight="1">
      <c r="A3528" s="159" t="s">
        <v>9275</v>
      </c>
      <c r="B3528" s="159" t="s">
        <v>10055</v>
      </c>
      <c r="C3528" s="159" t="s">
        <v>10242</v>
      </c>
      <c r="D3528" s="159" t="s">
        <v>1413</v>
      </c>
      <c r="E3528" s="159"/>
      <c r="F3528" s="159" t="s">
        <v>5665</v>
      </c>
      <c r="G3528" s="159" t="s">
        <v>11446</v>
      </c>
    </row>
    <row r="3529" spans="1:7" ht="15.75" customHeight="1">
      <c r="A3529" s="159" t="s">
        <v>9275</v>
      </c>
      <c r="B3529" s="159" t="s">
        <v>10057</v>
      </c>
      <c r="C3529" s="159" t="s">
        <v>10457</v>
      </c>
      <c r="D3529" s="159" t="s">
        <v>1631</v>
      </c>
      <c r="E3529" s="159">
        <v>20</v>
      </c>
      <c r="F3529" s="159" t="s">
        <v>5665</v>
      </c>
      <c r="G3529" s="159" t="s">
        <v>12885</v>
      </c>
    </row>
    <row r="3530" spans="1:7" ht="15.75" customHeight="1">
      <c r="A3530" s="159" t="s">
        <v>9275</v>
      </c>
      <c r="B3530" s="159" t="s">
        <v>10057</v>
      </c>
      <c r="C3530" s="159" t="s">
        <v>12886</v>
      </c>
      <c r="D3530" s="159" t="s">
        <v>3893</v>
      </c>
      <c r="E3530" s="159">
        <v>65535</v>
      </c>
      <c r="F3530" s="159" t="s">
        <v>5665</v>
      </c>
      <c r="G3530" s="159" t="s">
        <v>12887</v>
      </c>
    </row>
    <row r="3531" spans="1:7" ht="15.75" customHeight="1">
      <c r="A3531" s="159" t="s">
        <v>9275</v>
      </c>
      <c r="B3531" s="159" t="s">
        <v>10057</v>
      </c>
      <c r="C3531" s="159" t="s">
        <v>10290</v>
      </c>
      <c r="D3531" s="159" t="s">
        <v>978</v>
      </c>
      <c r="E3531" s="159">
        <v>5</v>
      </c>
      <c r="F3531" s="159" t="s">
        <v>5665</v>
      </c>
      <c r="G3531" s="159" t="s">
        <v>12888</v>
      </c>
    </row>
    <row r="3532" spans="1:7" ht="15.75" customHeight="1">
      <c r="A3532" s="159" t="s">
        <v>9275</v>
      </c>
      <c r="B3532" s="159" t="s">
        <v>10057</v>
      </c>
      <c r="C3532" s="159" t="s">
        <v>10882</v>
      </c>
      <c r="D3532" s="159" t="s">
        <v>978</v>
      </c>
      <c r="E3532" s="159">
        <v>5</v>
      </c>
      <c r="F3532" s="159" t="s">
        <v>5665</v>
      </c>
      <c r="G3532" s="159" t="s">
        <v>12889</v>
      </c>
    </row>
    <row r="3533" spans="1:7" ht="15.75" customHeight="1">
      <c r="A3533" s="159" t="s">
        <v>9275</v>
      </c>
      <c r="B3533" s="159" t="s">
        <v>10059</v>
      </c>
      <c r="C3533" s="159" t="s">
        <v>183</v>
      </c>
      <c r="D3533" s="159" t="s">
        <v>484</v>
      </c>
      <c r="E3533" s="159">
        <v>10</v>
      </c>
      <c r="F3533" s="159" t="s">
        <v>5665</v>
      </c>
      <c r="G3533" s="159" t="s">
        <v>10174</v>
      </c>
    </row>
    <row r="3534" spans="1:7" ht="15.75" customHeight="1">
      <c r="A3534" s="159" t="s">
        <v>9275</v>
      </c>
      <c r="B3534" s="159" t="s">
        <v>10059</v>
      </c>
      <c r="C3534" s="159" t="s">
        <v>10244</v>
      </c>
      <c r="D3534" s="159" t="s">
        <v>1631</v>
      </c>
      <c r="E3534" s="159">
        <v>20</v>
      </c>
      <c r="F3534" s="159" t="s">
        <v>5665</v>
      </c>
      <c r="G3534" s="159" t="s">
        <v>12890</v>
      </c>
    </row>
    <row r="3535" spans="1:7" ht="15.75" customHeight="1">
      <c r="A3535" s="159" t="s">
        <v>9275</v>
      </c>
      <c r="B3535" s="159" t="s">
        <v>10059</v>
      </c>
      <c r="C3535" s="159" t="s">
        <v>4440</v>
      </c>
      <c r="D3535" s="159" t="s">
        <v>484</v>
      </c>
      <c r="E3535" s="159">
        <v>10</v>
      </c>
      <c r="F3535" s="159" t="s">
        <v>5665</v>
      </c>
      <c r="G3535" s="159" t="s">
        <v>12891</v>
      </c>
    </row>
    <row r="3536" spans="1:7" ht="15.75" customHeight="1">
      <c r="A3536" s="159" t="s">
        <v>9275</v>
      </c>
      <c r="B3536" s="159" t="s">
        <v>10059</v>
      </c>
      <c r="C3536" s="159" t="s">
        <v>10882</v>
      </c>
      <c r="D3536" s="159" t="s">
        <v>978</v>
      </c>
      <c r="E3536" s="159">
        <v>5</v>
      </c>
      <c r="F3536" s="159" t="s">
        <v>5665</v>
      </c>
      <c r="G3536" s="159" t="s">
        <v>10883</v>
      </c>
    </row>
    <row r="3537" spans="1:7" ht="15.75" customHeight="1">
      <c r="A3537" s="159" t="s">
        <v>9275</v>
      </c>
      <c r="B3537" s="159" t="s">
        <v>10061</v>
      </c>
      <c r="C3537" s="159" t="s">
        <v>12892</v>
      </c>
      <c r="D3537" s="159" t="s">
        <v>484</v>
      </c>
      <c r="E3537" s="159">
        <v>10</v>
      </c>
      <c r="F3537" s="159" t="s">
        <v>5665</v>
      </c>
      <c r="G3537" s="159" t="s">
        <v>12893</v>
      </c>
    </row>
    <row r="3538" spans="1:7" ht="15.75" customHeight="1">
      <c r="A3538" s="159" t="s">
        <v>9275</v>
      </c>
      <c r="B3538" s="159" t="s">
        <v>10062</v>
      </c>
      <c r="C3538" s="159" t="s">
        <v>12892</v>
      </c>
      <c r="D3538" s="159" t="s">
        <v>484</v>
      </c>
      <c r="E3538" s="159">
        <v>10</v>
      </c>
      <c r="F3538" s="159" t="s">
        <v>5665</v>
      </c>
      <c r="G3538" s="159" t="s">
        <v>12893</v>
      </c>
    </row>
    <row r="3539" spans="1:7" ht="15.75" customHeight="1">
      <c r="A3539" s="159" t="s">
        <v>9275</v>
      </c>
      <c r="B3539" s="159" t="s">
        <v>10063</v>
      </c>
      <c r="C3539" s="159" t="s">
        <v>12892</v>
      </c>
      <c r="D3539" s="159" t="s">
        <v>484</v>
      </c>
      <c r="E3539" s="159">
        <v>10</v>
      </c>
      <c r="F3539" s="159" t="s">
        <v>5665</v>
      </c>
      <c r="G3539" s="159" t="s">
        <v>12893</v>
      </c>
    </row>
    <row r="3540" spans="1:7" ht="15.75" customHeight="1">
      <c r="A3540" s="159" t="s">
        <v>9275</v>
      </c>
      <c r="B3540" s="159" t="s">
        <v>10064</v>
      </c>
      <c r="C3540" s="159" t="s">
        <v>12892</v>
      </c>
      <c r="D3540" s="159" t="s">
        <v>484</v>
      </c>
      <c r="E3540" s="159">
        <v>10</v>
      </c>
      <c r="F3540" s="159" t="s">
        <v>5665</v>
      </c>
      <c r="G3540" s="159" t="s">
        <v>12893</v>
      </c>
    </row>
    <row r="3541" spans="1:7" ht="15.75" customHeight="1">
      <c r="A3541" s="159" t="s">
        <v>9275</v>
      </c>
      <c r="B3541" s="159" t="s">
        <v>10065</v>
      </c>
      <c r="C3541" s="159" t="s">
        <v>12892</v>
      </c>
      <c r="D3541" s="159" t="s">
        <v>484</v>
      </c>
      <c r="E3541" s="159">
        <v>10</v>
      </c>
      <c r="F3541" s="159" t="s">
        <v>5665</v>
      </c>
      <c r="G3541" s="159" t="s">
        <v>12893</v>
      </c>
    </row>
    <row r="3542" spans="1:7" ht="15.75" customHeight="1">
      <c r="A3542" s="159" t="s">
        <v>9275</v>
      </c>
      <c r="B3542" s="159" t="s">
        <v>10066</v>
      </c>
      <c r="C3542" s="159" t="s">
        <v>12892</v>
      </c>
      <c r="D3542" s="159" t="s">
        <v>484</v>
      </c>
      <c r="E3542" s="159">
        <v>10</v>
      </c>
      <c r="F3542" s="159" t="s">
        <v>5665</v>
      </c>
      <c r="G3542" s="159" t="s">
        <v>12893</v>
      </c>
    </row>
    <row r="3543" spans="1:7" ht="15.75" customHeight="1">
      <c r="A3543" s="159" t="s">
        <v>9275</v>
      </c>
      <c r="B3543" s="159" t="s">
        <v>10067</v>
      </c>
      <c r="C3543" s="159" t="s">
        <v>12892</v>
      </c>
      <c r="D3543" s="159" t="s">
        <v>484</v>
      </c>
      <c r="E3543" s="159">
        <v>10</v>
      </c>
      <c r="F3543" s="159" t="s">
        <v>5665</v>
      </c>
      <c r="G3543" s="159" t="s">
        <v>12893</v>
      </c>
    </row>
    <row r="3544" spans="1:7" ht="15.75" customHeight="1">
      <c r="A3544" s="159" t="s">
        <v>9275</v>
      </c>
      <c r="B3544" s="159" t="s">
        <v>10068</v>
      </c>
      <c r="C3544" s="159" t="s">
        <v>12892</v>
      </c>
      <c r="D3544" s="159" t="s">
        <v>484</v>
      </c>
      <c r="E3544" s="159">
        <v>10</v>
      </c>
      <c r="F3544" s="159" t="s">
        <v>5665</v>
      </c>
      <c r="G3544" s="159" t="s">
        <v>12893</v>
      </c>
    </row>
    <row r="3545" spans="1:7" ht="15.75" customHeight="1">
      <c r="A3545" s="159" t="s">
        <v>9275</v>
      </c>
      <c r="B3545" s="159" t="s">
        <v>10069</v>
      </c>
      <c r="C3545" s="159" t="s">
        <v>12892</v>
      </c>
      <c r="D3545" s="159" t="s">
        <v>484</v>
      </c>
      <c r="E3545" s="159">
        <v>10</v>
      </c>
      <c r="F3545" s="159" t="s">
        <v>5665</v>
      </c>
      <c r="G3545" s="159" t="s">
        <v>12893</v>
      </c>
    </row>
    <row r="3546" spans="1:7" ht="15.75" customHeight="1">
      <c r="A3546" s="159" t="s">
        <v>9275</v>
      </c>
      <c r="B3546" s="159" t="s">
        <v>10070</v>
      </c>
      <c r="C3546" s="159" t="s">
        <v>12892</v>
      </c>
      <c r="D3546" s="159" t="s">
        <v>484</v>
      </c>
      <c r="E3546" s="159">
        <v>10</v>
      </c>
      <c r="F3546" s="159" t="s">
        <v>5665</v>
      </c>
      <c r="G3546" s="159" t="s">
        <v>12893</v>
      </c>
    </row>
    <row r="3547" spans="1:7" ht="15.75" customHeight="1">
      <c r="A3547" s="159" t="s">
        <v>9275</v>
      </c>
      <c r="B3547" s="159" t="s">
        <v>10071</v>
      </c>
      <c r="C3547" s="159" t="s">
        <v>12892</v>
      </c>
      <c r="D3547" s="159" t="s">
        <v>484</v>
      </c>
      <c r="E3547" s="159">
        <v>10</v>
      </c>
      <c r="F3547" s="159" t="s">
        <v>5665</v>
      </c>
      <c r="G3547" s="159" t="s">
        <v>12893</v>
      </c>
    </row>
    <row r="3548" spans="1:7" ht="15.75" customHeight="1">
      <c r="A3548" s="159" t="s">
        <v>9275</v>
      </c>
      <c r="B3548" s="159" t="s">
        <v>10072</v>
      </c>
      <c r="C3548" s="159" t="s">
        <v>12892</v>
      </c>
      <c r="D3548" s="159" t="s">
        <v>484</v>
      </c>
      <c r="E3548" s="159">
        <v>10</v>
      </c>
      <c r="F3548" s="159" t="s">
        <v>5665</v>
      </c>
      <c r="G3548" s="159" t="s">
        <v>12893</v>
      </c>
    </row>
    <row r="3549" spans="1:7" ht="15.75" customHeight="1">
      <c r="A3549" s="159" t="s">
        <v>9275</v>
      </c>
      <c r="B3549" s="159" t="s">
        <v>10073</v>
      </c>
      <c r="C3549" s="159" t="s">
        <v>12892</v>
      </c>
      <c r="D3549" s="159" t="s">
        <v>484</v>
      </c>
      <c r="E3549" s="159">
        <v>10</v>
      </c>
      <c r="F3549" s="159" t="s">
        <v>5665</v>
      </c>
      <c r="G3549" s="159" t="s">
        <v>12893</v>
      </c>
    </row>
    <row r="3550" spans="1:7" ht="15.75" customHeight="1">
      <c r="A3550" s="159" t="s">
        <v>9275</v>
      </c>
      <c r="B3550" s="159" t="s">
        <v>10074</v>
      </c>
      <c r="C3550" s="159" t="s">
        <v>12892</v>
      </c>
      <c r="D3550" s="159" t="s">
        <v>484</v>
      </c>
      <c r="E3550" s="159">
        <v>10</v>
      </c>
      <c r="F3550" s="159" t="s">
        <v>5665</v>
      </c>
      <c r="G3550" s="159" t="s">
        <v>12893</v>
      </c>
    </row>
    <row r="3551" spans="1:7" ht="15.75" customHeight="1">
      <c r="A3551" s="159" t="s">
        <v>9275</v>
      </c>
      <c r="B3551" s="159" t="s">
        <v>10075</v>
      </c>
      <c r="C3551" s="159" t="s">
        <v>12892</v>
      </c>
      <c r="D3551" s="159" t="s">
        <v>484</v>
      </c>
      <c r="E3551" s="159">
        <v>10</v>
      </c>
      <c r="F3551" s="159" t="s">
        <v>5665</v>
      </c>
      <c r="G3551" s="159" t="s">
        <v>12893</v>
      </c>
    </row>
    <row r="3552" spans="1:7" ht="15.75" customHeight="1">
      <c r="A3552" s="159" t="s">
        <v>9275</v>
      </c>
      <c r="B3552" s="159" t="s">
        <v>10076</v>
      </c>
      <c r="C3552" s="159" t="s">
        <v>5797</v>
      </c>
      <c r="D3552" s="159" t="s">
        <v>477</v>
      </c>
      <c r="E3552" s="159">
        <v>255</v>
      </c>
      <c r="F3552" s="159" t="s">
        <v>5665</v>
      </c>
      <c r="G3552" s="159" t="s">
        <v>11717</v>
      </c>
    </row>
    <row r="3553" spans="1:7" ht="15.75" customHeight="1">
      <c r="A3553" s="159" t="s">
        <v>9275</v>
      </c>
      <c r="B3553" s="159" t="s">
        <v>10076</v>
      </c>
      <c r="C3553" s="159" t="s">
        <v>12894</v>
      </c>
      <c r="D3553" s="159" t="s">
        <v>484</v>
      </c>
      <c r="E3553" s="159">
        <v>10</v>
      </c>
      <c r="F3553" s="159" t="s">
        <v>5665</v>
      </c>
      <c r="G3553" s="159" t="s">
        <v>12895</v>
      </c>
    </row>
    <row r="3554" spans="1:7" ht="15.75" customHeight="1">
      <c r="A3554" s="159" t="s">
        <v>9275</v>
      </c>
      <c r="B3554" s="159" t="s">
        <v>10076</v>
      </c>
      <c r="C3554" s="159" t="s">
        <v>12896</v>
      </c>
      <c r="D3554" s="159" t="s">
        <v>10796</v>
      </c>
      <c r="E3554" s="159">
        <v>16777215</v>
      </c>
      <c r="F3554" s="159" t="s">
        <v>5665</v>
      </c>
      <c r="G3554" s="159" t="s">
        <v>12029</v>
      </c>
    </row>
    <row r="3555" spans="1:7" ht="15.75" customHeight="1">
      <c r="A3555" s="159" t="s">
        <v>9275</v>
      </c>
      <c r="B3555" s="159" t="s">
        <v>10078</v>
      </c>
      <c r="C3555" s="159" t="s">
        <v>12897</v>
      </c>
      <c r="D3555" s="159" t="s">
        <v>477</v>
      </c>
      <c r="E3555" s="159">
        <v>50</v>
      </c>
      <c r="F3555" s="159" t="s">
        <v>5665</v>
      </c>
      <c r="G3555" s="159" t="s">
        <v>12898</v>
      </c>
    </row>
    <row r="3556" spans="1:7" ht="15.75" customHeight="1">
      <c r="A3556" s="159" t="s">
        <v>9275</v>
      </c>
      <c r="B3556" s="159" t="s">
        <v>10078</v>
      </c>
      <c r="C3556" s="159" t="s">
        <v>12899</v>
      </c>
      <c r="D3556" s="159" t="s">
        <v>477</v>
      </c>
      <c r="E3556" s="159">
        <v>50</v>
      </c>
      <c r="F3556" s="159" t="s">
        <v>5667</v>
      </c>
      <c r="G3556" s="159" t="s">
        <v>12900</v>
      </c>
    </row>
    <row r="3557" spans="1:7" ht="15.75" customHeight="1">
      <c r="A3557" s="159" t="s">
        <v>9275</v>
      </c>
      <c r="B3557" s="159" t="s">
        <v>10078</v>
      </c>
      <c r="C3557" s="159" t="s">
        <v>12901</v>
      </c>
      <c r="D3557" s="159" t="s">
        <v>477</v>
      </c>
      <c r="E3557" s="159">
        <v>50</v>
      </c>
      <c r="F3557" s="159" t="s">
        <v>5667</v>
      </c>
      <c r="G3557" s="159" t="s">
        <v>12902</v>
      </c>
    </row>
    <row r="3558" spans="1:7" ht="15.75" customHeight="1">
      <c r="A3558" s="159" t="s">
        <v>9275</v>
      </c>
      <c r="B3558" s="159" t="s">
        <v>10080</v>
      </c>
      <c r="C3558" s="159" t="s">
        <v>12903</v>
      </c>
      <c r="D3558" s="159" t="s">
        <v>484</v>
      </c>
      <c r="E3558" s="159">
        <v>10</v>
      </c>
      <c r="F3558" s="159" t="s">
        <v>5665</v>
      </c>
      <c r="G3558" s="159" t="s">
        <v>11539</v>
      </c>
    </row>
    <row r="3559" spans="1:7" ht="15.75" customHeight="1">
      <c r="A3559" s="159" t="s">
        <v>9275</v>
      </c>
      <c r="B3559" s="159" t="s">
        <v>10080</v>
      </c>
      <c r="C3559" s="159" t="s">
        <v>10882</v>
      </c>
      <c r="D3559" s="159" t="s">
        <v>484</v>
      </c>
      <c r="E3559" s="159">
        <v>10</v>
      </c>
      <c r="F3559" s="159" t="s">
        <v>5665</v>
      </c>
      <c r="G3559" s="159" t="s">
        <v>10883</v>
      </c>
    </row>
    <row r="3560" spans="1:7" ht="15.75" customHeight="1">
      <c r="A3560" s="159" t="s">
        <v>9275</v>
      </c>
      <c r="B3560" s="159" t="s">
        <v>10080</v>
      </c>
      <c r="C3560" s="159" t="s">
        <v>12904</v>
      </c>
      <c r="D3560" s="159" t="s">
        <v>477</v>
      </c>
      <c r="E3560" s="159">
        <v>4</v>
      </c>
      <c r="F3560" s="159" t="s">
        <v>5665</v>
      </c>
      <c r="G3560" s="159" t="s">
        <v>12905</v>
      </c>
    </row>
    <row r="3561" spans="1:7" ht="15.75" customHeight="1">
      <c r="A3561" s="159" t="s">
        <v>9275</v>
      </c>
      <c r="B3561" s="159" t="s">
        <v>10080</v>
      </c>
      <c r="C3561" s="159" t="s">
        <v>12906</v>
      </c>
      <c r="D3561" s="159" t="s">
        <v>484</v>
      </c>
      <c r="E3561" s="159">
        <v>10</v>
      </c>
      <c r="F3561" s="159" t="s">
        <v>5665</v>
      </c>
      <c r="G3561" s="159" t="s">
        <v>12907</v>
      </c>
    </row>
    <row r="3562" spans="1:7" ht="15.75" customHeight="1">
      <c r="A3562" s="159" t="s">
        <v>9275</v>
      </c>
      <c r="B3562" s="159" t="s">
        <v>10080</v>
      </c>
      <c r="C3562" s="159" t="s">
        <v>12908</v>
      </c>
      <c r="D3562" s="159" t="s">
        <v>477</v>
      </c>
      <c r="E3562" s="159">
        <v>10</v>
      </c>
      <c r="F3562" s="159" t="s">
        <v>5665</v>
      </c>
      <c r="G3562" s="159" t="s">
        <v>12909</v>
      </c>
    </row>
    <row r="3563" spans="1:7" ht="15.75" customHeight="1">
      <c r="A3563" s="159" t="s">
        <v>9275</v>
      </c>
      <c r="B3563" s="159" t="s">
        <v>10080</v>
      </c>
      <c r="C3563" s="159" t="s">
        <v>12910</v>
      </c>
      <c r="D3563" s="159" t="s">
        <v>477</v>
      </c>
      <c r="E3563" s="159">
        <v>30</v>
      </c>
      <c r="F3563" s="159" t="s">
        <v>5665</v>
      </c>
      <c r="G3563" s="159" t="s">
        <v>12911</v>
      </c>
    </row>
    <row r="3564" spans="1:7" ht="15.75" customHeight="1">
      <c r="A3564" s="159" t="s">
        <v>9275</v>
      </c>
      <c r="B3564" s="159" t="s">
        <v>10080</v>
      </c>
      <c r="C3564" s="159" t="s">
        <v>12912</v>
      </c>
      <c r="D3564" s="159" t="s">
        <v>481</v>
      </c>
      <c r="E3564" s="159">
        <v>12</v>
      </c>
      <c r="F3564" s="159" t="s">
        <v>5665</v>
      </c>
      <c r="G3564" s="159" t="s">
        <v>12913</v>
      </c>
    </row>
    <row r="3565" spans="1:7" ht="15.75" customHeight="1">
      <c r="A3565" s="159" t="s">
        <v>9275</v>
      </c>
      <c r="B3565" s="159" t="s">
        <v>10080</v>
      </c>
      <c r="C3565" s="159" t="s">
        <v>10942</v>
      </c>
      <c r="D3565" s="159" t="s">
        <v>481</v>
      </c>
      <c r="E3565" s="159">
        <v>12</v>
      </c>
      <c r="F3565" s="159" t="s">
        <v>5665</v>
      </c>
      <c r="G3565" s="159" t="s">
        <v>3497</v>
      </c>
    </row>
    <row r="3566" spans="1:7" ht="15.75" customHeight="1">
      <c r="A3566" s="159" t="s">
        <v>9275</v>
      </c>
      <c r="B3566" s="159" t="s">
        <v>10080</v>
      </c>
      <c r="C3566" s="159" t="s">
        <v>12914</v>
      </c>
      <c r="D3566" s="159" t="s">
        <v>481</v>
      </c>
      <c r="E3566" s="159">
        <v>12</v>
      </c>
      <c r="F3566" s="159" t="s">
        <v>5665</v>
      </c>
      <c r="G3566" s="159" t="s">
        <v>4247</v>
      </c>
    </row>
    <row r="3567" spans="1:7" ht="15.75" customHeight="1">
      <c r="A3567" s="159" t="s">
        <v>9275</v>
      </c>
      <c r="B3567" s="159" t="s">
        <v>10082</v>
      </c>
      <c r="C3567" s="159" t="s">
        <v>12915</v>
      </c>
      <c r="D3567" s="159" t="s">
        <v>484</v>
      </c>
      <c r="E3567" s="159">
        <v>10</v>
      </c>
      <c r="F3567" s="159" t="s">
        <v>5665</v>
      </c>
      <c r="G3567" s="159" t="s">
        <v>12916</v>
      </c>
    </row>
    <row r="3568" spans="1:7" ht="15.75" customHeight="1">
      <c r="A3568" s="159" t="s">
        <v>9275</v>
      </c>
      <c r="B3568" s="159" t="s">
        <v>10082</v>
      </c>
      <c r="C3568" s="159" t="s">
        <v>12917</v>
      </c>
      <c r="D3568" s="159" t="s">
        <v>477</v>
      </c>
      <c r="E3568" s="159">
        <v>32</v>
      </c>
      <c r="F3568" s="159" t="s">
        <v>5667</v>
      </c>
      <c r="G3568" s="159" t="s">
        <v>12918</v>
      </c>
    </row>
    <row r="3569" spans="1:7" ht="15.75" customHeight="1">
      <c r="A3569" s="159" t="s">
        <v>9275</v>
      </c>
      <c r="B3569" s="159" t="s">
        <v>10082</v>
      </c>
      <c r="C3569" s="159" t="s">
        <v>12919</v>
      </c>
      <c r="D3569" s="159" t="s">
        <v>477</v>
      </c>
      <c r="E3569" s="159">
        <v>32</v>
      </c>
      <c r="F3569" s="159" t="s">
        <v>5667</v>
      </c>
      <c r="G3569" s="159" t="s">
        <v>12920</v>
      </c>
    </row>
    <row r="3570" spans="1:7" ht="15.75" customHeight="1">
      <c r="A3570" s="159" t="s">
        <v>9275</v>
      </c>
      <c r="B3570" s="159" t="s">
        <v>10082</v>
      </c>
      <c r="C3570" s="159" t="s">
        <v>12921</v>
      </c>
      <c r="D3570" s="159" t="s">
        <v>477</v>
      </c>
      <c r="E3570" s="159">
        <v>255</v>
      </c>
      <c r="F3570" s="159" t="s">
        <v>5667</v>
      </c>
      <c r="G3570" s="159" t="s">
        <v>12922</v>
      </c>
    </row>
    <row r="3571" spans="1:7" ht="15.75" customHeight="1">
      <c r="A3571" s="159" t="s">
        <v>9275</v>
      </c>
      <c r="B3571" s="159" t="s">
        <v>10082</v>
      </c>
      <c r="C3571" s="159" t="s">
        <v>12923</v>
      </c>
      <c r="D3571" s="159" t="s">
        <v>1413</v>
      </c>
      <c r="E3571" s="159"/>
      <c r="F3571" s="159" t="s">
        <v>5667</v>
      </c>
      <c r="G3571" s="159" t="s">
        <v>12924</v>
      </c>
    </row>
    <row r="3572" spans="1:7" ht="15.75" customHeight="1">
      <c r="A3572" s="159" t="s">
        <v>9275</v>
      </c>
      <c r="B3572" s="159" t="s">
        <v>10082</v>
      </c>
      <c r="C3572" s="159" t="s">
        <v>10290</v>
      </c>
      <c r="D3572" s="159" t="s">
        <v>978</v>
      </c>
      <c r="E3572" s="159">
        <v>5</v>
      </c>
      <c r="F3572" s="159" t="s">
        <v>5665</v>
      </c>
      <c r="G3572" s="159" t="s">
        <v>10507</v>
      </c>
    </row>
    <row r="3573" spans="1:7" ht="15.75" customHeight="1">
      <c r="A3573" s="159" t="s">
        <v>9275</v>
      </c>
      <c r="B3573" s="159" t="s">
        <v>10084</v>
      </c>
      <c r="C3573" s="159" t="s">
        <v>10290</v>
      </c>
      <c r="D3573" s="159" t="s">
        <v>978</v>
      </c>
      <c r="E3573" s="159">
        <v>5</v>
      </c>
      <c r="F3573" s="159" t="s">
        <v>5665</v>
      </c>
      <c r="G3573" s="159" t="s">
        <v>10507</v>
      </c>
    </row>
    <row r="3574" spans="1:7" ht="15.75" customHeight="1">
      <c r="A3574" s="159" t="s">
        <v>9275</v>
      </c>
      <c r="B3574" s="159" t="s">
        <v>10084</v>
      </c>
      <c r="C3574" s="159" t="s">
        <v>5764</v>
      </c>
      <c r="D3574" s="159" t="s">
        <v>477</v>
      </c>
      <c r="E3574" s="159">
        <v>32</v>
      </c>
      <c r="F3574" s="159" t="s">
        <v>5667</v>
      </c>
      <c r="G3574" s="159" t="s">
        <v>4246</v>
      </c>
    </row>
    <row r="3575" spans="1:7" ht="15.75" customHeight="1">
      <c r="A3575" s="159" t="s">
        <v>9275</v>
      </c>
      <c r="B3575" s="159" t="s">
        <v>10084</v>
      </c>
      <c r="C3575" s="159" t="s">
        <v>10882</v>
      </c>
      <c r="D3575" s="159" t="s">
        <v>978</v>
      </c>
      <c r="E3575" s="159">
        <v>5</v>
      </c>
      <c r="F3575" s="159" t="s">
        <v>5665</v>
      </c>
      <c r="G3575" s="159" t="s">
        <v>10883</v>
      </c>
    </row>
    <row r="3576" spans="1:7" ht="15.75" customHeight="1">
      <c r="A3576" s="159" t="s">
        <v>9275</v>
      </c>
      <c r="B3576" s="159" t="s">
        <v>10084</v>
      </c>
      <c r="C3576" s="159" t="s">
        <v>10457</v>
      </c>
      <c r="D3576" s="159" t="s">
        <v>978</v>
      </c>
      <c r="E3576" s="159">
        <v>5</v>
      </c>
      <c r="F3576" s="159" t="s">
        <v>5665</v>
      </c>
      <c r="G3576" s="159" t="s">
        <v>11198</v>
      </c>
    </row>
    <row r="3577" spans="1:7" ht="15.75" customHeight="1">
      <c r="A3577" s="159" t="s">
        <v>9275</v>
      </c>
      <c r="B3577" s="159" t="s">
        <v>10084</v>
      </c>
      <c r="C3577" s="159" t="s">
        <v>156</v>
      </c>
      <c r="D3577" s="159" t="s">
        <v>477</v>
      </c>
      <c r="E3577" s="159">
        <v>255</v>
      </c>
      <c r="F3577" s="159" t="s">
        <v>5665</v>
      </c>
      <c r="G3577" s="159" t="s">
        <v>12479</v>
      </c>
    </row>
    <row r="3578" spans="1:7" ht="15.75" customHeight="1">
      <c r="A3578" s="159" t="s">
        <v>9275</v>
      </c>
      <c r="B3578" s="159" t="s">
        <v>10084</v>
      </c>
      <c r="C3578" s="159" t="s">
        <v>10469</v>
      </c>
      <c r="D3578" s="159" t="s">
        <v>978</v>
      </c>
      <c r="E3578" s="159">
        <v>5</v>
      </c>
      <c r="F3578" s="159" t="s">
        <v>5665</v>
      </c>
      <c r="G3578" s="159" t="s">
        <v>12925</v>
      </c>
    </row>
    <row r="3579" spans="1:7" ht="15.75" customHeight="1">
      <c r="A3579" s="159" t="s">
        <v>9275</v>
      </c>
      <c r="B3579" s="159" t="s">
        <v>10084</v>
      </c>
      <c r="C3579" s="159" t="s">
        <v>10211</v>
      </c>
      <c r="D3579" s="159" t="s">
        <v>978</v>
      </c>
      <c r="E3579" s="159">
        <v>5</v>
      </c>
      <c r="F3579" s="159" t="s">
        <v>5665</v>
      </c>
      <c r="G3579" s="159" t="s">
        <v>12926</v>
      </c>
    </row>
    <row r="3580" spans="1:7" ht="15.75" customHeight="1">
      <c r="A3580" s="159" t="s">
        <v>9275</v>
      </c>
      <c r="B3580" s="159" t="s">
        <v>10086</v>
      </c>
      <c r="C3580" s="159" t="s">
        <v>10457</v>
      </c>
      <c r="D3580" s="159" t="s">
        <v>978</v>
      </c>
      <c r="E3580" s="159">
        <v>5</v>
      </c>
      <c r="F3580" s="159" t="s">
        <v>5665</v>
      </c>
      <c r="G3580" s="159" t="s">
        <v>11198</v>
      </c>
    </row>
    <row r="3581" spans="1:7" ht="15.75" customHeight="1">
      <c r="A3581" s="159" t="s">
        <v>9275</v>
      </c>
      <c r="B3581" s="159" t="s">
        <v>10086</v>
      </c>
      <c r="C3581" s="159" t="s">
        <v>10882</v>
      </c>
      <c r="D3581" s="159" t="s">
        <v>978</v>
      </c>
      <c r="E3581" s="159">
        <v>5</v>
      </c>
      <c r="F3581" s="159" t="s">
        <v>5665</v>
      </c>
      <c r="G3581" s="159" t="s">
        <v>10883</v>
      </c>
    </row>
    <row r="3582" spans="1:7" ht="15.75" customHeight="1">
      <c r="A3582" s="159" t="s">
        <v>9275</v>
      </c>
      <c r="B3582" s="159" t="s">
        <v>10086</v>
      </c>
      <c r="C3582" s="159" t="s">
        <v>156</v>
      </c>
      <c r="D3582" s="159" t="s">
        <v>477</v>
      </c>
      <c r="E3582" s="159">
        <v>255</v>
      </c>
      <c r="F3582" s="159" t="s">
        <v>5665</v>
      </c>
      <c r="G3582" s="159" t="s">
        <v>12927</v>
      </c>
    </row>
    <row r="3583" spans="1:7" ht="15.75" customHeight="1">
      <c r="A3583" s="159" t="s">
        <v>9275</v>
      </c>
      <c r="B3583" s="159" t="s">
        <v>10086</v>
      </c>
      <c r="C3583" s="159" t="s">
        <v>12928</v>
      </c>
      <c r="D3583" s="159" t="s">
        <v>484</v>
      </c>
      <c r="E3583" s="159">
        <v>10</v>
      </c>
      <c r="F3583" s="159" t="s">
        <v>5665</v>
      </c>
      <c r="G3583" s="159" t="s">
        <v>12929</v>
      </c>
    </row>
    <row r="3584" spans="1:7" ht="15.75" customHeight="1">
      <c r="A3584" s="159" t="s">
        <v>9275</v>
      </c>
      <c r="B3584" s="159" t="s">
        <v>10086</v>
      </c>
      <c r="C3584" s="159" t="s">
        <v>10969</v>
      </c>
      <c r="D3584" s="159" t="s">
        <v>978</v>
      </c>
      <c r="E3584" s="159">
        <v>5</v>
      </c>
      <c r="F3584" s="159" t="s">
        <v>5665</v>
      </c>
      <c r="G3584" s="159" t="s">
        <v>12930</v>
      </c>
    </row>
    <row r="3585" spans="1:7" ht="15.75" customHeight="1">
      <c r="A3585" s="159" t="s">
        <v>9275</v>
      </c>
      <c r="B3585" s="159" t="s">
        <v>10086</v>
      </c>
      <c r="C3585" s="159" t="s">
        <v>5764</v>
      </c>
      <c r="D3585" s="159" t="s">
        <v>477</v>
      </c>
      <c r="E3585" s="159">
        <v>32</v>
      </c>
      <c r="F3585" s="159" t="s">
        <v>5667</v>
      </c>
      <c r="G3585" s="159" t="s">
        <v>12931</v>
      </c>
    </row>
    <row r="3586" spans="1:7" ht="15.75" customHeight="1">
      <c r="A3586" s="159" t="s">
        <v>9275</v>
      </c>
      <c r="B3586" s="159" t="s">
        <v>10088</v>
      </c>
      <c r="C3586" s="159" t="s">
        <v>10882</v>
      </c>
      <c r="D3586" s="159" t="s">
        <v>978</v>
      </c>
      <c r="E3586" s="159">
        <v>5</v>
      </c>
      <c r="F3586" s="159" t="s">
        <v>5665</v>
      </c>
      <c r="G3586" s="159" t="s">
        <v>10883</v>
      </c>
    </row>
    <row r="3587" spans="1:7" ht="15.75" customHeight="1">
      <c r="A3587" s="159" t="s">
        <v>9275</v>
      </c>
      <c r="B3587" s="159" t="s">
        <v>10088</v>
      </c>
      <c r="C3587" s="159" t="s">
        <v>5764</v>
      </c>
      <c r="D3587" s="159" t="s">
        <v>477</v>
      </c>
      <c r="E3587" s="159">
        <v>32</v>
      </c>
      <c r="F3587" s="159" t="s">
        <v>5667</v>
      </c>
      <c r="G3587" s="159" t="s">
        <v>4246</v>
      </c>
    </row>
    <row r="3588" spans="1:7" ht="15.75" customHeight="1">
      <c r="A3588" s="159" t="s">
        <v>9275</v>
      </c>
      <c r="B3588" s="159" t="s">
        <v>10088</v>
      </c>
      <c r="C3588" s="159" t="s">
        <v>156</v>
      </c>
      <c r="D3588" s="159" t="s">
        <v>477</v>
      </c>
      <c r="E3588" s="159">
        <v>64</v>
      </c>
      <c r="F3588" s="159" t="s">
        <v>5667</v>
      </c>
      <c r="G3588" s="159" t="s">
        <v>12932</v>
      </c>
    </row>
    <row r="3589" spans="1:7" ht="15.75" customHeight="1">
      <c r="A3589" s="159" t="s">
        <v>9275</v>
      </c>
      <c r="B3589" s="159" t="s">
        <v>10088</v>
      </c>
      <c r="C3589" s="159" t="s">
        <v>10469</v>
      </c>
      <c r="D3589" s="159" t="s">
        <v>978</v>
      </c>
      <c r="E3589" s="159">
        <v>5</v>
      </c>
      <c r="F3589" s="159" t="s">
        <v>5665</v>
      </c>
      <c r="G3589" s="159" t="s">
        <v>10470</v>
      </c>
    </row>
    <row r="3590" spans="1:7" ht="15.75" customHeight="1">
      <c r="A3590" s="159" t="s">
        <v>9275</v>
      </c>
      <c r="B3590" s="159" t="s">
        <v>10088</v>
      </c>
      <c r="C3590" s="159" t="s">
        <v>12933</v>
      </c>
      <c r="D3590" s="159" t="s">
        <v>978</v>
      </c>
      <c r="E3590" s="159">
        <v>5</v>
      </c>
      <c r="F3590" s="159" t="s">
        <v>5665</v>
      </c>
      <c r="G3590" s="159" t="s">
        <v>12934</v>
      </c>
    </row>
    <row r="3591" spans="1:7" ht="15.75" customHeight="1">
      <c r="A3591" s="159" t="s">
        <v>9275</v>
      </c>
      <c r="B3591" s="159" t="s">
        <v>10088</v>
      </c>
      <c r="C3591" s="159" t="s">
        <v>10892</v>
      </c>
      <c r="D3591" s="159" t="s">
        <v>978</v>
      </c>
      <c r="E3591" s="159">
        <v>5</v>
      </c>
      <c r="F3591" s="159" t="s">
        <v>5667</v>
      </c>
      <c r="G3591" s="159" t="s">
        <v>12935</v>
      </c>
    </row>
    <row r="3592" spans="1:7" ht="15.75" customHeight="1">
      <c r="A3592" s="159" t="s">
        <v>9275</v>
      </c>
      <c r="B3592" s="159" t="s">
        <v>10090</v>
      </c>
      <c r="C3592" s="159" t="s">
        <v>10287</v>
      </c>
      <c r="D3592" s="159" t="s">
        <v>484</v>
      </c>
      <c r="E3592" s="159">
        <v>10</v>
      </c>
      <c r="F3592" s="159" t="s">
        <v>5665</v>
      </c>
      <c r="G3592" s="159" t="s">
        <v>10676</v>
      </c>
    </row>
    <row r="3593" spans="1:7" ht="15.75" customHeight="1">
      <c r="A3593" s="159" t="s">
        <v>9275</v>
      </c>
      <c r="B3593" s="159" t="s">
        <v>10090</v>
      </c>
      <c r="C3593" s="159" t="s">
        <v>156</v>
      </c>
      <c r="D3593" s="159" t="s">
        <v>477</v>
      </c>
      <c r="E3593" s="159">
        <v>255</v>
      </c>
      <c r="F3593" s="159" t="s">
        <v>5665</v>
      </c>
      <c r="G3593" s="159" t="s">
        <v>12936</v>
      </c>
    </row>
    <row r="3594" spans="1:7" ht="15.75" customHeight="1">
      <c r="A3594" s="159" t="s">
        <v>9275</v>
      </c>
      <c r="B3594" s="159" t="s">
        <v>10090</v>
      </c>
      <c r="C3594" s="159" t="s">
        <v>7223</v>
      </c>
      <c r="D3594" s="159" t="s">
        <v>477</v>
      </c>
      <c r="E3594" s="159">
        <v>255</v>
      </c>
      <c r="F3594" s="159" t="s">
        <v>5665</v>
      </c>
      <c r="G3594" s="159" t="s">
        <v>12937</v>
      </c>
    </row>
    <row r="3595" spans="1:7" ht="15.75" customHeight="1">
      <c r="A3595" s="159" t="s">
        <v>9275</v>
      </c>
      <c r="B3595" s="159" t="s">
        <v>10090</v>
      </c>
      <c r="C3595" s="159" t="s">
        <v>12938</v>
      </c>
      <c r="D3595" s="159" t="s">
        <v>477</v>
      </c>
      <c r="E3595" s="159">
        <v>10</v>
      </c>
      <c r="F3595" s="159" t="s">
        <v>5665</v>
      </c>
      <c r="G3595" s="159" t="s">
        <v>12939</v>
      </c>
    </row>
    <row r="3596" spans="1:7" ht="15.75" customHeight="1">
      <c r="A3596" s="159" t="s">
        <v>9275</v>
      </c>
      <c r="B3596" s="159" t="s">
        <v>10090</v>
      </c>
      <c r="C3596" s="159" t="s">
        <v>3944</v>
      </c>
      <c r="D3596" s="159" t="s">
        <v>477</v>
      </c>
      <c r="E3596" s="159">
        <v>255</v>
      </c>
      <c r="F3596" s="159" t="s">
        <v>5665</v>
      </c>
      <c r="G3596" s="159" t="s">
        <v>12940</v>
      </c>
    </row>
    <row r="3597" spans="1:7" ht="15.75" customHeight="1">
      <c r="A3597" s="159" t="s">
        <v>9275</v>
      </c>
      <c r="B3597" s="159" t="s">
        <v>10090</v>
      </c>
      <c r="C3597" s="159" t="s">
        <v>3945</v>
      </c>
      <c r="D3597" s="159" t="s">
        <v>477</v>
      </c>
      <c r="E3597" s="159">
        <v>255</v>
      </c>
      <c r="F3597" s="159" t="s">
        <v>5667</v>
      </c>
      <c r="G3597" s="159" t="s">
        <v>12941</v>
      </c>
    </row>
    <row r="3598" spans="1:7" ht="15.75" customHeight="1">
      <c r="A3598" s="159" t="s">
        <v>9275</v>
      </c>
      <c r="B3598" s="159" t="s">
        <v>10090</v>
      </c>
      <c r="C3598" s="159" t="s">
        <v>5686</v>
      </c>
      <c r="D3598" s="159" t="s">
        <v>477</v>
      </c>
      <c r="E3598" s="159">
        <v>30</v>
      </c>
      <c r="F3598" s="159" t="s">
        <v>5667</v>
      </c>
      <c r="G3598" s="159" t="s">
        <v>12942</v>
      </c>
    </row>
    <row r="3599" spans="1:7" ht="15.75" customHeight="1">
      <c r="A3599" s="159" t="s">
        <v>9275</v>
      </c>
      <c r="B3599" s="159" t="s">
        <v>10090</v>
      </c>
      <c r="C3599" s="159" t="s">
        <v>3963</v>
      </c>
      <c r="D3599" s="159" t="s">
        <v>477</v>
      </c>
      <c r="E3599" s="159">
        <v>30</v>
      </c>
      <c r="F3599" s="159" t="s">
        <v>5667</v>
      </c>
      <c r="G3599" s="159" t="s">
        <v>12943</v>
      </c>
    </row>
    <row r="3600" spans="1:7" ht="15.75" customHeight="1">
      <c r="A3600" s="159" t="s">
        <v>9275</v>
      </c>
      <c r="B3600" s="159" t="s">
        <v>10090</v>
      </c>
      <c r="C3600" s="159" t="s">
        <v>5891</v>
      </c>
      <c r="D3600" s="159" t="s">
        <v>477</v>
      </c>
      <c r="E3600" s="159">
        <v>255</v>
      </c>
      <c r="F3600" s="159" t="s">
        <v>5667</v>
      </c>
      <c r="G3600" s="159" t="s">
        <v>12944</v>
      </c>
    </row>
    <row r="3601" spans="1:7" ht="15.75" customHeight="1">
      <c r="A3601" s="159" t="s">
        <v>9275</v>
      </c>
      <c r="B3601" s="159" t="s">
        <v>10090</v>
      </c>
      <c r="C3601" s="159" t="s">
        <v>12945</v>
      </c>
      <c r="D3601" s="159" t="s">
        <v>477</v>
      </c>
      <c r="E3601" s="159">
        <v>255</v>
      </c>
      <c r="F3601" s="159" t="s">
        <v>5667</v>
      </c>
      <c r="G3601" s="159" t="s">
        <v>12946</v>
      </c>
    </row>
    <row r="3602" spans="1:7" ht="15.75" customHeight="1">
      <c r="A3602" s="159" t="s">
        <v>9275</v>
      </c>
      <c r="B3602" s="159" t="s">
        <v>10090</v>
      </c>
      <c r="C3602" s="159" t="s">
        <v>1419</v>
      </c>
      <c r="D3602" s="159" t="s">
        <v>484</v>
      </c>
      <c r="E3602" s="159">
        <v>10</v>
      </c>
      <c r="F3602" s="159" t="s">
        <v>5665</v>
      </c>
      <c r="G3602" s="159" t="s">
        <v>12947</v>
      </c>
    </row>
    <row r="3603" spans="1:7" ht="15.75" customHeight="1">
      <c r="A3603" s="159" t="s">
        <v>9275</v>
      </c>
      <c r="B3603" s="159" t="s">
        <v>10090</v>
      </c>
      <c r="C3603" s="159" t="s">
        <v>10275</v>
      </c>
      <c r="D3603" s="159" t="s">
        <v>477</v>
      </c>
      <c r="E3603" s="159">
        <v>255</v>
      </c>
      <c r="F3603" s="159" t="s">
        <v>5667</v>
      </c>
      <c r="G3603" s="159" t="s">
        <v>12948</v>
      </c>
    </row>
    <row r="3604" spans="1:7" ht="15.75" customHeight="1">
      <c r="A3604" s="159" t="s">
        <v>9275</v>
      </c>
      <c r="B3604" s="159" t="s">
        <v>10090</v>
      </c>
      <c r="C3604" s="159" t="s">
        <v>12949</v>
      </c>
      <c r="D3604" s="159" t="s">
        <v>477</v>
      </c>
      <c r="E3604" s="159">
        <v>255</v>
      </c>
      <c r="F3604" s="159" t="s">
        <v>5667</v>
      </c>
      <c r="G3604" s="159" t="s">
        <v>12950</v>
      </c>
    </row>
    <row r="3605" spans="1:7" ht="15.75" customHeight="1">
      <c r="A3605" s="159" t="s">
        <v>9275</v>
      </c>
      <c r="B3605" s="159" t="s">
        <v>10090</v>
      </c>
      <c r="C3605" s="159" t="s">
        <v>12951</v>
      </c>
      <c r="D3605" s="159" t="s">
        <v>477</v>
      </c>
      <c r="E3605" s="159">
        <v>255</v>
      </c>
      <c r="F3605" s="159" t="s">
        <v>5667</v>
      </c>
      <c r="G3605" s="159" t="s">
        <v>12952</v>
      </c>
    </row>
    <row r="3606" spans="1:7" ht="15.75" customHeight="1">
      <c r="A3606" s="159" t="s">
        <v>9275</v>
      </c>
      <c r="B3606" s="159" t="s">
        <v>10090</v>
      </c>
      <c r="C3606" s="159" t="s">
        <v>12953</v>
      </c>
      <c r="D3606" s="159" t="s">
        <v>477</v>
      </c>
      <c r="E3606" s="159">
        <v>255</v>
      </c>
      <c r="F3606" s="159" t="s">
        <v>5667</v>
      </c>
      <c r="G3606" s="159" t="s">
        <v>12954</v>
      </c>
    </row>
    <row r="3607" spans="1:7" ht="15.75" customHeight="1">
      <c r="A3607" s="159" t="s">
        <v>9275</v>
      </c>
      <c r="B3607" s="159" t="s">
        <v>10090</v>
      </c>
      <c r="C3607" s="159" t="s">
        <v>12955</v>
      </c>
      <c r="D3607" s="159" t="s">
        <v>484</v>
      </c>
      <c r="E3607" s="159">
        <v>10</v>
      </c>
      <c r="F3607" s="159" t="s">
        <v>5667</v>
      </c>
      <c r="G3607" s="159" t="s">
        <v>12956</v>
      </c>
    </row>
    <row r="3608" spans="1:7" ht="15.75" customHeight="1">
      <c r="A3608" s="159" t="s">
        <v>9275</v>
      </c>
      <c r="B3608" s="159" t="s">
        <v>10090</v>
      </c>
      <c r="C3608" s="159" t="s">
        <v>10190</v>
      </c>
      <c r="D3608" s="159" t="s">
        <v>1413</v>
      </c>
      <c r="E3608" s="159"/>
      <c r="F3608" s="159" t="s">
        <v>5665</v>
      </c>
      <c r="G3608" s="159" t="s">
        <v>12957</v>
      </c>
    </row>
    <row r="3609" spans="1:7" ht="15.75" customHeight="1">
      <c r="A3609" s="159" t="s">
        <v>9275</v>
      </c>
      <c r="B3609" s="159" t="s">
        <v>10090</v>
      </c>
      <c r="C3609" s="159" t="s">
        <v>10242</v>
      </c>
      <c r="D3609" s="159" t="s">
        <v>1413</v>
      </c>
      <c r="E3609" s="159"/>
      <c r="F3609" s="159" t="s">
        <v>5665</v>
      </c>
      <c r="G3609" s="159" t="s">
        <v>12958</v>
      </c>
    </row>
    <row r="3610" spans="1:7" ht="15.75" customHeight="1">
      <c r="A3610" s="159" t="s">
        <v>9275</v>
      </c>
      <c r="B3610" s="159" t="s">
        <v>10092</v>
      </c>
      <c r="C3610" s="159" t="s">
        <v>12959</v>
      </c>
      <c r="D3610" s="159" t="s">
        <v>484</v>
      </c>
      <c r="E3610" s="159">
        <v>10</v>
      </c>
      <c r="F3610" s="159" t="s">
        <v>5665</v>
      </c>
      <c r="G3610" s="159" t="s">
        <v>12960</v>
      </c>
    </row>
    <row r="3611" spans="1:7" ht="15.75" customHeight="1">
      <c r="A3611" s="159" t="s">
        <v>9275</v>
      </c>
      <c r="B3611" s="159" t="s">
        <v>10092</v>
      </c>
      <c r="C3611" s="159" t="s">
        <v>10290</v>
      </c>
      <c r="D3611" s="159" t="s">
        <v>978</v>
      </c>
      <c r="E3611" s="159">
        <v>5</v>
      </c>
      <c r="F3611" s="159" t="s">
        <v>5665</v>
      </c>
      <c r="G3611" s="159" t="s">
        <v>10689</v>
      </c>
    </row>
    <row r="3612" spans="1:7" ht="15.75" customHeight="1">
      <c r="A3612" s="159" t="s">
        <v>9275</v>
      </c>
      <c r="B3612" s="159" t="s">
        <v>10093</v>
      </c>
      <c r="C3612" s="159" t="s">
        <v>12961</v>
      </c>
      <c r="D3612" s="159" t="s">
        <v>484</v>
      </c>
      <c r="E3612" s="159">
        <v>10</v>
      </c>
      <c r="F3612" s="159" t="s">
        <v>5665</v>
      </c>
      <c r="G3612" s="159" t="s">
        <v>12962</v>
      </c>
    </row>
    <row r="3613" spans="1:7" ht="15.75" customHeight="1">
      <c r="A3613" s="159" t="s">
        <v>9275</v>
      </c>
      <c r="B3613" s="159" t="s">
        <v>10093</v>
      </c>
      <c r="C3613" s="159" t="s">
        <v>12963</v>
      </c>
      <c r="D3613" s="159" t="s">
        <v>484</v>
      </c>
      <c r="E3613" s="159">
        <v>10</v>
      </c>
      <c r="F3613" s="159" t="s">
        <v>5665</v>
      </c>
      <c r="G3613" s="159" t="s">
        <v>12964</v>
      </c>
    </row>
    <row r="3614" spans="1:7" ht="15.75" customHeight="1">
      <c r="A3614" s="159" t="s">
        <v>9275</v>
      </c>
      <c r="B3614" s="159" t="s">
        <v>10093</v>
      </c>
      <c r="C3614" s="159" t="s">
        <v>12965</v>
      </c>
      <c r="D3614" s="159" t="s">
        <v>484</v>
      </c>
      <c r="E3614" s="159">
        <v>10</v>
      </c>
      <c r="F3614" s="159" t="s">
        <v>5665</v>
      </c>
      <c r="G3614" s="159" t="s">
        <v>12966</v>
      </c>
    </row>
    <row r="3615" spans="1:7" ht="15.75" customHeight="1">
      <c r="A3615" s="159" t="s">
        <v>9275</v>
      </c>
      <c r="B3615" s="159" t="s">
        <v>10093</v>
      </c>
      <c r="C3615" s="159" t="s">
        <v>12080</v>
      </c>
      <c r="D3615" s="159" t="s">
        <v>978</v>
      </c>
      <c r="E3615" s="159">
        <v>5</v>
      </c>
      <c r="F3615" s="159" t="s">
        <v>5665</v>
      </c>
      <c r="G3615" s="159" t="s">
        <v>12081</v>
      </c>
    </row>
    <row r="3616" spans="1:7" ht="15.75" customHeight="1">
      <c r="A3616" s="159" t="s">
        <v>9275</v>
      </c>
      <c r="B3616" s="159" t="s">
        <v>10093</v>
      </c>
      <c r="C3616" s="159" t="s">
        <v>12967</v>
      </c>
      <c r="D3616" s="159" t="s">
        <v>978</v>
      </c>
      <c r="E3616" s="159">
        <v>5</v>
      </c>
      <c r="F3616" s="159" t="s">
        <v>5665</v>
      </c>
      <c r="G3616" s="159" t="s">
        <v>12968</v>
      </c>
    </row>
    <row r="3617" spans="1:7" ht="15.75" customHeight="1">
      <c r="A3617" s="159" t="s">
        <v>9275</v>
      </c>
      <c r="B3617" s="159" t="s">
        <v>10095</v>
      </c>
      <c r="C3617" s="159" t="s">
        <v>12963</v>
      </c>
      <c r="D3617" s="159" t="s">
        <v>484</v>
      </c>
      <c r="E3617" s="159">
        <v>10</v>
      </c>
      <c r="F3617" s="159" t="s">
        <v>5665</v>
      </c>
      <c r="G3617" s="159" t="s">
        <v>12964</v>
      </c>
    </row>
    <row r="3618" spans="1:7" ht="15.75" customHeight="1">
      <c r="A3618" s="159" t="s">
        <v>9275</v>
      </c>
      <c r="B3618" s="159" t="s">
        <v>10095</v>
      </c>
      <c r="C3618" s="159" t="s">
        <v>12969</v>
      </c>
      <c r="D3618" s="159" t="s">
        <v>477</v>
      </c>
      <c r="E3618" s="159">
        <v>2</v>
      </c>
      <c r="F3618" s="159" t="s">
        <v>5665</v>
      </c>
      <c r="G3618" s="159" t="s">
        <v>12970</v>
      </c>
    </row>
    <row r="3619" spans="1:7" ht="15.75" customHeight="1">
      <c r="A3619" s="159" t="s">
        <v>9275</v>
      </c>
      <c r="B3619" s="159" t="s">
        <v>10095</v>
      </c>
      <c r="C3619" s="159" t="s">
        <v>12971</v>
      </c>
      <c r="D3619" s="159" t="s">
        <v>484</v>
      </c>
      <c r="E3619" s="159">
        <v>10</v>
      </c>
      <c r="F3619" s="159" t="s">
        <v>5665</v>
      </c>
      <c r="G3619" s="159" t="s">
        <v>12972</v>
      </c>
    </row>
    <row r="3620" spans="1:7" ht="15.75" customHeight="1">
      <c r="A3620" s="159" t="s">
        <v>9275</v>
      </c>
      <c r="B3620" s="159" t="s">
        <v>10095</v>
      </c>
      <c r="C3620" s="159" t="s">
        <v>12973</v>
      </c>
      <c r="D3620" s="159" t="s">
        <v>477</v>
      </c>
      <c r="E3620" s="159">
        <v>21</v>
      </c>
      <c r="F3620" s="159" t="s">
        <v>5667</v>
      </c>
      <c r="G3620" s="159" t="s">
        <v>12974</v>
      </c>
    </row>
    <row r="3621" spans="1:7" ht="15.75" customHeight="1">
      <c r="A3621" s="159" t="s">
        <v>9275</v>
      </c>
      <c r="B3621" s="159" t="s">
        <v>10095</v>
      </c>
      <c r="C3621" s="159" t="s">
        <v>5764</v>
      </c>
      <c r="D3621" s="159" t="s">
        <v>477</v>
      </c>
      <c r="E3621" s="159">
        <v>255</v>
      </c>
      <c r="F3621" s="159" t="s">
        <v>5665</v>
      </c>
      <c r="G3621" s="159" t="s">
        <v>4246</v>
      </c>
    </row>
    <row r="3622" spans="1:7" ht="15.75" customHeight="1">
      <c r="A3622" s="159" t="s">
        <v>9275</v>
      </c>
      <c r="B3622" s="159" t="s">
        <v>10095</v>
      </c>
      <c r="C3622" s="159" t="s">
        <v>10973</v>
      </c>
      <c r="D3622" s="159" t="s">
        <v>481</v>
      </c>
      <c r="E3622" s="159">
        <v>12</v>
      </c>
      <c r="F3622" s="159" t="s">
        <v>5665</v>
      </c>
      <c r="G3622" s="159" t="s">
        <v>10974</v>
      </c>
    </row>
    <row r="3623" spans="1:7" ht="15.75" customHeight="1">
      <c r="A3623" s="159" t="s">
        <v>9275</v>
      </c>
      <c r="B3623" s="159" t="s">
        <v>10095</v>
      </c>
      <c r="C3623" s="159" t="s">
        <v>12975</v>
      </c>
      <c r="D3623" s="159" t="s">
        <v>978</v>
      </c>
      <c r="E3623" s="159">
        <v>5</v>
      </c>
      <c r="F3623" s="159" t="s">
        <v>5667</v>
      </c>
      <c r="G3623" s="159" t="s">
        <v>12976</v>
      </c>
    </row>
    <row r="3624" spans="1:7" ht="15.75" customHeight="1">
      <c r="A3624" s="159" t="s">
        <v>9275</v>
      </c>
      <c r="B3624" s="159" t="s">
        <v>10095</v>
      </c>
      <c r="C3624" s="159" t="s">
        <v>12977</v>
      </c>
      <c r="D3624" s="159" t="s">
        <v>484</v>
      </c>
      <c r="E3624" s="159">
        <v>10</v>
      </c>
      <c r="F3624" s="159" t="s">
        <v>5667</v>
      </c>
      <c r="G3624" s="159" t="s">
        <v>12978</v>
      </c>
    </row>
    <row r="3625" spans="1:7" ht="15.75" customHeight="1">
      <c r="A3625" s="159" t="s">
        <v>9275</v>
      </c>
      <c r="B3625" s="159" t="s">
        <v>10095</v>
      </c>
      <c r="C3625" s="159" t="s">
        <v>12979</v>
      </c>
      <c r="D3625" s="159" t="s">
        <v>484</v>
      </c>
      <c r="E3625" s="159">
        <v>10</v>
      </c>
      <c r="F3625" s="159" t="s">
        <v>5667</v>
      </c>
      <c r="G3625" s="159" t="s">
        <v>12980</v>
      </c>
    </row>
    <row r="3626" spans="1:7" ht="15.75" customHeight="1">
      <c r="A3626" s="159" t="s">
        <v>9275</v>
      </c>
      <c r="B3626" s="159" t="s">
        <v>10097</v>
      </c>
      <c r="C3626" s="159" t="s">
        <v>12981</v>
      </c>
      <c r="D3626" s="159" t="s">
        <v>484</v>
      </c>
      <c r="E3626" s="159">
        <v>10</v>
      </c>
      <c r="F3626" s="159" t="s">
        <v>5665</v>
      </c>
      <c r="G3626" s="159" t="s">
        <v>12982</v>
      </c>
    </row>
    <row r="3627" spans="1:7" ht="15.75" customHeight="1">
      <c r="A3627" s="159" t="s">
        <v>9275</v>
      </c>
      <c r="B3627" s="159" t="s">
        <v>10097</v>
      </c>
      <c r="C3627" s="159" t="s">
        <v>12963</v>
      </c>
      <c r="D3627" s="159" t="s">
        <v>484</v>
      </c>
      <c r="E3627" s="159">
        <v>10</v>
      </c>
      <c r="F3627" s="159" t="s">
        <v>5665</v>
      </c>
      <c r="G3627" s="159" t="s">
        <v>12964</v>
      </c>
    </row>
    <row r="3628" spans="1:7" ht="15.75" customHeight="1">
      <c r="A3628" s="159" t="s">
        <v>9275</v>
      </c>
      <c r="B3628" s="159" t="s">
        <v>10097</v>
      </c>
      <c r="C3628" s="159" t="s">
        <v>10290</v>
      </c>
      <c r="D3628" s="159" t="s">
        <v>978</v>
      </c>
      <c r="E3628" s="159">
        <v>5</v>
      </c>
      <c r="F3628" s="159" t="s">
        <v>5665</v>
      </c>
      <c r="G3628" s="159" t="s">
        <v>10507</v>
      </c>
    </row>
    <row r="3629" spans="1:7" ht="15.75" customHeight="1">
      <c r="A3629" s="159" t="s">
        <v>9275</v>
      </c>
      <c r="B3629" s="159" t="s">
        <v>10097</v>
      </c>
      <c r="C3629" s="159" t="s">
        <v>10471</v>
      </c>
      <c r="D3629" s="159" t="s">
        <v>477</v>
      </c>
      <c r="E3629" s="159">
        <v>255</v>
      </c>
      <c r="F3629" s="159" t="s">
        <v>5665</v>
      </c>
      <c r="G3629" s="159" t="s">
        <v>10475</v>
      </c>
    </row>
    <row r="3630" spans="1:7" ht="15.75" customHeight="1">
      <c r="A3630" s="159" t="s">
        <v>9275</v>
      </c>
      <c r="B3630" s="159" t="s">
        <v>10099</v>
      </c>
      <c r="C3630" s="159" t="s">
        <v>12965</v>
      </c>
      <c r="D3630" s="159" t="s">
        <v>484</v>
      </c>
      <c r="E3630" s="159">
        <v>10</v>
      </c>
      <c r="F3630" s="159" t="s">
        <v>5665</v>
      </c>
      <c r="G3630" s="159" t="s">
        <v>12966</v>
      </c>
    </row>
    <row r="3631" spans="1:7" ht="15.75" customHeight="1">
      <c r="A3631" s="159" t="s">
        <v>9275</v>
      </c>
      <c r="B3631" s="159" t="s">
        <v>10099</v>
      </c>
      <c r="C3631" s="159" t="s">
        <v>5764</v>
      </c>
      <c r="D3631" s="159" t="s">
        <v>477</v>
      </c>
      <c r="E3631" s="159">
        <v>255</v>
      </c>
      <c r="F3631" s="159" t="s">
        <v>5665</v>
      </c>
      <c r="G3631" s="159" t="s">
        <v>4246</v>
      </c>
    </row>
    <row r="3632" spans="1:7" ht="15.75" customHeight="1">
      <c r="A3632" s="159" t="s">
        <v>9275</v>
      </c>
      <c r="B3632" s="159" t="s">
        <v>10099</v>
      </c>
      <c r="C3632" s="159" t="s">
        <v>8686</v>
      </c>
      <c r="D3632" s="159" t="s">
        <v>484</v>
      </c>
      <c r="E3632" s="159">
        <v>10</v>
      </c>
      <c r="F3632" s="159" t="s">
        <v>5665</v>
      </c>
      <c r="G3632" s="159" t="s">
        <v>7820</v>
      </c>
    </row>
    <row r="3633" spans="1:7" ht="15.75" customHeight="1">
      <c r="A3633" s="159" t="s">
        <v>9275</v>
      </c>
      <c r="B3633" s="159" t="s">
        <v>10099</v>
      </c>
      <c r="C3633" s="159" t="s">
        <v>3965</v>
      </c>
      <c r="D3633" s="159" t="s">
        <v>484</v>
      </c>
      <c r="E3633" s="159">
        <v>10</v>
      </c>
      <c r="F3633" s="159" t="s">
        <v>5665</v>
      </c>
      <c r="G3633" s="159" t="s">
        <v>10462</v>
      </c>
    </row>
    <row r="3634" spans="1:7" ht="15.75" customHeight="1">
      <c r="A3634" s="159" t="s">
        <v>9275</v>
      </c>
      <c r="B3634" s="159" t="s">
        <v>10099</v>
      </c>
      <c r="C3634" s="159" t="s">
        <v>12983</v>
      </c>
      <c r="D3634" s="159" t="s">
        <v>484</v>
      </c>
      <c r="E3634" s="159">
        <v>10</v>
      </c>
      <c r="F3634" s="159" t="s">
        <v>5665</v>
      </c>
      <c r="G3634" s="159" t="s">
        <v>12984</v>
      </c>
    </row>
    <row r="3635" spans="1:7" ht="15.75" customHeight="1">
      <c r="A3635" s="159" t="s">
        <v>9275</v>
      </c>
      <c r="B3635" s="159" t="s">
        <v>10101</v>
      </c>
      <c r="C3635" s="159" t="s">
        <v>12985</v>
      </c>
      <c r="D3635" s="159" t="s">
        <v>978</v>
      </c>
      <c r="E3635" s="159">
        <v>5</v>
      </c>
      <c r="F3635" s="159" t="s">
        <v>5665</v>
      </c>
      <c r="G3635" s="159" t="s">
        <v>12986</v>
      </c>
    </row>
    <row r="3636" spans="1:7" ht="15.75" customHeight="1">
      <c r="A3636" s="159" t="s">
        <v>9275</v>
      </c>
      <c r="B3636" s="159" t="s">
        <v>10101</v>
      </c>
      <c r="C3636" s="159" t="s">
        <v>12987</v>
      </c>
      <c r="D3636" s="159" t="s">
        <v>477</v>
      </c>
      <c r="E3636" s="159">
        <v>255</v>
      </c>
      <c r="F3636" s="159" t="s">
        <v>5665</v>
      </c>
      <c r="G3636" s="159" t="s">
        <v>12988</v>
      </c>
    </row>
    <row r="3637" spans="1:7" ht="15.75" customHeight="1">
      <c r="A3637" s="159" t="s">
        <v>9275</v>
      </c>
      <c r="B3637" s="159" t="s">
        <v>10101</v>
      </c>
      <c r="C3637" s="159" t="s">
        <v>12989</v>
      </c>
      <c r="D3637" s="159" t="s">
        <v>477</v>
      </c>
      <c r="E3637" s="159">
        <v>8</v>
      </c>
      <c r="F3637" s="159" t="s">
        <v>5665</v>
      </c>
      <c r="G3637" s="159" t="s">
        <v>12990</v>
      </c>
    </row>
    <row r="3638" spans="1:7" ht="15.75" customHeight="1">
      <c r="A3638" s="159" t="s">
        <v>9275</v>
      </c>
      <c r="B3638" s="159" t="s">
        <v>10103</v>
      </c>
      <c r="C3638" s="159" t="s">
        <v>3897</v>
      </c>
      <c r="D3638" s="159" t="s">
        <v>484</v>
      </c>
      <c r="E3638" s="159">
        <v>10</v>
      </c>
      <c r="F3638" s="159" t="s">
        <v>5665</v>
      </c>
      <c r="G3638" s="159" t="s">
        <v>325</v>
      </c>
    </row>
    <row r="3639" spans="1:7" ht="15.75" customHeight="1">
      <c r="A3639" s="159" t="s">
        <v>9275</v>
      </c>
      <c r="B3639" s="159" t="s">
        <v>10103</v>
      </c>
      <c r="C3639" s="159" t="s">
        <v>12383</v>
      </c>
      <c r="D3639" s="159" t="s">
        <v>1974</v>
      </c>
      <c r="E3639" s="159"/>
      <c r="F3639" s="159" t="s">
        <v>5667</v>
      </c>
      <c r="G3639" s="159" t="s">
        <v>6156</v>
      </c>
    </row>
    <row r="3640" spans="1:7" ht="15.75" customHeight="1">
      <c r="A3640" s="159" t="s">
        <v>9275</v>
      </c>
      <c r="B3640" s="159" t="s">
        <v>10103</v>
      </c>
      <c r="C3640" s="159" t="s">
        <v>10290</v>
      </c>
      <c r="D3640" s="159" t="s">
        <v>978</v>
      </c>
      <c r="E3640" s="159">
        <v>5</v>
      </c>
      <c r="F3640" s="159" t="s">
        <v>5667</v>
      </c>
      <c r="G3640" s="159" t="s">
        <v>10507</v>
      </c>
    </row>
    <row r="3641" spans="1:7" ht="15.75" customHeight="1">
      <c r="A3641" s="159" t="s">
        <v>9275</v>
      </c>
      <c r="B3641" s="159" t="s">
        <v>10103</v>
      </c>
      <c r="C3641" s="159" t="s">
        <v>5764</v>
      </c>
      <c r="D3641" s="159" t="s">
        <v>477</v>
      </c>
      <c r="E3641" s="159">
        <v>255</v>
      </c>
      <c r="F3641" s="159" t="s">
        <v>5665</v>
      </c>
      <c r="G3641" s="159" t="s">
        <v>4246</v>
      </c>
    </row>
    <row r="3642" spans="1:7" ht="15.75" customHeight="1">
      <c r="A3642" s="159" t="s">
        <v>9275</v>
      </c>
      <c r="B3642" s="159" t="s">
        <v>10103</v>
      </c>
      <c r="C3642" s="159" t="s">
        <v>3762</v>
      </c>
      <c r="D3642" s="159" t="s">
        <v>477</v>
      </c>
      <c r="E3642" s="159">
        <v>50</v>
      </c>
      <c r="F3642" s="159" t="s">
        <v>5665</v>
      </c>
      <c r="G3642" s="159" t="s">
        <v>11525</v>
      </c>
    </row>
    <row r="3643" spans="1:7" ht="15.75" customHeight="1">
      <c r="A3643" s="159" t="s">
        <v>9275</v>
      </c>
      <c r="B3643" s="159" t="s">
        <v>10103</v>
      </c>
      <c r="C3643" s="159" t="s">
        <v>12350</v>
      </c>
      <c r="D3643" s="159" t="s">
        <v>1807</v>
      </c>
      <c r="E3643" s="159">
        <v>12</v>
      </c>
      <c r="F3643" s="159" t="s">
        <v>5667</v>
      </c>
      <c r="G3643" s="159" t="s">
        <v>12762</v>
      </c>
    </row>
    <row r="3644" spans="1:7" ht="15.75" customHeight="1">
      <c r="A3644" s="159" t="s">
        <v>9275</v>
      </c>
      <c r="B3644" s="159" t="s">
        <v>10103</v>
      </c>
      <c r="C3644" s="159" t="s">
        <v>12481</v>
      </c>
      <c r="D3644" s="159" t="s">
        <v>484</v>
      </c>
      <c r="E3644" s="159">
        <v>10</v>
      </c>
      <c r="F3644" s="159" t="s">
        <v>5665</v>
      </c>
      <c r="G3644" s="159" t="s">
        <v>12482</v>
      </c>
    </row>
    <row r="3645" spans="1:7" ht="15.75" customHeight="1">
      <c r="A3645" s="159" t="s">
        <v>9275</v>
      </c>
      <c r="B3645" s="159" t="s">
        <v>10103</v>
      </c>
      <c r="C3645" s="159" t="s">
        <v>12991</v>
      </c>
      <c r="D3645" s="159" t="s">
        <v>1807</v>
      </c>
      <c r="E3645" s="159">
        <v>12</v>
      </c>
      <c r="F3645" s="159" t="s">
        <v>5667</v>
      </c>
      <c r="G3645" s="159" t="s">
        <v>12992</v>
      </c>
    </row>
    <row r="3646" spans="1:7" ht="15.75" customHeight="1">
      <c r="A3646" s="159" t="s">
        <v>9275</v>
      </c>
      <c r="B3646" s="159" t="s">
        <v>10105</v>
      </c>
      <c r="C3646" s="159" t="s">
        <v>3897</v>
      </c>
      <c r="D3646" s="159" t="s">
        <v>484</v>
      </c>
      <c r="E3646" s="159">
        <v>10</v>
      </c>
      <c r="F3646" s="159" t="s">
        <v>5665</v>
      </c>
      <c r="G3646" s="159" t="s">
        <v>325</v>
      </c>
    </row>
    <row r="3647" spans="1:7" ht="15.75" customHeight="1">
      <c r="A3647" s="159" t="s">
        <v>9275</v>
      </c>
      <c r="B3647" s="159" t="s">
        <v>10105</v>
      </c>
      <c r="C3647" s="159" t="s">
        <v>12383</v>
      </c>
      <c r="D3647" s="159" t="s">
        <v>1974</v>
      </c>
      <c r="E3647" s="159"/>
      <c r="F3647" s="159" t="s">
        <v>5667</v>
      </c>
      <c r="G3647" s="159" t="s">
        <v>6156</v>
      </c>
    </row>
    <row r="3648" spans="1:7" ht="15.75" customHeight="1">
      <c r="A3648" s="159" t="s">
        <v>9275</v>
      </c>
      <c r="B3648" s="159" t="s">
        <v>10105</v>
      </c>
      <c r="C3648" s="159" t="s">
        <v>10290</v>
      </c>
      <c r="D3648" s="159" t="s">
        <v>978</v>
      </c>
      <c r="E3648" s="159">
        <v>5</v>
      </c>
      <c r="F3648" s="159" t="s">
        <v>5667</v>
      </c>
      <c r="G3648" s="159" t="s">
        <v>10507</v>
      </c>
    </row>
    <row r="3649" spans="1:7" ht="15.75" customHeight="1">
      <c r="A3649" s="159" t="s">
        <v>9275</v>
      </c>
      <c r="B3649" s="159" t="s">
        <v>10105</v>
      </c>
      <c r="C3649" s="159" t="s">
        <v>5764</v>
      </c>
      <c r="D3649" s="159" t="s">
        <v>477</v>
      </c>
      <c r="E3649" s="159">
        <v>255</v>
      </c>
      <c r="F3649" s="159" t="s">
        <v>5665</v>
      </c>
      <c r="G3649" s="159" t="s">
        <v>4246</v>
      </c>
    </row>
    <row r="3650" spans="1:7" ht="15.75" customHeight="1">
      <c r="A3650" s="159" t="s">
        <v>9275</v>
      </c>
      <c r="B3650" s="159" t="s">
        <v>10105</v>
      </c>
      <c r="C3650" s="159" t="s">
        <v>3762</v>
      </c>
      <c r="D3650" s="159" t="s">
        <v>477</v>
      </c>
      <c r="E3650" s="159">
        <v>50</v>
      </c>
      <c r="F3650" s="159" t="s">
        <v>5665</v>
      </c>
      <c r="G3650" s="159" t="s">
        <v>11525</v>
      </c>
    </row>
    <row r="3651" spans="1:7" ht="15.75" customHeight="1">
      <c r="A3651" s="159" t="s">
        <v>9275</v>
      </c>
      <c r="B3651" s="159" t="s">
        <v>10105</v>
      </c>
      <c r="C3651" s="159" t="s">
        <v>12350</v>
      </c>
      <c r="D3651" s="159" t="s">
        <v>1807</v>
      </c>
      <c r="E3651" s="159">
        <v>12</v>
      </c>
      <c r="F3651" s="159" t="s">
        <v>5667</v>
      </c>
      <c r="G3651" s="159" t="s">
        <v>12762</v>
      </c>
    </row>
    <row r="3652" spans="1:7" ht="15.75" customHeight="1">
      <c r="A3652" s="159" t="s">
        <v>9275</v>
      </c>
      <c r="B3652" s="159" t="s">
        <v>10105</v>
      </c>
      <c r="C3652" s="159" t="s">
        <v>12481</v>
      </c>
      <c r="D3652" s="159" t="s">
        <v>484</v>
      </c>
      <c r="E3652" s="159">
        <v>10</v>
      </c>
      <c r="F3652" s="159" t="s">
        <v>5665</v>
      </c>
      <c r="G3652" s="159" t="s">
        <v>12482</v>
      </c>
    </row>
    <row r="3653" spans="1:7" ht="15.75" customHeight="1">
      <c r="A3653" s="159" t="s">
        <v>9275</v>
      </c>
      <c r="B3653" s="159" t="s">
        <v>10105</v>
      </c>
      <c r="C3653" s="159" t="s">
        <v>12991</v>
      </c>
      <c r="D3653" s="159" t="s">
        <v>1807</v>
      </c>
      <c r="E3653" s="159">
        <v>12</v>
      </c>
      <c r="F3653" s="159" t="s">
        <v>5667</v>
      </c>
      <c r="G3653" s="159" t="s">
        <v>12992</v>
      </c>
    </row>
    <row r="3654" spans="1:7" ht="15.75" customHeight="1">
      <c r="A3654" s="159" t="s">
        <v>9275</v>
      </c>
      <c r="B3654" s="159" t="s">
        <v>10107</v>
      </c>
      <c r="C3654" s="159" t="s">
        <v>11733</v>
      </c>
      <c r="D3654" s="159" t="s">
        <v>484</v>
      </c>
      <c r="E3654" s="159">
        <v>10</v>
      </c>
      <c r="F3654" s="159" t="s">
        <v>5665</v>
      </c>
      <c r="G3654" s="159" t="s">
        <v>12993</v>
      </c>
    </row>
    <row r="3655" spans="1:7" ht="15.75" customHeight="1">
      <c r="A3655" s="159" t="s">
        <v>9275</v>
      </c>
      <c r="B3655" s="159" t="s">
        <v>10107</v>
      </c>
      <c r="C3655" s="159" t="s">
        <v>5678</v>
      </c>
      <c r="D3655" s="159" t="s">
        <v>484</v>
      </c>
      <c r="E3655" s="159">
        <v>10</v>
      </c>
      <c r="F3655" s="159" t="s">
        <v>5667</v>
      </c>
      <c r="G3655" s="159" t="s">
        <v>10877</v>
      </c>
    </row>
    <row r="3656" spans="1:7" ht="15.75" customHeight="1">
      <c r="A3656" s="159" t="s">
        <v>9275</v>
      </c>
      <c r="B3656" s="159" t="s">
        <v>10107</v>
      </c>
      <c r="C3656" s="159" t="s">
        <v>12994</v>
      </c>
      <c r="D3656" s="159" t="s">
        <v>477</v>
      </c>
      <c r="E3656" s="159">
        <v>255</v>
      </c>
      <c r="F3656" s="159" t="s">
        <v>5667</v>
      </c>
      <c r="G3656" s="159" t="s">
        <v>12995</v>
      </c>
    </row>
    <row r="3657" spans="1:7" ht="15.75" customHeight="1">
      <c r="A3657" s="159" t="s">
        <v>9275</v>
      </c>
      <c r="B3657" s="159" t="s">
        <v>10107</v>
      </c>
      <c r="C3657" s="159" t="s">
        <v>12996</v>
      </c>
      <c r="D3657" s="159" t="s">
        <v>477</v>
      </c>
      <c r="E3657" s="159">
        <v>255</v>
      </c>
      <c r="F3657" s="159" t="s">
        <v>5665</v>
      </c>
      <c r="G3657" s="159" t="s">
        <v>12997</v>
      </c>
    </row>
    <row r="3658" spans="1:7" ht="15.75" customHeight="1">
      <c r="A3658" s="159" t="s">
        <v>9275</v>
      </c>
      <c r="B3658" s="159" t="s">
        <v>10107</v>
      </c>
      <c r="C3658" s="159" t="s">
        <v>12998</v>
      </c>
      <c r="D3658" s="159" t="s">
        <v>477</v>
      </c>
      <c r="E3658" s="159">
        <v>255</v>
      </c>
      <c r="F3658" s="159" t="s">
        <v>5667</v>
      </c>
      <c r="G3658" s="159" t="s">
        <v>12999</v>
      </c>
    </row>
    <row r="3659" spans="1:7" ht="15.75" customHeight="1">
      <c r="A3659" s="159" t="s">
        <v>9275</v>
      </c>
      <c r="B3659" s="159" t="s">
        <v>10107</v>
      </c>
      <c r="C3659" s="159" t="s">
        <v>10478</v>
      </c>
      <c r="D3659" s="159" t="s">
        <v>805</v>
      </c>
      <c r="E3659" s="159">
        <v>3</v>
      </c>
      <c r="F3659" s="159" t="s">
        <v>5665</v>
      </c>
      <c r="G3659" s="159" t="s">
        <v>13000</v>
      </c>
    </row>
    <row r="3660" spans="1:7" ht="15.75" customHeight="1">
      <c r="A3660" s="159" t="s">
        <v>9275</v>
      </c>
      <c r="B3660" s="159" t="s">
        <v>10107</v>
      </c>
      <c r="C3660" s="159" t="s">
        <v>13001</v>
      </c>
      <c r="D3660" s="159" t="s">
        <v>477</v>
      </c>
      <c r="E3660" s="159">
        <v>255</v>
      </c>
      <c r="F3660" s="159" t="s">
        <v>5665</v>
      </c>
      <c r="G3660" s="159" t="s">
        <v>13002</v>
      </c>
    </row>
    <row r="3661" spans="1:7" ht="15.75" customHeight="1">
      <c r="A3661" s="159" t="s">
        <v>9275</v>
      </c>
      <c r="B3661" s="159" t="s">
        <v>10107</v>
      </c>
      <c r="C3661" s="159" t="s">
        <v>5609</v>
      </c>
      <c r="D3661" s="159" t="s">
        <v>978</v>
      </c>
      <c r="E3661" s="159">
        <v>5</v>
      </c>
      <c r="F3661" s="159" t="s">
        <v>5665</v>
      </c>
      <c r="G3661" s="159" t="s">
        <v>13003</v>
      </c>
    </row>
    <row r="3662" spans="1:7" ht="15.75" customHeight="1">
      <c r="A3662" s="159" t="s">
        <v>9275</v>
      </c>
      <c r="B3662" s="159" t="s">
        <v>10107</v>
      </c>
      <c r="C3662" s="159" t="s">
        <v>5764</v>
      </c>
      <c r="D3662" s="159" t="s">
        <v>3893</v>
      </c>
      <c r="E3662" s="159">
        <v>65535</v>
      </c>
      <c r="F3662" s="159" t="s">
        <v>5667</v>
      </c>
      <c r="G3662" s="159" t="s">
        <v>13004</v>
      </c>
    </row>
    <row r="3663" spans="1:7" ht="15.75" customHeight="1">
      <c r="A3663" s="159" t="s">
        <v>9275</v>
      </c>
      <c r="B3663" s="159" t="s">
        <v>10109</v>
      </c>
      <c r="C3663" s="159" t="s">
        <v>13005</v>
      </c>
      <c r="D3663" s="159" t="s">
        <v>484</v>
      </c>
      <c r="E3663" s="159">
        <v>10</v>
      </c>
      <c r="F3663" s="159" t="s">
        <v>5665</v>
      </c>
      <c r="G3663" s="159" t="s">
        <v>13006</v>
      </c>
    </row>
    <row r="3664" spans="1:7" ht="15.75" customHeight="1">
      <c r="A3664" s="159" t="s">
        <v>9275</v>
      </c>
      <c r="B3664" s="159" t="s">
        <v>10109</v>
      </c>
      <c r="C3664" s="159" t="s">
        <v>11733</v>
      </c>
      <c r="D3664" s="159" t="s">
        <v>484</v>
      </c>
      <c r="E3664" s="159">
        <v>10</v>
      </c>
      <c r="F3664" s="159" t="s">
        <v>5665</v>
      </c>
      <c r="G3664" s="159" t="s">
        <v>11734</v>
      </c>
    </row>
    <row r="3665" spans="1:7" ht="15.75" customHeight="1">
      <c r="A3665" s="159" t="s">
        <v>9275</v>
      </c>
      <c r="B3665" s="159" t="s">
        <v>10109</v>
      </c>
      <c r="C3665" s="159" t="s">
        <v>13007</v>
      </c>
      <c r="D3665" s="159" t="s">
        <v>477</v>
      </c>
      <c r="E3665" s="159">
        <v>255</v>
      </c>
      <c r="F3665" s="159" t="s">
        <v>5667</v>
      </c>
      <c r="G3665" s="159" t="s">
        <v>13008</v>
      </c>
    </row>
    <row r="3666" spans="1:7" ht="15.75" customHeight="1">
      <c r="A3666" s="159" t="s">
        <v>9275</v>
      </c>
      <c r="B3666" s="159" t="s">
        <v>10109</v>
      </c>
      <c r="C3666" s="159" t="s">
        <v>3982</v>
      </c>
      <c r="D3666" s="159" t="s">
        <v>477</v>
      </c>
      <c r="E3666" s="159">
        <v>32</v>
      </c>
      <c r="F3666" s="159" t="s">
        <v>5665</v>
      </c>
      <c r="G3666" s="159" t="s">
        <v>13009</v>
      </c>
    </row>
    <row r="3667" spans="1:7" ht="15.75" customHeight="1">
      <c r="A3667" s="159" t="s">
        <v>9275</v>
      </c>
      <c r="B3667" s="159" t="s">
        <v>10109</v>
      </c>
      <c r="C3667" s="159" t="s">
        <v>10305</v>
      </c>
      <c r="D3667" s="159" t="s">
        <v>11645</v>
      </c>
      <c r="E3667" s="159">
        <v>4294967295</v>
      </c>
      <c r="F3667" s="159" t="s">
        <v>5665</v>
      </c>
      <c r="G3667" s="159" t="s">
        <v>13010</v>
      </c>
    </row>
    <row r="3668" spans="1:7" ht="15.75" customHeight="1">
      <c r="A3668" s="159" t="s">
        <v>9275</v>
      </c>
      <c r="B3668" s="159" t="s">
        <v>10109</v>
      </c>
      <c r="C3668" s="159" t="s">
        <v>10469</v>
      </c>
      <c r="D3668" s="159" t="s">
        <v>978</v>
      </c>
      <c r="E3668" s="159">
        <v>5</v>
      </c>
      <c r="F3668" s="159" t="s">
        <v>5665</v>
      </c>
      <c r="G3668" s="159" t="s">
        <v>10470</v>
      </c>
    </row>
    <row r="3669" spans="1:7" ht="15.75" customHeight="1">
      <c r="A3669" s="159" t="s">
        <v>9275</v>
      </c>
      <c r="B3669" s="159" t="s">
        <v>10109</v>
      </c>
      <c r="C3669" s="159" t="s">
        <v>11737</v>
      </c>
      <c r="D3669" s="159" t="s">
        <v>805</v>
      </c>
      <c r="E3669" s="159">
        <v>3</v>
      </c>
      <c r="F3669" s="159" t="s">
        <v>5665</v>
      </c>
      <c r="G3669" s="159" t="s">
        <v>13011</v>
      </c>
    </row>
    <row r="3670" spans="1:7" ht="15.75" customHeight="1">
      <c r="A3670" s="159" t="s">
        <v>9275</v>
      </c>
      <c r="B3670" s="159" t="s">
        <v>10111</v>
      </c>
      <c r="C3670" s="159" t="s">
        <v>13012</v>
      </c>
      <c r="D3670" s="159" t="s">
        <v>484</v>
      </c>
      <c r="E3670" s="159">
        <v>10</v>
      </c>
      <c r="F3670" s="159" t="s">
        <v>5665</v>
      </c>
      <c r="G3670" s="159" t="s">
        <v>13013</v>
      </c>
    </row>
    <row r="3671" spans="1:7" ht="15.75" customHeight="1">
      <c r="A3671" s="159" t="s">
        <v>9275</v>
      </c>
      <c r="B3671" s="159" t="s">
        <v>10111</v>
      </c>
      <c r="C3671" s="159" t="s">
        <v>7215</v>
      </c>
      <c r="D3671" s="159" t="s">
        <v>477</v>
      </c>
      <c r="E3671" s="159">
        <v>255</v>
      </c>
      <c r="F3671" s="159" t="s">
        <v>5665</v>
      </c>
      <c r="G3671" s="159" t="s">
        <v>13014</v>
      </c>
    </row>
    <row r="3672" spans="1:7" ht="15.75" customHeight="1">
      <c r="A3672" s="159" t="s">
        <v>9275</v>
      </c>
      <c r="B3672" s="159" t="s">
        <v>10111</v>
      </c>
      <c r="C3672" s="159" t="s">
        <v>10290</v>
      </c>
      <c r="D3672" s="159" t="s">
        <v>978</v>
      </c>
      <c r="E3672" s="159">
        <v>5</v>
      </c>
      <c r="F3672" s="159" t="s">
        <v>5665</v>
      </c>
      <c r="G3672" s="159" t="s">
        <v>10507</v>
      </c>
    </row>
    <row r="3673" spans="1:7" ht="15.75" customHeight="1">
      <c r="A3673" s="159" t="s">
        <v>9275</v>
      </c>
      <c r="B3673" s="159" t="s">
        <v>10111</v>
      </c>
      <c r="C3673" s="159" t="s">
        <v>13015</v>
      </c>
      <c r="D3673" s="159" t="s">
        <v>477</v>
      </c>
      <c r="E3673" s="159">
        <v>255</v>
      </c>
      <c r="F3673" s="159" t="s">
        <v>5667</v>
      </c>
      <c r="G3673" s="159" t="s">
        <v>13016</v>
      </c>
    </row>
    <row r="3674" spans="1:7" ht="15.75" customHeight="1">
      <c r="A3674" s="159" t="s">
        <v>9275</v>
      </c>
      <c r="B3674" s="159" t="s">
        <v>10111</v>
      </c>
      <c r="C3674" s="159" t="s">
        <v>11281</v>
      </c>
      <c r="D3674" s="159" t="s">
        <v>477</v>
      </c>
      <c r="E3674" s="159">
        <v>20</v>
      </c>
      <c r="F3674" s="159" t="s">
        <v>5665</v>
      </c>
      <c r="G3674" s="159" t="s">
        <v>11282</v>
      </c>
    </row>
    <row r="3675" spans="1:7" ht="15.75" customHeight="1">
      <c r="A3675" s="159" t="s">
        <v>9275</v>
      </c>
      <c r="B3675" s="159" t="s">
        <v>10111</v>
      </c>
      <c r="C3675" s="159" t="s">
        <v>13017</v>
      </c>
      <c r="D3675" s="159" t="s">
        <v>1631</v>
      </c>
      <c r="E3675" s="159">
        <v>19</v>
      </c>
      <c r="F3675" s="159" t="s">
        <v>5665</v>
      </c>
      <c r="G3675" s="159" t="s">
        <v>13018</v>
      </c>
    </row>
    <row r="3676" spans="1:7" ht="15.75" customHeight="1">
      <c r="A3676" s="159" t="s">
        <v>9275</v>
      </c>
      <c r="B3676" s="159" t="s">
        <v>10112</v>
      </c>
      <c r="C3676" s="159" t="s">
        <v>13019</v>
      </c>
      <c r="D3676" s="159" t="s">
        <v>484</v>
      </c>
      <c r="E3676" s="159">
        <v>10</v>
      </c>
      <c r="F3676" s="159" t="s">
        <v>5665</v>
      </c>
      <c r="G3676" s="159" t="s">
        <v>13020</v>
      </c>
    </row>
    <row r="3677" spans="1:7" ht="15.75" customHeight="1">
      <c r="A3677" s="159" t="s">
        <v>9275</v>
      </c>
      <c r="B3677" s="159" t="s">
        <v>10112</v>
      </c>
      <c r="C3677" s="159" t="s">
        <v>5693</v>
      </c>
      <c r="D3677" s="159" t="s">
        <v>484</v>
      </c>
      <c r="E3677" s="159">
        <v>10</v>
      </c>
      <c r="F3677" s="159" t="s">
        <v>5665</v>
      </c>
      <c r="G3677" s="159" t="s">
        <v>10179</v>
      </c>
    </row>
    <row r="3678" spans="1:7" ht="15.75" customHeight="1">
      <c r="A3678" s="159" t="s">
        <v>9275</v>
      </c>
      <c r="B3678" s="159" t="s">
        <v>10112</v>
      </c>
      <c r="C3678" s="159" t="s">
        <v>13021</v>
      </c>
      <c r="D3678" s="159" t="s">
        <v>477</v>
      </c>
      <c r="E3678" s="159">
        <v>255</v>
      </c>
      <c r="F3678" s="159" t="s">
        <v>5665</v>
      </c>
      <c r="G3678" s="159" t="s">
        <v>13022</v>
      </c>
    </row>
    <row r="3679" spans="1:7" ht="15.75" customHeight="1">
      <c r="A3679" s="159" t="s">
        <v>9275</v>
      </c>
      <c r="B3679" s="159" t="s">
        <v>10112</v>
      </c>
      <c r="C3679" s="159" t="s">
        <v>11102</v>
      </c>
      <c r="D3679" s="159" t="s">
        <v>477</v>
      </c>
      <c r="E3679" s="159">
        <v>255</v>
      </c>
      <c r="F3679" s="159" t="s">
        <v>5665</v>
      </c>
      <c r="G3679" s="159" t="s">
        <v>13023</v>
      </c>
    </row>
    <row r="3680" spans="1:7" ht="15.75" customHeight="1">
      <c r="A3680" s="159" t="s">
        <v>9275</v>
      </c>
      <c r="B3680" s="159" t="s">
        <v>10112</v>
      </c>
      <c r="C3680" s="159" t="s">
        <v>13024</v>
      </c>
      <c r="D3680" s="159" t="s">
        <v>978</v>
      </c>
      <c r="E3680" s="159">
        <v>5</v>
      </c>
      <c r="F3680" s="159" t="s">
        <v>5665</v>
      </c>
      <c r="G3680" s="159" t="s">
        <v>13025</v>
      </c>
    </row>
    <row r="3681" spans="1:7" ht="15.75" customHeight="1">
      <c r="A3681" s="159" t="s">
        <v>9275</v>
      </c>
      <c r="B3681" s="159" t="s">
        <v>10112</v>
      </c>
      <c r="C3681" s="159" t="s">
        <v>5676</v>
      </c>
      <c r="D3681" s="159" t="s">
        <v>477</v>
      </c>
      <c r="E3681" s="159">
        <v>255</v>
      </c>
      <c r="F3681" s="159" t="s">
        <v>5667</v>
      </c>
      <c r="G3681" s="159" t="s">
        <v>13026</v>
      </c>
    </row>
    <row r="3682" spans="1:7" ht="15.75" customHeight="1">
      <c r="A3682" s="159" t="s">
        <v>9275</v>
      </c>
      <c r="B3682" s="159" t="s">
        <v>10112</v>
      </c>
      <c r="C3682" s="159" t="s">
        <v>13027</v>
      </c>
      <c r="D3682" s="159" t="s">
        <v>11645</v>
      </c>
      <c r="E3682" s="159">
        <v>4294967295</v>
      </c>
      <c r="F3682" s="159" t="s">
        <v>5667</v>
      </c>
      <c r="G3682" s="159" t="s">
        <v>13028</v>
      </c>
    </row>
    <row r="3683" spans="1:7" ht="15.75" customHeight="1">
      <c r="A3683" s="159" t="s">
        <v>9275</v>
      </c>
      <c r="B3683" s="159" t="s">
        <v>10112</v>
      </c>
      <c r="C3683" s="159" t="s">
        <v>10190</v>
      </c>
      <c r="D3683" s="159" t="s">
        <v>538</v>
      </c>
      <c r="E3683" s="159"/>
      <c r="F3683" s="159" t="s">
        <v>5665</v>
      </c>
      <c r="G3683" s="159" t="s">
        <v>13029</v>
      </c>
    </row>
    <row r="3684" spans="1:7" ht="15.75" customHeight="1">
      <c r="A3684" s="159" t="s">
        <v>9275</v>
      </c>
      <c r="B3684" s="159" t="s">
        <v>10112</v>
      </c>
      <c r="C3684" s="159" t="s">
        <v>10242</v>
      </c>
      <c r="D3684" s="159" t="s">
        <v>538</v>
      </c>
      <c r="E3684" s="159"/>
      <c r="F3684" s="159" t="s">
        <v>5665</v>
      </c>
      <c r="G3684" s="159" t="s">
        <v>13030</v>
      </c>
    </row>
    <row r="3685" spans="1:7" ht="15.75" customHeight="1">
      <c r="A3685" s="159" t="s">
        <v>9275</v>
      </c>
      <c r="B3685" s="159" t="s">
        <v>10114</v>
      </c>
      <c r="C3685" s="159" t="s">
        <v>11010</v>
      </c>
      <c r="D3685" s="159" t="s">
        <v>484</v>
      </c>
      <c r="E3685" s="159">
        <v>10</v>
      </c>
      <c r="F3685" s="159" t="s">
        <v>5665</v>
      </c>
      <c r="G3685" s="159" t="s">
        <v>13031</v>
      </c>
    </row>
    <row r="3686" spans="1:7" ht="15.75" customHeight="1">
      <c r="A3686" s="159" t="s">
        <v>9275</v>
      </c>
      <c r="B3686" s="159" t="s">
        <v>10114</v>
      </c>
      <c r="C3686" s="159" t="s">
        <v>11625</v>
      </c>
      <c r="D3686" s="159" t="s">
        <v>477</v>
      </c>
      <c r="E3686" s="159">
        <v>32</v>
      </c>
      <c r="F3686" s="159" t="s">
        <v>5665</v>
      </c>
      <c r="G3686" s="159" t="s">
        <v>13032</v>
      </c>
    </row>
    <row r="3687" spans="1:7" ht="15.75" customHeight="1">
      <c r="A3687" s="159" t="s">
        <v>9275</v>
      </c>
      <c r="B3687" s="159" t="s">
        <v>10114</v>
      </c>
      <c r="C3687" s="159" t="s">
        <v>10287</v>
      </c>
      <c r="D3687" s="159" t="s">
        <v>484</v>
      </c>
      <c r="E3687" s="159">
        <v>10</v>
      </c>
      <c r="F3687" s="159" t="s">
        <v>5665</v>
      </c>
      <c r="G3687" s="159" t="s">
        <v>10237</v>
      </c>
    </row>
    <row r="3688" spans="1:7" ht="15.75" customHeight="1">
      <c r="A3688" s="159" t="s">
        <v>9275</v>
      </c>
      <c r="B3688" s="159" t="s">
        <v>10114</v>
      </c>
      <c r="C3688" s="159" t="s">
        <v>13033</v>
      </c>
      <c r="D3688" s="159" t="s">
        <v>477</v>
      </c>
      <c r="E3688" s="159">
        <v>255</v>
      </c>
      <c r="F3688" s="159" t="s">
        <v>5667</v>
      </c>
      <c r="G3688" s="159" t="s">
        <v>13034</v>
      </c>
    </row>
    <row r="3689" spans="1:7" ht="15.75" customHeight="1">
      <c r="A3689" s="159" t="s">
        <v>9275</v>
      </c>
      <c r="B3689" s="159" t="s">
        <v>10114</v>
      </c>
      <c r="C3689" s="159" t="s">
        <v>13035</v>
      </c>
      <c r="D3689" s="159" t="s">
        <v>477</v>
      </c>
      <c r="E3689" s="159">
        <v>255</v>
      </c>
      <c r="F3689" s="159" t="s">
        <v>5667</v>
      </c>
      <c r="G3689" s="159" t="s">
        <v>13036</v>
      </c>
    </row>
    <row r="3690" spans="1:7" ht="15.75" customHeight="1">
      <c r="A3690" s="159" t="s">
        <v>9275</v>
      </c>
      <c r="B3690" s="159" t="s">
        <v>10114</v>
      </c>
      <c r="C3690" s="159" t="s">
        <v>13037</v>
      </c>
      <c r="D3690" s="159" t="s">
        <v>978</v>
      </c>
      <c r="E3690" s="159">
        <v>5</v>
      </c>
      <c r="F3690" s="159" t="s">
        <v>5665</v>
      </c>
      <c r="G3690" s="159" t="s">
        <v>13038</v>
      </c>
    </row>
    <row r="3691" spans="1:7" ht="15.75" customHeight="1">
      <c r="A3691" s="159" t="s">
        <v>9275</v>
      </c>
      <c r="B3691" s="159" t="s">
        <v>10114</v>
      </c>
      <c r="C3691" s="159" t="s">
        <v>10290</v>
      </c>
      <c r="D3691" s="159" t="s">
        <v>978</v>
      </c>
      <c r="E3691" s="159">
        <v>5</v>
      </c>
      <c r="F3691" s="159" t="s">
        <v>5665</v>
      </c>
      <c r="G3691" s="159" t="s">
        <v>10507</v>
      </c>
    </row>
    <row r="3692" spans="1:7" ht="15.75" customHeight="1">
      <c r="A3692" s="159" t="s">
        <v>9275</v>
      </c>
      <c r="B3692" s="159" t="s">
        <v>10114</v>
      </c>
      <c r="C3692" s="159" t="s">
        <v>5891</v>
      </c>
      <c r="D3692" s="159" t="s">
        <v>477</v>
      </c>
      <c r="E3692" s="159">
        <v>255</v>
      </c>
      <c r="F3692" s="159" t="s">
        <v>5667</v>
      </c>
      <c r="G3692" s="159" t="s">
        <v>1729</v>
      </c>
    </row>
    <row r="3693" spans="1:7" ht="15.75" customHeight="1">
      <c r="A3693" s="159" t="s">
        <v>9275</v>
      </c>
      <c r="B3693" s="159" t="s">
        <v>10114</v>
      </c>
      <c r="C3693" s="159" t="s">
        <v>13039</v>
      </c>
      <c r="D3693" s="159" t="s">
        <v>978</v>
      </c>
      <c r="E3693" s="159">
        <v>5</v>
      </c>
      <c r="F3693" s="159" t="s">
        <v>5665</v>
      </c>
      <c r="G3693" s="159" t="s">
        <v>13040</v>
      </c>
    </row>
    <row r="3694" spans="1:7" ht="15.75" customHeight="1">
      <c r="A3694" s="159" t="s">
        <v>9275</v>
      </c>
      <c r="B3694" s="159" t="s">
        <v>10114</v>
      </c>
      <c r="C3694" s="159" t="s">
        <v>10927</v>
      </c>
      <c r="D3694" s="159" t="s">
        <v>477</v>
      </c>
      <c r="E3694" s="159">
        <v>255</v>
      </c>
      <c r="F3694" s="159" t="s">
        <v>5667</v>
      </c>
      <c r="G3694" s="159" t="s">
        <v>13041</v>
      </c>
    </row>
    <row r="3695" spans="1:7" ht="15.75" customHeight="1">
      <c r="A3695" s="159" t="s">
        <v>9275</v>
      </c>
      <c r="B3695" s="159" t="s">
        <v>10116</v>
      </c>
      <c r="C3695" s="159" t="s">
        <v>13042</v>
      </c>
      <c r="D3695" s="159" t="s">
        <v>484</v>
      </c>
      <c r="E3695" s="159">
        <v>10</v>
      </c>
      <c r="F3695" s="159" t="s">
        <v>5665</v>
      </c>
      <c r="G3695" s="159" t="s">
        <v>13043</v>
      </c>
    </row>
    <row r="3696" spans="1:7" ht="15.75" customHeight="1">
      <c r="A3696" s="159" t="s">
        <v>9275</v>
      </c>
      <c r="B3696" s="159" t="s">
        <v>10116</v>
      </c>
      <c r="C3696" s="159" t="s">
        <v>5764</v>
      </c>
      <c r="D3696" s="159" t="s">
        <v>477</v>
      </c>
      <c r="E3696" s="159">
        <v>255</v>
      </c>
      <c r="F3696" s="159" t="s">
        <v>5667</v>
      </c>
      <c r="G3696" s="159" t="s">
        <v>13044</v>
      </c>
    </row>
    <row r="3697" spans="1:7" ht="15.75" customHeight="1">
      <c r="A3697" s="159" t="s">
        <v>9275</v>
      </c>
      <c r="B3697" s="159" t="s">
        <v>10116</v>
      </c>
      <c r="C3697" s="159" t="s">
        <v>156</v>
      </c>
      <c r="D3697" s="159" t="s">
        <v>477</v>
      </c>
      <c r="E3697" s="159">
        <v>255</v>
      </c>
      <c r="F3697" s="159" t="s">
        <v>5667</v>
      </c>
      <c r="G3697" s="159" t="s">
        <v>13045</v>
      </c>
    </row>
    <row r="3698" spans="1:7" ht="15.75" customHeight="1">
      <c r="A3698" s="159" t="s">
        <v>9275</v>
      </c>
      <c r="B3698" s="159" t="s">
        <v>10118</v>
      </c>
      <c r="C3698" s="159" t="s">
        <v>10816</v>
      </c>
      <c r="D3698" s="159" t="s">
        <v>484</v>
      </c>
      <c r="E3698" s="159">
        <v>10</v>
      </c>
      <c r="F3698" s="159" t="s">
        <v>5665</v>
      </c>
      <c r="G3698" s="159" t="s">
        <v>13046</v>
      </c>
    </row>
    <row r="3699" spans="1:7" ht="15.75" customHeight="1">
      <c r="A3699" s="159" t="s">
        <v>9275</v>
      </c>
      <c r="B3699" s="159" t="s">
        <v>10118</v>
      </c>
      <c r="C3699" s="159" t="s">
        <v>13042</v>
      </c>
      <c r="D3699" s="159" t="s">
        <v>484</v>
      </c>
      <c r="E3699" s="159">
        <v>10</v>
      </c>
      <c r="F3699" s="159" t="s">
        <v>5665</v>
      </c>
      <c r="G3699" s="159" t="s">
        <v>13043</v>
      </c>
    </row>
    <row r="3700" spans="1:7" ht="15.75" customHeight="1">
      <c r="A3700" s="159" t="s">
        <v>9275</v>
      </c>
      <c r="B3700" s="159" t="s">
        <v>10118</v>
      </c>
      <c r="C3700" s="159" t="s">
        <v>10290</v>
      </c>
      <c r="D3700" s="159" t="s">
        <v>978</v>
      </c>
      <c r="E3700" s="159">
        <v>5</v>
      </c>
      <c r="F3700" s="159" t="s">
        <v>5665</v>
      </c>
      <c r="G3700" s="159" t="s">
        <v>10507</v>
      </c>
    </row>
    <row r="3701" spans="1:7" ht="15.75" customHeight="1">
      <c r="A3701" s="159" t="s">
        <v>9275</v>
      </c>
      <c r="B3701" s="159" t="s">
        <v>10118</v>
      </c>
      <c r="C3701" s="159" t="s">
        <v>13047</v>
      </c>
      <c r="D3701" s="159" t="s">
        <v>3893</v>
      </c>
      <c r="E3701" s="159">
        <v>65535</v>
      </c>
      <c r="F3701" s="159" t="s">
        <v>5667</v>
      </c>
      <c r="G3701" s="159" t="s">
        <v>13048</v>
      </c>
    </row>
    <row r="3702" spans="1:7" ht="15.75" customHeight="1">
      <c r="A3702" s="159" t="s">
        <v>9275</v>
      </c>
      <c r="B3702" s="159" t="s">
        <v>10118</v>
      </c>
      <c r="C3702" s="159" t="s">
        <v>13049</v>
      </c>
      <c r="D3702" s="159" t="s">
        <v>3893</v>
      </c>
      <c r="E3702" s="159">
        <v>65535</v>
      </c>
      <c r="F3702" s="159" t="s">
        <v>5667</v>
      </c>
      <c r="G3702" s="159" t="s">
        <v>13050</v>
      </c>
    </row>
    <row r="3703" spans="1:7" ht="15.75" customHeight="1">
      <c r="A3703" s="159" t="s">
        <v>9275</v>
      </c>
      <c r="B3703" s="159" t="s">
        <v>10120</v>
      </c>
      <c r="C3703" s="159" t="s">
        <v>10287</v>
      </c>
      <c r="D3703" s="159" t="s">
        <v>484</v>
      </c>
      <c r="E3703" s="159">
        <v>10</v>
      </c>
      <c r="F3703" s="159" t="s">
        <v>5665</v>
      </c>
      <c r="G3703" s="159" t="s">
        <v>10237</v>
      </c>
    </row>
    <row r="3704" spans="1:7" ht="15.75" customHeight="1">
      <c r="A3704" s="159" t="s">
        <v>9275</v>
      </c>
      <c r="B3704" s="159" t="s">
        <v>10120</v>
      </c>
      <c r="C3704" s="159" t="s">
        <v>3940</v>
      </c>
      <c r="D3704" s="159" t="s">
        <v>484</v>
      </c>
      <c r="E3704" s="159">
        <v>10</v>
      </c>
      <c r="F3704" s="159" t="s">
        <v>5667</v>
      </c>
      <c r="G3704" s="159" t="s">
        <v>10747</v>
      </c>
    </row>
    <row r="3705" spans="1:7" ht="15.75" customHeight="1">
      <c r="A3705" s="159" t="s">
        <v>9275</v>
      </c>
      <c r="B3705" s="159" t="s">
        <v>10120</v>
      </c>
      <c r="C3705" s="159" t="s">
        <v>13051</v>
      </c>
      <c r="D3705" s="159" t="s">
        <v>477</v>
      </c>
      <c r="E3705" s="159">
        <v>128</v>
      </c>
      <c r="F3705" s="159" t="s">
        <v>5665</v>
      </c>
      <c r="G3705" s="159" t="s">
        <v>13052</v>
      </c>
    </row>
    <row r="3706" spans="1:7" ht="15.75" customHeight="1">
      <c r="A3706" s="159" t="s">
        <v>9275</v>
      </c>
      <c r="B3706" s="159" t="s">
        <v>10120</v>
      </c>
      <c r="C3706" s="159" t="s">
        <v>13053</v>
      </c>
      <c r="D3706" s="159" t="s">
        <v>477</v>
      </c>
      <c r="E3706" s="159">
        <v>128</v>
      </c>
      <c r="F3706" s="159" t="s">
        <v>5665</v>
      </c>
      <c r="G3706" s="159" t="s">
        <v>13054</v>
      </c>
    </row>
    <row r="3707" spans="1:7" ht="15.75" customHeight="1">
      <c r="A3707" s="159" t="s">
        <v>9275</v>
      </c>
      <c r="B3707" s="159" t="s">
        <v>10120</v>
      </c>
      <c r="C3707" s="159" t="s">
        <v>5609</v>
      </c>
      <c r="D3707" s="159" t="s">
        <v>477</v>
      </c>
      <c r="E3707" s="159">
        <v>128</v>
      </c>
      <c r="F3707" s="159" t="s">
        <v>5665</v>
      </c>
      <c r="G3707" s="159" t="s">
        <v>1611</v>
      </c>
    </row>
    <row r="3708" spans="1:7" ht="15.75" customHeight="1">
      <c r="A3708" s="159" t="s">
        <v>9275</v>
      </c>
      <c r="B3708" s="159" t="s">
        <v>10120</v>
      </c>
      <c r="C3708" s="159" t="s">
        <v>10190</v>
      </c>
      <c r="D3708" s="159" t="s">
        <v>1413</v>
      </c>
      <c r="E3708" s="159"/>
      <c r="F3708" s="159" t="s">
        <v>5665</v>
      </c>
      <c r="G3708" s="159" t="s">
        <v>10281</v>
      </c>
    </row>
    <row r="3709" spans="1:7" ht="15.75" customHeight="1">
      <c r="A3709" s="159" t="s">
        <v>9275</v>
      </c>
      <c r="B3709" s="159" t="s">
        <v>10120</v>
      </c>
      <c r="C3709" s="159" t="s">
        <v>10235</v>
      </c>
      <c r="D3709" s="159" t="s">
        <v>1413</v>
      </c>
      <c r="E3709" s="159"/>
      <c r="F3709" s="159" t="s">
        <v>5667</v>
      </c>
      <c r="G3709" s="159" t="s">
        <v>13055</v>
      </c>
    </row>
    <row r="3710" spans="1:7" ht="15.75" customHeight="1">
      <c r="A3710" s="159" t="s">
        <v>9275</v>
      </c>
      <c r="B3710" s="159" t="s">
        <v>10120</v>
      </c>
      <c r="C3710" s="159" t="s">
        <v>13056</v>
      </c>
      <c r="D3710" s="159" t="s">
        <v>477</v>
      </c>
      <c r="E3710" s="159">
        <v>255</v>
      </c>
      <c r="F3710" s="159" t="s">
        <v>5665</v>
      </c>
      <c r="G3710" s="159" t="s">
        <v>13057</v>
      </c>
    </row>
    <row r="3711" spans="1:7" ht="15.75" customHeight="1">
      <c r="A3711" s="159" t="s">
        <v>9275</v>
      </c>
      <c r="B3711" s="159" t="s">
        <v>10120</v>
      </c>
      <c r="C3711" s="159" t="s">
        <v>13058</v>
      </c>
      <c r="D3711" s="159" t="s">
        <v>3893</v>
      </c>
      <c r="E3711" s="159">
        <v>65535</v>
      </c>
      <c r="F3711" s="159" t="s">
        <v>5667</v>
      </c>
      <c r="G3711" s="159" t="s">
        <v>13059</v>
      </c>
    </row>
    <row r="3712" spans="1:7" ht="15.75" customHeight="1">
      <c r="A3712" s="159" t="s">
        <v>9275</v>
      </c>
      <c r="B3712" s="159" t="s">
        <v>10120</v>
      </c>
      <c r="C3712" s="159" t="s">
        <v>10211</v>
      </c>
      <c r="D3712" s="159" t="s">
        <v>805</v>
      </c>
      <c r="E3712" s="159">
        <v>3</v>
      </c>
      <c r="F3712" s="159" t="s">
        <v>5665</v>
      </c>
      <c r="G3712" s="159"/>
    </row>
    <row r="3713" spans="1:7" ht="15.75" customHeight="1">
      <c r="A3713" s="159" t="s">
        <v>9275</v>
      </c>
      <c r="B3713" s="159" t="s">
        <v>10120</v>
      </c>
      <c r="C3713" s="159" t="s">
        <v>10837</v>
      </c>
      <c r="D3713" s="159" t="s">
        <v>805</v>
      </c>
      <c r="E3713" s="159">
        <v>3</v>
      </c>
      <c r="F3713" s="159" t="s">
        <v>5665</v>
      </c>
      <c r="G3713" s="159"/>
    </row>
    <row r="3714" spans="1:7" ht="15.75" customHeight="1">
      <c r="A3714" s="159" t="s">
        <v>9275</v>
      </c>
      <c r="B3714" s="159" t="s">
        <v>10122</v>
      </c>
      <c r="C3714" s="159" t="s">
        <v>13060</v>
      </c>
      <c r="D3714" s="159" t="s">
        <v>484</v>
      </c>
      <c r="E3714" s="159">
        <v>10</v>
      </c>
      <c r="F3714" s="159" t="s">
        <v>5665</v>
      </c>
      <c r="G3714" s="159" t="s">
        <v>13061</v>
      </c>
    </row>
    <row r="3715" spans="1:7" ht="15.75" customHeight="1">
      <c r="A3715" s="159" t="s">
        <v>9275</v>
      </c>
      <c r="B3715" s="159" t="s">
        <v>10122</v>
      </c>
      <c r="C3715" s="159" t="s">
        <v>13062</v>
      </c>
      <c r="D3715" s="159" t="s">
        <v>484</v>
      </c>
      <c r="E3715" s="159">
        <v>10</v>
      </c>
      <c r="F3715" s="159" t="s">
        <v>5665</v>
      </c>
      <c r="G3715" s="159" t="s">
        <v>13063</v>
      </c>
    </row>
    <row r="3716" spans="1:7" ht="15.75" customHeight="1">
      <c r="A3716" s="159" t="s">
        <v>9275</v>
      </c>
      <c r="B3716" s="159" t="s">
        <v>10124</v>
      </c>
      <c r="C3716" s="159" t="s">
        <v>10680</v>
      </c>
      <c r="D3716" s="159" t="s">
        <v>484</v>
      </c>
      <c r="E3716" s="159">
        <v>10</v>
      </c>
      <c r="F3716" s="159" t="s">
        <v>5665</v>
      </c>
      <c r="G3716" s="159" t="s">
        <v>10762</v>
      </c>
    </row>
    <row r="3717" spans="1:7" ht="15.75" customHeight="1">
      <c r="A3717" s="159" t="s">
        <v>9275</v>
      </c>
      <c r="B3717" s="159" t="s">
        <v>10124</v>
      </c>
      <c r="C3717" s="159" t="s">
        <v>5764</v>
      </c>
      <c r="D3717" s="159" t="s">
        <v>477</v>
      </c>
      <c r="E3717" s="159">
        <v>255</v>
      </c>
      <c r="F3717" s="159" t="s">
        <v>5667</v>
      </c>
      <c r="G3717" s="159" t="s">
        <v>13064</v>
      </c>
    </row>
    <row r="3718" spans="1:7" ht="15.75" customHeight="1">
      <c r="A3718" s="159" t="s">
        <v>9275</v>
      </c>
      <c r="B3718" s="159" t="s">
        <v>10124</v>
      </c>
      <c r="C3718" s="159" t="s">
        <v>5609</v>
      </c>
      <c r="D3718" s="159" t="s">
        <v>477</v>
      </c>
      <c r="E3718" s="159">
        <v>255</v>
      </c>
      <c r="F3718" s="159" t="s">
        <v>5667</v>
      </c>
      <c r="G3718" s="159" t="s">
        <v>13065</v>
      </c>
    </row>
    <row r="3719" spans="1:7" ht="15.75" customHeight="1">
      <c r="A3719" s="159" t="s">
        <v>9275</v>
      </c>
      <c r="B3719" s="159" t="s">
        <v>10126</v>
      </c>
      <c r="C3719" s="159" t="s">
        <v>1394</v>
      </c>
      <c r="D3719" s="159" t="s">
        <v>484</v>
      </c>
      <c r="E3719" s="159">
        <v>10</v>
      </c>
      <c r="F3719" s="159" t="s">
        <v>5665</v>
      </c>
      <c r="G3719" s="159" t="s">
        <v>4828</v>
      </c>
    </row>
    <row r="3720" spans="1:7" ht="15.75" customHeight="1">
      <c r="A3720" s="159" t="s">
        <v>9275</v>
      </c>
      <c r="B3720" s="159" t="s">
        <v>10126</v>
      </c>
      <c r="C3720" s="159" t="s">
        <v>5764</v>
      </c>
      <c r="D3720" s="159" t="s">
        <v>477</v>
      </c>
      <c r="E3720" s="159">
        <v>255</v>
      </c>
      <c r="F3720" s="159" t="s">
        <v>5667</v>
      </c>
      <c r="G3720" s="159" t="s">
        <v>13064</v>
      </c>
    </row>
    <row r="3721" spans="1:7" ht="15.75" customHeight="1">
      <c r="A3721" s="159" t="s">
        <v>9275</v>
      </c>
      <c r="B3721" s="159" t="s">
        <v>10126</v>
      </c>
      <c r="C3721" s="159" t="s">
        <v>5609</v>
      </c>
      <c r="D3721" s="159" t="s">
        <v>477</v>
      </c>
      <c r="E3721" s="159">
        <v>255</v>
      </c>
      <c r="F3721" s="159" t="s">
        <v>5667</v>
      </c>
      <c r="G3721" s="159" t="s">
        <v>13065</v>
      </c>
    </row>
    <row r="3722" spans="1:7" ht="15.75" customHeight="1">
      <c r="A3722" s="159" t="s">
        <v>9275</v>
      </c>
      <c r="B3722" s="159" t="s">
        <v>10127</v>
      </c>
      <c r="C3722" s="159" t="s">
        <v>10287</v>
      </c>
      <c r="D3722" s="159" t="s">
        <v>484</v>
      </c>
      <c r="E3722" s="159">
        <v>10</v>
      </c>
      <c r="F3722" s="159" t="s">
        <v>5665</v>
      </c>
      <c r="G3722" s="159" t="s">
        <v>13066</v>
      </c>
    </row>
    <row r="3723" spans="1:7" ht="15.75" customHeight="1">
      <c r="A3723" s="159" t="s">
        <v>9275</v>
      </c>
      <c r="B3723" s="159" t="s">
        <v>10127</v>
      </c>
      <c r="C3723" s="159" t="s">
        <v>10467</v>
      </c>
      <c r="D3723" s="159" t="s">
        <v>484</v>
      </c>
      <c r="E3723" s="159">
        <v>10</v>
      </c>
      <c r="F3723" s="159" t="s">
        <v>5665</v>
      </c>
      <c r="G3723" s="159" t="s">
        <v>13067</v>
      </c>
    </row>
    <row r="3724" spans="1:7" ht="15.75" customHeight="1">
      <c r="A3724" s="159" t="s">
        <v>9275</v>
      </c>
      <c r="B3724" s="159" t="s">
        <v>10127</v>
      </c>
      <c r="C3724" s="159" t="s">
        <v>10882</v>
      </c>
      <c r="D3724" s="159" t="s">
        <v>484</v>
      </c>
      <c r="E3724" s="159">
        <v>10</v>
      </c>
      <c r="F3724" s="159" t="s">
        <v>5665</v>
      </c>
      <c r="G3724" s="159" t="s">
        <v>10883</v>
      </c>
    </row>
    <row r="3725" spans="1:7" ht="15.75" customHeight="1">
      <c r="A3725" s="159" t="s">
        <v>9275</v>
      </c>
      <c r="B3725" s="159" t="s">
        <v>10127</v>
      </c>
      <c r="C3725" s="159" t="s">
        <v>13068</v>
      </c>
      <c r="D3725" s="159" t="s">
        <v>484</v>
      </c>
      <c r="E3725" s="159">
        <v>10</v>
      </c>
      <c r="F3725" s="159" t="s">
        <v>5667</v>
      </c>
      <c r="G3725" s="159" t="s">
        <v>10128</v>
      </c>
    </row>
    <row r="3726" spans="1:7" ht="15.75" customHeight="1">
      <c r="A3726" s="159" t="s">
        <v>9275</v>
      </c>
      <c r="B3726" s="159" t="s">
        <v>10129</v>
      </c>
      <c r="C3726" s="159" t="s">
        <v>3940</v>
      </c>
      <c r="D3726" s="159" t="s">
        <v>484</v>
      </c>
      <c r="E3726" s="159">
        <v>10</v>
      </c>
      <c r="F3726" s="159" t="s">
        <v>5665</v>
      </c>
      <c r="G3726" s="159" t="s">
        <v>10747</v>
      </c>
    </row>
    <row r="3727" spans="1:7" ht="15.75" customHeight="1">
      <c r="A3727" s="159" t="s">
        <v>9275</v>
      </c>
      <c r="B3727" s="159" t="s">
        <v>10129</v>
      </c>
      <c r="C3727" s="159" t="s">
        <v>5749</v>
      </c>
      <c r="D3727" s="159" t="s">
        <v>3893</v>
      </c>
      <c r="E3727" s="159">
        <v>65535</v>
      </c>
      <c r="F3727" s="159" t="s">
        <v>5667</v>
      </c>
      <c r="G3727" s="159" t="s">
        <v>10130</v>
      </c>
    </row>
    <row r="3728" spans="1:7" ht="15.75" customHeight="1">
      <c r="A3728" s="159" t="s">
        <v>9275</v>
      </c>
      <c r="B3728" s="159" t="s">
        <v>10131</v>
      </c>
      <c r="C3728" s="159" t="s">
        <v>3940</v>
      </c>
      <c r="D3728" s="159" t="s">
        <v>484</v>
      </c>
      <c r="E3728" s="159">
        <v>10</v>
      </c>
      <c r="F3728" s="159" t="s">
        <v>5665</v>
      </c>
      <c r="G3728" s="159" t="s">
        <v>10747</v>
      </c>
    </row>
    <row r="3729" spans="1:7" ht="15.75" customHeight="1">
      <c r="A3729" s="159" t="s">
        <v>9275</v>
      </c>
      <c r="B3729" s="159" t="s">
        <v>10131</v>
      </c>
      <c r="C3729" s="159" t="s">
        <v>13069</v>
      </c>
      <c r="D3729" s="159" t="s">
        <v>477</v>
      </c>
      <c r="E3729" s="159">
        <v>255</v>
      </c>
      <c r="F3729" s="159" t="s">
        <v>5667</v>
      </c>
      <c r="G3729" s="159" t="s">
        <v>13070</v>
      </c>
    </row>
    <row r="3730" spans="1:7" ht="15.75" customHeight="1">
      <c r="A3730" s="159" t="s">
        <v>9275</v>
      </c>
      <c r="B3730" s="159" t="s">
        <v>10133</v>
      </c>
      <c r="C3730" s="159" t="s">
        <v>5796</v>
      </c>
      <c r="D3730" s="159" t="s">
        <v>484</v>
      </c>
      <c r="E3730" s="159">
        <v>10</v>
      </c>
      <c r="F3730" s="159" t="s">
        <v>5665</v>
      </c>
      <c r="G3730" s="159" t="s">
        <v>11999</v>
      </c>
    </row>
    <row r="3731" spans="1:7" ht="15.75" customHeight="1">
      <c r="A3731" s="159" t="s">
        <v>9275</v>
      </c>
      <c r="B3731" s="159" t="s">
        <v>10133</v>
      </c>
      <c r="C3731" s="159" t="s">
        <v>13071</v>
      </c>
      <c r="D3731" s="159" t="s">
        <v>805</v>
      </c>
      <c r="E3731" s="159">
        <v>3</v>
      </c>
      <c r="F3731" s="159" t="s">
        <v>5665</v>
      </c>
      <c r="G3731" s="159" t="s">
        <v>10135</v>
      </c>
    </row>
    <row r="3732" spans="1:7" ht="15.75" customHeight="1">
      <c r="A3732" s="159" t="s">
        <v>9275</v>
      </c>
      <c r="B3732" s="159" t="s">
        <v>10134</v>
      </c>
      <c r="C3732" s="159" t="s">
        <v>3635</v>
      </c>
      <c r="D3732" s="159" t="s">
        <v>484</v>
      </c>
      <c r="E3732" s="159">
        <v>10</v>
      </c>
      <c r="F3732" s="159" t="s">
        <v>5665</v>
      </c>
      <c r="G3732" s="159" t="s">
        <v>10722</v>
      </c>
    </row>
    <row r="3733" spans="1:7" ht="15.75" customHeight="1">
      <c r="A3733" s="159" t="s">
        <v>9275</v>
      </c>
      <c r="B3733" s="159" t="s">
        <v>10134</v>
      </c>
      <c r="C3733" s="159" t="s">
        <v>13071</v>
      </c>
      <c r="D3733" s="159" t="s">
        <v>805</v>
      </c>
      <c r="E3733" s="159">
        <v>3</v>
      </c>
      <c r="F3733" s="159" t="s">
        <v>5665</v>
      </c>
      <c r="G3733" s="159" t="s">
        <v>10135</v>
      </c>
    </row>
    <row r="3734" spans="1:7" ht="15.75" customHeight="1">
      <c r="A3734" s="159" t="s">
        <v>9275</v>
      </c>
      <c r="B3734" s="159" t="s">
        <v>10136</v>
      </c>
      <c r="C3734" s="159" t="s">
        <v>10761</v>
      </c>
      <c r="D3734" s="159" t="s">
        <v>484</v>
      </c>
      <c r="E3734" s="159">
        <v>10</v>
      </c>
      <c r="F3734" s="159" t="s">
        <v>5665</v>
      </c>
      <c r="G3734" s="159" t="s">
        <v>13072</v>
      </c>
    </row>
    <row r="3735" spans="1:7" ht="15.75" customHeight="1">
      <c r="A3735" s="159" t="s">
        <v>9275</v>
      </c>
      <c r="B3735" s="159" t="s">
        <v>10136</v>
      </c>
      <c r="C3735" s="159" t="s">
        <v>13073</v>
      </c>
      <c r="D3735" s="159" t="s">
        <v>477</v>
      </c>
      <c r="E3735" s="159">
        <v>100</v>
      </c>
      <c r="F3735" s="159" t="s">
        <v>5665</v>
      </c>
      <c r="G3735" s="159" t="s">
        <v>10143</v>
      </c>
    </row>
    <row r="3736" spans="1:7" ht="15.75" customHeight="1">
      <c r="A3736" s="159" t="s">
        <v>9275</v>
      </c>
      <c r="B3736" s="159" t="s">
        <v>10138</v>
      </c>
      <c r="C3736" s="159" t="s">
        <v>10761</v>
      </c>
      <c r="D3736" s="159" t="s">
        <v>484</v>
      </c>
      <c r="E3736" s="159">
        <v>10</v>
      </c>
      <c r="F3736" s="159" t="s">
        <v>5665</v>
      </c>
      <c r="G3736" s="159" t="s">
        <v>13072</v>
      </c>
    </row>
    <row r="3737" spans="1:7" ht="15.75" customHeight="1">
      <c r="A3737" s="159" t="s">
        <v>9275</v>
      </c>
      <c r="B3737" s="159" t="s">
        <v>10138</v>
      </c>
      <c r="C3737" s="159" t="s">
        <v>13074</v>
      </c>
      <c r="D3737" s="159" t="s">
        <v>477</v>
      </c>
      <c r="E3737" s="159">
        <v>100</v>
      </c>
      <c r="F3737" s="159" t="s">
        <v>5665</v>
      </c>
      <c r="G3737" s="159" t="s">
        <v>10143</v>
      </c>
    </row>
    <row r="3738" spans="1:7" ht="15.75" customHeight="1">
      <c r="A3738" s="159" t="s">
        <v>9275</v>
      </c>
      <c r="B3738" s="159" t="s">
        <v>10140</v>
      </c>
      <c r="C3738" s="159" t="s">
        <v>10761</v>
      </c>
      <c r="D3738" s="159" t="s">
        <v>484</v>
      </c>
      <c r="E3738" s="159">
        <v>10</v>
      </c>
      <c r="F3738" s="159" t="s">
        <v>5665</v>
      </c>
      <c r="G3738" s="159" t="s">
        <v>13072</v>
      </c>
    </row>
    <row r="3739" spans="1:7" ht="15.75" customHeight="1">
      <c r="A3739" s="159" t="s">
        <v>9275</v>
      </c>
      <c r="B3739" s="159" t="s">
        <v>10140</v>
      </c>
      <c r="C3739" s="159" t="s">
        <v>13075</v>
      </c>
      <c r="D3739" s="159" t="s">
        <v>477</v>
      </c>
      <c r="E3739" s="159">
        <v>100</v>
      </c>
      <c r="F3739" s="159" t="s">
        <v>5665</v>
      </c>
      <c r="G3739" s="159" t="s">
        <v>10143</v>
      </c>
    </row>
    <row r="3740" spans="1:7" ht="15.75" customHeight="1">
      <c r="A3740" s="159" t="s">
        <v>9275</v>
      </c>
      <c r="B3740" s="159" t="s">
        <v>10142</v>
      </c>
      <c r="C3740" s="159" t="s">
        <v>10761</v>
      </c>
      <c r="D3740" s="159" t="s">
        <v>484</v>
      </c>
      <c r="E3740" s="159">
        <v>10</v>
      </c>
      <c r="F3740" s="159" t="s">
        <v>5665</v>
      </c>
      <c r="G3740" s="159" t="s">
        <v>10722</v>
      </c>
    </row>
    <row r="3741" spans="1:7" ht="15.75" customHeight="1">
      <c r="A3741" s="159" t="s">
        <v>9275</v>
      </c>
      <c r="B3741" s="159" t="s">
        <v>10142</v>
      </c>
      <c r="C3741" s="159" t="s">
        <v>13073</v>
      </c>
      <c r="D3741" s="159" t="s">
        <v>477</v>
      </c>
      <c r="E3741" s="159">
        <v>100</v>
      </c>
      <c r="F3741" s="159" t="s">
        <v>5665</v>
      </c>
      <c r="G3741" s="159" t="s">
        <v>10143</v>
      </c>
    </row>
    <row r="3742" spans="1:7" ht="15.75" customHeight="1">
      <c r="A3742" s="159" t="s">
        <v>9275</v>
      </c>
      <c r="B3742" s="159" t="s">
        <v>10144</v>
      </c>
      <c r="C3742" s="159" t="s">
        <v>10761</v>
      </c>
      <c r="D3742" s="159" t="s">
        <v>484</v>
      </c>
      <c r="E3742" s="159">
        <v>10</v>
      </c>
      <c r="F3742" s="159" t="s">
        <v>5665</v>
      </c>
      <c r="G3742" s="159" t="s">
        <v>13072</v>
      </c>
    </row>
    <row r="3743" spans="1:7" ht="15.75" customHeight="1">
      <c r="A3743" s="159" t="s">
        <v>9275</v>
      </c>
      <c r="B3743" s="159" t="s">
        <v>10144</v>
      </c>
      <c r="C3743" s="159" t="s">
        <v>13074</v>
      </c>
      <c r="D3743" s="159" t="s">
        <v>477</v>
      </c>
      <c r="E3743" s="159">
        <v>100</v>
      </c>
      <c r="F3743" s="159" t="s">
        <v>5665</v>
      </c>
      <c r="G3743" s="159" t="s">
        <v>10143</v>
      </c>
    </row>
    <row r="3744" spans="1:7" ht="15.75" customHeight="1">
      <c r="A3744" s="159" t="s">
        <v>9275</v>
      </c>
      <c r="B3744" s="159" t="s">
        <v>10146</v>
      </c>
      <c r="C3744" s="159" t="s">
        <v>10761</v>
      </c>
      <c r="D3744" s="159" t="s">
        <v>484</v>
      </c>
      <c r="E3744" s="159">
        <v>10</v>
      </c>
      <c r="F3744" s="159" t="s">
        <v>5665</v>
      </c>
      <c r="G3744" s="159" t="s">
        <v>13072</v>
      </c>
    </row>
    <row r="3745" spans="1:7" ht="15.75" customHeight="1">
      <c r="A3745" s="159" t="s">
        <v>9275</v>
      </c>
      <c r="B3745" s="159" t="s">
        <v>10146</v>
      </c>
      <c r="C3745" s="159" t="s">
        <v>13075</v>
      </c>
      <c r="D3745" s="159" t="s">
        <v>477</v>
      </c>
      <c r="E3745" s="159">
        <v>100</v>
      </c>
      <c r="F3745" s="159" t="s">
        <v>5665</v>
      </c>
      <c r="G3745" s="159" t="s">
        <v>10143</v>
      </c>
    </row>
    <row r="3746" spans="1:7" ht="15.75" customHeight="1">
      <c r="A3746" s="159" t="s">
        <v>9275</v>
      </c>
      <c r="B3746" s="159" t="s">
        <v>10148</v>
      </c>
      <c r="C3746" s="159" t="s">
        <v>13076</v>
      </c>
      <c r="D3746" s="159" t="s">
        <v>1631</v>
      </c>
      <c r="E3746" s="159">
        <v>19</v>
      </c>
      <c r="F3746" s="159" t="s">
        <v>5665</v>
      </c>
      <c r="G3746" s="159" t="s">
        <v>13077</v>
      </c>
    </row>
    <row r="3747" spans="1:7" ht="15.75" customHeight="1">
      <c r="A3747" s="159" t="s">
        <v>9275</v>
      </c>
      <c r="B3747" s="159" t="s">
        <v>10148</v>
      </c>
      <c r="C3747" s="159" t="s">
        <v>11912</v>
      </c>
      <c r="D3747" s="159" t="s">
        <v>477</v>
      </c>
      <c r="E3747" s="159">
        <v>255</v>
      </c>
      <c r="F3747" s="159" t="s">
        <v>5665</v>
      </c>
      <c r="G3747" s="159" t="s">
        <v>13078</v>
      </c>
    </row>
    <row r="3748" spans="1:7" ht="15.75" customHeight="1">
      <c r="A3748" s="159" t="s">
        <v>9275</v>
      </c>
      <c r="B3748" s="159" t="s">
        <v>10148</v>
      </c>
      <c r="C3748" s="159" t="s">
        <v>10570</v>
      </c>
      <c r="D3748" s="159" t="s">
        <v>1631</v>
      </c>
      <c r="E3748" s="159">
        <v>19</v>
      </c>
      <c r="F3748" s="159" t="s">
        <v>5665</v>
      </c>
      <c r="G3748" s="159" t="s">
        <v>11435</v>
      </c>
    </row>
    <row r="3749" spans="1:7" ht="15.75" customHeight="1">
      <c r="A3749" s="159" t="s">
        <v>9275</v>
      </c>
      <c r="B3749" s="159" t="s">
        <v>10148</v>
      </c>
      <c r="C3749" s="159" t="s">
        <v>3635</v>
      </c>
      <c r="D3749" s="159" t="s">
        <v>1631</v>
      </c>
      <c r="E3749" s="159">
        <v>19</v>
      </c>
      <c r="F3749" s="159" t="s">
        <v>5665</v>
      </c>
      <c r="G3749" s="159" t="s">
        <v>10760</v>
      </c>
    </row>
    <row r="3750" spans="1:7" ht="15.75" customHeight="1">
      <c r="A3750" s="159" t="s">
        <v>9275</v>
      </c>
      <c r="B3750" s="159" t="s">
        <v>10148</v>
      </c>
      <c r="C3750" s="159" t="s">
        <v>13079</v>
      </c>
      <c r="D3750" s="159" t="s">
        <v>477</v>
      </c>
      <c r="E3750" s="159">
        <v>255</v>
      </c>
      <c r="F3750" s="159" t="s">
        <v>5665</v>
      </c>
      <c r="G3750" s="159" t="s">
        <v>12647</v>
      </c>
    </row>
    <row r="3751" spans="1:7" ht="15.75" customHeight="1">
      <c r="A3751" s="159" t="s">
        <v>9275</v>
      </c>
      <c r="B3751" s="159" t="s">
        <v>10148</v>
      </c>
      <c r="C3751" s="159" t="s">
        <v>13080</v>
      </c>
      <c r="D3751" s="159" t="s">
        <v>477</v>
      </c>
      <c r="E3751" s="159">
        <v>255</v>
      </c>
      <c r="F3751" s="159" t="s">
        <v>5665</v>
      </c>
      <c r="G3751" s="159" t="s">
        <v>13081</v>
      </c>
    </row>
    <row r="3752" spans="1:7" ht="15.75" customHeight="1">
      <c r="A3752" s="159" t="s">
        <v>9275</v>
      </c>
      <c r="B3752" s="159" t="s">
        <v>10148</v>
      </c>
      <c r="C3752" s="159" t="s">
        <v>13082</v>
      </c>
      <c r="D3752" s="159" t="s">
        <v>477</v>
      </c>
      <c r="E3752" s="159">
        <v>255</v>
      </c>
      <c r="F3752" s="159" t="s">
        <v>5665</v>
      </c>
      <c r="G3752" s="159" t="s">
        <v>13083</v>
      </c>
    </row>
    <row r="3753" spans="1:7" ht="15.75" customHeight="1">
      <c r="A3753" s="159" t="s">
        <v>9275</v>
      </c>
      <c r="B3753" s="159" t="s">
        <v>10148</v>
      </c>
      <c r="C3753" s="159" t="s">
        <v>13084</v>
      </c>
      <c r="D3753" s="159" t="s">
        <v>477</v>
      </c>
      <c r="E3753" s="159">
        <v>255</v>
      </c>
      <c r="F3753" s="159" t="s">
        <v>5665</v>
      </c>
      <c r="G3753" s="159" t="s">
        <v>13085</v>
      </c>
    </row>
    <row r="3754" spans="1:7" ht="15.75" customHeight="1">
      <c r="A3754" s="159" t="s">
        <v>9275</v>
      </c>
      <c r="B3754" s="159" t="s">
        <v>10148</v>
      </c>
      <c r="C3754" s="159" t="s">
        <v>12397</v>
      </c>
      <c r="D3754" s="159" t="s">
        <v>477</v>
      </c>
      <c r="E3754" s="159">
        <v>255</v>
      </c>
      <c r="F3754" s="159" t="s">
        <v>5665</v>
      </c>
      <c r="G3754" s="159" t="s">
        <v>13086</v>
      </c>
    </row>
    <row r="3755" spans="1:7" ht="15.75" customHeight="1">
      <c r="A3755" s="159" t="s">
        <v>9275</v>
      </c>
      <c r="B3755" s="159" t="s">
        <v>10148</v>
      </c>
      <c r="C3755" s="159" t="s">
        <v>13087</v>
      </c>
      <c r="D3755" s="159" t="s">
        <v>477</v>
      </c>
      <c r="E3755" s="159">
        <v>255</v>
      </c>
      <c r="F3755" s="159" t="s">
        <v>5665</v>
      </c>
      <c r="G3755" s="159" t="s">
        <v>13088</v>
      </c>
    </row>
    <row r="3756" spans="1:7" ht="15.75" customHeight="1">
      <c r="A3756" s="159" t="s">
        <v>9275</v>
      </c>
      <c r="B3756" s="159" t="s">
        <v>10148</v>
      </c>
      <c r="C3756" s="159" t="s">
        <v>13089</v>
      </c>
      <c r="D3756" s="159" t="s">
        <v>1413</v>
      </c>
      <c r="E3756" s="159"/>
      <c r="F3756" s="159" t="s">
        <v>5665</v>
      </c>
      <c r="G3756" s="159" t="s">
        <v>13090</v>
      </c>
    </row>
    <row r="3757" spans="1:7" ht="15.75" customHeight="1">
      <c r="A3757" s="159" t="s">
        <v>9275</v>
      </c>
      <c r="B3757" s="159" t="s">
        <v>10148</v>
      </c>
      <c r="C3757" s="159" t="s">
        <v>13091</v>
      </c>
      <c r="D3757" s="159" t="s">
        <v>3893</v>
      </c>
      <c r="E3757" s="159">
        <v>65535</v>
      </c>
      <c r="F3757" s="159" t="s">
        <v>5665</v>
      </c>
      <c r="G3757" s="159" t="s">
        <v>13092</v>
      </c>
    </row>
    <row r="3758" spans="1:7" ht="15.75" customHeight="1">
      <c r="A3758" s="159" t="s">
        <v>9275</v>
      </c>
      <c r="B3758" s="159" t="s">
        <v>10148</v>
      </c>
      <c r="C3758" s="159" t="s">
        <v>13093</v>
      </c>
      <c r="D3758" s="159" t="s">
        <v>3893</v>
      </c>
      <c r="E3758" s="159">
        <v>65535</v>
      </c>
      <c r="F3758" s="159" t="s">
        <v>5665</v>
      </c>
      <c r="G3758" s="159" t="s">
        <v>13094</v>
      </c>
    </row>
    <row r="3759" spans="1:7" ht="15.75" customHeight="1">
      <c r="A3759" s="159" t="s">
        <v>9275</v>
      </c>
      <c r="B3759" s="159" t="s">
        <v>10148</v>
      </c>
      <c r="C3759" s="159" t="s">
        <v>13095</v>
      </c>
      <c r="D3759" s="159" t="s">
        <v>484</v>
      </c>
      <c r="E3759" s="159">
        <v>10</v>
      </c>
      <c r="F3759" s="159" t="s">
        <v>5665</v>
      </c>
      <c r="G3759" s="159" t="s">
        <v>13096</v>
      </c>
    </row>
    <row r="3760" spans="1:7" ht="15.75" customHeight="1">
      <c r="A3760" s="159" t="s">
        <v>9275</v>
      </c>
      <c r="B3760" s="159" t="s">
        <v>10150</v>
      </c>
      <c r="C3760" s="159" t="s">
        <v>11704</v>
      </c>
      <c r="D3760" s="159" t="s">
        <v>484</v>
      </c>
      <c r="E3760" s="159">
        <v>10</v>
      </c>
      <c r="F3760" s="159" t="s">
        <v>5665</v>
      </c>
      <c r="G3760" s="159" t="s">
        <v>12152</v>
      </c>
    </row>
    <row r="3761" spans="1:7" ht="15.75" customHeight="1">
      <c r="A3761" s="159" t="s">
        <v>9275</v>
      </c>
      <c r="B3761" s="159" t="s">
        <v>10150</v>
      </c>
      <c r="C3761" s="159" t="s">
        <v>13069</v>
      </c>
      <c r="D3761" s="159" t="s">
        <v>477</v>
      </c>
      <c r="E3761" s="159">
        <v>255</v>
      </c>
      <c r="F3761" s="159" t="s">
        <v>5667</v>
      </c>
      <c r="G3761" s="159" t="s">
        <v>13070</v>
      </c>
    </row>
    <row r="3762" spans="1:7" ht="15.75" customHeight="1">
      <c r="A3762" s="159" t="s">
        <v>9275</v>
      </c>
      <c r="B3762" s="159" t="s">
        <v>10152</v>
      </c>
      <c r="C3762" s="159" t="s">
        <v>10816</v>
      </c>
      <c r="D3762" s="159" t="s">
        <v>484</v>
      </c>
      <c r="E3762" s="159">
        <v>10</v>
      </c>
      <c r="F3762" s="159" t="s">
        <v>5665</v>
      </c>
      <c r="G3762" s="159" t="s">
        <v>10817</v>
      </c>
    </row>
    <row r="3763" spans="1:7" ht="15.75" customHeight="1">
      <c r="A3763" s="159" t="s">
        <v>9275</v>
      </c>
      <c r="B3763" s="159" t="s">
        <v>10152</v>
      </c>
      <c r="C3763" s="159" t="s">
        <v>10882</v>
      </c>
      <c r="D3763" s="159" t="s">
        <v>978</v>
      </c>
      <c r="E3763" s="159">
        <v>5</v>
      </c>
      <c r="F3763" s="159" t="s">
        <v>5665</v>
      </c>
      <c r="G3763" s="159" t="s">
        <v>10883</v>
      </c>
    </row>
    <row r="3764" spans="1:7" ht="15.75" customHeight="1">
      <c r="A3764" s="159" t="s">
        <v>9275</v>
      </c>
      <c r="B3764" s="159" t="s">
        <v>10152</v>
      </c>
      <c r="C3764" s="159" t="s">
        <v>10287</v>
      </c>
      <c r="D3764" s="159" t="s">
        <v>484</v>
      </c>
      <c r="E3764" s="159">
        <v>10</v>
      </c>
      <c r="F3764" s="159" t="s">
        <v>5665</v>
      </c>
      <c r="G3764" s="159" t="s">
        <v>10237</v>
      </c>
    </row>
    <row r="3765" spans="1:7" ht="15.75" customHeight="1">
      <c r="A3765" s="159" t="s">
        <v>9275</v>
      </c>
      <c r="B3765" s="159" t="s">
        <v>10152</v>
      </c>
      <c r="C3765" s="159" t="s">
        <v>13097</v>
      </c>
      <c r="D3765" s="159" t="s">
        <v>477</v>
      </c>
      <c r="E3765" s="159">
        <v>2</v>
      </c>
      <c r="F3765" s="159" t="s">
        <v>5667</v>
      </c>
      <c r="G3765" s="159" t="s">
        <v>1013</v>
      </c>
    </row>
    <row r="3766" spans="1:7" ht="15.75" customHeight="1">
      <c r="A3766" s="159" t="s">
        <v>9275</v>
      </c>
      <c r="B3766" s="159" t="s">
        <v>10152</v>
      </c>
      <c r="C3766" s="159" t="s">
        <v>10471</v>
      </c>
      <c r="D3766" s="159" t="s">
        <v>481</v>
      </c>
      <c r="E3766" s="159">
        <v>12</v>
      </c>
      <c r="F3766" s="159" t="s">
        <v>5665</v>
      </c>
      <c r="G3766" s="159" t="s">
        <v>10475</v>
      </c>
    </row>
    <row r="3767" spans="1:7" ht="15.75" customHeight="1">
      <c r="A3767" s="159" t="s">
        <v>9275</v>
      </c>
      <c r="B3767" s="159" t="s">
        <v>10152</v>
      </c>
      <c r="C3767" s="159" t="s">
        <v>5776</v>
      </c>
      <c r="D3767" s="159" t="s">
        <v>484</v>
      </c>
      <c r="E3767" s="159">
        <v>10</v>
      </c>
      <c r="F3767" s="159" t="s">
        <v>5665</v>
      </c>
      <c r="G3767" s="159" t="s">
        <v>7766</v>
      </c>
    </row>
    <row r="3768" spans="1:7" ht="15.75" customHeight="1">
      <c r="A3768" s="159" t="s">
        <v>9275</v>
      </c>
      <c r="B3768" s="159" t="s">
        <v>10152</v>
      </c>
      <c r="C3768" s="159" t="s">
        <v>9217</v>
      </c>
      <c r="D3768" s="159" t="s">
        <v>978</v>
      </c>
      <c r="E3768" s="159">
        <v>5</v>
      </c>
      <c r="F3768" s="159" t="s">
        <v>5665</v>
      </c>
      <c r="G3768" s="159" t="s">
        <v>10818</v>
      </c>
    </row>
    <row r="3769" spans="1:7" ht="15.75" customHeight="1">
      <c r="A3769" s="159" t="s">
        <v>9275</v>
      </c>
      <c r="B3769" s="159" t="s">
        <v>10154</v>
      </c>
      <c r="C3769" s="159" t="s">
        <v>13098</v>
      </c>
      <c r="D3769" s="159" t="s">
        <v>484</v>
      </c>
      <c r="E3769" s="159">
        <v>10</v>
      </c>
      <c r="F3769" s="159" t="s">
        <v>5665</v>
      </c>
      <c r="G3769" s="159" t="s">
        <v>13099</v>
      </c>
    </row>
    <row r="3770" spans="1:7" ht="15.75" customHeight="1">
      <c r="A3770" s="159" t="s">
        <v>9275</v>
      </c>
      <c r="B3770" s="159" t="s">
        <v>10154</v>
      </c>
      <c r="C3770" s="159" t="s">
        <v>13100</v>
      </c>
      <c r="D3770" s="159" t="s">
        <v>477</v>
      </c>
      <c r="E3770" s="159">
        <v>255</v>
      </c>
      <c r="F3770" s="159" t="s">
        <v>5667</v>
      </c>
      <c r="G3770" s="159" t="s">
        <v>13101</v>
      </c>
    </row>
    <row r="3771" spans="1:7" ht="15.75" customHeight="1">
      <c r="A3771" s="159" t="s">
        <v>9275</v>
      </c>
      <c r="B3771" s="159" t="s">
        <v>10154</v>
      </c>
      <c r="C3771" s="159" t="s">
        <v>13102</v>
      </c>
      <c r="D3771" s="159" t="s">
        <v>477</v>
      </c>
      <c r="E3771" s="159">
        <v>255</v>
      </c>
      <c r="F3771" s="159" t="s">
        <v>5667</v>
      </c>
      <c r="G3771" s="159" t="s">
        <v>13103</v>
      </c>
    </row>
    <row r="3772" spans="1:7" ht="15.75" customHeight="1">
      <c r="A3772" s="159" t="s">
        <v>9275</v>
      </c>
      <c r="B3772" s="159" t="s">
        <v>10154</v>
      </c>
      <c r="C3772" s="159" t="s">
        <v>13104</v>
      </c>
      <c r="D3772" s="159" t="s">
        <v>3893</v>
      </c>
      <c r="E3772" s="159">
        <v>65535</v>
      </c>
      <c r="F3772" s="159" t="s">
        <v>5667</v>
      </c>
      <c r="G3772" s="159" t="s">
        <v>13105</v>
      </c>
    </row>
    <row r="3773" spans="1:7" ht="15.75" customHeight="1">
      <c r="A3773" s="159" t="s">
        <v>9275</v>
      </c>
      <c r="B3773" s="159" t="s">
        <v>10156</v>
      </c>
      <c r="C3773" s="159" t="s">
        <v>13106</v>
      </c>
      <c r="D3773" s="159" t="s">
        <v>484</v>
      </c>
      <c r="E3773" s="159">
        <v>10</v>
      </c>
      <c r="F3773" s="159" t="s">
        <v>5665</v>
      </c>
      <c r="G3773" s="159" t="s">
        <v>13107</v>
      </c>
    </row>
    <row r="3774" spans="1:7" ht="15.75" customHeight="1">
      <c r="A3774" s="159" t="s">
        <v>9275</v>
      </c>
      <c r="B3774" s="159" t="s">
        <v>10156</v>
      </c>
      <c r="C3774" s="159" t="s">
        <v>13108</v>
      </c>
      <c r="D3774" s="159" t="s">
        <v>477</v>
      </c>
      <c r="E3774" s="159">
        <v>255</v>
      </c>
      <c r="F3774" s="159" t="s">
        <v>5667</v>
      </c>
      <c r="G3774" s="159" t="s">
        <v>13109</v>
      </c>
    </row>
    <row r="3775" spans="1:7" ht="15.75" customHeight="1">
      <c r="A3775" s="159" t="s">
        <v>9275</v>
      </c>
      <c r="B3775" s="159" t="s">
        <v>10156</v>
      </c>
      <c r="C3775" s="159" t="s">
        <v>11733</v>
      </c>
      <c r="D3775" s="159" t="s">
        <v>484</v>
      </c>
      <c r="E3775" s="159">
        <v>10</v>
      </c>
      <c r="F3775" s="159" t="s">
        <v>5665</v>
      </c>
      <c r="G3775" s="159" t="s">
        <v>11734</v>
      </c>
    </row>
    <row r="3776" spans="1:7" ht="15.75" customHeight="1">
      <c r="A3776" s="159" t="s">
        <v>9275</v>
      </c>
      <c r="B3776" s="159" t="s">
        <v>10156</v>
      </c>
      <c r="C3776" s="159" t="s">
        <v>5676</v>
      </c>
      <c r="D3776" s="159" t="s">
        <v>477</v>
      </c>
      <c r="E3776" s="159">
        <v>255</v>
      </c>
      <c r="F3776" s="159" t="s">
        <v>5667</v>
      </c>
      <c r="G3776" s="159" t="s">
        <v>13110</v>
      </c>
    </row>
    <row r="3777" spans="1:7" ht="15.75" customHeight="1">
      <c r="A3777" s="159" t="s">
        <v>9275</v>
      </c>
      <c r="B3777" s="159" t="s">
        <v>10156</v>
      </c>
      <c r="C3777" s="159" t="s">
        <v>13111</v>
      </c>
      <c r="D3777" s="159" t="s">
        <v>477</v>
      </c>
      <c r="E3777" s="159">
        <v>255</v>
      </c>
      <c r="F3777" s="159" t="s">
        <v>5665</v>
      </c>
      <c r="G3777" s="159" t="s">
        <v>13112</v>
      </c>
    </row>
    <row r="3778" spans="1:7" ht="15.75" customHeight="1">
      <c r="A3778" s="159" t="s">
        <v>9275</v>
      </c>
      <c r="B3778" s="159" t="s">
        <v>10156</v>
      </c>
      <c r="C3778" s="159" t="s">
        <v>13113</v>
      </c>
      <c r="D3778" s="159" t="s">
        <v>3893</v>
      </c>
      <c r="E3778" s="159">
        <v>65535</v>
      </c>
      <c r="F3778" s="159" t="s">
        <v>5667</v>
      </c>
      <c r="G3778" s="159" t="s">
        <v>13114</v>
      </c>
    </row>
    <row r="3779" spans="1:7" ht="15.75" customHeight="1">
      <c r="A3779" s="159" t="s">
        <v>9275</v>
      </c>
      <c r="B3779" s="159" t="s">
        <v>10156</v>
      </c>
      <c r="C3779" s="159" t="s">
        <v>10469</v>
      </c>
      <c r="D3779" s="159" t="s">
        <v>978</v>
      </c>
      <c r="E3779" s="159">
        <v>5</v>
      </c>
      <c r="F3779" s="159" t="s">
        <v>5665</v>
      </c>
      <c r="G3779" s="159" t="s">
        <v>11303</v>
      </c>
    </row>
    <row r="3780" spans="1:7" ht="15.75" customHeight="1">
      <c r="A3780" s="159" t="s">
        <v>9275</v>
      </c>
      <c r="B3780" s="159" t="s">
        <v>10158</v>
      </c>
      <c r="C3780" s="159" t="s">
        <v>10393</v>
      </c>
      <c r="D3780" s="159" t="s">
        <v>484</v>
      </c>
      <c r="E3780" s="159">
        <v>10</v>
      </c>
      <c r="F3780" s="159" t="s">
        <v>5665</v>
      </c>
      <c r="G3780" s="159" t="s">
        <v>10495</v>
      </c>
    </row>
    <row r="3781" spans="1:7" ht="15.75" customHeight="1">
      <c r="A3781" s="159" t="s">
        <v>9275</v>
      </c>
      <c r="B3781" s="159" t="s">
        <v>10158</v>
      </c>
      <c r="C3781" s="159" t="s">
        <v>13106</v>
      </c>
      <c r="D3781" s="159" t="s">
        <v>484</v>
      </c>
      <c r="E3781" s="159">
        <v>10</v>
      </c>
      <c r="F3781" s="159" t="s">
        <v>5665</v>
      </c>
      <c r="G3781" s="159" t="s">
        <v>13107</v>
      </c>
    </row>
    <row r="3782" spans="1:7" ht="15.75" customHeight="1">
      <c r="A3782" s="159" t="s">
        <v>9275</v>
      </c>
      <c r="B3782" s="159" t="s">
        <v>10158</v>
      </c>
      <c r="C3782" s="159" t="s">
        <v>13115</v>
      </c>
      <c r="D3782" s="159" t="s">
        <v>477</v>
      </c>
      <c r="E3782" s="159">
        <v>25</v>
      </c>
      <c r="F3782" s="159" t="s">
        <v>5667</v>
      </c>
      <c r="G3782" s="159" t="s">
        <v>13116</v>
      </c>
    </row>
    <row r="3783" spans="1:7" ht="15.75" customHeight="1">
      <c r="A3783" s="159" t="s">
        <v>9275</v>
      </c>
      <c r="B3783" s="159" t="s">
        <v>10158</v>
      </c>
      <c r="C3783" s="159" t="s">
        <v>13117</v>
      </c>
      <c r="D3783" s="159" t="s">
        <v>477</v>
      </c>
      <c r="E3783" s="159">
        <v>255</v>
      </c>
      <c r="F3783" s="159" t="s">
        <v>5667</v>
      </c>
      <c r="G3783" s="159" t="s">
        <v>13118</v>
      </c>
    </row>
    <row r="3784" spans="1:7" ht="15.75" customHeight="1">
      <c r="A3784" s="159" t="s">
        <v>9275</v>
      </c>
      <c r="B3784" s="159" t="s">
        <v>10158</v>
      </c>
      <c r="C3784" s="159" t="s">
        <v>13119</v>
      </c>
      <c r="D3784" s="159" t="s">
        <v>477</v>
      </c>
      <c r="E3784" s="159">
        <v>255</v>
      </c>
      <c r="F3784" s="159" t="s">
        <v>5667</v>
      </c>
      <c r="G3784" s="159" t="s">
        <v>13120</v>
      </c>
    </row>
    <row r="3785" spans="1:7" ht="15.75" customHeight="1">
      <c r="A3785" s="159" t="s">
        <v>9275</v>
      </c>
      <c r="B3785" s="159" t="s">
        <v>10158</v>
      </c>
      <c r="C3785" s="159" t="s">
        <v>13121</v>
      </c>
      <c r="D3785" s="159" t="s">
        <v>477</v>
      </c>
      <c r="E3785" s="159">
        <v>25</v>
      </c>
      <c r="F3785" s="159" t="s">
        <v>5667</v>
      </c>
      <c r="G3785" s="159" t="s">
        <v>13122</v>
      </c>
    </row>
    <row r="3786" spans="1:7" ht="15.75" customHeight="1">
      <c r="A3786" s="159" t="s">
        <v>9275</v>
      </c>
      <c r="B3786" s="159" t="s">
        <v>10158</v>
      </c>
      <c r="C3786" s="159" t="s">
        <v>13123</v>
      </c>
      <c r="D3786" s="159" t="s">
        <v>3893</v>
      </c>
      <c r="E3786" s="159">
        <v>65535</v>
      </c>
      <c r="F3786" s="159" t="s">
        <v>5667</v>
      </c>
      <c r="G3786" s="159" t="s">
        <v>13124</v>
      </c>
    </row>
    <row r="3787" spans="1:7" ht="15.75" customHeight="1">
      <c r="A3787" s="159" t="s">
        <v>9275</v>
      </c>
      <c r="B3787" s="159" t="s">
        <v>10158</v>
      </c>
      <c r="C3787" s="159" t="s">
        <v>13125</v>
      </c>
      <c r="D3787" s="159" t="s">
        <v>477</v>
      </c>
      <c r="E3787" s="159">
        <v>255</v>
      </c>
      <c r="F3787" s="159" t="s">
        <v>5667</v>
      </c>
      <c r="G3787" s="159" t="s">
        <v>13126</v>
      </c>
    </row>
    <row r="3788" spans="1:7" ht="15.75" customHeight="1">
      <c r="A3788" s="159" t="s">
        <v>9275</v>
      </c>
      <c r="B3788" s="159" t="s">
        <v>10160</v>
      </c>
      <c r="C3788" s="159" t="s">
        <v>10393</v>
      </c>
      <c r="D3788" s="159" t="s">
        <v>484</v>
      </c>
      <c r="E3788" s="159">
        <v>10</v>
      </c>
      <c r="F3788" s="159" t="s">
        <v>5665</v>
      </c>
      <c r="G3788" s="159" t="s">
        <v>10495</v>
      </c>
    </row>
    <row r="3789" spans="1:7" ht="15.75" customHeight="1">
      <c r="A3789" s="159" t="s">
        <v>9275</v>
      </c>
      <c r="B3789" s="159" t="s">
        <v>10160</v>
      </c>
      <c r="C3789" s="159" t="s">
        <v>11735</v>
      </c>
      <c r="D3789" s="159" t="s">
        <v>484</v>
      </c>
      <c r="E3789" s="159">
        <v>10</v>
      </c>
      <c r="F3789" s="159" t="s">
        <v>5665</v>
      </c>
      <c r="G3789" s="159" t="s">
        <v>11736</v>
      </c>
    </row>
    <row r="3790" spans="1:7" ht="15.75" customHeight="1">
      <c r="A3790" s="159" t="s">
        <v>9275</v>
      </c>
      <c r="B3790" s="159" t="s">
        <v>10162</v>
      </c>
      <c r="C3790" s="159" t="s">
        <v>11574</v>
      </c>
      <c r="D3790" s="159" t="s">
        <v>484</v>
      </c>
      <c r="E3790" s="159">
        <v>10</v>
      </c>
      <c r="F3790" s="159" t="s">
        <v>5665</v>
      </c>
      <c r="G3790" s="159" t="s">
        <v>13127</v>
      </c>
    </row>
    <row r="3791" spans="1:7" ht="15.75" customHeight="1">
      <c r="A3791" s="159" t="s">
        <v>9275</v>
      </c>
      <c r="B3791" s="159" t="s">
        <v>10162</v>
      </c>
      <c r="C3791" s="159" t="s">
        <v>3940</v>
      </c>
      <c r="D3791" s="159" t="s">
        <v>484</v>
      </c>
      <c r="E3791" s="159">
        <v>10</v>
      </c>
      <c r="F3791" s="159" t="s">
        <v>5665</v>
      </c>
      <c r="G3791" s="159" t="s">
        <v>10747</v>
      </c>
    </row>
    <row r="3792" spans="1:7" ht="15.75" customHeight="1">
      <c r="A3792" s="159" t="s">
        <v>9275</v>
      </c>
      <c r="B3792" s="159" t="s">
        <v>10162</v>
      </c>
      <c r="C3792" s="159" t="s">
        <v>13128</v>
      </c>
      <c r="D3792" s="159" t="s">
        <v>978</v>
      </c>
      <c r="E3792" s="159">
        <v>5</v>
      </c>
      <c r="F3792" s="159" t="s">
        <v>5665</v>
      </c>
      <c r="G3792" s="159" t="s">
        <v>13129</v>
      </c>
    </row>
    <row r="3793" spans="1:7" ht="15.75" customHeight="1">
      <c r="A3793" s="159" t="s">
        <v>9275</v>
      </c>
      <c r="B3793" s="159" t="s">
        <v>10162</v>
      </c>
      <c r="C3793" s="159" t="s">
        <v>13130</v>
      </c>
      <c r="D3793" s="159" t="s">
        <v>477</v>
      </c>
      <c r="E3793" s="159">
        <v>32</v>
      </c>
      <c r="F3793" s="159" t="s">
        <v>5667</v>
      </c>
      <c r="G3793" s="159" t="s">
        <v>13131</v>
      </c>
    </row>
    <row r="3794" spans="1:7" ht="15.75" customHeight="1">
      <c r="A3794" s="159" t="s">
        <v>9275</v>
      </c>
      <c r="B3794" s="159" t="s">
        <v>10162</v>
      </c>
      <c r="C3794" s="159" t="s">
        <v>10242</v>
      </c>
      <c r="D3794" s="159" t="s">
        <v>1413</v>
      </c>
      <c r="E3794" s="159"/>
      <c r="F3794" s="159" t="s">
        <v>5667</v>
      </c>
      <c r="G3794" s="159" t="s">
        <v>13132</v>
      </c>
    </row>
    <row r="3795" spans="1:7" ht="15.75" customHeight="1">
      <c r="A3795" s="159" t="s">
        <v>9275</v>
      </c>
      <c r="B3795" s="159" t="s">
        <v>10164</v>
      </c>
      <c r="C3795" s="159" t="s">
        <v>13133</v>
      </c>
      <c r="D3795" s="159" t="s">
        <v>484</v>
      </c>
      <c r="E3795" s="159">
        <v>10</v>
      </c>
      <c r="F3795" s="159" t="s">
        <v>5665</v>
      </c>
      <c r="G3795" s="159" t="s">
        <v>13134</v>
      </c>
    </row>
    <row r="3796" spans="1:7" ht="15.75" customHeight="1">
      <c r="A3796" s="159" t="s">
        <v>9275</v>
      </c>
      <c r="B3796" s="159" t="s">
        <v>10164</v>
      </c>
      <c r="C3796" s="159" t="s">
        <v>11574</v>
      </c>
      <c r="D3796" s="159" t="s">
        <v>484</v>
      </c>
      <c r="E3796" s="159">
        <v>10</v>
      </c>
      <c r="F3796" s="159" t="s">
        <v>5665</v>
      </c>
      <c r="G3796" s="159" t="s">
        <v>13127</v>
      </c>
    </row>
    <row r="3797" spans="1:7" ht="15.75" customHeight="1">
      <c r="A3797" s="159" t="s">
        <v>9275</v>
      </c>
      <c r="B3797" s="159" t="s">
        <v>10164</v>
      </c>
      <c r="C3797" s="159" t="s">
        <v>1394</v>
      </c>
      <c r="D3797" s="159" t="s">
        <v>484</v>
      </c>
      <c r="E3797" s="159">
        <v>10</v>
      </c>
      <c r="F3797" s="159" t="s">
        <v>5665</v>
      </c>
      <c r="G3797" s="159" t="s">
        <v>4828</v>
      </c>
    </row>
    <row r="3798" spans="1:7" ht="15.75" customHeight="1">
      <c r="A3798" s="159" t="s">
        <v>9275</v>
      </c>
      <c r="B3798" s="159" t="s">
        <v>10164</v>
      </c>
      <c r="C3798" s="159" t="s">
        <v>10290</v>
      </c>
      <c r="D3798" s="159" t="s">
        <v>978</v>
      </c>
      <c r="E3798" s="159">
        <v>5</v>
      </c>
      <c r="F3798" s="159" t="s">
        <v>5667</v>
      </c>
      <c r="G3798" s="159" t="s">
        <v>10507</v>
      </c>
    </row>
    <row r="3799" spans="1:7" ht="15.75" customHeight="1">
      <c r="A3799" s="159" t="s">
        <v>9275</v>
      </c>
      <c r="B3799" s="159" t="s">
        <v>10164</v>
      </c>
      <c r="C3799" s="159" t="s">
        <v>10936</v>
      </c>
      <c r="D3799" s="159" t="s">
        <v>1413</v>
      </c>
      <c r="E3799" s="159"/>
      <c r="F3799" s="159" t="s">
        <v>5667</v>
      </c>
      <c r="G3799" s="159" t="s">
        <v>13135</v>
      </c>
    </row>
    <row r="3800" spans="1:7" ht="15.75" customHeight="1">
      <c r="A3800" s="159" t="s">
        <v>9275</v>
      </c>
      <c r="B3800" s="159" t="s">
        <v>10164</v>
      </c>
      <c r="C3800" s="159" t="s">
        <v>5891</v>
      </c>
      <c r="D3800" s="159" t="s">
        <v>3893</v>
      </c>
      <c r="E3800" s="159">
        <v>65535</v>
      </c>
      <c r="F3800" s="159" t="s">
        <v>5667</v>
      </c>
      <c r="G3800" s="159" t="s">
        <v>13136</v>
      </c>
    </row>
    <row r="3801" spans="1:7" ht="15.75" customHeight="1">
      <c r="A3801" s="159" t="s">
        <v>9275</v>
      </c>
      <c r="B3801" s="159" t="s">
        <v>10164</v>
      </c>
      <c r="C3801" s="159" t="s">
        <v>1826</v>
      </c>
      <c r="D3801" s="159" t="s">
        <v>481</v>
      </c>
      <c r="E3801" s="159">
        <v>12</v>
      </c>
      <c r="F3801" s="159" t="s">
        <v>5665</v>
      </c>
      <c r="G3801" s="159" t="s">
        <v>2415</v>
      </c>
    </row>
    <row r="3802" spans="1:7" ht="15.75" customHeight="1">
      <c r="A3802" s="159" t="s">
        <v>9275</v>
      </c>
      <c r="B3802" s="159" t="s">
        <v>10166</v>
      </c>
      <c r="C3802" s="159" t="s">
        <v>10467</v>
      </c>
      <c r="D3802" s="159" t="s">
        <v>484</v>
      </c>
      <c r="E3802" s="159">
        <v>10</v>
      </c>
      <c r="F3802" s="159" t="s">
        <v>5665</v>
      </c>
      <c r="G3802" s="159" t="s">
        <v>10468</v>
      </c>
    </row>
    <row r="3803" spans="1:7" ht="15.75" customHeight="1">
      <c r="A3803" s="159" t="s">
        <v>9275</v>
      </c>
      <c r="B3803" s="159" t="s">
        <v>10166</v>
      </c>
      <c r="C3803" s="159" t="s">
        <v>13133</v>
      </c>
      <c r="D3803" s="159" t="s">
        <v>484</v>
      </c>
      <c r="E3803" s="159">
        <v>10</v>
      </c>
      <c r="F3803" s="159" t="s">
        <v>5665</v>
      </c>
      <c r="G3803" s="159" t="s">
        <v>13137</v>
      </c>
    </row>
    <row r="3804" spans="1:7" ht="15.75" customHeight="1">
      <c r="A3804" s="159" t="s">
        <v>9275</v>
      </c>
      <c r="B3804" s="159" t="s">
        <v>10166</v>
      </c>
      <c r="C3804" s="159" t="s">
        <v>1394</v>
      </c>
      <c r="D3804" s="159" t="s">
        <v>484</v>
      </c>
      <c r="E3804" s="159">
        <v>10</v>
      </c>
      <c r="F3804" s="159" t="s">
        <v>5665</v>
      </c>
      <c r="G3804" s="159" t="s">
        <v>4828</v>
      </c>
    </row>
    <row r="3805" spans="1:7" ht="15.75" customHeight="1">
      <c r="A3805" s="159" t="s">
        <v>9275</v>
      </c>
      <c r="B3805" s="159" t="s">
        <v>10166</v>
      </c>
      <c r="C3805" s="159" t="s">
        <v>5764</v>
      </c>
      <c r="D3805" s="159" t="s">
        <v>477</v>
      </c>
      <c r="E3805" s="159">
        <v>255</v>
      </c>
      <c r="F3805" s="159" t="s">
        <v>5665</v>
      </c>
      <c r="G3805" s="159" t="s">
        <v>4246</v>
      </c>
    </row>
    <row r="3806" spans="1:7" ht="15.75" customHeight="1">
      <c r="A3806" s="159" t="s">
        <v>9275</v>
      </c>
      <c r="B3806" s="159" t="s">
        <v>10166</v>
      </c>
      <c r="C3806" s="159" t="s">
        <v>10471</v>
      </c>
      <c r="D3806" s="159" t="s">
        <v>3893</v>
      </c>
      <c r="E3806" s="159">
        <v>65535</v>
      </c>
      <c r="F3806" s="159" t="s">
        <v>5667</v>
      </c>
      <c r="G3806" s="159" t="s">
        <v>10475</v>
      </c>
    </row>
    <row r="3807" spans="1:7" ht="15.75" customHeight="1">
      <c r="A3807" s="159" t="s">
        <v>9275</v>
      </c>
      <c r="B3807" s="159" t="s">
        <v>10168</v>
      </c>
      <c r="C3807" s="159" t="s">
        <v>3897</v>
      </c>
      <c r="D3807" s="159" t="s">
        <v>484</v>
      </c>
      <c r="E3807" s="159">
        <v>10</v>
      </c>
      <c r="F3807" s="159" t="s">
        <v>5665</v>
      </c>
      <c r="G3807" s="159" t="s">
        <v>4304</v>
      </c>
    </row>
    <row r="3808" spans="1:7" ht="15.75" customHeight="1">
      <c r="A3808" s="159" t="s">
        <v>9275</v>
      </c>
      <c r="B3808" s="159" t="s">
        <v>10168</v>
      </c>
      <c r="C3808" s="159" t="s">
        <v>3635</v>
      </c>
      <c r="D3808" s="159" t="s">
        <v>484</v>
      </c>
      <c r="E3808" s="159">
        <v>10</v>
      </c>
      <c r="F3808" s="159" t="s">
        <v>5667</v>
      </c>
      <c r="G3808" s="159" t="s">
        <v>10760</v>
      </c>
    </row>
    <row r="3809" spans="1:7" ht="15.75" customHeight="1">
      <c r="A3809" s="159" t="s">
        <v>9275</v>
      </c>
      <c r="B3809" s="159" t="s">
        <v>10168</v>
      </c>
      <c r="C3809" s="159" t="s">
        <v>10290</v>
      </c>
      <c r="D3809" s="159" t="s">
        <v>484</v>
      </c>
      <c r="E3809" s="159">
        <v>10</v>
      </c>
      <c r="F3809" s="159" t="s">
        <v>5667</v>
      </c>
      <c r="G3809" s="159" t="s">
        <v>10689</v>
      </c>
    </row>
    <row r="3810" spans="1:7" ht="15.75" customHeight="1">
      <c r="A3810" s="159" t="s">
        <v>9275</v>
      </c>
      <c r="B3810" s="159" t="s">
        <v>10168</v>
      </c>
      <c r="C3810" s="159" t="s">
        <v>13138</v>
      </c>
      <c r="D3810" s="159" t="s">
        <v>477</v>
      </c>
      <c r="E3810" s="159">
        <v>32</v>
      </c>
      <c r="F3810" s="159" t="s">
        <v>5667</v>
      </c>
      <c r="G3810" s="159" t="s">
        <v>13139</v>
      </c>
    </row>
    <row r="3811" spans="1:7" ht="15.75" customHeight="1">
      <c r="A3811" s="159" t="s">
        <v>9275</v>
      </c>
      <c r="B3811" s="159" t="s">
        <v>10168</v>
      </c>
      <c r="C3811" s="159" t="s">
        <v>13140</v>
      </c>
      <c r="D3811" s="159" t="s">
        <v>477</v>
      </c>
      <c r="E3811" s="159">
        <v>32</v>
      </c>
      <c r="F3811" s="159" t="s">
        <v>5667</v>
      </c>
      <c r="G3811" s="159" t="s">
        <v>13141</v>
      </c>
    </row>
    <row r="3812" spans="1:7" ht="15.75" customHeight="1">
      <c r="A3812" s="159" t="s">
        <v>9275</v>
      </c>
      <c r="B3812" s="159" t="s">
        <v>10168</v>
      </c>
      <c r="C3812" s="159" t="s">
        <v>10190</v>
      </c>
      <c r="D3812" s="159" t="s">
        <v>538</v>
      </c>
      <c r="E3812" s="159"/>
      <c r="F3812" s="159" t="s">
        <v>5667</v>
      </c>
      <c r="G3812" s="159" t="s">
        <v>10281</v>
      </c>
    </row>
    <row r="3813" spans="1:7" ht="15.75" customHeight="1">
      <c r="A3813" s="159" t="s">
        <v>9275</v>
      </c>
      <c r="B3813" s="159" t="s">
        <v>10169</v>
      </c>
      <c r="C3813" s="159" t="s">
        <v>13142</v>
      </c>
      <c r="D3813" s="159" t="s">
        <v>484</v>
      </c>
      <c r="E3813" s="159">
        <v>10</v>
      </c>
      <c r="F3813" s="159" t="s">
        <v>5665</v>
      </c>
      <c r="G3813" s="159" t="s">
        <v>4304</v>
      </c>
    </row>
    <row r="3814" spans="1:7" ht="15.75" customHeight="1">
      <c r="A3814" s="159" t="s">
        <v>9275</v>
      </c>
      <c r="B3814" s="159" t="s">
        <v>10169</v>
      </c>
      <c r="C3814" s="159" t="s">
        <v>1394</v>
      </c>
      <c r="D3814" s="159" t="s">
        <v>484</v>
      </c>
      <c r="E3814" s="159">
        <v>10</v>
      </c>
      <c r="F3814" s="159" t="s">
        <v>5665</v>
      </c>
      <c r="G3814" s="159" t="s">
        <v>4422</v>
      </c>
    </row>
    <row r="3815" spans="1:7" ht="15.75" customHeight="1">
      <c r="A3815" s="159" t="s">
        <v>9275</v>
      </c>
      <c r="B3815" s="159" t="s">
        <v>10169</v>
      </c>
      <c r="C3815" s="159" t="s">
        <v>10290</v>
      </c>
      <c r="D3815" s="159" t="s">
        <v>484</v>
      </c>
      <c r="E3815" s="159">
        <v>10</v>
      </c>
      <c r="F3815" s="159" t="s">
        <v>5665</v>
      </c>
      <c r="G3815" s="159" t="s">
        <v>10689</v>
      </c>
    </row>
    <row r="3816" spans="1:7" ht="15.75" customHeight="1">
      <c r="A3816" s="159" t="s">
        <v>9275</v>
      </c>
      <c r="B3816" s="159" t="s">
        <v>10169</v>
      </c>
      <c r="C3816" s="159" t="s">
        <v>13143</v>
      </c>
      <c r="D3816" s="159" t="s">
        <v>481</v>
      </c>
      <c r="E3816" s="159">
        <v>10</v>
      </c>
      <c r="F3816" s="159" t="s">
        <v>5665</v>
      </c>
      <c r="G3816" s="159" t="s">
        <v>13144</v>
      </c>
    </row>
    <row r="3817" spans="1:7" ht="15.75" customHeight="1">
      <c r="A3817" s="159" t="s">
        <v>9275</v>
      </c>
      <c r="B3817" s="159" t="s">
        <v>10169</v>
      </c>
      <c r="C3817" s="159" t="s">
        <v>12416</v>
      </c>
      <c r="D3817" s="159" t="s">
        <v>1807</v>
      </c>
      <c r="E3817" s="159">
        <v>10</v>
      </c>
      <c r="F3817" s="159" t="s">
        <v>5665</v>
      </c>
      <c r="G3817" s="159" t="s">
        <v>13145</v>
      </c>
    </row>
    <row r="3818" spans="1:7" ht="15.75" customHeight="1">
      <c r="A3818" s="159" t="s">
        <v>9275</v>
      </c>
      <c r="B3818" s="159" t="s">
        <v>10169</v>
      </c>
      <c r="C3818" s="159" t="s">
        <v>13146</v>
      </c>
      <c r="D3818" s="159" t="s">
        <v>1413</v>
      </c>
      <c r="E3818" s="159"/>
      <c r="F3818" s="159" t="s">
        <v>5665</v>
      </c>
      <c r="G3818" s="159" t="s">
        <v>13147</v>
      </c>
    </row>
    <row r="3819" spans="1:7" ht="15.75" customHeight="1">
      <c r="A3819" s="159" t="s">
        <v>9275</v>
      </c>
      <c r="B3819" s="159" t="s">
        <v>10170</v>
      </c>
      <c r="C3819" s="159" t="s">
        <v>13148</v>
      </c>
      <c r="D3819" s="159" t="s">
        <v>484</v>
      </c>
      <c r="E3819" s="159">
        <v>10</v>
      </c>
      <c r="F3819" s="159" t="s">
        <v>5665</v>
      </c>
      <c r="G3819" s="159" t="s">
        <v>4304</v>
      </c>
    </row>
    <row r="3820" spans="1:7" ht="15.75" customHeight="1">
      <c r="A3820" s="159" t="s">
        <v>9275</v>
      </c>
      <c r="B3820" s="159" t="s">
        <v>10170</v>
      </c>
      <c r="C3820" s="159" t="s">
        <v>10290</v>
      </c>
      <c r="D3820" s="159" t="s">
        <v>484</v>
      </c>
      <c r="E3820" s="159">
        <v>10</v>
      </c>
      <c r="F3820" s="159" t="s">
        <v>5667</v>
      </c>
      <c r="G3820" s="159" t="s">
        <v>10507</v>
      </c>
    </row>
    <row r="3821" spans="1:7" ht="15.75" customHeight="1">
      <c r="A3821" s="159" t="s">
        <v>9275</v>
      </c>
      <c r="B3821" s="159" t="s">
        <v>10170</v>
      </c>
      <c r="C3821" s="159" t="s">
        <v>11625</v>
      </c>
      <c r="D3821" s="159" t="s">
        <v>477</v>
      </c>
      <c r="E3821" s="159">
        <v>50</v>
      </c>
      <c r="F3821" s="159" t="s">
        <v>5667</v>
      </c>
      <c r="G3821" s="159" t="s">
        <v>11598</v>
      </c>
    </row>
    <row r="3822" spans="1:7" ht="15.75" customHeight="1">
      <c r="A3822" s="159" t="s">
        <v>9275</v>
      </c>
      <c r="B3822" s="159" t="s">
        <v>10170</v>
      </c>
      <c r="C3822" s="159" t="s">
        <v>10287</v>
      </c>
      <c r="D3822" s="159" t="s">
        <v>484</v>
      </c>
      <c r="E3822" s="159">
        <v>10</v>
      </c>
      <c r="F3822" s="159" t="s">
        <v>5667</v>
      </c>
      <c r="G3822" s="159" t="s">
        <v>10237</v>
      </c>
    </row>
    <row r="3823" spans="1:7" ht="15.75" customHeight="1">
      <c r="A3823" s="159" t="s">
        <v>9275</v>
      </c>
      <c r="B3823" s="159" t="s">
        <v>10170</v>
      </c>
      <c r="C3823" s="159" t="s">
        <v>13149</v>
      </c>
      <c r="D3823" s="159" t="s">
        <v>978</v>
      </c>
      <c r="E3823" s="159">
        <v>5</v>
      </c>
      <c r="F3823" s="159" t="s">
        <v>5667</v>
      </c>
      <c r="G3823" s="159" t="s">
        <v>13150</v>
      </c>
    </row>
    <row r="3824" spans="1:7" ht="15.75" customHeight="1">
      <c r="A3824" s="159" t="s">
        <v>9275</v>
      </c>
      <c r="B3824" s="159" t="s">
        <v>10170</v>
      </c>
      <c r="C3824" s="159" t="s">
        <v>13151</v>
      </c>
      <c r="D3824" s="159" t="s">
        <v>538</v>
      </c>
      <c r="E3824" s="159"/>
      <c r="F3824" s="159" t="s">
        <v>5665</v>
      </c>
      <c r="G3824" s="159" t="s">
        <v>13152</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D9E2F3"/>
  </sheetPr>
  <dimension ref="A1:N3406"/>
  <sheetViews>
    <sheetView zoomScale="140" zoomScaleNormal="140" workbookViewId="0">
      <selection activeCell="B1164" sqref="B1164"/>
    </sheetView>
  </sheetViews>
  <sheetFormatPr baseColWidth="10" defaultColWidth="12.6640625" defaultRowHeight="15" customHeight="1"/>
  <cols>
    <col min="1" max="1" width="21.83203125" customWidth="1"/>
    <col min="2" max="2" width="27.1640625" customWidth="1"/>
    <col min="3" max="3" width="32.83203125" customWidth="1"/>
    <col min="4" max="4" width="17.83203125" customWidth="1"/>
    <col min="5" max="5" width="20.33203125" hidden="1" customWidth="1"/>
    <col min="6" max="6" width="10.33203125" hidden="1" customWidth="1"/>
    <col min="7" max="7" width="7.6640625" hidden="1" customWidth="1"/>
    <col min="8" max="8" width="59.1640625" hidden="1" customWidth="1"/>
    <col min="9" max="9" width="36.6640625" hidden="1" customWidth="1"/>
    <col min="10" max="10" width="13.5" bestFit="1" customWidth="1"/>
    <col min="11" max="11" width="47" customWidth="1"/>
    <col min="12" max="12" width="39.6640625" customWidth="1"/>
    <col min="13" max="14" width="12.1640625" customWidth="1"/>
  </cols>
  <sheetData>
    <row r="1" spans="1:14">
      <c r="A1" s="155" t="s">
        <v>154</v>
      </c>
      <c r="B1" s="156" t="s">
        <v>466</v>
      </c>
      <c r="C1" s="155" t="s">
        <v>467</v>
      </c>
      <c r="D1" s="155" t="s">
        <v>468</v>
      </c>
      <c r="E1" s="155" t="s">
        <v>469</v>
      </c>
      <c r="F1" s="155" t="s">
        <v>470</v>
      </c>
      <c r="G1" s="155" t="s">
        <v>471</v>
      </c>
      <c r="H1" s="155" t="s">
        <v>472</v>
      </c>
      <c r="I1" s="155" t="s">
        <v>473</v>
      </c>
      <c r="J1" s="155" t="s">
        <v>474</v>
      </c>
      <c r="K1" s="286" t="s">
        <v>475</v>
      </c>
      <c r="L1" s="287" t="s">
        <v>164</v>
      </c>
      <c r="M1" s="157"/>
      <c r="N1" s="157"/>
    </row>
    <row r="2" spans="1:14" hidden="1">
      <c r="A2" s="133" t="s">
        <v>7</v>
      </c>
      <c r="B2" s="133" t="s">
        <v>212</v>
      </c>
      <c r="C2" s="133" t="s">
        <v>476</v>
      </c>
      <c r="D2" s="133" t="s">
        <v>477</v>
      </c>
      <c r="E2" s="158">
        <v>10</v>
      </c>
      <c r="F2" s="158">
        <v>0</v>
      </c>
      <c r="G2" s="158">
        <v>0</v>
      </c>
      <c r="H2" s="133" t="s">
        <v>478</v>
      </c>
      <c r="I2" s="133" t="s">
        <v>479</v>
      </c>
      <c r="J2" s="158">
        <v>1</v>
      </c>
      <c r="K2" s="159" t="str">
        <f ca="1">IFERROR(__xludf.DUMMYFUNCTION("GOOGLETRANSLATE(H2,""th"",""en"")"),"Voucher no. (Format: AP / YYYY-MM)")</f>
        <v>Voucher no. (Format: AP / YYYY-MM)</v>
      </c>
    </row>
    <row r="3" spans="1:14" hidden="1">
      <c r="A3" s="133" t="s">
        <v>7</v>
      </c>
      <c r="B3" s="133" t="s">
        <v>212</v>
      </c>
      <c r="C3" s="133" t="s">
        <v>480</v>
      </c>
      <c r="D3" s="133" t="s">
        <v>481</v>
      </c>
      <c r="E3" s="158">
        <v>5</v>
      </c>
      <c r="F3" s="158">
        <v>9</v>
      </c>
      <c r="G3" s="158">
        <v>2</v>
      </c>
      <c r="H3" s="133" t="s">
        <v>482</v>
      </c>
      <c r="I3" s="133" t="s">
        <v>479</v>
      </c>
      <c r="J3" s="158">
        <v>1</v>
      </c>
      <c r="K3" s="159" t="str">
        <f ca="1">IFERROR(__xludf.DUMMYFUNCTION("GOOGLETRANSLATE(H3,""th"",""en"")"),"Sequence no. (Running NO)")</f>
        <v>Sequence no. (Running NO)</v>
      </c>
    </row>
    <row r="4" spans="1:14" hidden="1">
      <c r="A4" s="133" t="s">
        <v>7</v>
      </c>
      <c r="B4" s="133" t="s">
        <v>212</v>
      </c>
      <c r="C4" s="133" t="s">
        <v>483</v>
      </c>
      <c r="D4" s="133" t="s">
        <v>484</v>
      </c>
      <c r="E4" s="158">
        <v>4</v>
      </c>
      <c r="F4" s="158">
        <v>10</v>
      </c>
      <c r="G4" s="158">
        <v>0</v>
      </c>
      <c r="H4" s="133" t="s">
        <v>485</v>
      </c>
      <c r="I4" s="133" t="s">
        <v>479</v>
      </c>
      <c r="J4" s="158">
        <v>0</v>
      </c>
      <c r="K4" s="159" t="str">
        <f ca="1">IFERROR(__xludf.DUMMYFUNCTION("GOOGLETRANSLATE(H4,""th"",""en"")"),"Sub Sequence No. (Running NO)")</f>
        <v>Sub Sequence No. (Running NO)</v>
      </c>
    </row>
    <row r="5" spans="1:14" hidden="1">
      <c r="A5" s="133" t="s">
        <v>7</v>
      </c>
      <c r="B5" s="133" t="s">
        <v>212</v>
      </c>
      <c r="C5" s="133" t="s">
        <v>486</v>
      </c>
      <c r="D5" s="133" t="s">
        <v>477</v>
      </c>
      <c r="E5" s="158">
        <v>10</v>
      </c>
      <c r="F5" s="158">
        <v>0</v>
      </c>
      <c r="G5" s="158">
        <v>0</v>
      </c>
      <c r="H5" s="133" t="s">
        <v>487</v>
      </c>
      <c r="I5" s="133" t="s">
        <v>479</v>
      </c>
      <c r="J5" s="158">
        <v>1</v>
      </c>
      <c r="K5" s="159" t="str">
        <f ca="1">IFERROR(__xludf.DUMMYFUNCTION("GOOGLETRANSLATE(H5,""th"",""en"")"),"Account code")</f>
        <v>Account code</v>
      </c>
    </row>
    <row r="6" spans="1:14" hidden="1">
      <c r="A6" s="133" t="s">
        <v>7</v>
      </c>
      <c r="B6" s="133" t="s">
        <v>212</v>
      </c>
      <c r="C6" s="133" t="s">
        <v>488</v>
      </c>
      <c r="D6" s="133" t="s">
        <v>477</v>
      </c>
      <c r="E6" s="158">
        <v>5</v>
      </c>
      <c r="F6" s="158">
        <v>0</v>
      </c>
      <c r="G6" s="158">
        <v>0</v>
      </c>
      <c r="H6" s="133" t="s">
        <v>489</v>
      </c>
      <c r="I6" s="133" t="s">
        <v>479</v>
      </c>
      <c r="J6" s="158">
        <v>1</v>
      </c>
      <c r="K6" s="159" t="str">
        <f ca="1">IFERROR(__xludf.DUMMYFUNCTION("GOOGLETRANSLATE(H6,""th"",""en"")"),"Department Code (OFM)")</f>
        <v>Department Code (OFM)</v>
      </c>
    </row>
    <row r="7" spans="1:14" hidden="1">
      <c r="A7" s="133" t="s">
        <v>7</v>
      </c>
      <c r="B7" s="133" t="s">
        <v>212</v>
      </c>
      <c r="C7" s="133" t="s">
        <v>490</v>
      </c>
      <c r="D7" s="133" t="s">
        <v>491</v>
      </c>
      <c r="E7" s="158">
        <v>1</v>
      </c>
      <c r="F7" s="158">
        <v>0</v>
      </c>
      <c r="G7" s="158">
        <v>0</v>
      </c>
      <c r="H7" s="133" t="s">
        <v>492</v>
      </c>
      <c r="I7" s="133" t="s">
        <v>479</v>
      </c>
      <c r="J7" s="158">
        <v>1</v>
      </c>
      <c r="K7" s="159" t="str">
        <f ca="1">IFERROR(__xludf.DUMMYFUNCTION("GOOGLETRANSLATE(H7,""th"",""en"")"),"Nature (D: Debit, C: Credit)")</f>
        <v>Nature (D: Debit, C: Credit)</v>
      </c>
    </row>
    <row r="8" spans="1:14" hidden="1">
      <c r="A8" s="133" t="s">
        <v>7</v>
      </c>
      <c r="B8" s="133" t="s">
        <v>212</v>
      </c>
      <c r="C8" s="133" t="s">
        <v>493</v>
      </c>
      <c r="D8" s="133" t="s">
        <v>491</v>
      </c>
      <c r="E8" s="158">
        <v>1</v>
      </c>
      <c r="F8" s="158">
        <v>0</v>
      </c>
      <c r="G8" s="158">
        <v>0</v>
      </c>
      <c r="H8" s="133" t="s">
        <v>494</v>
      </c>
      <c r="I8" s="133" t="s">
        <v>479</v>
      </c>
      <c r="J8" s="158">
        <v>1</v>
      </c>
      <c r="K8" s="159" t="str">
        <f ca="1">IFERROR(__xludf.DUMMYFUNCTION("GOOGLETRANSLATE(H8,""th"",""en"")"),"Status (A: Active, I: Inactive, C: Cancle)")</f>
        <v>Status (A: Active, I: Inactive, C: Cancle)</v>
      </c>
    </row>
    <row r="9" spans="1:14" hidden="1">
      <c r="A9" s="133" t="s">
        <v>7</v>
      </c>
      <c r="B9" s="133" t="s">
        <v>212</v>
      </c>
      <c r="C9" s="133" t="s">
        <v>495</v>
      </c>
      <c r="D9" s="133" t="s">
        <v>496</v>
      </c>
      <c r="E9" s="158">
        <v>4</v>
      </c>
      <c r="F9" s="158">
        <v>16</v>
      </c>
      <c r="G9" s="158">
        <v>0</v>
      </c>
      <c r="H9" s="133" t="s">
        <v>497</v>
      </c>
      <c r="I9" s="133" t="s">
        <v>479</v>
      </c>
      <c r="J9" s="158">
        <v>1</v>
      </c>
      <c r="K9" s="159" t="str">
        <f ca="1">IFERROR(__xludf.DUMMYFUNCTION("GOOGLETRANSLATE(H9,""th"",""en"")"),"Transaction Date")</f>
        <v>Transaction Date</v>
      </c>
    </row>
    <row r="10" spans="1:14" hidden="1">
      <c r="A10" s="133" t="s">
        <v>7</v>
      </c>
      <c r="B10" s="133" t="s">
        <v>212</v>
      </c>
      <c r="C10" s="133" t="s">
        <v>498</v>
      </c>
      <c r="D10" s="133" t="s">
        <v>481</v>
      </c>
      <c r="E10" s="158">
        <v>9</v>
      </c>
      <c r="F10" s="158">
        <v>18</v>
      </c>
      <c r="G10" s="158">
        <v>2</v>
      </c>
      <c r="H10" s="133" t="s">
        <v>499</v>
      </c>
      <c r="I10" s="133" t="s">
        <v>479</v>
      </c>
      <c r="J10" s="158">
        <v>1</v>
      </c>
      <c r="K10" s="159" t="str">
        <f ca="1">IFERROR(__xludf.DUMMYFUNCTION("GOOGLETRANSLATE(H10,""th"",""en"")"),"Amount (RELATED TO CURRENCY CODE)")</f>
        <v>Amount (RELATED TO CURRENCY CODE)</v>
      </c>
    </row>
    <row r="11" spans="1:14" hidden="1">
      <c r="A11" s="133" t="s">
        <v>7</v>
      </c>
      <c r="B11" s="133" t="s">
        <v>212</v>
      </c>
      <c r="C11" s="133" t="s">
        <v>500</v>
      </c>
      <c r="D11" s="133" t="s">
        <v>477</v>
      </c>
      <c r="E11" s="158">
        <v>3</v>
      </c>
      <c r="F11" s="158">
        <v>0</v>
      </c>
      <c r="G11" s="158">
        <v>0</v>
      </c>
      <c r="H11" s="133" t="s">
        <v>501</v>
      </c>
      <c r="I11" s="133" t="s">
        <v>479</v>
      </c>
      <c r="J11" s="158">
        <v>1</v>
      </c>
      <c r="K11" s="159" t="str">
        <f ca="1">IFERROR(__xludf.DUMMYFUNCTION("GOOGLETRANSLATE(H11,""th"",""en"")"),"Currency Code")</f>
        <v>Currency Code</v>
      </c>
    </row>
    <row r="12" spans="1:14" hidden="1">
      <c r="A12" s="133" t="s">
        <v>7</v>
      </c>
      <c r="B12" s="133" t="s">
        <v>212</v>
      </c>
      <c r="C12" s="133" t="s">
        <v>502</v>
      </c>
      <c r="D12" s="133" t="s">
        <v>481</v>
      </c>
      <c r="E12" s="158">
        <v>5</v>
      </c>
      <c r="F12" s="158">
        <v>9</v>
      </c>
      <c r="G12" s="158">
        <v>4</v>
      </c>
      <c r="H12" s="133" t="s">
        <v>503</v>
      </c>
      <c r="I12" s="133" t="s">
        <v>479</v>
      </c>
      <c r="J12" s="158">
        <v>1</v>
      </c>
      <c r="K12" s="159" t="str">
        <f ca="1">IFERROR(__xludf.DUMMYFUNCTION("GOOGLETRANSLATE(H12,""th"",""en"")"),"Currency Rate")</f>
        <v>Currency Rate</v>
      </c>
    </row>
    <row r="13" spans="1:14" hidden="1">
      <c r="A13" s="133" t="s">
        <v>7</v>
      </c>
      <c r="B13" s="133" t="s">
        <v>212</v>
      </c>
      <c r="C13" s="133" t="s">
        <v>504</v>
      </c>
      <c r="D13" s="133" t="s">
        <v>481</v>
      </c>
      <c r="E13" s="158">
        <v>9</v>
      </c>
      <c r="F13" s="158">
        <v>18</v>
      </c>
      <c r="G13" s="158">
        <v>2</v>
      </c>
      <c r="H13" s="133" t="s">
        <v>505</v>
      </c>
      <c r="I13" s="133" t="s">
        <v>479</v>
      </c>
      <c r="J13" s="158">
        <v>1</v>
      </c>
      <c r="K13" s="159" t="str">
        <f ca="1">IFERROR(__xludf.DUMMYFUNCTION("GOOGLETRANSLATE(H13,""th"",""en"")"),"Amount")</f>
        <v>Amount</v>
      </c>
    </row>
    <row r="14" spans="1:14" hidden="1">
      <c r="A14" s="133" t="s">
        <v>7</v>
      </c>
      <c r="B14" s="133" t="s">
        <v>212</v>
      </c>
      <c r="C14" s="133" t="s">
        <v>506</v>
      </c>
      <c r="D14" s="133" t="s">
        <v>477</v>
      </c>
      <c r="E14" s="158">
        <v>12</v>
      </c>
      <c r="F14" s="158">
        <v>0</v>
      </c>
      <c r="G14" s="158">
        <v>0</v>
      </c>
      <c r="H14" s="133" t="s">
        <v>507</v>
      </c>
      <c r="I14" s="133" t="s">
        <v>479</v>
      </c>
      <c r="J14" s="158">
        <v>1</v>
      </c>
      <c r="K14" s="159" t="str">
        <f ca="1">IFERROR(__xludf.DUMMYFUNCTION("GOOGLETRANSLATE(H14,""th"",""en"")"),"Job No.")</f>
        <v>Job No.</v>
      </c>
    </row>
    <row r="15" spans="1:14" hidden="1">
      <c r="A15" s="133" t="s">
        <v>7</v>
      </c>
      <c r="B15" s="133" t="s">
        <v>212</v>
      </c>
      <c r="C15" s="133" t="s">
        <v>508</v>
      </c>
      <c r="D15" s="133" t="s">
        <v>477</v>
      </c>
      <c r="E15" s="158">
        <v>100</v>
      </c>
      <c r="F15" s="158">
        <v>0</v>
      </c>
      <c r="G15" s="158">
        <v>0</v>
      </c>
      <c r="H15" s="133" t="s">
        <v>509</v>
      </c>
      <c r="I15" s="133" t="s">
        <v>479</v>
      </c>
      <c r="J15" s="158">
        <v>1</v>
      </c>
      <c r="K15" s="159" t="str">
        <f ca="1">IFERROR(__xludf.DUMMYFUNCTION("GOOGLETRANSLATE(H15,""th"",""en"")"),"REMARK")</f>
        <v>REMARK</v>
      </c>
    </row>
    <row r="16" spans="1:14" hidden="1">
      <c r="A16" s="133" t="s">
        <v>7</v>
      </c>
      <c r="B16" s="133" t="s">
        <v>212</v>
      </c>
      <c r="C16" s="133" t="s">
        <v>510</v>
      </c>
      <c r="D16" s="133" t="s">
        <v>477</v>
      </c>
      <c r="E16" s="158">
        <v>20</v>
      </c>
      <c r="F16" s="158">
        <v>0</v>
      </c>
      <c r="G16" s="158">
        <v>0</v>
      </c>
      <c r="H16" s="133" t="s">
        <v>511</v>
      </c>
      <c r="I16" s="133" t="s">
        <v>479</v>
      </c>
      <c r="J16" s="158">
        <v>1</v>
      </c>
      <c r="K16" s="159" t="str">
        <f ca="1">IFERROR(__xludf.DUMMYFUNCTION("GOOGLETRANSLATE(H16,""th"",""en"")"),"Invoice no.")</f>
        <v>Invoice no.</v>
      </c>
    </row>
    <row r="17" spans="1:11" hidden="1">
      <c r="A17" s="133" t="s">
        <v>7</v>
      </c>
      <c r="B17" s="133" t="s">
        <v>212</v>
      </c>
      <c r="C17" s="133" t="s">
        <v>512</v>
      </c>
      <c r="D17" s="133" t="s">
        <v>496</v>
      </c>
      <c r="E17" s="158">
        <v>4</v>
      </c>
      <c r="F17" s="158">
        <v>16</v>
      </c>
      <c r="G17" s="158">
        <v>0</v>
      </c>
      <c r="H17" s="133" t="s">
        <v>513</v>
      </c>
      <c r="I17" s="133" t="s">
        <v>479</v>
      </c>
      <c r="J17" s="158">
        <v>1</v>
      </c>
      <c r="K17" s="159" t="str">
        <f ca="1">IFERROR(__xludf.DUMMYFUNCTION("GOOGLETRANSLATE(H17,""th"",""en"")"),"Invoice Date")</f>
        <v>Invoice Date</v>
      </c>
    </row>
    <row r="18" spans="1:11" hidden="1">
      <c r="A18" s="133" t="s">
        <v>7</v>
      </c>
      <c r="B18" s="133" t="s">
        <v>212</v>
      </c>
      <c r="C18" s="133" t="s">
        <v>514</v>
      </c>
      <c r="D18" s="133" t="s">
        <v>481</v>
      </c>
      <c r="E18" s="158">
        <v>9</v>
      </c>
      <c r="F18" s="158">
        <v>18</v>
      </c>
      <c r="G18" s="158">
        <v>2</v>
      </c>
      <c r="H18" s="133" t="s">
        <v>515</v>
      </c>
      <c r="I18" s="133" t="s">
        <v>479</v>
      </c>
      <c r="J18" s="158">
        <v>1</v>
      </c>
      <c r="K18" s="159" t="str">
        <f ca="1">IFERROR(__xludf.DUMMYFUNCTION("GOOGLETRANSLATE(H18,""th"",""en"")"),"Amount in the Invoice (Related to Currency Code)")</f>
        <v>Amount in the Invoice (Related to Currency Code)</v>
      </c>
    </row>
    <row r="19" spans="1:11" hidden="1">
      <c r="A19" s="133" t="s">
        <v>7</v>
      </c>
      <c r="B19" s="133" t="s">
        <v>212</v>
      </c>
      <c r="C19" s="133" t="s">
        <v>516</v>
      </c>
      <c r="D19" s="133" t="s">
        <v>481</v>
      </c>
      <c r="E19" s="158">
        <v>9</v>
      </c>
      <c r="F19" s="158">
        <v>18</v>
      </c>
      <c r="G19" s="158">
        <v>2</v>
      </c>
      <c r="H19" s="133" t="s">
        <v>517</v>
      </c>
      <c r="I19" s="133" t="s">
        <v>479</v>
      </c>
      <c r="J19" s="158">
        <v>1</v>
      </c>
      <c r="K19" s="159" t="str">
        <f ca="1">IFERROR(__xludf.DUMMYFUNCTION("GOOGLETRANSLATE(H19,""th"",""en"")"),"Amount in the Invoice")</f>
        <v>Amount in the Invoice</v>
      </c>
    </row>
    <row r="20" spans="1:11" hidden="1">
      <c r="A20" s="133" t="s">
        <v>7</v>
      </c>
      <c r="B20" s="133" t="s">
        <v>212</v>
      </c>
      <c r="C20" s="133" t="s">
        <v>518</v>
      </c>
      <c r="D20" s="133" t="s">
        <v>477</v>
      </c>
      <c r="E20" s="158">
        <v>10</v>
      </c>
      <c r="F20" s="158">
        <v>0</v>
      </c>
      <c r="G20" s="158">
        <v>0</v>
      </c>
      <c r="H20" s="133" t="s">
        <v>479</v>
      </c>
      <c r="I20" s="133" t="s">
        <v>479</v>
      </c>
      <c r="J20" s="158">
        <v>1</v>
      </c>
      <c r="K20" s="159" t="str">
        <f ca="1">IFERROR(__xludf.DUMMYFUNCTION("GOOGLETRANSLATE(H20,""th"",""en"")"),"Null")</f>
        <v>Null</v>
      </c>
    </row>
    <row r="21" spans="1:11" ht="15.75" hidden="1" customHeight="1">
      <c r="A21" s="133" t="s">
        <v>7</v>
      </c>
      <c r="B21" s="133" t="s">
        <v>212</v>
      </c>
      <c r="C21" s="133" t="s">
        <v>519</v>
      </c>
      <c r="D21" s="133" t="s">
        <v>477</v>
      </c>
      <c r="E21" s="158">
        <v>16</v>
      </c>
      <c r="F21" s="158">
        <v>0</v>
      </c>
      <c r="G21" s="158">
        <v>0</v>
      </c>
      <c r="H21" s="133" t="s">
        <v>520</v>
      </c>
      <c r="I21" s="133" t="s">
        <v>479</v>
      </c>
      <c r="J21" s="158">
        <v>0</v>
      </c>
      <c r="K21" s="159" t="str">
        <f ca="1">IFERROR(__xludf.DUMMYFUNCTION("GOOGLETRANSLATE(H21,""th"",""en"")"),"Full Voucher No. (BDTVCHNO / BDTVCHSEQN)")</f>
        <v>Full Voucher No. (BDTVCHNO / BDTVCHSEQN)</v>
      </c>
    </row>
    <row r="22" spans="1:11" ht="15.75" hidden="1" customHeight="1">
      <c r="A22" s="133" t="s">
        <v>7</v>
      </c>
      <c r="B22" s="133" t="s">
        <v>212</v>
      </c>
      <c r="C22" s="133" t="s">
        <v>521</v>
      </c>
      <c r="D22" s="133" t="s">
        <v>477</v>
      </c>
      <c r="E22" s="158">
        <v>8</v>
      </c>
      <c r="F22" s="158">
        <v>0</v>
      </c>
      <c r="G22" s="158">
        <v>0</v>
      </c>
      <c r="H22" s="133" t="s">
        <v>522</v>
      </c>
      <c r="I22" s="133" t="s">
        <v>479</v>
      </c>
      <c r="J22" s="158">
        <v>1</v>
      </c>
      <c r="K22" s="159" t="str">
        <f ca="1">IFERROR(__xludf.DUMMYFUNCTION("GOOGLETRANSLATE(H22,""th"",""en"")"),"Last update user")</f>
        <v>Last update user</v>
      </c>
    </row>
    <row r="23" spans="1:11" ht="15.75" hidden="1" customHeight="1">
      <c r="A23" s="133" t="s">
        <v>7</v>
      </c>
      <c r="B23" s="133" t="s">
        <v>212</v>
      </c>
      <c r="C23" s="133" t="s">
        <v>523</v>
      </c>
      <c r="D23" s="133" t="s">
        <v>477</v>
      </c>
      <c r="E23" s="158">
        <v>8</v>
      </c>
      <c r="F23" s="158">
        <v>0</v>
      </c>
      <c r="G23" s="158">
        <v>0</v>
      </c>
      <c r="H23" s="133" t="s">
        <v>524</v>
      </c>
      <c r="I23" s="133" t="s">
        <v>479</v>
      </c>
      <c r="J23" s="158">
        <v>1</v>
      </c>
      <c r="K23" s="159" t="str">
        <f ca="1">IFERROR(__xludf.DUMMYFUNCTION("GOOGLETRANSLATE(H23,""th"",""en"")"),"Created User")</f>
        <v>Created User</v>
      </c>
    </row>
    <row r="24" spans="1:11" ht="15.75" hidden="1" customHeight="1">
      <c r="A24" s="133" t="s">
        <v>7</v>
      </c>
      <c r="B24" s="133" t="s">
        <v>212</v>
      </c>
      <c r="C24" s="133" t="s">
        <v>215</v>
      </c>
      <c r="D24" s="133" t="s">
        <v>496</v>
      </c>
      <c r="E24" s="158">
        <v>4</v>
      </c>
      <c r="F24" s="158">
        <v>16</v>
      </c>
      <c r="G24" s="158">
        <v>0</v>
      </c>
      <c r="H24" s="133" t="s">
        <v>525</v>
      </c>
      <c r="I24" s="133" t="s">
        <v>479</v>
      </c>
      <c r="J24" s="158">
        <v>1</v>
      </c>
      <c r="K24" s="159" t="str">
        <f ca="1">IFERROR(__xludf.DUMMYFUNCTION("GOOGLETRANSLATE(H24,""th"",""en"")"),"Last Update Date")</f>
        <v>Last Update Date</v>
      </c>
    </row>
    <row r="25" spans="1:11" ht="15.75" hidden="1" customHeight="1">
      <c r="A25" s="133" t="s">
        <v>7</v>
      </c>
      <c r="B25" s="133" t="s">
        <v>212</v>
      </c>
      <c r="C25" s="133" t="s">
        <v>526</v>
      </c>
      <c r="D25" s="133" t="s">
        <v>496</v>
      </c>
      <c r="E25" s="158">
        <v>4</v>
      </c>
      <c r="F25" s="158">
        <v>16</v>
      </c>
      <c r="G25" s="158">
        <v>0</v>
      </c>
      <c r="H25" s="133" t="s">
        <v>527</v>
      </c>
      <c r="I25" s="133" t="s">
        <v>479</v>
      </c>
      <c r="J25" s="158">
        <v>1</v>
      </c>
      <c r="K25" s="159" t="str">
        <f ca="1">IFERROR(__xludf.DUMMYFUNCTION("GOOGLETRANSLATE(H25,""th"",""en"")"),"Created Date")</f>
        <v>Created Date</v>
      </c>
    </row>
    <row r="26" spans="1:11" ht="15.75" hidden="1" customHeight="1">
      <c r="A26" s="133" t="s">
        <v>7</v>
      </c>
      <c r="B26" s="133" t="s">
        <v>212</v>
      </c>
      <c r="C26" s="133" t="s">
        <v>528</v>
      </c>
      <c r="D26" s="133" t="s">
        <v>491</v>
      </c>
      <c r="E26" s="158">
        <v>1</v>
      </c>
      <c r="F26" s="158">
        <v>0</v>
      </c>
      <c r="G26" s="158">
        <v>0</v>
      </c>
      <c r="H26" s="133" t="s">
        <v>529</v>
      </c>
      <c r="I26" s="133" t="s">
        <v>479</v>
      </c>
      <c r="J26" s="158">
        <v>1</v>
      </c>
      <c r="K26" s="159" t="str">
        <f ca="1">IFERROR(__xludf.DUMMYFUNCTION("GOOGLETRANSLATE(H26,""th"",""en"")"),"Is Post Status Flag")</f>
        <v>Is Post Status Flag</v>
      </c>
    </row>
    <row r="27" spans="1:11" ht="15.75" hidden="1" customHeight="1">
      <c r="A27" s="133" t="s">
        <v>7</v>
      </c>
      <c r="B27" s="133" t="s">
        <v>212</v>
      </c>
      <c r="C27" s="133" t="s">
        <v>530</v>
      </c>
      <c r="D27" s="133" t="s">
        <v>477</v>
      </c>
      <c r="E27" s="158">
        <v>8</v>
      </c>
      <c r="F27" s="158">
        <v>0</v>
      </c>
      <c r="G27" s="158">
        <v>0</v>
      </c>
      <c r="H27" s="133" t="s">
        <v>531</v>
      </c>
      <c r="I27" s="133" t="s">
        <v>479</v>
      </c>
      <c r="J27" s="158">
        <v>1</v>
      </c>
      <c r="K27" s="159" t="str">
        <f ca="1">IFERROR(__xludf.DUMMYFUNCTION("GOOGLETRANSLATE(H27,""th"",""en"")"),"Update user")</f>
        <v>Update user</v>
      </c>
    </row>
    <row r="28" spans="1:11" ht="15.75" hidden="1" customHeight="1">
      <c r="A28" s="133" t="s">
        <v>7</v>
      </c>
      <c r="B28" s="133" t="s">
        <v>212</v>
      </c>
      <c r="C28" s="133" t="s">
        <v>532</v>
      </c>
      <c r="D28" s="133" t="s">
        <v>477</v>
      </c>
      <c r="E28" s="158">
        <v>10</v>
      </c>
      <c r="F28" s="158">
        <v>0</v>
      </c>
      <c r="G28" s="158">
        <v>0</v>
      </c>
      <c r="H28" s="133" t="s">
        <v>533</v>
      </c>
      <c r="I28" s="133" t="s">
        <v>479</v>
      </c>
      <c r="J28" s="158">
        <v>1</v>
      </c>
      <c r="K28" s="159" t="str">
        <f ca="1">IFERROR(__xludf.DUMMYFUNCTION("GOOGLETRANSLATE(H28,""th"",""en"")"),"Vendor Code")</f>
        <v>Vendor Code</v>
      </c>
    </row>
    <row r="29" spans="1:11" ht="15.75" hidden="1" customHeight="1">
      <c r="A29" s="133" t="s">
        <v>7</v>
      </c>
      <c r="B29" s="133" t="s">
        <v>216</v>
      </c>
      <c r="C29" s="133" t="s">
        <v>221</v>
      </c>
      <c r="D29" s="133" t="s">
        <v>477</v>
      </c>
      <c r="E29" s="158">
        <v>12</v>
      </c>
      <c r="F29" s="158">
        <v>0</v>
      </c>
      <c r="G29" s="158">
        <v>0</v>
      </c>
      <c r="H29" s="133" t="s">
        <v>479</v>
      </c>
      <c r="I29" s="133" t="s">
        <v>479</v>
      </c>
      <c r="J29" s="158">
        <v>0</v>
      </c>
      <c r="K29" s="159" t="str">
        <f ca="1">IFERROR(__xludf.DUMMYFUNCTION("GOOGLETRANSLATE(H29,""th"",""en"")"),"Null")</f>
        <v>Null</v>
      </c>
    </row>
    <row r="30" spans="1:11" ht="15.75" hidden="1" customHeight="1">
      <c r="A30" s="133" t="s">
        <v>7</v>
      </c>
      <c r="B30" s="133" t="s">
        <v>216</v>
      </c>
      <c r="C30" s="133" t="s">
        <v>534</v>
      </c>
      <c r="D30" s="133" t="s">
        <v>477</v>
      </c>
      <c r="E30" s="158">
        <v>20</v>
      </c>
      <c r="F30" s="158">
        <v>0</v>
      </c>
      <c r="G30" s="158">
        <v>0</v>
      </c>
      <c r="H30" s="133" t="s">
        <v>479</v>
      </c>
      <c r="I30" s="133" t="s">
        <v>479</v>
      </c>
      <c r="J30" s="158">
        <v>0</v>
      </c>
      <c r="K30" s="159" t="str">
        <f ca="1">IFERROR(__xludf.DUMMYFUNCTION("GOOGLETRANSLATE(H30,""th"",""en"")"),"Null")</f>
        <v>Null</v>
      </c>
    </row>
    <row r="31" spans="1:11" ht="15.75" hidden="1" customHeight="1">
      <c r="A31" s="133" t="s">
        <v>7</v>
      </c>
      <c r="B31" s="133" t="s">
        <v>216</v>
      </c>
      <c r="C31" s="133" t="s">
        <v>535</v>
      </c>
      <c r="D31" s="133" t="s">
        <v>477</v>
      </c>
      <c r="E31" s="158">
        <v>1</v>
      </c>
      <c r="F31" s="158">
        <v>0</v>
      </c>
      <c r="G31" s="158">
        <v>0</v>
      </c>
      <c r="H31" s="133" t="s">
        <v>479</v>
      </c>
      <c r="I31" s="133" t="s">
        <v>479</v>
      </c>
      <c r="J31" s="158">
        <v>1</v>
      </c>
      <c r="K31" s="159" t="str">
        <f ca="1">IFERROR(__xludf.DUMMYFUNCTION("GOOGLETRANSLATE(H31,""th"",""en"")"),"Null")</f>
        <v>Null</v>
      </c>
    </row>
    <row r="32" spans="1:11" ht="15.75" hidden="1" customHeight="1">
      <c r="A32" s="133" t="s">
        <v>7</v>
      </c>
      <c r="B32" s="133" t="s">
        <v>216</v>
      </c>
      <c r="C32" s="133" t="s">
        <v>536</v>
      </c>
      <c r="D32" s="133" t="s">
        <v>477</v>
      </c>
      <c r="E32" s="158">
        <v>11</v>
      </c>
      <c r="F32" s="158">
        <v>0</v>
      </c>
      <c r="G32" s="158">
        <v>0</v>
      </c>
      <c r="H32" s="133" t="s">
        <v>479</v>
      </c>
      <c r="I32" s="133" t="s">
        <v>479</v>
      </c>
      <c r="J32" s="158">
        <v>1</v>
      </c>
      <c r="K32" s="159" t="str">
        <f ca="1">IFERROR(__xludf.DUMMYFUNCTION("GOOGLETRANSLATE(H32,""th"",""en"")"),"Null")</f>
        <v>Null</v>
      </c>
    </row>
    <row r="33" spans="1:11" ht="15.75" hidden="1" customHeight="1">
      <c r="A33" s="133" t="s">
        <v>7</v>
      </c>
      <c r="B33" s="133" t="s">
        <v>216</v>
      </c>
      <c r="C33" s="133" t="s">
        <v>537</v>
      </c>
      <c r="D33" s="133" t="s">
        <v>538</v>
      </c>
      <c r="E33" s="158">
        <v>8</v>
      </c>
      <c r="F33" s="158">
        <v>23</v>
      </c>
      <c r="G33" s="158">
        <v>3</v>
      </c>
      <c r="H33" s="133" t="s">
        <v>479</v>
      </c>
      <c r="I33" s="133" t="s">
        <v>479</v>
      </c>
      <c r="J33" s="158">
        <v>1</v>
      </c>
      <c r="K33" s="159" t="str">
        <f ca="1">IFERROR(__xludf.DUMMYFUNCTION("GOOGLETRANSLATE(H33,""th"",""en"")"),"Null")</f>
        <v>Null</v>
      </c>
    </row>
    <row r="34" spans="1:11" ht="15.75" hidden="1" customHeight="1">
      <c r="A34" s="133" t="s">
        <v>7</v>
      </c>
      <c r="B34" s="133" t="s">
        <v>216</v>
      </c>
      <c r="C34" s="133" t="s">
        <v>521</v>
      </c>
      <c r="D34" s="133" t="s">
        <v>477</v>
      </c>
      <c r="E34" s="158">
        <v>8</v>
      </c>
      <c r="F34" s="158">
        <v>0</v>
      </c>
      <c r="G34" s="158">
        <v>0</v>
      </c>
      <c r="H34" s="133" t="s">
        <v>479</v>
      </c>
      <c r="I34" s="133" t="s">
        <v>479</v>
      </c>
      <c r="J34" s="158">
        <v>1</v>
      </c>
      <c r="K34" s="159" t="str">
        <f ca="1">IFERROR(__xludf.DUMMYFUNCTION("GOOGLETRANSLATE(H34,""th"",""en"")"),"Null")</f>
        <v>Null</v>
      </c>
    </row>
    <row r="35" spans="1:11" ht="15.75" hidden="1" customHeight="1">
      <c r="A35" s="133" t="s">
        <v>7</v>
      </c>
      <c r="B35" s="133" t="s">
        <v>216</v>
      </c>
      <c r="C35" s="133" t="s">
        <v>523</v>
      </c>
      <c r="D35" s="133" t="s">
        <v>477</v>
      </c>
      <c r="E35" s="158">
        <v>8</v>
      </c>
      <c r="F35" s="158">
        <v>0</v>
      </c>
      <c r="G35" s="158">
        <v>0</v>
      </c>
      <c r="H35" s="133" t="s">
        <v>479</v>
      </c>
      <c r="I35" s="133" t="s">
        <v>479</v>
      </c>
      <c r="J35" s="158">
        <v>1</v>
      </c>
      <c r="K35" s="159" t="str">
        <f ca="1">IFERROR(__xludf.DUMMYFUNCTION("GOOGLETRANSLATE(H35,""th"",""en"")"),"Null")</f>
        <v>Null</v>
      </c>
    </row>
    <row r="36" spans="1:11" ht="15.75" hidden="1" customHeight="1">
      <c r="A36" s="133" t="s">
        <v>7</v>
      </c>
      <c r="B36" s="133" t="s">
        <v>216</v>
      </c>
      <c r="C36" s="133" t="s">
        <v>215</v>
      </c>
      <c r="D36" s="133" t="s">
        <v>538</v>
      </c>
      <c r="E36" s="158">
        <v>8</v>
      </c>
      <c r="F36" s="158">
        <v>23</v>
      </c>
      <c r="G36" s="158">
        <v>3</v>
      </c>
      <c r="H36" s="133" t="s">
        <v>479</v>
      </c>
      <c r="I36" s="133" t="s">
        <v>479</v>
      </c>
      <c r="J36" s="158">
        <v>1</v>
      </c>
      <c r="K36" s="159" t="str">
        <f ca="1">IFERROR(__xludf.DUMMYFUNCTION("GOOGLETRANSLATE(H36,""th"",""en"")"),"Null")</f>
        <v>Null</v>
      </c>
    </row>
    <row r="37" spans="1:11" ht="15.75" hidden="1" customHeight="1">
      <c r="A37" s="133" t="s">
        <v>7</v>
      </c>
      <c r="B37" s="133" t="s">
        <v>216</v>
      </c>
      <c r="C37" s="133" t="s">
        <v>539</v>
      </c>
      <c r="D37" s="133" t="s">
        <v>477</v>
      </c>
      <c r="E37" s="158">
        <v>1</v>
      </c>
      <c r="F37" s="158">
        <v>0</v>
      </c>
      <c r="G37" s="158">
        <v>0</v>
      </c>
      <c r="H37" s="133" t="s">
        <v>479</v>
      </c>
      <c r="I37" s="133" t="s">
        <v>479</v>
      </c>
      <c r="J37" s="158">
        <v>1</v>
      </c>
      <c r="K37" s="159" t="str">
        <f ca="1">IFERROR(__xludf.DUMMYFUNCTION("GOOGLETRANSLATE(H37,""th"",""en"")"),"Null")</f>
        <v>Null</v>
      </c>
    </row>
    <row r="38" spans="1:11" ht="15.75" hidden="1" customHeight="1">
      <c r="A38" s="133" t="s">
        <v>7</v>
      </c>
      <c r="B38" s="133" t="s">
        <v>216</v>
      </c>
      <c r="C38" s="133" t="s">
        <v>540</v>
      </c>
      <c r="D38" s="133" t="s">
        <v>481</v>
      </c>
      <c r="E38" s="158">
        <v>9</v>
      </c>
      <c r="F38" s="158">
        <v>11</v>
      </c>
      <c r="G38" s="158">
        <v>2</v>
      </c>
      <c r="H38" s="133" t="s">
        <v>479</v>
      </c>
      <c r="I38" s="133" t="s">
        <v>479</v>
      </c>
      <c r="J38" s="158">
        <v>1</v>
      </c>
      <c r="K38" s="159" t="str">
        <f ca="1">IFERROR(__xludf.DUMMYFUNCTION("GOOGLETRANSLATE(H38,""th"",""en"")"),"Null")</f>
        <v>Null</v>
      </c>
    </row>
    <row r="39" spans="1:11" ht="15.75" hidden="1" customHeight="1">
      <c r="A39" s="133" t="s">
        <v>7</v>
      </c>
      <c r="B39" s="133" t="s">
        <v>216</v>
      </c>
      <c r="C39" s="133" t="s">
        <v>541</v>
      </c>
      <c r="D39" s="133" t="s">
        <v>491</v>
      </c>
      <c r="E39" s="158">
        <v>2</v>
      </c>
      <c r="F39" s="158">
        <v>0</v>
      </c>
      <c r="G39" s="158">
        <v>0</v>
      </c>
      <c r="H39" s="133" t="s">
        <v>479</v>
      </c>
      <c r="I39" s="133" t="s">
        <v>479</v>
      </c>
      <c r="J39" s="158">
        <v>1</v>
      </c>
      <c r="K39" s="159" t="str">
        <f ca="1">IFERROR(__xludf.DUMMYFUNCTION("GOOGLETRANSLATE(H39,""th"",""en"")"),"Null")</f>
        <v>Null</v>
      </c>
    </row>
    <row r="40" spans="1:11" ht="15.75" hidden="1" customHeight="1">
      <c r="A40" s="133" t="s">
        <v>7</v>
      </c>
      <c r="B40" s="133" t="s">
        <v>216</v>
      </c>
      <c r="C40" s="133" t="s">
        <v>542</v>
      </c>
      <c r="D40" s="133" t="s">
        <v>496</v>
      </c>
      <c r="E40" s="158">
        <v>4</v>
      </c>
      <c r="F40" s="158">
        <v>16</v>
      </c>
      <c r="G40" s="158">
        <v>0</v>
      </c>
      <c r="H40" s="133" t="s">
        <v>543</v>
      </c>
      <c r="I40" s="133" t="s">
        <v>479</v>
      </c>
      <c r="J40" s="158">
        <v>1</v>
      </c>
      <c r="K40" s="159" t="str">
        <f ca="1">IFERROR(__xludf.DUMMYFUNCTION("GOOGLETRANSLATE(H40,""th"",""en"")"),"Invoice Date")</f>
        <v>Invoice Date</v>
      </c>
    </row>
    <row r="41" spans="1:11" ht="15.75" hidden="1" customHeight="1">
      <c r="A41" s="133" t="s">
        <v>7</v>
      </c>
      <c r="B41" s="133" t="s">
        <v>216</v>
      </c>
      <c r="C41" s="133" t="s">
        <v>544</v>
      </c>
      <c r="D41" s="133" t="s">
        <v>477</v>
      </c>
      <c r="E41" s="158">
        <v>50</v>
      </c>
      <c r="F41" s="158">
        <v>0</v>
      </c>
      <c r="G41" s="158">
        <v>0</v>
      </c>
      <c r="H41" s="133" t="s">
        <v>545</v>
      </c>
      <c r="I41" s="133" t="s">
        <v>479</v>
      </c>
      <c r="J41" s="158">
        <v>1</v>
      </c>
      <c r="K41" s="159" t="str">
        <f ca="1">IFERROR(__xludf.DUMMYFUNCTION("GOOGLETRANSLATE(H41,""th"",""en"")"),"Reference No.")</f>
        <v>Reference No.</v>
      </c>
    </row>
    <row r="42" spans="1:11" ht="15.75" hidden="1" customHeight="1">
      <c r="A42" s="133" t="s">
        <v>7</v>
      </c>
      <c r="B42" s="133" t="s">
        <v>216</v>
      </c>
      <c r="C42" s="133" t="s">
        <v>546</v>
      </c>
      <c r="D42" s="133" t="s">
        <v>477</v>
      </c>
      <c r="E42" s="158">
        <v>20</v>
      </c>
      <c r="F42" s="158">
        <v>0</v>
      </c>
      <c r="G42" s="158">
        <v>0</v>
      </c>
      <c r="H42" s="133" t="s">
        <v>547</v>
      </c>
      <c r="I42" s="133" t="s">
        <v>548</v>
      </c>
      <c r="J42" s="158">
        <v>0</v>
      </c>
      <c r="K42" s="159" t="str">
        <f ca="1">IFERROR(__xludf.DUMMYFUNCTION("GOOGLETRANSLATE(H42,""th"",""en"")"),"Document number, tax invoice")</f>
        <v>Document number, tax invoice</v>
      </c>
    </row>
    <row r="43" spans="1:11" ht="15.75" hidden="1" customHeight="1">
      <c r="A43" s="133" t="s">
        <v>7</v>
      </c>
      <c r="B43" s="133" t="s">
        <v>219</v>
      </c>
      <c r="C43" s="133" t="s">
        <v>221</v>
      </c>
      <c r="D43" s="133" t="s">
        <v>477</v>
      </c>
      <c r="E43" s="158">
        <v>12</v>
      </c>
      <c r="F43" s="158">
        <v>0</v>
      </c>
      <c r="G43" s="158">
        <v>0</v>
      </c>
      <c r="H43" s="133" t="s">
        <v>479</v>
      </c>
      <c r="I43" s="133" t="s">
        <v>479</v>
      </c>
      <c r="J43" s="158">
        <v>0</v>
      </c>
      <c r="K43" s="159" t="str">
        <f ca="1">IFERROR(__xludf.DUMMYFUNCTION("GOOGLETRANSLATE(H43,""th"",""en"")"),"Null")</f>
        <v>Null</v>
      </c>
    </row>
    <row r="44" spans="1:11" ht="15.75" hidden="1" customHeight="1">
      <c r="A44" s="133" t="s">
        <v>7</v>
      </c>
      <c r="B44" s="133" t="s">
        <v>219</v>
      </c>
      <c r="C44" s="133" t="s">
        <v>549</v>
      </c>
      <c r="D44" s="133" t="s">
        <v>477</v>
      </c>
      <c r="E44" s="158">
        <v>6</v>
      </c>
      <c r="F44" s="158">
        <v>0</v>
      </c>
      <c r="G44" s="158">
        <v>0</v>
      </c>
      <c r="H44" s="133" t="s">
        <v>479</v>
      </c>
      <c r="I44" s="133" t="s">
        <v>479</v>
      </c>
      <c r="J44" s="158">
        <v>1</v>
      </c>
      <c r="K44" s="159" t="str">
        <f ca="1">IFERROR(__xludf.DUMMYFUNCTION("GOOGLETRANSLATE(H44,""th"",""en"")"),"Null")</f>
        <v>Null</v>
      </c>
    </row>
    <row r="45" spans="1:11" ht="15.75" hidden="1" customHeight="1">
      <c r="A45" s="133" t="s">
        <v>7</v>
      </c>
      <c r="B45" s="133" t="s">
        <v>219</v>
      </c>
      <c r="C45" s="133" t="s">
        <v>550</v>
      </c>
      <c r="D45" s="133" t="s">
        <v>484</v>
      </c>
      <c r="E45" s="158">
        <v>4</v>
      </c>
      <c r="F45" s="158">
        <v>10</v>
      </c>
      <c r="G45" s="158">
        <v>0</v>
      </c>
      <c r="H45" s="133" t="s">
        <v>479</v>
      </c>
      <c r="I45" s="133" t="s">
        <v>479</v>
      </c>
      <c r="J45" s="158">
        <v>1</v>
      </c>
      <c r="K45" s="159" t="str">
        <f ca="1">IFERROR(__xludf.DUMMYFUNCTION("GOOGLETRANSLATE(H45,""th"",""en"")"),"Null")</f>
        <v>Null</v>
      </c>
    </row>
    <row r="46" spans="1:11" ht="15.75" hidden="1" customHeight="1">
      <c r="A46" s="133" t="s">
        <v>7</v>
      </c>
      <c r="B46" s="133" t="s">
        <v>219</v>
      </c>
      <c r="C46" s="133" t="s">
        <v>551</v>
      </c>
      <c r="D46" s="133" t="s">
        <v>477</v>
      </c>
      <c r="E46" s="158">
        <v>10</v>
      </c>
      <c r="F46" s="158">
        <v>0</v>
      </c>
      <c r="G46" s="158">
        <v>0</v>
      </c>
      <c r="H46" s="133" t="s">
        <v>479</v>
      </c>
      <c r="I46" s="133" t="s">
        <v>479</v>
      </c>
      <c r="J46" s="158">
        <v>1</v>
      </c>
      <c r="K46" s="159" t="str">
        <f ca="1">IFERROR(__xludf.DUMMYFUNCTION("GOOGLETRANSLATE(H46,""th"",""en"")"),"Null")</f>
        <v>Null</v>
      </c>
    </row>
    <row r="47" spans="1:11" ht="15.75" hidden="1" customHeight="1">
      <c r="A47" s="133" t="s">
        <v>7</v>
      </c>
      <c r="B47" s="133" t="s">
        <v>219</v>
      </c>
      <c r="C47" s="133" t="s">
        <v>552</v>
      </c>
      <c r="D47" s="133" t="s">
        <v>538</v>
      </c>
      <c r="E47" s="158">
        <v>8</v>
      </c>
      <c r="F47" s="158">
        <v>23</v>
      </c>
      <c r="G47" s="158">
        <v>3</v>
      </c>
      <c r="H47" s="133" t="s">
        <v>479</v>
      </c>
      <c r="I47" s="133" t="s">
        <v>479</v>
      </c>
      <c r="J47" s="158">
        <v>1</v>
      </c>
      <c r="K47" s="159" t="str">
        <f ca="1">IFERROR(__xludf.DUMMYFUNCTION("GOOGLETRANSLATE(H47,""th"",""en"")"),"Null")</f>
        <v>Null</v>
      </c>
    </row>
    <row r="48" spans="1:11" ht="15.75" hidden="1" customHeight="1">
      <c r="A48" s="133" t="s">
        <v>7</v>
      </c>
      <c r="B48" s="133" t="s">
        <v>219</v>
      </c>
      <c r="C48" s="133" t="s">
        <v>553</v>
      </c>
      <c r="D48" s="133" t="s">
        <v>477</v>
      </c>
      <c r="E48" s="158">
        <v>1</v>
      </c>
      <c r="F48" s="158">
        <v>0</v>
      </c>
      <c r="G48" s="158">
        <v>0</v>
      </c>
      <c r="H48" s="133" t="s">
        <v>479</v>
      </c>
      <c r="I48" s="133" t="s">
        <v>479</v>
      </c>
      <c r="J48" s="158">
        <v>1</v>
      </c>
      <c r="K48" s="159" t="str">
        <f ca="1">IFERROR(__xludf.DUMMYFUNCTION("GOOGLETRANSLATE(H48,""th"",""en"")"),"Null")</f>
        <v>Null</v>
      </c>
    </row>
    <row r="49" spans="1:11" ht="15.75" hidden="1" customHeight="1">
      <c r="A49" s="133" t="s">
        <v>7</v>
      </c>
      <c r="B49" s="133" t="s">
        <v>219</v>
      </c>
      <c r="C49" s="133" t="s">
        <v>554</v>
      </c>
      <c r="D49" s="133" t="s">
        <v>477</v>
      </c>
      <c r="E49" s="158">
        <v>40</v>
      </c>
      <c r="F49" s="158">
        <v>0</v>
      </c>
      <c r="G49" s="158">
        <v>0</v>
      </c>
      <c r="H49" s="133" t="s">
        <v>479</v>
      </c>
      <c r="I49" s="133" t="s">
        <v>479</v>
      </c>
      <c r="J49" s="158">
        <v>1</v>
      </c>
      <c r="K49" s="159" t="str">
        <f ca="1">IFERROR(__xludf.DUMMYFUNCTION("GOOGLETRANSLATE(H49,""th"",""en"")"),"Null")</f>
        <v>Null</v>
      </c>
    </row>
    <row r="50" spans="1:11" ht="15.75" hidden="1" customHeight="1">
      <c r="A50" s="133" t="s">
        <v>7</v>
      </c>
      <c r="B50" s="133" t="s">
        <v>219</v>
      </c>
      <c r="C50" s="133" t="s">
        <v>521</v>
      </c>
      <c r="D50" s="133" t="s">
        <v>477</v>
      </c>
      <c r="E50" s="158">
        <v>8</v>
      </c>
      <c r="F50" s="158">
        <v>0</v>
      </c>
      <c r="G50" s="158">
        <v>0</v>
      </c>
      <c r="H50" s="133" t="s">
        <v>479</v>
      </c>
      <c r="I50" s="133" t="s">
        <v>479</v>
      </c>
      <c r="J50" s="158">
        <v>1</v>
      </c>
      <c r="K50" s="159" t="str">
        <f ca="1">IFERROR(__xludf.DUMMYFUNCTION("GOOGLETRANSLATE(H50,""th"",""en"")"),"Null")</f>
        <v>Null</v>
      </c>
    </row>
    <row r="51" spans="1:11" ht="15.75" hidden="1" customHeight="1">
      <c r="A51" s="133" t="s">
        <v>7</v>
      </c>
      <c r="B51" s="133" t="s">
        <v>219</v>
      </c>
      <c r="C51" s="133" t="s">
        <v>523</v>
      </c>
      <c r="D51" s="133" t="s">
        <v>477</v>
      </c>
      <c r="E51" s="158">
        <v>8</v>
      </c>
      <c r="F51" s="158">
        <v>0</v>
      </c>
      <c r="G51" s="158">
        <v>0</v>
      </c>
      <c r="H51" s="133" t="s">
        <v>479</v>
      </c>
      <c r="I51" s="133" t="s">
        <v>479</v>
      </c>
      <c r="J51" s="158">
        <v>1</v>
      </c>
      <c r="K51" s="159" t="str">
        <f ca="1">IFERROR(__xludf.DUMMYFUNCTION("GOOGLETRANSLATE(H51,""th"",""en"")"),"Null")</f>
        <v>Null</v>
      </c>
    </row>
    <row r="52" spans="1:11" ht="15.75" hidden="1" customHeight="1">
      <c r="A52" s="133" t="s">
        <v>7</v>
      </c>
      <c r="B52" s="133" t="s">
        <v>219</v>
      </c>
      <c r="C52" s="133" t="s">
        <v>215</v>
      </c>
      <c r="D52" s="133" t="s">
        <v>538</v>
      </c>
      <c r="E52" s="158">
        <v>8</v>
      </c>
      <c r="F52" s="158">
        <v>23</v>
      </c>
      <c r="G52" s="158">
        <v>3</v>
      </c>
      <c r="H52" s="133" t="s">
        <v>479</v>
      </c>
      <c r="I52" s="133" t="s">
        <v>479</v>
      </c>
      <c r="J52" s="158">
        <v>1</v>
      </c>
      <c r="K52" s="159" t="str">
        <f ca="1">IFERROR(__xludf.DUMMYFUNCTION("GOOGLETRANSLATE(H52,""th"",""en"")"),"Null")</f>
        <v>Null</v>
      </c>
    </row>
    <row r="53" spans="1:11" ht="15.75" hidden="1" customHeight="1">
      <c r="A53" s="133" t="s">
        <v>7</v>
      </c>
      <c r="B53" s="133" t="s">
        <v>219</v>
      </c>
      <c r="C53" s="133" t="s">
        <v>555</v>
      </c>
      <c r="D53" s="133" t="s">
        <v>477</v>
      </c>
      <c r="E53" s="158">
        <v>1</v>
      </c>
      <c r="F53" s="158">
        <v>0</v>
      </c>
      <c r="G53" s="158">
        <v>0</v>
      </c>
      <c r="H53" s="133" t="s">
        <v>479</v>
      </c>
      <c r="I53" s="133" t="s">
        <v>479</v>
      </c>
      <c r="J53" s="158">
        <v>1</v>
      </c>
      <c r="K53" s="159" t="str">
        <f ca="1">IFERROR(__xludf.DUMMYFUNCTION("GOOGLETRANSLATE(H53,""th"",""en"")"),"Null")</f>
        <v>Null</v>
      </c>
    </row>
    <row r="54" spans="1:11" ht="15.75" hidden="1" customHeight="1">
      <c r="A54" s="133" t="s">
        <v>7</v>
      </c>
      <c r="B54" s="133" t="s">
        <v>219</v>
      </c>
      <c r="C54" s="133" t="s">
        <v>556</v>
      </c>
      <c r="D54" s="133" t="s">
        <v>477</v>
      </c>
      <c r="E54" s="158">
        <v>2</v>
      </c>
      <c r="F54" s="158">
        <v>0</v>
      </c>
      <c r="G54" s="158">
        <v>0</v>
      </c>
      <c r="H54" s="133" t="s">
        <v>479</v>
      </c>
      <c r="I54" s="133" t="s">
        <v>479</v>
      </c>
      <c r="J54" s="158">
        <v>1</v>
      </c>
      <c r="K54" s="159" t="str">
        <f ca="1">IFERROR(__xludf.DUMMYFUNCTION("GOOGLETRANSLATE(H54,""th"",""en"")"),"Null")</f>
        <v>Null</v>
      </c>
    </row>
    <row r="55" spans="1:11" ht="15.75" hidden="1" customHeight="1">
      <c r="A55" s="133" t="s">
        <v>7</v>
      </c>
      <c r="B55" s="133" t="s">
        <v>219</v>
      </c>
      <c r="C55" s="133" t="s">
        <v>557</v>
      </c>
      <c r="D55" s="133" t="s">
        <v>477</v>
      </c>
      <c r="E55" s="158">
        <v>100</v>
      </c>
      <c r="F55" s="158">
        <v>0</v>
      </c>
      <c r="G55" s="158">
        <v>0</v>
      </c>
      <c r="H55" s="133" t="s">
        <v>479</v>
      </c>
      <c r="I55" s="133" t="s">
        <v>479</v>
      </c>
      <c r="J55" s="158">
        <v>1</v>
      </c>
      <c r="K55" s="159" t="str">
        <f ca="1">IFERROR(__xludf.DUMMYFUNCTION("GOOGLETRANSLATE(H55,""th"",""en"")"),"Null")</f>
        <v>Null</v>
      </c>
    </row>
    <row r="56" spans="1:11" ht="15.75" hidden="1" customHeight="1">
      <c r="A56" s="133" t="s">
        <v>7</v>
      </c>
      <c r="B56" s="133" t="s">
        <v>219</v>
      </c>
      <c r="C56" s="133" t="s">
        <v>558</v>
      </c>
      <c r="D56" s="133" t="s">
        <v>496</v>
      </c>
      <c r="E56" s="158">
        <v>4</v>
      </c>
      <c r="F56" s="158">
        <v>16</v>
      </c>
      <c r="G56" s="158">
        <v>0</v>
      </c>
      <c r="H56" s="133" t="s">
        <v>479</v>
      </c>
      <c r="I56" s="133" t="s">
        <v>479</v>
      </c>
      <c r="J56" s="158">
        <v>1</v>
      </c>
      <c r="K56" s="159" t="str">
        <f ca="1">IFERROR(__xludf.DUMMYFUNCTION("GOOGLETRANSLATE(H56,""th"",""en"")"),"Null")</f>
        <v>Null</v>
      </c>
    </row>
    <row r="57" spans="1:11" ht="15.75" hidden="1" customHeight="1">
      <c r="A57" s="133" t="s">
        <v>7</v>
      </c>
      <c r="B57" s="133" t="s">
        <v>219</v>
      </c>
      <c r="C57" s="133" t="s">
        <v>559</v>
      </c>
      <c r="D57" s="133" t="s">
        <v>477</v>
      </c>
      <c r="E57" s="158">
        <v>55</v>
      </c>
      <c r="F57" s="158">
        <v>0</v>
      </c>
      <c r="G57" s="158">
        <v>0</v>
      </c>
      <c r="H57" s="133" t="s">
        <v>560</v>
      </c>
      <c r="I57" s="133" t="s">
        <v>479</v>
      </c>
      <c r="J57" s="158">
        <v>1</v>
      </c>
      <c r="K57" s="159" t="str">
        <f ca="1">IFERROR(__xludf.DUMMYFUNCTION("GOOGLETRANSLATE(H57,""th"",""en"")"),"Bill Address 1")</f>
        <v>Bill Address 1</v>
      </c>
    </row>
    <row r="58" spans="1:11" ht="15.75" hidden="1" customHeight="1">
      <c r="A58" s="133" t="s">
        <v>7</v>
      </c>
      <c r="B58" s="133" t="s">
        <v>219</v>
      </c>
      <c r="C58" s="133" t="s">
        <v>561</v>
      </c>
      <c r="D58" s="133" t="s">
        <v>477</v>
      </c>
      <c r="E58" s="158">
        <v>110</v>
      </c>
      <c r="F58" s="158">
        <v>0</v>
      </c>
      <c r="G58" s="158">
        <v>0</v>
      </c>
      <c r="H58" s="133" t="s">
        <v>562</v>
      </c>
      <c r="I58" s="133" t="s">
        <v>479</v>
      </c>
      <c r="J58" s="158">
        <v>1</v>
      </c>
      <c r="K58" s="159" t="str">
        <f ca="1">IFERROR(__xludf.DUMMYFUNCTION("GOOGLETRANSLATE(H58,""th"",""en"")"),"Bill Address2")</f>
        <v>Bill Address2</v>
      </c>
    </row>
    <row r="59" spans="1:11" ht="15.75" hidden="1" customHeight="1">
      <c r="A59" s="133" t="s">
        <v>7</v>
      </c>
      <c r="B59" s="133" t="s">
        <v>219</v>
      </c>
      <c r="C59" s="133" t="s">
        <v>563</v>
      </c>
      <c r="D59" s="133" t="s">
        <v>477</v>
      </c>
      <c r="E59" s="158">
        <v>55</v>
      </c>
      <c r="F59" s="158">
        <v>0</v>
      </c>
      <c r="G59" s="158">
        <v>0</v>
      </c>
      <c r="H59" s="133" t="s">
        <v>564</v>
      </c>
      <c r="I59" s="133" t="s">
        <v>479</v>
      </c>
      <c r="J59" s="158">
        <v>1</v>
      </c>
      <c r="K59" s="159" t="str">
        <f ca="1">IFERROR(__xludf.DUMMYFUNCTION("GOOGLETRANSLATE(H59,""th"",""en"")"),"Bill Address3")</f>
        <v>Bill Address3</v>
      </c>
    </row>
    <row r="60" spans="1:11" ht="15.75" hidden="1" customHeight="1">
      <c r="A60" s="133" t="s">
        <v>7</v>
      </c>
      <c r="B60" s="133" t="s">
        <v>219</v>
      </c>
      <c r="C60" s="133" t="s">
        <v>565</v>
      </c>
      <c r="D60" s="133" t="s">
        <v>477</v>
      </c>
      <c r="E60" s="158">
        <v>55</v>
      </c>
      <c r="F60" s="158">
        <v>0</v>
      </c>
      <c r="G60" s="158">
        <v>0</v>
      </c>
      <c r="H60" s="133" t="s">
        <v>566</v>
      </c>
      <c r="I60" s="133" t="s">
        <v>479</v>
      </c>
      <c r="J60" s="158">
        <v>1</v>
      </c>
      <c r="K60" s="159" t="str">
        <f ca="1">IFERROR(__xludf.DUMMYFUNCTION("GOOGLETRANSLATE(H60,""th"",""en"")"),"Bill Address4")</f>
        <v>Bill Address4</v>
      </c>
    </row>
    <row r="61" spans="1:11" ht="15.75" hidden="1" customHeight="1">
      <c r="A61" s="133" t="s">
        <v>7</v>
      </c>
      <c r="B61" s="133" t="s">
        <v>219</v>
      </c>
      <c r="C61" s="133" t="s">
        <v>567</v>
      </c>
      <c r="D61" s="133" t="s">
        <v>477</v>
      </c>
      <c r="E61" s="158">
        <v>55</v>
      </c>
      <c r="F61" s="158">
        <v>0</v>
      </c>
      <c r="G61" s="158">
        <v>0</v>
      </c>
      <c r="H61" s="133" t="s">
        <v>568</v>
      </c>
      <c r="I61" s="133" t="s">
        <v>479</v>
      </c>
      <c r="J61" s="158">
        <v>1</v>
      </c>
      <c r="K61" s="159" t="str">
        <f ca="1">IFERROR(__xludf.DUMMYFUNCTION("GOOGLETRANSLATE(H61,""th"",""en"")"),"Bill Address5")</f>
        <v>Bill Address5</v>
      </c>
    </row>
    <row r="62" spans="1:11" ht="15.75" hidden="1" customHeight="1">
      <c r="A62" s="133" t="s">
        <v>7</v>
      </c>
      <c r="B62" s="133" t="s">
        <v>219</v>
      </c>
      <c r="C62" s="133" t="s">
        <v>569</v>
      </c>
      <c r="D62" s="133" t="s">
        <v>477</v>
      </c>
      <c r="E62" s="158">
        <v>120</v>
      </c>
      <c r="F62" s="158">
        <v>0</v>
      </c>
      <c r="G62" s="158">
        <v>0</v>
      </c>
      <c r="H62" s="133" t="s">
        <v>570</v>
      </c>
      <c r="I62" s="133" t="s">
        <v>479</v>
      </c>
      <c r="J62" s="158">
        <v>1</v>
      </c>
      <c r="K62" s="159" t="str">
        <f ca="1">IFERROR(__xludf.DUMMYFUNCTION("GOOGLETRANSLATE(H62,""th"",""en"")"),"Customer Remark1")</f>
        <v>Customer Remark1</v>
      </c>
    </row>
    <row r="63" spans="1:11" ht="15.75" hidden="1" customHeight="1">
      <c r="A63" s="133" t="s">
        <v>7</v>
      </c>
      <c r="B63" s="133" t="s">
        <v>219</v>
      </c>
      <c r="C63" s="133" t="s">
        <v>571</v>
      </c>
      <c r="D63" s="133" t="s">
        <v>477</v>
      </c>
      <c r="E63" s="158">
        <v>120</v>
      </c>
      <c r="F63" s="158">
        <v>0</v>
      </c>
      <c r="G63" s="158">
        <v>0</v>
      </c>
      <c r="H63" s="133" t="s">
        <v>572</v>
      </c>
      <c r="I63" s="133" t="s">
        <v>479</v>
      </c>
      <c r="J63" s="158">
        <v>1</v>
      </c>
      <c r="K63" s="159" t="str">
        <f ca="1">IFERROR(__xludf.DUMMYFUNCTION("GOOGLETRANSLATE(H63,""th"",""en"")"),"Customer Remark2")</f>
        <v>Customer Remark2</v>
      </c>
    </row>
    <row r="64" spans="1:11" ht="15.75" hidden="1" customHeight="1">
      <c r="A64" s="133" t="s">
        <v>7</v>
      </c>
      <c r="B64" s="133" t="s">
        <v>219</v>
      </c>
      <c r="C64" s="133" t="s">
        <v>573</v>
      </c>
      <c r="D64" s="133" t="s">
        <v>477</v>
      </c>
      <c r="E64" s="158">
        <v>120</v>
      </c>
      <c r="F64" s="158">
        <v>0</v>
      </c>
      <c r="G64" s="158">
        <v>0</v>
      </c>
      <c r="H64" s="133" t="s">
        <v>574</v>
      </c>
      <c r="I64" s="133" t="s">
        <v>479</v>
      </c>
      <c r="J64" s="158">
        <v>1</v>
      </c>
      <c r="K64" s="159" t="str">
        <f ca="1">IFERROR(__xludf.DUMMYFUNCTION("GOOGLETRANSLATE(H64,""th"",""en"")"),"Customer Remark3")</f>
        <v>Customer Remark3</v>
      </c>
    </row>
    <row r="65" spans="1:11" ht="15.75" hidden="1" customHeight="1">
      <c r="A65" s="133" t="s">
        <v>7</v>
      </c>
      <c r="B65" s="133" t="s">
        <v>219</v>
      </c>
      <c r="C65" s="133" t="s">
        <v>575</v>
      </c>
      <c r="D65" s="133" t="s">
        <v>477</v>
      </c>
      <c r="E65" s="158">
        <v>120</v>
      </c>
      <c r="F65" s="158">
        <v>0</v>
      </c>
      <c r="G65" s="158">
        <v>0</v>
      </c>
      <c r="H65" s="133" t="s">
        <v>576</v>
      </c>
      <c r="I65" s="133" t="s">
        <v>479</v>
      </c>
      <c r="J65" s="158">
        <v>1</v>
      </c>
      <c r="K65" s="159" t="str">
        <f ca="1">IFERROR(__xludf.DUMMYFUNCTION("GOOGLETRANSLATE(H65,""th"",""en"")"),"Customer Remark4")</f>
        <v>Customer Remark4</v>
      </c>
    </row>
    <row r="66" spans="1:11" ht="15.75" hidden="1" customHeight="1">
      <c r="A66" s="133" t="s">
        <v>7</v>
      </c>
      <c r="B66" s="133" t="s">
        <v>219</v>
      </c>
      <c r="C66" s="133" t="s">
        <v>577</v>
      </c>
      <c r="D66" s="133" t="s">
        <v>477</v>
      </c>
      <c r="E66" s="158">
        <v>7</v>
      </c>
      <c r="F66" s="158">
        <v>0</v>
      </c>
      <c r="G66" s="158">
        <v>0</v>
      </c>
      <c r="H66" s="133" t="s">
        <v>578</v>
      </c>
      <c r="I66" s="133" t="s">
        <v>479</v>
      </c>
      <c r="J66" s="158">
        <v>1</v>
      </c>
      <c r="K66" s="159" t="str">
        <f ca="1">IFERROR(__xludf.DUMMYFUNCTION("GOOGLETRANSLATE(H66,""th"",""en"")"),"Bill AreaCode")</f>
        <v>Bill AreaCode</v>
      </c>
    </row>
    <row r="67" spans="1:11" ht="15.75" hidden="1" customHeight="1">
      <c r="A67" s="133" t="s">
        <v>7</v>
      </c>
      <c r="B67" s="133" t="s">
        <v>219</v>
      </c>
      <c r="C67" s="133" t="s">
        <v>579</v>
      </c>
      <c r="D67" s="133" t="s">
        <v>491</v>
      </c>
      <c r="E67" s="158">
        <v>1</v>
      </c>
      <c r="F67" s="158">
        <v>0</v>
      </c>
      <c r="G67" s="158">
        <v>0</v>
      </c>
      <c r="H67" s="133" t="s">
        <v>580</v>
      </c>
      <c r="I67" s="133" t="s">
        <v>479</v>
      </c>
      <c r="J67" s="158">
        <v>1</v>
      </c>
      <c r="K67" s="159" t="str">
        <f ca="1">IFERROR(__xludf.DUMMYFUNCTION("GOOGLETRANSLATE(H67,""th"",""en"")"),"Bill Attach Po Flag")</f>
        <v>Bill Attach Po Flag</v>
      </c>
    </row>
    <row r="68" spans="1:11" ht="15.75" hidden="1" customHeight="1">
      <c r="A68" s="133" t="s">
        <v>7</v>
      </c>
      <c r="B68" s="133" t="s">
        <v>219</v>
      </c>
      <c r="C68" s="133" t="s">
        <v>581</v>
      </c>
      <c r="D68" s="133" t="s">
        <v>491</v>
      </c>
      <c r="E68" s="158">
        <v>1</v>
      </c>
      <c r="F68" s="158">
        <v>0</v>
      </c>
      <c r="G68" s="158">
        <v>0</v>
      </c>
      <c r="H68" s="133" t="s">
        <v>582</v>
      </c>
      <c r="I68" s="133" t="s">
        <v>479</v>
      </c>
      <c r="J68" s="158">
        <v>1</v>
      </c>
      <c r="K68" s="159" t="str">
        <f ca="1">IFERROR(__xludf.DUMMYFUNCTION("GOOGLETRANSLATE(H68,""th"",""en"")"),"Use Payment Slip Flag")</f>
        <v>Use Payment Slip Flag</v>
      </c>
    </row>
    <row r="69" spans="1:11" ht="15.75" hidden="1" customHeight="1">
      <c r="A69" s="133" t="s">
        <v>7</v>
      </c>
      <c r="B69" s="133" t="s">
        <v>219</v>
      </c>
      <c r="C69" s="133" t="s">
        <v>583</v>
      </c>
      <c r="D69" s="133" t="s">
        <v>477</v>
      </c>
      <c r="E69" s="158">
        <v>7</v>
      </c>
      <c r="F69" s="158">
        <v>0</v>
      </c>
      <c r="G69" s="158">
        <v>0</v>
      </c>
      <c r="H69" s="133" t="s">
        <v>584</v>
      </c>
      <c r="I69" s="133" t="s">
        <v>479</v>
      </c>
      <c r="J69" s="158">
        <v>1</v>
      </c>
      <c r="K69" s="159" t="str">
        <f ca="1">IFERROR(__xludf.DUMMYFUNCTION("GOOGLETRANSLATE(H69,""th"",""en"")"),"Reptsale ID")</f>
        <v>Reptsale ID</v>
      </c>
    </row>
    <row r="70" spans="1:11" ht="15.75" hidden="1" customHeight="1">
      <c r="A70" s="133" t="s">
        <v>7</v>
      </c>
      <c r="B70" s="133" t="s">
        <v>219</v>
      </c>
      <c r="C70" s="133" t="s">
        <v>585</v>
      </c>
      <c r="D70" s="133" t="s">
        <v>477</v>
      </c>
      <c r="E70" s="158">
        <v>4</v>
      </c>
      <c r="F70" s="158">
        <v>0</v>
      </c>
      <c r="G70" s="158">
        <v>0</v>
      </c>
      <c r="H70" s="133" t="s">
        <v>586</v>
      </c>
      <c r="I70" s="133" t="s">
        <v>479</v>
      </c>
      <c r="J70" s="158">
        <v>1</v>
      </c>
      <c r="K70" s="159" t="str">
        <f ca="1">IFERROR(__xludf.DUMMYFUNCTION("GOOGLETRANSLATE(H70,""th"",""en"")"),"Bill Main Zone")</f>
        <v>Bill Main Zone</v>
      </c>
    </row>
    <row r="71" spans="1:11" ht="15.75" hidden="1" customHeight="1">
      <c r="A71" s="133" t="s">
        <v>7</v>
      </c>
      <c r="B71" s="133" t="s">
        <v>219</v>
      </c>
      <c r="C71" s="133" t="s">
        <v>587</v>
      </c>
      <c r="D71" s="133" t="s">
        <v>477</v>
      </c>
      <c r="E71" s="158">
        <v>4</v>
      </c>
      <c r="F71" s="158">
        <v>0</v>
      </c>
      <c r="G71" s="158">
        <v>0</v>
      </c>
      <c r="H71" s="133" t="s">
        <v>588</v>
      </c>
      <c r="I71" s="133" t="s">
        <v>479</v>
      </c>
      <c r="J71" s="158">
        <v>1</v>
      </c>
      <c r="K71" s="159" t="str">
        <f ca="1">IFERROR(__xludf.DUMMYFUNCTION("GOOGLETRANSLATE(H71,""th"",""en"")"),"CHEGE Main Zone")</f>
        <v>CHEGE Main Zone</v>
      </c>
    </row>
    <row r="72" spans="1:11" ht="15.75" hidden="1" customHeight="1">
      <c r="A72" s="133" t="s">
        <v>7</v>
      </c>
      <c r="B72" s="133" t="s">
        <v>219</v>
      </c>
      <c r="C72" s="133" t="s">
        <v>589</v>
      </c>
      <c r="D72" s="133" t="s">
        <v>477</v>
      </c>
      <c r="E72" s="158">
        <v>7</v>
      </c>
      <c r="F72" s="158">
        <v>0</v>
      </c>
      <c r="G72" s="158">
        <v>0</v>
      </c>
      <c r="H72" s="133" t="s">
        <v>590</v>
      </c>
      <c r="I72" s="133" t="s">
        <v>479</v>
      </c>
      <c r="J72" s="158">
        <v>1</v>
      </c>
      <c r="K72" s="159" t="str">
        <f ca="1">IFERROR(__xludf.DUMMYFUNCTION("GOOGLETRANSLATE(H72,""th"",""en"")"),"CHEQUE AREA CODE")</f>
        <v>CHEQUE AREA CODE</v>
      </c>
    </row>
    <row r="73" spans="1:11" ht="15.75" hidden="1" customHeight="1">
      <c r="A73" s="133" t="s">
        <v>7</v>
      </c>
      <c r="B73" s="133" t="s">
        <v>219</v>
      </c>
      <c r="C73" s="133" t="s">
        <v>591</v>
      </c>
      <c r="D73" s="133" t="s">
        <v>477</v>
      </c>
      <c r="E73" s="158">
        <v>7</v>
      </c>
      <c r="F73" s="158">
        <v>0</v>
      </c>
      <c r="G73" s="158">
        <v>0</v>
      </c>
      <c r="H73" s="133" t="s">
        <v>479</v>
      </c>
      <c r="I73" s="133" t="s">
        <v>479</v>
      </c>
      <c r="J73" s="158">
        <v>1</v>
      </c>
      <c r="K73" s="159" t="str">
        <f ca="1">IFERROR(__xludf.DUMMYFUNCTION("GOOGLETRANSLATE(H73,""th"",""en"")"),"Null")</f>
        <v>Null</v>
      </c>
    </row>
    <row r="74" spans="1:11" ht="15.75" hidden="1" customHeight="1">
      <c r="A74" s="133" t="s">
        <v>7</v>
      </c>
      <c r="B74" s="133" t="s">
        <v>219</v>
      </c>
      <c r="C74" s="133" t="s">
        <v>592</v>
      </c>
      <c r="D74" s="133" t="s">
        <v>477</v>
      </c>
      <c r="E74" s="158">
        <v>6</v>
      </c>
      <c r="F74" s="158">
        <v>0</v>
      </c>
      <c r="G74" s="158">
        <v>0</v>
      </c>
      <c r="H74" s="133" t="s">
        <v>479</v>
      </c>
      <c r="I74" s="133" t="s">
        <v>479</v>
      </c>
      <c r="J74" s="158">
        <v>1</v>
      </c>
      <c r="K74" s="159" t="str">
        <f ca="1">IFERROR(__xludf.DUMMYFUNCTION("GOOGLETRANSLATE(H74,""th"",""en"")"),"Null")</f>
        <v>Null</v>
      </c>
    </row>
    <row r="75" spans="1:11" ht="15.75" hidden="1" customHeight="1">
      <c r="A75" s="133" t="s">
        <v>7</v>
      </c>
      <c r="B75" s="133" t="s">
        <v>219</v>
      </c>
      <c r="C75" s="133" t="s">
        <v>593</v>
      </c>
      <c r="D75" s="133" t="s">
        <v>477</v>
      </c>
      <c r="E75" s="158">
        <v>7</v>
      </c>
      <c r="F75" s="158">
        <v>0</v>
      </c>
      <c r="G75" s="158">
        <v>0</v>
      </c>
      <c r="H75" s="133" t="s">
        <v>479</v>
      </c>
      <c r="I75" s="133" t="s">
        <v>548</v>
      </c>
      <c r="J75" s="158">
        <v>0</v>
      </c>
      <c r="K75" s="159" t="str">
        <f ca="1">IFERROR(__xludf.DUMMYFUNCTION("GOOGLETRANSLATE(H75,""th"",""en"")"),"Null")</f>
        <v>Null</v>
      </c>
    </row>
    <row r="76" spans="1:11" ht="15.75" hidden="1" customHeight="1">
      <c r="A76" s="133" t="s">
        <v>7</v>
      </c>
      <c r="B76" s="133" t="s">
        <v>219</v>
      </c>
      <c r="C76" s="133" t="s">
        <v>594</v>
      </c>
      <c r="D76" s="133" t="s">
        <v>477</v>
      </c>
      <c r="E76" s="158">
        <v>4</v>
      </c>
      <c r="F76" s="158">
        <v>0</v>
      </c>
      <c r="G76" s="158">
        <v>0</v>
      </c>
      <c r="H76" s="133" t="s">
        <v>479</v>
      </c>
      <c r="I76" s="133" t="s">
        <v>548</v>
      </c>
      <c r="J76" s="158">
        <v>0</v>
      </c>
      <c r="K76" s="159" t="str">
        <f ca="1">IFERROR(__xludf.DUMMYFUNCTION("GOOGLETRANSLATE(H76,""th"",""en"")"),"Null")</f>
        <v>Null</v>
      </c>
    </row>
    <row r="77" spans="1:11" ht="15.75" hidden="1" customHeight="1">
      <c r="A77" s="133" t="s">
        <v>7</v>
      </c>
      <c r="B77" s="133" t="s">
        <v>219</v>
      </c>
      <c r="C77" s="133" t="s">
        <v>595</v>
      </c>
      <c r="D77" s="133" t="s">
        <v>477</v>
      </c>
      <c r="E77" s="158">
        <v>3</v>
      </c>
      <c r="F77" s="158">
        <v>0</v>
      </c>
      <c r="G77" s="158">
        <v>0</v>
      </c>
      <c r="H77" s="133" t="s">
        <v>479</v>
      </c>
      <c r="I77" s="133" t="s">
        <v>596</v>
      </c>
      <c r="J77" s="158">
        <v>0</v>
      </c>
      <c r="K77" s="159" t="str">
        <f ca="1">IFERROR(__xludf.DUMMYFUNCTION("GOOGLETRANSLATE(H77,""th"",""en"")"),"Null")</f>
        <v>Null</v>
      </c>
    </row>
    <row r="78" spans="1:11" ht="15.75" hidden="1" customHeight="1">
      <c r="A78" s="133" t="s">
        <v>7</v>
      </c>
      <c r="B78" s="133" t="s">
        <v>222</v>
      </c>
      <c r="C78" s="133" t="s">
        <v>228</v>
      </c>
      <c r="D78" s="133" t="s">
        <v>477</v>
      </c>
      <c r="E78" s="158">
        <v>16</v>
      </c>
      <c r="F78" s="158">
        <v>0</v>
      </c>
      <c r="G78" s="158">
        <v>0</v>
      </c>
      <c r="H78" s="133" t="s">
        <v>597</v>
      </c>
      <c r="I78" s="133" t="s">
        <v>479</v>
      </c>
      <c r="J78" s="158">
        <v>0</v>
      </c>
      <c r="K78" s="159" t="str">
        <f ca="1">IFERROR(__xludf.DUMMYFUNCTION("GOOGLETRANSLATE(H78,""th"",""en"")"),"Voucher no.")</f>
        <v>Voucher no.</v>
      </c>
    </row>
    <row r="79" spans="1:11" ht="15.75" hidden="1" customHeight="1">
      <c r="A79" s="133" t="s">
        <v>7</v>
      </c>
      <c r="B79" s="133" t="s">
        <v>222</v>
      </c>
      <c r="C79" s="133" t="s">
        <v>598</v>
      </c>
      <c r="D79" s="133" t="s">
        <v>477</v>
      </c>
      <c r="E79" s="158">
        <v>10</v>
      </c>
      <c r="F79" s="158">
        <v>0</v>
      </c>
      <c r="G79" s="158">
        <v>0</v>
      </c>
      <c r="H79" s="133" t="s">
        <v>478</v>
      </c>
      <c r="I79" s="133" t="s">
        <v>479</v>
      </c>
      <c r="J79" s="158">
        <v>0</v>
      </c>
      <c r="K79" s="159" t="str">
        <f ca="1">IFERROR(__xludf.DUMMYFUNCTION("GOOGLETRANSLATE(H79,""th"",""en"")"),"Voucher no. (Format: AP / YYYY-MM)")</f>
        <v>Voucher no. (Format: AP / YYYY-MM)</v>
      </c>
    </row>
    <row r="80" spans="1:11" ht="15.75" hidden="1" customHeight="1">
      <c r="A80" s="133" t="s">
        <v>7</v>
      </c>
      <c r="B80" s="133" t="s">
        <v>222</v>
      </c>
      <c r="C80" s="133" t="s">
        <v>599</v>
      </c>
      <c r="D80" s="133" t="s">
        <v>484</v>
      </c>
      <c r="E80" s="158">
        <v>4</v>
      </c>
      <c r="F80" s="158">
        <v>10</v>
      </c>
      <c r="G80" s="158">
        <v>0</v>
      </c>
      <c r="H80" s="133" t="s">
        <v>482</v>
      </c>
      <c r="I80" s="133" t="s">
        <v>479</v>
      </c>
      <c r="J80" s="158">
        <v>0</v>
      </c>
      <c r="K80" s="159" t="str">
        <f ca="1">IFERROR(__xludf.DUMMYFUNCTION("GOOGLETRANSLATE(H80,""th"",""en"")"),"Sequence no. (Running NO)")</f>
        <v>Sequence no. (Running NO)</v>
      </c>
    </row>
    <row r="81" spans="1:11" ht="15.75" hidden="1" customHeight="1">
      <c r="A81" s="133" t="s">
        <v>7</v>
      </c>
      <c r="B81" s="133" t="s">
        <v>222</v>
      </c>
      <c r="C81" s="133" t="s">
        <v>551</v>
      </c>
      <c r="D81" s="133" t="s">
        <v>477</v>
      </c>
      <c r="E81" s="158">
        <v>10</v>
      </c>
      <c r="F81" s="158">
        <v>0</v>
      </c>
      <c r="G81" s="158">
        <v>0</v>
      </c>
      <c r="H81" s="133" t="s">
        <v>600</v>
      </c>
      <c r="I81" s="133" t="s">
        <v>479</v>
      </c>
      <c r="J81" s="158">
        <v>0</v>
      </c>
      <c r="K81" s="159" t="str">
        <f ca="1">IFERROR(__xludf.DUMMYFUNCTION("GOOGLETRANSLATE(H81,""th"",""en"")"),"Customer code")</f>
        <v>Customer code</v>
      </c>
    </row>
    <row r="82" spans="1:11" ht="15.75" hidden="1" customHeight="1">
      <c r="A82" s="133" t="s">
        <v>7</v>
      </c>
      <c r="B82" s="133" t="s">
        <v>222</v>
      </c>
      <c r="C82" s="133" t="s">
        <v>601</v>
      </c>
      <c r="D82" s="133" t="s">
        <v>538</v>
      </c>
      <c r="E82" s="158">
        <v>8</v>
      </c>
      <c r="F82" s="158">
        <v>23</v>
      </c>
      <c r="G82" s="158">
        <v>3</v>
      </c>
      <c r="H82" s="133" t="s">
        <v>497</v>
      </c>
      <c r="I82" s="133" t="s">
        <v>479</v>
      </c>
      <c r="J82" s="158">
        <v>1</v>
      </c>
      <c r="K82" s="159" t="str">
        <f ca="1">IFERROR(__xludf.DUMMYFUNCTION("GOOGLETRANSLATE(H82,""th"",""en"")"),"Transaction Date")</f>
        <v>Transaction Date</v>
      </c>
    </row>
    <row r="83" spans="1:11" ht="15.75" hidden="1" customHeight="1">
      <c r="A83" s="133" t="s">
        <v>7</v>
      </c>
      <c r="B83" s="133" t="s">
        <v>222</v>
      </c>
      <c r="C83" s="133" t="s">
        <v>602</v>
      </c>
      <c r="D83" s="133" t="s">
        <v>477</v>
      </c>
      <c r="E83" s="158">
        <v>20</v>
      </c>
      <c r="F83" s="158">
        <v>0</v>
      </c>
      <c r="G83" s="158">
        <v>0</v>
      </c>
      <c r="H83" s="133" t="s">
        <v>603</v>
      </c>
      <c r="I83" s="133" t="s">
        <v>479</v>
      </c>
      <c r="J83" s="158">
        <v>1</v>
      </c>
      <c r="K83" s="159" t="str">
        <f ca="1">IFERROR(__xludf.DUMMYFUNCTION("GOOGLETRANSLATE(H83,""th"",""en"")"),"SETTLED REFERENCE NO")</f>
        <v>SETTLED REFERENCE NO</v>
      </c>
    </row>
    <row r="84" spans="1:11" ht="15.75" hidden="1" customHeight="1">
      <c r="A84" s="133" t="s">
        <v>7</v>
      </c>
      <c r="B84" s="133" t="s">
        <v>222</v>
      </c>
      <c r="C84" s="133" t="s">
        <v>541</v>
      </c>
      <c r="D84" s="133" t="s">
        <v>477</v>
      </c>
      <c r="E84" s="158">
        <v>2</v>
      </c>
      <c r="F84" s="158">
        <v>0</v>
      </c>
      <c r="G84" s="158">
        <v>0</v>
      </c>
      <c r="H84" s="133" t="s">
        <v>604</v>
      </c>
      <c r="I84" s="133" t="s">
        <v>479</v>
      </c>
      <c r="J84" s="158">
        <v>1</v>
      </c>
      <c r="K84" s="159" t="str">
        <f ca="1">IFERROR(__xludf.DUMMYFUNCTION("GOOGLETRANSLATE(H84,""th"",""en"")"),"Transaction Type")</f>
        <v>Transaction Type</v>
      </c>
    </row>
    <row r="85" spans="1:11" ht="15.75" hidden="1" customHeight="1">
      <c r="A85" s="133" t="s">
        <v>7</v>
      </c>
      <c r="B85" s="133" t="s">
        <v>222</v>
      </c>
      <c r="C85" s="133" t="s">
        <v>605</v>
      </c>
      <c r="D85" s="133" t="s">
        <v>491</v>
      </c>
      <c r="E85" s="158">
        <v>1</v>
      </c>
      <c r="F85" s="158">
        <v>0</v>
      </c>
      <c r="G85" s="158">
        <v>0</v>
      </c>
      <c r="H85" s="133" t="s">
        <v>606</v>
      </c>
      <c r="I85" s="133" t="s">
        <v>479</v>
      </c>
      <c r="J85" s="158">
        <v>1</v>
      </c>
      <c r="K85" s="159" t="str">
        <f ca="1">IFERROR(__xludf.DUMMYFUNCTION("GOOGLETRANSLATE(H85,""th"",""en"")"),"Transaction Status")</f>
        <v>Transaction Status</v>
      </c>
    </row>
    <row r="86" spans="1:11" ht="15.75" hidden="1" customHeight="1">
      <c r="A86" s="133" t="s">
        <v>7</v>
      </c>
      <c r="B86" s="133" t="s">
        <v>222</v>
      </c>
      <c r="C86" s="133" t="s">
        <v>607</v>
      </c>
      <c r="D86" s="133" t="s">
        <v>477</v>
      </c>
      <c r="E86" s="158">
        <v>20</v>
      </c>
      <c r="F86" s="158">
        <v>0</v>
      </c>
      <c r="G86" s="158">
        <v>0</v>
      </c>
      <c r="H86" s="133" t="s">
        <v>608</v>
      </c>
      <c r="I86" s="133" t="s">
        <v>479</v>
      </c>
      <c r="J86" s="158">
        <v>1</v>
      </c>
      <c r="K86" s="159" t="str">
        <f ca="1">IFERROR(__xludf.DUMMYFUNCTION("GOOGLETRANSLATE(H86,""th"",""en"")"),"Settled Invoice No.")</f>
        <v>Settled Invoice No.</v>
      </c>
    </row>
    <row r="87" spans="1:11" ht="15.75" hidden="1" customHeight="1">
      <c r="A87" s="133" t="s">
        <v>7</v>
      </c>
      <c r="B87" s="133" t="s">
        <v>222</v>
      </c>
      <c r="C87" s="133" t="s">
        <v>609</v>
      </c>
      <c r="D87" s="133" t="s">
        <v>477</v>
      </c>
      <c r="E87" s="158">
        <v>15</v>
      </c>
      <c r="F87" s="158">
        <v>0</v>
      </c>
      <c r="G87" s="158">
        <v>0</v>
      </c>
      <c r="H87" s="133" t="s">
        <v>610</v>
      </c>
      <c r="I87" s="133" t="s">
        <v>479</v>
      </c>
      <c r="J87" s="158">
        <v>1</v>
      </c>
      <c r="K87" s="159" t="str">
        <f ca="1">IFERROR(__xludf.DUMMYFUNCTION("GOOGLETRANSLATE(H87,""th"",""en"")"),"Cheet no.")</f>
        <v>Cheet no.</v>
      </c>
    </row>
    <row r="88" spans="1:11" ht="15.75" hidden="1" customHeight="1">
      <c r="A88" s="133" t="s">
        <v>7</v>
      </c>
      <c r="B88" s="133" t="s">
        <v>222</v>
      </c>
      <c r="C88" s="133" t="s">
        <v>611</v>
      </c>
      <c r="D88" s="133" t="s">
        <v>538</v>
      </c>
      <c r="E88" s="158">
        <v>8</v>
      </c>
      <c r="F88" s="158">
        <v>23</v>
      </c>
      <c r="G88" s="158">
        <v>3</v>
      </c>
      <c r="H88" s="133" t="s">
        <v>612</v>
      </c>
      <c r="I88" s="133" t="s">
        <v>479</v>
      </c>
      <c r="J88" s="158">
        <v>1</v>
      </c>
      <c r="K88" s="159" t="str">
        <f ca="1">IFERROR(__xludf.DUMMYFUNCTION("GOOGLETRANSLATE(H88,""th"",""en"")"),"CHEQUE DATE")</f>
        <v>CHEQUE DATE</v>
      </c>
    </row>
    <row r="89" spans="1:11" ht="15.75" hidden="1" customHeight="1">
      <c r="A89" s="133" t="s">
        <v>7</v>
      </c>
      <c r="B89" s="133" t="s">
        <v>222</v>
      </c>
      <c r="C89" s="133" t="s">
        <v>613</v>
      </c>
      <c r="D89" s="133" t="s">
        <v>481</v>
      </c>
      <c r="E89" s="158">
        <v>9</v>
      </c>
      <c r="F89" s="158">
        <v>18</v>
      </c>
      <c r="G89" s="158">
        <v>2</v>
      </c>
      <c r="H89" s="133" t="s">
        <v>614</v>
      </c>
      <c r="I89" s="133" t="s">
        <v>615</v>
      </c>
      <c r="J89" s="158">
        <v>1</v>
      </c>
      <c r="K89" s="159" t="str">
        <f ca="1">IFERROR(__xludf.DUMMYFUNCTION("GOOGLETRANSLATE(H89,""th"",""en"")"),"CHEGE AMOUNT (Related to Currency Code)")</f>
        <v>CHEGE AMOUNT (Related to Currency Code)</v>
      </c>
    </row>
    <row r="90" spans="1:11" ht="15.75" hidden="1" customHeight="1">
      <c r="A90" s="133" t="s">
        <v>7</v>
      </c>
      <c r="B90" s="133" t="s">
        <v>222</v>
      </c>
      <c r="C90" s="133" t="s">
        <v>616</v>
      </c>
      <c r="D90" s="133" t="s">
        <v>477</v>
      </c>
      <c r="E90" s="158">
        <v>3</v>
      </c>
      <c r="F90" s="158">
        <v>0</v>
      </c>
      <c r="G90" s="158">
        <v>0</v>
      </c>
      <c r="H90" s="133" t="s">
        <v>501</v>
      </c>
      <c r="I90" s="133" t="s">
        <v>479</v>
      </c>
      <c r="J90" s="158">
        <v>1</v>
      </c>
      <c r="K90" s="159" t="str">
        <f ca="1">IFERROR(__xludf.DUMMYFUNCTION("GOOGLETRANSLATE(H90,""th"",""en"")"),"Currency Code")</f>
        <v>Currency Code</v>
      </c>
    </row>
    <row r="91" spans="1:11" ht="15.75" hidden="1" customHeight="1">
      <c r="A91" s="133" t="s">
        <v>7</v>
      </c>
      <c r="B91" s="133" t="s">
        <v>222</v>
      </c>
      <c r="C91" s="133" t="s">
        <v>617</v>
      </c>
      <c r="D91" s="133" t="s">
        <v>481</v>
      </c>
      <c r="E91" s="158">
        <v>5</v>
      </c>
      <c r="F91" s="158">
        <v>9</v>
      </c>
      <c r="G91" s="158">
        <v>4</v>
      </c>
      <c r="H91" s="133" t="s">
        <v>503</v>
      </c>
      <c r="I91" s="133" t="s">
        <v>615</v>
      </c>
      <c r="J91" s="158">
        <v>1</v>
      </c>
      <c r="K91" s="159" t="str">
        <f ca="1">IFERROR(__xludf.DUMMYFUNCTION("GOOGLETRANSLATE(H91,""th"",""en"")"),"Currency Rate")</f>
        <v>Currency Rate</v>
      </c>
    </row>
    <row r="92" spans="1:11" ht="15.75" hidden="1" customHeight="1">
      <c r="A92" s="133" t="s">
        <v>7</v>
      </c>
      <c r="B92" s="133" t="s">
        <v>222</v>
      </c>
      <c r="C92" s="133" t="s">
        <v>618</v>
      </c>
      <c r="D92" s="133" t="s">
        <v>481</v>
      </c>
      <c r="E92" s="158">
        <v>9</v>
      </c>
      <c r="F92" s="158">
        <v>18</v>
      </c>
      <c r="G92" s="158">
        <v>2</v>
      </c>
      <c r="H92" s="133" t="s">
        <v>619</v>
      </c>
      <c r="I92" s="133" t="s">
        <v>615</v>
      </c>
      <c r="J92" s="158">
        <v>1</v>
      </c>
      <c r="K92" s="159" t="str">
        <f ca="1">IFERROR(__xludf.DUMMYFUNCTION("GOOGLETRANSLATE(H92,""th"",""en"")"),"Cheque Amount")</f>
        <v>Cheque Amount</v>
      </c>
    </row>
    <row r="93" spans="1:11" ht="15.75" hidden="1" customHeight="1">
      <c r="A93" s="133" t="s">
        <v>7</v>
      </c>
      <c r="B93" s="133" t="s">
        <v>222</v>
      </c>
      <c r="C93" s="133" t="s">
        <v>620</v>
      </c>
      <c r="D93" s="133" t="s">
        <v>481</v>
      </c>
      <c r="E93" s="158">
        <v>9</v>
      </c>
      <c r="F93" s="158">
        <v>18</v>
      </c>
      <c r="G93" s="158">
        <v>2</v>
      </c>
      <c r="H93" s="133" t="s">
        <v>621</v>
      </c>
      <c r="I93" s="133" t="s">
        <v>615</v>
      </c>
      <c r="J93" s="158">
        <v>1</v>
      </c>
      <c r="K93" s="159" t="str">
        <f ca="1">IFERROR(__xludf.DUMMYFUNCTION("GOOGLETRANSLATE(H93,""th"",""en"")"),"Cash Amount (RELATED TO CURRENCY CODE)")</f>
        <v>Cash Amount (RELATED TO CURRENCY CODE)</v>
      </c>
    </row>
    <row r="94" spans="1:11" ht="15.75" hidden="1" customHeight="1">
      <c r="A94" s="133" t="s">
        <v>7</v>
      </c>
      <c r="B94" s="133" t="s">
        <v>222</v>
      </c>
      <c r="C94" s="133" t="s">
        <v>622</v>
      </c>
      <c r="D94" s="133" t="s">
        <v>481</v>
      </c>
      <c r="E94" s="158">
        <v>9</v>
      </c>
      <c r="F94" s="158">
        <v>18</v>
      </c>
      <c r="G94" s="158">
        <v>2</v>
      </c>
      <c r="H94" s="133" t="s">
        <v>623</v>
      </c>
      <c r="I94" s="133" t="s">
        <v>615</v>
      </c>
      <c r="J94" s="158">
        <v>1</v>
      </c>
      <c r="K94" s="159" t="str">
        <f ca="1">IFERROR(__xludf.DUMMYFUNCTION("GOOGLETRANSLATE(H94,""th"",""en"")"),"Cash Amount")</f>
        <v>Cash Amount</v>
      </c>
    </row>
    <row r="95" spans="1:11" ht="15.75" hidden="1" customHeight="1">
      <c r="A95" s="133" t="s">
        <v>7</v>
      </c>
      <c r="B95" s="133" t="s">
        <v>222</v>
      </c>
      <c r="C95" s="133" t="s">
        <v>624</v>
      </c>
      <c r="D95" s="133" t="s">
        <v>481</v>
      </c>
      <c r="E95" s="158">
        <v>9</v>
      </c>
      <c r="F95" s="158">
        <v>18</v>
      </c>
      <c r="G95" s="158">
        <v>2</v>
      </c>
      <c r="H95" s="133" t="s">
        <v>625</v>
      </c>
      <c r="I95" s="133" t="s">
        <v>615</v>
      </c>
      <c r="J95" s="158">
        <v>1</v>
      </c>
      <c r="K95" s="159" t="str">
        <f ca="1">IFERROR(__xludf.DUMMYFUNCTION("GOOGLETRANSLATE(H95,""th"",""en"")"),"MISC AMOUNT (Related to Currency Code)")</f>
        <v>MISC AMOUNT (Related to Currency Code)</v>
      </c>
    </row>
    <row r="96" spans="1:11" ht="15.75" hidden="1" customHeight="1">
      <c r="A96" s="133" t="s">
        <v>7</v>
      </c>
      <c r="B96" s="133" t="s">
        <v>222</v>
      </c>
      <c r="C96" s="133" t="s">
        <v>626</v>
      </c>
      <c r="D96" s="133" t="s">
        <v>481</v>
      </c>
      <c r="E96" s="158">
        <v>9</v>
      </c>
      <c r="F96" s="158">
        <v>18</v>
      </c>
      <c r="G96" s="158">
        <v>2</v>
      </c>
      <c r="H96" s="133" t="s">
        <v>627</v>
      </c>
      <c r="I96" s="133" t="s">
        <v>615</v>
      </c>
      <c r="J96" s="158">
        <v>1</v>
      </c>
      <c r="K96" s="159" t="str">
        <f ca="1">IFERROR(__xludf.DUMMYFUNCTION("GOOGLETRANSLATE(H96,""th"",""en"")"),"Misc Amount")</f>
        <v>Misc Amount</v>
      </c>
    </row>
    <row r="97" spans="1:11" ht="15.75" hidden="1" customHeight="1">
      <c r="A97" s="133" t="s">
        <v>7</v>
      </c>
      <c r="B97" s="133" t="s">
        <v>222</v>
      </c>
      <c r="C97" s="133" t="s">
        <v>628</v>
      </c>
      <c r="D97" s="133" t="s">
        <v>481</v>
      </c>
      <c r="E97" s="158">
        <v>9</v>
      </c>
      <c r="F97" s="158">
        <v>18</v>
      </c>
      <c r="G97" s="158">
        <v>2</v>
      </c>
      <c r="H97" s="133" t="s">
        <v>629</v>
      </c>
      <c r="I97" s="133" t="s">
        <v>615</v>
      </c>
      <c r="J97" s="158">
        <v>1</v>
      </c>
      <c r="K97" s="159" t="str">
        <f ca="1">IFERROR(__xludf.DUMMYFUNCTION("GOOGLETRANSLATE(H97,""th"",""en"")"),"Over Payment Amount")</f>
        <v>Over Payment Amount</v>
      </c>
    </row>
    <row r="98" spans="1:11" ht="15.75" hidden="1" customHeight="1">
      <c r="A98" s="133" t="s">
        <v>7</v>
      </c>
      <c r="B98" s="133" t="s">
        <v>222</v>
      </c>
      <c r="C98" s="133" t="s">
        <v>164</v>
      </c>
      <c r="D98" s="133" t="s">
        <v>477</v>
      </c>
      <c r="E98" s="158">
        <v>100</v>
      </c>
      <c r="F98" s="158">
        <v>0</v>
      </c>
      <c r="G98" s="158">
        <v>0</v>
      </c>
      <c r="H98" s="133" t="s">
        <v>509</v>
      </c>
      <c r="I98" s="133" t="s">
        <v>479</v>
      </c>
      <c r="J98" s="158">
        <v>1</v>
      </c>
      <c r="K98" s="159" t="str">
        <f ca="1">IFERROR(__xludf.DUMMYFUNCTION("GOOGLETRANSLATE(H98,""th"",""en"")"),"REMARK")</f>
        <v>REMARK</v>
      </c>
    </row>
    <row r="99" spans="1:11" ht="15.75" hidden="1" customHeight="1">
      <c r="A99" s="133" t="s">
        <v>7</v>
      </c>
      <c r="B99" s="133" t="s">
        <v>222</v>
      </c>
      <c r="C99" s="133" t="s">
        <v>630</v>
      </c>
      <c r="D99" s="133" t="s">
        <v>477</v>
      </c>
      <c r="E99" s="158">
        <v>5</v>
      </c>
      <c r="F99" s="158">
        <v>0</v>
      </c>
      <c r="G99" s="158">
        <v>0</v>
      </c>
      <c r="H99" s="133" t="s">
        <v>631</v>
      </c>
      <c r="I99" s="133" t="s">
        <v>479</v>
      </c>
      <c r="J99" s="158">
        <v>1</v>
      </c>
      <c r="K99" s="159" t="str">
        <f ca="1">IFERROR(__xludf.DUMMYFUNCTION("GOOGLETRANSLATE(H99,""th"",""en"")"),"Bank Code")</f>
        <v>Bank Code</v>
      </c>
    </row>
    <row r="100" spans="1:11" ht="15.75" hidden="1" customHeight="1">
      <c r="A100" s="133" t="s">
        <v>7</v>
      </c>
      <c r="B100" s="133" t="s">
        <v>222</v>
      </c>
      <c r="C100" s="133" t="s">
        <v>521</v>
      </c>
      <c r="D100" s="133" t="s">
        <v>477</v>
      </c>
      <c r="E100" s="158">
        <v>8</v>
      </c>
      <c r="F100" s="158">
        <v>0</v>
      </c>
      <c r="G100" s="158">
        <v>0</v>
      </c>
      <c r="H100" s="133" t="s">
        <v>522</v>
      </c>
      <c r="I100" s="133" t="s">
        <v>479</v>
      </c>
      <c r="J100" s="158">
        <v>1</v>
      </c>
      <c r="K100" s="159" t="str">
        <f ca="1">IFERROR(__xludf.DUMMYFUNCTION("GOOGLETRANSLATE(H100,""th"",""en"")"),"Last update user")</f>
        <v>Last update user</v>
      </c>
    </row>
    <row r="101" spans="1:11" ht="15.75" hidden="1" customHeight="1">
      <c r="A101" s="133" t="s">
        <v>7</v>
      </c>
      <c r="B101" s="133" t="s">
        <v>222</v>
      </c>
      <c r="C101" s="133" t="s">
        <v>523</v>
      </c>
      <c r="D101" s="133" t="s">
        <v>477</v>
      </c>
      <c r="E101" s="158">
        <v>8</v>
      </c>
      <c r="F101" s="158">
        <v>0</v>
      </c>
      <c r="G101" s="158">
        <v>0</v>
      </c>
      <c r="H101" s="133" t="s">
        <v>524</v>
      </c>
      <c r="I101" s="133" t="s">
        <v>479</v>
      </c>
      <c r="J101" s="158">
        <v>1</v>
      </c>
      <c r="K101" s="159" t="str">
        <f ca="1">IFERROR(__xludf.DUMMYFUNCTION("GOOGLETRANSLATE(H101,""th"",""en"")"),"Created User")</f>
        <v>Created User</v>
      </c>
    </row>
    <row r="102" spans="1:11" ht="15.75" hidden="1" customHeight="1">
      <c r="A102" s="133" t="s">
        <v>7</v>
      </c>
      <c r="B102" s="133" t="s">
        <v>222</v>
      </c>
      <c r="C102" s="133" t="s">
        <v>215</v>
      </c>
      <c r="D102" s="133" t="s">
        <v>496</v>
      </c>
      <c r="E102" s="158">
        <v>4</v>
      </c>
      <c r="F102" s="158">
        <v>16</v>
      </c>
      <c r="G102" s="158">
        <v>0</v>
      </c>
      <c r="H102" s="133" t="s">
        <v>525</v>
      </c>
      <c r="I102" s="133" t="s">
        <v>479</v>
      </c>
      <c r="J102" s="158">
        <v>1</v>
      </c>
      <c r="K102" s="159" t="str">
        <f ca="1">IFERROR(__xludf.DUMMYFUNCTION("GOOGLETRANSLATE(H102,""th"",""en"")"),"Last Update Date")</f>
        <v>Last Update Date</v>
      </c>
    </row>
    <row r="103" spans="1:11" ht="15.75" hidden="1" customHeight="1">
      <c r="A103" s="133" t="s">
        <v>7</v>
      </c>
      <c r="B103" s="133" t="s">
        <v>222</v>
      </c>
      <c r="C103" s="133" t="s">
        <v>632</v>
      </c>
      <c r="D103" s="133" t="s">
        <v>481</v>
      </c>
      <c r="E103" s="158">
        <v>9</v>
      </c>
      <c r="F103" s="158">
        <v>18</v>
      </c>
      <c r="G103" s="158">
        <v>2</v>
      </c>
      <c r="H103" s="133" t="s">
        <v>633</v>
      </c>
      <c r="I103" s="133" t="s">
        <v>615</v>
      </c>
      <c r="J103" s="158">
        <v>1</v>
      </c>
      <c r="K103" s="159" t="str">
        <f ca="1">IFERROR(__xludf.DUMMYFUNCTION("GOOGLETRANSLATE(H103,""th"",""en"")"),"Bank Charge Amount (Related to Currency Code)")</f>
        <v>Bank Charge Amount (Related to Currency Code)</v>
      </c>
    </row>
    <row r="104" spans="1:11" ht="15.75" hidden="1" customHeight="1">
      <c r="A104" s="133" t="s">
        <v>7</v>
      </c>
      <c r="B104" s="133" t="s">
        <v>222</v>
      </c>
      <c r="C104" s="133" t="s">
        <v>634</v>
      </c>
      <c r="D104" s="133" t="s">
        <v>481</v>
      </c>
      <c r="E104" s="158">
        <v>9</v>
      </c>
      <c r="F104" s="158">
        <v>18</v>
      </c>
      <c r="G104" s="158">
        <v>2</v>
      </c>
      <c r="H104" s="133" t="s">
        <v>635</v>
      </c>
      <c r="I104" s="133" t="s">
        <v>615</v>
      </c>
      <c r="J104" s="158">
        <v>1</v>
      </c>
      <c r="K104" s="159" t="str">
        <f ca="1">IFERROR(__xludf.DUMMYFUNCTION("GOOGLETRANSLATE(H104,""th"",""en"")"),"Bank Charge Amount")</f>
        <v>Bank Charge Amount</v>
      </c>
    </row>
    <row r="105" spans="1:11" ht="15.75" hidden="1" customHeight="1">
      <c r="A105" s="133" t="s">
        <v>7</v>
      </c>
      <c r="B105" s="133" t="s">
        <v>222</v>
      </c>
      <c r="C105" s="133" t="s">
        <v>636</v>
      </c>
      <c r="D105" s="133" t="s">
        <v>477</v>
      </c>
      <c r="E105" s="158">
        <v>3</v>
      </c>
      <c r="F105" s="158">
        <v>0</v>
      </c>
      <c r="G105" s="158">
        <v>0</v>
      </c>
      <c r="H105" s="133" t="s">
        <v>637</v>
      </c>
      <c r="I105" s="133" t="s">
        <v>479</v>
      </c>
      <c r="J105" s="158">
        <v>1</v>
      </c>
      <c r="K105" s="159" t="str">
        <f ca="1">IFERROR(__xludf.DUMMYFUNCTION("GOOGLETRANSLATE(H105,""th"",""en"")"),"Bank Currency Code")</f>
        <v>Bank Currency Code</v>
      </c>
    </row>
    <row r="106" spans="1:11" ht="15.75" hidden="1" customHeight="1">
      <c r="A106" s="133" t="s">
        <v>7</v>
      </c>
      <c r="B106" s="133" t="s">
        <v>222</v>
      </c>
      <c r="C106" s="133" t="s">
        <v>638</v>
      </c>
      <c r="D106" s="133" t="s">
        <v>491</v>
      </c>
      <c r="E106" s="158">
        <v>1</v>
      </c>
      <c r="F106" s="158">
        <v>0</v>
      </c>
      <c r="G106" s="158">
        <v>0</v>
      </c>
      <c r="H106" s="133" t="s">
        <v>639</v>
      </c>
      <c r="I106" s="133" t="s">
        <v>479</v>
      </c>
      <c r="J106" s="158">
        <v>1</v>
      </c>
      <c r="K106" s="159" t="str">
        <f ca="1">IFERROR(__xludf.DUMMYFUNCTION("GOOGLETRANSLATE(H106,""th"",""en"")"),"Previous Transaction Status")</f>
        <v>Previous Transaction Status</v>
      </c>
    </row>
    <row r="107" spans="1:11" ht="15.75" hidden="1" customHeight="1">
      <c r="A107" s="133" t="s">
        <v>7</v>
      </c>
      <c r="B107" s="133" t="s">
        <v>222</v>
      </c>
      <c r="C107" s="133" t="s">
        <v>640</v>
      </c>
      <c r="D107" s="133" t="s">
        <v>477</v>
      </c>
      <c r="E107" s="158">
        <v>20</v>
      </c>
      <c r="F107" s="158">
        <v>0</v>
      </c>
      <c r="G107" s="158">
        <v>0</v>
      </c>
      <c r="H107" s="133" t="s">
        <v>641</v>
      </c>
      <c r="I107" s="133" t="s">
        <v>479</v>
      </c>
      <c r="J107" s="158">
        <v>1</v>
      </c>
      <c r="K107" s="159" t="str">
        <f ca="1">IFERROR(__xludf.DUMMYFUNCTION("GOOGLETRANSLATE(H107,""th"",""en"")"),"Reference Invoice No.")</f>
        <v>Reference Invoice No.</v>
      </c>
    </row>
    <row r="108" spans="1:11" ht="15.75" hidden="1" customHeight="1">
      <c r="A108" s="133" t="s">
        <v>7</v>
      </c>
      <c r="B108" s="133" t="s">
        <v>222</v>
      </c>
      <c r="C108" s="133" t="s">
        <v>642</v>
      </c>
      <c r="D108" s="133" t="s">
        <v>491</v>
      </c>
      <c r="E108" s="158">
        <v>1</v>
      </c>
      <c r="F108" s="158">
        <v>0</v>
      </c>
      <c r="G108" s="158">
        <v>0</v>
      </c>
      <c r="H108" s="133" t="s">
        <v>643</v>
      </c>
      <c r="I108" s="133" t="s">
        <v>479</v>
      </c>
      <c r="J108" s="158">
        <v>1</v>
      </c>
      <c r="K108" s="159" t="str">
        <f ca="1">IFERROR(__xludf.DUMMYFUNCTION("GOOGLETRANSLATE(H108,""th"",""en"")"),"CHEGUS STATUS")</f>
        <v>CHEGUS STATUS</v>
      </c>
    </row>
    <row r="109" spans="1:11" ht="15.75" hidden="1" customHeight="1">
      <c r="A109" s="133" t="s">
        <v>7</v>
      </c>
      <c r="B109" s="133" t="s">
        <v>222</v>
      </c>
      <c r="C109" s="133" t="s">
        <v>644</v>
      </c>
      <c r="D109" s="133" t="s">
        <v>481</v>
      </c>
      <c r="E109" s="158">
        <v>9</v>
      </c>
      <c r="F109" s="158">
        <v>18</v>
      </c>
      <c r="G109" s="158">
        <v>2</v>
      </c>
      <c r="H109" s="133" t="s">
        <v>645</v>
      </c>
      <c r="I109" s="133" t="s">
        <v>479</v>
      </c>
      <c r="J109" s="158">
        <v>1</v>
      </c>
      <c r="K109" s="159" t="str">
        <f ca="1">IFERROR(__xludf.DUMMYFUNCTION("GOOGLETRANSLATE(H109,""th"",""en"")"),"With Holding Tax Amount (RELATED TO CURRENCY CODE)")</f>
        <v>With Holding Tax Amount (RELATED TO CURRENCY CODE)</v>
      </c>
    </row>
    <row r="110" spans="1:11" ht="15.75" hidden="1" customHeight="1">
      <c r="A110" s="133" t="s">
        <v>7</v>
      </c>
      <c r="B110" s="133" t="s">
        <v>222</v>
      </c>
      <c r="C110" s="133" t="s">
        <v>646</v>
      </c>
      <c r="D110" s="133" t="s">
        <v>481</v>
      </c>
      <c r="E110" s="158">
        <v>9</v>
      </c>
      <c r="F110" s="158">
        <v>11</v>
      </c>
      <c r="G110" s="158">
        <v>2</v>
      </c>
      <c r="H110" s="133" t="s">
        <v>647</v>
      </c>
      <c r="I110" s="133" t="s">
        <v>479</v>
      </c>
      <c r="J110" s="158">
        <v>1</v>
      </c>
      <c r="K110" s="159" t="str">
        <f ca="1">IFERROR(__xludf.DUMMYFUNCTION("GOOGLETRANSLATE(H110,""th"",""en"")"),"With Holding Tax Amount")</f>
        <v>With Holding Tax Amount</v>
      </c>
    </row>
    <row r="111" spans="1:11" ht="15.75" hidden="1" customHeight="1">
      <c r="A111" s="133" t="s">
        <v>7</v>
      </c>
      <c r="B111" s="133" t="s">
        <v>222</v>
      </c>
      <c r="C111" s="133" t="s">
        <v>648</v>
      </c>
      <c r="D111" s="133" t="s">
        <v>477</v>
      </c>
      <c r="E111" s="158">
        <v>12</v>
      </c>
      <c r="F111" s="158">
        <v>0</v>
      </c>
      <c r="G111" s="158">
        <v>0</v>
      </c>
      <c r="H111" s="133" t="s">
        <v>479</v>
      </c>
      <c r="I111" s="133" t="s">
        <v>479</v>
      </c>
      <c r="J111" s="158">
        <v>1</v>
      </c>
      <c r="K111" s="159" t="str">
        <f ca="1">IFERROR(__xludf.DUMMYFUNCTION("GOOGLETRANSLATE(H111,""th"",""en"")"),"Null")</f>
        <v>Null</v>
      </c>
    </row>
    <row r="112" spans="1:11" ht="15.75" hidden="1" customHeight="1">
      <c r="A112" s="133" t="s">
        <v>7</v>
      </c>
      <c r="B112" s="133" t="s">
        <v>222</v>
      </c>
      <c r="C112" s="133" t="s">
        <v>649</v>
      </c>
      <c r="D112" s="133" t="s">
        <v>477</v>
      </c>
      <c r="E112" s="158">
        <v>16</v>
      </c>
      <c r="F112" s="158">
        <v>0</v>
      </c>
      <c r="G112" s="158">
        <v>0</v>
      </c>
      <c r="H112" s="133" t="s">
        <v>650</v>
      </c>
      <c r="I112" s="133" t="s">
        <v>479</v>
      </c>
      <c r="J112" s="158">
        <v>1</v>
      </c>
      <c r="K112" s="159" t="str">
        <f ca="1">IFERROR(__xludf.DUMMYFUNCTION("GOOGLETRANSLATE(H112,""th"",""en"")"),"Over Payment Document No.")</f>
        <v>Over Payment Document No.</v>
      </c>
    </row>
    <row r="113" spans="1:11" ht="15.75" hidden="1" customHeight="1">
      <c r="A113" s="133" t="s">
        <v>7</v>
      </c>
      <c r="B113" s="133" t="s">
        <v>222</v>
      </c>
      <c r="C113" s="133" t="s">
        <v>526</v>
      </c>
      <c r="D113" s="133" t="s">
        <v>496</v>
      </c>
      <c r="E113" s="158">
        <v>4</v>
      </c>
      <c r="F113" s="158">
        <v>16</v>
      </c>
      <c r="G113" s="158">
        <v>0</v>
      </c>
      <c r="H113" s="133" t="s">
        <v>527</v>
      </c>
      <c r="I113" s="133" t="s">
        <v>479</v>
      </c>
      <c r="J113" s="158">
        <v>1</v>
      </c>
      <c r="K113" s="159" t="str">
        <f ca="1">IFERROR(__xludf.DUMMYFUNCTION("GOOGLETRANSLATE(H113,""th"",""en"")"),"Created Date")</f>
        <v>Created Date</v>
      </c>
    </row>
    <row r="114" spans="1:11" ht="15.75" hidden="1" customHeight="1">
      <c r="A114" s="133" t="s">
        <v>7</v>
      </c>
      <c r="B114" s="133" t="s">
        <v>222</v>
      </c>
      <c r="C114" s="133" t="s">
        <v>528</v>
      </c>
      <c r="D114" s="133" t="s">
        <v>491</v>
      </c>
      <c r="E114" s="158">
        <v>1</v>
      </c>
      <c r="F114" s="158">
        <v>0</v>
      </c>
      <c r="G114" s="158">
        <v>0</v>
      </c>
      <c r="H114" s="133" t="s">
        <v>651</v>
      </c>
      <c r="I114" s="133" t="s">
        <v>479</v>
      </c>
      <c r="J114" s="158">
        <v>1</v>
      </c>
      <c r="K114" s="159" t="str">
        <f ca="1">IFERROR(__xludf.DUMMYFUNCTION("GOOGLETRANSLATE(H114,""th"",""en"")"),"Is Post Flag")</f>
        <v>Is Post Flag</v>
      </c>
    </row>
    <row r="115" spans="1:11" ht="15.75" hidden="1" customHeight="1">
      <c r="A115" s="133" t="s">
        <v>7</v>
      </c>
      <c r="B115" s="133" t="s">
        <v>222</v>
      </c>
      <c r="C115" s="133" t="s">
        <v>530</v>
      </c>
      <c r="D115" s="133" t="s">
        <v>477</v>
      </c>
      <c r="E115" s="158">
        <v>8</v>
      </c>
      <c r="F115" s="158">
        <v>0</v>
      </c>
      <c r="G115" s="158">
        <v>0</v>
      </c>
      <c r="H115" s="133" t="s">
        <v>522</v>
      </c>
      <c r="I115" s="133" t="s">
        <v>479</v>
      </c>
      <c r="J115" s="158">
        <v>1</v>
      </c>
      <c r="K115" s="159" t="str">
        <f ca="1">IFERROR(__xludf.DUMMYFUNCTION("GOOGLETRANSLATE(H115,""th"",""en"")"),"Last update user")</f>
        <v>Last update user</v>
      </c>
    </row>
    <row r="116" spans="1:11" ht="15.75" hidden="1" customHeight="1">
      <c r="A116" s="133" t="s">
        <v>7</v>
      </c>
      <c r="B116" s="133" t="s">
        <v>222</v>
      </c>
      <c r="C116" s="133" t="s">
        <v>652</v>
      </c>
      <c r="D116" s="133" t="s">
        <v>496</v>
      </c>
      <c r="E116" s="158">
        <v>4</v>
      </c>
      <c r="F116" s="158">
        <v>16</v>
      </c>
      <c r="G116" s="158">
        <v>0</v>
      </c>
      <c r="H116" s="133" t="s">
        <v>479</v>
      </c>
      <c r="I116" s="133" t="s">
        <v>548</v>
      </c>
      <c r="J116" s="158">
        <v>0</v>
      </c>
      <c r="K116" s="159" t="str">
        <f ca="1">IFERROR(__xludf.DUMMYFUNCTION("GOOGLETRANSLATE(H116,""th"",""en"")"),"Null")</f>
        <v>Null</v>
      </c>
    </row>
    <row r="117" spans="1:11" ht="15.75" hidden="1" customHeight="1">
      <c r="A117" s="133" t="s">
        <v>7</v>
      </c>
      <c r="B117" s="133" t="s">
        <v>222</v>
      </c>
      <c r="C117" s="133" t="s">
        <v>653</v>
      </c>
      <c r="D117" s="133" t="s">
        <v>477</v>
      </c>
      <c r="E117" s="158">
        <v>100</v>
      </c>
      <c r="F117" s="158">
        <v>0</v>
      </c>
      <c r="G117" s="158">
        <v>0</v>
      </c>
      <c r="H117" s="133" t="s">
        <v>479</v>
      </c>
      <c r="I117" s="133" t="s">
        <v>548</v>
      </c>
      <c r="J117" s="158">
        <v>0</v>
      </c>
      <c r="K117" s="159" t="str">
        <f ca="1">IFERROR(__xludf.DUMMYFUNCTION("GOOGLETRANSLATE(H117,""th"",""en"")"),"Null")</f>
        <v>Null</v>
      </c>
    </row>
    <row r="118" spans="1:11" ht="15.75" hidden="1" customHeight="1">
      <c r="A118" s="133" t="s">
        <v>7</v>
      </c>
      <c r="B118" s="133" t="s">
        <v>222</v>
      </c>
      <c r="C118" s="133" t="s">
        <v>654</v>
      </c>
      <c r="D118" s="133" t="s">
        <v>481</v>
      </c>
      <c r="E118" s="158">
        <v>5</v>
      </c>
      <c r="F118" s="158">
        <v>9</v>
      </c>
      <c r="G118" s="158">
        <v>2</v>
      </c>
      <c r="H118" s="133" t="s">
        <v>655</v>
      </c>
      <c r="I118" s="133" t="s">
        <v>615</v>
      </c>
      <c r="J118" s="158">
        <v>0</v>
      </c>
      <c r="K118" s="159" t="str">
        <f ca="1">IFERROR(__xludf.DUMMYFUNCTION("GOOGLETRANSLATE(H118,""th"",""en"")"),"Value of points")</f>
        <v>Value of points</v>
      </c>
    </row>
    <row r="119" spans="1:11" ht="15.75" hidden="1" customHeight="1">
      <c r="A119" s="133" t="s">
        <v>7</v>
      </c>
      <c r="B119" s="133" t="s">
        <v>224</v>
      </c>
      <c r="C119" s="133" t="s">
        <v>228</v>
      </c>
      <c r="D119" s="133" t="s">
        <v>477</v>
      </c>
      <c r="E119" s="158">
        <v>16</v>
      </c>
      <c r="F119" s="158">
        <v>0</v>
      </c>
      <c r="G119" s="158">
        <v>0</v>
      </c>
      <c r="H119" s="133" t="s">
        <v>479</v>
      </c>
      <c r="I119" s="133" t="s">
        <v>479</v>
      </c>
      <c r="J119" s="158">
        <v>0</v>
      </c>
      <c r="K119" s="159" t="str">
        <f ca="1">IFERROR(__xludf.DUMMYFUNCTION("GOOGLETRANSLATE(H119,""th"",""en"")"),"Null")</f>
        <v>Null</v>
      </c>
    </row>
    <row r="120" spans="1:11" ht="15.75" hidden="1" customHeight="1">
      <c r="A120" s="133" t="s">
        <v>7</v>
      </c>
      <c r="B120" s="133" t="s">
        <v>224</v>
      </c>
      <c r="C120" s="133" t="s">
        <v>656</v>
      </c>
      <c r="D120" s="133" t="s">
        <v>538</v>
      </c>
      <c r="E120" s="158">
        <v>8</v>
      </c>
      <c r="F120" s="158">
        <v>23</v>
      </c>
      <c r="G120" s="158">
        <v>3</v>
      </c>
      <c r="H120" s="133" t="s">
        <v>479</v>
      </c>
      <c r="I120" s="133" t="s">
        <v>479</v>
      </c>
      <c r="J120" s="158">
        <v>0</v>
      </c>
      <c r="K120" s="159" t="str">
        <f ca="1">IFERROR(__xludf.DUMMYFUNCTION("GOOGLETRANSLATE(H120,""th"",""en"")"),"Null")</f>
        <v>Null</v>
      </c>
    </row>
    <row r="121" spans="1:11" ht="15.75" hidden="1" customHeight="1">
      <c r="A121" s="133" t="s">
        <v>7</v>
      </c>
      <c r="B121" s="133" t="s">
        <v>224</v>
      </c>
      <c r="C121" s="133" t="s">
        <v>534</v>
      </c>
      <c r="D121" s="133" t="s">
        <v>477</v>
      </c>
      <c r="E121" s="158">
        <v>20</v>
      </c>
      <c r="F121" s="158">
        <v>0</v>
      </c>
      <c r="G121" s="158">
        <v>0</v>
      </c>
      <c r="H121" s="133" t="s">
        <v>479</v>
      </c>
      <c r="I121" s="133" t="s">
        <v>479</v>
      </c>
      <c r="J121" s="158">
        <v>0</v>
      </c>
      <c r="K121" s="159" t="str">
        <f ca="1">IFERROR(__xludf.DUMMYFUNCTION("GOOGLETRANSLATE(H121,""th"",""en"")"),"Null")</f>
        <v>Null</v>
      </c>
    </row>
    <row r="122" spans="1:11" ht="15.75" hidden="1" customHeight="1">
      <c r="A122" s="133" t="s">
        <v>7</v>
      </c>
      <c r="B122" s="133" t="s">
        <v>224</v>
      </c>
      <c r="C122" s="133" t="s">
        <v>598</v>
      </c>
      <c r="D122" s="133" t="s">
        <v>477</v>
      </c>
      <c r="E122" s="158">
        <v>10</v>
      </c>
      <c r="F122" s="158">
        <v>0</v>
      </c>
      <c r="G122" s="158">
        <v>0</v>
      </c>
      <c r="H122" s="133" t="s">
        <v>479</v>
      </c>
      <c r="I122" s="133" t="s">
        <v>479</v>
      </c>
      <c r="J122" s="158">
        <v>0</v>
      </c>
      <c r="K122" s="159" t="str">
        <f ca="1">IFERROR(__xludf.DUMMYFUNCTION("GOOGLETRANSLATE(H122,""th"",""en"")"),"Null")</f>
        <v>Null</v>
      </c>
    </row>
    <row r="123" spans="1:11" ht="15.75" hidden="1" customHeight="1">
      <c r="A123" s="133" t="s">
        <v>7</v>
      </c>
      <c r="B123" s="133" t="s">
        <v>224</v>
      </c>
      <c r="C123" s="133" t="s">
        <v>599</v>
      </c>
      <c r="D123" s="133" t="s">
        <v>484</v>
      </c>
      <c r="E123" s="158">
        <v>8</v>
      </c>
      <c r="F123" s="158">
        <v>53</v>
      </c>
      <c r="G123" s="158">
        <v>0</v>
      </c>
      <c r="H123" s="133" t="s">
        <v>479</v>
      </c>
      <c r="I123" s="133" t="s">
        <v>479</v>
      </c>
      <c r="J123" s="158">
        <v>1</v>
      </c>
      <c r="K123" s="159" t="str">
        <f ca="1">IFERROR(__xludf.DUMMYFUNCTION("GOOGLETRANSLATE(H123,""th"",""en"")"),"Null")</f>
        <v>Null</v>
      </c>
    </row>
    <row r="124" spans="1:11" ht="15.75" hidden="1" customHeight="1">
      <c r="A124" s="133" t="s">
        <v>7</v>
      </c>
      <c r="B124" s="133" t="s">
        <v>224</v>
      </c>
      <c r="C124" s="133" t="s">
        <v>601</v>
      </c>
      <c r="D124" s="133" t="s">
        <v>538</v>
      </c>
      <c r="E124" s="158">
        <v>8</v>
      </c>
      <c r="F124" s="158">
        <v>23</v>
      </c>
      <c r="G124" s="158">
        <v>3</v>
      </c>
      <c r="H124" s="133" t="s">
        <v>479</v>
      </c>
      <c r="I124" s="133" t="s">
        <v>479</v>
      </c>
      <c r="J124" s="158">
        <v>1</v>
      </c>
      <c r="K124" s="159" t="str">
        <f ca="1">IFERROR(__xludf.DUMMYFUNCTION("GOOGLETRANSLATE(H124,""th"",""en"")"),"Null")</f>
        <v>Null</v>
      </c>
    </row>
    <row r="125" spans="1:11" ht="15.75" hidden="1" customHeight="1">
      <c r="A125" s="133" t="s">
        <v>7</v>
      </c>
      <c r="B125" s="133" t="s">
        <v>224</v>
      </c>
      <c r="C125" s="133" t="s">
        <v>541</v>
      </c>
      <c r="D125" s="133" t="s">
        <v>477</v>
      </c>
      <c r="E125" s="158">
        <v>2</v>
      </c>
      <c r="F125" s="158">
        <v>0</v>
      </c>
      <c r="G125" s="158">
        <v>0</v>
      </c>
      <c r="H125" s="133" t="s">
        <v>479</v>
      </c>
      <c r="I125" s="133" t="s">
        <v>479</v>
      </c>
      <c r="J125" s="158">
        <v>1</v>
      </c>
      <c r="K125" s="159" t="str">
        <f ca="1">IFERROR(__xludf.DUMMYFUNCTION("GOOGLETRANSLATE(H125,""th"",""en"")"),"Null")</f>
        <v>Null</v>
      </c>
    </row>
    <row r="126" spans="1:11" ht="15.75" hidden="1" customHeight="1">
      <c r="A126" s="133" t="s">
        <v>7</v>
      </c>
      <c r="B126" s="133" t="s">
        <v>224</v>
      </c>
      <c r="C126" s="133" t="s">
        <v>609</v>
      </c>
      <c r="D126" s="133" t="s">
        <v>477</v>
      </c>
      <c r="E126" s="158">
        <v>15</v>
      </c>
      <c r="F126" s="158">
        <v>0</v>
      </c>
      <c r="G126" s="158">
        <v>0</v>
      </c>
      <c r="H126" s="133" t="s">
        <v>479</v>
      </c>
      <c r="I126" s="133" t="s">
        <v>479</v>
      </c>
      <c r="J126" s="158">
        <v>1</v>
      </c>
      <c r="K126" s="159" t="str">
        <f ca="1">IFERROR(__xludf.DUMMYFUNCTION("GOOGLETRANSLATE(H126,""th"",""en"")"),"Null")</f>
        <v>Null</v>
      </c>
    </row>
    <row r="127" spans="1:11" ht="15.75" hidden="1" customHeight="1">
      <c r="A127" s="133" t="s">
        <v>7</v>
      </c>
      <c r="B127" s="133" t="s">
        <v>224</v>
      </c>
      <c r="C127" s="133" t="s">
        <v>605</v>
      </c>
      <c r="D127" s="133" t="s">
        <v>477</v>
      </c>
      <c r="E127" s="158">
        <v>1</v>
      </c>
      <c r="F127" s="158">
        <v>0</v>
      </c>
      <c r="G127" s="158">
        <v>0</v>
      </c>
      <c r="H127" s="133" t="s">
        <v>479</v>
      </c>
      <c r="I127" s="133" t="s">
        <v>479</v>
      </c>
      <c r="J127" s="158">
        <v>1</v>
      </c>
      <c r="K127" s="159" t="str">
        <f ca="1">IFERROR(__xludf.DUMMYFUNCTION("GOOGLETRANSLATE(H127,""th"",""en"")"),"Null")</f>
        <v>Null</v>
      </c>
    </row>
    <row r="128" spans="1:11" ht="15.75" hidden="1" customHeight="1">
      <c r="A128" s="133" t="s">
        <v>7</v>
      </c>
      <c r="B128" s="133" t="s">
        <v>224</v>
      </c>
      <c r="C128" s="133" t="s">
        <v>657</v>
      </c>
      <c r="D128" s="133" t="s">
        <v>477</v>
      </c>
      <c r="E128" s="158">
        <v>1</v>
      </c>
      <c r="F128" s="158">
        <v>0</v>
      </c>
      <c r="G128" s="158">
        <v>0</v>
      </c>
      <c r="H128" s="133" t="s">
        <v>479</v>
      </c>
      <c r="I128" s="133" t="s">
        <v>479</v>
      </c>
      <c r="J128" s="158">
        <v>1</v>
      </c>
      <c r="K128" s="159" t="str">
        <f ca="1">IFERROR(__xludf.DUMMYFUNCTION("GOOGLETRANSLATE(H128,""th"",""en"")"),"Null")</f>
        <v>Null</v>
      </c>
    </row>
    <row r="129" spans="1:11" ht="15.75" hidden="1" customHeight="1">
      <c r="A129" s="133" t="s">
        <v>7</v>
      </c>
      <c r="B129" s="133" t="s">
        <v>224</v>
      </c>
      <c r="C129" s="133" t="s">
        <v>658</v>
      </c>
      <c r="D129" s="133" t="s">
        <v>481</v>
      </c>
      <c r="E129" s="158">
        <v>5</v>
      </c>
      <c r="F129" s="158">
        <v>5</v>
      </c>
      <c r="G129" s="158">
        <v>2</v>
      </c>
      <c r="H129" s="133" t="s">
        <v>479</v>
      </c>
      <c r="I129" s="133" t="s">
        <v>479</v>
      </c>
      <c r="J129" s="158">
        <v>1</v>
      </c>
      <c r="K129" s="159" t="str">
        <f ca="1">IFERROR(__xludf.DUMMYFUNCTION("GOOGLETRANSLATE(H129,""th"",""en"")"),"Null")</f>
        <v>Null</v>
      </c>
    </row>
    <row r="130" spans="1:11" ht="15.75" hidden="1" customHeight="1">
      <c r="A130" s="133" t="s">
        <v>7</v>
      </c>
      <c r="B130" s="133" t="s">
        <v>224</v>
      </c>
      <c r="C130" s="133" t="s">
        <v>659</v>
      </c>
      <c r="D130" s="133" t="s">
        <v>481</v>
      </c>
      <c r="E130" s="158">
        <v>9</v>
      </c>
      <c r="F130" s="158">
        <v>18</v>
      </c>
      <c r="G130" s="158">
        <v>2</v>
      </c>
      <c r="H130" s="133" t="s">
        <v>479</v>
      </c>
      <c r="I130" s="158">
        <v>0</v>
      </c>
      <c r="J130" s="158">
        <v>1</v>
      </c>
      <c r="K130" s="159" t="str">
        <f ca="1">IFERROR(__xludf.DUMMYFUNCTION("GOOGLETRANSLATE(H130,""th"",""en"")"),"Null")</f>
        <v>Null</v>
      </c>
    </row>
    <row r="131" spans="1:11" ht="15.75" hidden="1" customHeight="1">
      <c r="A131" s="133" t="s">
        <v>7</v>
      </c>
      <c r="B131" s="133" t="s">
        <v>224</v>
      </c>
      <c r="C131" s="133" t="s">
        <v>660</v>
      </c>
      <c r="D131" s="133" t="s">
        <v>477</v>
      </c>
      <c r="E131" s="158">
        <v>3</v>
      </c>
      <c r="F131" s="158">
        <v>0</v>
      </c>
      <c r="G131" s="158">
        <v>0</v>
      </c>
      <c r="H131" s="133" t="s">
        <v>479</v>
      </c>
      <c r="I131" s="133" t="s">
        <v>479</v>
      </c>
      <c r="J131" s="158">
        <v>1</v>
      </c>
      <c r="K131" s="159" t="str">
        <f ca="1">IFERROR(__xludf.DUMMYFUNCTION("GOOGLETRANSLATE(H131,""th"",""en"")"),"Null")</f>
        <v>Null</v>
      </c>
    </row>
    <row r="132" spans="1:11" ht="15.75" hidden="1" customHeight="1">
      <c r="A132" s="133" t="s">
        <v>7</v>
      </c>
      <c r="B132" s="133" t="s">
        <v>224</v>
      </c>
      <c r="C132" s="133" t="s">
        <v>617</v>
      </c>
      <c r="D132" s="133" t="s">
        <v>481</v>
      </c>
      <c r="E132" s="158">
        <v>5</v>
      </c>
      <c r="F132" s="158">
        <v>9</v>
      </c>
      <c r="G132" s="158">
        <v>4</v>
      </c>
      <c r="H132" s="133" t="s">
        <v>479</v>
      </c>
      <c r="I132" s="133" t="s">
        <v>479</v>
      </c>
      <c r="J132" s="158">
        <v>1</v>
      </c>
      <c r="K132" s="159" t="str">
        <f ca="1">IFERROR(__xludf.DUMMYFUNCTION("GOOGLETRANSLATE(H132,""th"",""en"")"),"Null")</f>
        <v>Null</v>
      </c>
    </row>
    <row r="133" spans="1:11" ht="15.75" hidden="1" customHeight="1">
      <c r="A133" s="133" t="s">
        <v>7</v>
      </c>
      <c r="B133" s="133" t="s">
        <v>224</v>
      </c>
      <c r="C133" s="133" t="s">
        <v>661</v>
      </c>
      <c r="D133" s="133" t="s">
        <v>481</v>
      </c>
      <c r="E133" s="158">
        <v>9</v>
      </c>
      <c r="F133" s="158">
        <v>18</v>
      </c>
      <c r="G133" s="158">
        <v>2</v>
      </c>
      <c r="H133" s="133" t="s">
        <v>479</v>
      </c>
      <c r="I133" s="158">
        <v>0</v>
      </c>
      <c r="J133" s="158">
        <v>1</v>
      </c>
      <c r="K133" s="159" t="str">
        <f ca="1">IFERROR(__xludf.DUMMYFUNCTION("GOOGLETRANSLATE(H133,""th"",""en"")"),"Null")</f>
        <v>Null</v>
      </c>
    </row>
    <row r="134" spans="1:11" ht="15.75" hidden="1" customHeight="1">
      <c r="A134" s="133" t="s">
        <v>7</v>
      </c>
      <c r="B134" s="133" t="s">
        <v>224</v>
      </c>
      <c r="C134" s="133" t="s">
        <v>662</v>
      </c>
      <c r="D134" s="133" t="s">
        <v>481</v>
      </c>
      <c r="E134" s="158">
        <v>9</v>
      </c>
      <c r="F134" s="158">
        <v>18</v>
      </c>
      <c r="G134" s="158">
        <v>2</v>
      </c>
      <c r="H134" s="133" t="s">
        <v>479</v>
      </c>
      <c r="I134" s="158">
        <v>0</v>
      </c>
      <c r="J134" s="158">
        <v>1</v>
      </c>
      <c r="K134" s="159" t="str">
        <f ca="1">IFERROR(__xludf.DUMMYFUNCTION("GOOGLETRANSLATE(H134,""th"",""en"")"),"Null")</f>
        <v>Null</v>
      </c>
    </row>
    <row r="135" spans="1:11" ht="15.75" hidden="1" customHeight="1">
      <c r="A135" s="133" t="s">
        <v>7</v>
      </c>
      <c r="B135" s="133" t="s">
        <v>224</v>
      </c>
      <c r="C135" s="133" t="s">
        <v>663</v>
      </c>
      <c r="D135" s="133" t="s">
        <v>481</v>
      </c>
      <c r="E135" s="158">
        <v>9</v>
      </c>
      <c r="F135" s="158">
        <v>18</v>
      </c>
      <c r="G135" s="158">
        <v>2</v>
      </c>
      <c r="H135" s="133" t="s">
        <v>479</v>
      </c>
      <c r="I135" s="158">
        <v>0</v>
      </c>
      <c r="J135" s="158">
        <v>1</v>
      </c>
      <c r="K135" s="159" t="str">
        <f ca="1">IFERROR(__xludf.DUMMYFUNCTION("GOOGLETRANSLATE(H135,""th"",""en"")"),"Null")</f>
        <v>Null</v>
      </c>
    </row>
    <row r="136" spans="1:11" ht="15.75" hidden="1" customHeight="1">
      <c r="A136" s="133" t="s">
        <v>7</v>
      </c>
      <c r="B136" s="133" t="s">
        <v>224</v>
      </c>
      <c r="C136" s="133" t="s">
        <v>164</v>
      </c>
      <c r="D136" s="133" t="s">
        <v>477</v>
      </c>
      <c r="E136" s="158">
        <v>50</v>
      </c>
      <c r="F136" s="158">
        <v>0</v>
      </c>
      <c r="G136" s="158">
        <v>0</v>
      </c>
      <c r="H136" s="133" t="s">
        <v>479</v>
      </c>
      <c r="I136" s="133" t="s">
        <v>479</v>
      </c>
      <c r="J136" s="158">
        <v>1</v>
      </c>
      <c r="K136" s="159" t="str">
        <f ca="1">IFERROR(__xludf.DUMMYFUNCTION("GOOGLETRANSLATE(H136,""th"",""en"")"),"Null")</f>
        <v>Null</v>
      </c>
    </row>
    <row r="137" spans="1:11" ht="15.75" hidden="1" customHeight="1">
      <c r="A137" s="133" t="s">
        <v>7</v>
      </c>
      <c r="B137" s="133" t="s">
        <v>224</v>
      </c>
      <c r="C137" s="133" t="s">
        <v>664</v>
      </c>
      <c r="D137" s="133" t="s">
        <v>481</v>
      </c>
      <c r="E137" s="158">
        <v>9</v>
      </c>
      <c r="F137" s="158">
        <v>18</v>
      </c>
      <c r="G137" s="158">
        <v>2</v>
      </c>
      <c r="H137" s="133" t="s">
        <v>479</v>
      </c>
      <c r="I137" s="158">
        <v>0</v>
      </c>
      <c r="J137" s="158">
        <v>1</v>
      </c>
      <c r="K137" s="159" t="str">
        <f ca="1">IFERROR(__xludf.DUMMYFUNCTION("GOOGLETRANSLATE(H137,""th"",""en"")"),"Null")</f>
        <v>Null</v>
      </c>
    </row>
    <row r="138" spans="1:11" ht="15.75" hidden="1" customHeight="1">
      <c r="A138" s="133" t="s">
        <v>7</v>
      </c>
      <c r="B138" s="133" t="s">
        <v>224</v>
      </c>
      <c r="C138" s="133" t="s">
        <v>665</v>
      </c>
      <c r="D138" s="133" t="s">
        <v>481</v>
      </c>
      <c r="E138" s="158">
        <v>9</v>
      </c>
      <c r="F138" s="158">
        <v>18</v>
      </c>
      <c r="G138" s="158">
        <v>2</v>
      </c>
      <c r="H138" s="133" t="s">
        <v>479</v>
      </c>
      <c r="I138" s="158">
        <v>0</v>
      </c>
      <c r="J138" s="158">
        <v>1</v>
      </c>
      <c r="K138" s="159" t="str">
        <f ca="1">IFERROR(__xludf.DUMMYFUNCTION("GOOGLETRANSLATE(H138,""th"",""en"")"),"Null")</f>
        <v>Null</v>
      </c>
    </row>
    <row r="139" spans="1:11" ht="15.75" hidden="1" customHeight="1">
      <c r="A139" s="133" t="s">
        <v>7</v>
      </c>
      <c r="B139" s="133" t="s">
        <v>224</v>
      </c>
      <c r="C139" s="133" t="s">
        <v>666</v>
      </c>
      <c r="D139" s="133" t="s">
        <v>538</v>
      </c>
      <c r="E139" s="158">
        <v>8</v>
      </c>
      <c r="F139" s="158">
        <v>23</v>
      </c>
      <c r="G139" s="158">
        <v>3</v>
      </c>
      <c r="H139" s="133" t="s">
        <v>479</v>
      </c>
      <c r="I139" s="133" t="s">
        <v>479</v>
      </c>
      <c r="J139" s="158">
        <v>1</v>
      </c>
      <c r="K139" s="159" t="str">
        <f ca="1">IFERROR(__xludf.DUMMYFUNCTION("GOOGLETRANSLATE(H139,""th"",""en"")"),"Null")</f>
        <v>Null</v>
      </c>
    </row>
    <row r="140" spans="1:11" ht="15.75" hidden="1" customHeight="1">
      <c r="A140" s="133" t="s">
        <v>7</v>
      </c>
      <c r="B140" s="133" t="s">
        <v>224</v>
      </c>
      <c r="C140" s="133" t="s">
        <v>521</v>
      </c>
      <c r="D140" s="133" t="s">
        <v>477</v>
      </c>
      <c r="E140" s="158">
        <v>8</v>
      </c>
      <c r="F140" s="158">
        <v>0</v>
      </c>
      <c r="G140" s="158">
        <v>0</v>
      </c>
      <c r="H140" s="133" t="s">
        <v>479</v>
      </c>
      <c r="I140" s="133" t="s">
        <v>479</v>
      </c>
      <c r="J140" s="158">
        <v>1</v>
      </c>
      <c r="K140" s="159" t="str">
        <f ca="1">IFERROR(__xludf.DUMMYFUNCTION("GOOGLETRANSLATE(H140,""th"",""en"")"),"Null")</f>
        <v>Null</v>
      </c>
    </row>
    <row r="141" spans="1:11" ht="15.75" hidden="1" customHeight="1">
      <c r="A141" s="133" t="s">
        <v>7</v>
      </c>
      <c r="B141" s="133" t="s">
        <v>224</v>
      </c>
      <c r="C141" s="133" t="s">
        <v>523</v>
      </c>
      <c r="D141" s="133" t="s">
        <v>477</v>
      </c>
      <c r="E141" s="158">
        <v>8</v>
      </c>
      <c r="F141" s="158">
        <v>0</v>
      </c>
      <c r="G141" s="158">
        <v>0</v>
      </c>
      <c r="H141" s="133" t="s">
        <v>479</v>
      </c>
      <c r="I141" s="133" t="s">
        <v>479</v>
      </c>
      <c r="J141" s="158">
        <v>1</v>
      </c>
      <c r="K141" s="159" t="str">
        <f ca="1">IFERROR(__xludf.DUMMYFUNCTION("GOOGLETRANSLATE(H141,""th"",""en"")"),"Null")</f>
        <v>Null</v>
      </c>
    </row>
    <row r="142" spans="1:11" ht="15.75" hidden="1" customHeight="1">
      <c r="A142" s="133" t="s">
        <v>7</v>
      </c>
      <c r="B142" s="133" t="s">
        <v>224</v>
      </c>
      <c r="C142" s="133" t="s">
        <v>215</v>
      </c>
      <c r="D142" s="133" t="s">
        <v>538</v>
      </c>
      <c r="E142" s="158">
        <v>8</v>
      </c>
      <c r="F142" s="158">
        <v>23</v>
      </c>
      <c r="G142" s="158">
        <v>3</v>
      </c>
      <c r="H142" s="133" t="s">
        <v>479</v>
      </c>
      <c r="I142" s="133" t="s">
        <v>479</v>
      </c>
      <c r="J142" s="158">
        <v>1</v>
      </c>
      <c r="K142" s="159" t="str">
        <f ca="1">IFERROR(__xludf.DUMMYFUNCTION("GOOGLETRANSLATE(H142,""th"",""en"")"),"Null")</f>
        <v>Null</v>
      </c>
    </row>
    <row r="143" spans="1:11" ht="15.75" hidden="1" customHeight="1">
      <c r="A143" s="133" t="s">
        <v>7</v>
      </c>
      <c r="B143" s="133" t="s">
        <v>224</v>
      </c>
      <c r="C143" s="133" t="s">
        <v>667</v>
      </c>
      <c r="D143" s="133" t="s">
        <v>477</v>
      </c>
      <c r="E143" s="158">
        <v>7</v>
      </c>
      <c r="F143" s="158">
        <v>0</v>
      </c>
      <c r="G143" s="158">
        <v>0</v>
      </c>
      <c r="H143" s="133" t="s">
        <v>479</v>
      </c>
      <c r="I143" s="133" t="s">
        <v>479</v>
      </c>
      <c r="J143" s="158">
        <v>1</v>
      </c>
      <c r="K143" s="159" t="str">
        <f ca="1">IFERROR(__xludf.DUMMYFUNCTION("GOOGLETRANSLATE(H143,""th"",""en"")"),"Null")</f>
        <v>Null</v>
      </c>
    </row>
    <row r="144" spans="1:11" ht="15.75" hidden="1" customHeight="1">
      <c r="A144" s="133" t="s">
        <v>7</v>
      </c>
      <c r="B144" s="133" t="s">
        <v>224</v>
      </c>
      <c r="C144" s="133" t="s">
        <v>668</v>
      </c>
      <c r="D144" s="133" t="s">
        <v>491</v>
      </c>
      <c r="E144" s="158">
        <v>2</v>
      </c>
      <c r="F144" s="158">
        <v>0</v>
      </c>
      <c r="G144" s="158">
        <v>0</v>
      </c>
      <c r="H144" s="133" t="s">
        <v>479</v>
      </c>
      <c r="I144" s="133" t="s">
        <v>479</v>
      </c>
      <c r="J144" s="158">
        <v>1</v>
      </c>
      <c r="K144" s="159" t="str">
        <f ca="1">IFERROR(__xludf.DUMMYFUNCTION("GOOGLETRANSLATE(H144,""th"",""en"")"),"Null")</f>
        <v>Null</v>
      </c>
    </row>
    <row r="145" spans="1:11" ht="15.75" hidden="1" customHeight="1">
      <c r="A145" s="133" t="s">
        <v>7</v>
      </c>
      <c r="B145" s="133" t="s">
        <v>224</v>
      </c>
      <c r="C145" s="133" t="s">
        <v>669</v>
      </c>
      <c r="D145" s="133" t="s">
        <v>496</v>
      </c>
      <c r="E145" s="158">
        <v>4</v>
      </c>
      <c r="F145" s="158">
        <v>16</v>
      </c>
      <c r="G145" s="158">
        <v>0</v>
      </c>
      <c r="H145" s="133" t="s">
        <v>479</v>
      </c>
      <c r="I145" s="133" t="s">
        <v>479</v>
      </c>
      <c r="J145" s="158">
        <v>1</v>
      </c>
      <c r="K145" s="159" t="str">
        <f ca="1">IFERROR(__xludf.DUMMYFUNCTION("GOOGLETRANSLATE(H145,""th"",""en"")"),"Null")</f>
        <v>Null</v>
      </c>
    </row>
    <row r="146" spans="1:11" ht="15.75" hidden="1" customHeight="1">
      <c r="A146" s="133" t="s">
        <v>7</v>
      </c>
      <c r="B146" s="133" t="s">
        <v>224</v>
      </c>
      <c r="C146" s="133" t="s">
        <v>670</v>
      </c>
      <c r="D146" s="133" t="s">
        <v>477</v>
      </c>
      <c r="E146" s="158">
        <v>8</v>
      </c>
      <c r="F146" s="158">
        <v>0</v>
      </c>
      <c r="G146" s="158">
        <v>0</v>
      </c>
      <c r="H146" s="133" t="s">
        <v>479</v>
      </c>
      <c r="I146" s="133" t="s">
        <v>479</v>
      </c>
      <c r="J146" s="158">
        <v>1</v>
      </c>
      <c r="K146" s="159" t="str">
        <f ca="1">IFERROR(__xludf.DUMMYFUNCTION("GOOGLETRANSLATE(H146,""th"",""en"")"),"Null")</f>
        <v>Null</v>
      </c>
    </row>
    <row r="147" spans="1:11" ht="15.75" hidden="1" customHeight="1">
      <c r="A147" s="133" t="s">
        <v>7</v>
      </c>
      <c r="B147" s="133" t="s">
        <v>226</v>
      </c>
      <c r="C147" s="133" t="s">
        <v>534</v>
      </c>
      <c r="D147" s="133" t="s">
        <v>477</v>
      </c>
      <c r="E147" s="158">
        <v>20</v>
      </c>
      <c r="F147" s="158">
        <v>0</v>
      </c>
      <c r="G147" s="158">
        <v>0</v>
      </c>
      <c r="H147" s="133" t="s">
        <v>671</v>
      </c>
      <c r="I147" s="133" t="s">
        <v>479</v>
      </c>
      <c r="J147" s="158">
        <v>0</v>
      </c>
      <c r="K147" s="159" t="str">
        <f ca="1">IFERROR(__xludf.DUMMYFUNCTION("GOOGLETRANSLATE(H147,""th"",""en"")"),"Reference no.")</f>
        <v>Reference no.</v>
      </c>
    </row>
    <row r="148" spans="1:11" ht="15.75" hidden="1" customHeight="1">
      <c r="A148" s="133" t="s">
        <v>7</v>
      </c>
      <c r="B148" s="133" t="s">
        <v>226</v>
      </c>
      <c r="C148" s="133" t="s">
        <v>551</v>
      </c>
      <c r="D148" s="133" t="s">
        <v>477</v>
      </c>
      <c r="E148" s="158">
        <v>8</v>
      </c>
      <c r="F148" s="158">
        <v>0</v>
      </c>
      <c r="G148" s="158">
        <v>0</v>
      </c>
      <c r="H148" s="133" t="s">
        <v>672</v>
      </c>
      <c r="I148" s="133" t="s">
        <v>479</v>
      </c>
      <c r="J148" s="158">
        <v>0</v>
      </c>
      <c r="K148" s="159" t="str">
        <f ca="1">IFERROR(__xludf.DUMMYFUNCTION("GOOGLETRANSLATE(H148,""th"",""en"")"),"Customer ID")</f>
        <v>Customer ID</v>
      </c>
    </row>
    <row r="149" spans="1:11" ht="15.75" hidden="1" customHeight="1">
      <c r="A149" s="133" t="s">
        <v>7</v>
      </c>
      <c r="B149" s="133" t="s">
        <v>226</v>
      </c>
      <c r="C149" s="133" t="s">
        <v>601</v>
      </c>
      <c r="D149" s="133" t="s">
        <v>496</v>
      </c>
      <c r="E149" s="158">
        <v>4</v>
      </c>
      <c r="F149" s="158">
        <v>16</v>
      </c>
      <c r="G149" s="158">
        <v>0</v>
      </c>
      <c r="H149" s="133" t="s">
        <v>497</v>
      </c>
      <c r="I149" s="133" t="s">
        <v>479</v>
      </c>
      <c r="J149" s="158">
        <v>1</v>
      </c>
      <c r="K149" s="159" t="str">
        <f ca="1">IFERROR(__xludf.DUMMYFUNCTION("GOOGLETRANSLATE(H149,""th"",""en"")"),"Transaction Date")</f>
        <v>Transaction Date</v>
      </c>
    </row>
    <row r="150" spans="1:11" ht="15.75" hidden="1" customHeight="1">
      <c r="A150" s="133" t="s">
        <v>7</v>
      </c>
      <c r="B150" s="133" t="s">
        <v>226</v>
      </c>
      <c r="C150" s="133" t="s">
        <v>228</v>
      </c>
      <c r="D150" s="133" t="s">
        <v>477</v>
      </c>
      <c r="E150" s="158">
        <v>16</v>
      </c>
      <c r="F150" s="158">
        <v>0</v>
      </c>
      <c r="G150" s="158">
        <v>0</v>
      </c>
      <c r="H150" s="133" t="s">
        <v>479</v>
      </c>
      <c r="I150" s="133" t="s">
        <v>479</v>
      </c>
      <c r="J150" s="158">
        <v>0</v>
      </c>
      <c r="K150" s="159" t="str">
        <f ca="1">IFERROR(__xludf.DUMMYFUNCTION("GOOGLETRANSLATE(H150,""th"",""en"")"),"Null")</f>
        <v>Null</v>
      </c>
    </row>
    <row r="151" spans="1:11" ht="15.75" hidden="1" customHeight="1">
      <c r="A151" s="133" t="s">
        <v>7</v>
      </c>
      <c r="B151" s="133" t="s">
        <v>226</v>
      </c>
      <c r="C151" s="133" t="s">
        <v>598</v>
      </c>
      <c r="D151" s="133" t="s">
        <v>477</v>
      </c>
      <c r="E151" s="158">
        <v>10</v>
      </c>
      <c r="F151" s="158">
        <v>0</v>
      </c>
      <c r="G151" s="158">
        <v>0</v>
      </c>
      <c r="H151" s="133" t="s">
        <v>478</v>
      </c>
      <c r="I151" s="133" t="s">
        <v>479</v>
      </c>
      <c r="J151" s="158">
        <v>1</v>
      </c>
      <c r="K151" s="159" t="str">
        <f ca="1">IFERROR(__xludf.DUMMYFUNCTION("GOOGLETRANSLATE(H151,""th"",""en"")"),"Voucher no. (Format: AP / YYYY-MM)")</f>
        <v>Voucher no. (Format: AP / YYYY-MM)</v>
      </c>
    </row>
    <row r="152" spans="1:11" ht="15.75" hidden="1" customHeight="1">
      <c r="A152" s="133" t="s">
        <v>7</v>
      </c>
      <c r="B152" s="133" t="s">
        <v>226</v>
      </c>
      <c r="C152" s="133" t="s">
        <v>599</v>
      </c>
      <c r="D152" s="133" t="s">
        <v>484</v>
      </c>
      <c r="E152" s="158">
        <v>4</v>
      </c>
      <c r="F152" s="158">
        <v>10</v>
      </c>
      <c r="G152" s="158">
        <v>0</v>
      </c>
      <c r="H152" s="133" t="s">
        <v>482</v>
      </c>
      <c r="I152" s="133" t="s">
        <v>479</v>
      </c>
      <c r="J152" s="158">
        <v>1</v>
      </c>
      <c r="K152" s="159" t="str">
        <f ca="1">IFERROR(__xludf.DUMMYFUNCTION("GOOGLETRANSLATE(H152,""th"",""en"")"),"Sequence no. (Running NO)")</f>
        <v>Sequence no. (Running NO)</v>
      </c>
    </row>
    <row r="153" spans="1:11" ht="15.75" hidden="1" customHeight="1">
      <c r="A153" s="133" t="s">
        <v>7</v>
      </c>
      <c r="B153" s="133" t="s">
        <v>226</v>
      </c>
      <c r="C153" s="133" t="s">
        <v>541</v>
      </c>
      <c r="D153" s="133" t="s">
        <v>477</v>
      </c>
      <c r="E153" s="158">
        <v>2</v>
      </c>
      <c r="F153" s="158">
        <v>0</v>
      </c>
      <c r="G153" s="158">
        <v>0</v>
      </c>
      <c r="H153" s="133" t="s">
        <v>604</v>
      </c>
      <c r="I153" s="133" t="s">
        <v>479</v>
      </c>
      <c r="J153" s="158">
        <v>1</v>
      </c>
      <c r="K153" s="159" t="str">
        <f ca="1">IFERROR(__xludf.DUMMYFUNCTION("GOOGLETRANSLATE(H153,""th"",""en"")"),"Transaction Type")</f>
        <v>Transaction Type</v>
      </c>
    </row>
    <row r="154" spans="1:11" ht="15.75" hidden="1" customHeight="1">
      <c r="A154" s="133" t="s">
        <v>7</v>
      </c>
      <c r="B154" s="133" t="s">
        <v>226</v>
      </c>
      <c r="C154" s="133" t="s">
        <v>605</v>
      </c>
      <c r="D154" s="133" t="s">
        <v>491</v>
      </c>
      <c r="E154" s="158">
        <v>1</v>
      </c>
      <c r="F154" s="158">
        <v>0</v>
      </c>
      <c r="G154" s="158">
        <v>0</v>
      </c>
      <c r="H154" s="133" t="s">
        <v>673</v>
      </c>
      <c r="I154" s="133" t="s">
        <v>479</v>
      </c>
      <c r="J154" s="158">
        <v>1</v>
      </c>
      <c r="K154" s="159" t="str">
        <f ca="1">IFERROR(__xludf.DUMMYFUNCTION("GOOGLETRANSLATE(H154,""th"",""en"")"),"Transaction Status (A = Creatment AR, B = Bill, P = Print, S = Cutup debt)")</f>
        <v>Transaction Status (A = Creatment AR, B = Bill, P = Print, S = Cutup debt)</v>
      </c>
    </row>
    <row r="155" spans="1:11" ht="15.75" hidden="1" customHeight="1">
      <c r="A155" s="133" t="s">
        <v>7</v>
      </c>
      <c r="B155" s="133" t="s">
        <v>226</v>
      </c>
      <c r="C155" s="133" t="s">
        <v>657</v>
      </c>
      <c r="D155" s="133" t="s">
        <v>491</v>
      </c>
      <c r="E155" s="158">
        <v>1</v>
      </c>
      <c r="F155" s="158">
        <v>0</v>
      </c>
      <c r="G155" s="158">
        <v>0</v>
      </c>
      <c r="H155" s="133" t="s">
        <v>674</v>
      </c>
      <c r="I155" s="133" t="s">
        <v>479</v>
      </c>
      <c r="J155" s="158">
        <v>1</v>
      </c>
      <c r="K155" s="159" t="str">
        <f ca="1">IFERROR(__xludf.DUMMYFUNCTION("GOOGLETRANSLATE(H155,""th"",""en"")"),"Vat Flag")</f>
        <v>Vat Flag</v>
      </c>
    </row>
    <row r="156" spans="1:11" ht="15.75" hidden="1" customHeight="1">
      <c r="A156" s="133" t="s">
        <v>7</v>
      </c>
      <c r="B156" s="133" t="s">
        <v>226</v>
      </c>
      <c r="C156" s="133" t="s">
        <v>658</v>
      </c>
      <c r="D156" s="133" t="s">
        <v>481</v>
      </c>
      <c r="E156" s="158">
        <v>5</v>
      </c>
      <c r="F156" s="158">
        <v>9</v>
      </c>
      <c r="G156" s="158">
        <v>2</v>
      </c>
      <c r="H156" s="133" t="s">
        <v>675</v>
      </c>
      <c r="I156" s="133" t="s">
        <v>479</v>
      </c>
      <c r="J156" s="158">
        <v>1</v>
      </c>
      <c r="K156" s="159" t="str">
        <f ca="1">IFERROR(__xludf.DUMMYFUNCTION("GOOGLETRANSLATE(H156,""th"",""en"")"),"Vat Rate")</f>
        <v>Vat Rate</v>
      </c>
    </row>
    <row r="157" spans="1:11" ht="15.75" hidden="1" customHeight="1">
      <c r="A157" s="133" t="s">
        <v>7</v>
      </c>
      <c r="B157" s="133" t="s">
        <v>226</v>
      </c>
      <c r="C157" s="133" t="s">
        <v>660</v>
      </c>
      <c r="D157" s="133" t="s">
        <v>477</v>
      </c>
      <c r="E157" s="158">
        <v>3</v>
      </c>
      <c r="F157" s="158">
        <v>0</v>
      </c>
      <c r="G157" s="158">
        <v>0</v>
      </c>
      <c r="H157" s="133" t="s">
        <v>501</v>
      </c>
      <c r="I157" s="133" t="s">
        <v>479</v>
      </c>
      <c r="J157" s="158">
        <v>1</v>
      </c>
      <c r="K157" s="159" t="str">
        <f ca="1">IFERROR(__xludf.DUMMYFUNCTION("GOOGLETRANSLATE(H157,""th"",""en"")"),"Currency Code")</f>
        <v>Currency Code</v>
      </c>
    </row>
    <row r="158" spans="1:11" ht="15.75" hidden="1" customHeight="1">
      <c r="A158" s="133" t="s">
        <v>7</v>
      </c>
      <c r="B158" s="133" t="s">
        <v>226</v>
      </c>
      <c r="C158" s="133" t="s">
        <v>659</v>
      </c>
      <c r="D158" s="133" t="s">
        <v>481</v>
      </c>
      <c r="E158" s="158">
        <v>9</v>
      </c>
      <c r="F158" s="158">
        <v>18</v>
      </c>
      <c r="G158" s="158">
        <v>2</v>
      </c>
      <c r="H158" s="133" t="s">
        <v>499</v>
      </c>
      <c r="I158" s="133" t="s">
        <v>615</v>
      </c>
      <c r="J158" s="158">
        <v>1</v>
      </c>
      <c r="K158" s="159" t="str">
        <f ca="1">IFERROR(__xludf.DUMMYFUNCTION("GOOGLETRANSLATE(H158,""th"",""en"")"),"Amount (RELATED TO CURRENCY CODE)")</f>
        <v>Amount (RELATED TO CURRENCY CODE)</v>
      </c>
    </row>
    <row r="159" spans="1:11" ht="15.75" hidden="1" customHeight="1">
      <c r="A159" s="133" t="s">
        <v>7</v>
      </c>
      <c r="B159" s="133" t="s">
        <v>226</v>
      </c>
      <c r="C159" s="133" t="s">
        <v>662</v>
      </c>
      <c r="D159" s="133" t="s">
        <v>481</v>
      </c>
      <c r="E159" s="158">
        <v>9</v>
      </c>
      <c r="F159" s="158">
        <v>18</v>
      </c>
      <c r="G159" s="158">
        <v>2</v>
      </c>
      <c r="H159" s="133" t="s">
        <v>505</v>
      </c>
      <c r="I159" s="133" t="s">
        <v>615</v>
      </c>
      <c r="J159" s="158">
        <v>1</v>
      </c>
      <c r="K159" s="159" t="str">
        <f ca="1">IFERROR(__xludf.DUMMYFUNCTION("GOOGLETRANSLATE(H159,""th"",""en"")"),"Amount")</f>
        <v>Amount</v>
      </c>
    </row>
    <row r="160" spans="1:11" ht="15.75" hidden="1" customHeight="1">
      <c r="A160" s="133" t="s">
        <v>7</v>
      </c>
      <c r="B160" s="133" t="s">
        <v>226</v>
      </c>
      <c r="C160" s="133" t="s">
        <v>617</v>
      </c>
      <c r="D160" s="133" t="s">
        <v>481</v>
      </c>
      <c r="E160" s="158">
        <v>5</v>
      </c>
      <c r="F160" s="158">
        <v>9</v>
      </c>
      <c r="G160" s="158">
        <v>4</v>
      </c>
      <c r="H160" s="133" t="s">
        <v>503</v>
      </c>
      <c r="I160" s="133" t="s">
        <v>479</v>
      </c>
      <c r="J160" s="158">
        <v>1</v>
      </c>
      <c r="K160" s="159" t="str">
        <f ca="1">IFERROR(__xludf.DUMMYFUNCTION("GOOGLETRANSLATE(H160,""th"",""en"")"),"Currency Rate")</f>
        <v>Currency Rate</v>
      </c>
    </row>
    <row r="161" spans="1:11" ht="15.75" hidden="1" customHeight="1">
      <c r="A161" s="133" t="s">
        <v>7</v>
      </c>
      <c r="B161" s="133" t="s">
        <v>226</v>
      </c>
      <c r="C161" s="133" t="s">
        <v>661</v>
      </c>
      <c r="D161" s="133" t="s">
        <v>676</v>
      </c>
      <c r="E161" s="158">
        <v>8</v>
      </c>
      <c r="F161" s="158">
        <v>19</v>
      </c>
      <c r="G161" s="158">
        <v>4</v>
      </c>
      <c r="H161" s="133" t="s">
        <v>677</v>
      </c>
      <c r="I161" s="133" t="s">
        <v>479</v>
      </c>
      <c r="J161" s="158">
        <v>1</v>
      </c>
      <c r="K161" s="159" t="str">
        <f ca="1">IFERROR(__xludf.DUMMYFUNCTION("GOOGLETRANSLATE(H161,""th"",""en"")"),"Vat Amount (RELATED TO CURRENCY CODE)")</f>
        <v>Vat Amount (RELATED TO CURRENCY CODE)</v>
      </c>
    </row>
    <row r="162" spans="1:11" ht="15.75" hidden="1" customHeight="1">
      <c r="A162" s="133" t="s">
        <v>7</v>
      </c>
      <c r="B162" s="133" t="s">
        <v>226</v>
      </c>
      <c r="C162" s="133" t="s">
        <v>663</v>
      </c>
      <c r="D162" s="133" t="s">
        <v>481</v>
      </c>
      <c r="E162" s="158">
        <v>9</v>
      </c>
      <c r="F162" s="158">
        <v>18</v>
      </c>
      <c r="G162" s="158">
        <v>2</v>
      </c>
      <c r="H162" s="133" t="s">
        <v>678</v>
      </c>
      <c r="I162" s="133" t="s">
        <v>479</v>
      </c>
      <c r="J162" s="158">
        <v>1</v>
      </c>
      <c r="K162" s="159" t="str">
        <f ca="1">IFERROR(__xludf.DUMMYFUNCTION("GOOGLETRANSLATE(H162,""th"",""en"")"),"Vat Amount")</f>
        <v>Vat Amount</v>
      </c>
    </row>
    <row r="163" spans="1:11" ht="15.75" hidden="1" customHeight="1">
      <c r="A163" s="133" t="s">
        <v>7</v>
      </c>
      <c r="B163" s="133" t="s">
        <v>226</v>
      </c>
      <c r="C163" s="133" t="s">
        <v>164</v>
      </c>
      <c r="D163" s="133" t="s">
        <v>477</v>
      </c>
      <c r="E163" s="158">
        <v>100</v>
      </c>
      <c r="F163" s="158">
        <v>0</v>
      </c>
      <c r="G163" s="158">
        <v>0</v>
      </c>
      <c r="H163" s="133" t="s">
        <v>509</v>
      </c>
      <c r="I163" s="133" t="s">
        <v>479</v>
      </c>
      <c r="J163" s="158">
        <v>1</v>
      </c>
      <c r="K163" s="159" t="str">
        <f ca="1">IFERROR(__xludf.DUMMYFUNCTION("GOOGLETRANSLATE(H163,""th"",""en"")"),"REMARK")</f>
        <v>REMARK</v>
      </c>
    </row>
    <row r="164" spans="1:11" ht="15.75" hidden="1" customHeight="1">
      <c r="A164" s="133" t="s">
        <v>7</v>
      </c>
      <c r="B164" s="133" t="s">
        <v>226</v>
      </c>
      <c r="C164" s="133" t="s">
        <v>679</v>
      </c>
      <c r="D164" s="133" t="s">
        <v>481</v>
      </c>
      <c r="E164" s="158">
        <v>9</v>
      </c>
      <c r="F164" s="158">
        <v>18</v>
      </c>
      <c r="G164" s="158">
        <v>2</v>
      </c>
      <c r="H164" s="133" t="s">
        <v>680</v>
      </c>
      <c r="I164" s="133" t="s">
        <v>615</v>
      </c>
      <c r="J164" s="158">
        <v>1</v>
      </c>
      <c r="K164" s="159" t="str">
        <f ca="1">IFERROR(__xludf.DUMMYFUNCTION("GOOGLETRANSLATE(H164,""th"",""en"")"),"Slip Amount (RELATED TO CURRENCY CODE)")</f>
        <v>Slip Amount (RELATED TO CURRENCY CODE)</v>
      </c>
    </row>
    <row r="165" spans="1:11" ht="15.75" hidden="1" customHeight="1">
      <c r="A165" s="133" t="s">
        <v>7</v>
      </c>
      <c r="B165" s="133" t="s">
        <v>226</v>
      </c>
      <c r="C165" s="133" t="s">
        <v>681</v>
      </c>
      <c r="D165" s="133" t="s">
        <v>481</v>
      </c>
      <c r="E165" s="158">
        <v>9</v>
      </c>
      <c r="F165" s="158">
        <v>18</v>
      </c>
      <c r="G165" s="158">
        <v>2</v>
      </c>
      <c r="H165" s="133" t="s">
        <v>682</v>
      </c>
      <c r="I165" s="133" t="s">
        <v>615</v>
      </c>
      <c r="J165" s="158">
        <v>1</v>
      </c>
      <c r="K165" s="159" t="str">
        <f ca="1">IFERROR(__xludf.DUMMYFUNCTION("GOOGLETRANSLATE(H165,""th"",""en"")"),"Slip Amount")</f>
        <v>Slip Amount</v>
      </c>
    </row>
    <row r="166" spans="1:11" ht="15.75" hidden="1" customHeight="1">
      <c r="A166" s="133" t="s">
        <v>7</v>
      </c>
      <c r="B166" s="133" t="s">
        <v>226</v>
      </c>
      <c r="C166" s="133" t="s">
        <v>683</v>
      </c>
      <c r="D166" s="133" t="s">
        <v>496</v>
      </c>
      <c r="E166" s="158">
        <v>4</v>
      </c>
      <c r="F166" s="158">
        <v>16</v>
      </c>
      <c r="G166" s="158">
        <v>0</v>
      </c>
      <c r="H166" s="133" t="s">
        <v>684</v>
      </c>
      <c r="I166" s="133" t="s">
        <v>479</v>
      </c>
      <c r="J166" s="158">
        <v>1</v>
      </c>
      <c r="K166" s="159" t="str">
        <f ca="1">IFERROR(__xludf.DUMMYFUNCTION("GOOGLETRANSLATE(H166,""th"",""en"")"),"Last Slip Date")</f>
        <v>Last Slip Date</v>
      </c>
    </row>
    <row r="167" spans="1:11" ht="15.75" hidden="1" customHeight="1">
      <c r="A167" s="133" t="s">
        <v>7</v>
      </c>
      <c r="B167" s="133" t="s">
        <v>226</v>
      </c>
      <c r="C167" s="133" t="s">
        <v>664</v>
      </c>
      <c r="D167" s="133" t="s">
        <v>481</v>
      </c>
      <c r="E167" s="158">
        <v>9</v>
      </c>
      <c r="F167" s="158">
        <v>18</v>
      </c>
      <c r="G167" s="158">
        <v>2</v>
      </c>
      <c r="H167" s="133" t="s">
        <v>685</v>
      </c>
      <c r="I167" s="133" t="s">
        <v>615</v>
      </c>
      <c r="J167" s="158">
        <v>1</v>
      </c>
      <c r="K167" s="159" t="str">
        <f ca="1">IFERROR(__xludf.DUMMYFUNCTION("GOOGLETRANSLATE(H167,""th"",""en"")"),"SETTLED AMOUNT (Related to Currency Code)")</f>
        <v>SETTLED AMOUNT (Related to Currency Code)</v>
      </c>
    </row>
    <row r="168" spans="1:11" ht="15.75" hidden="1" customHeight="1">
      <c r="A168" s="133" t="s">
        <v>7</v>
      </c>
      <c r="B168" s="133" t="s">
        <v>226</v>
      </c>
      <c r="C168" s="133" t="s">
        <v>665</v>
      </c>
      <c r="D168" s="133" t="s">
        <v>481</v>
      </c>
      <c r="E168" s="158">
        <v>9</v>
      </c>
      <c r="F168" s="158">
        <v>18</v>
      </c>
      <c r="G168" s="158">
        <v>2</v>
      </c>
      <c r="H168" s="133" t="s">
        <v>686</v>
      </c>
      <c r="I168" s="133" t="s">
        <v>615</v>
      </c>
      <c r="J168" s="158">
        <v>1</v>
      </c>
      <c r="K168" s="159" t="str">
        <f ca="1">IFERROR(__xludf.DUMMYFUNCTION("GOOGLETRANSLATE(H168,""th"",""en"")"),"Settled Amount")</f>
        <v>Settled Amount</v>
      </c>
    </row>
    <row r="169" spans="1:11" ht="15.75" hidden="1" customHeight="1">
      <c r="A169" s="133" t="s">
        <v>7</v>
      </c>
      <c r="B169" s="133" t="s">
        <v>226</v>
      </c>
      <c r="C169" s="133" t="s">
        <v>666</v>
      </c>
      <c r="D169" s="133" t="s">
        <v>496</v>
      </c>
      <c r="E169" s="158">
        <v>4</v>
      </c>
      <c r="F169" s="158">
        <v>16</v>
      </c>
      <c r="G169" s="158">
        <v>0</v>
      </c>
      <c r="H169" s="133" t="s">
        <v>687</v>
      </c>
      <c r="I169" s="133" t="s">
        <v>479</v>
      </c>
      <c r="J169" s="158">
        <v>1</v>
      </c>
      <c r="K169" s="159" t="str">
        <f ca="1">IFERROR(__xludf.DUMMYFUNCTION("GOOGLETRANSLATE(H169,""th"",""en"")"),"Last Settled Date")</f>
        <v>Last Settled Date</v>
      </c>
    </row>
    <row r="170" spans="1:11" ht="15.75" hidden="1" customHeight="1">
      <c r="A170" s="133" t="s">
        <v>7</v>
      </c>
      <c r="B170" s="133" t="s">
        <v>226</v>
      </c>
      <c r="C170" s="133" t="s">
        <v>688</v>
      </c>
      <c r="D170" s="133" t="s">
        <v>496</v>
      </c>
      <c r="E170" s="158">
        <v>4</v>
      </c>
      <c r="F170" s="158">
        <v>16</v>
      </c>
      <c r="G170" s="158">
        <v>0</v>
      </c>
      <c r="H170" s="133" t="s">
        <v>689</v>
      </c>
      <c r="I170" s="133" t="s">
        <v>479</v>
      </c>
      <c r="J170" s="158">
        <v>1</v>
      </c>
      <c r="K170" s="159" t="str">
        <f ca="1">IFERROR(__xludf.DUMMYFUNCTION("GOOGLETRANSLATE(H170,""th"",""en"")"),"Due Date")</f>
        <v>Due Date</v>
      </c>
    </row>
    <row r="171" spans="1:11" ht="15.75" hidden="1" customHeight="1">
      <c r="A171" s="133" t="s">
        <v>7</v>
      </c>
      <c r="B171" s="133" t="s">
        <v>226</v>
      </c>
      <c r="C171" s="133" t="s">
        <v>690</v>
      </c>
      <c r="D171" s="133" t="s">
        <v>477</v>
      </c>
      <c r="E171" s="158">
        <v>12</v>
      </c>
      <c r="F171" s="158">
        <v>0</v>
      </c>
      <c r="G171" s="158">
        <v>0</v>
      </c>
      <c r="H171" s="133" t="s">
        <v>507</v>
      </c>
      <c r="I171" s="133" t="s">
        <v>479</v>
      </c>
      <c r="J171" s="158">
        <v>1</v>
      </c>
      <c r="K171" s="159" t="str">
        <f ca="1">IFERROR(__xludf.DUMMYFUNCTION("GOOGLETRANSLATE(H171,""th"",""en"")"),"Job No.")</f>
        <v>Job No.</v>
      </c>
    </row>
    <row r="172" spans="1:11" ht="15.75" hidden="1" customHeight="1">
      <c r="A172" s="133" t="s">
        <v>7</v>
      </c>
      <c r="B172" s="133" t="s">
        <v>226</v>
      </c>
      <c r="C172" s="133" t="s">
        <v>691</v>
      </c>
      <c r="D172" s="133" t="s">
        <v>477</v>
      </c>
      <c r="E172" s="158">
        <v>20</v>
      </c>
      <c r="F172" s="158">
        <v>0</v>
      </c>
      <c r="G172" s="158">
        <v>0</v>
      </c>
      <c r="H172" s="133" t="s">
        <v>692</v>
      </c>
      <c r="I172" s="133" t="s">
        <v>479</v>
      </c>
      <c r="J172" s="158">
        <v>1</v>
      </c>
      <c r="K172" s="159" t="str">
        <f ca="1">IFERROR(__xludf.DUMMYFUNCTION("GOOGLETRANSLATE(H172,""th"",""en"")"),"Vat Document No.")</f>
        <v>Vat Document No.</v>
      </c>
    </row>
    <row r="173" spans="1:11" ht="15.75" hidden="1" customHeight="1">
      <c r="A173" s="133" t="s">
        <v>7</v>
      </c>
      <c r="B173" s="133" t="s">
        <v>226</v>
      </c>
      <c r="C173" s="133" t="s">
        <v>693</v>
      </c>
      <c r="D173" s="133" t="s">
        <v>477</v>
      </c>
      <c r="E173" s="158">
        <v>3</v>
      </c>
      <c r="F173" s="158">
        <v>0</v>
      </c>
      <c r="G173" s="158">
        <v>0</v>
      </c>
      <c r="H173" s="133" t="s">
        <v>694</v>
      </c>
      <c r="I173" s="133" t="s">
        <v>479</v>
      </c>
      <c r="J173" s="158">
        <v>1</v>
      </c>
      <c r="K173" s="159" t="str">
        <f ca="1">IFERROR(__xludf.DUMMYFUNCTION("GOOGLETRANSLATE(H173,""th"",""en"")"),"Saleman Code")</f>
        <v>Saleman Code</v>
      </c>
    </row>
    <row r="174" spans="1:11" ht="15.75" hidden="1" customHeight="1">
      <c r="A174" s="133" t="s">
        <v>7</v>
      </c>
      <c r="B174" s="133" t="s">
        <v>226</v>
      </c>
      <c r="C174" s="133" t="s">
        <v>695</v>
      </c>
      <c r="D174" s="133" t="s">
        <v>477</v>
      </c>
      <c r="E174" s="158">
        <v>5</v>
      </c>
      <c r="F174" s="158">
        <v>0</v>
      </c>
      <c r="G174" s="158">
        <v>0</v>
      </c>
      <c r="H174" s="133" t="s">
        <v>696</v>
      </c>
      <c r="I174" s="133" t="s">
        <v>479</v>
      </c>
      <c r="J174" s="158">
        <v>1</v>
      </c>
      <c r="K174" s="159" t="str">
        <f ca="1">IFERROR(__xludf.DUMMYFUNCTION("GOOGLETRANSLATE(H174,""th"",""en"")"),"Term Code")</f>
        <v>Term Code</v>
      </c>
    </row>
    <row r="175" spans="1:11" ht="15.75" hidden="1" customHeight="1">
      <c r="A175" s="133" t="s">
        <v>7</v>
      </c>
      <c r="B175" s="133" t="s">
        <v>226</v>
      </c>
      <c r="C175" s="133" t="s">
        <v>697</v>
      </c>
      <c r="D175" s="133" t="s">
        <v>477</v>
      </c>
      <c r="E175" s="158">
        <v>5</v>
      </c>
      <c r="F175" s="158">
        <v>0</v>
      </c>
      <c r="G175" s="158">
        <v>0</v>
      </c>
      <c r="H175" s="133" t="s">
        <v>698</v>
      </c>
      <c r="I175" s="133" t="s">
        <v>479</v>
      </c>
      <c r="J175" s="158">
        <v>1</v>
      </c>
      <c r="K175" s="159" t="str">
        <f ca="1">IFERROR(__xludf.DUMMYFUNCTION("GOOGLETRANSLATE(H175,""th"",""en"")"),"Term of Payment")</f>
        <v>Term of Payment</v>
      </c>
    </row>
    <row r="176" spans="1:11" ht="15.75" hidden="1" customHeight="1">
      <c r="A176" s="133" t="s">
        <v>7</v>
      </c>
      <c r="B176" s="133" t="s">
        <v>226</v>
      </c>
      <c r="C176" s="133" t="s">
        <v>238</v>
      </c>
      <c r="D176" s="133" t="s">
        <v>477</v>
      </c>
      <c r="E176" s="158">
        <v>4</v>
      </c>
      <c r="F176" s="158">
        <v>0</v>
      </c>
      <c r="G176" s="158">
        <v>0</v>
      </c>
      <c r="H176" s="133" t="s">
        <v>699</v>
      </c>
      <c r="I176" s="133" t="s">
        <v>479</v>
      </c>
      <c r="J176" s="158">
        <v>1</v>
      </c>
      <c r="K176" s="159" t="str">
        <f ca="1">IFERROR(__xludf.DUMMYFUNCTION("GOOGLETRANSLATE(H176,""th"",""en"")"),"DePartment Code")</f>
        <v>DePartment Code</v>
      </c>
    </row>
    <row r="177" spans="1:11" ht="15.75" hidden="1" customHeight="1">
      <c r="A177" s="133" t="s">
        <v>7</v>
      </c>
      <c r="B177" s="133" t="s">
        <v>226</v>
      </c>
      <c r="C177" s="133" t="s">
        <v>521</v>
      </c>
      <c r="D177" s="133" t="s">
        <v>477</v>
      </c>
      <c r="E177" s="158">
        <v>8</v>
      </c>
      <c r="F177" s="158">
        <v>0</v>
      </c>
      <c r="G177" s="158">
        <v>0</v>
      </c>
      <c r="H177" s="133" t="s">
        <v>522</v>
      </c>
      <c r="I177" s="133" t="s">
        <v>479</v>
      </c>
      <c r="J177" s="158">
        <v>1</v>
      </c>
      <c r="K177" s="159" t="str">
        <f ca="1">IFERROR(__xludf.DUMMYFUNCTION("GOOGLETRANSLATE(H177,""th"",""en"")"),"Last update user")</f>
        <v>Last update user</v>
      </c>
    </row>
    <row r="178" spans="1:11" ht="15.75" hidden="1" customHeight="1">
      <c r="A178" s="133" t="s">
        <v>7</v>
      </c>
      <c r="B178" s="133" t="s">
        <v>226</v>
      </c>
      <c r="C178" s="133" t="s">
        <v>523</v>
      </c>
      <c r="D178" s="133" t="s">
        <v>477</v>
      </c>
      <c r="E178" s="158">
        <v>8</v>
      </c>
      <c r="F178" s="158">
        <v>0</v>
      </c>
      <c r="G178" s="158">
        <v>0</v>
      </c>
      <c r="H178" s="133" t="s">
        <v>524</v>
      </c>
      <c r="I178" s="133" t="s">
        <v>479</v>
      </c>
      <c r="J178" s="158">
        <v>1</v>
      </c>
      <c r="K178" s="159" t="str">
        <f ca="1">IFERROR(__xludf.DUMMYFUNCTION("GOOGLETRANSLATE(H178,""th"",""en"")"),"Created User")</f>
        <v>Created User</v>
      </c>
    </row>
    <row r="179" spans="1:11" ht="15.75" hidden="1" customHeight="1">
      <c r="A179" s="133" t="s">
        <v>7</v>
      </c>
      <c r="B179" s="133" t="s">
        <v>226</v>
      </c>
      <c r="C179" s="133" t="s">
        <v>215</v>
      </c>
      <c r="D179" s="133" t="s">
        <v>496</v>
      </c>
      <c r="E179" s="158">
        <v>4</v>
      </c>
      <c r="F179" s="158">
        <v>16</v>
      </c>
      <c r="G179" s="158">
        <v>0</v>
      </c>
      <c r="H179" s="133" t="s">
        <v>525</v>
      </c>
      <c r="I179" s="133" t="s">
        <v>479</v>
      </c>
      <c r="J179" s="158">
        <v>1</v>
      </c>
      <c r="K179" s="159" t="str">
        <f ca="1">IFERROR(__xludf.DUMMYFUNCTION("GOOGLETRANSLATE(H179,""th"",""en"")"),"Last Update Date")</f>
        <v>Last Update Date</v>
      </c>
    </row>
    <row r="180" spans="1:11" ht="15.75" hidden="1" customHeight="1">
      <c r="A180" s="133" t="s">
        <v>7</v>
      </c>
      <c r="B180" s="133" t="s">
        <v>226</v>
      </c>
      <c r="C180" s="133" t="s">
        <v>700</v>
      </c>
      <c r="D180" s="133" t="s">
        <v>491</v>
      </c>
      <c r="E180" s="158">
        <v>1</v>
      </c>
      <c r="F180" s="158">
        <v>0</v>
      </c>
      <c r="G180" s="158">
        <v>0</v>
      </c>
      <c r="H180" s="133" t="s">
        <v>701</v>
      </c>
      <c r="I180" s="133" t="s">
        <v>479</v>
      </c>
      <c r="J180" s="158">
        <v>1</v>
      </c>
      <c r="K180" s="159" t="str">
        <f ca="1">IFERROR(__xludf.DUMMYFUNCTION("GOOGLETRANSLATE(H180,""th"",""en"")"),"Status")</f>
        <v>Status</v>
      </c>
    </row>
    <row r="181" spans="1:11" ht="15.75" hidden="1" customHeight="1">
      <c r="A181" s="133" t="s">
        <v>7</v>
      </c>
      <c r="B181" s="133" t="s">
        <v>226</v>
      </c>
      <c r="C181" s="133" t="s">
        <v>702</v>
      </c>
      <c r="D181" s="133" t="s">
        <v>491</v>
      </c>
      <c r="E181" s="158">
        <v>1</v>
      </c>
      <c r="F181" s="158">
        <v>0</v>
      </c>
      <c r="G181" s="158">
        <v>0</v>
      </c>
      <c r="H181" s="133" t="s">
        <v>701</v>
      </c>
      <c r="I181" s="133" t="s">
        <v>479</v>
      </c>
      <c r="J181" s="158">
        <v>1</v>
      </c>
      <c r="K181" s="159" t="str">
        <f ca="1">IFERROR(__xludf.DUMMYFUNCTION("GOOGLETRANSLATE(H181,""th"",""en"")"),"Status")</f>
        <v>Status</v>
      </c>
    </row>
    <row r="182" spans="1:11" ht="15.75" hidden="1" customHeight="1">
      <c r="A182" s="133" t="s">
        <v>7</v>
      </c>
      <c r="B182" s="133" t="s">
        <v>226</v>
      </c>
      <c r="C182" s="133" t="s">
        <v>638</v>
      </c>
      <c r="D182" s="133" t="s">
        <v>491</v>
      </c>
      <c r="E182" s="158">
        <v>1</v>
      </c>
      <c r="F182" s="158">
        <v>0</v>
      </c>
      <c r="G182" s="158">
        <v>0</v>
      </c>
      <c r="H182" s="133" t="s">
        <v>639</v>
      </c>
      <c r="I182" s="133" t="s">
        <v>479</v>
      </c>
      <c r="J182" s="158">
        <v>1</v>
      </c>
      <c r="K182" s="159" t="str">
        <f ca="1">IFERROR(__xludf.DUMMYFUNCTION("GOOGLETRANSLATE(H182,""th"",""en"")"),"Previous Transaction Status")</f>
        <v>Previous Transaction Status</v>
      </c>
    </row>
    <row r="183" spans="1:11" ht="15.75" hidden="1" customHeight="1">
      <c r="A183" s="133" t="s">
        <v>7</v>
      </c>
      <c r="B183" s="133" t="s">
        <v>226</v>
      </c>
      <c r="C183" s="133" t="s">
        <v>703</v>
      </c>
      <c r="D183" s="133" t="s">
        <v>477</v>
      </c>
      <c r="E183" s="158">
        <v>100</v>
      </c>
      <c r="F183" s="158">
        <v>0</v>
      </c>
      <c r="G183" s="158">
        <v>0</v>
      </c>
      <c r="H183" s="133" t="s">
        <v>704</v>
      </c>
      <c r="I183" s="133" t="s">
        <v>479</v>
      </c>
      <c r="J183" s="158">
        <v>1</v>
      </c>
      <c r="K183" s="159" t="str">
        <f ca="1">IFERROR(__xludf.DUMMYFUNCTION("GOOGLETRANSLATE(H183,""th"",""en"")"),"Customer name")</f>
        <v>Customer name</v>
      </c>
    </row>
    <row r="184" spans="1:11" ht="15.75" hidden="1" customHeight="1">
      <c r="A184" s="133" t="s">
        <v>7</v>
      </c>
      <c r="B184" s="133" t="s">
        <v>226</v>
      </c>
      <c r="C184" s="133" t="s">
        <v>705</v>
      </c>
      <c r="D184" s="133" t="s">
        <v>496</v>
      </c>
      <c r="E184" s="158">
        <v>4</v>
      </c>
      <c r="F184" s="158">
        <v>16</v>
      </c>
      <c r="G184" s="158">
        <v>0</v>
      </c>
      <c r="H184" s="133" t="s">
        <v>706</v>
      </c>
      <c r="I184" s="133" t="s">
        <v>479</v>
      </c>
      <c r="J184" s="158">
        <v>1</v>
      </c>
      <c r="K184" s="159" t="str">
        <f ca="1">IFERROR(__xludf.DUMMYFUNCTION("GOOGLETRANSLATE(H184,""th"",""en"")"),"Skip to date")</f>
        <v>Skip to date</v>
      </c>
    </row>
    <row r="185" spans="1:11" ht="15.75" hidden="1" customHeight="1">
      <c r="A185" s="133" t="s">
        <v>7</v>
      </c>
      <c r="B185" s="133" t="s">
        <v>226</v>
      </c>
      <c r="C185" s="133" t="s">
        <v>526</v>
      </c>
      <c r="D185" s="133" t="s">
        <v>496</v>
      </c>
      <c r="E185" s="158">
        <v>4</v>
      </c>
      <c r="F185" s="158">
        <v>16</v>
      </c>
      <c r="G185" s="158">
        <v>0</v>
      </c>
      <c r="H185" s="133" t="s">
        <v>527</v>
      </c>
      <c r="I185" s="133" t="s">
        <v>479</v>
      </c>
      <c r="J185" s="158">
        <v>1</v>
      </c>
      <c r="K185" s="159" t="str">
        <f ca="1">IFERROR(__xludf.DUMMYFUNCTION("GOOGLETRANSLATE(H185,""th"",""en"")"),"Created Date")</f>
        <v>Created Date</v>
      </c>
    </row>
    <row r="186" spans="1:11" ht="15.75" hidden="1" customHeight="1">
      <c r="A186" s="133" t="s">
        <v>7</v>
      </c>
      <c r="B186" s="133" t="s">
        <v>226</v>
      </c>
      <c r="C186" s="133" t="s">
        <v>528</v>
      </c>
      <c r="D186" s="133" t="s">
        <v>491</v>
      </c>
      <c r="E186" s="158">
        <v>1</v>
      </c>
      <c r="F186" s="158">
        <v>0</v>
      </c>
      <c r="G186" s="158">
        <v>0</v>
      </c>
      <c r="H186" s="133" t="s">
        <v>707</v>
      </c>
      <c r="I186" s="133" t="s">
        <v>479</v>
      </c>
      <c r="J186" s="158">
        <v>1</v>
      </c>
      <c r="K186" s="159" t="str">
        <f ca="1">IFERROR(__xludf.DUMMYFUNCTION("GOOGLETRANSLATE(H186,""th"",""en"")"),"Post Flag")</f>
        <v>Post Flag</v>
      </c>
    </row>
    <row r="187" spans="1:11" ht="15.75" hidden="1" customHeight="1">
      <c r="A187" s="133" t="s">
        <v>7</v>
      </c>
      <c r="B187" s="133" t="s">
        <v>226</v>
      </c>
      <c r="C187" s="133" t="s">
        <v>530</v>
      </c>
      <c r="D187" s="133" t="s">
        <v>477</v>
      </c>
      <c r="E187" s="158">
        <v>8</v>
      </c>
      <c r="F187" s="158">
        <v>0</v>
      </c>
      <c r="G187" s="158">
        <v>0</v>
      </c>
      <c r="H187" s="133" t="s">
        <v>522</v>
      </c>
      <c r="I187" s="133" t="s">
        <v>479</v>
      </c>
      <c r="J187" s="158">
        <v>1</v>
      </c>
      <c r="K187" s="159" t="str">
        <f ca="1">IFERROR(__xludf.DUMMYFUNCTION("GOOGLETRANSLATE(H187,""th"",""en"")"),"Last update user")</f>
        <v>Last update user</v>
      </c>
    </row>
    <row r="188" spans="1:11" ht="15.75" hidden="1" customHeight="1">
      <c r="A188" s="133" t="s">
        <v>7</v>
      </c>
      <c r="B188" s="133" t="s">
        <v>226</v>
      </c>
      <c r="C188" s="133" t="s">
        <v>708</v>
      </c>
      <c r="D188" s="133" t="s">
        <v>477</v>
      </c>
      <c r="E188" s="158">
        <v>10</v>
      </c>
      <c r="F188" s="158">
        <v>0</v>
      </c>
      <c r="G188" s="158">
        <v>0</v>
      </c>
      <c r="H188" s="133" t="s">
        <v>709</v>
      </c>
      <c r="I188" s="133" t="s">
        <v>479</v>
      </c>
      <c r="J188" s="158">
        <v>1</v>
      </c>
      <c r="K188" s="159" t="str">
        <f ca="1">IFERROR(__xludf.DUMMYFUNCTION("GOOGLETRANSLATE(H188,""th"",""en"")"),"Payment Code")</f>
        <v>Payment Code</v>
      </c>
    </row>
    <row r="189" spans="1:11" ht="15.75" hidden="1" customHeight="1">
      <c r="A189" s="133" t="s">
        <v>7</v>
      </c>
      <c r="B189" s="133" t="s">
        <v>226</v>
      </c>
      <c r="C189" s="133" t="s">
        <v>710</v>
      </c>
      <c r="D189" s="133" t="s">
        <v>481</v>
      </c>
      <c r="E189" s="158">
        <v>5</v>
      </c>
      <c r="F189" s="158">
        <v>9</v>
      </c>
      <c r="G189" s="158">
        <v>2</v>
      </c>
      <c r="H189" s="133" t="s">
        <v>711</v>
      </c>
      <c r="I189" s="133" t="s">
        <v>615</v>
      </c>
      <c r="J189" s="158">
        <v>0</v>
      </c>
      <c r="K189" s="159" t="str">
        <f ca="1">IFERROR(__xludf.DUMMYFUNCTION("GOOGLETRANSLATE(H189,""th"",""en"")"),"Shipping (By Order, By Item)")</f>
        <v>Shipping (By Order, By Item)</v>
      </c>
    </row>
    <row r="190" spans="1:11" ht="15.75" hidden="1" customHeight="1">
      <c r="A190" s="133" t="s">
        <v>7</v>
      </c>
      <c r="B190" s="133" t="s">
        <v>226</v>
      </c>
      <c r="C190" s="133" t="s">
        <v>712</v>
      </c>
      <c r="D190" s="133" t="s">
        <v>477</v>
      </c>
      <c r="E190" s="158">
        <v>30</v>
      </c>
      <c r="F190" s="158">
        <v>0</v>
      </c>
      <c r="G190" s="158">
        <v>0</v>
      </c>
      <c r="H190" s="133" t="s">
        <v>479</v>
      </c>
      <c r="I190" s="133" t="s">
        <v>548</v>
      </c>
      <c r="J190" s="158">
        <v>0</v>
      </c>
      <c r="K190" s="159" t="str">
        <f ca="1">IFERROR(__xludf.DUMMYFUNCTION("GOOGLETRANSLATE(H190,""th"",""en"")"),"Null")</f>
        <v>Null</v>
      </c>
    </row>
    <row r="191" spans="1:11" ht="15.75" hidden="1" customHeight="1">
      <c r="A191" s="133" t="s">
        <v>7</v>
      </c>
      <c r="B191" s="133" t="s">
        <v>226</v>
      </c>
      <c r="C191" s="133" t="s">
        <v>546</v>
      </c>
      <c r="D191" s="133" t="s">
        <v>477</v>
      </c>
      <c r="E191" s="158">
        <v>20</v>
      </c>
      <c r="F191" s="158">
        <v>0</v>
      </c>
      <c r="G191" s="158">
        <v>0</v>
      </c>
      <c r="H191" s="133" t="s">
        <v>547</v>
      </c>
      <c r="I191" s="133" t="s">
        <v>548</v>
      </c>
      <c r="J191" s="158">
        <v>0</v>
      </c>
      <c r="K191" s="159" t="str">
        <f ca="1">IFERROR(__xludf.DUMMYFUNCTION("GOOGLETRANSLATE(H191,""th"",""en"")"),"Document number, tax invoice")</f>
        <v>Document number, tax invoice</v>
      </c>
    </row>
    <row r="192" spans="1:11" ht="15.75" hidden="1" customHeight="1">
      <c r="A192" s="133" t="s">
        <v>7</v>
      </c>
      <c r="B192" s="133" t="s">
        <v>230</v>
      </c>
      <c r="C192" s="133" t="s">
        <v>713</v>
      </c>
      <c r="D192" s="133" t="s">
        <v>477</v>
      </c>
      <c r="E192" s="158">
        <v>20</v>
      </c>
      <c r="F192" s="158">
        <v>0</v>
      </c>
      <c r="G192" s="158">
        <v>0</v>
      </c>
      <c r="H192" s="133" t="s">
        <v>479</v>
      </c>
      <c r="I192" s="133" t="s">
        <v>479</v>
      </c>
      <c r="J192" s="158">
        <v>0</v>
      </c>
      <c r="K192" s="159" t="str">
        <f ca="1">IFERROR(__xludf.DUMMYFUNCTION("GOOGLETRANSLATE(H192,""th"",""en"")"),"Null")</f>
        <v>Null</v>
      </c>
    </row>
    <row r="193" spans="1:11" ht="15.75" hidden="1" customHeight="1">
      <c r="A193" s="133" t="s">
        <v>7</v>
      </c>
      <c r="B193" s="133" t="s">
        <v>230</v>
      </c>
      <c r="C193" s="133" t="s">
        <v>551</v>
      </c>
      <c r="D193" s="133" t="s">
        <v>477</v>
      </c>
      <c r="E193" s="158">
        <v>8</v>
      </c>
      <c r="F193" s="158">
        <v>0</v>
      </c>
      <c r="G193" s="158">
        <v>0</v>
      </c>
      <c r="H193" s="133" t="s">
        <v>479</v>
      </c>
      <c r="I193" s="133" t="s">
        <v>479</v>
      </c>
      <c r="J193" s="158">
        <v>0</v>
      </c>
      <c r="K193" s="159" t="str">
        <f ca="1">IFERROR(__xludf.DUMMYFUNCTION("GOOGLETRANSLATE(H193,""th"",""en"")"),"Null")</f>
        <v>Null</v>
      </c>
    </row>
    <row r="194" spans="1:11" ht="15.75" hidden="1" customHeight="1">
      <c r="A194" s="133" t="s">
        <v>7</v>
      </c>
      <c r="B194" s="133" t="s">
        <v>230</v>
      </c>
      <c r="C194" s="133" t="s">
        <v>601</v>
      </c>
      <c r="D194" s="133" t="s">
        <v>538</v>
      </c>
      <c r="E194" s="158">
        <v>8</v>
      </c>
      <c r="F194" s="158">
        <v>23</v>
      </c>
      <c r="G194" s="158">
        <v>3</v>
      </c>
      <c r="H194" s="133" t="s">
        <v>479</v>
      </c>
      <c r="I194" s="133" t="s">
        <v>479</v>
      </c>
      <c r="J194" s="158">
        <v>1</v>
      </c>
      <c r="K194" s="159" t="str">
        <f ca="1">IFERROR(__xludf.DUMMYFUNCTION("GOOGLETRANSLATE(H194,""th"",""en"")"),"Null")</f>
        <v>Null</v>
      </c>
    </row>
    <row r="195" spans="1:11" ht="15.75" hidden="1" customHeight="1">
      <c r="A195" s="133" t="s">
        <v>7</v>
      </c>
      <c r="B195" s="133" t="s">
        <v>230</v>
      </c>
      <c r="C195" s="133" t="s">
        <v>714</v>
      </c>
      <c r="D195" s="133" t="s">
        <v>538</v>
      </c>
      <c r="E195" s="158">
        <v>8</v>
      </c>
      <c r="F195" s="158">
        <v>23</v>
      </c>
      <c r="G195" s="158">
        <v>3</v>
      </c>
      <c r="H195" s="133" t="s">
        <v>479</v>
      </c>
      <c r="I195" s="133" t="s">
        <v>479</v>
      </c>
      <c r="J195" s="158">
        <v>0</v>
      </c>
      <c r="K195" s="159" t="str">
        <f ca="1">IFERROR(__xludf.DUMMYFUNCTION("GOOGLETRANSLATE(H195,""th"",""en"")"),"Null")</f>
        <v>Null</v>
      </c>
    </row>
    <row r="196" spans="1:11" ht="15.75" hidden="1" customHeight="1">
      <c r="A196" s="133" t="s">
        <v>7</v>
      </c>
      <c r="B196" s="133" t="s">
        <v>230</v>
      </c>
      <c r="C196" s="133" t="s">
        <v>715</v>
      </c>
      <c r="D196" s="133" t="s">
        <v>477</v>
      </c>
      <c r="E196" s="158">
        <v>1</v>
      </c>
      <c r="F196" s="158">
        <v>0</v>
      </c>
      <c r="G196" s="158">
        <v>0</v>
      </c>
      <c r="H196" s="133" t="s">
        <v>479</v>
      </c>
      <c r="I196" s="133" t="s">
        <v>479</v>
      </c>
      <c r="J196" s="158">
        <v>1</v>
      </c>
      <c r="K196" s="159" t="str">
        <f ca="1">IFERROR(__xludf.DUMMYFUNCTION("GOOGLETRANSLATE(H196,""th"",""en"")"),"Null")</f>
        <v>Null</v>
      </c>
    </row>
    <row r="197" spans="1:11" ht="15.75" hidden="1" customHeight="1">
      <c r="A197" s="133" t="s">
        <v>7</v>
      </c>
      <c r="B197" s="133" t="s">
        <v>230</v>
      </c>
      <c r="C197" s="133" t="s">
        <v>228</v>
      </c>
      <c r="D197" s="133" t="s">
        <v>477</v>
      </c>
      <c r="E197" s="158">
        <v>16</v>
      </c>
      <c r="F197" s="158">
        <v>0</v>
      </c>
      <c r="G197" s="158">
        <v>0</v>
      </c>
      <c r="H197" s="133" t="s">
        <v>479</v>
      </c>
      <c r="I197" s="133" t="s">
        <v>479</v>
      </c>
      <c r="J197" s="158">
        <v>1</v>
      </c>
      <c r="K197" s="159" t="str">
        <f ca="1">IFERROR(__xludf.DUMMYFUNCTION("GOOGLETRANSLATE(H197,""th"",""en"")"),"Null")</f>
        <v>Null</v>
      </c>
    </row>
    <row r="198" spans="1:11" ht="15.75" hidden="1" customHeight="1">
      <c r="A198" s="133" t="s">
        <v>7</v>
      </c>
      <c r="B198" s="133" t="s">
        <v>230</v>
      </c>
      <c r="C198" s="133" t="s">
        <v>598</v>
      </c>
      <c r="D198" s="133" t="s">
        <v>477</v>
      </c>
      <c r="E198" s="158">
        <v>10</v>
      </c>
      <c r="F198" s="158">
        <v>0</v>
      </c>
      <c r="G198" s="158">
        <v>0</v>
      </c>
      <c r="H198" s="133" t="s">
        <v>479</v>
      </c>
      <c r="I198" s="133" t="s">
        <v>479</v>
      </c>
      <c r="J198" s="158">
        <v>1</v>
      </c>
      <c r="K198" s="159" t="str">
        <f ca="1">IFERROR(__xludf.DUMMYFUNCTION("GOOGLETRANSLATE(H198,""th"",""en"")"),"Null")</f>
        <v>Null</v>
      </c>
    </row>
    <row r="199" spans="1:11" ht="15.75" hidden="1" customHeight="1">
      <c r="A199" s="133" t="s">
        <v>7</v>
      </c>
      <c r="B199" s="133" t="s">
        <v>230</v>
      </c>
      <c r="C199" s="133" t="s">
        <v>599</v>
      </c>
      <c r="D199" s="133" t="s">
        <v>484</v>
      </c>
      <c r="E199" s="158">
        <v>4</v>
      </c>
      <c r="F199" s="158">
        <v>10</v>
      </c>
      <c r="G199" s="158">
        <v>0</v>
      </c>
      <c r="H199" s="133" t="s">
        <v>479</v>
      </c>
      <c r="I199" s="133" t="s">
        <v>479</v>
      </c>
      <c r="J199" s="158">
        <v>1</v>
      </c>
      <c r="K199" s="159" t="str">
        <f ca="1">IFERROR(__xludf.DUMMYFUNCTION("GOOGLETRANSLATE(H199,""th"",""en"")"),"Null")</f>
        <v>Null</v>
      </c>
    </row>
    <row r="200" spans="1:11" ht="15.75" hidden="1" customHeight="1">
      <c r="A200" s="133" t="s">
        <v>7</v>
      </c>
      <c r="B200" s="133" t="s">
        <v>230</v>
      </c>
      <c r="C200" s="133" t="s">
        <v>233</v>
      </c>
      <c r="D200" s="133" t="s">
        <v>477</v>
      </c>
      <c r="E200" s="158">
        <v>10</v>
      </c>
      <c r="F200" s="158">
        <v>0</v>
      </c>
      <c r="G200" s="158">
        <v>0</v>
      </c>
      <c r="H200" s="133" t="s">
        <v>479</v>
      </c>
      <c r="I200" s="133" t="s">
        <v>479</v>
      </c>
      <c r="J200" s="158">
        <v>1</v>
      </c>
      <c r="K200" s="159" t="str">
        <f ca="1">IFERROR(__xludf.DUMMYFUNCTION("GOOGLETRANSLATE(H200,""th"",""en"")"),"Null")</f>
        <v>Null</v>
      </c>
    </row>
    <row r="201" spans="1:11" ht="15.75" hidden="1" customHeight="1">
      <c r="A201" s="133" t="s">
        <v>7</v>
      </c>
      <c r="B201" s="133" t="s">
        <v>230</v>
      </c>
      <c r="C201" s="133" t="s">
        <v>238</v>
      </c>
      <c r="D201" s="133" t="s">
        <v>477</v>
      </c>
      <c r="E201" s="158">
        <v>4</v>
      </c>
      <c r="F201" s="158">
        <v>0</v>
      </c>
      <c r="G201" s="158">
        <v>0</v>
      </c>
      <c r="H201" s="133" t="s">
        <v>479</v>
      </c>
      <c r="I201" s="133" t="s">
        <v>479</v>
      </c>
      <c r="J201" s="158">
        <v>1</v>
      </c>
      <c r="K201" s="159" t="str">
        <f ca="1">IFERROR(__xludf.DUMMYFUNCTION("GOOGLETRANSLATE(H201,""th"",""en"")"),"Null")</f>
        <v>Null</v>
      </c>
    </row>
    <row r="202" spans="1:11" ht="15.75" hidden="1" customHeight="1">
      <c r="A202" s="133" t="s">
        <v>7</v>
      </c>
      <c r="B202" s="133" t="s">
        <v>230</v>
      </c>
      <c r="C202" s="133" t="s">
        <v>716</v>
      </c>
      <c r="D202" s="133" t="s">
        <v>717</v>
      </c>
      <c r="E202" s="158">
        <v>9</v>
      </c>
      <c r="F202" s="158">
        <v>18</v>
      </c>
      <c r="G202" s="158">
        <v>2</v>
      </c>
      <c r="H202" s="133" t="s">
        <v>479</v>
      </c>
      <c r="I202" s="133" t="s">
        <v>479</v>
      </c>
      <c r="J202" s="158">
        <v>1</v>
      </c>
      <c r="K202" s="159" t="str">
        <f ca="1">IFERROR(__xludf.DUMMYFUNCTION("GOOGLETRANSLATE(H202,""th"",""en"")"),"Null")</f>
        <v>Null</v>
      </c>
    </row>
    <row r="203" spans="1:11" ht="15.75" hidden="1" customHeight="1">
      <c r="A203" s="133" t="s">
        <v>7</v>
      </c>
      <c r="B203" s="133" t="s">
        <v>230</v>
      </c>
      <c r="C203" s="133" t="s">
        <v>718</v>
      </c>
      <c r="D203" s="133" t="s">
        <v>717</v>
      </c>
      <c r="E203" s="158">
        <v>9</v>
      </c>
      <c r="F203" s="158">
        <v>18</v>
      </c>
      <c r="G203" s="158">
        <v>2</v>
      </c>
      <c r="H203" s="133" t="s">
        <v>479</v>
      </c>
      <c r="I203" s="133" t="s">
        <v>479</v>
      </c>
      <c r="J203" s="158">
        <v>1</v>
      </c>
      <c r="K203" s="159" t="str">
        <f ca="1">IFERROR(__xludf.DUMMYFUNCTION("GOOGLETRANSLATE(H203,""th"",""en"")"),"Null")</f>
        <v>Null</v>
      </c>
    </row>
    <row r="204" spans="1:11" ht="15.75" hidden="1" customHeight="1">
      <c r="A204" s="133" t="s">
        <v>7</v>
      </c>
      <c r="B204" s="133" t="s">
        <v>230</v>
      </c>
      <c r="C204" s="133" t="s">
        <v>719</v>
      </c>
      <c r="D204" s="133" t="s">
        <v>477</v>
      </c>
      <c r="E204" s="158">
        <v>1</v>
      </c>
      <c r="F204" s="158">
        <v>0</v>
      </c>
      <c r="G204" s="158">
        <v>0</v>
      </c>
      <c r="H204" s="133" t="s">
        <v>479</v>
      </c>
      <c r="I204" s="133" t="s">
        <v>479</v>
      </c>
      <c r="J204" s="158">
        <v>1</v>
      </c>
      <c r="K204" s="159" t="str">
        <f ca="1">IFERROR(__xludf.DUMMYFUNCTION("GOOGLETRANSLATE(H204,""th"",""en"")"),"Null")</f>
        <v>Null</v>
      </c>
    </row>
    <row r="205" spans="1:11" ht="15.75" hidden="1" customHeight="1">
      <c r="A205" s="133" t="s">
        <v>7</v>
      </c>
      <c r="B205" s="133" t="s">
        <v>230</v>
      </c>
      <c r="C205" s="133" t="s">
        <v>720</v>
      </c>
      <c r="D205" s="133" t="s">
        <v>477</v>
      </c>
      <c r="E205" s="158">
        <v>50</v>
      </c>
      <c r="F205" s="158">
        <v>0</v>
      </c>
      <c r="G205" s="158">
        <v>0</v>
      </c>
      <c r="H205" s="133" t="s">
        <v>479</v>
      </c>
      <c r="I205" s="133" t="s">
        <v>479</v>
      </c>
      <c r="J205" s="158">
        <v>1</v>
      </c>
      <c r="K205" s="159" t="str">
        <f ca="1">IFERROR(__xludf.DUMMYFUNCTION("GOOGLETRANSLATE(H205,""th"",""en"")"),"Null")</f>
        <v>Null</v>
      </c>
    </row>
    <row r="206" spans="1:11" ht="15.75" hidden="1" customHeight="1">
      <c r="A206" s="133" t="s">
        <v>7</v>
      </c>
      <c r="B206" s="133" t="s">
        <v>230</v>
      </c>
      <c r="C206" s="133" t="s">
        <v>721</v>
      </c>
      <c r="D206" s="133" t="s">
        <v>477</v>
      </c>
      <c r="E206" s="158">
        <v>1</v>
      </c>
      <c r="F206" s="158">
        <v>0</v>
      </c>
      <c r="G206" s="158">
        <v>0</v>
      </c>
      <c r="H206" s="133" t="s">
        <v>479</v>
      </c>
      <c r="I206" s="133" t="s">
        <v>479</v>
      </c>
      <c r="J206" s="158">
        <v>1</v>
      </c>
      <c r="K206" s="159" t="str">
        <f ca="1">IFERROR(__xludf.DUMMYFUNCTION("GOOGLETRANSLATE(H206,""th"",""en"")"),"Null")</f>
        <v>Null</v>
      </c>
    </row>
    <row r="207" spans="1:11" ht="15.75" hidden="1" customHeight="1">
      <c r="A207" s="133" t="s">
        <v>7</v>
      </c>
      <c r="B207" s="133" t="s">
        <v>230</v>
      </c>
      <c r="C207" s="133" t="s">
        <v>722</v>
      </c>
      <c r="D207" s="133" t="s">
        <v>717</v>
      </c>
      <c r="E207" s="158">
        <v>5</v>
      </c>
      <c r="F207" s="158">
        <v>5</v>
      </c>
      <c r="G207" s="158">
        <v>2</v>
      </c>
      <c r="H207" s="133" t="s">
        <v>479</v>
      </c>
      <c r="I207" s="133" t="s">
        <v>479</v>
      </c>
      <c r="J207" s="158">
        <v>1</v>
      </c>
      <c r="K207" s="159" t="str">
        <f ca="1">IFERROR(__xludf.DUMMYFUNCTION("GOOGLETRANSLATE(H207,""th"",""en"")"),"Null")</f>
        <v>Null</v>
      </c>
    </row>
    <row r="208" spans="1:11" ht="15.75" hidden="1" customHeight="1">
      <c r="A208" s="133" t="s">
        <v>7</v>
      </c>
      <c r="B208" s="133" t="s">
        <v>230</v>
      </c>
      <c r="C208" s="133" t="s">
        <v>723</v>
      </c>
      <c r="D208" s="133" t="s">
        <v>491</v>
      </c>
      <c r="E208" s="158">
        <v>1</v>
      </c>
      <c r="F208" s="158">
        <v>0</v>
      </c>
      <c r="G208" s="158">
        <v>0</v>
      </c>
      <c r="H208" s="133" t="s">
        <v>479</v>
      </c>
      <c r="I208" s="133" t="s">
        <v>479</v>
      </c>
      <c r="J208" s="158">
        <v>1</v>
      </c>
      <c r="K208" s="159" t="str">
        <f ca="1">IFERROR(__xludf.DUMMYFUNCTION("GOOGLETRANSLATE(H208,""th"",""en"")"),"Null")</f>
        <v>Null</v>
      </c>
    </row>
    <row r="209" spans="1:11" ht="15.75" hidden="1" customHeight="1">
      <c r="A209" s="133" t="s">
        <v>7</v>
      </c>
      <c r="B209" s="133" t="s">
        <v>230</v>
      </c>
      <c r="C209" s="133" t="s">
        <v>724</v>
      </c>
      <c r="D209" s="133" t="s">
        <v>491</v>
      </c>
      <c r="E209" s="158">
        <v>1</v>
      </c>
      <c r="F209" s="158">
        <v>0</v>
      </c>
      <c r="G209" s="158">
        <v>0</v>
      </c>
      <c r="H209" s="133" t="s">
        <v>479</v>
      </c>
      <c r="I209" s="133" t="s">
        <v>725</v>
      </c>
      <c r="J209" s="158">
        <v>1</v>
      </c>
      <c r="K209" s="159" t="str">
        <f ca="1">IFERROR(__xludf.DUMMYFUNCTION("GOOGLETRANSLATE(H209,""th"",""en"")"),"Null")</f>
        <v>Null</v>
      </c>
    </row>
    <row r="210" spans="1:11" ht="15.75" hidden="1" customHeight="1">
      <c r="A210" s="133" t="s">
        <v>7</v>
      </c>
      <c r="B210" s="133" t="s">
        <v>230</v>
      </c>
      <c r="C210" s="133" t="s">
        <v>523</v>
      </c>
      <c r="D210" s="133" t="s">
        <v>477</v>
      </c>
      <c r="E210" s="158">
        <v>8</v>
      </c>
      <c r="F210" s="158">
        <v>0</v>
      </c>
      <c r="G210" s="158">
        <v>0</v>
      </c>
      <c r="H210" s="133" t="s">
        <v>479</v>
      </c>
      <c r="I210" s="133" t="s">
        <v>479</v>
      </c>
      <c r="J210" s="158">
        <v>1</v>
      </c>
      <c r="K210" s="159" t="str">
        <f ca="1">IFERROR(__xludf.DUMMYFUNCTION("GOOGLETRANSLATE(H210,""th"",""en"")"),"Null")</f>
        <v>Null</v>
      </c>
    </row>
    <row r="211" spans="1:11" ht="15.75" hidden="1" customHeight="1">
      <c r="A211" s="133" t="s">
        <v>7</v>
      </c>
      <c r="B211" s="133" t="s">
        <v>230</v>
      </c>
      <c r="C211" s="133" t="s">
        <v>669</v>
      </c>
      <c r="D211" s="133" t="s">
        <v>496</v>
      </c>
      <c r="E211" s="158">
        <v>4</v>
      </c>
      <c r="F211" s="158">
        <v>16</v>
      </c>
      <c r="G211" s="158">
        <v>0</v>
      </c>
      <c r="H211" s="133" t="s">
        <v>479</v>
      </c>
      <c r="I211" s="133" t="s">
        <v>479</v>
      </c>
      <c r="J211" s="158">
        <v>1</v>
      </c>
      <c r="K211" s="159" t="str">
        <f ca="1">IFERROR(__xludf.DUMMYFUNCTION("GOOGLETRANSLATE(H211,""th"",""en"")"),"Null")</f>
        <v>Null</v>
      </c>
    </row>
    <row r="212" spans="1:11" ht="15.75" hidden="1" customHeight="1">
      <c r="A212" s="133" t="s">
        <v>7</v>
      </c>
      <c r="B212" s="133" t="s">
        <v>230</v>
      </c>
      <c r="C212" s="133" t="s">
        <v>670</v>
      </c>
      <c r="D212" s="133" t="s">
        <v>477</v>
      </c>
      <c r="E212" s="158">
        <v>8</v>
      </c>
      <c r="F212" s="158">
        <v>0</v>
      </c>
      <c r="G212" s="158">
        <v>0</v>
      </c>
      <c r="H212" s="133" t="s">
        <v>479</v>
      </c>
      <c r="I212" s="133" t="s">
        <v>479</v>
      </c>
      <c r="J212" s="158">
        <v>1</v>
      </c>
      <c r="K212" s="159" t="str">
        <f ca="1">IFERROR(__xludf.DUMMYFUNCTION("GOOGLETRANSLATE(H212,""th"",""en"")"),"Null")</f>
        <v>Null</v>
      </c>
    </row>
    <row r="213" spans="1:11" ht="15.75" hidden="1" customHeight="1">
      <c r="A213" s="133" t="s">
        <v>7</v>
      </c>
      <c r="B213" s="133" t="s">
        <v>230</v>
      </c>
      <c r="C213" s="133" t="s">
        <v>215</v>
      </c>
      <c r="D213" s="133" t="s">
        <v>496</v>
      </c>
      <c r="E213" s="158">
        <v>4</v>
      </c>
      <c r="F213" s="158">
        <v>16</v>
      </c>
      <c r="G213" s="158">
        <v>0</v>
      </c>
      <c r="H213" s="133" t="s">
        <v>479</v>
      </c>
      <c r="I213" s="133" t="s">
        <v>479</v>
      </c>
      <c r="J213" s="158">
        <v>1</v>
      </c>
      <c r="K213" s="159" t="str">
        <f ca="1">IFERROR(__xludf.DUMMYFUNCTION("GOOGLETRANSLATE(H213,""th"",""en"")"),"Null")</f>
        <v>Null</v>
      </c>
    </row>
    <row r="214" spans="1:11" ht="15.75" hidden="1" customHeight="1">
      <c r="A214" s="133" t="s">
        <v>7</v>
      </c>
      <c r="B214" s="133" t="s">
        <v>267</v>
      </c>
      <c r="C214" s="133" t="s">
        <v>726</v>
      </c>
      <c r="D214" s="133" t="s">
        <v>477</v>
      </c>
      <c r="E214" s="158">
        <v>3</v>
      </c>
      <c r="F214" s="158">
        <v>0</v>
      </c>
      <c r="G214" s="158">
        <v>0</v>
      </c>
      <c r="H214" s="133" t="s">
        <v>727</v>
      </c>
      <c r="I214" s="133" t="s">
        <v>479</v>
      </c>
      <c r="J214" s="158">
        <v>0</v>
      </c>
      <c r="K214" s="159" t="str">
        <f ca="1">IFERROR(__xludf.DUMMYFUNCTION("GOOGLETRANSLATE(H214,""th"",""en"")"),"Billing error code - check check")</f>
        <v>Billing error code - check check</v>
      </c>
    </row>
    <row r="215" spans="1:11" ht="15.75" hidden="1" customHeight="1">
      <c r="A215" s="133" t="s">
        <v>7</v>
      </c>
      <c r="B215" s="133" t="s">
        <v>267</v>
      </c>
      <c r="C215" s="133" t="s">
        <v>728</v>
      </c>
      <c r="D215" s="133" t="s">
        <v>477</v>
      </c>
      <c r="E215" s="158">
        <v>50</v>
      </c>
      <c r="F215" s="158">
        <v>0</v>
      </c>
      <c r="G215" s="158">
        <v>0</v>
      </c>
      <c r="H215" s="133" t="s">
        <v>729</v>
      </c>
      <c r="I215" s="133" t="s">
        <v>479</v>
      </c>
      <c r="J215" s="158">
        <v>0</v>
      </c>
      <c r="K215" s="159" t="str">
        <f ca="1">IFERROR(__xludf.DUMMYFUNCTION("GOOGLETRANSLATE(H215,""th"",""en"")"),"Billing error code description - check check")</f>
        <v>Billing error code description - check check</v>
      </c>
    </row>
    <row r="216" spans="1:11" ht="15.75" hidden="1" customHeight="1">
      <c r="A216" s="133" t="s">
        <v>7</v>
      </c>
      <c r="B216" s="133" t="s">
        <v>267</v>
      </c>
      <c r="C216" s="133" t="s">
        <v>730</v>
      </c>
      <c r="D216" s="133" t="s">
        <v>477</v>
      </c>
      <c r="E216" s="158">
        <v>20</v>
      </c>
      <c r="F216" s="158">
        <v>0</v>
      </c>
      <c r="G216" s="158">
        <v>0</v>
      </c>
      <c r="H216" s="133" t="s">
        <v>731</v>
      </c>
      <c r="I216" s="133" t="s">
        <v>548</v>
      </c>
      <c r="J216" s="158">
        <v>0</v>
      </c>
      <c r="K216" s="159" t="str">
        <f ca="1">IFERROR(__xludf.DUMMYFUNCTION("GOOGLETRANSLATE(H216,""th"",""en"")"),"Type of information")</f>
        <v>Type of information</v>
      </c>
    </row>
    <row r="217" spans="1:11" ht="15.75" hidden="1" customHeight="1">
      <c r="A217" s="133" t="s">
        <v>7</v>
      </c>
      <c r="B217" s="133" t="s">
        <v>267</v>
      </c>
      <c r="C217" s="133" t="s">
        <v>732</v>
      </c>
      <c r="D217" s="133" t="s">
        <v>477</v>
      </c>
      <c r="E217" s="158">
        <v>20</v>
      </c>
      <c r="F217" s="158">
        <v>0</v>
      </c>
      <c r="G217" s="158">
        <v>0</v>
      </c>
      <c r="H217" s="133" t="s">
        <v>733</v>
      </c>
      <c r="I217" s="133" t="s">
        <v>548</v>
      </c>
      <c r="J217" s="158">
        <v>0</v>
      </c>
      <c r="K217" s="159" t="str">
        <f ca="1">IFERROR(__xludf.DUMMYFUNCTION("GOOGLETRANSLATE(H217,""th"",""en"")"),"Where is the data?")</f>
        <v>Where is the data?</v>
      </c>
    </row>
    <row r="218" spans="1:11" ht="15.75" hidden="1" customHeight="1">
      <c r="A218" s="133" t="s">
        <v>7</v>
      </c>
      <c r="B218" s="133" t="s">
        <v>267</v>
      </c>
      <c r="C218" s="133" t="s">
        <v>523</v>
      </c>
      <c r="D218" s="133" t="s">
        <v>477</v>
      </c>
      <c r="E218" s="158">
        <v>8</v>
      </c>
      <c r="F218" s="158">
        <v>0</v>
      </c>
      <c r="G218" s="158">
        <v>0</v>
      </c>
      <c r="H218" s="133" t="s">
        <v>734</v>
      </c>
      <c r="I218" s="133" t="s">
        <v>479</v>
      </c>
      <c r="J218" s="158">
        <v>1</v>
      </c>
      <c r="K218" s="159" t="str">
        <f ca="1">IFERROR(__xludf.DUMMYFUNCTION("GOOGLETRANSLATE(H218,""th"",""en"")"),"Creator name")</f>
        <v>Creator name</v>
      </c>
    </row>
    <row r="219" spans="1:11" ht="15.75" hidden="1" customHeight="1">
      <c r="A219" s="133" t="s">
        <v>7</v>
      </c>
      <c r="B219" s="133" t="s">
        <v>267</v>
      </c>
      <c r="C219" s="133" t="s">
        <v>669</v>
      </c>
      <c r="D219" s="133" t="s">
        <v>496</v>
      </c>
      <c r="E219" s="158">
        <v>4</v>
      </c>
      <c r="F219" s="158">
        <v>16</v>
      </c>
      <c r="G219" s="158">
        <v>0</v>
      </c>
      <c r="H219" s="133" t="s">
        <v>735</v>
      </c>
      <c r="I219" s="133" t="s">
        <v>479</v>
      </c>
      <c r="J219" s="158">
        <v>1</v>
      </c>
      <c r="K219" s="159" t="str">
        <f ca="1">IFERROR(__xludf.DUMMYFUNCTION("GOOGLETRANSLATE(H219,""th"",""en"")"),"Date created")</f>
        <v>Date created</v>
      </c>
    </row>
    <row r="220" spans="1:11" ht="15.75" hidden="1" customHeight="1">
      <c r="A220" s="133" t="s">
        <v>7</v>
      </c>
      <c r="B220" s="133" t="s">
        <v>267</v>
      </c>
      <c r="C220" s="133" t="s">
        <v>670</v>
      </c>
      <c r="D220" s="133" t="s">
        <v>477</v>
      </c>
      <c r="E220" s="158">
        <v>8</v>
      </c>
      <c r="F220" s="158">
        <v>0</v>
      </c>
      <c r="G220" s="158">
        <v>0</v>
      </c>
      <c r="H220" s="133" t="s">
        <v>736</v>
      </c>
      <c r="I220" s="133" t="s">
        <v>479</v>
      </c>
      <c r="J220" s="158">
        <v>1</v>
      </c>
      <c r="K220" s="159" t="str">
        <f ca="1">IFERROR(__xludf.DUMMYFUNCTION("GOOGLETRANSLATE(H220,""th"",""en"")"),"Last edited name")</f>
        <v>Last edited name</v>
      </c>
    </row>
    <row r="221" spans="1:11" ht="15.75" hidden="1" customHeight="1">
      <c r="A221" s="133" t="s">
        <v>7</v>
      </c>
      <c r="B221" s="133" t="s">
        <v>267</v>
      </c>
      <c r="C221" s="133" t="s">
        <v>215</v>
      </c>
      <c r="D221" s="133" t="s">
        <v>496</v>
      </c>
      <c r="E221" s="158">
        <v>4</v>
      </c>
      <c r="F221" s="158">
        <v>16</v>
      </c>
      <c r="G221" s="158">
        <v>0</v>
      </c>
      <c r="H221" s="133" t="s">
        <v>736</v>
      </c>
      <c r="I221" s="133" t="s">
        <v>479</v>
      </c>
      <c r="J221" s="158">
        <v>1</v>
      </c>
      <c r="K221" s="159" t="str">
        <f ca="1">IFERROR(__xludf.DUMMYFUNCTION("GOOGLETRANSLATE(H221,""th"",""en"")"),"Last edited name")</f>
        <v>Last edited name</v>
      </c>
    </row>
    <row r="222" spans="1:11" ht="15.75" hidden="1" customHeight="1">
      <c r="A222" s="133" t="s">
        <v>7</v>
      </c>
      <c r="B222" s="133" t="s">
        <v>267</v>
      </c>
      <c r="C222" s="133" t="s">
        <v>737</v>
      </c>
      <c r="D222" s="133" t="s">
        <v>477</v>
      </c>
      <c r="E222" s="158">
        <v>5</v>
      </c>
      <c r="F222" s="158">
        <v>0</v>
      </c>
      <c r="G222" s="158">
        <v>0</v>
      </c>
      <c r="H222" s="133" t="s">
        <v>738</v>
      </c>
      <c r="I222" s="133" t="s">
        <v>479</v>
      </c>
      <c r="J222" s="158">
        <v>1</v>
      </c>
      <c r="K222" s="159" t="str">
        <f ca="1">IFERROR(__xludf.DUMMYFUNCTION("GOOGLETRANSLATE(H222,""th"",""en"")"),"Used to identify whether or not in the Delivery Management program")</f>
        <v>Used to identify whether or not in the Delivery Management program</v>
      </c>
    </row>
    <row r="223" spans="1:11" ht="15.75" hidden="1" customHeight="1">
      <c r="A223" s="133" t="s">
        <v>7</v>
      </c>
      <c r="B223" s="133" t="s">
        <v>270</v>
      </c>
      <c r="C223" s="133" t="s">
        <v>271</v>
      </c>
      <c r="D223" s="133" t="s">
        <v>477</v>
      </c>
      <c r="E223" s="158">
        <v>7</v>
      </c>
      <c r="F223" s="158">
        <v>0</v>
      </c>
      <c r="G223" s="158">
        <v>0</v>
      </c>
      <c r="H223" s="133" t="s">
        <v>739</v>
      </c>
      <c r="I223" s="133" t="s">
        <v>479</v>
      </c>
      <c r="J223" s="158">
        <v>0</v>
      </c>
      <c r="K223" s="159" t="str">
        <f ca="1">IFERROR(__xludf.DUMMYFUNCTION("GOOGLETRANSLATE(H223,""th"",""en"")"),"Portan code")</f>
        <v>Portan code</v>
      </c>
    </row>
    <row r="224" spans="1:11" ht="15.75" hidden="1" customHeight="1">
      <c r="A224" s="133" t="s">
        <v>7</v>
      </c>
      <c r="B224" s="133" t="s">
        <v>270</v>
      </c>
      <c r="C224" s="133" t="s">
        <v>740</v>
      </c>
      <c r="D224" s="133" t="s">
        <v>477</v>
      </c>
      <c r="E224" s="158">
        <v>10</v>
      </c>
      <c r="F224" s="158">
        <v>0</v>
      </c>
      <c r="G224" s="158">
        <v>0</v>
      </c>
      <c r="H224" s="133" t="s">
        <v>741</v>
      </c>
      <c r="I224" s="133" t="s">
        <v>548</v>
      </c>
      <c r="J224" s="158">
        <v>0</v>
      </c>
      <c r="K224" s="159" t="str">
        <f ca="1">IFERROR(__xludf.DUMMYFUNCTION("GOOGLETRANSLATE(H224,""th"",""en"")"),"Named prefix")</f>
        <v>Named prefix</v>
      </c>
    </row>
    <row r="225" spans="1:11" ht="15.75" hidden="1" customHeight="1">
      <c r="A225" s="133" t="s">
        <v>7</v>
      </c>
      <c r="B225" s="133" t="s">
        <v>270</v>
      </c>
      <c r="C225" s="133" t="s">
        <v>742</v>
      </c>
      <c r="D225" s="133" t="s">
        <v>477</v>
      </c>
      <c r="E225" s="158">
        <v>50</v>
      </c>
      <c r="F225" s="158">
        <v>0</v>
      </c>
      <c r="G225" s="158">
        <v>0</v>
      </c>
      <c r="H225" s="133" t="s">
        <v>743</v>
      </c>
      <c r="I225" s="133" t="s">
        <v>548</v>
      </c>
      <c r="J225" s="158">
        <v>0</v>
      </c>
      <c r="K225" s="159" t="str">
        <f ca="1">IFERROR(__xludf.DUMMYFUNCTION("GOOGLETRANSLATE(H225,""th"",""en"")"),"Thai name")</f>
        <v>Thai name</v>
      </c>
    </row>
    <row r="226" spans="1:11" ht="15.75" hidden="1" customHeight="1">
      <c r="A226" s="133" t="s">
        <v>7</v>
      </c>
      <c r="B226" s="133" t="s">
        <v>270</v>
      </c>
      <c r="C226" s="133" t="s">
        <v>744</v>
      </c>
      <c r="D226" s="133" t="s">
        <v>477</v>
      </c>
      <c r="E226" s="158">
        <v>50</v>
      </c>
      <c r="F226" s="158">
        <v>0</v>
      </c>
      <c r="G226" s="158">
        <v>0</v>
      </c>
      <c r="H226" s="133" t="s">
        <v>745</v>
      </c>
      <c r="I226" s="133" t="s">
        <v>548</v>
      </c>
      <c r="J226" s="158">
        <v>1</v>
      </c>
      <c r="K226" s="159" t="str">
        <f ca="1">IFERROR(__xludf.DUMMYFUNCTION("GOOGLETRANSLATE(H226,""th"",""en"")"),"English name")</f>
        <v>English name</v>
      </c>
    </row>
    <row r="227" spans="1:11" ht="15.75" hidden="1" customHeight="1">
      <c r="A227" s="133" t="s">
        <v>7</v>
      </c>
      <c r="B227" s="133" t="s">
        <v>270</v>
      </c>
      <c r="C227" s="133" t="s">
        <v>746</v>
      </c>
      <c r="D227" s="133" t="s">
        <v>477</v>
      </c>
      <c r="E227" s="158">
        <v>50</v>
      </c>
      <c r="F227" s="158">
        <v>0</v>
      </c>
      <c r="G227" s="158">
        <v>0</v>
      </c>
      <c r="H227" s="133" t="s">
        <v>747</v>
      </c>
      <c r="I227" s="133" t="s">
        <v>548</v>
      </c>
      <c r="J227" s="158">
        <v>0</v>
      </c>
      <c r="K227" s="159" t="str">
        <f ca="1">IFERROR(__xludf.DUMMYFUNCTION("GOOGLETRANSLATE(H227,""th"",""en"")"),"Thai extension")</f>
        <v>Thai extension</v>
      </c>
    </row>
    <row r="228" spans="1:11" ht="15.75" hidden="1" customHeight="1">
      <c r="A228" s="133" t="s">
        <v>7</v>
      </c>
      <c r="B228" s="133" t="s">
        <v>270</v>
      </c>
      <c r="C228" s="133" t="s">
        <v>748</v>
      </c>
      <c r="D228" s="133" t="s">
        <v>477</v>
      </c>
      <c r="E228" s="158">
        <v>50</v>
      </c>
      <c r="F228" s="158">
        <v>0</v>
      </c>
      <c r="G228" s="158">
        <v>0</v>
      </c>
      <c r="H228" s="133" t="s">
        <v>749</v>
      </c>
      <c r="I228" s="133" t="s">
        <v>479</v>
      </c>
      <c r="J228" s="158">
        <v>1</v>
      </c>
      <c r="K228" s="159" t="str">
        <f ca="1">IFERROR(__xludf.DUMMYFUNCTION("GOOGLETRANSLATE(H228,""th"",""en"")"),"English extension")</f>
        <v>English extension</v>
      </c>
    </row>
    <row r="229" spans="1:11" ht="15.75" hidden="1" customHeight="1">
      <c r="A229" s="133" t="s">
        <v>7</v>
      </c>
      <c r="B229" s="133" t="s">
        <v>270</v>
      </c>
      <c r="C229" s="133" t="s">
        <v>750</v>
      </c>
      <c r="D229" s="133" t="s">
        <v>477</v>
      </c>
      <c r="E229" s="158">
        <v>1</v>
      </c>
      <c r="F229" s="158">
        <v>0</v>
      </c>
      <c r="G229" s="158">
        <v>0</v>
      </c>
      <c r="H229" s="133" t="s">
        <v>751</v>
      </c>
      <c r="I229" s="133" t="s">
        <v>479</v>
      </c>
      <c r="J229" s="158">
        <v>1</v>
      </c>
      <c r="K229" s="159" t="str">
        <f ca="1">IFERROR(__xludf.DUMMYFUNCTION("GOOGLETRANSLATE(H229,""th"",""en"")"),"Sex (M: male, F: Female)")</f>
        <v>Sex (M: male, F: Female)</v>
      </c>
    </row>
    <row r="230" spans="1:11" ht="15.75" hidden="1" customHeight="1">
      <c r="A230" s="133" t="s">
        <v>7</v>
      </c>
      <c r="B230" s="133" t="s">
        <v>270</v>
      </c>
      <c r="C230" s="133" t="s">
        <v>752</v>
      </c>
      <c r="D230" s="133" t="s">
        <v>477</v>
      </c>
      <c r="E230" s="158">
        <v>10</v>
      </c>
      <c r="F230" s="158">
        <v>0</v>
      </c>
      <c r="G230" s="158">
        <v>0</v>
      </c>
      <c r="H230" s="133" t="s">
        <v>753</v>
      </c>
      <c r="I230" s="133" t="s">
        <v>479</v>
      </c>
      <c r="J230" s="158">
        <v>1</v>
      </c>
      <c r="K230" s="159" t="str">
        <f ca="1">IFERROR(__xludf.DUMMYFUNCTION("GOOGLETRANSLATE(H230,""th"",""en"")"),"Disable: Employee status because if resigned, then delete from this table")</f>
        <v>Disable: Employee status because if resigned, then delete from this table</v>
      </c>
    </row>
    <row r="231" spans="1:11" ht="15.75" hidden="1" customHeight="1">
      <c r="A231" s="133" t="s">
        <v>7</v>
      </c>
      <c r="B231" s="133" t="s">
        <v>270</v>
      </c>
      <c r="C231" s="133" t="s">
        <v>754</v>
      </c>
      <c r="D231" s="133" t="s">
        <v>477</v>
      </c>
      <c r="E231" s="158">
        <v>50</v>
      </c>
      <c r="F231" s="158">
        <v>0</v>
      </c>
      <c r="G231" s="158">
        <v>0</v>
      </c>
      <c r="H231" s="133" t="s">
        <v>755</v>
      </c>
      <c r="I231" s="133" t="s">
        <v>479</v>
      </c>
      <c r="J231" s="158">
        <v>1</v>
      </c>
      <c r="K231" s="159" t="str">
        <f ca="1">IFERROR(__xludf.DUMMYFUNCTION("GOOGLETRANSLATE(H231,""th"",""en"")"),"Department code")</f>
        <v>Department code</v>
      </c>
    </row>
    <row r="232" spans="1:11" ht="15.75" hidden="1" customHeight="1">
      <c r="A232" s="133" t="s">
        <v>7</v>
      </c>
      <c r="B232" s="133" t="s">
        <v>270</v>
      </c>
      <c r="C232" s="133" t="s">
        <v>756</v>
      </c>
      <c r="D232" s="133" t="s">
        <v>477</v>
      </c>
      <c r="E232" s="158">
        <v>50</v>
      </c>
      <c r="F232" s="158">
        <v>0</v>
      </c>
      <c r="G232" s="158">
        <v>0</v>
      </c>
      <c r="H232" s="133" t="s">
        <v>757</v>
      </c>
      <c r="I232" s="133" t="s">
        <v>479</v>
      </c>
      <c r="J232" s="158">
        <v>1</v>
      </c>
      <c r="K232" s="159" t="str">
        <f ca="1">IFERROR(__xludf.DUMMYFUNCTION("GOOGLETRANSLATE(H232,""th"",""en"")"),"Not used: Department code")</f>
        <v>Not used: Department code</v>
      </c>
    </row>
    <row r="233" spans="1:11" ht="15.75" hidden="1" customHeight="1">
      <c r="A233" s="133" t="s">
        <v>7</v>
      </c>
      <c r="B233" s="133" t="s">
        <v>270</v>
      </c>
      <c r="C233" s="133" t="s">
        <v>758</v>
      </c>
      <c r="D233" s="133" t="s">
        <v>477</v>
      </c>
      <c r="E233" s="158">
        <v>40</v>
      </c>
      <c r="F233" s="158">
        <v>0</v>
      </c>
      <c r="G233" s="158">
        <v>0</v>
      </c>
      <c r="H233" s="133" t="s">
        <v>479</v>
      </c>
      <c r="I233" s="133" t="s">
        <v>479</v>
      </c>
      <c r="J233" s="158">
        <v>1</v>
      </c>
      <c r="K233" s="159" t="str">
        <f ca="1">IFERROR(__xludf.DUMMYFUNCTION("GOOGLETRANSLATE(H233,""th"",""en"")"),"Null")</f>
        <v>Null</v>
      </c>
    </row>
    <row r="234" spans="1:11" ht="15.75" hidden="1" customHeight="1">
      <c r="A234" s="133" t="s">
        <v>7</v>
      </c>
      <c r="B234" s="133" t="s">
        <v>270</v>
      </c>
      <c r="C234" s="133" t="s">
        <v>759</v>
      </c>
      <c r="D234" s="133" t="s">
        <v>477</v>
      </c>
      <c r="E234" s="158">
        <v>40</v>
      </c>
      <c r="F234" s="158">
        <v>0</v>
      </c>
      <c r="G234" s="158">
        <v>0</v>
      </c>
      <c r="H234" s="133" t="s">
        <v>479</v>
      </c>
      <c r="I234" s="133" t="s">
        <v>479</v>
      </c>
      <c r="J234" s="158">
        <v>1</v>
      </c>
      <c r="K234" s="159" t="str">
        <f ca="1">IFERROR(__xludf.DUMMYFUNCTION("GOOGLETRANSLATE(H234,""th"",""en"")"),"Null")</f>
        <v>Null</v>
      </c>
    </row>
    <row r="235" spans="1:11" ht="15.75" hidden="1" customHeight="1">
      <c r="A235" s="133" t="s">
        <v>7</v>
      </c>
      <c r="B235" s="133" t="s">
        <v>270</v>
      </c>
      <c r="C235" s="133" t="s">
        <v>760</v>
      </c>
      <c r="D235" s="133" t="s">
        <v>477</v>
      </c>
      <c r="E235" s="158">
        <v>100</v>
      </c>
      <c r="F235" s="158">
        <v>0</v>
      </c>
      <c r="G235" s="158">
        <v>0</v>
      </c>
      <c r="H235" s="133" t="s">
        <v>761</v>
      </c>
      <c r="I235" s="133" t="s">
        <v>479</v>
      </c>
      <c r="J235" s="158">
        <v>1</v>
      </c>
      <c r="K235" s="159" t="str">
        <f ca="1">IFERROR(__xludf.DUMMYFUNCTION("GOOGLETRANSLATE(H235,""th"",""en"")"),"Not used: position")</f>
        <v>Not used: position</v>
      </c>
    </row>
    <row r="236" spans="1:11" ht="15.75" hidden="1" customHeight="1">
      <c r="A236" s="133" t="s">
        <v>7</v>
      </c>
      <c r="B236" s="133" t="s">
        <v>270</v>
      </c>
      <c r="C236" s="133" t="s">
        <v>762</v>
      </c>
      <c r="D236" s="133" t="s">
        <v>477</v>
      </c>
      <c r="E236" s="158">
        <v>7</v>
      </c>
      <c r="F236" s="158">
        <v>0</v>
      </c>
      <c r="G236" s="158">
        <v>0</v>
      </c>
      <c r="H236" s="133" t="s">
        <v>763</v>
      </c>
      <c r="I236" s="133" t="s">
        <v>479</v>
      </c>
      <c r="J236" s="158">
        <v>1</v>
      </c>
      <c r="K236" s="159" t="str">
        <f ca="1">IFERROR(__xludf.DUMMYFUNCTION("GOOGLETRANSLATE(H236,""th"",""en"")"),"Not used: Department manager code")</f>
        <v>Not used: Department manager code</v>
      </c>
    </row>
    <row r="237" spans="1:11" ht="15.75" hidden="1" customHeight="1">
      <c r="A237" s="133" t="s">
        <v>7</v>
      </c>
      <c r="B237" s="133" t="s">
        <v>270</v>
      </c>
      <c r="C237" s="133" t="s">
        <v>764</v>
      </c>
      <c r="D237" s="133" t="s">
        <v>477</v>
      </c>
      <c r="E237" s="158">
        <v>1</v>
      </c>
      <c r="F237" s="158">
        <v>0</v>
      </c>
      <c r="G237" s="158">
        <v>0</v>
      </c>
      <c r="H237" s="133" t="s">
        <v>765</v>
      </c>
      <c r="I237" s="133" t="s">
        <v>479</v>
      </c>
      <c r="J237" s="158">
        <v>1</v>
      </c>
      <c r="K237" s="159" t="str">
        <f ca="1">IFERROR(__xludf.DUMMYFUNCTION("GOOGLETRANSLATE(H237,""th"",""en"")"),"Not used:")</f>
        <v>Not used:</v>
      </c>
    </row>
    <row r="238" spans="1:11" ht="15.75" hidden="1" customHeight="1">
      <c r="A238" s="133" t="s">
        <v>7</v>
      </c>
      <c r="B238" s="133" t="s">
        <v>270</v>
      </c>
      <c r="C238" s="133" t="s">
        <v>766</v>
      </c>
      <c r="D238" s="133" t="s">
        <v>491</v>
      </c>
      <c r="E238" s="158">
        <v>1</v>
      </c>
      <c r="F238" s="158">
        <v>0</v>
      </c>
      <c r="G238" s="158">
        <v>0</v>
      </c>
      <c r="H238" s="133" t="s">
        <v>767</v>
      </c>
      <c r="I238" s="133" t="s">
        <v>479</v>
      </c>
      <c r="J238" s="158">
        <v>1</v>
      </c>
      <c r="K238" s="159" t="str">
        <f ca="1">IFERROR(__xludf.DUMMYFUNCTION("GOOGLETRANSLATE(H238,""th"",""en"")"),"Flag that this employee is Tele? (Y / N)")</f>
        <v>Flag that this employee is Tele? (Y / N)</v>
      </c>
    </row>
    <row r="239" spans="1:11" ht="15.75" hidden="1" customHeight="1">
      <c r="A239" s="133" t="s">
        <v>7</v>
      </c>
      <c r="B239" s="133" t="s">
        <v>270</v>
      </c>
      <c r="C239" s="133" t="s">
        <v>768</v>
      </c>
      <c r="D239" s="133" t="s">
        <v>477</v>
      </c>
      <c r="E239" s="158">
        <v>15</v>
      </c>
      <c r="F239" s="158">
        <v>0</v>
      </c>
      <c r="G239" s="158">
        <v>0</v>
      </c>
      <c r="H239" s="133" t="s">
        <v>769</v>
      </c>
      <c r="I239" s="133" t="s">
        <v>479</v>
      </c>
      <c r="J239" s="158">
        <v>1</v>
      </c>
      <c r="K239" s="159" t="str">
        <f ca="1">IFERROR(__xludf.DUMMYFUNCTION("GOOGLETRANSLATE(H239,""th"",""en"")"),"Not used: Employee status")</f>
        <v>Not used: Employee status</v>
      </c>
    </row>
    <row r="240" spans="1:11" ht="15.75" hidden="1" customHeight="1">
      <c r="A240" s="133" t="s">
        <v>7</v>
      </c>
      <c r="B240" s="133" t="s">
        <v>270</v>
      </c>
      <c r="C240" s="133" t="s">
        <v>770</v>
      </c>
      <c r="D240" s="133" t="s">
        <v>477</v>
      </c>
      <c r="E240" s="158">
        <v>10</v>
      </c>
      <c r="F240" s="158">
        <v>0</v>
      </c>
      <c r="G240" s="158">
        <v>0</v>
      </c>
      <c r="H240" s="133" t="s">
        <v>771</v>
      </c>
      <c r="I240" s="133" t="s">
        <v>479</v>
      </c>
      <c r="J240" s="158">
        <v>1</v>
      </c>
      <c r="K240" s="159" t="str">
        <f ca="1">IFERROR(__xludf.DUMMYFUNCTION("GOOGLETRANSLATE(H240,""th"",""en"")"),"Unused")</f>
        <v>Unused</v>
      </c>
    </row>
    <row r="241" spans="1:11" ht="15.75" hidden="1" customHeight="1">
      <c r="A241" s="133" t="s">
        <v>7</v>
      </c>
      <c r="B241" s="133" t="s">
        <v>270</v>
      </c>
      <c r="C241" s="133" t="s">
        <v>772</v>
      </c>
      <c r="D241" s="133" t="s">
        <v>477</v>
      </c>
      <c r="E241" s="158">
        <v>40</v>
      </c>
      <c r="F241" s="158">
        <v>0</v>
      </c>
      <c r="G241" s="158">
        <v>0</v>
      </c>
      <c r="H241" s="133" t="s">
        <v>773</v>
      </c>
      <c r="I241" s="133" t="s">
        <v>479</v>
      </c>
      <c r="J241" s="158">
        <v>1</v>
      </c>
      <c r="K241" s="159" t="str">
        <f ca="1">IFERROR(__xludf.DUMMYFUNCTION("GOOGLETRANSLATE(H241,""th"",""en"")"),"E-mail address inside")</f>
        <v>E-mail address inside</v>
      </c>
    </row>
    <row r="242" spans="1:11" ht="15.75" hidden="1" customHeight="1">
      <c r="A242" s="133" t="s">
        <v>7</v>
      </c>
      <c r="B242" s="133" t="s">
        <v>270</v>
      </c>
      <c r="C242" s="133" t="s">
        <v>774</v>
      </c>
      <c r="D242" s="133" t="s">
        <v>477</v>
      </c>
      <c r="E242" s="158">
        <v>6</v>
      </c>
      <c r="F242" s="158">
        <v>0</v>
      </c>
      <c r="G242" s="158">
        <v>0</v>
      </c>
      <c r="H242" s="133" t="s">
        <v>775</v>
      </c>
      <c r="I242" s="133" t="s">
        <v>479</v>
      </c>
      <c r="J242" s="158">
        <v>1</v>
      </c>
      <c r="K242" s="159" t="str">
        <f ca="1">IFERROR(__xludf.DUMMYFUNCTION("GOOGLETRANSLATE(H242,""th"",""en"")"),"password")</f>
        <v>password</v>
      </c>
    </row>
    <row r="243" spans="1:11" ht="15.75" hidden="1" customHeight="1">
      <c r="A243" s="133" t="s">
        <v>7</v>
      </c>
      <c r="B243" s="133" t="s">
        <v>270</v>
      </c>
      <c r="C243" s="133" t="s">
        <v>776</v>
      </c>
      <c r="D243" s="133" t="s">
        <v>477</v>
      </c>
      <c r="E243" s="158">
        <v>10</v>
      </c>
      <c r="F243" s="158">
        <v>0</v>
      </c>
      <c r="G243" s="158">
        <v>0</v>
      </c>
      <c r="H243" s="133" t="s">
        <v>777</v>
      </c>
      <c r="I243" s="133" t="s">
        <v>479</v>
      </c>
      <c r="J243" s="158">
        <v>1</v>
      </c>
      <c r="K243" s="159" t="str">
        <f ca="1">IFERROR(__xludf.DUMMYFUNCTION("GOOGLETRANSLATE(H243,""th"",""en"")"),"Password (that is encrypt)")</f>
        <v>Password (that is encrypt)</v>
      </c>
    </row>
    <row r="244" spans="1:11" ht="15.75" hidden="1" customHeight="1">
      <c r="A244" s="133" t="s">
        <v>7</v>
      </c>
      <c r="B244" s="133" t="s">
        <v>270</v>
      </c>
      <c r="C244" s="133" t="s">
        <v>778</v>
      </c>
      <c r="D244" s="133" t="s">
        <v>477</v>
      </c>
      <c r="E244" s="158">
        <v>10</v>
      </c>
      <c r="F244" s="158">
        <v>0</v>
      </c>
      <c r="G244" s="158">
        <v>0</v>
      </c>
      <c r="H244" s="133" t="s">
        <v>779</v>
      </c>
      <c r="I244" s="133" t="s">
        <v>479</v>
      </c>
      <c r="J244" s="158">
        <v>1</v>
      </c>
      <c r="K244" s="159" t="str">
        <f ca="1">IFERROR(__xludf.DUMMYFUNCTION("GOOGLETRANSLATE(H244,""th"",""en"")"),"Level of employees to access the program")</f>
        <v>Level of employees to access the program</v>
      </c>
    </row>
    <row r="245" spans="1:11" ht="15.75" hidden="1" customHeight="1">
      <c r="A245" s="133" t="s">
        <v>7</v>
      </c>
      <c r="B245" s="133" t="s">
        <v>270</v>
      </c>
      <c r="C245" s="133" t="s">
        <v>780</v>
      </c>
      <c r="D245" s="133" t="s">
        <v>477</v>
      </c>
      <c r="E245" s="158">
        <v>3</v>
      </c>
      <c r="F245" s="158">
        <v>0</v>
      </c>
      <c r="G245" s="158">
        <v>0</v>
      </c>
      <c r="H245" s="133" t="s">
        <v>771</v>
      </c>
      <c r="I245" s="133" t="s">
        <v>479</v>
      </c>
      <c r="J245" s="158">
        <v>1</v>
      </c>
      <c r="K245" s="159" t="str">
        <f ca="1">IFERROR(__xludf.DUMMYFUNCTION("GOOGLETRANSLATE(H245,""th"",""en"")"),"Unused")</f>
        <v>Unused</v>
      </c>
    </row>
    <row r="246" spans="1:11" ht="15.75" hidden="1" customHeight="1">
      <c r="A246" s="133" t="s">
        <v>7</v>
      </c>
      <c r="B246" s="133" t="s">
        <v>270</v>
      </c>
      <c r="C246" s="133" t="s">
        <v>781</v>
      </c>
      <c r="D246" s="133" t="s">
        <v>477</v>
      </c>
      <c r="E246" s="158">
        <v>15</v>
      </c>
      <c r="F246" s="158">
        <v>0</v>
      </c>
      <c r="G246" s="158">
        <v>0</v>
      </c>
      <c r="H246" s="133" t="s">
        <v>782</v>
      </c>
      <c r="I246" s="133" t="s">
        <v>548</v>
      </c>
      <c r="J246" s="158">
        <v>0</v>
      </c>
      <c r="K246" s="159" t="str">
        <f ca="1">IFERROR(__xludf.DUMMYFUNCTION("GOOGLETRANSLATE(H246,""th"",""en"")"),"SO (TM, SUP TM, LG Adimin, TM Assist, TM Manager, TM Director, MK Manager, MK Director)")</f>
        <v>SO (TM, SUP TM, LG Adimin, TM Assist, TM Manager, TM Director, MK Manager, MK Director)</v>
      </c>
    </row>
    <row r="247" spans="1:11" ht="15.75" hidden="1" customHeight="1">
      <c r="A247" s="133" t="s">
        <v>7</v>
      </c>
      <c r="B247" s="133" t="s">
        <v>270</v>
      </c>
      <c r="C247" s="133" t="s">
        <v>523</v>
      </c>
      <c r="D247" s="133" t="s">
        <v>477</v>
      </c>
      <c r="E247" s="158">
        <v>8</v>
      </c>
      <c r="F247" s="158">
        <v>0</v>
      </c>
      <c r="G247" s="158">
        <v>0</v>
      </c>
      <c r="H247" s="133" t="s">
        <v>783</v>
      </c>
      <c r="I247" s="133" t="s">
        <v>479</v>
      </c>
      <c r="J247" s="158">
        <v>1</v>
      </c>
      <c r="K247" s="159" t="str">
        <f ca="1">IFERROR(__xludf.DUMMYFUNCTION("GOOGLETRANSLATE(H247,""th"",""en"")"),"Account Creator ID")</f>
        <v>Account Creator ID</v>
      </c>
    </row>
    <row r="248" spans="1:11" ht="15.75" hidden="1" customHeight="1">
      <c r="A248" s="133" t="s">
        <v>7</v>
      </c>
      <c r="B248" s="133" t="s">
        <v>270</v>
      </c>
      <c r="C248" s="133" t="s">
        <v>669</v>
      </c>
      <c r="D248" s="133" t="s">
        <v>496</v>
      </c>
      <c r="E248" s="158">
        <v>4</v>
      </c>
      <c r="F248" s="158">
        <v>16</v>
      </c>
      <c r="G248" s="158">
        <v>0</v>
      </c>
      <c r="H248" s="133" t="s">
        <v>784</v>
      </c>
      <c r="I248" s="133" t="s">
        <v>479</v>
      </c>
      <c r="J248" s="158">
        <v>1</v>
      </c>
      <c r="K248" s="159" t="str">
        <f ca="1">IFERROR(__xludf.DUMMYFUNCTION("GOOGLETRANSLATE(H248,""th"",""en"")"),"Date Create Account")</f>
        <v>Date Create Account</v>
      </c>
    </row>
    <row r="249" spans="1:11" ht="15.75" hidden="1" customHeight="1">
      <c r="A249" s="133" t="s">
        <v>7</v>
      </c>
      <c r="B249" s="133" t="s">
        <v>270</v>
      </c>
      <c r="C249" s="133" t="s">
        <v>670</v>
      </c>
      <c r="D249" s="133" t="s">
        <v>477</v>
      </c>
      <c r="E249" s="158">
        <v>8</v>
      </c>
      <c r="F249" s="158">
        <v>0</v>
      </c>
      <c r="G249" s="158">
        <v>0</v>
      </c>
      <c r="H249" s="133" t="s">
        <v>785</v>
      </c>
      <c r="I249" s="133" t="s">
        <v>479</v>
      </c>
      <c r="J249" s="158">
        <v>1</v>
      </c>
      <c r="K249" s="159" t="str">
        <f ca="1">IFERROR(__xludf.DUMMYFUNCTION("GOOGLETRANSLATE(H249,""th"",""en"")"),"Latest Account Code")</f>
        <v>Latest Account Code</v>
      </c>
    </row>
    <row r="250" spans="1:11" ht="15.75" hidden="1" customHeight="1">
      <c r="A250" s="133" t="s">
        <v>7</v>
      </c>
      <c r="B250" s="133" t="s">
        <v>270</v>
      </c>
      <c r="C250" s="133" t="s">
        <v>215</v>
      </c>
      <c r="D250" s="133" t="s">
        <v>496</v>
      </c>
      <c r="E250" s="158">
        <v>4</v>
      </c>
      <c r="F250" s="158">
        <v>16</v>
      </c>
      <c r="G250" s="158">
        <v>0</v>
      </c>
      <c r="H250" s="133" t="s">
        <v>786</v>
      </c>
      <c r="I250" s="133" t="s">
        <v>479</v>
      </c>
      <c r="J250" s="158">
        <v>1</v>
      </c>
      <c r="K250" s="159" t="str">
        <f ca="1">IFERROR(__xludf.DUMMYFUNCTION("GOOGLETRANSLATE(H250,""th"",""en"")"),"Latest Account Editing Date")</f>
        <v>Latest Account Editing Date</v>
      </c>
    </row>
    <row r="251" spans="1:11" ht="15.75" hidden="1" customHeight="1">
      <c r="A251" s="133" t="s">
        <v>7</v>
      </c>
      <c r="B251" s="133" t="s">
        <v>270</v>
      </c>
      <c r="C251" s="133" t="s">
        <v>787</v>
      </c>
      <c r="D251" s="133" t="s">
        <v>477</v>
      </c>
      <c r="E251" s="158">
        <v>10</v>
      </c>
      <c r="F251" s="158">
        <v>0</v>
      </c>
      <c r="G251" s="158">
        <v>0</v>
      </c>
      <c r="H251" s="133" t="s">
        <v>788</v>
      </c>
      <c r="I251" s="133" t="s">
        <v>548</v>
      </c>
      <c r="J251" s="158">
        <v>0</v>
      </c>
      <c r="K251" s="159" t="str">
        <f ca="1">IFERROR(__xludf.DUMMYFUNCTION("GOOGLETRANSLATE(H251,""th"",""en"")"),"CRC staff code")</f>
        <v>CRC staff code</v>
      </c>
    </row>
    <row r="252" spans="1:11" ht="15.75" hidden="1" customHeight="1">
      <c r="A252" s="133" t="s">
        <v>7</v>
      </c>
      <c r="B252" s="133" t="s">
        <v>270</v>
      </c>
      <c r="C252" s="133" t="s">
        <v>789</v>
      </c>
      <c r="D252" s="133" t="s">
        <v>477</v>
      </c>
      <c r="E252" s="158">
        <v>50</v>
      </c>
      <c r="F252" s="158">
        <v>0</v>
      </c>
      <c r="G252" s="158">
        <v>0</v>
      </c>
      <c r="H252" s="133" t="s">
        <v>790</v>
      </c>
      <c r="I252" s="133" t="s">
        <v>548</v>
      </c>
      <c r="J252" s="158">
        <v>0</v>
      </c>
      <c r="K252" s="159" t="str">
        <f ca="1">IFERROR(__xludf.DUMMYFUNCTION("GOOGLETRANSLATE(H252,""th"",""en"")"),"Real name, staff, tele")</f>
        <v>Real name, staff, tele</v>
      </c>
    </row>
    <row r="253" spans="1:11" ht="15.75" hidden="1" customHeight="1">
      <c r="A253" s="133" t="s">
        <v>7</v>
      </c>
      <c r="B253" s="133" t="s">
        <v>270</v>
      </c>
      <c r="C253" s="133" t="s">
        <v>791</v>
      </c>
      <c r="D253" s="133" t="s">
        <v>477</v>
      </c>
      <c r="E253" s="158">
        <v>1000</v>
      </c>
      <c r="F253" s="158">
        <v>0</v>
      </c>
      <c r="G253" s="158">
        <v>0</v>
      </c>
      <c r="H253" s="133" t="s">
        <v>792</v>
      </c>
      <c r="I253" s="133" t="s">
        <v>548</v>
      </c>
      <c r="J253" s="158">
        <v>0</v>
      </c>
      <c r="K253" s="159" t="str">
        <f ca="1">IFERROR(__xludf.DUMMYFUNCTION("GOOGLETRANSLATE(H253,""th"",""en"")"),"Note that the JOB number in requesting various rights")</f>
        <v>Note that the JOB number in requesting various rights</v>
      </c>
    </row>
    <row r="254" spans="1:11" ht="15.75" hidden="1" customHeight="1">
      <c r="A254" s="133" t="s">
        <v>7</v>
      </c>
      <c r="B254" s="133" t="s">
        <v>270</v>
      </c>
      <c r="C254" s="133" t="s">
        <v>793</v>
      </c>
      <c r="D254" s="133" t="s">
        <v>477</v>
      </c>
      <c r="E254" s="158">
        <v>10</v>
      </c>
      <c r="F254" s="158">
        <v>0</v>
      </c>
      <c r="G254" s="158">
        <v>0</v>
      </c>
      <c r="H254" s="133" t="s">
        <v>794</v>
      </c>
      <c r="I254" s="133" t="s">
        <v>548</v>
      </c>
      <c r="J254" s="277">
        <v>1</v>
      </c>
      <c r="K254" s="159" t="str">
        <f ca="1">IFERROR(__xludf.DUMMYFUNCTION("GOOGLETRANSLATE(H254,""th"",""en"")"),"Store code of employees")</f>
        <v>Store code of employees</v>
      </c>
    </row>
    <row r="255" spans="1:11" ht="15.75" hidden="1" customHeight="1">
      <c r="A255" s="133" t="s">
        <v>7</v>
      </c>
      <c r="B255" s="133" t="s">
        <v>272</v>
      </c>
      <c r="C255" s="133" t="s">
        <v>274</v>
      </c>
      <c r="D255" s="133" t="s">
        <v>491</v>
      </c>
      <c r="E255" s="158">
        <v>1</v>
      </c>
      <c r="F255" s="158">
        <v>0</v>
      </c>
      <c r="G255" s="158">
        <v>0</v>
      </c>
      <c r="H255" s="133" t="s">
        <v>795</v>
      </c>
      <c r="I255" s="133" t="s">
        <v>548</v>
      </c>
      <c r="J255" s="158">
        <v>0</v>
      </c>
      <c r="K255" s="159" t="str">
        <f ca="1">IFERROR(__xludf.DUMMYFUNCTION("GOOGLETRANSLATE(H255,""th"",""en"")"),"Product category")</f>
        <v>Product category</v>
      </c>
    </row>
    <row r="256" spans="1:11" ht="15.75" hidden="1" customHeight="1">
      <c r="A256" s="133" t="s">
        <v>7</v>
      </c>
      <c r="B256" s="133" t="s">
        <v>272</v>
      </c>
      <c r="C256" s="133" t="s">
        <v>796</v>
      </c>
      <c r="D256" s="133" t="s">
        <v>477</v>
      </c>
      <c r="E256" s="158">
        <v>50</v>
      </c>
      <c r="F256" s="158">
        <v>0</v>
      </c>
      <c r="G256" s="158">
        <v>0</v>
      </c>
      <c r="H256" s="133" t="s">
        <v>797</v>
      </c>
      <c r="I256" s="133" t="s">
        <v>548</v>
      </c>
      <c r="J256" s="158">
        <v>0</v>
      </c>
      <c r="K256" s="159" t="str">
        <f ca="1">IFERROR(__xludf.DUMMYFUNCTION("GOOGLETRANSLATE(H256,""th"",""en"")"),"Name category of Thai products")</f>
        <v>Name category of Thai products</v>
      </c>
    </row>
    <row r="257" spans="1:12" ht="15.75" hidden="1" customHeight="1">
      <c r="A257" s="133" t="s">
        <v>7</v>
      </c>
      <c r="B257" s="133" t="s">
        <v>272</v>
      </c>
      <c r="C257" s="133" t="s">
        <v>798</v>
      </c>
      <c r="D257" s="133" t="s">
        <v>477</v>
      </c>
      <c r="E257" s="158">
        <v>100</v>
      </c>
      <c r="F257" s="158">
        <v>0</v>
      </c>
      <c r="G257" s="158">
        <v>0</v>
      </c>
      <c r="H257" s="133" t="s">
        <v>799</v>
      </c>
      <c r="I257" s="133" t="s">
        <v>548</v>
      </c>
      <c r="J257" s="158">
        <v>0</v>
      </c>
      <c r="K257" s="159" t="str">
        <f ca="1">IFERROR(__xludf.DUMMYFUNCTION("GOOGLETRANSLATE(H257,""th"",""en"")"),"Name Category English Products")</f>
        <v>Name Category English Products</v>
      </c>
    </row>
    <row r="258" spans="1:12" ht="15.75" hidden="1" customHeight="1">
      <c r="A258" s="133" t="s">
        <v>7</v>
      </c>
      <c r="B258" s="133" t="s">
        <v>272</v>
      </c>
      <c r="C258" s="133" t="s">
        <v>523</v>
      </c>
      <c r="D258" s="133" t="s">
        <v>477</v>
      </c>
      <c r="E258" s="158">
        <v>8</v>
      </c>
      <c r="F258" s="158">
        <v>0</v>
      </c>
      <c r="G258" s="158">
        <v>0</v>
      </c>
      <c r="H258" s="133" t="s">
        <v>734</v>
      </c>
      <c r="I258" s="133" t="s">
        <v>548</v>
      </c>
      <c r="J258" s="158">
        <v>0</v>
      </c>
      <c r="K258" s="159" t="str">
        <f ca="1">IFERROR(__xludf.DUMMYFUNCTION("GOOGLETRANSLATE(H258,""th"",""en"")"),"Creator name")</f>
        <v>Creator name</v>
      </c>
    </row>
    <row r="259" spans="1:12" ht="15.75" hidden="1" customHeight="1">
      <c r="A259" s="133" t="s">
        <v>7</v>
      </c>
      <c r="B259" s="133" t="s">
        <v>272</v>
      </c>
      <c r="C259" s="133" t="s">
        <v>669</v>
      </c>
      <c r="D259" s="279" t="s">
        <v>477</v>
      </c>
      <c r="E259" s="158">
        <v>8</v>
      </c>
      <c r="F259" s="158">
        <v>27</v>
      </c>
      <c r="G259" s="158">
        <v>7</v>
      </c>
      <c r="H259" s="133" t="s">
        <v>735</v>
      </c>
      <c r="I259" s="133" t="s">
        <v>801</v>
      </c>
      <c r="J259" s="158">
        <v>0</v>
      </c>
      <c r="K259" s="159" t="str">
        <f ca="1">IFERROR(__xludf.DUMMYFUNCTION("GOOGLETRANSLATE(H259,""th"",""en"")"),"Date created")</f>
        <v>Date created</v>
      </c>
      <c r="L259" s="228" t="s">
        <v>800</v>
      </c>
    </row>
    <row r="260" spans="1:12" ht="15.75" hidden="1" customHeight="1">
      <c r="A260" s="133" t="s">
        <v>7</v>
      </c>
      <c r="B260" s="133" t="s">
        <v>272</v>
      </c>
      <c r="C260" s="133" t="s">
        <v>670</v>
      </c>
      <c r="D260" s="133" t="s">
        <v>477</v>
      </c>
      <c r="E260" s="158">
        <v>8</v>
      </c>
      <c r="F260" s="158">
        <v>0</v>
      </c>
      <c r="G260" s="158">
        <v>0</v>
      </c>
      <c r="H260" s="133" t="s">
        <v>802</v>
      </c>
      <c r="I260" s="133" t="s">
        <v>548</v>
      </c>
      <c r="J260" s="158">
        <v>0</v>
      </c>
      <c r="K260" s="159" t="str">
        <f ca="1">IFERROR(__xludf.DUMMYFUNCTION("GOOGLETRANSLATE(H260,""th"",""en"")"),"Editor")</f>
        <v>Editor</v>
      </c>
    </row>
    <row r="261" spans="1:12" ht="15.75" hidden="1" customHeight="1">
      <c r="A261" s="133" t="s">
        <v>7</v>
      </c>
      <c r="B261" s="133" t="s">
        <v>272</v>
      </c>
      <c r="C261" s="133" t="s">
        <v>215</v>
      </c>
      <c r="D261" s="279" t="s">
        <v>477</v>
      </c>
      <c r="E261" s="158">
        <v>8</v>
      </c>
      <c r="F261" s="158">
        <v>27</v>
      </c>
      <c r="G261" s="158">
        <v>7</v>
      </c>
      <c r="H261" s="133" t="s">
        <v>803</v>
      </c>
      <c r="I261" s="133" t="s">
        <v>801</v>
      </c>
      <c r="J261" s="158">
        <v>0</v>
      </c>
      <c r="K261" s="159" t="str">
        <f ca="1">IFERROR(__xludf.DUMMYFUNCTION("GOOGLETRANSLATE(H261,""th"",""en"")"),"Edit date")</f>
        <v>Edit date</v>
      </c>
      <c r="L261" s="228" t="s">
        <v>800</v>
      </c>
    </row>
    <row r="262" spans="1:12" ht="15.75" hidden="1" customHeight="1">
      <c r="A262" s="133" t="s">
        <v>7</v>
      </c>
      <c r="B262" s="133" t="s">
        <v>272</v>
      </c>
      <c r="C262" s="133" t="s">
        <v>804</v>
      </c>
      <c r="D262" s="133" t="s">
        <v>805</v>
      </c>
      <c r="E262" s="158">
        <v>1</v>
      </c>
      <c r="F262" s="158">
        <v>3</v>
      </c>
      <c r="G262" s="158">
        <v>0</v>
      </c>
      <c r="H262" s="133" t="s">
        <v>806</v>
      </c>
      <c r="I262" s="133" t="s">
        <v>548</v>
      </c>
      <c r="J262" s="158">
        <v>0</v>
      </c>
      <c r="K262" s="159" t="str">
        <f ca="1">IFERROR(__xludf.DUMMYFUNCTION("GOOGLETRANSLATE(H262,""th"",""en"")"),"Disabled: Sort Category")</f>
        <v>Disabled: Sort Category</v>
      </c>
    </row>
    <row r="263" spans="1:12" ht="15.75" hidden="1" customHeight="1">
      <c r="A263" s="133" t="s">
        <v>7</v>
      </c>
      <c r="B263" s="133" t="s">
        <v>272</v>
      </c>
      <c r="C263" s="133" t="s">
        <v>807</v>
      </c>
      <c r="D263" s="133" t="s">
        <v>477</v>
      </c>
      <c r="E263" s="158">
        <v>20</v>
      </c>
      <c r="F263" s="158">
        <v>0</v>
      </c>
      <c r="G263" s="158">
        <v>0</v>
      </c>
      <c r="H263" s="133" t="s">
        <v>808</v>
      </c>
      <c r="I263" s="133" t="s">
        <v>548</v>
      </c>
      <c r="J263" s="158">
        <v>0</v>
      </c>
      <c r="K263" s="159" t="str">
        <f ca="1">IFERROR(__xludf.DUMMYFUNCTION("GOOGLETRANSLATE(H263,""th"",""en"")"),"Cancel: Abbreviation of the product category")</f>
        <v>Cancel: Abbreviation of the product category</v>
      </c>
    </row>
    <row r="264" spans="1:12" ht="15.75" hidden="1" customHeight="1">
      <c r="A264" s="133" t="s">
        <v>7</v>
      </c>
      <c r="B264" s="133" t="s">
        <v>272</v>
      </c>
      <c r="C264" s="133" t="s">
        <v>809</v>
      </c>
      <c r="D264" s="133" t="s">
        <v>491</v>
      </c>
      <c r="E264" s="158">
        <v>1</v>
      </c>
      <c r="F264" s="158">
        <v>0</v>
      </c>
      <c r="G264" s="158">
        <v>0</v>
      </c>
      <c r="H264" s="133" t="s">
        <v>810</v>
      </c>
      <c r="I264" s="133" t="s">
        <v>548</v>
      </c>
      <c r="J264" s="158">
        <v>0</v>
      </c>
      <c r="K264" s="159" t="str">
        <f ca="1">IFERROR(__xludf.DUMMYFUNCTION("GOOGLETRANSLATE(H264,""th"",""en"")"),"Cancel: Category Type [O = Officemate, T = Trandyday, C = Central]")</f>
        <v>Cancel: Category Type [O = Officemate, T = Trandyday, C = Central]</v>
      </c>
    </row>
    <row r="265" spans="1:12" ht="15.75" hidden="1" customHeight="1">
      <c r="A265" s="133" t="s">
        <v>7</v>
      </c>
      <c r="B265" s="133" t="s">
        <v>272</v>
      </c>
      <c r="C265" s="133" t="s">
        <v>811</v>
      </c>
      <c r="D265" s="133" t="s">
        <v>477</v>
      </c>
      <c r="E265" s="158">
        <v>10</v>
      </c>
      <c r="F265" s="158">
        <v>0</v>
      </c>
      <c r="G265" s="158">
        <v>0</v>
      </c>
      <c r="H265" s="133" t="s">
        <v>812</v>
      </c>
      <c r="I265" s="133" t="s">
        <v>813</v>
      </c>
      <c r="J265" s="158">
        <v>0</v>
      </c>
      <c r="K265" s="159" t="str">
        <f ca="1">IFERROR(__xludf.DUMMYFUNCTION("GOOGLETRANSLATE(H265,""th"",""en"")"),"Category Status [Active, Inactive, Delete]")</f>
        <v>Category Status [Active, Inactive, Delete]</v>
      </c>
    </row>
    <row r="266" spans="1:12" ht="15.75" hidden="1" customHeight="1">
      <c r="A266" s="133" t="s">
        <v>7</v>
      </c>
      <c r="B266" s="133" t="s">
        <v>272</v>
      </c>
      <c r="C266" s="133" t="s">
        <v>814</v>
      </c>
      <c r="D266" s="133" t="s">
        <v>477</v>
      </c>
      <c r="E266" s="158">
        <v>100</v>
      </c>
      <c r="F266" s="158">
        <v>0</v>
      </c>
      <c r="G266" s="158">
        <v>0</v>
      </c>
      <c r="H266" s="133" t="s">
        <v>815</v>
      </c>
      <c r="I266" s="133" t="s">
        <v>548</v>
      </c>
      <c r="J266" s="158">
        <v>0</v>
      </c>
      <c r="K266" s="159" t="str">
        <f ca="1">IFERROR(__xludf.DUMMYFUNCTION("GOOGLETRANSLATE(H266,""th"",""en"")"),"Information Creator Name")</f>
        <v>Information Creator Name</v>
      </c>
    </row>
    <row r="267" spans="1:12" ht="15.75" hidden="1" customHeight="1">
      <c r="A267" s="133" t="s">
        <v>7</v>
      </c>
      <c r="B267" s="133" t="s">
        <v>272</v>
      </c>
      <c r="C267" s="133" t="s">
        <v>816</v>
      </c>
      <c r="D267" s="133" t="s">
        <v>477</v>
      </c>
      <c r="E267" s="158">
        <v>100</v>
      </c>
      <c r="F267" s="158">
        <v>0</v>
      </c>
      <c r="G267" s="158">
        <v>0</v>
      </c>
      <c r="H267" s="133" t="s">
        <v>817</v>
      </c>
      <c r="I267" s="133" t="s">
        <v>548</v>
      </c>
      <c r="J267" s="158">
        <v>0</v>
      </c>
      <c r="K267" s="159" t="str">
        <f ca="1">IFERROR(__xludf.DUMMYFUNCTION("GOOGLETRANSLATE(H267,""th"",""en"")"),"Latest information")</f>
        <v>Latest information</v>
      </c>
    </row>
    <row r="268" spans="1:12" ht="15.75" hidden="1" customHeight="1">
      <c r="A268" s="133" t="s">
        <v>7</v>
      </c>
      <c r="B268" s="133" t="s">
        <v>272</v>
      </c>
      <c r="C268" s="133" t="s">
        <v>325</v>
      </c>
      <c r="D268" s="133" t="s">
        <v>477</v>
      </c>
      <c r="E268" s="158">
        <v>30</v>
      </c>
      <c r="F268" s="158">
        <v>0</v>
      </c>
      <c r="G268" s="158">
        <v>0</v>
      </c>
      <c r="H268" s="133" t="s">
        <v>818</v>
      </c>
      <c r="I268" s="133" t="s">
        <v>548</v>
      </c>
      <c r="J268" s="158">
        <v>0</v>
      </c>
      <c r="K268" s="159" t="str">
        <f ca="1">IFERROR(__xludf.DUMMYFUNCTION("GOOGLETRANSLATE(H268,""th"",""en"")"),"Category codes (from PIM)")</f>
        <v>Category codes (from PIM)</v>
      </c>
    </row>
    <row r="269" spans="1:12" ht="15.75" hidden="1" customHeight="1">
      <c r="A269" s="133" t="s">
        <v>7</v>
      </c>
      <c r="B269" s="133" t="s">
        <v>275</v>
      </c>
      <c r="C269" s="133" t="s">
        <v>276</v>
      </c>
      <c r="D269" s="133" t="s">
        <v>477</v>
      </c>
      <c r="E269" s="158">
        <v>50</v>
      </c>
      <c r="F269" s="158">
        <v>0</v>
      </c>
      <c r="G269" s="158">
        <v>0</v>
      </c>
      <c r="H269" s="133" t="s">
        <v>819</v>
      </c>
      <c r="I269" s="133" t="s">
        <v>479</v>
      </c>
      <c r="J269" s="158">
        <v>0</v>
      </c>
      <c r="K269" s="159" t="str">
        <f ca="1">IFERROR(__xludf.DUMMYFUNCTION("GOOGLETRANSLATE(H269,""th"",""en"")"),"Provincial")</f>
        <v>Provincial</v>
      </c>
    </row>
    <row r="270" spans="1:12" ht="15.75" hidden="1" customHeight="1">
      <c r="A270" s="133" t="s">
        <v>7</v>
      </c>
      <c r="B270" s="133" t="s">
        <v>275</v>
      </c>
      <c r="C270" s="133" t="s">
        <v>820</v>
      </c>
      <c r="D270" s="133" t="s">
        <v>477</v>
      </c>
      <c r="E270" s="158">
        <v>50</v>
      </c>
      <c r="F270" s="158">
        <v>0</v>
      </c>
      <c r="G270" s="158">
        <v>0</v>
      </c>
      <c r="H270" s="133" t="s">
        <v>821</v>
      </c>
      <c r="I270" s="133" t="s">
        <v>479</v>
      </c>
      <c r="J270" s="158">
        <v>1</v>
      </c>
      <c r="K270" s="159" t="str">
        <f ca="1">IFERROR(__xludf.DUMMYFUNCTION("GOOGLETRANSLATE(H270,""th"",""en"")"),"Province")</f>
        <v>Province</v>
      </c>
    </row>
    <row r="271" spans="1:12" ht="15.75" hidden="1" customHeight="1">
      <c r="A271" s="133" t="s">
        <v>7</v>
      </c>
      <c r="B271" s="133" t="s">
        <v>275</v>
      </c>
      <c r="C271" s="133" t="s">
        <v>822</v>
      </c>
      <c r="D271" s="133" t="s">
        <v>477</v>
      </c>
      <c r="E271" s="158">
        <v>50</v>
      </c>
      <c r="F271" s="158">
        <v>0</v>
      </c>
      <c r="G271" s="158">
        <v>0</v>
      </c>
      <c r="H271" s="133" t="s">
        <v>479</v>
      </c>
      <c r="I271" s="133" t="s">
        <v>479</v>
      </c>
      <c r="J271" s="158">
        <v>1</v>
      </c>
      <c r="K271" s="159" t="str">
        <f ca="1">IFERROR(__xludf.DUMMYFUNCTION("GOOGLETRANSLATE(H271,""th"",""en"")"),"Null")</f>
        <v>Null</v>
      </c>
    </row>
    <row r="272" spans="1:12" ht="15.75" hidden="1" customHeight="1">
      <c r="A272" s="133" t="s">
        <v>7</v>
      </c>
      <c r="B272" s="133" t="s">
        <v>275</v>
      </c>
      <c r="C272" s="133" t="s">
        <v>823</v>
      </c>
      <c r="D272" s="133" t="s">
        <v>477</v>
      </c>
      <c r="E272" s="158">
        <v>1</v>
      </c>
      <c r="F272" s="158">
        <v>0</v>
      </c>
      <c r="G272" s="158">
        <v>0</v>
      </c>
      <c r="H272" s="133" t="s">
        <v>824</v>
      </c>
      <c r="I272" s="133" t="s">
        <v>479</v>
      </c>
      <c r="J272" s="158">
        <v>1</v>
      </c>
      <c r="K272" s="159" t="str">
        <f ca="1">IFERROR(__xludf.DUMMYFUNCTION("GOOGLETRANSLATE(H272,""th"",""en"")"),"There are 2 types of delivering products in the province. (1 = The company is delivered or customers. Receive products yourself, 2 = through transportation)")</f>
        <v>There are 2 types of delivering products in the province. (1 = The company is delivered or customers. Receive products yourself, 2 = through transportation)</v>
      </c>
    </row>
    <row r="273" spans="1:12" ht="15.75" hidden="1" customHeight="1">
      <c r="A273" s="133" t="s">
        <v>7</v>
      </c>
      <c r="B273" s="133" t="s">
        <v>275</v>
      </c>
      <c r="C273" s="133" t="s">
        <v>523</v>
      </c>
      <c r="D273" s="133" t="s">
        <v>477</v>
      </c>
      <c r="E273" s="158">
        <v>8</v>
      </c>
      <c r="F273" s="158">
        <v>0</v>
      </c>
      <c r="G273" s="158">
        <v>0</v>
      </c>
      <c r="H273" s="133" t="s">
        <v>734</v>
      </c>
      <c r="I273" s="133" t="s">
        <v>479</v>
      </c>
      <c r="J273" s="158">
        <v>1</v>
      </c>
      <c r="K273" s="159" t="str">
        <f ca="1">IFERROR(__xludf.DUMMYFUNCTION("GOOGLETRANSLATE(H273,""th"",""en"")"),"Creator name")</f>
        <v>Creator name</v>
      </c>
    </row>
    <row r="274" spans="1:12" ht="15.75" hidden="1" customHeight="1">
      <c r="A274" s="133" t="s">
        <v>7</v>
      </c>
      <c r="B274" s="133" t="s">
        <v>275</v>
      </c>
      <c r="C274" s="133" t="s">
        <v>669</v>
      </c>
      <c r="D274" s="133" t="s">
        <v>496</v>
      </c>
      <c r="E274" s="158">
        <v>4</v>
      </c>
      <c r="F274" s="158">
        <v>16</v>
      </c>
      <c r="G274" s="158">
        <v>0</v>
      </c>
      <c r="H274" s="133" t="s">
        <v>735</v>
      </c>
      <c r="I274" s="133" t="s">
        <v>479</v>
      </c>
      <c r="J274" s="158">
        <v>1</v>
      </c>
      <c r="K274" s="159" t="str">
        <f ca="1">IFERROR(__xludf.DUMMYFUNCTION("GOOGLETRANSLATE(H274,""th"",""en"")"),"Date created")</f>
        <v>Date created</v>
      </c>
    </row>
    <row r="275" spans="1:12" ht="15.75" hidden="1" customHeight="1">
      <c r="A275" s="133" t="s">
        <v>7</v>
      </c>
      <c r="B275" s="133" t="s">
        <v>275</v>
      </c>
      <c r="C275" s="133" t="s">
        <v>670</v>
      </c>
      <c r="D275" s="133" t="s">
        <v>477</v>
      </c>
      <c r="E275" s="158">
        <v>8</v>
      </c>
      <c r="F275" s="158">
        <v>0</v>
      </c>
      <c r="G275" s="158">
        <v>0</v>
      </c>
      <c r="H275" s="133" t="s">
        <v>802</v>
      </c>
      <c r="I275" s="133" t="s">
        <v>479</v>
      </c>
      <c r="J275" s="158">
        <v>1</v>
      </c>
      <c r="K275" s="159" t="str">
        <f ca="1">IFERROR(__xludf.DUMMYFUNCTION("GOOGLETRANSLATE(H275,""th"",""en"")"),"Editor")</f>
        <v>Editor</v>
      </c>
    </row>
    <row r="276" spans="1:12" ht="15.75" hidden="1" customHeight="1">
      <c r="A276" s="133" t="s">
        <v>7</v>
      </c>
      <c r="B276" s="133" t="s">
        <v>275</v>
      </c>
      <c r="C276" s="133" t="s">
        <v>215</v>
      </c>
      <c r="D276" s="133" t="s">
        <v>496</v>
      </c>
      <c r="E276" s="158">
        <v>4</v>
      </c>
      <c r="F276" s="158">
        <v>16</v>
      </c>
      <c r="G276" s="158">
        <v>0</v>
      </c>
      <c r="H276" s="133" t="s">
        <v>803</v>
      </c>
      <c r="I276" s="133" t="s">
        <v>479</v>
      </c>
      <c r="J276" s="158">
        <v>1</v>
      </c>
      <c r="K276" s="159" t="str">
        <f ca="1">IFERROR(__xludf.DUMMYFUNCTION("GOOGLETRANSLATE(H276,""th"",""en"")"),"Edit date")</f>
        <v>Edit date</v>
      </c>
    </row>
    <row r="277" spans="1:12" ht="15.75" hidden="1" customHeight="1">
      <c r="A277" s="133" t="s">
        <v>7</v>
      </c>
      <c r="B277" s="133" t="s">
        <v>277</v>
      </c>
      <c r="C277" s="133" t="s">
        <v>274</v>
      </c>
      <c r="D277" s="133" t="s">
        <v>491</v>
      </c>
      <c r="E277" s="158">
        <v>1</v>
      </c>
      <c r="F277" s="158">
        <v>0</v>
      </c>
      <c r="G277" s="158">
        <v>0</v>
      </c>
      <c r="H277" s="133" t="s">
        <v>825</v>
      </c>
      <c r="I277" s="133" t="s">
        <v>548</v>
      </c>
      <c r="J277" s="158">
        <v>0</v>
      </c>
      <c r="K277" s="159" t="str">
        <f ca="1">IFERROR(__xludf.DUMMYFUNCTION("GOOGLETRANSLATE(H277,""th"",""en"")"),"Category Category")</f>
        <v>Category Category</v>
      </c>
    </row>
    <row r="278" spans="1:12" ht="15.75" hidden="1" customHeight="1">
      <c r="A278" s="133" t="s">
        <v>7</v>
      </c>
      <c r="B278" s="133" t="s">
        <v>277</v>
      </c>
      <c r="C278" s="133" t="s">
        <v>826</v>
      </c>
      <c r="D278" s="133" t="s">
        <v>477</v>
      </c>
      <c r="E278" s="158">
        <v>2</v>
      </c>
      <c r="F278" s="158">
        <v>0</v>
      </c>
      <c r="G278" s="158">
        <v>0</v>
      </c>
      <c r="H278" s="133" t="s">
        <v>827</v>
      </c>
      <c r="I278" s="133" t="s">
        <v>548</v>
      </c>
      <c r="J278" s="158">
        <v>0</v>
      </c>
      <c r="K278" s="159" t="str">
        <f ca="1">IFERROR(__xludf.DUMMYFUNCTION("GOOGLETRANSLATE(H278,""th"",""en"")"),"Subcategory code")</f>
        <v>Subcategory code</v>
      </c>
    </row>
    <row r="279" spans="1:12" ht="15.75" hidden="1" customHeight="1">
      <c r="A279" s="133" t="s">
        <v>7</v>
      </c>
      <c r="B279" s="133" t="s">
        <v>277</v>
      </c>
      <c r="C279" s="133" t="s">
        <v>828</v>
      </c>
      <c r="D279" s="133" t="s">
        <v>477</v>
      </c>
      <c r="E279" s="158">
        <v>50</v>
      </c>
      <c r="F279" s="158">
        <v>0</v>
      </c>
      <c r="G279" s="158">
        <v>0</v>
      </c>
      <c r="H279" s="133" t="s">
        <v>829</v>
      </c>
      <c r="I279" s="133" t="s">
        <v>548</v>
      </c>
      <c r="J279" s="158">
        <v>0</v>
      </c>
      <c r="K279" s="159" t="str">
        <f ca="1">IFERROR(__xludf.DUMMYFUNCTION("GOOGLETRANSLATE(H279,""th"",""en"")"),"Thai Subcategory Name")</f>
        <v>Thai Subcategory Name</v>
      </c>
    </row>
    <row r="280" spans="1:12" ht="15.75" hidden="1" customHeight="1">
      <c r="A280" s="133" t="s">
        <v>7</v>
      </c>
      <c r="B280" s="133" t="s">
        <v>277</v>
      </c>
      <c r="C280" s="133" t="s">
        <v>830</v>
      </c>
      <c r="D280" s="133" t="s">
        <v>477</v>
      </c>
      <c r="E280" s="158">
        <v>100</v>
      </c>
      <c r="F280" s="158">
        <v>0</v>
      </c>
      <c r="G280" s="158">
        <v>0</v>
      </c>
      <c r="H280" s="133" t="s">
        <v>831</v>
      </c>
      <c r="I280" s="133" t="s">
        <v>548</v>
      </c>
      <c r="J280" s="158">
        <v>0</v>
      </c>
      <c r="K280" s="159" t="str">
        <f ca="1">IFERROR(__xludf.DUMMYFUNCTION("GOOGLETRANSLATE(H280,""th"",""en"")"),"English subcategory name")</f>
        <v>English subcategory name</v>
      </c>
    </row>
    <row r="281" spans="1:12" ht="15.75" hidden="1" customHeight="1">
      <c r="A281" s="133" t="s">
        <v>7</v>
      </c>
      <c r="B281" s="133" t="s">
        <v>277</v>
      </c>
      <c r="C281" s="133" t="s">
        <v>832</v>
      </c>
      <c r="D281" s="133" t="s">
        <v>477</v>
      </c>
      <c r="E281" s="158">
        <v>255</v>
      </c>
      <c r="F281" s="158">
        <v>0</v>
      </c>
      <c r="G281" s="158">
        <v>0</v>
      </c>
      <c r="H281" s="133" t="s">
        <v>833</v>
      </c>
      <c r="I281" s="133" t="s">
        <v>548</v>
      </c>
      <c r="J281" s="158">
        <v>0</v>
      </c>
      <c r="K281" s="159" t="str">
        <f ca="1">IFERROR(__xludf.DUMMYFUNCTION("GOOGLETRANSLATE(H281,""th"",""en"")"),"Discription: Description. Subtitles Subcategories")</f>
        <v>Discription: Description. Subtitles Subcategories</v>
      </c>
    </row>
    <row r="282" spans="1:12" ht="15.75" hidden="1" customHeight="1">
      <c r="A282" s="133" t="s">
        <v>7</v>
      </c>
      <c r="B282" s="133" t="s">
        <v>277</v>
      </c>
      <c r="C282" s="133" t="s">
        <v>523</v>
      </c>
      <c r="D282" s="133" t="s">
        <v>477</v>
      </c>
      <c r="E282" s="158">
        <v>8</v>
      </c>
      <c r="F282" s="158">
        <v>0</v>
      </c>
      <c r="G282" s="158">
        <v>0</v>
      </c>
      <c r="H282" s="133" t="s">
        <v>834</v>
      </c>
      <c r="I282" s="133" t="s">
        <v>548</v>
      </c>
      <c r="J282" s="158">
        <v>0</v>
      </c>
      <c r="K282" s="159" t="str">
        <f ca="1">IFERROR(__xludf.DUMMYFUNCTION("GOOGLETRANSLATE(H282,""th"",""en"")"),"Information Creator ID")</f>
        <v>Information Creator ID</v>
      </c>
    </row>
    <row r="283" spans="1:12" ht="15.75" hidden="1" customHeight="1">
      <c r="A283" s="133" t="s">
        <v>7</v>
      </c>
      <c r="B283" s="133" t="s">
        <v>277</v>
      </c>
      <c r="C283" s="133" t="s">
        <v>669</v>
      </c>
      <c r="D283" s="279" t="s">
        <v>477</v>
      </c>
      <c r="E283" s="158">
        <v>8</v>
      </c>
      <c r="F283" s="158">
        <v>27</v>
      </c>
      <c r="G283" s="158">
        <v>7</v>
      </c>
      <c r="H283" s="133" t="s">
        <v>835</v>
      </c>
      <c r="I283" s="133" t="s">
        <v>801</v>
      </c>
      <c r="J283" s="158">
        <v>0</v>
      </c>
      <c r="K283" s="159" t="str">
        <f ca="1">IFERROR(__xludf.DUMMYFUNCTION("GOOGLETRANSLATE(H283,""th"",""en"")"),"Date created")</f>
        <v>Date created</v>
      </c>
      <c r="L283" s="228" t="s">
        <v>800</v>
      </c>
    </row>
    <row r="284" spans="1:12" ht="15.75" hidden="1" customHeight="1">
      <c r="A284" s="133" t="s">
        <v>7</v>
      </c>
      <c r="B284" s="133" t="s">
        <v>277</v>
      </c>
      <c r="C284" s="133" t="s">
        <v>670</v>
      </c>
      <c r="D284" s="133" t="s">
        <v>477</v>
      </c>
      <c r="E284" s="158">
        <v>8</v>
      </c>
      <c r="F284" s="158">
        <v>0</v>
      </c>
      <c r="G284" s="158">
        <v>0</v>
      </c>
      <c r="H284" s="133" t="s">
        <v>836</v>
      </c>
      <c r="I284" s="133" t="s">
        <v>548</v>
      </c>
      <c r="J284" s="158">
        <v>0</v>
      </c>
      <c r="K284" s="159" t="str">
        <f ca="1">IFERROR(__xludf.DUMMYFUNCTION("GOOGLETRANSLATE(H284,""th"",""en"")"),"Latest data editor")</f>
        <v>Latest data editor</v>
      </c>
    </row>
    <row r="285" spans="1:12" ht="15.75" hidden="1" customHeight="1">
      <c r="A285" s="133" t="s">
        <v>7</v>
      </c>
      <c r="B285" s="133" t="s">
        <v>277</v>
      </c>
      <c r="C285" s="133" t="s">
        <v>215</v>
      </c>
      <c r="D285" s="279" t="s">
        <v>477</v>
      </c>
      <c r="E285" s="158">
        <v>8</v>
      </c>
      <c r="F285" s="158">
        <v>27</v>
      </c>
      <c r="G285" s="158">
        <v>7</v>
      </c>
      <c r="H285" s="133" t="s">
        <v>837</v>
      </c>
      <c r="I285" s="133" t="s">
        <v>801</v>
      </c>
      <c r="J285" s="158">
        <v>0</v>
      </c>
      <c r="K285" s="159" t="str">
        <f ca="1">IFERROR(__xludf.DUMMYFUNCTION("GOOGLETRANSLATE(H285,""th"",""en"")"),"Last editing date")</f>
        <v>Last editing date</v>
      </c>
      <c r="L285" s="228" t="s">
        <v>800</v>
      </c>
    </row>
    <row r="286" spans="1:12" ht="15.75" hidden="1" customHeight="1">
      <c r="A286" s="133" t="s">
        <v>7</v>
      </c>
      <c r="B286" s="133" t="s">
        <v>277</v>
      </c>
      <c r="C286" s="133" t="s">
        <v>838</v>
      </c>
      <c r="D286" s="133" t="s">
        <v>477</v>
      </c>
      <c r="E286" s="158">
        <v>2</v>
      </c>
      <c r="F286" s="158">
        <v>0</v>
      </c>
      <c r="G286" s="158">
        <v>0</v>
      </c>
      <c r="H286" s="133" t="s">
        <v>839</v>
      </c>
      <c r="I286" s="133" t="s">
        <v>548</v>
      </c>
      <c r="J286" s="158">
        <v>1</v>
      </c>
      <c r="K286" s="159" t="str">
        <f ca="1">IFERROR(__xludf.DUMMYFUNCTION("GOOGLETRANSLATE(H286,""th"",""en"")"),"Product Line (according to the product group)")</f>
        <v>Product Line (according to the product group)</v>
      </c>
    </row>
    <row r="287" spans="1:12" ht="15.75" hidden="1" customHeight="1">
      <c r="A287" s="133" t="s">
        <v>7</v>
      </c>
      <c r="B287" s="133" t="s">
        <v>277</v>
      </c>
      <c r="C287" s="133" t="s">
        <v>840</v>
      </c>
      <c r="D287" s="133" t="s">
        <v>477</v>
      </c>
      <c r="E287" s="158">
        <v>20</v>
      </c>
      <c r="F287" s="158">
        <v>0</v>
      </c>
      <c r="G287" s="158">
        <v>0</v>
      </c>
      <c r="H287" s="133" t="s">
        <v>841</v>
      </c>
      <c r="I287" s="133" t="s">
        <v>548</v>
      </c>
      <c r="J287" s="158">
        <v>0</v>
      </c>
      <c r="K287" s="159" t="str">
        <f ca="1">IFERROR(__xludf.DUMMYFUNCTION("GOOGLETRANSLATE(H287,""th"",""en"")"),"Disclaimer: Abbreviation of the subcategory")</f>
        <v>Disclaimer: Abbreviation of the subcategory</v>
      </c>
    </row>
    <row r="288" spans="1:12" ht="15.75" hidden="1" customHeight="1">
      <c r="A288" s="133" t="s">
        <v>7</v>
      </c>
      <c r="B288" s="133" t="s">
        <v>277</v>
      </c>
      <c r="C288" s="133" t="s">
        <v>842</v>
      </c>
      <c r="D288" s="133" t="s">
        <v>481</v>
      </c>
      <c r="E288" s="158">
        <v>5</v>
      </c>
      <c r="F288" s="158">
        <v>8</v>
      </c>
      <c r="G288" s="158">
        <v>2</v>
      </c>
      <c r="H288" s="133" t="s">
        <v>843</v>
      </c>
      <c r="I288" s="133" t="s">
        <v>479</v>
      </c>
      <c r="J288" s="158">
        <v>1</v>
      </c>
      <c r="K288" s="159" t="str">
        <f ca="1">IFERROR(__xludf.DUMMYFUNCTION("GOOGLETRANSLATE(H288,""th"",""en"")"),"Disable: Charge Rate of Zoneea")</f>
        <v>Disable: Charge Rate of Zoneea</v>
      </c>
    </row>
    <row r="289" spans="1:11" ht="15.75" hidden="1" customHeight="1">
      <c r="A289" s="133" t="s">
        <v>7</v>
      </c>
      <c r="B289" s="133" t="s">
        <v>277</v>
      </c>
      <c r="C289" s="133" t="s">
        <v>844</v>
      </c>
      <c r="D289" s="133" t="s">
        <v>481</v>
      </c>
      <c r="E289" s="158">
        <v>5</v>
      </c>
      <c r="F289" s="158">
        <v>8</v>
      </c>
      <c r="G289" s="158">
        <v>2</v>
      </c>
      <c r="H289" s="133" t="s">
        <v>845</v>
      </c>
      <c r="I289" s="133" t="s">
        <v>479</v>
      </c>
      <c r="J289" s="158">
        <v>1</v>
      </c>
      <c r="K289" s="159" t="str">
        <f ca="1">IFERROR(__xludf.DUMMYFUNCTION("GOOGLETRANSLATE(H289,""th"",""en"")"),"Disable: Charge Rate of Zoneb")</f>
        <v>Disable: Charge Rate of Zoneb</v>
      </c>
    </row>
    <row r="290" spans="1:11" ht="15.75" hidden="1" customHeight="1">
      <c r="A290" s="133" t="s">
        <v>7</v>
      </c>
      <c r="B290" s="133" t="s">
        <v>277</v>
      </c>
      <c r="C290" s="133" t="s">
        <v>846</v>
      </c>
      <c r="D290" s="133" t="s">
        <v>481</v>
      </c>
      <c r="E290" s="158">
        <v>5</v>
      </c>
      <c r="F290" s="158">
        <v>8</v>
      </c>
      <c r="G290" s="158">
        <v>2</v>
      </c>
      <c r="H290" s="133" t="s">
        <v>847</v>
      </c>
      <c r="I290" s="133" t="s">
        <v>479</v>
      </c>
      <c r="J290" s="158">
        <v>1</v>
      </c>
      <c r="K290" s="159" t="str">
        <f ca="1">IFERROR(__xludf.DUMMYFUNCTION("GOOGLETRANSLATE(H290,""th"",""en"")"),"Disable: Charge Rate of Zonec")</f>
        <v>Disable: Charge Rate of Zonec</v>
      </c>
    </row>
    <row r="291" spans="1:11" ht="15.75" hidden="1" customHeight="1">
      <c r="A291" s="133" t="s">
        <v>7</v>
      </c>
      <c r="B291" s="133" t="s">
        <v>277</v>
      </c>
      <c r="C291" s="133" t="s">
        <v>848</v>
      </c>
      <c r="D291" s="133" t="s">
        <v>481</v>
      </c>
      <c r="E291" s="158">
        <v>5</v>
      </c>
      <c r="F291" s="158">
        <v>8</v>
      </c>
      <c r="G291" s="158">
        <v>2</v>
      </c>
      <c r="H291" s="133" t="s">
        <v>849</v>
      </c>
      <c r="I291" s="133" t="s">
        <v>479</v>
      </c>
      <c r="J291" s="158">
        <v>1</v>
      </c>
      <c r="K291" s="159" t="str">
        <f ca="1">IFERROR(__xludf.DUMMYFUNCTION("GOOGLETRANSLATE(H291,""th"",""en"")"),"Disable: Charge Rate of Zoned")</f>
        <v>Disable: Charge Rate of Zoned</v>
      </c>
    </row>
    <row r="292" spans="1:11" ht="15.75" hidden="1" customHeight="1">
      <c r="A292" s="133" t="s">
        <v>7</v>
      </c>
      <c r="B292" s="133" t="s">
        <v>277</v>
      </c>
      <c r="C292" s="133" t="s">
        <v>850</v>
      </c>
      <c r="D292" s="133" t="s">
        <v>477</v>
      </c>
      <c r="E292" s="158">
        <v>8</v>
      </c>
      <c r="F292" s="158">
        <v>0</v>
      </c>
      <c r="G292" s="158">
        <v>0</v>
      </c>
      <c r="H292" s="160"/>
      <c r="I292" s="133" t="s">
        <v>548</v>
      </c>
      <c r="J292" s="158">
        <v>0</v>
      </c>
      <c r="K292" s="159" t="str">
        <f ca="1">IFERROR(__xludf.DUMMYFUNCTION("GOOGLETRANSLATE(H292,""th"",""en"")"),"#VALUE!")</f>
        <v>#VALUE!</v>
      </c>
    </row>
    <row r="293" spans="1:11" ht="15.75" hidden="1" customHeight="1">
      <c r="A293" s="133" t="s">
        <v>7</v>
      </c>
      <c r="B293" s="133" t="s">
        <v>277</v>
      </c>
      <c r="C293" s="133" t="s">
        <v>851</v>
      </c>
      <c r="D293" s="133" t="s">
        <v>477</v>
      </c>
      <c r="E293" s="158">
        <v>8</v>
      </c>
      <c r="F293" s="158">
        <v>0</v>
      </c>
      <c r="G293" s="158">
        <v>0</v>
      </c>
      <c r="H293" s="160"/>
      <c r="I293" s="133" t="s">
        <v>548</v>
      </c>
      <c r="J293" s="158">
        <v>0</v>
      </c>
      <c r="K293" s="159" t="str">
        <f ca="1">IFERROR(__xludf.DUMMYFUNCTION("GOOGLETRANSLATE(H293,""th"",""en"")"),"#VALUE!")</f>
        <v>#VALUE!</v>
      </c>
    </row>
    <row r="294" spans="1:11" ht="15.75" hidden="1" customHeight="1">
      <c r="A294" s="133" t="s">
        <v>7</v>
      </c>
      <c r="B294" s="133" t="s">
        <v>277</v>
      </c>
      <c r="C294" s="133" t="s">
        <v>852</v>
      </c>
      <c r="D294" s="133" t="s">
        <v>477</v>
      </c>
      <c r="E294" s="158">
        <v>2000</v>
      </c>
      <c r="F294" s="158">
        <v>0</v>
      </c>
      <c r="G294" s="158">
        <v>0</v>
      </c>
      <c r="H294" s="133" t="s">
        <v>853</v>
      </c>
      <c r="I294" s="133" t="s">
        <v>548</v>
      </c>
      <c r="J294" s="158">
        <v>0</v>
      </c>
      <c r="K294" s="159" t="str">
        <f ca="1">IFERROR(__xludf.DUMMYFUNCTION("GOOGLETRANSLATE(H294,""th"",""en"")"),"Disclaimer: Keep the keyword used to search for products.")</f>
        <v>Disclaimer: Keep the keyword used to search for products.</v>
      </c>
    </row>
    <row r="295" spans="1:11" ht="15.75" hidden="1" customHeight="1">
      <c r="A295" s="133" t="s">
        <v>7</v>
      </c>
      <c r="B295" s="133" t="s">
        <v>277</v>
      </c>
      <c r="C295" s="133" t="s">
        <v>854</v>
      </c>
      <c r="D295" s="133" t="s">
        <v>477</v>
      </c>
      <c r="E295" s="158">
        <v>2000</v>
      </c>
      <c r="F295" s="158">
        <v>0</v>
      </c>
      <c r="G295" s="158">
        <v>0</v>
      </c>
      <c r="H295" s="133" t="s">
        <v>855</v>
      </c>
      <c r="I295" s="133" t="s">
        <v>548</v>
      </c>
      <c r="J295" s="158">
        <v>0</v>
      </c>
      <c r="K295" s="159" t="str">
        <f ca="1">IFERROR(__xludf.DUMMYFUNCTION("GOOGLETRANSLATE(H295,""th"",""en"")"),"Disclaimer: Keep the product shared.")</f>
        <v>Disclaimer: Keep the product shared.</v>
      </c>
    </row>
    <row r="296" spans="1:11" ht="15.75" hidden="1" customHeight="1">
      <c r="A296" s="133" t="s">
        <v>7</v>
      </c>
      <c r="B296" s="133" t="s">
        <v>277</v>
      </c>
      <c r="C296" s="133" t="s">
        <v>856</v>
      </c>
      <c r="D296" s="133" t="s">
        <v>477</v>
      </c>
      <c r="E296" s="158">
        <v>2000</v>
      </c>
      <c r="F296" s="158">
        <v>0</v>
      </c>
      <c r="G296" s="158">
        <v>0</v>
      </c>
      <c r="H296" s="133" t="s">
        <v>857</v>
      </c>
      <c r="I296" s="133" t="s">
        <v>548</v>
      </c>
      <c r="J296" s="158">
        <v>0</v>
      </c>
      <c r="K296" s="159" t="str">
        <f ca="1">IFERROR(__xludf.DUMMYFUNCTION("GOOGLETRANSLATE(H296,""th"",""en"")"),"Disclaimer: Keep key related products")</f>
        <v>Disclaimer: Keep key related products</v>
      </c>
    </row>
    <row r="297" spans="1:11" ht="15.75" hidden="1" customHeight="1">
      <c r="A297" s="133" t="s">
        <v>7</v>
      </c>
      <c r="B297" s="133" t="s">
        <v>277</v>
      </c>
      <c r="C297" s="133" t="s">
        <v>858</v>
      </c>
      <c r="D297" s="133" t="s">
        <v>477</v>
      </c>
      <c r="E297" s="158">
        <v>2000</v>
      </c>
      <c r="F297" s="158">
        <v>0</v>
      </c>
      <c r="G297" s="158">
        <v>0</v>
      </c>
      <c r="H297" s="133" t="s">
        <v>859</v>
      </c>
      <c r="I297" s="133" t="s">
        <v>548</v>
      </c>
      <c r="J297" s="158">
        <v>0</v>
      </c>
      <c r="K297" s="159" t="str">
        <f ca="1">IFERROR(__xludf.DUMMYFUNCTION("GOOGLETRANSLATE(H297,""th"",""en"")"),"Cancel: Keep the product that is replaced.")</f>
        <v>Cancel: Keep the product that is replaced.</v>
      </c>
    </row>
    <row r="298" spans="1:11" ht="15.75" hidden="1" customHeight="1">
      <c r="A298" s="133" t="s">
        <v>7</v>
      </c>
      <c r="B298" s="133" t="s">
        <v>277</v>
      </c>
      <c r="C298" s="133" t="s">
        <v>860</v>
      </c>
      <c r="D298" s="133" t="s">
        <v>481</v>
      </c>
      <c r="E298" s="158">
        <v>5</v>
      </c>
      <c r="F298" s="158">
        <v>9</v>
      </c>
      <c r="G298" s="158">
        <v>2</v>
      </c>
      <c r="H298" s="133" t="s">
        <v>861</v>
      </c>
      <c r="I298" s="133" t="s">
        <v>615</v>
      </c>
      <c r="J298" s="158">
        <v>0</v>
      </c>
      <c r="K298" s="159" t="str">
        <f ca="1">IFERROR(__xludf.DUMMYFUNCTION("GOOGLETRANSLATE(H298,""th"",""en"")"),"Commission of the subcatid given (%)")</f>
        <v>Commission of the subcatid given (%)</v>
      </c>
    </row>
    <row r="299" spans="1:11" ht="15.75" hidden="1" customHeight="1">
      <c r="A299" s="133" t="s">
        <v>7</v>
      </c>
      <c r="B299" s="133" t="s">
        <v>277</v>
      </c>
      <c r="C299" s="133" t="s">
        <v>862</v>
      </c>
      <c r="D299" s="133" t="s">
        <v>481</v>
      </c>
      <c r="E299" s="158">
        <v>5</v>
      </c>
      <c r="F299" s="158">
        <v>9</v>
      </c>
      <c r="G299" s="158">
        <v>2</v>
      </c>
      <c r="H299" s="133" t="s">
        <v>863</v>
      </c>
      <c r="I299" s="133" t="s">
        <v>615</v>
      </c>
      <c r="J299" s="158">
        <v>0</v>
      </c>
      <c r="K299" s="159" t="str">
        <f ca="1">IFERROR(__xludf.DUMMYFUNCTION("GOOGLETRANSLATE(H299,""th"",""en"")"),"Is a standard Magin Marketing Marketing (DATA comes from the market sent to (future update made through the program))")</f>
        <v>Is a standard Magin Marketing Marketing (DATA comes from the market sent to (future update made through the program))</v>
      </c>
    </row>
    <row r="300" spans="1:11" ht="15.75" hidden="1" customHeight="1">
      <c r="A300" s="133" t="s">
        <v>7</v>
      </c>
      <c r="B300" s="133" t="s">
        <v>277</v>
      </c>
      <c r="C300" s="133" t="s">
        <v>811</v>
      </c>
      <c r="D300" s="133" t="s">
        <v>477</v>
      </c>
      <c r="E300" s="158">
        <v>10</v>
      </c>
      <c r="F300" s="158">
        <v>0</v>
      </c>
      <c r="G300" s="158">
        <v>0</v>
      </c>
      <c r="H300" s="133" t="s">
        <v>812</v>
      </c>
      <c r="I300" s="133" t="s">
        <v>813</v>
      </c>
      <c r="J300" s="158">
        <v>0</v>
      </c>
      <c r="K300" s="159" t="str">
        <f ca="1">IFERROR(__xludf.DUMMYFUNCTION("GOOGLETRANSLATE(H300,""th"",""en"")"),"Category Status [Active, Inactive, Delete]")</f>
        <v>Category Status [Active, Inactive, Delete]</v>
      </c>
    </row>
    <row r="301" spans="1:11" ht="15.75" hidden="1" customHeight="1">
      <c r="A301" s="133" t="s">
        <v>7</v>
      </c>
      <c r="B301" s="133" t="s">
        <v>277</v>
      </c>
      <c r="C301" s="133" t="s">
        <v>814</v>
      </c>
      <c r="D301" s="133" t="s">
        <v>477</v>
      </c>
      <c r="E301" s="158">
        <v>100</v>
      </c>
      <c r="F301" s="158">
        <v>0</v>
      </c>
      <c r="G301" s="158">
        <v>0</v>
      </c>
      <c r="H301" s="133" t="s">
        <v>815</v>
      </c>
      <c r="I301" s="133" t="s">
        <v>548</v>
      </c>
      <c r="J301" s="158">
        <v>0</v>
      </c>
      <c r="K301" s="159" t="str">
        <f ca="1">IFERROR(__xludf.DUMMYFUNCTION("GOOGLETRANSLATE(H301,""th"",""en"")"),"Information Creator Name")</f>
        <v>Information Creator Name</v>
      </c>
    </row>
    <row r="302" spans="1:11" ht="15.75" hidden="1" customHeight="1">
      <c r="A302" s="133" t="s">
        <v>7</v>
      </c>
      <c r="B302" s="133" t="s">
        <v>277</v>
      </c>
      <c r="C302" s="133" t="s">
        <v>816</v>
      </c>
      <c r="D302" s="133" t="s">
        <v>477</v>
      </c>
      <c r="E302" s="158">
        <v>100</v>
      </c>
      <c r="F302" s="158">
        <v>0</v>
      </c>
      <c r="G302" s="158">
        <v>0</v>
      </c>
      <c r="H302" s="133" t="s">
        <v>817</v>
      </c>
      <c r="I302" s="133" t="s">
        <v>548</v>
      </c>
      <c r="J302" s="158">
        <v>0</v>
      </c>
      <c r="K302" s="159" t="str">
        <f ca="1">IFERROR(__xludf.DUMMYFUNCTION("GOOGLETRANSLATE(H302,""th"",""en"")"),"Latest information")</f>
        <v>Latest information</v>
      </c>
    </row>
    <row r="303" spans="1:11" ht="15.75" hidden="1" customHeight="1">
      <c r="A303" s="133" t="s">
        <v>7</v>
      </c>
      <c r="B303" s="133" t="s">
        <v>277</v>
      </c>
      <c r="C303" s="133" t="s">
        <v>325</v>
      </c>
      <c r="D303" s="133" t="s">
        <v>477</v>
      </c>
      <c r="E303" s="158">
        <v>30</v>
      </c>
      <c r="F303" s="158">
        <v>0</v>
      </c>
      <c r="G303" s="158">
        <v>0</v>
      </c>
      <c r="H303" s="133" t="s">
        <v>818</v>
      </c>
      <c r="I303" s="133" t="s">
        <v>548</v>
      </c>
      <c r="J303" s="158">
        <v>0</v>
      </c>
      <c r="K303" s="159" t="str">
        <f ca="1">IFERROR(__xludf.DUMMYFUNCTION("GOOGLETRANSLATE(H303,""th"",""en"")"),"Category codes (from PIM)")</f>
        <v>Category codes (from PIM)</v>
      </c>
    </row>
    <row r="304" spans="1:11" ht="15.75" hidden="1" customHeight="1">
      <c r="A304" s="133" t="s">
        <v>7</v>
      </c>
      <c r="B304" s="133" t="s">
        <v>280</v>
      </c>
      <c r="C304" s="133" t="s">
        <v>282</v>
      </c>
      <c r="D304" s="133" t="s">
        <v>477</v>
      </c>
      <c r="E304" s="158">
        <v>3</v>
      </c>
      <c r="F304" s="158">
        <v>0</v>
      </c>
      <c r="G304" s="158">
        <v>0</v>
      </c>
      <c r="H304" s="133" t="s">
        <v>864</v>
      </c>
      <c r="I304" s="133" t="s">
        <v>479</v>
      </c>
      <c r="J304" s="158">
        <v>0</v>
      </c>
      <c r="K304" s="159" t="str">
        <f ca="1">IFERROR(__xludf.DUMMYFUNCTION("GOOGLETRANSLATE(H304,""th"",""en"")"),"Payment type code")</f>
        <v>Payment type code</v>
      </c>
    </row>
    <row r="305" spans="1:11" ht="15.75" hidden="1" customHeight="1">
      <c r="A305" s="133" t="s">
        <v>7</v>
      </c>
      <c r="B305" s="133" t="s">
        <v>280</v>
      </c>
      <c r="C305" s="133" t="s">
        <v>865</v>
      </c>
      <c r="D305" s="133" t="s">
        <v>477</v>
      </c>
      <c r="E305" s="158">
        <v>30</v>
      </c>
      <c r="F305" s="158">
        <v>0</v>
      </c>
      <c r="G305" s="158">
        <v>0</v>
      </c>
      <c r="H305" s="133" t="s">
        <v>866</v>
      </c>
      <c r="I305" s="133" t="s">
        <v>479</v>
      </c>
      <c r="J305" s="158">
        <v>1</v>
      </c>
      <c r="K305" s="159" t="str">
        <f ca="1">IFERROR(__xludf.DUMMYFUNCTION("GOOGLETRANSLATE(H305,""th"",""en"")"),"Payment type name")</f>
        <v>Payment type name</v>
      </c>
    </row>
    <row r="306" spans="1:11" ht="15.75" hidden="1" customHeight="1">
      <c r="A306" s="133" t="s">
        <v>7</v>
      </c>
      <c r="B306" s="133" t="s">
        <v>280</v>
      </c>
      <c r="C306" s="133" t="s">
        <v>867</v>
      </c>
      <c r="D306" s="133" t="s">
        <v>484</v>
      </c>
      <c r="E306" s="158">
        <v>4</v>
      </c>
      <c r="F306" s="158">
        <v>10</v>
      </c>
      <c r="G306" s="158">
        <v>0</v>
      </c>
      <c r="H306" s="133" t="s">
        <v>868</v>
      </c>
      <c r="I306" s="133" t="s">
        <v>479</v>
      </c>
      <c r="J306" s="158">
        <v>1</v>
      </c>
      <c r="K306" s="159" t="str">
        <f ca="1">IFERROR(__xludf.DUMMYFUNCTION("GOOGLETRANSLATE(H306,""th"",""en"")"),"Number of payments according to the payment type")</f>
        <v>Number of payments according to the payment type</v>
      </c>
    </row>
    <row r="307" spans="1:11" ht="15.75" hidden="1" customHeight="1">
      <c r="A307" s="133" t="s">
        <v>7</v>
      </c>
      <c r="B307" s="133" t="s">
        <v>280</v>
      </c>
      <c r="C307" s="133" t="s">
        <v>869</v>
      </c>
      <c r="D307" s="133" t="s">
        <v>477</v>
      </c>
      <c r="E307" s="158">
        <v>5</v>
      </c>
      <c r="F307" s="158">
        <v>0</v>
      </c>
      <c r="G307" s="158">
        <v>0</v>
      </c>
      <c r="H307" s="133" t="s">
        <v>870</v>
      </c>
      <c r="I307" s="133" t="s">
        <v>479</v>
      </c>
      <c r="J307" s="158">
        <v>1</v>
      </c>
      <c r="K307" s="159" t="str">
        <f ca="1">IFERROR(__xludf.DUMMYFUNCTION("GOOGLETRANSLATE(H307,""th"",""en"")"),"Payment method")</f>
        <v>Payment method</v>
      </c>
    </row>
    <row r="308" spans="1:11" ht="15.75" hidden="1" customHeight="1">
      <c r="A308" s="133" t="s">
        <v>7</v>
      </c>
      <c r="B308" s="133" t="s">
        <v>280</v>
      </c>
      <c r="C308" s="133" t="s">
        <v>523</v>
      </c>
      <c r="D308" s="133" t="s">
        <v>477</v>
      </c>
      <c r="E308" s="158">
        <v>8</v>
      </c>
      <c r="F308" s="158">
        <v>0</v>
      </c>
      <c r="G308" s="158">
        <v>0</v>
      </c>
      <c r="H308" s="133" t="s">
        <v>734</v>
      </c>
      <c r="I308" s="133" t="s">
        <v>479</v>
      </c>
      <c r="J308" s="158">
        <v>1</v>
      </c>
      <c r="K308" s="159" t="str">
        <f ca="1">IFERROR(__xludf.DUMMYFUNCTION("GOOGLETRANSLATE(H308,""th"",""en"")"),"Creator name")</f>
        <v>Creator name</v>
      </c>
    </row>
    <row r="309" spans="1:11" ht="15.75" hidden="1" customHeight="1">
      <c r="A309" s="133" t="s">
        <v>7</v>
      </c>
      <c r="B309" s="133" t="s">
        <v>280</v>
      </c>
      <c r="C309" s="133" t="s">
        <v>669</v>
      </c>
      <c r="D309" s="133" t="s">
        <v>496</v>
      </c>
      <c r="E309" s="158">
        <v>4</v>
      </c>
      <c r="F309" s="158">
        <v>16</v>
      </c>
      <c r="G309" s="158">
        <v>0</v>
      </c>
      <c r="H309" s="133" t="s">
        <v>735</v>
      </c>
      <c r="I309" s="133" t="s">
        <v>479</v>
      </c>
      <c r="J309" s="158">
        <v>1</v>
      </c>
      <c r="K309" s="159" t="str">
        <f ca="1">IFERROR(__xludf.DUMMYFUNCTION("GOOGLETRANSLATE(H309,""th"",""en"")"),"Date created")</f>
        <v>Date created</v>
      </c>
    </row>
    <row r="310" spans="1:11" ht="15.75" hidden="1" customHeight="1">
      <c r="A310" s="133" t="s">
        <v>7</v>
      </c>
      <c r="B310" s="133" t="s">
        <v>280</v>
      </c>
      <c r="C310" s="133" t="s">
        <v>670</v>
      </c>
      <c r="D310" s="133" t="s">
        <v>477</v>
      </c>
      <c r="E310" s="158">
        <v>8</v>
      </c>
      <c r="F310" s="158">
        <v>0</v>
      </c>
      <c r="G310" s="158">
        <v>0</v>
      </c>
      <c r="H310" s="133" t="s">
        <v>871</v>
      </c>
      <c r="I310" s="133" t="s">
        <v>479</v>
      </c>
      <c r="J310" s="158">
        <v>1</v>
      </c>
      <c r="K310" s="159" t="str">
        <f ca="1">IFERROR(__xludf.DUMMYFUNCTION("GOOGLETRANSLATE(H310,""th"",""en"")"),"Last edited name")</f>
        <v>Last edited name</v>
      </c>
    </row>
    <row r="311" spans="1:11" ht="15.75" hidden="1" customHeight="1">
      <c r="A311" s="133" t="s">
        <v>7</v>
      </c>
      <c r="B311" s="133" t="s">
        <v>280</v>
      </c>
      <c r="C311" s="133" t="s">
        <v>215</v>
      </c>
      <c r="D311" s="133" t="s">
        <v>496</v>
      </c>
      <c r="E311" s="158">
        <v>4</v>
      </c>
      <c r="F311" s="158">
        <v>16</v>
      </c>
      <c r="G311" s="158">
        <v>0</v>
      </c>
      <c r="H311" s="133" t="s">
        <v>872</v>
      </c>
      <c r="I311" s="133" t="s">
        <v>479</v>
      </c>
      <c r="J311" s="158">
        <v>1</v>
      </c>
      <c r="K311" s="159" t="str">
        <f ca="1">IFERROR(__xludf.DUMMYFUNCTION("GOOGLETRANSLATE(H311,""th"",""en"")"),"Last modified date")</f>
        <v>Last modified date</v>
      </c>
    </row>
    <row r="312" spans="1:11" ht="15.75" hidden="1" customHeight="1">
      <c r="A312" s="133" t="s">
        <v>7</v>
      </c>
      <c r="B312" s="133" t="s">
        <v>283</v>
      </c>
      <c r="C312" s="133" t="s">
        <v>287</v>
      </c>
      <c r="D312" s="133" t="s">
        <v>477</v>
      </c>
      <c r="E312" s="158">
        <v>6</v>
      </c>
      <c r="F312" s="158">
        <v>0</v>
      </c>
      <c r="G312" s="158">
        <v>0</v>
      </c>
      <c r="H312" s="133" t="s">
        <v>873</v>
      </c>
      <c r="I312" s="133" t="s">
        <v>479</v>
      </c>
      <c r="J312" s="158">
        <v>0</v>
      </c>
      <c r="K312" s="159" t="str">
        <f ca="1">IFERROR(__xludf.DUMMYFUNCTION("GOOGLETRANSLATE(H312,""th"",""en"")"),"Supplier code")</f>
        <v>Supplier code</v>
      </c>
    </row>
    <row r="313" spans="1:11" ht="15.75" hidden="1" customHeight="1">
      <c r="A313" s="133" t="s">
        <v>7</v>
      </c>
      <c r="B313" s="133" t="s">
        <v>283</v>
      </c>
      <c r="C313" s="133" t="s">
        <v>874</v>
      </c>
      <c r="D313" s="133" t="s">
        <v>484</v>
      </c>
      <c r="E313" s="158">
        <v>4</v>
      </c>
      <c r="F313" s="158">
        <v>10</v>
      </c>
      <c r="G313" s="158">
        <v>0</v>
      </c>
      <c r="H313" s="133" t="s">
        <v>875</v>
      </c>
      <c r="I313" s="133" t="s">
        <v>479</v>
      </c>
      <c r="J313" s="158">
        <v>0</v>
      </c>
      <c r="K313" s="159" t="str">
        <f ca="1">IFERROR(__xludf.DUMMYFUNCTION("GOOGLETRANSLATE(H313,""th"",""en"")"),"Seqno code.")</f>
        <v>Seqno code.</v>
      </c>
    </row>
    <row r="314" spans="1:11" ht="15.75" hidden="1" customHeight="1">
      <c r="A314" s="133" t="s">
        <v>7</v>
      </c>
      <c r="B314" s="133" t="s">
        <v>283</v>
      </c>
      <c r="C314" s="133" t="s">
        <v>876</v>
      </c>
      <c r="D314" s="133" t="s">
        <v>477</v>
      </c>
      <c r="E314" s="158">
        <v>50</v>
      </c>
      <c r="F314" s="158">
        <v>0</v>
      </c>
      <c r="G314" s="158">
        <v>0</v>
      </c>
      <c r="H314" s="133" t="s">
        <v>877</v>
      </c>
      <c r="I314" s="133" t="s">
        <v>479</v>
      </c>
      <c r="J314" s="158">
        <v>1</v>
      </c>
      <c r="K314" s="159" t="str">
        <f ca="1">IFERROR(__xludf.DUMMYFUNCTION("GOOGLETRANSLATE(H314,""th"",""en"")"),"Contact person")</f>
        <v>Contact person</v>
      </c>
    </row>
    <row r="315" spans="1:11" ht="15.75" hidden="1" customHeight="1">
      <c r="A315" s="133" t="s">
        <v>7</v>
      </c>
      <c r="B315" s="133" t="s">
        <v>283</v>
      </c>
      <c r="C315" s="133" t="s">
        <v>878</v>
      </c>
      <c r="D315" s="133" t="s">
        <v>477</v>
      </c>
      <c r="E315" s="158">
        <v>40</v>
      </c>
      <c r="F315" s="158">
        <v>0</v>
      </c>
      <c r="G315" s="158">
        <v>0</v>
      </c>
      <c r="H315" s="133" t="s">
        <v>879</v>
      </c>
      <c r="I315" s="133" t="s">
        <v>479</v>
      </c>
      <c r="J315" s="158">
        <v>1</v>
      </c>
      <c r="K315" s="159" t="str">
        <f ca="1">IFERROR(__xludf.DUMMYFUNCTION("GOOGLETRANSLATE(H315,""th"",""en"")"),"Phone number")</f>
        <v>Phone number</v>
      </c>
    </row>
    <row r="316" spans="1:11" ht="15.75" hidden="1" customHeight="1">
      <c r="A316" s="133" t="s">
        <v>7</v>
      </c>
      <c r="B316" s="133" t="s">
        <v>283</v>
      </c>
      <c r="C316" s="133" t="s">
        <v>880</v>
      </c>
      <c r="D316" s="133" t="s">
        <v>477</v>
      </c>
      <c r="E316" s="158">
        <v>40</v>
      </c>
      <c r="F316" s="158">
        <v>0</v>
      </c>
      <c r="G316" s="158">
        <v>0</v>
      </c>
      <c r="H316" s="133" t="s">
        <v>881</v>
      </c>
      <c r="I316" s="133" t="s">
        <v>479</v>
      </c>
      <c r="J316" s="158">
        <v>1</v>
      </c>
      <c r="K316" s="159" t="str">
        <f ca="1">IFERROR(__xludf.DUMMYFUNCTION("GOOGLETRANSLATE(H316,""th"",""en"")"),"Fax number")</f>
        <v>Fax number</v>
      </c>
    </row>
    <row r="317" spans="1:11" ht="15.75" hidden="1" customHeight="1">
      <c r="A317" s="133" t="s">
        <v>7</v>
      </c>
      <c r="B317" s="133" t="s">
        <v>283</v>
      </c>
      <c r="C317" s="133" t="s">
        <v>882</v>
      </c>
      <c r="D317" s="133" t="s">
        <v>477</v>
      </c>
      <c r="E317" s="158">
        <v>50</v>
      </c>
      <c r="F317" s="158">
        <v>0</v>
      </c>
      <c r="G317" s="158">
        <v>0</v>
      </c>
      <c r="H317" s="133" t="s">
        <v>883</v>
      </c>
      <c r="I317" s="133" t="s">
        <v>548</v>
      </c>
      <c r="J317" s="158">
        <v>0</v>
      </c>
      <c r="K317" s="159" t="str">
        <f ca="1">IFERROR(__xludf.DUMMYFUNCTION("GOOGLETRANSLATE(H317,""th"",""en"")"),"position")</f>
        <v>position</v>
      </c>
    </row>
    <row r="318" spans="1:11" ht="15.75" hidden="1" customHeight="1">
      <c r="A318" s="133" t="s">
        <v>7</v>
      </c>
      <c r="B318" s="133" t="s">
        <v>283</v>
      </c>
      <c r="C318" s="133" t="s">
        <v>884</v>
      </c>
      <c r="D318" s="133" t="s">
        <v>477</v>
      </c>
      <c r="E318" s="158">
        <v>3</v>
      </c>
      <c r="F318" s="158">
        <v>0</v>
      </c>
      <c r="G318" s="158">
        <v>0</v>
      </c>
      <c r="H318" s="133" t="s">
        <v>885</v>
      </c>
      <c r="I318" s="133" t="s">
        <v>548</v>
      </c>
      <c r="J318" s="158">
        <v>0</v>
      </c>
      <c r="K318" s="159" t="str">
        <f ca="1">IFERROR(__xludf.DUMMYFUNCTION("GOOGLETRANSLATE(H318,""th"",""en"")"),"Area")</f>
        <v>Area</v>
      </c>
    </row>
    <row r="319" spans="1:11" ht="15.75" hidden="1" customHeight="1">
      <c r="A319" s="133" t="s">
        <v>7</v>
      </c>
      <c r="B319" s="133" t="s">
        <v>283</v>
      </c>
      <c r="C319" s="133" t="s">
        <v>886</v>
      </c>
      <c r="D319" s="133" t="s">
        <v>477</v>
      </c>
      <c r="E319" s="158">
        <v>5</v>
      </c>
      <c r="F319" s="158">
        <v>0</v>
      </c>
      <c r="G319" s="158">
        <v>0</v>
      </c>
      <c r="H319" s="133" t="s">
        <v>887</v>
      </c>
      <c r="I319" s="133" t="s">
        <v>548</v>
      </c>
      <c r="J319" s="158">
        <v>0</v>
      </c>
      <c r="K319" s="159" t="str">
        <f ca="1">IFERROR(__xludf.DUMMYFUNCTION("GOOGLETRANSLATE(H319,""th"",""en"")"),"Continue")</f>
        <v>Continue</v>
      </c>
    </row>
    <row r="320" spans="1:11" ht="15.75" hidden="1" customHeight="1">
      <c r="A320" s="133" t="s">
        <v>7</v>
      </c>
      <c r="B320" s="133" t="s">
        <v>283</v>
      </c>
      <c r="C320" s="133" t="s">
        <v>888</v>
      </c>
      <c r="D320" s="133" t="s">
        <v>477</v>
      </c>
      <c r="E320" s="158">
        <v>100</v>
      </c>
      <c r="F320" s="158">
        <v>0</v>
      </c>
      <c r="G320" s="158">
        <v>0</v>
      </c>
      <c r="H320" s="133" t="s">
        <v>889</v>
      </c>
      <c r="I320" s="133" t="s">
        <v>548</v>
      </c>
      <c r="J320" s="158">
        <v>0</v>
      </c>
      <c r="K320" s="159" t="str">
        <f ca="1">IFERROR(__xludf.DUMMYFUNCTION("GOOGLETRANSLATE(H320,""th"",""en"")"),"Other numbers")</f>
        <v>Other numbers</v>
      </c>
    </row>
    <row r="321" spans="1:11" ht="15.75" hidden="1" customHeight="1">
      <c r="A321" s="133" t="s">
        <v>7</v>
      </c>
      <c r="B321" s="133" t="s">
        <v>283</v>
      </c>
      <c r="C321" s="133" t="s">
        <v>890</v>
      </c>
      <c r="D321" s="133" t="s">
        <v>477</v>
      </c>
      <c r="E321" s="158">
        <v>3</v>
      </c>
      <c r="F321" s="158">
        <v>0</v>
      </c>
      <c r="G321" s="158">
        <v>0</v>
      </c>
      <c r="H321" s="133" t="s">
        <v>891</v>
      </c>
      <c r="I321" s="133" t="s">
        <v>548</v>
      </c>
      <c r="J321" s="158">
        <v>0</v>
      </c>
      <c r="K321" s="159" t="str">
        <f ca="1">IFERROR(__xludf.DUMMYFUNCTION("GOOGLETRANSLATE(H321,""th"",""en"")"),"Fax area number")</f>
        <v>Fax area number</v>
      </c>
    </row>
    <row r="322" spans="1:11" ht="15.75" hidden="1" customHeight="1">
      <c r="A322" s="133" t="s">
        <v>7</v>
      </c>
      <c r="B322" s="133" t="s">
        <v>283</v>
      </c>
      <c r="C322" s="133" t="s">
        <v>892</v>
      </c>
      <c r="D322" s="133" t="s">
        <v>477</v>
      </c>
      <c r="E322" s="158">
        <v>5</v>
      </c>
      <c r="F322" s="158">
        <v>0</v>
      </c>
      <c r="G322" s="158">
        <v>0</v>
      </c>
      <c r="H322" s="133" t="s">
        <v>893</v>
      </c>
      <c r="I322" s="133" t="s">
        <v>548</v>
      </c>
      <c r="J322" s="158">
        <v>0</v>
      </c>
      <c r="K322" s="159" t="str">
        <f ca="1">IFERROR(__xludf.DUMMYFUNCTION("GOOGLETRANSLATE(H322,""th"",""en"")"),"Fax number")</f>
        <v>Fax number</v>
      </c>
    </row>
    <row r="323" spans="1:11" ht="15.75" hidden="1" customHeight="1">
      <c r="A323" s="133" t="s">
        <v>7</v>
      </c>
      <c r="B323" s="133" t="s">
        <v>283</v>
      </c>
      <c r="C323" s="133" t="s">
        <v>894</v>
      </c>
      <c r="D323" s="133" t="s">
        <v>477</v>
      </c>
      <c r="E323" s="158">
        <v>100</v>
      </c>
      <c r="F323" s="158">
        <v>0</v>
      </c>
      <c r="G323" s="158">
        <v>0</v>
      </c>
      <c r="H323" s="133" t="s">
        <v>895</v>
      </c>
      <c r="I323" s="133" t="s">
        <v>548</v>
      </c>
      <c r="J323" s="158">
        <v>0</v>
      </c>
      <c r="K323" s="159" t="str">
        <f ca="1">IFERROR(__xludf.DUMMYFUNCTION("GOOGLETRANSLATE(H323,""th"",""en"")"),"Other fax numbers")</f>
        <v>Other fax numbers</v>
      </c>
    </row>
    <row r="324" spans="1:11" ht="15.75" hidden="1" customHeight="1">
      <c r="A324" s="133" t="s">
        <v>7</v>
      </c>
      <c r="B324" s="133" t="s">
        <v>283</v>
      </c>
      <c r="C324" s="133" t="s">
        <v>896</v>
      </c>
      <c r="D324" s="133" t="s">
        <v>477</v>
      </c>
      <c r="E324" s="158">
        <v>50</v>
      </c>
      <c r="F324" s="158">
        <v>0</v>
      </c>
      <c r="G324" s="158">
        <v>0</v>
      </c>
      <c r="H324" s="133" t="s">
        <v>897</v>
      </c>
      <c r="I324" s="133" t="s">
        <v>548</v>
      </c>
      <c r="J324" s="158">
        <v>0</v>
      </c>
      <c r="K324" s="159" t="str">
        <f ca="1">IFERROR(__xludf.DUMMYFUNCTION("GOOGLETRANSLATE(H324,""th"",""en"")"),"Mobile number")</f>
        <v>Mobile number</v>
      </c>
    </row>
    <row r="325" spans="1:11" ht="15.75" hidden="1" customHeight="1">
      <c r="A325" s="133" t="s">
        <v>7</v>
      </c>
      <c r="B325" s="133" t="s">
        <v>283</v>
      </c>
      <c r="C325" s="133" t="s">
        <v>898</v>
      </c>
      <c r="D325" s="133" t="s">
        <v>477</v>
      </c>
      <c r="E325" s="158">
        <v>100</v>
      </c>
      <c r="F325" s="158">
        <v>0</v>
      </c>
      <c r="G325" s="158">
        <v>0</v>
      </c>
      <c r="H325" s="133" t="s">
        <v>899</v>
      </c>
      <c r="I325" s="133" t="s">
        <v>548</v>
      </c>
      <c r="J325" s="158">
        <v>0</v>
      </c>
      <c r="K325" s="159" t="str">
        <f ca="1">IFERROR(__xludf.DUMMYFUNCTION("GOOGLETRANSLATE(H325,""th"",""en"")"),"Email")</f>
        <v>Email</v>
      </c>
    </row>
    <row r="326" spans="1:11" ht="15.75" hidden="1" customHeight="1">
      <c r="A326" s="133" t="s">
        <v>7</v>
      </c>
      <c r="B326" s="133" t="s">
        <v>283</v>
      </c>
      <c r="C326" s="133" t="s">
        <v>164</v>
      </c>
      <c r="D326" s="133" t="s">
        <v>477</v>
      </c>
      <c r="E326" s="158">
        <v>100</v>
      </c>
      <c r="F326" s="158">
        <v>0</v>
      </c>
      <c r="G326" s="158">
        <v>0</v>
      </c>
      <c r="H326" s="133" t="s">
        <v>900</v>
      </c>
      <c r="I326" s="133" t="s">
        <v>548</v>
      </c>
      <c r="J326" s="158">
        <v>0</v>
      </c>
      <c r="K326" s="159" t="str">
        <f ca="1">IFERROR(__xludf.DUMMYFUNCTION("GOOGLETRANSLATE(H326,""th"",""en"")"),"note")</f>
        <v>note</v>
      </c>
    </row>
    <row r="327" spans="1:11" ht="15.75" hidden="1" customHeight="1">
      <c r="A327" s="133" t="s">
        <v>7</v>
      </c>
      <c r="B327" s="133" t="s">
        <v>283</v>
      </c>
      <c r="C327" s="133" t="s">
        <v>523</v>
      </c>
      <c r="D327" s="133" t="s">
        <v>477</v>
      </c>
      <c r="E327" s="158">
        <v>8</v>
      </c>
      <c r="F327" s="158">
        <v>0</v>
      </c>
      <c r="G327" s="158">
        <v>0</v>
      </c>
      <c r="H327" s="133" t="s">
        <v>734</v>
      </c>
      <c r="I327" s="133" t="s">
        <v>479</v>
      </c>
      <c r="J327" s="158">
        <v>1</v>
      </c>
      <c r="K327" s="159" t="str">
        <f ca="1">IFERROR(__xludf.DUMMYFUNCTION("GOOGLETRANSLATE(H327,""th"",""en"")"),"Creator name")</f>
        <v>Creator name</v>
      </c>
    </row>
    <row r="328" spans="1:11" ht="15.75" hidden="1" customHeight="1">
      <c r="A328" s="133" t="s">
        <v>7</v>
      </c>
      <c r="B328" s="133" t="s">
        <v>283</v>
      </c>
      <c r="C328" s="133" t="s">
        <v>669</v>
      </c>
      <c r="D328" s="133" t="s">
        <v>496</v>
      </c>
      <c r="E328" s="158">
        <v>4</v>
      </c>
      <c r="F328" s="158">
        <v>16</v>
      </c>
      <c r="G328" s="158">
        <v>0</v>
      </c>
      <c r="H328" s="133" t="s">
        <v>735</v>
      </c>
      <c r="I328" s="133" t="s">
        <v>479</v>
      </c>
      <c r="J328" s="158">
        <v>1</v>
      </c>
      <c r="K328" s="159" t="str">
        <f ca="1">IFERROR(__xludf.DUMMYFUNCTION("GOOGLETRANSLATE(H328,""th"",""en"")"),"Date created")</f>
        <v>Date created</v>
      </c>
    </row>
    <row r="329" spans="1:11" ht="15.75" hidden="1" customHeight="1">
      <c r="A329" s="133" t="s">
        <v>7</v>
      </c>
      <c r="B329" s="133" t="s">
        <v>283</v>
      </c>
      <c r="C329" s="133" t="s">
        <v>670</v>
      </c>
      <c r="D329" s="133" t="s">
        <v>477</v>
      </c>
      <c r="E329" s="158">
        <v>8</v>
      </c>
      <c r="F329" s="158">
        <v>0</v>
      </c>
      <c r="G329" s="158">
        <v>0</v>
      </c>
      <c r="H329" s="133" t="s">
        <v>871</v>
      </c>
      <c r="I329" s="133" t="s">
        <v>479</v>
      </c>
      <c r="J329" s="158">
        <v>1</v>
      </c>
      <c r="K329" s="159" t="str">
        <f ca="1">IFERROR(__xludf.DUMMYFUNCTION("GOOGLETRANSLATE(H329,""th"",""en"")"),"Last edited name")</f>
        <v>Last edited name</v>
      </c>
    </row>
    <row r="330" spans="1:11" ht="15.75" hidden="1" customHeight="1">
      <c r="A330" s="133" t="s">
        <v>7</v>
      </c>
      <c r="B330" s="133" t="s">
        <v>283</v>
      </c>
      <c r="C330" s="133" t="s">
        <v>215</v>
      </c>
      <c r="D330" s="133" t="s">
        <v>496</v>
      </c>
      <c r="E330" s="158">
        <v>4</v>
      </c>
      <c r="F330" s="158">
        <v>16</v>
      </c>
      <c r="G330" s="158">
        <v>0</v>
      </c>
      <c r="H330" s="133" t="s">
        <v>872</v>
      </c>
      <c r="I330" s="133" t="s">
        <v>479</v>
      </c>
      <c r="J330" s="158">
        <v>1</v>
      </c>
      <c r="K330" s="159" t="str">
        <f ca="1">IFERROR(__xludf.DUMMYFUNCTION("GOOGLETRANSLATE(H330,""th"",""en"")"),"Last modified date")</f>
        <v>Last modified date</v>
      </c>
    </row>
    <row r="331" spans="1:11" ht="15.75" hidden="1" customHeight="1">
      <c r="A331" s="133" t="s">
        <v>7</v>
      </c>
      <c r="B331" s="133" t="s">
        <v>286</v>
      </c>
      <c r="C331" s="133" t="s">
        <v>287</v>
      </c>
      <c r="D331" s="133" t="s">
        <v>477</v>
      </c>
      <c r="E331" s="158">
        <v>6</v>
      </c>
      <c r="F331" s="158">
        <v>0</v>
      </c>
      <c r="G331" s="158">
        <v>0</v>
      </c>
      <c r="H331" s="133" t="s">
        <v>873</v>
      </c>
      <c r="I331" s="133" t="s">
        <v>479</v>
      </c>
      <c r="J331" s="158">
        <v>0</v>
      </c>
      <c r="K331" s="159" t="str">
        <f ca="1">IFERROR(__xludf.DUMMYFUNCTION("GOOGLETRANSLATE(H331,""th"",""en"")"),"Supplier code")</f>
        <v>Supplier code</v>
      </c>
    </row>
    <row r="332" spans="1:11" ht="15.75" hidden="1" customHeight="1">
      <c r="A332" s="133" t="s">
        <v>7</v>
      </c>
      <c r="B332" s="133" t="s">
        <v>286</v>
      </c>
      <c r="C332" s="133" t="s">
        <v>901</v>
      </c>
      <c r="D332" s="133" t="s">
        <v>477</v>
      </c>
      <c r="E332" s="158">
        <v>2</v>
      </c>
      <c r="F332" s="158">
        <v>0</v>
      </c>
      <c r="G332" s="158">
        <v>0</v>
      </c>
      <c r="H332" s="133" t="s">
        <v>902</v>
      </c>
      <c r="I332" s="133" t="s">
        <v>479</v>
      </c>
      <c r="J332" s="158">
        <v>1</v>
      </c>
      <c r="K332" s="159" t="str">
        <f ca="1">IFERROR(__xludf.DUMMYFUNCTION("GOOGLETRANSLATE(H332,""th"",""en"")"),"Company prefix code / suffix")</f>
        <v>Company prefix code / suffix</v>
      </c>
    </row>
    <row r="333" spans="1:11" ht="15.75" hidden="1" customHeight="1">
      <c r="A333" s="133" t="s">
        <v>7</v>
      </c>
      <c r="B333" s="133" t="s">
        <v>286</v>
      </c>
      <c r="C333" s="133" t="s">
        <v>903</v>
      </c>
      <c r="D333" s="133" t="s">
        <v>477</v>
      </c>
      <c r="E333" s="158">
        <v>100</v>
      </c>
      <c r="F333" s="158">
        <v>0</v>
      </c>
      <c r="G333" s="158">
        <v>0</v>
      </c>
      <c r="H333" s="133" t="s">
        <v>904</v>
      </c>
      <c r="I333" s="133" t="s">
        <v>479</v>
      </c>
      <c r="J333" s="158">
        <v>1</v>
      </c>
      <c r="K333" s="159" t="str">
        <f ca="1">IFERROR(__xludf.DUMMYFUNCTION("GOOGLETRANSLATE(H333,""th"",""en"")"),"Supplier name")</f>
        <v>Supplier name</v>
      </c>
    </row>
    <row r="334" spans="1:11" ht="15.75" hidden="1" customHeight="1">
      <c r="A334" s="133" t="s">
        <v>7</v>
      </c>
      <c r="B334" s="133" t="s">
        <v>286</v>
      </c>
      <c r="C334" s="133" t="s">
        <v>905</v>
      </c>
      <c r="D334" s="133" t="s">
        <v>477</v>
      </c>
      <c r="E334" s="158">
        <v>100</v>
      </c>
      <c r="F334" s="158">
        <v>0</v>
      </c>
      <c r="G334" s="158">
        <v>0</v>
      </c>
      <c r="H334" s="133" t="s">
        <v>906</v>
      </c>
      <c r="I334" s="133" t="s">
        <v>479</v>
      </c>
      <c r="J334" s="158">
        <v>1</v>
      </c>
      <c r="K334" s="159" t="str">
        <f ca="1">IFERROR(__xludf.DUMMYFUNCTION("GOOGLETRANSLATE(H334,""th"",""en"")"),"English Supplier Name")</f>
        <v>English Supplier Name</v>
      </c>
    </row>
    <row r="335" spans="1:11" ht="15.75" hidden="1" customHeight="1">
      <c r="A335" s="133" t="s">
        <v>7</v>
      </c>
      <c r="B335" s="133" t="s">
        <v>286</v>
      </c>
      <c r="C335" s="133" t="s">
        <v>907</v>
      </c>
      <c r="D335" s="133" t="s">
        <v>477</v>
      </c>
      <c r="E335" s="158">
        <v>2</v>
      </c>
      <c r="F335" s="158">
        <v>0</v>
      </c>
      <c r="G335" s="158">
        <v>0</v>
      </c>
      <c r="H335" s="133" t="s">
        <v>908</v>
      </c>
      <c r="I335" s="133" t="s">
        <v>479</v>
      </c>
      <c r="J335" s="158">
        <v>1</v>
      </c>
      <c r="K335" s="159" t="str">
        <f ca="1">IFERROR(__xludf.DUMMYFUNCTION("GOOGLETRANSLATE(H335,""th"",""en"")"),"Disable: Company suffix")</f>
        <v>Disable: Company suffix</v>
      </c>
    </row>
    <row r="336" spans="1:11" ht="15.75" hidden="1" customHeight="1">
      <c r="A336" s="133" t="s">
        <v>7</v>
      </c>
      <c r="B336" s="133" t="s">
        <v>286</v>
      </c>
      <c r="C336" s="133" t="s">
        <v>282</v>
      </c>
      <c r="D336" s="133" t="s">
        <v>477</v>
      </c>
      <c r="E336" s="158">
        <v>3</v>
      </c>
      <c r="F336" s="158">
        <v>0</v>
      </c>
      <c r="G336" s="158">
        <v>0</v>
      </c>
      <c r="H336" s="133" t="s">
        <v>864</v>
      </c>
      <c r="I336" s="133" t="s">
        <v>479</v>
      </c>
      <c r="J336" s="158">
        <v>1</v>
      </c>
      <c r="K336" s="159" t="str">
        <f ca="1">IFERROR(__xludf.DUMMYFUNCTION("GOOGLETRANSLATE(H336,""th"",""en"")"),"Payment type code")</f>
        <v>Payment type code</v>
      </c>
    </row>
    <row r="337" spans="1:11" ht="15.75" hidden="1" customHeight="1">
      <c r="A337" s="133" t="s">
        <v>7</v>
      </c>
      <c r="B337" s="133" t="s">
        <v>286</v>
      </c>
      <c r="C337" s="133" t="s">
        <v>909</v>
      </c>
      <c r="D337" s="133" t="s">
        <v>481</v>
      </c>
      <c r="E337" s="158">
        <v>5</v>
      </c>
      <c r="F337" s="158">
        <v>9</v>
      </c>
      <c r="G337" s="158">
        <v>3</v>
      </c>
      <c r="H337" s="133" t="s">
        <v>910</v>
      </c>
      <c r="I337" s="133" t="s">
        <v>479</v>
      </c>
      <c r="J337" s="158">
        <v>1</v>
      </c>
      <c r="K337" s="159" t="str">
        <f ca="1">IFERROR(__xludf.DUMMYFUNCTION("GOOGLETRANSLATE(H337,""th"",""en"")"),"Buy discount 1")</f>
        <v>Buy discount 1</v>
      </c>
    </row>
    <row r="338" spans="1:11" ht="15.75" hidden="1" customHeight="1">
      <c r="A338" s="133" t="s">
        <v>7</v>
      </c>
      <c r="B338" s="133" t="s">
        <v>286</v>
      </c>
      <c r="C338" s="133" t="s">
        <v>911</v>
      </c>
      <c r="D338" s="133" t="s">
        <v>481</v>
      </c>
      <c r="E338" s="158">
        <v>5</v>
      </c>
      <c r="F338" s="158">
        <v>9</v>
      </c>
      <c r="G338" s="158">
        <v>3</v>
      </c>
      <c r="H338" s="133" t="s">
        <v>912</v>
      </c>
      <c r="I338" s="133" t="s">
        <v>479</v>
      </c>
      <c r="J338" s="158">
        <v>1</v>
      </c>
      <c r="K338" s="159" t="str">
        <f ca="1">IFERROR(__xludf.DUMMYFUNCTION("GOOGLETRANSLATE(H338,""th"",""en"")"),"Discount on buying 2")</f>
        <v>Discount on buying 2</v>
      </c>
    </row>
    <row r="339" spans="1:11" ht="15.75" hidden="1" customHeight="1">
      <c r="A339" s="133" t="s">
        <v>7</v>
      </c>
      <c r="B339" s="133" t="s">
        <v>286</v>
      </c>
      <c r="C339" s="133" t="s">
        <v>913</v>
      </c>
      <c r="D339" s="133" t="s">
        <v>481</v>
      </c>
      <c r="E339" s="158">
        <v>5</v>
      </c>
      <c r="F339" s="158">
        <v>9</v>
      </c>
      <c r="G339" s="158">
        <v>3</v>
      </c>
      <c r="H339" s="133" t="s">
        <v>914</v>
      </c>
      <c r="I339" s="133" t="s">
        <v>479</v>
      </c>
      <c r="J339" s="158">
        <v>1</v>
      </c>
      <c r="K339" s="159" t="str">
        <f ca="1">IFERROR(__xludf.DUMMYFUNCTION("GOOGLETRANSLATE(H339,""th"",""en"")"),"Discount in buying 3")</f>
        <v>Discount in buying 3</v>
      </c>
    </row>
    <row r="340" spans="1:11" ht="15.75" hidden="1" customHeight="1">
      <c r="A340" s="133" t="s">
        <v>7</v>
      </c>
      <c r="B340" s="133" t="s">
        <v>286</v>
      </c>
      <c r="C340" s="133" t="s">
        <v>915</v>
      </c>
      <c r="D340" s="133" t="s">
        <v>477</v>
      </c>
      <c r="E340" s="158">
        <v>15</v>
      </c>
      <c r="F340" s="158">
        <v>0</v>
      </c>
      <c r="G340" s="158">
        <v>0</v>
      </c>
      <c r="H340" s="133" t="s">
        <v>916</v>
      </c>
      <c r="I340" s="133" t="s">
        <v>479</v>
      </c>
      <c r="J340" s="158">
        <v>1</v>
      </c>
      <c r="K340" s="159" t="str">
        <f ca="1">IFERROR(__xludf.DUMMYFUNCTION("GOOGLETRANSLATE(H340,""th"",""en"")"),"address")</f>
        <v>address</v>
      </c>
    </row>
    <row r="341" spans="1:11" ht="15.75" hidden="1" customHeight="1">
      <c r="A341" s="133" t="s">
        <v>7</v>
      </c>
      <c r="B341" s="133" t="s">
        <v>286</v>
      </c>
      <c r="C341" s="133" t="s">
        <v>917</v>
      </c>
      <c r="D341" s="133" t="s">
        <v>477</v>
      </c>
      <c r="E341" s="158">
        <v>3</v>
      </c>
      <c r="F341" s="158">
        <v>0</v>
      </c>
      <c r="G341" s="158">
        <v>0</v>
      </c>
      <c r="H341" s="133" t="s">
        <v>918</v>
      </c>
      <c r="I341" s="133" t="s">
        <v>479</v>
      </c>
      <c r="J341" s="158">
        <v>1</v>
      </c>
      <c r="K341" s="159" t="str">
        <f ca="1">IFERROR(__xludf.DUMMYFUNCTION("GOOGLETRANSLATE(H341,""th"",""en"")"),"Address")</f>
        <v>Address</v>
      </c>
    </row>
    <row r="342" spans="1:11" ht="15.75" hidden="1" customHeight="1">
      <c r="A342" s="133" t="s">
        <v>7</v>
      </c>
      <c r="B342" s="133" t="s">
        <v>286</v>
      </c>
      <c r="C342" s="133" t="s">
        <v>919</v>
      </c>
      <c r="D342" s="133" t="s">
        <v>477</v>
      </c>
      <c r="E342" s="158">
        <v>30</v>
      </c>
      <c r="F342" s="158">
        <v>0</v>
      </c>
      <c r="G342" s="158">
        <v>0</v>
      </c>
      <c r="H342" s="133" t="s">
        <v>920</v>
      </c>
      <c r="I342" s="133" t="s">
        <v>479</v>
      </c>
      <c r="J342" s="158">
        <v>1</v>
      </c>
      <c r="K342" s="159" t="str">
        <f ca="1">IFERROR(__xludf.DUMMYFUNCTION("GOOGLETRANSLATE(H342,""th"",""en"")"),"Building name")</f>
        <v>Building name</v>
      </c>
    </row>
    <row r="343" spans="1:11" ht="15.75" hidden="1" customHeight="1">
      <c r="A343" s="133" t="s">
        <v>7</v>
      </c>
      <c r="B343" s="133" t="s">
        <v>286</v>
      </c>
      <c r="C343" s="133" t="s">
        <v>921</v>
      </c>
      <c r="D343" s="133" t="s">
        <v>477</v>
      </c>
      <c r="E343" s="158">
        <v>30</v>
      </c>
      <c r="F343" s="158">
        <v>0</v>
      </c>
      <c r="G343" s="158">
        <v>0</v>
      </c>
      <c r="H343" s="133" t="s">
        <v>922</v>
      </c>
      <c r="I343" s="133" t="s">
        <v>479</v>
      </c>
      <c r="J343" s="158">
        <v>1</v>
      </c>
      <c r="K343" s="159" t="str">
        <f ca="1">IFERROR(__xludf.DUMMYFUNCTION("GOOGLETRANSLATE(H343,""th"",""en"")"),"Village")</f>
        <v>Village</v>
      </c>
    </row>
    <row r="344" spans="1:11" ht="15.75" hidden="1" customHeight="1">
      <c r="A344" s="133" t="s">
        <v>7</v>
      </c>
      <c r="B344" s="133" t="s">
        <v>286</v>
      </c>
      <c r="C344" s="133" t="s">
        <v>923</v>
      </c>
      <c r="D344" s="133" t="s">
        <v>477</v>
      </c>
      <c r="E344" s="158">
        <v>30</v>
      </c>
      <c r="F344" s="158">
        <v>0</v>
      </c>
      <c r="G344" s="158">
        <v>0</v>
      </c>
      <c r="H344" s="133" t="s">
        <v>924</v>
      </c>
      <c r="I344" s="133" t="s">
        <v>479</v>
      </c>
      <c r="J344" s="158">
        <v>1</v>
      </c>
      <c r="K344" s="159" t="str">
        <f ca="1">IFERROR(__xludf.DUMMYFUNCTION("GOOGLETRANSLATE(H344,""th"",""en"")"),"Soi")</f>
        <v>Soi</v>
      </c>
    </row>
    <row r="345" spans="1:11" ht="15.75" hidden="1" customHeight="1">
      <c r="A345" s="133" t="s">
        <v>7</v>
      </c>
      <c r="B345" s="133" t="s">
        <v>286</v>
      </c>
      <c r="C345" s="133" t="s">
        <v>925</v>
      </c>
      <c r="D345" s="133" t="s">
        <v>477</v>
      </c>
      <c r="E345" s="158">
        <v>30</v>
      </c>
      <c r="F345" s="158">
        <v>0</v>
      </c>
      <c r="G345" s="158">
        <v>0</v>
      </c>
      <c r="H345" s="133" t="s">
        <v>926</v>
      </c>
      <c r="I345" s="133" t="s">
        <v>479</v>
      </c>
      <c r="J345" s="158">
        <v>1</v>
      </c>
      <c r="K345" s="159" t="str">
        <f ca="1">IFERROR(__xludf.DUMMYFUNCTION("GOOGLETRANSLATE(H345,""th"",""en"")"),"Street address")</f>
        <v>Street address</v>
      </c>
    </row>
    <row r="346" spans="1:11" ht="15.75" hidden="1" customHeight="1">
      <c r="A346" s="133" t="s">
        <v>7</v>
      </c>
      <c r="B346" s="133" t="s">
        <v>286</v>
      </c>
      <c r="C346" s="133" t="s">
        <v>927</v>
      </c>
      <c r="D346" s="133" t="s">
        <v>477</v>
      </c>
      <c r="E346" s="158">
        <v>30</v>
      </c>
      <c r="F346" s="158">
        <v>0</v>
      </c>
      <c r="G346" s="158">
        <v>0</v>
      </c>
      <c r="H346" s="133" t="s">
        <v>928</v>
      </c>
      <c r="I346" s="133" t="s">
        <v>479</v>
      </c>
      <c r="J346" s="158">
        <v>1</v>
      </c>
      <c r="K346" s="159" t="str">
        <f ca="1">IFERROR(__xludf.DUMMYFUNCTION("GOOGLETRANSLATE(H346,""th"",""en"")"),"Address district")</f>
        <v>Address district</v>
      </c>
    </row>
    <row r="347" spans="1:11" ht="15.75" hidden="1" customHeight="1">
      <c r="A347" s="133" t="s">
        <v>7</v>
      </c>
      <c r="B347" s="133" t="s">
        <v>286</v>
      </c>
      <c r="C347" s="133" t="s">
        <v>929</v>
      </c>
      <c r="D347" s="133" t="s">
        <v>477</v>
      </c>
      <c r="E347" s="158">
        <v>30</v>
      </c>
      <c r="F347" s="158">
        <v>0</v>
      </c>
      <c r="G347" s="158">
        <v>0</v>
      </c>
      <c r="H347" s="133" t="s">
        <v>930</v>
      </c>
      <c r="I347" s="133" t="s">
        <v>479</v>
      </c>
      <c r="J347" s="158">
        <v>1</v>
      </c>
      <c r="K347" s="159" t="str">
        <f ca="1">IFERROR(__xludf.DUMMYFUNCTION("GOOGLETRANSLATE(H347,""th"",""en"")"),"district")</f>
        <v>district</v>
      </c>
    </row>
    <row r="348" spans="1:11" ht="15.75" hidden="1" customHeight="1">
      <c r="A348" s="133" t="s">
        <v>7</v>
      </c>
      <c r="B348" s="133" t="s">
        <v>286</v>
      </c>
      <c r="C348" s="133" t="s">
        <v>931</v>
      </c>
      <c r="D348" s="133" t="s">
        <v>477</v>
      </c>
      <c r="E348" s="158">
        <v>50</v>
      </c>
      <c r="F348" s="158">
        <v>0</v>
      </c>
      <c r="G348" s="158">
        <v>0</v>
      </c>
      <c r="H348" s="133" t="s">
        <v>932</v>
      </c>
      <c r="I348" s="133" t="s">
        <v>479</v>
      </c>
      <c r="J348" s="158">
        <v>1</v>
      </c>
      <c r="K348" s="159" t="str">
        <f ca="1">IFERROR(__xludf.DUMMYFUNCTION("GOOGLETRANSLATE(H348,""th"",""en"")"),"Innovation, province, such as Kor, SP,")</f>
        <v>Innovation, province, such as Kor, SP,</v>
      </c>
    </row>
    <row r="349" spans="1:11" ht="15.75" hidden="1" customHeight="1">
      <c r="A349" s="133" t="s">
        <v>7</v>
      </c>
      <c r="B349" s="133" t="s">
        <v>286</v>
      </c>
      <c r="C349" s="133" t="s">
        <v>933</v>
      </c>
      <c r="D349" s="133" t="s">
        <v>477</v>
      </c>
      <c r="E349" s="158">
        <v>5</v>
      </c>
      <c r="F349" s="158">
        <v>0</v>
      </c>
      <c r="G349" s="158">
        <v>0</v>
      </c>
      <c r="H349" s="133" t="s">
        <v>934</v>
      </c>
      <c r="I349" s="133" t="s">
        <v>479</v>
      </c>
      <c r="J349" s="158">
        <v>1</v>
      </c>
      <c r="K349" s="159" t="str">
        <f ca="1">IFERROR(__xludf.DUMMYFUNCTION("GOOGLETRANSLATE(H349,""th"",""en"")"),"ZIP code")</f>
        <v>ZIP code</v>
      </c>
    </row>
    <row r="350" spans="1:11" ht="15.75" hidden="1" customHeight="1">
      <c r="A350" s="133" t="s">
        <v>7</v>
      </c>
      <c r="B350" s="133" t="s">
        <v>286</v>
      </c>
      <c r="C350" s="133" t="s">
        <v>935</v>
      </c>
      <c r="D350" s="133" t="s">
        <v>477</v>
      </c>
      <c r="E350" s="158">
        <v>100</v>
      </c>
      <c r="F350" s="158">
        <v>0</v>
      </c>
      <c r="G350" s="158">
        <v>0</v>
      </c>
      <c r="H350" s="133" t="s">
        <v>936</v>
      </c>
      <c r="I350" s="133" t="s">
        <v>479</v>
      </c>
      <c r="J350" s="158">
        <v>1</v>
      </c>
      <c r="K350" s="159" t="str">
        <f ca="1">IFERROR(__xludf.DUMMYFUNCTION("GOOGLETRANSLATE(H350,""th"",""en"")"),"Name - Supplier Address")</f>
        <v>Name - Supplier Address</v>
      </c>
    </row>
    <row r="351" spans="1:11" ht="15.75" hidden="1" customHeight="1">
      <c r="A351" s="133" t="s">
        <v>7</v>
      </c>
      <c r="B351" s="133" t="s">
        <v>286</v>
      </c>
      <c r="C351" s="133" t="s">
        <v>937</v>
      </c>
      <c r="D351" s="133" t="s">
        <v>477</v>
      </c>
      <c r="E351" s="158">
        <v>40</v>
      </c>
      <c r="F351" s="158">
        <v>0</v>
      </c>
      <c r="G351" s="158">
        <v>0</v>
      </c>
      <c r="H351" s="133" t="s">
        <v>938</v>
      </c>
      <c r="I351" s="133" t="s">
        <v>479</v>
      </c>
      <c r="J351" s="158">
        <v>1</v>
      </c>
      <c r="K351" s="159" t="str">
        <f ca="1">IFERROR(__xludf.DUMMYFUNCTION("GOOGLETRANSLATE(H351,""th"",""en"")"),"Supplier Address 2")</f>
        <v>Supplier Address 2</v>
      </c>
    </row>
    <row r="352" spans="1:11" ht="15.75" hidden="1" customHeight="1">
      <c r="A352" s="133" t="s">
        <v>7</v>
      </c>
      <c r="B352" s="133" t="s">
        <v>286</v>
      </c>
      <c r="C352" s="133" t="s">
        <v>939</v>
      </c>
      <c r="D352" s="133" t="s">
        <v>477</v>
      </c>
      <c r="E352" s="158">
        <v>40</v>
      </c>
      <c r="F352" s="158">
        <v>0</v>
      </c>
      <c r="G352" s="158">
        <v>0</v>
      </c>
      <c r="H352" s="133" t="s">
        <v>940</v>
      </c>
      <c r="I352" s="133" t="s">
        <v>479</v>
      </c>
      <c r="J352" s="158">
        <v>1</v>
      </c>
      <c r="K352" s="159" t="str">
        <f ca="1">IFERROR(__xludf.DUMMYFUNCTION("GOOGLETRANSLATE(H352,""th"",""en"")"),"Supplier Address 3")</f>
        <v>Supplier Address 3</v>
      </c>
    </row>
    <row r="353" spans="1:11" ht="15.75" hidden="1" customHeight="1">
      <c r="A353" s="133" t="s">
        <v>7</v>
      </c>
      <c r="B353" s="133" t="s">
        <v>286</v>
      </c>
      <c r="C353" s="133" t="s">
        <v>941</v>
      </c>
      <c r="D353" s="133" t="s">
        <v>477</v>
      </c>
      <c r="E353" s="158">
        <v>40</v>
      </c>
      <c r="F353" s="158">
        <v>0</v>
      </c>
      <c r="G353" s="158">
        <v>0</v>
      </c>
      <c r="H353" s="133" t="s">
        <v>942</v>
      </c>
      <c r="I353" s="133" t="s">
        <v>479</v>
      </c>
      <c r="J353" s="158">
        <v>1</v>
      </c>
      <c r="K353" s="159" t="str">
        <f ca="1">IFERROR(__xludf.DUMMYFUNCTION("GOOGLETRANSLATE(H353,""th"",""en"")"),"Supplier 4 address")</f>
        <v>Supplier 4 address</v>
      </c>
    </row>
    <row r="354" spans="1:11" ht="15.75" hidden="1" customHeight="1">
      <c r="A354" s="133" t="s">
        <v>7</v>
      </c>
      <c r="B354" s="133" t="s">
        <v>286</v>
      </c>
      <c r="C354" s="133" t="s">
        <v>943</v>
      </c>
      <c r="D354" s="133" t="s">
        <v>477</v>
      </c>
      <c r="E354" s="158">
        <v>40</v>
      </c>
      <c r="F354" s="158">
        <v>0</v>
      </c>
      <c r="G354" s="158">
        <v>0</v>
      </c>
      <c r="H354" s="133" t="s">
        <v>944</v>
      </c>
      <c r="I354" s="133" t="s">
        <v>479</v>
      </c>
      <c r="J354" s="158">
        <v>1</v>
      </c>
      <c r="K354" s="159" t="str">
        <f ca="1">IFERROR(__xludf.DUMMYFUNCTION("GOOGLETRANSLATE(H354,""th"",""en"")"),"Supplier Address 5")</f>
        <v>Supplier Address 5</v>
      </c>
    </row>
    <row r="355" spans="1:11" ht="15.75" hidden="1" customHeight="1">
      <c r="A355" s="133" t="s">
        <v>7</v>
      </c>
      <c r="B355" s="133" t="s">
        <v>286</v>
      </c>
      <c r="C355" s="133" t="s">
        <v>884</v>
      </c>
      <c r="D355" s="133" t="s">
        <v>477</v>
      </c>
      <c r="E355" s="158">
        <v>3</v>
      </c>
      <c r="F355" s="158">
        <v>0</v>
      </c>
      <c r="G355" s="158">
        <v>0</v>
      </c>
      <c r="H355" s="133" t="s">
        <v>945</v>
      </c>
      <c r="I355" s="133" t="s">
        <v>479</v>
      </c>
      <c r="J355" s="158">
        <v>1</v>
      </c>
      <c r="K355" s="159" t="str">
        <f ca="1">IFERROR(__xludf.DUMMYFUNCTION("GOOGLETRANSLATE(H355,""th"",""en"")"),"Area number")</f>
        <v>Area number</v>
      </c>
    </row>
    <row r="356" spans="1:11" ht="15.75" hidden="1" customHeight="1">
      <c r="A356" s="133" t="s">
        <v>7</v>
      </c>
      <c r="B356" s="133" t="s">
        <v>286</v>
      </c>
      <c r="C356" s="133" t="s">
        <v>946</v>
      </c>
      <c r="D356" s="133" t="s">
        <v>477</v>
      </c>
      <c r="E356" s="158">
        <v>8</v>
      </c>
      <c r="F356" s="158">
        <v>0</v>
      </c>
      <c r="G356" s="158">
        <v>0</v>
      </c>
      <c r="H356" s="133" t="s">
        <v>879</v>
      </c>
      <c r="I356" s="133" t="s">
        <v>479</v>
      </c>
      <c r="J356" s="158">
        <v>1</v>
      </c>
      <c r="K356" s="159" t="str">
        <f ca="1">IFERROR(__xludf.DUMMYFUNCTION("GOOGLETRANSLATE(H356,""th"",""en"")"),"Phone number")</f>
        <v>Phone number</v>
      </c>
    </row>
    <row r="357" spans="1:11" ht="15.75" hidden="1" customHeight="1">
      <c r="A357" s="133" t="s">
        <v>7</v>
      </c>
      <c r="B357" s="133" t="s">
        <v>286</v>
      </c>
      <c r="C357" s="133" t="s">
        <v>878</v>
      </c>
      <c r="D357" s="133" t="s">
        <v>477</v>
      </c>
      <c r="E357" s="158">
        <v>40</v>
      </c>
      <c r="F357" s="158">
        <v>0</v>
      </c>
      <c r="G357" s="158">
        <v>0</v>
      </c>
      <c r="H357" s="133" t="s">
        <v>947</v>
      </c>
      <c r="I357" s="133" t="s">
        <v>479</v>
      </c>
      <c r="J357" s="158">
        <v>1</v>
      </c>
      <c r="K357" s="159" t="str">
        <f ca="1">IFERROR(__xludf.DUMMYFUNCTION("GOOGLETRANSLATE(H357,""th"",""en"")"),"Contact number")</f>
        <v>Contact number</v>
      </c>
    </row>
    <row r="358" spans="1:11" ht="15.75" hidden="1" customHeight="1">
      <c r="A358" s="133" t="s">
        <v>7</v>
      </c>
      <c r="B358" s="133" t="s">
        <v>286</v>
      </c>
      <c r="C358" s="133" t="s">
        <v>886</v>
      </c>
      <c r="D358" s="133" t="s">
        <v>477</v>
      </c>
      <c r="E358" s="158">
        <v>5</v>
      </c>
      <c r="F358" s="158">
        <v>0</v>
      </c>
      <c r="G358" s="158">
        <v>0</v>
      </c>
      <c r="H358" s="133" t="s">
        <v>948</v>
      </c>
      <c r="I358" s="133" t="s">
        <v>479</v>
      </c>
      <c r="J358" s="158">
        <v>1</v>
      </c>
      <c r="K358" s="159" t="str">
        <f ca="1">IFERROR(__xludf.DUMMYFUNCTION("GOOGLETRANSLATE(H358,""th"",""en"")"),"Number")</f>
        <v>Number</v>
      </c>
    </row>
    <row r="359" spans="1:11" ht="15.75" hidden="1" customHeight="1">
      <c r="A359" s="133" t="s">
        <v>7</v>
      </c>
      <c r="B359" s="133" t="s">
        <v>286</v>
      </c>
      <c r="C359" s="133" t="s">
        <v>890</v>
      </c>
      <c r="D359" s="133" t="s">
        <v>477</v>
      </c>
      <c r="E359" s="158">
        <v>3</v>
      </c>
      <c r="F359" s="158">
        <v>0</v>
      </c>
      <c r="G359" s="158">
        <v>0</v>
      </c>
      <c r="H359" s="133" t="s">
        <v>949</v>
      </c>
      <c r="I359" s="133" t="s">
        <v>479</v>
      </c>
      <c r="J359" s="158">
        <v>1</v>
      </c>
      <c r="K359" s="159" t="str">
        <f ca="1">IFERROR(__xludf.DUMMYFUNCTION("GOOGLETRANSLATE(H359,""th"",""en"")"),"Area number for FAX number")</f>
        <v>Area number for FAX number</v>
      </c>
    </row>
    <row r="360" spans="1:11" ht="15.75" hidden="1" customHeight="1">
      <c r="A360" s="133" t="s">
        <v>7</v>
      </c>
      <c r="B360" s="133" t="s">
        <v>286</v>
      </c>
      <c r="C360" s="133" t="s">
        <v>880</v>
      </c>
      <c r="D360" s="133" t="s">
        <v>477</v>
      </c>
      <c r="E360" s="158">
        <v>25</v>
      </c>
      <c r="F360" s="158">
        <v>0</v>
      </c>
      <c r="G360" s="158">
        <v>0</v>
      </c>
      <c r="H360" s="133" t="s">
        <v>881</v>
      </c>
      <c r="I360" s="133" t="s">
        <v>479</v>
      </c>
      <c r="J360" s="158">
        <v>1</v>
      </c>
      <c r="K360" s="159" t="str">
        <f ca="1">IFERROR(__xludf.DUMMYFUNCTION("GOOGLETRANSLATE(H360,""th"",""en"")"),"Fax number")</f>
        <v>Fax number</v>
      </c>
    </row>
    <row r="361" spans="1:11" ht="15.75" hidden="1" customHeight="1">
      <c r="A361" s="133" t="s">
        <v>7</v>
      </c>
      <c r="B361" s="133" t="s">
        <v>286</v>
      </c>
      <c r="C361" s="133" t="s">
        <v>950</v>
      </c>
      <c r="D361" s="133" t="s">
        <v>477</v>
      </c>
      <c r="E361" s="158">
        <v>40</v>
      </c>
      <c r="F361" s="158">
        <v>0</v>
      </c>
      <c r="G361" s="158">
        <v>0</v>
      </c>
      <c r="H361" s="133" t="s">
        <v>951</v>
      </c>
      <c r="I361" s="133" t="s">
        <v>479</v>
      </c>
      <c r="J361" s="158">
        <v>1</v>
      </c>
      <c r="K361" s="159" t="str">
        <f ca="1">IFERROR(__xludf.DUMMYFUNCTION("GOOGLETRANSLATE(H361,""th"",""en"")"),"FAX number")</f>
        <v>FAX number</v>
      </c>
    </row>
    <row r="362" spans="1:11" ht="15.75" hidden="1" customHeight="1">
      <c r="A362" s="133" t="s">
        <v>7</v>
      </c>
      <c r="B362" s="133" t="s">
        <v>286</v>
      </c>
      <c r="C362" s="133" t="s">
        <v>892</v>
      </c>
      <c r="D362" s="133" t="s">
        <v>477</v>
      </c>
      <c r="E362" s="158">
        <v>5</v>
      </c>
      <c r="F362" s="158">
        <v>0</v>
      </c>
      <c r="G362" s="158">
        <v>0</v>
      </c>
      <c r="H362" s="133" t="s">
        <v>952</v>
      </c>
      <c r="I362" s="133" t="s">
        <v>479</v>
      </c>
      <c r="J362" s="158">
        <v>1</v>
      </c>
      <c r="K362" s="159" t="str">
        <f ca="1">IFERROR(__xludf.DUMMYFUNCTION("GOOGLETRANSLATE(H362,""th"",""en"")"),"FAX number")</f>
        <v>FAX number</v>
      </c>
    </row>
    <row r="363" spans="1:11" ht="15.75" hidden="1" customHeight="1">
      <c r="A363" s="133" t="s">
        <v>7</v>
      </c>
      <c r="B363" s="133" t="s">
        <v>286</v>
      </c>
      <c r="C363" s="133" t="s">
        <v>953</v>
      </c>
      <c r="D363" s="133" t="s">
        <v>477</v>
      </c>
      <c r="E363" s="158">
        <v>40</v>
      </c>
      <c r="F363" s="158">
        <v>0</v>
      </c>
      <c r="G363" s="158">
        <v>0</v>
      </c>
      <c r="H363" s="133" t="s">
        <v>954</v>
      </c>
      <c r="I363" s="133" t="s">
        <v>479</v>
      </c>
      <c r="J363" s="158">
        <v>1</v>
      </c>
      <c r="K363" s="159" t="str">
        <f ca="1">IFERROR(__xludf.DUMMYFUNCTION("GOOGLETRANSLATE(H363,""th"",""en"")"),"E-mail")</f>
        <v>E-mail</v>
      </c>
    </row>
    <row r="364" spans="1:11" ht="15.75" hidden="1" customHeight="1">
      <c r="A364" s="133" t="s">
        <v>7</v>
      </c>
      <c r="B364" s="133" t="s">
        <v>286</v>
      </c>
      <c r="C364" s="133" t="s">
        <v>955</v>
      </c>
      <c r="D364" s="133" t="s">
        <v>477</v>
      </c>
      <c r="E364" s="158">
        <v>50</v>
      </c>
      <c r="F364" s="158">
        <v>0</v>
      </c>
      <c r="G364" s="158">
        <v>0</v>
      </c>
      <c r="H364" s="133" t="s">
        <v>956</v>
      </c>
      <c r="I364" s="133" t="s">
        <v>479</v>
      </c>
      <c r="J364" s="158">
        <v>1</v>
      </c>
      <c r="K364" s="159" t="str">
        <f ca="1">IFERROR(__xludf.DUMMYFUNCTION("GOOGLETRANSLATE(H364,""th"",""en"")"),"The name of the authority")</f>
        <v>The name of the authority</v>
      </c>
    </row>
    <row r="365" spans="1:11" ht="15.75" hidden="1" customHeight="1">
      <c r="A365" s="133" t="s">
        <v>7</v>
      </c>
      <c r="B365" s="133" t="s">
        <v>286</v>
      </c>
      <c r="C365" s="133" t="s">
        <v>957</v>
      </c>
      <c r="D365" s="133" t="s">
        <v>477</v>
      </c>
      <c r="E365" s="158">
        <v>50</v>
      </c>
      <c r="F365" s="158">
        <v>0</v>
      </c>
      <c r="G365" s="158">
        <v>0</v>
      </c>
      <c r="H365" s="133" t="s">
        <v>958</v>
      </c>
      <c r="I365" s="133" t="s">
        <v>479</v>
      </c>
      <c r="J365" s="158">
        <v>1</v>
      </c>
      <c r="K365" s="159" t="str">
        <f ca="1">IFERROR(__xludf.DUMMYFUNCTION("GOOGLETRANSLATE(H365,""th"",""en"")"),"The position of the authorized person")</f>
        <v>The position of the authorized person</v>
      </c>
    </row>
    <row r="366" spans="1:11" ht="15.75" hidden="1" customHeight="1">
      <c r="A366" s="133" t="s">
        <v>7</v>
      </c>
      <c r="B366" s="133" t="s">
        <v>286</v>
      </c>
      <c r="C366" s="133" t="s">
        <v>959</v>
      </c>
      <c r="D366" s="133" t="s">
        <v>477</v>
      </c>
      <c r="E366" s="158">
        <v>100</v>
      </c>
      <c r="F366" s="158">
        <v>0</v>
      </c>
      <c r="G366" s="158">
        <v>0</v>
      </c>
      <c r="H366" s="133" t="s">
        <v>960</v>
      </c>
      <c r="I366" s="133" t="s">
        <v>479</v>
      </c>
      <c r="J366" s="158">
        <v>1</v>
      </c>
      <c r="K366" s="159" t="str">
        <f ca="1">IFERROR(__xludf.DUMMYFUNCTION("GOOGLETRANSLATE(H366,""th"",""en"")"),"Quit")</f>
        <v>Quit</v>
      </c>
    </row>
    <row r="367" spans="1:11" ht="15.75" hidden="1" customHeight="1">
      <c r="A367" s="133" t="s">
        <v>7</v>
      </c>
      <c r="B367" s="133" t="s">
        <v>286</v>
      </c>
      <c r="C367" s="133" t="s">
        <v>961</v>
      </c>
      <c r="D367" s="133" t="s">
        <v>477</v>
      </c>
      <c r="E367" s="158">
        <v>3</v>
      </c>
      <c r="F367" s="158">
        <v>0</v>
      </c>
      <c r="G367" s="158">
        <v>0</v>
      </c>
      <c r="H367" s="133" t="s">
        <v>962</v>
      </c>
      <c r="I367" s="133" t="s">
        <v>479</v>
      </c>
      <c r="J367" s="158">
        <v>1</v>
      </c>
      <c r="K367" s="159" t="str">
        <f ca="1">IFERROR(__xludf.DUMMYFUNCTION("GOOGLETRANSLATE(H367,""th"",""en"")"),"Supplier group")</f>
        <v>Supplier group</v>
      </c>
    </row>
    <row r="368" spans="1:11" ht="15.75" hidden="1" customHeight="1">
      <c r="A368" s="133" t="s">
        <v>7</v>
      </c>
      <c r="B368" s="133" t="s">
        <v>286</v>
      </c>
      <c r="C368" s="133" t="s">
        <v>963</v>
      </c>
      <c r="D368" s="133" t="s">
        <v>477</v>
      </c>
      <c r="E368" s="158">
        <v>5</v>
      </c>
      <c r="F368" s="158">
        <v>0</v>
      </c>
      <c r="G368" s="158">
        <v>0</v>
      </c>
      <c r="H368" s="133" t="s">
        <v>964</v>
      </c>
      <c r="I368" s="133" t="s">
        <v>479</v>
      </c>
      <c r="J368" s="158">
        <v>1</v>
      </c>
      <c r="K368" s="159" t="str">
        <f ca="1">IFERROR(__xludf.DUMMYFUNCTION("GOOGLETRANSLATE(H368,""th"",""en"")"),"Business type code")</f>
        <v>Business type code</v>
      </c>
    </row>
    <row r="369" spans="1:11" ht="15.75" hidden="1" customHeight="1">
      <c r="A369" s="133" t="s">
        <v>7</v>
      </c>
      <c r="B369" s="133" t="s">
        <v>286</v>
      </c>
      <c r="C369" s="133" t="s">
        <v>965</v>
      </c>
      <c r="D369" s="133" t="s">
        <v>477</v>
      </c>
      <c r="E369" s="158">
        <v>13</v>
      </c>
      <c r="F369" s="158">
        <v>0</v>
      </c>
      <c r="G369" s="158">
        <v>0</v>
      </c>
      <c r="H369" s="133" t="s">
        <v>966</v>
      </c>
      <c r="I369" s="133" t="s">
        <v>479</v>
      </c>
      <c r="J369" s="158">
        <v>1</v>
      </c>
      <c r="K369" s="159" t="str">
        <f ca="1">IFERROR(__xludf.DUMMYFUNCTION("GOOGLETRANSLATE(H369,""th"",""en"")"),"Taxpayer ID")</f>
        <v>Taxpayer ID</v>
      </c>
    </row>
    <row r="370" spans="1:11" ht="15.75" hidden="1" customHeight="1">
      <c r="A370" s="133" t="s">
        <v>7</v>
      </c>
      <c r="B370" s="133" t="s">
        <v>286</v>
      </c>
      <c r="C370" s="133" t="s">
        <v>967</v>
      </c>
      <c r="D370" s="133" t="s">
        <v>496</v>
      </c>
      <c r="E370" s="158">
        <v>4</v>
      </c>
      <c r="F370" s="158">
        <v>16</v>
      </c>
      <c r="G370" s="158">
        <v>0</v>
      </c>
      <c r="H370" s="133" t="s">
        <v>968</v>
      </c>
      <c r="I370" s="133" t="s">
        <v>479</v>
      </c>
      <c r="J370" s="158">
        <v>1</v>
      </c>
      <c r="K370" s="159" t="str">
        <f ca="1">IFERROR(__xludf.DUMMYFUNCTION("GOOGLETRANSLATE(H370,""th"",""en"")"),"Disable: The first sale date")</f>
        <v>Disable: The first sale date</v>
      </c>
    </row>
    <row r="371" spans="1:11" ht="15.75" hidden="1" customHeight="1">
      <c r="A371" s="133" t="s">
        <v>7</v>
      </c>
      <c r="B371" s="133" t="s">
        <v>286</v>
      </c>
      <c r="C371" s="133" t="s">
        <v>969</v>
      </c>
      <c r="D371" s="133" t="s">
        <v>496</v>
      </c>
      <c r="E371" s="158">
        <v>4</v>
      </c>
      <c r="F371" s="158">
        <v>16</v>
      </c>
      <c r="G371" s="158">
        <v>0</v>
      </c>
      <c r="H371" s="133" t="s">
        <v>970</v>
      </c>
      <c r="I371" s="133" t="s">
        <v>479</v>
      </c>
      <c r="J371" s="158">
        <v>1</v>
      </c>
      <c r="K371" s="159" t="str">
        <f ca="1">IFERROR(__xludf.DUMMYFUNCTION("GOOGLETRANSLATE(H371,""th"",""en"")"),"Disable: Last sales date")</f>
        <v>Disable: Last sales date</v>
      </c>
    </row>
    <row r="372" spans="1:11" ht="15.75" hidden="1" customHeight="1">
      <c r="A372" s="133" t="s">
        <v>7</v>
      </c>
      <c r="B372" s="133" t="s">
        <v>286</v>
      </c>
      <c r="C372" s="133" t="s">
        <v>523</v>
      </c>
      <c r="D372" s="133" t="s">
        <v>477</v>
      </c>
      <c r="E372" s="158">
        <v>8</v>
      </c>
      <c r="F372" s="158">
        <v>0</v>
      </c>
      <c r="G372" s="158">
        <v>0</v>
      </c>
      <c r="H372" s="133" t="s">
        <v>734</v>
      </c>
      <c r="I372" s="133" t="s">
        <v>479</v>
      </c>
      <c r="J372" s="158">
        <v>1</v>
      </c>
      <c r="K372" s="159" t="str">
        <f ca="1">IFERROR(__xludf.DUMMYFUNCTION("GOOGLETRANSLATE(H372,""th"",""en"")"),"Creator name")</f>
        <v>Creator name</v>
      </c>
    </row>
    <row r="373" spans="1:11" ht="15.75" hidden="1" customHeight="1">
      <c r="A373" s="133" t="s">
        <v>7</v>
      </c>
      <c r="B373" s="133" t="s">
        <v>286</v>
      </c>
      <c r="C373" s="133" t="s">
        <v>669</v>
      </c>
      <c r="D373" s="133" t="s">
        <v>800</v>
      </c>
      <c r="E373" s="158">
        <v>8</v>
      </c>
      <c r="F373" s="158">
        <v>27</v>
      </c>
      <c r="G373" s="158">
        <v>7</v>
      </c>
      <c r="H373" s="133" t="s">
        <v>735</v>
      </c>
      <c r="I373" s="133" t="s">
        <v>479</v>
      </c>
      <c r="J373" s="158">
        <v>1</v>
      </c>
      <c r="K373" s="159" t="str">
        <f ca="1">IFERROR(__xludf.DUMMYFUNCTION("GOOGLETRANSLATE(H373,""th"",""en"")"),"Date created")</f>
        <v>Date created</v>
      </c>
    </row>
    <row r="374" spans="1:11" ht="15.75" hidden="1" customHeight="1">
      <c r="A374" s="133" t="s">
        <v>7</v>
      </c>
      <c r="B374" s="133" t="s">
        <v>286</v>
      </c>
      <c r="C374" s="133" t="s">
        <v>670</v>
      </c>
      <c r="D374" s="133" t="s">
        <v>477</v>
      </c>
      <c r="E374" s="158">
        <v>8</v>
      </c>
      <c r="F374" s="158">
        <v>0</v>
      </c>
      <c r="G374" s="158">
        <v>0</v>
      </c>
      <c r="H374" s="133" t="s">
        <v>871</v>
      </c>
      <c r="I374" s="133" t="s">
        <v>479</v>
      </c>
      <c r="J374" s="158">
        <v>1</v>
      </c>
      <c r="K374" s="159" t="str">
        <f ca="1">IFERROR(__xludf.DUMMYFUNCTION("GOOGLETRANSLATE(H374,""th"",""en"")"),"Last edited name")</f>
        <v>Last edited name</v>
      </c>
    </row>
    <row r="375" spans="1:11" ht="15.75" hidden="1" customHeight="1">
      <c r="A375" s="133" t="s">
        <v>7</v>
      </c>
      <c r="B375" s="133" t="s">
        <v>286</v>
      </c>
      <c r="C375" s="133" t="s">
        <v>215</v>
      </c>
      <c r="D375" s="133" t="s">
        <v>800</v>
      </c>
      <c r="E375" s="158">
        <v>8</v>
      </c>
      <c r="F375" s="158">
        <v>27</v>
      </c>
      <c r="G375" s="158">
        <v>7</v>
      </c>
      <c r="H375" s="133" t="s">
        <v>872</v>
      </c>
      <c r="I375" s="133" t="s">
        <v>479</v>
      </c>
      <c r="J375" s="158">
        <v>1</v>
      </c>
      <c r="K375" s="159" t="str">
        <f ca="1">IFERROR(__xludf.DUMMYFUNCTION("GOOGLETRANSLATE(H375,""th"",""en"")"),"Last modified date")</f>
        <v>Last modified date</v>
      </c>
    </row>
    <row r="376" spans="1:11" ht="15.75" hidden="1" customHeight="1">
      <c r="A376" s="133" t="s">
        <v>7</v>
      </c>
      <c r="B376" s="133" t="s">
        <v>286</v>
      </c>
      <c r="C376" s="133" t="s">
        <v>971</v>
      </c>
      <c r="D376" s="133" t="s">
        <v>477</v>
      </c>
      <c r="E376" s="158">
        <v>7</v>
      </c>
      <c r="F376" s="158">
        <v>0</v>
      </c>
      <c r="G376" s="158">
        <v>0</v>
      </c>
      <c r="H376" s="133" t="s">
        <v>972</v>
      </c>
      <c r="I376" s="133" t="s">
        <v>479</v>
      </c>
      <c r="J376" s="158">
        <v>1</v>
      </c>
      <c r="K376" s="159" t="str">
        <f ca="1">IFERROR(__xludf.DUMMYFUNCTION("GOOGLETRANSLATE(H376,""th"",""en"")"),"Manager identification code")</f>
        <v>Manager identification code</v>
      </c>
    </row>
    <row r="377" spans="1:11" ht="15.75" hidden="1" customHeight="1">
      <c r="A377" s="133" t="s">
        <v>7</v>
      </c>
      <c r="B377" s="133" t="s">
        <v>286</v>
      </c>
      <c r="C377" s="133" t="s">
        <v>973</v>
      </c>
      <c r="D377" s="133" t="s">
        <v>477</v>
      </c>
      <c r="E377" s="158">
        <v>50</v>
      </c>
      <c r="F377" s="158">
        <v>0</v>
      </c>
      <c r="G377" s="158">
        <v>0</v>
      </c>
      <c r="H377" s="133" t="s">
        <v>974</v>
      </c>
      <c r="I377" s="133" t="s">
        <v>479</v>
      </c>
      <c r="J377" s="158">
        <v>1</v>
      </c>
      <c r="K377" s="159" t="str">
        <f ca="1">IFERROR(__xludf.DUMMYFUNCTION("GOOGLETRANSLATE(H377,""th"",""en"")"),"Fax number of the authorized person")</f>
        <v>Fax number of the authorized person</v>
      </c>
    </row>
    <row r="378" spans="1:11" ht="15.75" hidden="1" customHeight="1">
      <c r="A378" s="133" t="s">
        <v>7</v>
      </c>
      <c r="B378" s="133" t="s">
        <v>286</v>
      </c>
      <c r="C378" s="133" t="s">
        <v>975</v>
      </c>
      <c r="D378" s="133" t="s">
        <v>477</v>
      </c>
      <c r="E378" s="158">
        <v>50</v>
      </c>
      <c r="F378" s="158">
        <v>0</v>
      </c>
      <c r="G378" s="158">
        <v>0</v>
      </c>
      <c r="H378" s="133" t="s">
        <v>976</v>
      </c>
      <c r="I378" s="133" t="s">
        <v>479</v>
      </c>
      <c r="J378" s="158">
        <v>1</v>
      </c>
      <c r="K378" s="159" t="str">
        <f ca="1">IFERROR(__xludf.DUMMYFUNCTION("GOOGLETRANSLATE(H378,""th"",""en"")"),"The phone number of the authorized person")</f>
        <v>The phone number of the authorized person</v>
      </c>
    </row>
    <row r="379" spans="1:11" ht="15.75" hidden="1" customHeight="1">
      <c r="A379" s="133" t="s">
        <v>7</v>
      </c>
      <c r="B379" s="133" t="s">
        <v>286</v>
      </c>
      <c r="C379" s="133" t="s">
        <v>977</v>
      </c>
      <c r="D379" s="133" t="s">
        <v>978</v>
      </c>
      <c r="E379" s="158">
        <v>2</v>
      </c>
      <c r="F379" s="158">
        <v>5</v>
      </c>
      <c r="G379" s="158">
        <v>0</v>
      </c>
      <c r="H379" s="133" t="s">
        <v>979</v>
      </c>
      <c r="I379" s="133" t="s">
        <v>615</v>
      </c>
      <c r="J379" s="158">
        <v>0</v>
      </c>
      <c r="K379" s="159" t="str">
        <f ca="1">IFERROR(__xludf.DUMMYFUNCTION("GOOGLETRANSLATE(H379,""th"",""en"")"),"LeadTime of Supplier")</f>
        <v>LeadTime of Supplier</v>
      </c>
    </row>
    <row r="380" spans="1:11" ht="15.75" hidden="1" customHeight="1">
      <c r="A380" s="133" t="s">
        <v>7</v>
      </c>
      <c r="B380" s="133" t="s">
        <v>286</v>
      </c>
      <c r="C380" s="133" t="s">
        <v>980</v>
      </c>
      <c r="D380" s="133" t="s">
        <v>477</v>
      </c>
      <c r="E380" s="158">
        <v>30</v>
      </c>
      <c r="F380" s="158">
        <v>0</v>
      </c>
      <c r="G380" s="158">
        <v>0</v>
      </c>
      <c r="H380" s="133" t="s">
        <v>981</v>
      </c>
      <c r="I380" s="133" t="s">
        <v>479</v>
      </c>
      <c r="J380" s="158">
        <v>1</v>
      </c>
      <c r="K380" s="159" t="str">
        <f ca="1">IFERROR(__xludf.DUMMYFUNCTION("GOOGLETRANSLATE(H380,""th"",""en"")"),"Corporate name prefix")</f>
        <v>Corporate name prefix</v>
      </c>
    </row>
    <row r="381" spans="1:11" ht="15.75" hidden="1" customHeight="1">
      <c r="A381" s="133" t="s">
        <v>7</v>
      </c>
      <c r="B381" s="133" t="s">
        <v>286</v>
      </c>
      <c r="C381" s="133" t="s">
        <v>982</v>
      </c>
      <c r="D381" s="133" t="s">
        <v>477</v>
      </c>
      <c r="E381" s="158">
        <v>20</v>
      </c>
      <c r="F381" s="158">
        <v>0</v>
      </c>
      <c r="G381" s="158">
        <v>0</v>
      </c>
      <c r="H381" s="133" t="s">
        <v>983</v>
      </c>
      <c r="I381" s="133" t="s">
        <v>479</v>
      </c>
      <c r="J381" s="158">
        <v>1</v>
      </c>
      <c r="K381" s="159" t="str">
        <f ca="1">IFERROR(__xludf.DUMMYFUNCTION("GOOGLETRANSLATE(H381,""th"",""en"")"),"End of the organization name")</f>
        <v>End of the organization name</v>
      </c>
    </row>
    <row r="382" spans="1:11" ht="15.75" hidden="1" customHeight="1">
      <c r="A382" s="133" t="s">
        <v>7</v>
      </c>
      <c r="B382" s="133" t="s">
        <v>286</v>
      </c>
      <c r="C382" s="133" t="s">
        <v>984</v>
      </c>
      <c r="D382" s="133" t="s">
        <v>477</v>
      </c>
      <c r="E382" s="158">
        <v>25</v>
      </c>
      <c r="F382" s="158">
        <v>0</v>
      </c>
      <c r="G382" s="158">
        <v>0</v>
      </c>
      <c r="H382" s="133" t="s">
        <v>985</v>
      </c>
      <c r="I382" s="133" t="s">
        <v>479</v>
      </c>
      <c r="J382" s="158">
        <v>1</v>
      </c>
      <c r="K382" s="159" t="str">
        <f ca="1">IFERROR(__xludf.DUMMYFUNCTION("GOOGLETRANSLATE(H382,""th"",""en"")"),"Contact number 1")</f>
        <v>Contact number 1</v>
      </c>
    </row>
    <row r="383" spans="1:11" ht="15.75" hidden="1" customHeight="1">
      <c r="A383" s="133" t="s">
        <v>7</v>
      </c>
      <c r="B383" s="133" t="s">
        <v>286</v>
      </c>
      <c r="C383" s="133" t="s">
        <v>986</v>
      </c>
      <c r="D383" s="133" t="s">
        <v>477</v>
      </c>
      <c r="E383" s="158">
        <v>25</v>
      </c>
      <c r="F383" s="158">
        <v>0</v>
      </c>
      <c r="G383" s="158">
        <v>0</v>
      </c>
      <c r="H383" s="133" t="s">
        <v>987</v>
      </c>
      <c r="I383" s="133" t="s">
        <v>479</v>
      </c>
      <c r="J383" s="158">
        <v>1</v>
      </c>
      <c r="K383" s="159" t="str">
        <f ca="1">IFERROR(__xludf.DUMMYFUNCTION("GOOGLETRANSLATE(H383,""th"",""en"")"),"Contact number 2")</f>
        <v>Contact number 2</v>
      </c>
    </row>
    <row r="384" spans="1:11" ht="15.75" hidden="1" customHeight="1">
      <c r="A384" s="133" t="s">
        <v>7</v>
      </c>
      <c r="B384" s="133" t="s">
        <v>286</v>
      </c>
      <c r="C384" s="133" t="s">
        <v>988</v>
      </c>
      <c r="D384" s="133" t="s">
        <v>477</v>
      </c>
      <c r="E384" s="158">
        <v>50</v>
      </c>
      <c r="F384" s="158">
        <v>0</v>
      </c>
      <c r="G384" s="158">
        <v>0</v>
      </c>
      <c r="H384" s="133" t="s">
        <v>989</v>
      </c>
      <c r="I384" s="133" t="s">
        <v>479</v>
      </c>
      <c r="J384" s="158">
        <v>1</v>
      </c>
      <c r="K384" s="159" t="str">
        <f ca="1">IFERROR(__xludf.DUMMYFUNCTION("GOOGLETRANSLATE(H384,""th"",""en"")"),"Website Company")</f>
        <v>Website Company</v>
      </c>
    </row>
    <row r="385" spans="1:11" ht="15.75" hidden="1" customHeight="1">
      <c r="A385" s="133" t="s">
        <v>7</v>
      </c>
      <c r="B385" s="133" t="s">
        <v>286</v>
      </c>
      <c r="C385" s="133" t="s">
        <v>990</v>
      </c>
      <c r="D385" s="133" t="s">
        <v>477</v>
      </c>
      <c r="E385" s="158">
        <v>50</v>
      </c>
      <c r="F385" s="158">
        <v>0</v>
      </c>
      <c r="G385" s="158">
        <v>0</v>
      </c>
      <c r="H385" s="133" t="s">
        <v>991</v>
      </c>
      <c r="I385" s="133" t="s">
        <v>479</v>
      </c>
      <c r="J385" s="158">
        <v>1</v>
      </c>
      <c r="K385" s="159" t="str">
        <f ca="1">IFERROR(__xludf.DUMMYFUNCTION("GOOGLETRANSLATE(H385,""th"",""en"")"),"Storage Address 1")</f>
        <v>Storage Address 1</v>
      </c>
    </row>
    <row r="386" spans="1:11" ht="15.75" hidden="1" customHeight="1">
      <c r="A386" s="133" t="s">
        <v>7</v>
      </c>
      <c r="B386" s="133" t="s">
        <v>286</v>
      </c>
      <c r="C386" s="133" t="s">
        <v>992</v>
      </c>
      <c r="D386" s="133" t="s">
        <v>477</v>
      </c>
      <c r="E386" s="158">
        <v>50</v>
      </c>
      <c r="F386" s="158">
        <v>0</v>
      </c>
      <c r="G386" s="158">
        <v>0</v>
      </c>
      <c r="H386" s="133" t="s">
        <v>993</v>
      </c>
      <c r="I386" s="133" t="s">
        <v>479</v>
      </c>
      <c r="J386" s="158">
        <v>1</v>
      </c>
      <c r="K386" s="159" t="str">
        <f ca="1">IFERROR(__xludf.DUMMYFUNCTION("GOOGLETRANSLATE(H386,""th"",""en"")"),"Address address 2")</f>
        <v>Address address 2</v>
      </c>
    </row>
    <row r="387" spans="1:11" ht="15.75" hidden="1" customHeight="1">
      <c r="A387" s="133" t="s">
        <v>7</v>
      </c>
      <c r="B387" s="133" t="s">
        <v>286</v>
      </c>
      <c r="C387" s="133" t="s">
        <v>994</v>
      </c>
      <c r="D387" s="133" t="s">
        <v>477</v>
      </c>
      <c r="E387" s="158">
        <v>50</v>
      </c>
      <c r="F387" s="158">
        <v>0</v>
      </c>
      <c r="G387" s="158">
        <v>0</v>
      </c>
      <c r="H387" s="133" t="s">
        <v>995</v>
      </c>
      <c r="I387" s="133" t="s">
        <v>479</v>
      </c>
      <c r="J387" s="158">
        <v>1</v>
      </c>
      <c r="K387" s="159" t="str">
        <f ca="1">IFERROR(__xludf.DUMMYFUNCTION("GOOGLETRANSLATE(H387,""th"",""en"")"),"Storage address 3")</f>
        <v>Storage address 3</v>
      </c>
    </row>
    <row r="388" spans="1:11" ht="15.75" hidden="1" customHeight="1">
      <c r="A388" s="133" t="s">
        <v>7</v>
      </c>
      <c r="B388" s="133" t="s">
        <v>286</v>
      </c>
      <c r="C388" s="133" t="s">
        <v>996</v>
      </c>
      <c r="D388" s="133" t="s">
        <v>477</v>
      </c>
      <c r="E388" s="158">
        <v>50</v>
      </c>
      <c r="F388" s="158">
        <v>0</v>
      </c>
      <c r="G388" s="158">
        <v>0</v>
      </c>
      <c r="H388" s="133" t="s">
        <v>997</v>
      </c>
      <c r="I388" s="133" t="s">
        <v>479</v>
      </c>
      <c r="J388" s="158">
        <v>1</v>
      </c>
      <c r="K388" s="159" t="str">
        <f ca="1">IFERROR(__xludf.DUMMYFUNCTION("GOOGLETRANSLATE(H388,""th"",""en"")"),"Storage address 4")</f>
        <v>Storage address 4</v>
      </c>
    </row>
    <row r="389" spans="1:11" ht="15.75" hidden="1" customHeight="1">
      <c r="A389" s="133" t="s">
        <v>7</v>
      </c>
      <c r="B389" s="133" t="s">
        <v>286</v>
      </c>
      <c r="C389" s="133" t="s">
        <v>998</v>
      </c>
      <c r="D389" s="133" t="s">
        <v>477</v>
      </c>
      <c r="E389" s="158">
        <v>5</v>
      </c>
      <c r="F389" s="158">
        <v>0</v>
      </c>
      <c r="G389" s="158">
        <v>0</v>
      </c>
      <c r="H389" s="133" t="s">
        <v>999</v>
      </c>
      <c r="I389" s="133" t="s">
        <v>479</v>
      </c>
      <c r="J389" s="158">
        <v>1</v>
      </c>
      <c r="K389" s="159" t="str">
        <f ca="1">IFERROR(__xludf.DUMMYFUNCTION("GOOGLETRANSLATE(H389,""th"",""en"")"),"Postal code, storage address")</f>
        <v>Postal code, storage address</v>
      </c>
    </row>
    <row r="390" spans="1:11" ht="15.75" hidden="1" customHeight="1">
      <c r="A390" s="133" t="s">
        <v>7</v>
      </c>
      <c r="B390" s="133" t="s">
        <v>286</v>
      </c>
      <c r="C390" s="133" t="s">
        <v>1000</v>
      </c>
      <c r="D390" s="133" t="s">
        <v>477</v>
      </c>
      <c r="E390" s="158">
        <v>25</v>
      </c>
      <c r="F390" s="158">
        <v>0</v>
      </c>
      <c r="G390" s="158">
        <v>0</v>
      </c>
      <c r="H390" s="133" t="s">
        <v>1001</v>
      </c>
      <c r="I390" s="133" t="s">
        <v>479</v>
      </c>
      <c r="J390" s="158">
        <v>1</v>
      </c>
      <c r="K390" s="159" t="str">
        <f ca="1">IFERROR(__xludf.DUMMYFUNCTION("GOOGLETRANSLATE(H390,""th"",""en"")"),"Contact number 1 of the storage address")</f>
        <v>Contact number 1 of the storage address</v>
      </c>
    </row>
    <row r="391" spans="1:11" ht="15.75" hidden="1" customHeight="1">
      <c r="A391" s="133" t="s">
        <v>7</v>
      </c>
      <c r="B391" s="133" t="s">
        <v>286</v>
      </c>
      <c r="C391" s="133" t="s">
        <v>1002</v>
      </c>
      <c r="D391" s="133" t="s">
        <v>477</v>
      </c>
      <c r="E391" s="158">
        <v>25</v>
      </c>
      <c r="F391" s="158">
        <v>0</v>
      </c>
      <c r="G391" s="158">
        <v>0</v>
      </c>
      <c r="H391" s="133" t="s">
        <v>1003</v>
      </c>
      <c r="I391" s="133" t="s">
        <v>479</v>
      </c>
      <c r="J391" s="158">
        <v>1</v>
      </c>
      <c r="K391" s="159" t="str">
        <f ca="1">IFERROR(__xludf.DUMMYFUNCTION("GOOGLETRANSLATE(H391,""th"",""en"")"),"Call number 2 of the storage address")</f>
        <v>Call number 2 of the storage address</v>
      </c>
    </row>
    <row r="392" spans="1:11" ht="15.75" hidden="1" customHeight="1">
      <c r="A392" s="133" t="s">
        <v>7</v>
      </c>
      <c r="B392" s="133" t="s">
        <v>286</v>
      </c>
      <c r="C392" s="133" t="s">
        <v>1004</v>
      </c>
      <c r="D392" s="133" t="s">
        <v>477</v>
      </c>
      <c r="E392" s="158">
        <v>25</v>
      </c>
      <c r="F392" s="158">
        <v>0</v>
      </c>
      <c r="G392" s="158">
        <v>0</v>
      </c>
      <c r="H392" s="133" t="s">
        <v>1005</v>
      </c>
      <c r="I392" s="133" t="s">
        <v>479</v>
      </c>
      <c r="J392" s="158">
        <v>1</v>
      </c>
      <c r="K392" s="159" t="str">
        <f ca="1">IFERROR(__xludf.DUMMYFUNCTION("GOOGLETRANSLATE(H392,""th"",""en"")"),"Fax number of the storage address")</f>
        <v>Fax number of the storage address</v>
      </c>
    </row>
    <row r="393" spans="1:11" ht="15.75" hidden="1" customHeight="1">
      <c r="A393" s="133" t="s">
        <v>7</v>
      </c>
      <c r="B393" s="133" t="s">
        <v>286</v>
      </c>
      <c r="C393" s="133" t="s">
        <v>1006</v>
      </c>
      <c r="D393" s="133" t="s">
        <v>477</v>
      </c>
      <c r="E393" s="158">
        <v>5</v>
      </c>
      <c r="F393" s="158">
        <v>0</v>
      </c>
      <c r="G393" s="158">
        <v>0</v>
      </c>
      <c r="H393" s="133" t="s">
        <v>1007</v>
      </c>
      <c r="I393" s="133" t="s">
        <v>479</v>
      </c>
      <c r="J393" s="158">
        <v>1</v>
      </c>
      <c r="K393" s="159" t="str">
        <f ca="1">IFERROR(__xludf.DUMMYFUNCTION("GOOGLETRANSLATE(H393,""th"",""en"")"),"The connecting number of the authorized person")</f>
        <v>The connecting number of the authorized person</v>
      </c>
    </row>
    <row r="394" spans="1:11" ht="15.75" hidden="1" customHeight="1">
      <c r="A394" s="133" t="s">
        <v>7</v>
      </c>
      <c r="B394" s="133" t="s">
        <v>286</v>
      </c>
      <c r="C394" s="133" t="s">
        <v>1008</v>
      </c>
      <c r="D394" s="133" t="s">
        <v>477</v>
      </c>
      <c r="E394" s="158">
        <v>50</v>
      </c>
      <c r="F394" s="158">
        <v>0</v>
      </c>
      <c r="G394" s="158">
        <v>0</v>
      </c>
      <c r="H394" s="133" t="s">
        <v>1009</v>
      </c>
      <c r="I394" s="133" t="s">
        <v>479</v>
      </c>
      <c r="J394" s="158">
        <v>1</v>
      </c>
      <c r="K394" s="159" t="str">
        <f ca="1">IFERROR(__xludf.DUMMYFUNCTION("GOOGLETRANSLATE(H394,""th"",""en"")"),"E-mail of the authority")</f>
        <v>E-mail of the authority</v>
      </c>
    </row>
    <row r="395" spans="1:11" ht="15.75" hidden="1" customHeight="1">
      <c r="A395" s="133" t="s">
        <v>7</v>
      </c>
      <c r="B395" s="133" t="s">
        <v>286</v>
      </c>
      <c r="C395" s="133" t="s">
        <v>1010</v>
      </c>
      <c r="D395" s="133" t="s">
        <v>491</v>
      </c>
      <c r="E395" s="158">
        <v>1</v>
      </c>
      <c r="F395" s="158">
        <v>0</v>
      </c>
      <c r="G395" s="158">
        <v>0</v>
      </c>
      <c r="H395" s="133" t="s">
        <v>1011</v>
      </c>
      <c r="I395" s="133" t="s">
        <v>479</v>
      </c>
      <c r="J395" s="158">
        <v>1</v>
      </c>
      <c r="K395" s="159" t="str">
        <f ca="1">IFERROR(__xludf.DUMMYFUNCTION("GOOGLETRANSLATE(H395,""th"",""en"")"),"Business registration type (T = juristic person, c = natural person)")</f>
        <v>Business registration type (T = juristic person, c = natural person)</v>
      </c>
    </row>
    <row r="396" spans="1:11" ht="15.75" hidden="1" customHeight="1">
      <c r="A396" s="133" t="s">
        <v>7</v>
      </c>
      <c r="B396" s="133" t="s">
        <v>286</v>
      </c>
      <c r="C396" s="133" t="s">
        <v>1012</v>
      </c>
      <c r="D396" s="133" t="s">
        <v>481</v>
      </c>
      <c r="E396" s="158">
        <v>9</v>
      </c>
      <c r="F396" s="158">
        <v>18</v>
      </c>
      <c r="G396" s="158">
        <v>2</v>
      </c>
      <c r="H396" s="133" t="s">
        <v>960</v>
      </c>
      <c r="I396" s="133" t="s">
        <v>479</v>
      </c>
      <c r="J396" s="158">
        <v>1</v>
      </c>
      <c r="K396" s="159" t="str">
        <f ca="1">IFERROR(__xludf.DUMMYFUNCTION("GOOGLETRANSLATE(H396,""th"",""en"")"),"Quit")</f>
        <v>Quit</v>
      </c>
    </row>
    <row r="397" spans="1:11" ht="15.75" hidden="1" customHeight="1">
      <c r="A397" s="133" t="s">
        <v>7</v>
      </c>
      <c r="B397" s="133" t="s">
        <v>286</v>
      </c>
      <c r="C397" s="133" t="s">
        <v>1013</v>
      </c>
      <c r="D397" s="133" t="s">
        <v>477</v>
      </c>
      <c r="E397" s="158">
        <v>3</v>
      </c>
      <c r="F397" s="158">
        <v>0</v>
      </c>
      <c r="G397" s="158">
        <v>0</v>
      </c>
      <c r="H397" s="133" t="s">
        <v>1014</v>
      </c>
      <c r="I397" s="133" t="s">
        <v>479</v>
      </c>
      <c r="J397" s="158">
        <v>1</v>
      </c>
      <c r="K397" s="159" t="str">
        <f ca="1">IFERROR(__xludf.DUMMYFUNCTION("GOOGLETRANSLATE(H397,""th"",""en"")"),"Country storage at Supplier")</f>
        <v>Country storage at Supplier</v>
      </c>
    </row>
    <row r="398" spans="1:11" ht="15.75" hidden="1" customHeight="1">
      <c r="A398" s="133" t="s">
        <v>7</v>
      </c>
      <c r="B398" s="133" t="s">
        <v>286</v>
      </c>
      <c r="C398" s="133" t="s">
        <v>616</v>
      </c>
      <c r="D398" s="133" t="s">
        <v>477</v>
      </c>
      <c r="E398" s="158">
        <v>3</v>
      </c>
      <c r="F398" s="158">
        <v>0</v>
      </c>
      <c r="G398" s="158">
        <v>0</v>
      </c>
      <c r="H398" s="133" t="s">
        <v>1015</v>
      </c>
      <c r="I398" s="133" t="s">
        <v>479</v>
      </c>
      <c r="J398" s="158">
        <v>1</v>
      </c>
      <c r="K398" s="159" t="str">
        <f ca="1">IFERROR(__xludf.DUMMYFUNCTION("GOOGLETRANSLATE(H398,""th"",""en"")"),"Currency storage")</f>
        <v>Currency storage</v>
      </c>
    </row>
    <row r="399" spans="1:11" ht="15.75" hidden="1" customHeight="1">
      <c r="A399" s="133" t="s">
        <v>7</v>
      </c>
      <c r="B399" s="133" t="s">
        <v>286</v>
      </c>
      <c r="C399" s="133" t="s">
        <v>1016</v>
      </c>
      <c r="D399" s="133" t="s">
        <v>481</v>
      </c>
      <c r="E399" s="158">
        <v>9</v>
      </c>
      <c r="F399" s="158">
        <v>18</v>
      </c>
      <c r="G399" s="158">
        <v>2</v>
      </c>
      <c r="H399" s="133" t="s">
        <v>1017</v>
      </c>
      <c r="I399" s="133" t="s">
        <v>479</v>
      </c>
      <c r="J399" s="158">
        <v>1</v>
      </c>
      <c r="K399" s="159" t="str">
        <f ca="1">IFERROR(__xludf.DUMMYFUNCTION("GOOGLETRANSLATE(H399,""th"",""en"")"),"Limit in order")</f>
        <v>Limit in order</v>
      </c>
    </row>
    <row r="400" spans="1:11" ht="15.75" hidden="1" customHeight="1">
      <c r="A400" s="133" t="s">
        <v>7</v>
      </c>
      <c r="B400" s="133" t="s">
        <v>286</v>
      </c>
      <c r="C400" s="133" t="s">
        <v>1018</v>
      </c>
      <c r="D400" s="133" t="s">
        <v>481</v>
      </c>
      <c r="E400" s="158">
        <v>9</v>
      </c>
      <c r="F400" s="158">
        <v>18</v>
      </c>
      <c r="G400" s="158">
        <v>2</v>
      </c>
      <c r="H400" s="133" t="s">
        <v>1019</v>
      </c>
      <c r="I400" s="133" t="s">
        <v>479</v>
      </c>
      <c r="J400" s="158">
        <v>1</v>
      </c>
      <c r="K400" s="159" t="str">
        <f ca="1">IFERROR(__xludf.DUMMYFUNCTION("GOOGLETRANSLATE(H400,""th"",""en"")"),"The bank's credit limit for credit")</f>
        <v>The bank's credit limit for credit</v>
      </c>
    </row>
    <row r="401" spans="1:11" ht="15.75" hidden="1" customHeight="1">
      <c r="A401" s="133" t="s">
        <v>7</v>
      </c>
      <c r="B401" s="133" t="s">
        <v>286</v>
      </c>
      <c r="C401" s="133" t="s">
        <v>1020</v>
      </c>
      <c r="D401" s="133" t="s">
        <v>496</v>
      </c>
      <c r="E401" s="158">
        <v>4</v>
      </c>
      <c r="F401" s="158">
        <v>16</v>
      </c>
      <c r="G401" s="158">
        <v>0</v>
      </c>
      <c r="H401" s="133" t="s">
        <v>1021</v>
      </c>
      <c r="I401" s="133" t="s">
        <v>479</v>
      </c>
      <c r="J401" s="158">
        <v>1</v>
      </c>
      <c r="K401" s="159" t="str">
        <f ca="1">IFERROR(__xludf.DUMMYFUNCTION("GOOGLETRANSLATE(H401,""th"",""en"")"),"The expiration date that the bank approves credit")</f>
        <v>The expiration date that the bank approves credit</v>
      </c>
    </row>
    <row r="402" spans="1:11" ht="15.75" hidden="1" customHeight="1">
      <c r="A402" s="133" t="s">
        <v>7</v>
      </c>
      <c r="B402" s="133" t="s">
        <v>286</v>
      </c>
      <c r="C402" s="133" t="s">
        <v>1022</v>
      </c>
      <c r="D402" s="133" t="s">
        <v>477</v>
      </c>
      <c r="E402" s="158">
        <v>100</v>
      </c>
      <c r="F402" s="158">
        <v>0</v>
      </c>
      <c r="G402" s="158">
        <v>0</v>
      </c>
      <c r="H402" s="133" t="s">
        <v>1023</v>
      </c>
      <c r="I402" s="133" t="s">
        <v>479</v>
      </c>
      <c r="J402" s="158">
        <v>1</v>
      </c>
      <c r="K402" s="159" t="str">
        <f ca="1">IFERROR(__xludf.DUMMYFUNCTION("GOOGLETRANSLATE(H402,""th"",""en"")"),"Note that the bank approves credit")</f>
        <v>Note that the bank approves credit</v>
      </c>
    </row>
    <row r="403" spans="1:11" ht="15.75" hidden="1" customHeight="1">
      <c r="A403" s="133" t="s">
        <v>7</v>
      </c>
      <c r="B403" s="133" t="s">
        <v>286</v>
      </c>
      <c r="C403" s="133" t="s">
        <v>1024</v>
      </c>
      <c r="D403" s="133" t="s">
        <v>477</v>
      </c>
      <c r="E403" s="158">
        <v>10</v>
      </c>
      <c r="F403" s="158">
        <v>0</v>
      </c>
      <c r="G403" s="158">
        <v>0</v>
      </c>
      <c r="H403" s="133" t="s">
        <v>1025</v>
      </c>
      <c r="I403" s="133" t="s">
        <v>479</v>
      </c>
      <c r="J403" s="158">
        <v>1</v>
      </c>
      <c r="K403" s="159" t="str">
        <f ca="1">IFERROR(__xludf.DUMMYFUNCTION("GOOGLETRANSLATE(H403,""th"",""en"")"),"Accounts payable")</f>
        <v>Accounts payable</v>
      </c>
    </row>
    <row r="404" spans="1:11" ht="15.75" hidden="1" customHeight="1">
      <c r="A404" s="133" t="s">
        <v>7</v>
      </c>
      <c r="B404" s="133" t="s">
        <v>286</v>
      </c>
      <c r="C404" s="133" t="s">
        <v>1026</v>
      </c>
      <c r="D404" s="133" t="s">
        <v>491</v>
      </c>
      <c r="E404" s="158">
        <v>1</v>
      </c>
      <c r="F404" s="158">
        <v>0</v>
      </c>
      <c r="G404" s="158">
        <v>0</v>
      </c>
      <c r="H404" s="133" t="s">
        <v>1027</v>
      </c>
      <c r="I404" s="133" t="s">
        <v>479</v>
      </c>
      <c r="J404" s="158">
        <v>1</v>
      </c>
      <c r="K404" s="159" t="str">
        <f ca="1">IFERROR(__xludf.DUMMYFUNCTION("GOOGLETRANSLATE(H404,""th"",""en"")"),"Credit account payable is Debit or Credit")</f>
        <v>Credit account payable is Debit or Credit</v>
      </c>
    </row>
    <row r="405" spans="1:11" ht="15.75" hidden="1" customHeight="1">
      <c r="A405" s="133" t="s">
        <v>7</v>
      </c>
      <c r="B405" s="133" t="s">
        <v>286</v>
      </c>
      <c r="C405" s="133" t="s">
        <v>1028</v>
      </c>
      <c r="D405" s="133" t="s">
        <v>491</v>
      </c>
      <c r="E405" s="158">
        <v>1</v>
      </c>
      <c r="F405" s="158">
        <v>0</v>
      </c>
      <c r="G405" s="158">
        <v>0</v>
      </c>
      <c r="H405" s="133" t="s">
        <v>1029</v>
      </c>
      <c r="I405" s="133" t="s">
        <v>479</v>
      </c>
      <c r="J405" s="158">
        <v>1</v>
      </c>
      <c r="K405" s="159" t="str">
        <f ca="1">IFERROR(__xludf.DUMMYFUNCTION("GOOGLETRANSLATE(H405,""th"",""en"")"),"Flag Lock (Y / N) Lock does not make any voucher in the accounting system.")</f>
        <v>Flag Lock (Y / N) Lock does not make any voucher in the accounting system.</v>
      </c>
    </row>
    <row r="406" spans="1:11" ht="15.75" hidden="1" customHeight="1">
      <c r="A406" s="133" t="s">
        <v>7</v>
      </c>
      <c r="B406" s="133" t="s">
        <v>286</v>
      </c>
      <c r="C406" s="133" t="s">
        <v>1030</v>
      </c>
      <c r="D406" s="133" t="s">
        <v>477</v>
      </c>
      <c r="E406" s="158">
        <v>100</v>
      </c>
      <c r="F406" s="158">
        <v>0</v>
      </c>
      <c r="G406" s="158">
        <v>0</v>
      </c>
      <c r="H406" s="133" t="s">
        <v>1031</v>
      </c>
      <c r="I406" s="133" t="s">
        <v>479</v>
      </c>
      <c r="J406" s="158">
        <v>1</v>
      </c>
      <c r="K406" s="159" t="str">
        <f ca="1">IFERROR(__xludf.DUMMYFUNCTION("GOOGLETRANSLATE(H406,""th"",""en"")"),"Reasons for Lock")</f>
        <v>Reasons for Lock</v>
      </c>
    </row>
    <row r="407" spans="1:11" ht="15.75" hidden="1" customHeight="1">
      <c r="A407" s="133" t="s">
        <v>7</v>
      </c>
      <c r="B407" s="133" t="s">
        <v>286</v>
      </c>
      <c r="C407" s="133" t="s">
        <v>1032</v>
      </c>
      <c r="D407" s="133" t="s">
        <v>477</v>
      </c>
      <c r="E407" s="158">
        <v>100</v>
      </c>
      <c r="F407" s="158">
        <v>0</v>
      </c>
      <c r="G407" s="158">
        <v>0</v>
      </c>
      <c r="H407" s="133" t="s">
        <v>1033</v>
      </c>
      <c r="I407" s="133" t="s">
        <v>479</v>
      </c>
      <c r="J407" s="158">
        <v>1</v>
      </c>
      <c r="K407" s="159" t="str">
        <f ca="1">IFERROR(__xludf.DUMMYFUNCTION("GOOGLETRANSLATE(H407,""th"",""en"")"),"Name of checking In the case of not checking by the company name")</f>
        <v>Name of checking In the case of not checking by the company name</v>
      </c>
    </row>
    <row r="408" spans="1:11" ht="15.75" hidden="1" customHeight="1">
      <c r="A408" s="133" t="s">
        <v>7</v>
      </c>
      <c r="B408" s="133" t="s">
        <v>286</v>
      </c>
      <c r="C408" s="133" t="s">
        <v>1034</v>
      </c>
      <c r="D408" s="133" t="s">
        <v>491</v>
      </c>
      <c r="E408" s="158">
        <v>1</v>
      </c>
      <c r="F408" s="158">
        <v>0</v>
      </c>
      <c r="G408" s="158">
        <v>0</v>
      </c>
      <c r="H408" s="133" t="s">
        <v>1035</v>
      </c>
      <c r="I408" s="133" t="s">
        <v>479</v>
      </c>
      <c r="J408" s="158">
        <v>1</v>
      </c>
      <c r="K408" s="159" t="str">
        <f ca="1">IFERROR(__xludf.DUMMYFUNCTION("GOOGLETRANSLATE(H408,""th"",""en"")"),"Supplier status")</f>
        <v>Supplier status</v>
      </c>
    </row>
    <row r="409" spans="1:11" ht="15.75" hidden="1" customHeight="1">
      <c r="A409" s="133" t="s">
        <v>7</v>
      </c>
      <c r="B409" s="133" t="s">
        <v>286</v>
      </c>
      <c r="C409" s="133" t="s">
        <v>1036</v>
      </c>
      <c r="D409" s="133" t="s">
        <v>491</v>
      </c>
      <c r="E409" s="158">
        <v>2</v>
      </c>
      <c r="F409" s="158">
        <v>0</v>
      </c>
      <c r="G409" s="158">
        <v>0</v>
      </c>
      <c r="H409" s="133" t="s">
        <v>1037</v>
      </c>
      <c r="I409" s="133" t="s">
        <v>548</v>
      </c>
      <c r="J409" s="158">
        <v>0</v>
      </c>
      <c r="K409" s="159" t="str">
        <f ca="1">IFERROR(__xludf.DUMMYFUNCTION("GOOGLETRANSLATE(H409,""th"",""en"")"),"Supplier payment format")</f>
        <v>Supplier payment format</v>
      </c>
    </row>
    <row r="410" spans="1:11" ht="15.75" hidden="1" customHeight="1">
      <c r="A410" s="133" t="s">
        <v>7</v>
      </c>
      <c r="B410" s="133" t="s">
        <v>286</v>
      </c>
      <c r="C410" s="133" t="s">
        <v>888</v>
      </c>
      <c r="D410" s="133" t="s">
        <v>477</v>
      </c>
      <c r="E410" s="158">
        <v>100</v>
      </c>
      <c r="F410" s="158">
        <v>0</v>
      </c>
      <c r="G410" s="158">
        <v>0</v>
      </c>
      <c r="H410" s="133" t="s">
        <v>1038</v>
      </c>
      <c r="I410" s="133" t="s">
        <v>548</v>
      </c>
      <c r="J410" s="158">
        <v>0</v>
      </c>
      <c r="K410" s="159" t="str">
        <f ca="1">IFERROR(__xludf.DUMMYFUNCTION("GOOGLETRANSLATE(H410,""th"",""en"")"),"Other call numbers")</f>
        <v>Other call numbers</v>
      </c>
    </row>
    <row r="411" spans="1:11" ht="15.75" hidden="1" customHeight="1">
      <c r="A411" s="133" t="s">
        <v>7</v>
      </c>
      <c r="B411" s="133" t="s">
        <v>286</v>
      </c>
      <c r="C411" s="133" t="s">
        <v>894</v>
      </c>
      <c r="D411" s="133" t="s">
        <v>477</v>
      </c>
      <c r="E411" s="158">
        <v>100</v>
      </c>
      <c r="F411" s="158">
        <v>0</v>
      </c>
      <c r="G411" s="158">
        <v>0</v>
      </c>
      <c r="H411" s="133" t="s">
        <v>895</v>
      </c>
      <c r="I411" s="133" t="s">
        <v>548</v>
      </c>
      <c r="J411" s="158">
        <v>0</v>
      </c>
      <c r="K411" s="159" t="str">
        <f ca="1">IFERROR(__xludf.DUMMYFUNCTION("GOOGLETRANSLATE(H411,""th"",""en"")"),"Other fax numbers")</f>
        <v>Other fax numbers</v>
      </c>
    </row>
    <row r="412" spans="1:11" ht="15.75" hidden="1" customHeight="1">
      <c r="A412" s="133" t="s">
        <v>7</v>
      </c>
      <c r="B412" s="133" t="s">
        <v>286</v>
      </c>
      <c r="C412" s="133" t="s">
        <v>1039</v>
      </c>
      <c r="D412" s="133" t="s">
        <v>484</v>
      </c>
      <c r="E412" s="158">
        <v>4</v>
      </c>
      <c r="F412" s="158">
        <v>10</v>
      </c>
      <c r="G412" s="158">
        <v>0</v>
      </c>
      <c r="H412" s="133" t="s">
        <v>1040</v>
      </c>
      <c r="I412" s="133" t="s">
        <v>615</v>
      </c>
      <c r="J412" s="158">
        <v>0</v>
      </c>
      <c r="K412" s="159" t="str">
        <f ca="1">IFERROR(__xludf.DUMMYFUNCTION("GOOGLETRANSLATE(H412,""th"",""en"")"),"Tax format")</f>
        <v>Tax format</v>
      </c>
    </row>
    <row r="413" spans="1:11" ht="15.75" hidden="1" customHeight="1">
      <c r="A413" s="133" t="s">
        <v>7</v>
      </c>
      <c r="B413" s="133" t="s">
        <v>286</v>
      </c>
      <c r="C413" s="133" t="s">
        <v>1041</v>
      </c>
      <c r="D413" s="133" t="s">
        <v>477</v>
      </c>
      <c r="E413" s="158">
        <v>60</v>
      </c>
      <c r="F413" s="158">
        <v>0</v>
      </c>
      <c r="G413" s="158">
        <v>0</v>
      </c>
      <c r="H413" s="133" t="s">
        <v>1042</v>
      </c>
      <c r="I413" s="133" t="s">
        <v>548</v>
      </c>
      <c r="J413" s="158">
        <v>0</v>
      </c>
      <c r="K413" s="159" t="str">
        <f ca="1">IFERROR(__xludf.DUMMYFUNCTION("GOOGLETRANSLATE(H413,""th"",""en"")"),"Bank name")</f>
        <v>Bank name</v>
      </c>
    </row>
    <row r="414" spans="1:11" ht="15.75" hidden="1" customHeight="1">
      <c r="A414" s="133" t="s">
        <v>7</v>
      </c>
      <c r="B414" s="133" t="s">
        <v>286</v>
      </c>
      <c r="C414" s="133" t="s">
        <v>1043</v>
      </c>
      <c r="D414" s="133" t="s">
        <v>477</v>
      </c>
      <c r="E414" s="158">
        <v>10</v>
      </c>
      <c r="F414" s="158">
        <v>0</v>
      </c>
      <c r="G414" s="158">
        <v>0</v>
      </c>
      <c r="H414" s="133" t="s">
        <v>1044</v>
      </c>
      <c r="I414" s="133" t="s">
        <v>548</v>
      </c>
      <c r="J414" s="158">
        <v>0</v>
      </c>
      <c r="K414" s="159" t="str">
        <f ca="1">IFERROR(__xludf.DUMMYFUNCTION("GOOGLETRANSLATE(H414,""th"",""en"")"),"Account number")</f>
        <v>Account number</v>
      </c>
    </row>
    <row r="415" spans="1:11" ht="15.75" hidden="1" customHeight="1">
      <c r="A415" s="133" t="s">
        <v>7</v>
      </c>
      <c r="B415" s="133" t="s">
        <v>286</v>
      </c>
      <c r="C415" s="133" t="s">
        <v>1045</v>
      </c>
      <c r="D415" s="133" t="s">
        <v>491</v>
      </c>
      <c r="E415" s="158">
        <v>1</v>
      </c>
      <c r="F415" s="158">
        <v>0</v>
      </c>
      <c r="G415" s="158">
        <v>0</v>
      </c>
      <c r="H415" s="133" t="s">
        <v>1046</v>
      </c>
      <c r="I415" s="133" t="s">
        <v>548</v>
      </c>
      <c r="J415" s="158">
        <v>0</v>
      </c>
      <c r="K415" s="159" t="str">
        <f ca="1">IFERROR(__xludf.DUMMYFUNCTION("GOOGLETRANSLATE(H415,""th"",""en"")"),"Account type")</f>
        <v>Account type</v>
      </c>
    </row>
    <row r="416" spans="1:11" ht="15.75" hidden="1" customHeight="1">
      <c r="A416" s="133" t="s">
        <v>7</v>
      </c>
      <c r="B416" s="133" t="s">
        <v>286</v>
      </c>
      <c r="C416" s="133" t="s">
        <v>1047</v>
      </c>
      <c r="D416" s="133" t="s">
        <v>477</v>
      </c>
      <c r="E416" s="158">
        <v>200</v>
      </c>
      <c r="F416" s="158">
        <v>0</v>
      </c>
      <c r="G416" s="158">
        <v>0</v>
      </c>
      <c r="H416" s="133" t="s">
        <v>1048</v>
      </c>
      <c r="I416" s="133" t="s">
        <v>548</v>
      </c>
      <c r="J416" s="158">
        <v>0</v>
      </c>
      <c r="K416" s="159" t="str">
        <f ca="1">IFERROR(__xludf.DUMMYFUNCTION("GOOGLETRANSLATE(H416,""th"",""en"")"),"Payment note")</f>
        <v>Payment note</v>
      </c>
    </row>
    <row r="417" spans="1:11" ht="15.75" hidden="1" customHeight="1">
      <c r="A417" s="133" t="s">
        <v>7</v>
      </c>
      <c r="B417" s="133" t="s">
        <v>286</v>
      </c>
      <c r="C417" s="133" t="s">
        <v>1049</v>
      </c>
      <c r="D417" s="133" t="s">
        <v>481</v>
      </c>
      <c r="E417" s="158">
        <v>5</v>
      </c>
      <c r="F417" s="158">
        <v>9</v>
      </c>
      <c r="G417" s="158">
        <v>2</v>
      </c>
      <c r="H417" s="133" t="s">
        <v>1050</v>
      </c>
      <c r="I417" s="133" t="s">
        <v>615</v>
      </c>
      <c r="J417" s="158">
        <v>0</v>
      </c>
      <c r="K417" s="159" t="str">
        <f ca="1">IFERROR(__xludf.DUMMYFUNCTION("GOOGLETRANSLATE(H417,""th"",""en"")"),"Open order value")</f>
        <v>Open order value</v>
      </c>
    </row>
    <row r="418" spans="1:11" ht="15.75" hidden="1" customHeight="1">
      <c r="A418" s="133" t="s">
        <v>7</v>
      </c>
      <c r="B418" s="133" t="s">
        <v>286</v>
      </c>
      <c r="C418" s="133" t="s">
        <v>1051</v>
      </c>
      <c r="D418" s="133" t="s">
        <v>481</v>
      </c>
      <c r="E418" s="158">
        <v>5</v>
      </c>
      <c r="F418" s="158">
        <v>9</v>
      </c>
      <c r="G418" s="158">
        <v>2</v>
      </c>
      <c r="H418" s="133" t="s">
        <v>1052</v>
      </c>
      <c r="I418" s="133" t="s">
        <v>615</v>
      </c>
      <c r="J418" s="158">
        <v>0</v>
      </c>
      <c r="K418" s="159" t="str">
        <f ca="1">IFERROR(__xludf.DUMMYFUNCTION("GOOGLETRANSLATE(H418,""th"",""en"")"),"Deposit")</f>
        <v>Deposit</v>
      </c>
    </row>
    <row r="419" spans="1:11" ht="15.75" hidden="1" customHeight="1">
      <c r="A419" s="133" t="s">
        <v>7</v>
      </c>
      <c r="B419" s="133" t="s">
        <v>286</v>
      </c>
      <c r="C419" s="133" t="s">
        <v>1053</v>
      </c>
      <c r="D419" s="133" t="s">
        <v>477</v>
      </c>
      <c r="E419" s="158">
        <v>100</v>
      </c>
      <c r="F419" s="158">
        <v>0</v>
      </c>
      <c r="G419" s="158">
        <v>0</v>
      </c>
      <c r="H419" s="133" t="s">
        <v>1054</v>
      </c>
      <c r="I419" s="133" t="s">
        <v>548</v>
      </c>
      <c r="J419" s="158">
        <v>0</v>
      </c>
      <c r="K419" s="159" t="str">
        <f ca="1">IFERROR(__xludf.DUMMYFUNCTION("GOOGLETRANSLATE(H419,""th"",""en"")"),"Changing the product")</f>
        <v>Changing the product</v>
      </c>
    </row>
    <row r="420" spans="1:11" ht="15.75" hidden="1" customHeight="1">
      <c r="A420" s="133" t="s">
        <v>7</v>
      </c>
      <c r="B420" s="133" t="s">
        <v>286</v>
      </c>
      <c r="C420" s="133" t="s">
        <v>1055</v>
      </c>
      <c r="D420" s="133" t="s">
        <v>477</v>
      </c>
      <c r="E420" s="158">
        <v>100</v>
      </c>
      <c r="F420" s="158">
        <v>0</v>
      </c>
      <c r="G420" s="158">
        <v>0</v>
      </c>
      <c r="H420" s="133" t="s">
        <v>1056</v>
      </c>
      <c r="I420" s="133" t="s">
        <v>548</v>
      </c>
      <c r="J420" s="158">
        <v>0</v>
      </c>
      <c r="K420" s="159" t="str">
        <f ca="1">IFERROR(__xludf.DUMMYFUNCTION("GOOGLETRANSLATE(H420,""th"",""en"")"),"Delivery")</f>
        <v>Delivery</v>
      </c>
    </row>
    <row r="421" spans="1:11" ht="15.75" hidden="1" customHeight="1">
      <c r="A421" s="133" t="s">
        <v>7</v>
      </c>
      <c r="B421" s="133" t="s">
        <v>286</v>
      </c>
      <c r="C421" s="133" t="s">
        <v>1057</v>
      </c>
      <c r="D421" s="133" t="s">
        <v>491</v>
      </c>
      <c r="E421" s="158">
        <v>1</v>
      </c>
      <c r="F421" s="158">
        <v>0</v>
      </c>
      <c r="G421" s="158">
        <v>0</v>
      </c>
      <c r="H421" s="133" t="s">
        <v>1058</v>
      </c>
      <c r="I421" s="133" t="s">
        <v>615</v>
      </c>
      <c r="J421" s="158">
        <v>0</v>
      </c>
      <c r="K421" s="159" t="str">
        <f ca="1">IFERROR(__xludf.DUMMYFUNCTION("GOOGLETRANSLATE(H421,""th"",""en"")"),"Rebate (Y = There is rebate, n = No rebate)")</f>
        <v>Rebate (Y = There is rebate, n = No rebate)</v>
      </c>
    </row>
    <row r="422" spans="1:11" ht="15.75" hidden="1" customHeight="1">
      <c r="A422" s="133" t="s">
        <v>7</v>
      </c>
      <c r="B422" s="133" t="s">
        <v>286</v>
      </c>
      <c r="C422" s="133" t="s">
        <v>1059</v>
      </c>
      <c r="D422" s="133" t="s">
        <v>477</v>
      </c>
      <c r="E422" s="158">
        <v>100</v>
      </c>
      <c r="F422" s="158">
        <v>0</v>
      </c>
      <c r="G422" s="158">
        <v>0</v>
      </c>
      <c r="H422" s="133" t="s">
        <v>1060</v>
      </c>
      <c r="I422" s="133" t="s">
        <v>548</v>
      </c>
      <c r="J422" s="158">
        <v>0</v>
      </c>
      <c r="K422" s="159" t="str">
        <f ca="1">IFERROR(__xludf.DUMMYFUNCTION("GOOGLETRANSLATE(H422,""th"",""en"")"),"Rebate Note")</f>
        <v>Rebate Note</v>
      </c>
    </row>
    <row r="423" spans="1:11" ht="15.75" hidden="1" customHeight="1">
      <c r="A423" s="133" t="s">
        <v>7</v>
      </c>
      <c r="B423" s="133" t="s">
        <v>286</v>
      </c>
      <c r="C423" s="133" t="s">
        <v>1061</v>
      </c>
      <c r="D423" s="133" t="s">
        <v>477</v>
      </c>
      <c r="E423" s="158">
        <v>200</v>
      </c>
      <c r="F423" s="158">
        <v>0</v>
      </c>
      <c r="G423" s="158">
        <v>0</v>
      </c>
      <c r="H423" s="133" t="s">
        <v>1062</v>
      </c>
      <c r="I423" s="133" t="s">
        <v>548</v>
      </c>
      <c r="J423" s="158">
        <v>0</v>
      </c>
      <c r="K423" s="159" t="str">
        <f ca="1">IFERROR(__xludf.DUMMYFUNCTION("GOOGLETRANSLATE(H423,""th"",""en"")"),"Delivery note")</f>
        <v>Delivery note</v>
      </c>
    </row>
    <row r="424" spans="1:11" ht="15.75" hidden="1" customHeight="1">
      <c r="A424" s="133" t="s">
        <v>7</v>
      </c>
      <c r="B424" s="133" t="s">
        <v>286</v>
      </c>
      <c r="C424" s="133" t="s">
        <v>1063</v>
      </c>
      <c r="D424" s="133" t="s">
        <v>477</v>
      </c>
      <c r="E424" s="158">
        <v>200</v>
      </c>
      <c r="F424" s="158">
        <v>0</v>
      </c>
      <c r="G424" s="158">
        <v>0</v>
      </c>
      <c r="H424" s="133" t="s">
        <v>1064</v>
      </c>
      <c r="I424" s="133" t="s">
        <v>548</v>
      </c>
      <c r="J424" s="158">
        <v>0</v>
      </c>
      <c r="K424" s="159" t="str">
        <f ca="1">IFERROR(__xludf.DUMMYFUNCTION("GOOGLETRANSLATE(H424,""th"",""en"")"),"Note to change the product")</f>
        <v>Note to change the product</v>
      </c>
    </row>
    <row r="425" spans="1:11" ht="15.75" hidden="1" customHeight="1">
      <c r="A425" s="133" t="s">
        <v>7</v>
      </c>
      <c r="B425" s="133" t="s">
        <v>286</v>
      </c>
      <c r="C425" s="133" t="s">
        <v>1065</v>
      </c>
      <c r="D425" s="133" t="s">
        <v>491</v>
      </c>
      <c r="E425" s="158">
        <v>1</v>
      </c>
      <c r="F425" s="158">
        <v>0</v>
      </c>
      <c r="G425" s="158">
        <v>0</v>
      </c>
      <c r="H425" s="133" t="s">
        <v>1066</v>
      </c>
      <c r="I425" s="133" t="s">
        <v>725</v>
      </c>
      <c r="J425" s="158">
        <v>0</v>
      </c>
      <c r="K425" s="159" t="str">
        <f ca="1">IFERROR(__xludf.DUMMYFUNCTION("GOOGLETRANSLATE(H425,""th"",""en"")"),"Flag Consignment? Y = Consignment, N = Not Consignment")</f>
        <v>Flag Consignment? Y = Consignment, N = Not Consignment</v>
      </c>
    </row>
    <row r="426" spans="1:11" ht="15.75" hidden="1" customHeight="1">
      <c r="A426" s="133" t="s">
        <v>7</v>
      </c>
      <c r="B426" s="133" t="s">
        <v>286</v>
      </c>
      <c r="C426" s="133" t="s">
        <v>1067</v>
      </c>
      <c r="D426" s="133" t="s">
        <v>477</v>
      </c>
      <c r="E426" s="158">
        <v>6</v>
      </c>
      <c r="F426" s="158">
        <v>0</v>
      </c>
      <c r="G426" s="158">
        <v>0</v>
      </c>
      <c r="H426" s="133" t="s">
        <v>479</v>
      </c>
      <c r="I426" s="133" t="s">
        <v>548</v>
      </c>
      <c r="J426" s="158">
        <v>0</v>
      </c>
      <c r="K426" s="159" t="str">
        <f ca="1">IFERROR(__xludf.DUMMYFUNCTION("GOOGLETRANSLATE(H426,""th"",""en"")"),"Null")</f>
        <v>Null</v>
      </c>
    </row>
    <row r="427" spans="1:11" ht="15.75" hidden="1" customHeight="1">
      <c r="A427" s="133" t="s">
        <v>7</v>
      </c>
      <c r="B427" s="133" t="s">
        <v>286</v>
      </c>
      <c r="C427" s="133" t="s">
        <v>1068</v>
      </c>
      <c r="D427" s="133" t="s">
        <v>477</v>
      </c>
      <c r="E427" s="158">
        <v>80</v>
      </c>
      <c r="F427" s="158">
        <v>0</v>
      </c>
      <c r="G427" s="158">
        <v>0</v>
      </c>
      <c r="H427" s="133" t="s">
        <v>1069</v>
      </c>
      <c r="I427" s="133" t="s">
        <v>548</v>
      </c>
      <c r="J427" s="158">
        <v>0</v>
      </c>
      <c r="K427" s="159" t="str">
        <f ca="1">IFERROR(__xludf.DUMMYFUNCTION("GOOGLETRANSLATE(H427,""th"",""en"")"),"Bank account name")</f>
        <v>Bank account name</v>
      </c>
    </row>
    <row r="428" spans="1:11" ht="15.75" hidden="1" customHeight="1">
      <c r="A428" s="133" t="s">
        <v>7</v>
      </c>
      <c r="B428" s="133" t="s">
        <v>286</v>
      </c>
      <c r="C428" s="133" t="s">
        <v>1070</v>
      </c>
      <c r="D428" s="133" t="s">
        <v>477</v>
      </c>
      <c r="E428" s="158">
        <v>5</v>
      </c>
      <c r="F428" s="158">
        <v>0</v>
      </c>
      <c r="G428" s="158">
        <v>0</v>
      </c>
      <c r="H428" s="133" t="s">
        <v>1071</v>
      </c>
      <c r="I428" s="133" t="s">
        <v>548</v>
      </c>
      <c r="J428" s="158">
        <v>0</v>
      </c>
      <c r="K428" s="159" t="str">
        <f ca="1">IFERROR(__xludf.DUMMYFUNCTION("GOOGLETRANSLATE(H428,""th"",""en"")"),"Supplier's branch code")</f>
        <v>Supplier's branch code</v>
      </c>
    </row>
    <row r="429" spans="1:11" ht="15.75" hidden="1" customHeight="1">
      <c r="A429" s="133" t="s">
        <v>7</v>
      </c>
      <c r="B429" s="133" t="s">
        <v>286</v>
      </c>
      <c r="C429" s="133" t="s">
        <v>1072</v>
      </c>
      <c r="D429" s="133" t="s">
        <v>477</v>
      </c>
      <c r="E429" s="158">
        <v>3</v>
      </c>
      <c r="F429" s="158">
        <v>0</v>
      </c>
      <c r="G429" s="158">
        <v>0</v>
      </c>
      <c r="H429" s="133" t="s">
        <v>1073</v>
      </c>
      <c r="I429" s="133" t="s">
        <v>596</v>
      </c>
      <c r="J429" s="158">
        <v>0</v>
      </c>
      <c r="K429" s="159" t="str">
        <f ca="1">IFERROR(__xludf.DUMMYFUNCTION("GOOGLETRANSLATE(H429,""th"",""en"")"),"Flag see if it's a foreign vendor.")</f>
        <v>Flag see if it's a foreign vendor.</v>
      </c>
    </row>
    <row r="430" spans="1:11" ht="15.75" hidden="1" customHeight="1">
      <c r="A430" s="133" t="s">
        <v>7</v>
      </c>
      <c r="B430" s="133" t="s">
        <v>286</v>
      </c>
      <c r="C430" s="133" t="s">
        <v>1074</v>
      </c>
      <c r="D430" s="133" t="s">
        <v>477</v>
      </c>
      <c r="E430" s="158">
        <v>6</v>
      </c>
      <c r="F430" s="158">
        <v>0</v>
      </c>
      <c r="G430" s="158">
        <v>0</v>
      </c>
      <c r="H430" s="133" t="s">
        <v>1075</v>
      </c>
      <c r="I430" s="133" t="s">
        <v>548</v>
      </c>
      <c r="J430" s="158">
        <v>0</v>
      </c>
      <c r="K430" s="159" t="str">
        <f ca="1">IFERROR(__xludf.DUMMYFUNCTION("GOOGLETRANSLATE(H430,""th"",""en"")"),"Supplier B2S code")</f>
        <v>Supplier B2S code</v>
      </c>
    </row>
    <row r="431" spans="1:11" ht="15.75" hidden="1" customHeight="1">
      <c r="A431" s="133" t="s">
        <v>7</v>
      </c>
      <c r="B431" s="133" t="s">
        <v>232</v>
      </c>
      <c r="C431" s="133" t="s">
        <v>233</v>
      </c>
      <c r="D431" s="133" t="s">
        <v>477</v>
      </c>
      <c r="E431" s="158">
        <v>10</v>
      </c>
      <c r="F431" s="158">
        <v>0</v>
      </c>
      <c r="G431" s="158">
        <v>0</v>
      </c>
      <c r="H431" s="133" t="s">
        <v>487</v>
      </c>
      <c r="I431" s="133" t="s">
        <v>479</v>
      </c>
      <c r="J431" s="158">
        <v>0</v>
      </c>
      <c r="K431" s="159" t="str">
        <f ca="1">IFERROR(__xludf.DUMMYFUNCTION("GOOGLETRANSLATE(H431,""th"",""en"")"),"Account code")</f>
        <v>Account code</v>
      </c>
    </row>
    <row r="432" spans="1:11" ht="15.75" hidden="1" customHeight="1">
      <c r="A432" s="133" t="s">
        <v>7</v>
      </c>
      <c r="B432" s="133" t="s">
        <v>232</v>
      </c>
      <c r="C432" s="133" t="s">
        <v>1076</v>
      </c>
      <c r="D432" s="133" t="s">
        <v>477</v>
      </c>
      <c r="E432" s="158">
        <v>40</v>
      </c>
      <c r="F432" s="158">
        <v>0</v>
      </c>
      <c r="G432" s="158">
        <v>0</v>
      </c>
      <c r="H432" s="133" t="s">
        <v>1077</v>
      </c>
      <c r="I432" s="133" t="s">
        <v>479</v>
      </c>
      <c r="J432" s="158">
        <v>1</v>
      </c>
      <c r="K432" s="159" t="str">
        <f ca="1">IFERROR(__xludf.DUMMYFUNCTION("GOOGLETRANSLATE(H432,""th"",""en"")"),"Account English Name")</f>
        <v>Account English Name</v>
      </c>
    </row>
    <row r="433" spans="1:11" ht="15.75" hidden="1" customHeight="1">
      <c r="A433" s="133" t="s">
        <v>7</v>
      </c>
      <c r="B433" s="133" t="s">
        <v>232</v>
      </c>
      <c r="C433" s="133" t="s">
        <v>1078</v>
      </c>
      <c r="D433" s="133" t="s">
        <v>477</v>
      </c>
      <c r="E433" s="158">
        <v>40</v>
      </c>
      <c r="F433" s="158">
        <v>0</v>
      </c>
      <c r="G433" s="158">
        <v>0</v>
      </c>
      <c r="H433" s="133" t="s">
        <v>1079</v>
      </c>
      <c r="I433" s="133" t="s">
        <v>479</v>
      </c>
      <c r="J433" s="158">
        <v>1</v>
      </c>
      <c r="K433" s="159" t="str">
        <f ca="1">IFERROR(__xludf.DUMMYFUNCTION("GOOGLETRANSLATE(H433,""th"",""en"")"),"Account Local Name")</f>
        <v>Account Local Name</v>
      </c>
    </row>
    <row r="434" spans="1:11" ht="15.75" hidden="1" customHeight="1">
      <c r="A434" s="133" t="s">
        <v>7</v>
      </c>
      <c r="B434" s="133" t="s">
        <v>232</v>
      </c>
      <c r="C434" s="133" t="s">
        <v>1080</v>
      </c>
      <c r="D434" s="133" t="s">
        <v>477</v>
      </c>
      <c r="E434" s="158">
        <v>1</v>
      </c>
      <c r="F434" s="158">
        <v>0</v>
      </c>
      <c r="G434" s="158">
        <v>0</v>
      </c>
      <c r="H434" s="133" t="s">
        <v>479</v>
      </c>
      <c r="I434" s="133" t="s">
        <v>479</v>
      </c>
      <c r="J434" s="158">
        <v>1</v>
      </c>
      <c r="K434" s="159" t="str">
        <f ca="1">IFERROR(__xludf.DUMMYFUNCTION("GOOGLETRANSLATE(H434,""th"",""en"")"),"Null")</f>
        <v>Null</v>
      </c>
    </row>
    <row r="435" spans="1:11" ht="15.75" hidden="1" customHeight="1">
      <c r="A435" s="133" t="s">
        <v>7</v>
      </c>
      <c r="B435" s="133" t="s">
        <v>232</v>
      </c>
      <c r="C435" s="133" t="s">
        <v>1081</v>
      </c>
      <c r="D435" s="133" t="s">
        <v>491</v>
      </c>
      <c r="E435" s="158">
        <v>1</v>
      </c>
      <c r="F435" s="158">
        <v>0</v>
      </c>
      <c r="G435" s="158">
        <v>0</v>
      </c>
      <c r="H435" s="133" t="s">
        <v>1082</v>
      </c>
      <c r="I435" s="133" t="s">
        <v>479</v>
      </c>
      <c r="J435" s="158">
        <v>1</v>
      </c>
      <c r="K435" s="159" t="str">
        <f ca="1">IFERROR(__xludf.DUMMYFUNCTION("GOOGLETRANSLATE(H435,""th"",""en"")"),"Account Flag (B: Bank, C: Cash, E: Ending Stock, G: Grand Total, I: Inventory, L: Profit and LOST ** Specail Account, N: Open Stock, P: Posting, R: Retain Earning ** Cannot Post, T: Total Account, V: VAT)")</f>
        <v>Account Flag (B: Bank, C: Cash, E: Ending Stock, G: Grand Total, I: Inventory, L: Profit and LOST ** Specail Account, N: Open Stock, P: Posting, R: Retain Earning ** Cannot Post, T: Total Account, V: VAT)</v>
      </c>
    </row>
    <row r="436" spans="1:11" ht="15.75" hidden="1" customHeight="1">
      <c r="A436" s="133" t="s">
        <v>7</v>
      </c>
      <c r="B436" s="133" t="s">
        <v>232</v>
      </c>
      <c r="C436" s="133" t="s">
        <v>521</v>
      </c>
      <c r="D436" s="133" t="s">
        <v>477</v>
      </c>
      <c r="E436" s="158">
        <v>8</v>
      </c>
      <c r="F436" s="158">
        <v>0</v>
      </c>
      <c r="G436" s="158">
        <v>0</v>
      </c>
      <c r="H436" s="133" t="s">
        <v>522</v>
      </c>
      <c r="I436" s="133" t="s">
        <v>479</v>
      </c>
      <c r="J436" s="158">
        <v>1</v>
      </c>
      <c r="K436" s="159" t="str">
        <f ca="1">IFERROR(__xludf.DUMMYFUNCTION("GOOGLETRANSLATE(H436,""th"",""en"")"),"Last update user")</f>
        <v>Last update user</v>
      </c>
    </row>
    <row r="437" spans="1:11" ht="15.75" hidden="1" customHeight="1">
      <c r="A437" s="133" t="s">
        <v>7</v>
      </c>
      <c r="B437" s="133" t="s">
        <v>232</v>
      </c>
      <c r="C437" s="133" t="s">
        <v>523</v>
      </c>
      <c r="D437" s="133" t="s">
        <v>477</v>
      </c>
      <c r="E437" s="158">
        <v>8</v>
      </c>
      <c r="F437" s="158">
        <v>0</v>
      </c>
      <c r="G437" s="158">
        <v>0</v>
      </c>
      <c r="H437" s="133" t="s">
        <v>524</v>
      </c>
      <c r="I437" s="133" t="s">
        <v>479</v>
      </c>
      <c r="J437" s="158">
        <v>1</v>
      </c>
      <c r="K437" s="159" t="str">
        <f ca="1">IFERROR(__xludf.DUMMYFUNCTION("GOOGLETRANSLATE(H437,""th"",""en"")"),"Created User")</f>
        <v>Created User</v>
      </c>
    </row>
    <row r="438" spans="1:11" ht="15.75" hidden="1" customHeight="1">
      <c r="A438" s="133" t="s">
        <v>7</v>
      </c>
      <c r="B438" s="133" t="s">
        <v>232</v>
      </c>
      <c r="C438" s="133" t="s">
        <v>215</v>
      </c>
      <c r="D438" s="133" t="s">
        <v>496</v>
      </c>
      <c r="E438" s="158">
        <v>4</v>
      </c>
      <c r="F438" s="158">
        <v>16</v>
      </c>
      <c r="G438" s="158">
        <v>0</v>
      </c>
      <c r="H438" s="133" t="s">
        <v>525</v>
      </c>
      <c r="I438" s="133" t="s">
        <v>479</v>
      </c>
      <c r="J438" s="158">
        <v>1</v>
      </c>
      <c r="K438" s="159" t="str">
        <f ca="1">IFERROR(__xludf.DUMMYFUNCTION("GOOGLETRANSLATE(H438,""th"",""en"")"),"Last Update Date")</f>
        <v>Last Update Date</v>
      </c>
    </row>
    <row r="439" spans="1:11" ht="15.75" hidden="1" customHeight="1">
      <c r="A439" s="133" t="s">
        <v>7</v>
      </c>
      <c r="B439" s="133" t="s">
        <v>232</v>
      </c>
      <c r="C439" s="133" t="s">
        <v>1083</v>
      </c>
      <c r="D439" s="133" t="s">
        <v>477</v>
      </c>
      <c r="E439" s="158">
        <v>10</v>
      </c>
      <c r="F439" s="158">
        <v>0</v>
      </c>
      <c r="G439" s="158">
        <v>0</v>
      </c>
      <c r="H439" s="133" t="s">
        <v>1084</v>
      </c>
      <c r="I439" s="133" t="s">
        <v>479</v>
      </c>
      <c r="J439" s="158">
        <v>1</v>
      </c>
      <c r="K439" s="159" t="str">
        <f ca="1">IFERROR(__xludf.DUMMYFUNCTION("GOOGLETRANSLATE(H439,""th"",""en"")"),"Opposite Code; Unused")</f>
        <v>Opposite Code; Unused</v>
      </c>
    </row>
    <row r="440" spans="1:11" ht="15.75" hidden="1" customHeight="1">
      <c r="A440" s="133" t="s">
        <v>7</v>
      </c>
      <c r="B440" s="133" t="s">
        <v>232</v>
      </c>
      <c r="C440" s="133" t="s">
        <v>526</v>
      </c>
      <c r="D440" s="133" t="s">
        <v>496</v>
      </c>
      <c r="E440" s="158">
        <v>4</v>
      </c>
      <c r="F440" s="158">
        <v>16</v>
      </c>
      <c r="G440" s="158">
        <v>0</v>
      </c>
      <c r="H440" s="133" t="s">
        <v>527</v>
      </c>
      <c r="I440" s="133" t="s">
        <v>479</v>
      </c>
      <c r="J440" s="158">
        <v>1</v>
      </c>
      <c r="K440" s="159" t="str">
        <f ca="1">IFERROR(__xludf.DUMMYFUNCTION("GOOGLETRANSLATE(H440,""th"",""en"")"),"Created Date")</f>
        <v>Created Date</v>
      </c>
    </row>
    <row r="441" spans="1:11" ht="15.75" hidden="1" customHeight="1">
      <c r="A441" s="133" t="s">
        <v>7</v>
      </c>
      <c r="B441" s="133" t="s">
        <v>232</v>
      </c>
      <c r="C441" s="133" t="s">
        <v>1085</v>
      </c>
      <c r="D441" s="133" t="s">
        <v>491</v>
      </c>
      <c r="E441" s="158">
        <v>1</v>
      </c>
      <c r="F441" s="158">
        <v>0</v>
      </c>
      <c r="G441" s="158">
        <v>0</v>
      </c>
      <c r="H441" s="133" t="s">
        <v>1086</v>
      </c>
      <c r="I441" s="133" t="s">
        <v>479</v>
      </c>
      <c r="J441" s="158">
        <v>1</v>
      </c>
      <c r="K441" s="159" t="str">
        <f ca="1">IFERROR(__xludf.DUMMYFUNCTION("GOOGLETRANSLATE(H441,""th"",""en"")"),"Allow FLGA for AR System")</f>
        <v>Allow FLGA for AR System</v>
      </c>
    </row>
    <row r="442" spans="1:11" ht="15.75" hidden="1" customHeight="1">
      <c r="A442" s="133" t="s">
        <v>7</v>
      </c>
      <c r="B442" s="133" t="s">
        <v>232</v>
      </c>
      <c r="C442" s="133" t="s">
        <v>1087</v>
      </c>
      <c r="D442" s="133" t="s">
        <v>491</v>
      </c>
      <c r="E442" s="158">
        <v>1</v>
      </c>
      <c r="F442" s="158">
        <v>0</v>
      </c>
      <c r="G442" s="158">
        <v>0</v>
      </c>
      <c r="H442" s="133" t="s">
        <v>1088</v>
      </c>
      <c r="I442" s="133" t="s">
        <v>479</v>
      </c>
      <c r="J442" s="158">
        <v>1</v>
      </c>
      <c r="K442" s="159" t="str">
        <f ca="1">IFERROR(__xludf.DUMMYFUNCTION("GOOGLETRANSLATE(H442,""th"",""en"")"),"Allow FLGA for AP System")</f>
        <v>Allow FLGA for AP System</v>
      </c>
    </row>
    <row r="443" spans="1:11" ht="15.75" hidden="1" customHeight="1">
      <c r="A443" s="133" t="s">
        <v>7</v>
      </c>
      <c r="B443" s="133" t="s">
        <v>232</v>
      </c>
      <c r="C443" s="133" t="s">
        <v>1089</v>
      </c>
      <c r="D443" s="133" t="s">
        <v>491</v>
      </c>
      <c r="E443" s="158">
        <v>1</v>
      </c>
      <c r="F443" s="158">
        <v>0</v>
      </c>
      <c r="G443" s="158">
        <v>0</v>
      </c>
      <c r="H443" s="133" t="s">
        <v>1090</v>
      </c>
      <c r="I443" s="133" t="s">
        <v>479</v>
      </c>
      <c r="J443" s="158">
        <v>1</v>
      </c>
      <c r="K443" s="159" t="str">
        <f ca="1">IFERROR(__xludf.DUMMYFUNCTION("GOOGLETRANSLATE(H443,""th"",""en"")"),"Allow FLGA for GL System")</f>
        <v>Allow FLGA for GL System</v>
      </c>
    </row>
    <row r="444" spans="1:11" ht="15.75" hidden="1" customHeight="1">
      <c r="A444" s="133" t="s">
        <v>7</v>
      </c>
      <c r="B444" s="133" t="s">
        <v>232</v>
      </c>
      <c r="C444" s="133" t="s">
        <v>530</v>
      </c>
      <c r="D444" s="133" t="s">
        <v>477</v>
      </c>
      <c r="E444" s="158">
        <v>8</v>
      </c>
      <c r="F444" s="158">
        <v>0</v>
      </c>
      <c r="G444" s="158">
        <v>0</v>
      </c>
      <c r="H444" s="133" t="s">
        <v>522</v>
      </c>
      <c r="I444" s="133" t="s">
        <v>479</v>
      </c>
      <c r="J444" s="158">
        <v>1</v>
      </c>
      <c r="K444" s="159" t="str">
        <f ca="1">IFERROR(__xludf.DUMMYFUNCTION("GOOGLETRANSLATE(H444,""th"",""en"")"),"Last update user")</f>
        <v>Last update user</v>
      </c>
    </row>
    <row r="445" spans="1:11" ht="15.75" hidden="1" customHeight="1">
      <c r="A445" s="133" t="s">
        <v>7</v>
      </c>
      <c r="B445" s="133" t="s">
        <v>232</v>
      </c>
      <c r="C445" s="133" t="s">
        <v>1091</v>
      </c>
      <c r="D445" s="133" t="s">
        <v>491</v>
      </c>
      <c r="E445" s="158">
        <v>1</v>
      </c>
      <c r="F445" s="158">
        <v>0</v>
      </c>
      <c r="G445" s="158">
        <v>0</v>
      </c>
      <c r="H445" s="133" t="s">
        <v>1092</v>
      </c>
      <c r="I445" s="133" t="s">
        <v>479</v>
      </c>
      <c r="J445" s="158">
        <v>1</v>
      </c>
      <c r="K445" s="159" t="str">
        <f ca="1">IFERROR(__xludf.DUMMYFUNCTION("GOOGLETRANSLATE(H445,""th"",""en"")"),"Account Group")</f>
        <v>Account Group</v>
      </c>
    </row>
    <row r="446" spans="1:11" ht="15.75" hidden="1" customHeight="1">
      <c r="A446" s="133" t="s">
        <v>7</v>
      </c>
      <c r="B446" s="133" t="s">
        <v>232</v>
      </c>
      <c r="C446" s="133" t="s">
        <v>1093</v>
      </c>
      <c r="D446" s="133" t="s">
        <v>491</v>
      </c>
      <c r="E446" s="158">
        <v>1</v>
      </c>
      <c r="F446" s="158">
        <v>0</v>
      </c>
      <c r="G446" s="158">
        <v>0</v>
      </c>
      <c r="H446" s="133" t="s">
        <v>479</v>
      </c>
      <c r="I446" s="133" t="s">
        <v>479</v>
      </c>
      <c r="J446" s="158">
        <v>1</v>
      </c>
      <c r="K446" s="159" t="str">
        <f ca="1">IFERROR(__xludf.DUMMYFUNCTION("GOOGLETRANSLATE(H446,""th"",""en"")"),"Null")</f>
        <v>Null</v>
      </c>
    </row>
    <row r="447" spans="1:11" ht="15.75" hidden="1" customHeight="1">
      <c r="A447" s="133" t="s">
        <v>7</v>
      </c>
      <c r="B447" s="133" t="s">
        <v>232</v>
      </c>
      <c r="C447" s="133" t="s">
        <v>1094</v>
      </c>
      <c r="D447" s="133" t="s">
        <v>477</v>
      </c>
      <c r="E447" s="158">
        <v>8</v>
      </c>
      <c r="F447" s="158">
        <v>0</v>
      </c>
      <c r="G447" s="158">
        <v>0</v>
      </c>
      <c r="H447" s="133" t="s">
        <v>479</v>
      </c>
      <c r="I447" s="133" t="s">
        <v>548</v>
      </c>
      <c r="J447" s="158">
        <v>0</v>
      </c>
      <c r="K447" s="159" t="str">
        <f ca="1">IFERROR(__xludf.DUMMYFUNCTION("GOOGLETRANSLATE(H447,""th"",""en"")"),"Null")</f>
        <v>Null</v>
      </c>
    </row>
    <row r="448" spans="1:11" ht="15.75" hidden="1" customHeight="1">
      <c r="A448" s="133" t="s">
        <v>7</v>
      </c>
      <c r="B448" s="133" t="s">
        <v>232</v>
      </c>
      <c r="C448" s="133" t="s">
        <v>811</v>
      </c>
      <c r="D448" s="133" t="s">
        <v>477</v>
      </c>
      <c r="E448" s="158">
        <v>20</v>
      </c>
      <c r="F448" s="158">
        <v>0</v>
      </c>
      <c r="G448" s="158">
        <v>0</v>
      </c>
      <c r="H448" s="133" t="s">
        <v>479</v>
      </c>
      <c r="I448" s="133" t="s">
        <v>1095</v>
      </c>
      <c r="J448" s="158">
        <v>0</v>
      </c>
      <c r="K448" s="159" t="str">
        <f ca="1">IFERROR(__xludf.DUMMYFUNCTION("GOOGLETRANSLATE(H448,""th"",""en"")"),"Null")</f>
        <v>Null</v>
      </c>
    </row>
    <row r="449" spans="1:11" ht="15.75" hidden="1" customHeight="1">
      <c r="A449" s="133" t="s">
        <v>7</v>
      </c>
      <c r="B449" s="133" t="s">
        <v>234</v>
      </c>
      <c r="C449" s="133" t="s">
        <v>1096</v>
      </c>
      <c r="D449" s="133" t="s">
        <v>477</v>
      </c>
      <c r="E449" s="158">
        <v>10</v>
      </c>
      <c r="F449" s="158">
        <v>0</v>
      </c>
      <c r="G449" s="158">
        <v>0</v>
      </c>
      <c r="H449" s="133" t="s">
        <v>479</v>
      </c>
      <c r="I449" s="133" t="s">
        <v>479</v>
      </c>
      <c r="J449" s="158">
        <v>0</v>
      </c>
      <c r="K449" s="159" t="str">
        <f ca="1">IFERROR(__xludf.DUMMYFUNCTION("GOOGLETRANSLATE(H449,""th"",""en"")"),"Null")</f>
        <v>Null</v>
      </c>
    </row>
    <row r="450" spans="1:11" ht="15.75" hidden="1" customHeight="1">
      <c r="A450" s="133" t="s">
        <v>7</v>
      </c>
      <c r="B450" s="133" t="s">
        <v>234</v>
      </c>
      <c r="C450" s="133" t="s">
        <v>1097</v>
      </c>
      <c r="D450" s="133" t="s">
        <v>477</v>
      </c>
      <c r="E450" s="158">
        <v>5</v>
      </c>
      <c r="F450" s="158">
        <v>0</v>
      </c>
      <c r="G450" s="158">
        <v>0</v>
      </c>
      <c r="H450" s="133" t="s">
        <v>479</v>
      </c>
      <c r="I450" s="133" t="s">
        <v>479</v>
      </c>
      <c r="J450" s="158">
        <v>0</v>
      </c>
      <c r="K450" s="159" t="str">
        <f ca="1">IFERROR(__xludf.DUMMYFUNCTION("GOOGLETRANSLATE(H450,""th"",""en"")"),"Null")</f>
        <v>Null</v>
      </c>
    </row>
    <row r="451" spans="1:11" ht="15.75" hidden="1" customHeight="1">
      <c r="A451" s="133" t="s">
        <v>7</v>
      </c>
      <c r="B451" s="133" t="s">
        <v>234</v>
      </c>
      <c r="C451" s="133" t="s">
        <v>1094</v>
      </c>
      <c r="D451" s="133" t="s">
        <v>477</v>
      </c>
      <c r="E451" s="158">
        <v>8</v>
      </c>
      <c r="F451" s="158">
        <v>0</v>
      </c>
      <c r="G451" s="158">
        <v>0</v>
      </c>
      <c r="H451" s="133" t="s">
        <v>479</v>
      </c>
      <c r="I451" s="133" t="s">
        <v>479</v>
      </c>
      <c r="J451" s="158">
        <v>0</v>
      </c>
      <c r="K451" s="159" t="str">
        <f ca="1">IFERROR(__xludf.DUMMYFUNCTION("GOOGLETRANSLATE(H451,""th"",""en"")"),"Null")</f>
        <v>Null</v>
      </c>
    </row>
    <row r="452" spans="1:11" ht="15.75" hidden="1" customHeight="1">
      <c r="A452" s="133" t="s">
        <v>7</v>
      </c>
      <c r="B452" s="133" t="s">
        <v>234</v>
      </c>
      <c r="C452" s="133" t="s">
        <v>1098</v>
      </c>
      <c r="D452" s="133" t="s">
        <v>477</v>
      </c>
      <c r="E452" s="158">
        <v>6</v>
      </c>
      <c r="F452" s="158">
        <v>0</v>
      </c>
      <c r="G452" s="158">
        <v>0</v>
      </c>
      <c r="H452" s="133" t="s">
        <v>479</v>
      </c>
      <c r="I452" s="133" t="s">
        <v>479</v>
      </c>
      <c r="J452" s="158">
        <v>0</v>
      </c>
      <c r="K452" s="159" t="str">
        <f ca="1">IFERROR(__xludf.DUMMYFUNCTION("GOOGLETRANSLATE(H452,""th"",""en"")"),"Null")</f>
        <v>Null</v>
      </c>
    </row>
    <row r="453" spans="1:11" ht="15.75" hidden="1" customHeight="1">
      <c r="A453" s="133" t="s">
        <v>7</v>
      </c>
      <c r="B453" s="133" t="s">
        <v>234</v>
      </c>
      <c r="C453" s="133" t="s">
        <v>1099</v>
      </c>
      <c r="D453" s="133" t="s">
        <v>477</v>
      </c>
      <c r="E453" s="158">
        <v>10</v>
      </c>
      <c r="F453" s="158">
        <v>0</v>
      </c>
      <c r="G453" s="158">
        <v>0</v>
      </c>
      <c r="H453" s="133" t="s">
        <v>479</v>
      </c>
      <c r="I453" s="133" t="s">
        <v>479</v>
      </c>
      <c r="J453" s="158">
        <v>0</v>
      </c>
      <c r="K453" s="159" t="str">
        <f ca="1">IFERROR(__xludf.DUMMYFUNCTION("GOOGLETRANSLATE(H453,""th"",""en"")"),"Null")</f>
        <v>Null</v>
      </c>
    </row>
    <row r="454" spans="1:11" ht="15.75" hidden="1" customHeight="1">
      <c r="A454" s="133" t="s">
        <v>7</v>
      </c>
      <c r="B454" s="133" t="s">
        <v>234</v>
      </c>
      <c r="C454" s="133" t="s">
        <v>1100</v>
      </c>
      <c r="D454" s="133" t="s">
        <v>477</v>
      </c>
      <c r="E454" s="158">
        <v>2</v>
      </c>
      <c r="F454" s="158">
        <v>0</v>
      </c>
      <c r="G454" s="158">
        <v>0</v>
      </c>
      <c r="H454" s="133" t="s">
        <v>479</v>
      </c>
      <c r="I454" s="133" t="s">
        <v>479</v>
      </c>
      <c r="J454" s="158">
        <v>0</v>
      </c>
      <c r="K454" s="159" t="str">
        <f ca="1">IFERROR(__xludf.DUMMYFUNCTION("GOOGLETRANSLATE(H454,""th"",""en"")"),"Null")</f>
        <v>Null</v>
      </c>
    </row>
    <row r="455" spans="1:11" ht="15.75" hidden="1" customHeight="1">
      <c r="A455" s="133" t="s">
        <v>7</v>
      </c>
      <c r="B455" s="133" t="s">
        <v>234</v>
      </c>
      <c r="C455" s="133" t="s">
        <v>1101</v>
      </c>
      <c r="D455" s="133" t="s">
        <v>477</v>
      </c>
      <c r="E455" s="158">
        <v>2</v>
      </c>
      <c r="F455" s="158">
        <v>0</v>
      </c>
      <c r="G455" s="158">
        <v>0</v>
      </c>
      <c r="H455" s="133" t="s">
        <v>479</v>
      </c>
      <c r="I455" s="133" t="s">
        <v>479</v>
      </c>
      <c r="J455" s="158">
        <v>0</v>
      </c>
      <c r="K455" s="159" t="str">
        <f ca="1">IFERROR(__xludf.DUMMYFUNCTION("GOOGLETRANSLATE(H455,""th"",""en"")"),"Null")</f>
        <v>Null</v>
      </c>
    </row>
    <row r="456" spans="1:11" ht="15.75" hidden="1" customHeight="1">
      <c r="A456" s="133" t="s">
        <v>7</v>
      </c>
      <c r="B456" s="133" t="s">
        <v>234</v>
      </c>
      <c r="C456" s="133" t="s">
        <v>1102</v>
      </c>
      <c r="D456" s="133" t="s">
        <v>477</v>
      </c>
      <c r="E456" s="158">
        <v>100</v>
      </c>
      <c r="F456" s="158">
        <v>0</v>
      </c>
      <c r="G456" s="158">
        <v>0</v>
      </c>
      <c r="H456" s="133" t="s">
        <v>479</v>
      </c>
      <c r="I456" s="133" t="s">
        <v>479</v>
      </c>
      <c r="J456" s="158">
        <v>0</v>
      </c>
      <c r="K456" s="159" t="str">
        <f ca="1">IFERROR(__xludf.DUMMYFUNCTION("GOOGLETRANSLATE(H456,""th"",""en"")"),"Null")</f>
        <v>Null</v>
      </c>
    </row>
    <row r="457" spans="1:11" ht="15.75" hidden="1" customHeight="1">
      <c r="A457" s="133" t="s">
        <v>7</v>
      </c>
      <c r="B457" s="133" t="s">
        <v>234</v>
      </c>
      <c r="C457" s="133" t="s">
        <v>1103</v>
      </c>
      <c r="D457" s="133" t="s">
        <v>477</v>
      </c>
      <c r="E457" s="158">
        <v>100</v>
      </c>
      <c r="F457" s="158">
        <v>0</v>
      </c>
      <c r="G457" s="158">
        <v>0</v>
      </c>
      <c r="H457" s="133" t="s">
        <v>479</v>
      </c>
      <c r="I457" s="133" t="s">
        <v>479</v>
      </c>
      <c r="J457" s="158">
        <v>0</v>
      </c>
      <c r="K457" s="159" t="str">
        <f ca="1">IFERROR(__xludf.DUMMYFUNCTION("GOOGLETRANSLATE(H457,""th"",""en"")"),"Null")</f>
        <v>Null</v>
      </c>
    </row>
    <row r="458" spans="1:11" ht="15.75" hidden="1" customHeight="1">
      <c r="A458" s="133" t="s">
        <v>7</v>
      </c>
      <c r="B458" s="133" t="s">
        <v>234</v>
      </c>
      <c r="C458" s="133" t="s">
        <v>1104</v>
      </c>
      <c r="D458" s="133" t="s">
        <v>477</v>
      </c>
      <c r="E458" s="158">
        <v>20</v>
      </c>
      <c r="F458" s="158">
        <v>0</v>
      </c>
      <c r="G458" s="158">
        <v>0</v>
      </c>
      <c r="H458" s="133" t="s">
        <v>1105</v>
      </c>
      <c r="I458" s="133" t="s">
        <v>548</v>
      </c>
      <c r="J458" s="158">
        <v>0</v>
      </c>
      <c r="K458" s="159" t="str">
        <f ca="1">IFERROR(__xludf.DUMMYFUNCTION("GOOGLETRANSLATE(H458,""th"",""en"")"),"Job type [Stocktake, cycleCount]")</f>
        <v>Job type [Stocktake, cycleCount]</v>
      </c>
    </row>
    <row r="459" spans="1:11" ht="15.75" hidden="1" customHeight="1">
      <c r="A459" s="133" t="s">
        <v>7</v>
      </c>
      <c r="B459" s="133" t="s">
        <v>237</v>
      </c>
      <c r="C459" s="133" t="s">
        <v>238</v>
      </c>
      <c r="D459" s="133" t="s">
        <v>477</v>
      </c>
      <c r="E459" s="158">
        <v>4</v>
      </c>
      <c r="F459" s="158">
        <v>0</v>
      </c>
      <c r="G459" s="158">
        <v>0</v>
      </c>
      <c r="H459" s="133" t="s">
        <v>699</v>
      </c>
      <c r="I459" s="133" t="s">
        <v>479</v>
      </c>
      <c r="J459" s="158">
        <v>0</v>
      </c>
      <c r="K459" s="159" t="str">
        <f ca="1">IFERROR(__xludf.DUMMYFUNCTION("GOOGLETRANSLATE(H459,""th"",""en"")"),"DePartment Code")</f>
        <v>DePartment Code</v>
      </c>
    </row>
    <row r="460" spans="1:11" ht="15.75" hidden="1" customHeight="1">
      <c r="A460" s="133" t="s">
        <v>7</v>
      </c>
      <c r="B460" s="133" t="s">
        <v>237</v>
      </c>
      <c r="C460" s="133" t="s">
        <v>1106</v>
      </c>
      <c r="D460" s="133" t="s">
        <v>477</v>
      </c>
      <c r="E460" s="158">
        <v>40</v>
      </c>
      <c r="F460" s="158">
        <v>0</v>
      </c>
      <c r="G460" s="158">
        <v>0</v>
      </c>
      <c r="H460" s="133" t="s">
        <v>1107</v>
      </c>
      <c r="I460" s="133" t="s">
        <v>479</v>
      </c>
      <c r="J460" s="158">
        <v>1</v>
      </c>
      <c r="K460" s="159" t="str">
        <f ca="1">IFERROR(__xludf.DUMMYFUNCTION("GOOGLETRANSLATE(H460,""th"",""en"")"),"Department of English Description")</f>
        <v>Department of English Description</v>
      </c>
    </row>
    <row r="461" spans="1:11" ht="15.75" hidden="1" customHeight="1">
      <c r="A461" s="133" t="s">
        <v>7</v>
      </c>
      <c r="B461" s="133" t="s">
        <v>237</v>
      </c>
      <c r="C461" s="133" t="s">
        <v>1108</v>
      </c>
      <c r="D461" s="133" t="s">
        <v>477</v>
      </c>
      <c r="E461" s="158">
        <v>40</v>
      </c>
      <c r="F461" s="158">
        <v>0</v>
      </c>
      <c r="G461" s="158">
        <v>0</v>
      </c>
      <c r="H461" s="133" t="s">
        <v>1109</v>
      </c>
      <c r="I461" s="133" t="s">
        <v>479</v>
      </c>
      <c r="J461" s="158">
        <v>1</v>
      </c>
      <c r="K461" s="159" t="str">
        <f ca="1">IFERROR(__xludf.DUMMYFUNCTION("GOOGLETRANSLATE(H461,""th"",""en"")"),"Department Local Description")</f>
        <v>Department Local Description</v>
      </c>
    </row>
    <row r="462" spans="1:11" ht="15.75" hidden="1" customHeight="1">
      <c r="A462" s="133" t="s">
        <v>7</v>
      </c>
      <c r="B462" s="133" t="s">
        <v>237</v>
      </c>
      <c r="C462" s="133" t="s">
        <v>1110</v>
      </c>
      <c r="D462" s="133" t="s">
        <v>477</v>
      </c>
      <c r="E462" s="158">
        <v>40</v>
      </c>
      <c r="F462" s="158">
        <v>0</v>
      </c>
      <c r="G462" s="158">
        <v>0</v>
      </c>
      <c r="H462" s="133" t="s">
        <v>1111</v>
      </c>
      <c r="I462" s="133" t="s">
        <v>479</v>
      </c>
      <c r="J462" s="158">
        <v>1</v>
      </c>
      <c r="K462" s="159" t="str">
        <f ca="1">IFERROR(__xludf.DUMMYFUNCTION("GOOGLETRANSLATE(H462,""th"",""en"")"),"Department Address")</f>
        <v>Department Address</v>
      </c>
    </row>
    <row r="463" spans="1:11" ht="15.75" hidden="1" customHeight="1">
      <c r="A463" s="133" t="s">
        <v>7</v>
      </c>
      <c r="B463" s="133" t="s">
        <v>237</v>
      </c>
      <c r="C463" s="133" t="s">
        <v>1112</v>
      </c>
      <c r="D463" s="133" t="s">
        <v>477</v>
      </c>
      <c r="E463" s="158">
        <v>40</v>
      </c>
      <c r="F463" s="158">
        <v>0</v>
      </c>
      <c r="G463" s="158">
        <v>0</v>
      </c>
      <c r="H463" s="133" t="s">
        <v>1111</v>
      </c>
      <c r="I463" s="133" t="s">
        <v>479</v>
      </c>
      <c r="J463" s="158">
        <v>1</v>
      </c>
      <c r="K463" s="159" t="str">
        <f ca="1">IFERROR(__xludf.DUMMYFUNCTION("GOOGLETRANSLATE(H463,""th"",""en"")"),"Department Address")</f>
        <v>Department Address</v>
      </c>
    </row>
    <row r="464" spans="1:11" ht="15.75" hidden="1" customHeight="1">
      <c r="A464" s="133" t="s">
        <v>7</v>
      </c>
      <c r="B464" s="133" t="s">
        <v>237</v>
      </c>
      <c r="C464" s="133" t="s">
        <v>521</v>
      </c>
      <c r="D464" s="133" t="s">
        <v>477</v>
      </c>
      <c r="E464" s="158">
        <v>8</v>
      </c>
      <c r="F464" s="158">
        <v>0</v>
      </c>
      <c r="G464" s="158">
        <v>0</v>
      </c>
      <c r="H464" s="133" t="s">
        <v>522</v>
      </c>
      <c r="I464" s="133" t="s">
        <v>479</v>
      </c>
      <c r="J464" s="158">
        <v>1</v>
      </c>
      <c r="K464" s="159" t="str">
        <f ca="1">IFERROR(__xludf.DUMMYFUNCTION("GOOGLETRANSLATE(H464,""th"",""en"")"),"Last update user")</f>
        <v>Last update user</v>
      </c>
    </row>
    <row r="465" spans="1:11" ht="15.75" hidden="1" customHeight="1">
      <c r="A465" s="133" t="s">
        <v>7</v>
      </c>
      <c r="B465" s="133" t="s">
        <v>237</v>
      </c>
      <c r="C465" s="133" t="s">
        <v>523</v>
      </c>
      <c r="D465" s="133" t="s">
        <v>477</v>
      </c>
      <c r="E465" s="158">
        <v>8</v>
      </c>
      <c r="F465" s="158">
        <v>0</v>
      </c>
      <c r="G465" s="158">
        <v>0</v>
      </c>
      <c r="H465" s="133" t="s">
        <v>524</v>
      </c>
      <c r="I465" s="133" t="s">
        <v>479</v>
      </c>
      <c r="J465" s="158">
        <v>1</v>
      </c>
      <c r="K465" s="159" t="str">
        <f ca="1">IFERROR(__xludf.DUMMYFUNCTION("GOOGLETRANSLATE(H465,""th"",""en"")"),"Created User")</f>
        <v>Created User</v>
      </c>
    </row>
    <row r="466" spans="1:11" ht="15.75" hidden="1" customHeight="1">
      <c r="A466" s="133" t="s">
        <v>7</v>
      </c>
      <c r="B466" s="133" t="s">
        <v>237</v>
      </c>
      <c r="C466" s="133" t="s">
        <v>215</v>
      </c>
      <c r="D466" s="133" t="s">
        <v>496</v>
      </c>
      <c r="E466" s="158">
        <v>4</v>
      </c>
      <c r="F466" s="158">
        <v>16</v>
      </c>
      <c r="G466" s="158">
        <v>0</v>
      </c>
      <c r="H466" s="133" t="s">
        <v>525</v>
      </c>
      <c r="I466" s="133" t="s">
        <v>479</v>
      </c>
      <c r="J466" s="158">
        <v>1</v>
      </c>
      <c r="K466" s="159" t="str">
        <f ca="1">IFERROR(__xludf.DUMMYFUNCTION("GOOGLETRANSLATE(H466,""th"",""en"")"),"Last Update Date")</f>
        <v>Last Update Date</v>
      </c>
    </row>
    <row r="467" spans="1:11" ht="15.75" hidden="1" customHeight="1">
      <c r="A467" s="133" t="s">
        <v>7</v>
      </c>
      <c r="B467" s="133" t="s">
        <v>237</v>
      </c>
      <c r="C467" s="133" t="s">
        <v>1113</v>
      </c>
      <c r="D467" s="133" t="s">
        <v>496</v>
      </c>
      <c r="E467" s="158">
        <v>4</v>
      </c>
      <c r="F467" s="158">
        <v>16</v>
      </c>
      <c r="G467" s="158">
        <v>0</v>
      </c>
      <c r="H467" s="133" t="s">
        <v>1114</v>
      </c>
      <c r="I467" s="133" t="s">
        <v>479</v>
      </c>
      <c r="J467" s="158">
        <v>1</v>
      </c>
      <c r="K467" s="159" t="str">
        <f ca="1">IFERROR(__xludf.DUMMYFUNCTION("GOOGLETRANSLATE(H467,""th"",""en"")"),"In closing; Unused")</f>
        <v>In closing; Unused</v>
      </c>
    </row>
    <row r="468" spans="1:11" ht="15.75" hidden="1" customHeight="1">
      <c r="A468" s="133" t="s">
        <v>7</v>
      </c>
      <c r="B468" s="133" t="s">
        <v>237</v>
      </c>
      <c r="C468" s="133" t="s">
        <v>526</v>
      </c>
      <c r="D468" s="133" t="s">
        <v>496</v>
      </c>
      <c r="E468" s="158">
        <v>4</v>
      </c>
      <c r="F468" s="158">
        <v>16</v>
      </c>
      <c r="G468" s="158">
        <v>0</v>
      </c>
      <c r="H468" s="133" t="s">
        <v>527</v>
      </c>
      <c r="I468" s="133" t="s">
        <v>479</v>
      </c>
      <c r="J468" s="158">
        <v>1</v>
      </c>
      <c r="K468" s="159" t="str">
        <f ca="1">IFERROR(__xludf.DUMMYFUNCTION("GOOGLETRANSLATE(H468,""th"",""en"")"),"Created Date")</f>
        <v>Created Date</v>
      </c>
    </row>
    <row r="469" spans="1:11" ht="15.75" hidden="1" customHeight="1">
      <c r="A469" s="133" t="s">
        <v>7</v>
      </c>
      <c r="B469" s="133" t="s">
        <v>237</v>
      </c>
      <c r="C469" s="133" t="s">
        <v>1115</v>
      </c>
      <c r="D469" s="133" t="s">
        <v>491</v>
      </c>
      <c r="E469" s="158">
        <v>1</v>
      </c>
      <c r="F469" s="158">
        <v>0</v>
      </c>
      <c r="G469" s="158">
        <v>0</v>
      </c>
      <c r="H469" s="133" t="s">
        <v>1116</v>
      </c>
      <c r="I469" s="133" t="s">
        <v>479</v>
      </c>
      <c r="J469" s="158">
        <v>1</v>
      </c>
      <c r="K469" s="159" t="str">
        <f ca="1">IFERROR(__xludf.DUMMYFUNCTION("GOOGLETRANSLATE(H469,""th"",""en"")"),"Department Type")</f>
        <v>Department Type</v>
      </c>
    </row>
    <row r="470" spans="1:11" ht="15.75" hidden="1" customHeight="1">
      <c r="A470" s="133" t="s">
        <v>7</v>
      </c>
      <c r="B470" s="133" t="s">
        <v>237</v>
      </c>
      <c r="C470" s="133" t="s">
        <v>1117</v>
      </c>
      <c r="D470" s="133" t="s">
        <v>491</v>
      </c>
      <c r="E470" s="158">
        <v>1</v>
      </c>
      <c r="F470" s="158">
        <v>0</v>
      </c>
      <c r="G470" s="158">
        <v>0</v>
      </c>
      <c r="H470" s="133" t="s">
        <v>1118</v>
      </c>
      <c r="I470" s="133" t="s">
        <v>479</v>
      </c>
      <c r="J470" s="158">
        <v>1</v>
      </c>
      <c r="K470" s="159" t="str">
        <f ca="1">IFERROR(__xludf.DUMMYFUNCTION("GOOGLETRANSLATE(H470,""th"",""en"")"),"Department Status (A: Active, i: inactive)")</f>
        <v>Department Status (A: Active, i: inactive)</v>
      </c>
    </row>
    <row r="471" spans="1:11" ht="15.75" hidden="1" customHeight="1">
      <c r="A471" s="133" t="s">
        <v>7</v>
      </c>
      <c r="B471" s="133" t="s">
        <v>237</v>
      </c>
      <c r="C471" s="133" t="s">
        <v>530</v>
      </c>
      <c r="D471" s="133" t="s">
        <v>477</v>
      </c>
      <c r="E471" s="158">
        <v>8</v>
      </c>
      <c r="F471" s="158">
        <v>0</v>
      </c>
      <c r="G471" s="158">
        <v>0</v>
      </c>
      <c r="H471" s="133" t="s">
        <v>522</v>
      </c>
      <c r="I471" s="133" t="s">
        <v>479</v>
      </c>
      <c r="J471" s="158">
        <v>1</v>
      </c>
      <c r="K471" s="159" t="str">
        <f ca="1">IFERROR(__xludf.DUMMYFUNCTION("GOOGLETRANSLATE(H471,""th"",""en"")"),"Last update user")</f>
        <v>Last update user</v>
      </c>
    </row>
    <row r="472" spans="1:11" ht="15.75" hidden="1" customHeight="1">
      <c r="A472" s="133" t="s">
        <v>7</v>
      </c>
      <c r="B472" s="133" t="s">
        <v>239</v>
      </c>
      <c r="C472" s="133" t="s">
        <v>240</v>
      </c>
      <c r="D472" s="133" t="s">
        <v>477</v>
      </c>
      <c r="E472" s="158">
        <v>2</v>
      </c>
      <c r="F472" s="158">
        <v>0</v>
      </c>
      <c r="G472" s="158">
        <v>0</v>
      </c>
      <c r="H472" s="133" t="s">
        <v>1119</v>
      </c>
      <c r="I472" s="133" t="s">
        <v>479</v>
      </c>
      <c r="J472" s="158">
        <v>0</v>
      </c>
      <c r="K472" s="159" t="str">
        <f ca="1">IFERROR(__xludf.DUMMYFUNCTION("GOOGLETRANSLATE(H472,""th"",""en"")"),"Voucher Code")</f>
        <v>Voucher Code</v>
      </c>
    </row>
    <row r="473" spans="1:11" ht="15.75" hidden="1" customHeight="1">
      <c r="A473" s="133" t="s">
        <v>7</v>
      </c>
      <c r="B473" s="133" t="s">
        <v>239</v>
      </c>
      <c r="C473" s="133" t="s">
        <v>1120</v>
      </c>
      <c r="D473" s="133" t="s">
        <v>477</v>
      </c>
      <c r="E473" s="158">
        <v>30</v>
      </c>
      <c r="F473" s="158">
        <v>0</v>
      </c>
      <c r="G473" s="158">
        <v>0</v>
      </c>
      <c r="H473" s="133" t="s">
        <v>1121</v>
      </c>
      <c r="I473" s="133" t="s">
        <v>479</v>
      </c>
      <c r="J473" s="158">
        <v>1</v>
      </c>
      <c r="K473" s="159" t="str">
        <f ca="1">IFERROR(__xludf.DUMMYFUNCTION("GOOGLETRANSLATE(H473,""th"",""en"")"),"English Description")</f>
        <v>English Description</v>
      </c>
    </row>
    <row r="474" spans="1:11" ht="15.75" hidden="1" customHeight="1">
      <c r="A474" s="133" t="s">
        <v>7</v>
      </c>
      <c r="B474" s="133" t="s">
        <v>239</v>
      </c>
      <c r="C474" s="133" t="s">
        <v>1122</v>
      </c>
      <c r="D474" s="133" t="s">
        <v>477</v>
      </c>
      <c r="E474" s="158">
        <v>30</v>
      </c>
      <c r="F474" s="158">
        <v>0</v>
      </c>
      <c r="G474" s="158">
        <v>0</v>
      </c>
      <c r="H474" s="133" t="s">
        <v>1123</v>
      </c>
      <c r="I474" s="133" t="s">
        <v>479</v>
      </c>
      <c r="J474" s="158">
        <v>1</v>
      </c>
      <c r="K474" s="159" t="str">
        <f ca="1">IFERROR(__xludf.DUMMYFUNCTION("GOOGLETRANSLATE(H474,""th"",""en"")"),"Local Description")</f>
        <v>Local Description</v>
      </c>
    </row>
    <row r="475" spans="1:11" ht="15.75" hidden="1" customHeight="1">
      <c r="A475" s="133" t="s">
        <v>7</v>
      </c>
      <c r="B475" s="133" t="s">
        <v>239</v>
      </c>
      <c r="C475" s="133" t="s">
        <v>1124</v>
      </c>
      <c r="D475" s="133" t="s">
        <v>477</v>
      </c>
      <c r="E475" s="158">
        <v>1</v>
      </c>
      <c r="F475" s="158">
        <v>0</v>
      </c>
      <c r="G475" s="158">
        <v>0</v>
      </c>
      <c r="H475" s="133" t="s">
        <v>1125</v>
      </c>
      <c r="I475" s="133" t="s">
        <v>479</v>
      </c>
      <c r="J475" s="158">
        <v>1</v>
      </c>
      <c r="K475" s="159" t="str">
        <f ca="1">IFERROR(__xludf.DUMMYFUNCTION("GOOGLETRANSLATE(H475,""th"",""en"")"),"Auto Flag")</f>
        <v>Auto Flag</v>
      </c>
    </row>
    <row r="476" spans="1:11" ht="15.75" hidden="1" customHeight="1">
      <c r="A476" s="133" t="s">
        <v>7</v>
      </c>
      <c r="B476" s="133" t="s">
        <v>239</v>
      </c>
      <c r="C476" s="133" t="s">
        <v>1126</v>
      </c>
      <c r="D476" s="133" t="s">
        <v>477</v>
      </c>
      <c r="E476" s="158">
        <v>1</v>
      </c>
      <c r="F476" s="158">
        <v>0</v>
      </c>
      <c r="G476" s="158">
        <v>0</v>
      </c>
      <c r="H476" s="133" t="s">
        <v>1127</v>
      </c>
      <c r="I476" s="133" t="s">
        <v>479</v>
      </c>
      <c r="J476" s="158">
        <v>1</v>
      </c>
      <c r="K476" s="159" t="str">
        <f ca="1">IFERROR(__xludf.DUMMYFUNCTION("GOOGLETRANSLATE(H476,""th"",""en"")"),"Class")</f>
        <v>Class</v>
      </c>
    </row>
    <row r="477" spans="1:11" ht="15.75" hidden="1" customHeight="1">
      <c r="A477" s="133" t="s">
        <v>7</v>
      </c>
      <c r="B477" s="133" t="s">
        <v>239</v>
      </c>
      <c r="C477" s="133" t="s">
        <v>521</v>
      </c>
      <c r="D477" s="133" t="s">
        <v>477</v>
      </c>
      <c r="E477" s="158">
        <v>8</v>
      </c>
      <c r="F477" s="158">
        <v>0</v>
      </c>
      <c r="G477" s="158">
        <v>0</v>
      </c>
      <c r="H477" s="133" t="s">
        <v>522</v>
      </c>
      <c r="I477" s="133" t="s">
        <v>479</v>
      </c>
      <c r="J477" s="158">
        <v>1</v>
      </c>
      <c r="K477" s="159" t="str">
        <f ca="1">IFERROR(__xludf.DUMMYFUNCTION("GOOGLETRANSLATE(H477,""th"",""en"")"),"Last update user")</f>
        <v>Last update user</v>
      </c>
    </row>
    <row r="478" spans="1:11" ht="15.75" hidden="1" customHeight="1">
      <c r="A478" s="133" t="s">
        <v>7</v>
      </c>
      <c r="B478" s="133" t="s">
        <v>239</v>
      </c>
      <c r="C478" s="133" t="s">
        <v>523</v>
      </c>
      <c r="D478" s="133" t="s">
        <v>477</v>
      </c>
      <c r="E478" s="158">
        <v>8</v>
      </c>
      <c r="F478" s="158">
        <v>0</v>
      </c>
      <c r="G478" s="158">
        <v>0</v>
      </c>
      <c r="H478" s="133" t="s">
        <v>524</v>
      </c>
      <c r="I478" s="133" t="s">
        <v>479</v>
      </c>
      <c r="J478" s="158">
        <v>1</v>
      </c>
      <c r="K478" s="159" t="str">
        <f ca="1">IFERROR(__xludf.DUMMYFUNCTION("GOOGLETRANSLATE(H478,""th"",""en"")"),"Created User")</f>
        <v>Created User</v>
      </c>
    </row>
    <row r="479" spans="1:11" ht="15.75" hidden="1" customHeight="1">
      <c r="A479" s="133" t="s">
        <v>7</v>
      </c>
      <c r="B479" s="133" t="s">
        <v>239</v>
      </c>
      <c r="C479" s="133" t="s">
        <v>215</v>
      </c>
      <c r="D479" s="133" t="s">
        <v>496</v>
      </c>
      <c r="E479" s="158">
        <v>4</v>
      </c>
      <c r="F479" s="158">
        <v>16</v>
      </c>
      <c r="G479" s="158">
        <v>0</v>
      </c>
      <c r="H479" s="133" t="s">
        <v>525</v>
      </c>
      <c r="I479" s="133" t="s">
        <v>479</v>
      </c>
      <c r="J479" s="158">
        <v>1</v>
      </c>
      <c r="K479" s="159" t="str">
        <f ca="1">IFERROR(__xludf.DUMMYFUNCTION("GOOGLETRANSLATE(H479,""th"",""en"")"),"Last Update Date")</f>
        <v>Last Update Date</v>
      </c>
    </row>
    <row r="480" spans="1:11" ht="15.75" hidden="1" customHeight="1">
      <c r="A480" s="133" t="s">
        <v>7</v>
      </c>
      <c r="B480" s="133" t="s">
        <v>239</v>
      </c>
      <c r="C480" s="133" t="s">
        <v>526</v>
      </c>
      <c r="D480" s="133" t="s">
        <v>496</v>
      </c>
      <c r="E480" s="158">
        <v>4</v>
      </c>
      <c r="F480" s="158">
        <v>16</v>
      </c>
      <c r="G480" s="158">
        <v>0</v>
      </c>
      <c r="H480" s="133" t="s">
        <v>527</v>
      </c>
      <c r="I480" s="133" t="s">
        <v>479</v>
      </c>
      <c r="J480" s="158">
        <v>1</v>
      </c>
      <c r="K480" s="159" t="str">
        <f ca="1">IFERROR(__xludf.DUMMYFUNCTION("GOOGLETRANSLATE(H480,""th"",""en"")"),"Created Date")</f>
        <v>Created Date</v>
      </c>
    </row>
    <row r="481" spans="1:11" ht="15.75" hidden="1" customHeight="1">
      <c r="A481" s="133" t="s">
        <v>7</v>
      </c>
      <c r="B481" s="133" t="s">
        <v>239</v>
      </c>
      <c r="C481" s="133" t="s">
        <v>530</v>
      </c>
      <c r="D481" s="133" t="s">
        <v>477</v>
      </c>
      <c r="E481" s="158">
        <v>8</v>
      </c>
      <c r="F481" s="158">
        <v>0</v>
      </c>
      <c r="G481" s="158">
        <v>0</v>
      </c>
      <c r="H481" s="133" t="s">
        <v>522</v>
      </c>
      <c r="I481" s="133" t="s">
        <v>479</v>
      </c>
      <c r="J481" s="158">
        <v>1</v>
      </c>
      <c r="K481" s="159" t="str">
        <f ca="1">IFERROR(__xludf.DUMMYFUNCTION("GOOGLETRANSLATE(H481,""th"",""en"")"),"Last update user")</f>
        <v>Last update user</v>
      </c>
    </row>
    <row r="482" spans="1:11" ht="15.75" hidden="1" customHeight="1">
      <c r="A482" s="133" t="s">
        <v>7</v>
      </c>
      <c r="B482" s="133" t="s">
        <v>416</v>
      </c>
      <c r="C482" s="133" t="s">
        <v>432</v>
      </c>
      <c r="D482" s="133" t="s">
        <v>477</v>
      </c>
      <c r="E482" s="158">
        <v>20</v>
      </c>
      <c r="F482" s="158">
        <v>0</v>
      </c>
      <c r="G482" s="158">
        <v>0</v>
      </c>
      <c r="H482" s="133" t="s">
        <v>1128</v>
      </c>
      <c r="I482" s="133" t="s">
        <v>479</v>
      </c>
      <c r="J482" s="158">
        <v>0</v>
      </c>
      <c r="K482" s="159" t="str">
        <f ca="1">IFERROR(__xludf.DUMMYFUNCTION("GOOGLETRANSLATE(H482,""th"",""en"")"),"Transaction ID")</f>
        <v>Transaction ID</v>
      </c>
    </row>
    <row r="483" spans="1:11" ht="15.75" hidden="1" customHeight="1">
      <c r="A483" s="133" t="s">
        <v>7</v>
      </c>
      <c r="B483" s="133" t="s">
        <v>416</v>
      </c>
      <c r="C483" s="133" t="s">
        <v>292</v>
      </c>
      <c r="D483" s="133" t="s">
        <v>484</v>
      </c>
      <c r="E483" s="158">
        <v>4</v>
      </c>
      <c r="F483" s="158">
        <v>10</v>
      </c>
      <c r="G483" s="158">
        <v>0</v>
      </c>
      <c r="H483" s="133" t="s">
        <v>1129</v>
      </c>
      <c r="I483" s="133" t="s">
        <v>479</v>
      </c>
      <c r="J483" s="158">
        <v>0</v>
      </c>
      <c r="K483" s="159" t="str">
        <f ca="1">IFERROR(__xludf.DUMMYFUNCTION("GOOGLETRANSLATE(H483,""th"",""en"")"),"The order of the product")</f>
        <v>The order of the product</v>
      </c>
    </row>
    <row r="484" spans="1:11" ht="15.75" hidden="1" customHeight="1">
      <c r="A484" s="133" t="s">
        <v>7</v>
      </c>
      <c r="B484" s="133" t="s">
        <v>416</v>
      </c>
      <c r="C484" s="133" t="s">
        <v>257</v>
      </c>
      <c r="D484" s="133" t="s">
        <v>477</v>
      </c>
      <c r="E484" s="158">
        <v>7</v>
      </c>
      <c r="F484" s="158">
        <v>0</v>
      </c>
      <c r="G484" s="158">
        <v>0</v>
      </c>
      <c r="H484" s="133" t="s">
        <v>1130</v>
      </c>
      <c r="I484" s="133" t="s">
        <v>479</v>
      </c>
      <c r="J484" s="158">
        <v>1</v>
      </c>
      <c r="K484" s="159" t="str">
        <f ca="1">IFERROR(__xludf.DUMMYFUNCTION("GOOGLETRANSLATE(H484,""th"",""en"")"),"Product code")</f>
        <v>Product code</v>
      </c>
    </row>
    <row r="485" spans="1:11" ht="15.75" hidden="1" customHeight="1">
      <c r="A485" s="133" t="s">
        <v>7</v>
      </c>
      <c r="B485" s="133" t="s">
        <v>416</v>
      </c>
      <c r="C485" s="133" t="s">
        <v>1131</v>
      </c>
      <c r="D485" s="133" t="s">
        <v>477</v>
      </c>
      <c r="E485" s="158">
        <v>55</v>
      </c>
      <c r="F485" s="158">
        <v>0</v>
      </c>
      <c r="G485" s="158">
        <v>0</v>
      </c>
      <c r="H485" s="133" t="s">
        <v>1132</v>
      </c>
      <c r="I485" s="133" t="s">
        <v>479</v>
      </c>
      <c r="J485" s="158">
        <v>1</v>
      </c>
      <c r="K485" s="159" t="str">
        <f ca="1">IFERROR(__xludf.DUMMYFUNCTION("GOOGLETRANSLATE(H485,""th"",""en"")"),"Product name")</f>
        <v>Product name</v>
      </c>
    </row>
    <row r="486" spans="1:11" ht="15.75" hidden="1" customHeight="1">
      <c r="A486" s="133" t="s">
        <v>7</v>
      </c>
      <c r="B486" s="133" t="s">
        <v>416</v>
      </c>
      <c r="C486" s="133" t="s">
        <v>1133</v>
      </c>
      <c r="D486" s="133" t="s">
        <v>477</v>
      </c>
      <c r="E486" s="158">
        <v>7</v>
      </c>
      <c r="F486" s="158">
        <v>0</v>
      </c>
      <c r="G486" s="158">
        <v>0</v>
      </c>
      <c r="H486" s="133" t="s">
        <v>1134</v>
      </c>
      <c r="I486" s="133" t="s">
        <v>479</v>
      </c>
      <c r="J486" s="158">
        <v>1</v>
      </c>
      <c r="K486" s="159" t="str">
        <f ca="1">IFERROR(__xludf.DUMMYFUNCTION("GOOGLETRANSLATE(H486,""th"",""en"")"),"Location that pick up the product as a picking location of this product. On the day we accept (Which may not match PO)")</f>
        <v>Location that pick up the product as a picking location of this product. On the day we accept (Which may not match PO)</v>
      </c>
    </row>
    <row r="487" spans="1:11" ht="15.75" hidden="1" customHeight="1">
      <c r="A487" s="133" t="s">
        <v>7</v>
      </c>
      <c r="B487" s="133" t="s">
        <v>416</v>
      </c>
      <c r="C487" s="133" t="s">
        <v>1135</v>
      </c>
      <c r="D487" s="133" t="s">
        <v>481</v>
      </c>
      <c r="E487" s="158">
        <v>9</v>
      </c>
      <c r="F487" s="158">
        <v>11</v>
      </c>
      <c r="G487" s="158">
        <v>2</v>
      </c>
      <c r="H487" s="133" t="s">
        <v>1136</v>
      </c>
      <c r="I487" s="133" t="s">
        <v>479</v>
      </c>
      <c r="J487" s="158">
        <v>1</v>
      </c>
      <c r="K487" s="159" t="str">
        <f ca="1">IFERROR(__xludf.DUMMYFUNCTION("GOOGLETRANSLATE(H487,""th"",""en"")"),"The number of products in the document")</f>
        <v>The number of products in the document</v>
      </c>
    </row>
    <row r="488" spans="1:11" ht="15.75" hidden="1" customHeight="1">
      <c r="A488" s="133" t="s">
        <v>7</v>
      </c>
      <c r="B488" s="133" t="s">
        <v>416</v>
      </c>
      <c r="C488" s="133" t="s">
        <v>1137</v>
      </c>
      <c r="D488" s="133" t="s">
        <v>481</v>
      </c>
      <c r="E488" s="158">
        <v>9</v>
      </c>
      <c r="F488" s="158">
        <v>11</v>
      </c>
      <c r="G488" s="158">
        <v>2</v>
      </c>
      <c r="H488" s="133" t="s">
        <v>1138</v>
      </c>
      <c r="I488" s="133" t="s">
        <v>479</v>
      </c>
      <c r="J488" s="158">
        <v>1</v>
      </c>
      <c r="K488" s="159" t="str">
        <f ca="1">IFERROR(__xludf.DUMMYFUNCTION("GOOGLETRANSLATE(H488,""th"",""en"")"),"Product price in the document")</f>
        <v>Product price in the document</v>
      </c>
    </row>
    <row r="489" spans="1:11" ht="15.75" hidden="1" customHeight="1">
      <c r="A489" s="133" t="s">
        <v>7</v>
      </c>
      <c r="B489" s="133" t="s">
        <v>416</v>
      </c>
      <c r="C489" s="133" t="s">
        <v>1139</v>
      </c>
      <c r="D489" s="133" t="s">
        <v>477</v>
      </c>
      <c r="E489" s="158">
        <v>7</v>
      </c>
      <c r="F489" s="158">
        <v>0</v>
      </c>
      <c r="G489" s="158">
        <v>0</v>
      </c>
      <c r="H489" s="133" t="s">
        <v>1140</v>
      </c>
      <c r="I489" s="133" t="s">
        <v>479</v>
      </c>
      <c r="J489" s="158">
        <v>1</v>
      </c>
      <c r="K489" s="159" t="str">
        <f ca="1">IFERROR(__xludf.DUMMYFUNCTION("GOOGLETRANSLATE(H489,""th"",""en"")"),"Product units in the document")</f>
        <v>Product units in the document</v>
      </c>
    </row>
    <row r="490" spans="1:11" ht="15.75" hidden="1" customHeight="1">
      <c r="A490" s="133" t="s">
        <v>7</v>
      </c>
      <c r="B490" s="133" t="s">
        <v>416</v>
      </c>
      <c r="C490" s="133" t="s">
        <v>1141</v>
      </c>
      <c r="D490" s="133" t="s">
        <v>477</v>
      </c>
      <c r="E490" s="158">
        <v>7</v>
      </c>
      <c r="F490" s="158">
        <v>0</v>
      </c>
      <c r="G490" s="158">
        <v>0</v>
      </c>
      <c r="H490" s="133" t="s">
        <v>1142</v>
      </c>
      <c r="I490" s="133" t="s">
        <v>479</v>
      </c>
      <c r="J490" s="158">
        <v>1</v>
      </c>
      <c r="K490" s="159" t="str">
        <f ca="1">IFERROR(__xludf.DUMMYFUNCTION("GOOGLETRANSLATE(H490,""th"",""en"")"),"Standard product unit")</f>
        <v>Standard product unit</v>
      </c>
    </row>
    <row r="491" spans="1:11" ht="15.75" hidden="1" customHeight="1">
      <c r="A491" s="133" t="s">
        <v>7</v>
      </c>
      <c r="B491" s="133" t="s">
        <v>416</v>
      </c>
      <c r="C491" s="133" t="s">
        <v>1143</v>
      </c>
      <c r="D491" s="133" t="s">
        <v>484</v>
      </c>
      <c r="E491" s="158">
        <v>4</v>
      </c>
      <c r="F491" s="158">
        <v>10</v>
      </c>
      <c r="G491" s="158">
        <v>0</v>
      </c>
      <c r="H491" s="133" t="s">
        <v>1144</v>
      </c>
      <c r="I491" s="133" t="s">
        <v>479</v>
      </c>
      <c r="J491" s="158">
        <v>1</v>
      </c>
      <c r="K491" s="159" t="str">
        <f ca="1">IFERROR(__xludf.DUMMYFUNCTION("GOOGLETRANSLATE(H491,""th"",""en"")"),"Unit conversion multiplier")</f>
        <v>Unit conversion multiplier</v>
      </c>
    </row>
    <row r="492" spans="1:11" ht="15.75" hidden="1" customHeight="1">
      <c r="A492" s="133" t="s">
        <v>7</v>
      </c>
      <c r="B492" s="133" t="s">
        <v>416</v>
      </c>
      <c r="C492" s="133" t="s">
        <v>1145</v>
      </c>
      <c r="D492" s="133" t="s">
        <v>481</v>
      </c>
      <c r="E492" s="158">
        <v>9</v>
      </c>
      <c r="F492" s="158">
        <v>11</v>
      </c>
      <c r="G492" s="158">
        <v>2</v>
      </c>
      <c r="H492" s="133" t="s">
        <v>1146</v>
      </c>
      <c r="I492" s="133" t="s">
        <v>479</v>
      </c>
      <c r="J492" s="158">
        <v>1</v>
      </c>
      <c r="K492" s="159" t="str">
        <f ca="1">IFERROR(__xludf.DUMMYFUNCTION("GOOGLETRANSLATE(H492,""th"",""en"")"),"Number of products in the standard unit")</f>
        <v>Number of products in the standard unit</v>
      </c>
    </row>
    <row r="493" spans="1:11" ht="15.75" hidden="1" customHeight="1">
      <c r="A493" s="133" t="s">
        <v>7</v>
      </c>
      <c r="B493" s="133" t="s">
        <v>416</v>
      </c>
      <c r="C493" s="133" t="s">
        <v>1147</v>
      </c>
      <c r="D493" s="133" t="s">
        <v>481</v>
      </c>
      <c r="E493" s="158">
        <v>9</v>
      </c>
      <c r="F493" s="158">
        <v>11</v>
      </c>
      <c r="G493" s="158">
        <v>2</v>
      </c>
      <c r="H493" s="133" t="s">
        <v>1148</v>
      </c>
      <c r="I493" s="133" t="s">
        <v>479</v>
      </c>
      <c r="J493" s="158">
        <v>1</v>
      </c>
      <c r="K493" s="159" t="str">
        <f ca="1">IFERROR(__xludf.DUMMYFUNCTION("GOOGLETRANSLATE(H493,""th"",""en"")"),"The average price per unit")</f>
        <v>The average price per unit</v>
      </c>
    </row>
    <row r="494" spans="1:11" ht="15.75" hidden="1" customHeight="1">
      <c r="A494" s="133" t="s">
        <v>7</v>
      </c>
      <c r="B494" s="133" t="s">
        <v>416</v>
      </c>
      <c r="C494" s="133" t="s">
        <v>523</v>
      </c>
      <c r="D494" s="133" t="s">
        <v>477</v>
      </c>
      <c r="E494" s="158">
        <v>8</v>
      </c>
      <c r="F494" s="158">
        <v>0</v>
      </c>
      <c r="G494" s="158">
        <v>0</v>
      </c>
      <c r="H494" s="133" t="s">
        <v>734</v>
      </c>
      <c r="I494" s="133" t="s">
        <v>479</v>
      </c>
      <c r="J494" s="158">
        <v>1</v>
      </c>
      <c r="K494" s="159" t="str">
        <f ca="1">IFERROR(__xludf.DUMMYFUNCTION("GOOGLETRANSLATE(H494,""th"",""en"")"),"Creator name")</f>
        <v>Creator name</v>
      </c>
    </row>
    <row r="495" spans="1:11" ht="15.75" hidden="1" customHeight="1">
      <c r="A495" s="133" t="s">
        <v>7</v>
      </c>
      <c r="B495" s="133" t="s">
        <v>416</v>
      </c>
      <c r="C495" s="133" t="s">
        <v>669</v>
      </c>
      <c r="D495" s="133" t="s">
        <v>496</v>
      </c>
      <c r="E495" s="158">
        <v>4</v>
      </c>
      <c r="F495" s="158">
        <v>16</v>
      </c>
      <c r="G495" s="158">
        <v>0</v>
      </c>
      <c r="H495" s="133" t="s">
        <v>1149</v>
      </c>
      <c r="I495" s="133" t="s">
        <v>479</v>
      </c>
      <c r="J495" s="158">
        <v>1</v>
      </c>
      <c r="K495" s="159" t="str">
        <f ca="1">IFERROR(__xludf.DUMMYFUNCTION("GOOGLETRANSLATE(H495,""th"",""en"")"),"Date")</f>
        <v>Date</v>
      </c>
    </row>
    <row r="496" spans="1:11" ht="15.75" hidden="1" customHeight="1">
      <c r="A496" s="133" t="s">
        <v>7</v>
      </c>
      <c r="B496" s="133" t="s">
        <v>416</v>
      </c>
      <c r="C496" s="133" t="s">
        <v>670</v>
      </c>
      <c r="D496" s="133" t="s">
        <v>477</v>
      </c>
      <c r="E496" s="158">
        <v>8</v>
      </c>
      <c r="F496" s="158">
        <v>0</v>
      </c>
      <c r="G496" s="158">
        <v>0</v>
      </c>
      <c r="H496" s="133" t="s">
        <v>736</v>
      </c>
      <c r="I496" s="133" t="s">
        <v>479</v>
      </c>
      <c r="J496" s="158">
        <v>1</v>
      </c>
      <c r="K496" s="159" t="str">
        <f ca="1">IFERROR(__xludf.DUMMYFUNCTION("GOOGLETRANSLATE(H496,""th"",""en"")"),"Last edited name")</f>
        <v>Last edited name</v>
      </c>
    </row>
    <row r="497" spans="1:11" ht="15.75" hidden="1" customHeight="1">
      <c r="A497" s="133" t="s">
        <v>7</v>
      </c>
      <c r="B497" s="133" t="s">
        <v>416</v>
      </c>
      <c r="C497" s="133" t="s">
        <v>215</v>
      </c>
      <c r="D497" s="133" t="s">
        <v>496</v>
      </c>
      <c r="E497" s="158">
        <v>4</v>
      </c>
      <c r="F497" s="158">
        <v>16</v>
      </c>
      <c r="G497" s="158">
        <v>0</v>
      </c>
      <c r="H497" s="133" t="s">
        <v>1150</v>
      </c>
      <c r="I497" s="133" t="s">
        <v>479</v>
      </c>
      <c r="J497" s="158">
        <v>1</v>
      </c>
      <c r="K497" s="159" t="str">
        <f ca="1">IFERROR(__xludf.DUMMYFUNCTION("GOOGLETRANSLATE(H497,""th"",""en"")"),"Last modified date")</f>
        <v>Last modified date</v>
      </c>
    </row>
    <row r="498" spans="1:11" ht="15.75" hidden="1" customHeight="1">
      <c r="A498" s="133" t="s">
        <v>7</v>
      </c>
      <c r="B498" s="133" t="s">
        <v>416</v>
      </c>
      <c r="C498" s="133" t="s">
        <v>1151</v>
      </c>
      <c r="D498" s="133" t="s">
        <v>491</v>
      </c>
      <c r="E498" s="158">
        <v>1</v>
      </c>
      <c r="F498" s="158">
        <v>0</v>
      </c>
      <c r="G498" s="158">
        <v>0</v>
      </c>
      <c r="H498" s="133" t="s">
        <v>1152</v>
      </c>
      <c r="I498" s="133" t="s">
        <v>479</v>
      </c>
      <c r="J498" s="158">
        <v>1</v>
      </c>
      <c r="K498" s="159" t="str">
        <f ca="1">IFERROR(__xludf.DUMMYFUNCTION("GOOGLETRANSLATE(H498,""th"",""en"")"),"Determined as a product with stock cut (y = cutting stock, n = does not cut stock)")</f>
        <v>Determined as a product with stock cut (y = cutting stock, n = does not cut stock)</v>
      </c>
    </row>
    <row r="499" spans="1:11" ht="15.75" hidden="1" customHeight="1">
      <c r="A499" s="133" t="s">
        <v>7</v>
      </c>
      <c r="B499" s="133" t="s">
        <v>416</v>
      </c>
      <c r="C499" s="133" t="s">
        <v>1153</v>
      </c>
      <c r="D499" s="133" t="s">
        <v>491</v>
      </c>
      <c r="E499" s="158">
        <v>1</v>
      </c>
      <c r="F499" s="158">
        <v>0</v>
      </c>
      <c r="G499" s="158">
        <v>0</v>
      </c>
      <c r="H499" s="133" t="s">
        <v>1154</v>
      </c>
      <c r="I499" s="133" t="s">
        <v>479</v>
      </c>
      <c r="J499" s="158">
        <v>1</v>
      </c>
      <c r="K499" s="159" t="str">
        <f ca="1">IFERROR(__xludf.DUMMYFUNCTION("GOOGLETRANSLATE(H499,""th"",""en"")"),"Set to display on the document (y = show, n = not shown)")</f>
        <v>Set to display on the document (y = show, n = not shown)</v>
      </c>
    </row>
    <row r="500" spans="1:11" ht="15.75" hidden="1" customHeight="1">
      <c r="A500" s="133" t="s">
        <v>7</v>
      </c>
      <c r="B500" s="133" t="s">
        <v>416</v>
      </c>
      <c r="C500" s="133" t="s">
        <v>1155</v>
      </c>
      <c r="D500" s="133" t="s">
        <v>477</v>
      </c>
      <c r="E500" s="158">
        <v>7</v>
      </c>
      <c r="F500" s="158">
        <v>0</v>
      </c>
      <c r="G500" s="158">
        <v>0</v>
      </c>
      <c r="H500" s="133" t="s">
        <v>1156</v>
      </c>
      <c r="I500" s="133" t="s">
        <v>548</v>
      </c>
      <c r="J500" s="158">
        <v>0</v>
      </c>
      <c r="K500" s="159" t="str">
        <f ca="1">IFERROR(__xludf.DUMMYFUNCTION("GOOGLETRANSLATE(H500,""th"",""en"")"),"Location that receives RU products")</f>
        <v>Location that receives RU products</v>
      </c>
    </row>
    <row r="501" spans="1:11" ht="15.75" hidden="1" customHeight="1">
      <c r="A501" s="133" t="s">
        <v>7</v>
      </c>
      <c r="B501" s="133" t="s">
        <v>419</v>
      </c>
      <c r="C501" s="279" t="s">
        <v>1176</v>
      </c>
      <c r="D501" s="279" t="s">
        <v>496</v>
      </c>
      <c r="E501" s="158">
        <v>4</v>
      </c>
      <c r="F501" s="158">
        <v>16</v>
      </c>
      <c r="G501" s="158">
        <v>0</v>
      </c>
      <c r="H501" s="133" t="s">
        <v>1177</v>
      </c>
      <c r="I501" s="133" t="s">
        <v>479</v>
      </c>
      <c r="J501" s="277">
        <v>1</v>
      </c>
      <c r="K501" s="159" t="str">
        <f ca="1">IFERROR(__xludf.DUMMYFUNCTION("GOOGLETRANSLATE(H512,""th"",""en"")"),"Real day (only borrower)")</f>
        <v>Real day (only borrower)</v>
      </c>
    </row>
    <row r="502" spans="1:11" ht="15.75" hidden="1" customHeight="1">
      <c r="A502" s="133" t="s">
        <v>7</v>
      </c>
      <c r="B502" s="133" t="s">
        <v>419</v>
      </c>
      <c r="C502" s="133" t="s">
        <v>1170</v>
      </c>
      <c r="D502" s="133" t="s">
        <v>477</v>
      </c>
      <c r="E502" s="158">
        <v>8</v>
      </c>
      <c r="F502" s="158">
        <v>0</v>
      </c>
      <c r="G502" s="158">
        <v>0</v>
      </c>
      <c r="H502" s="133" t="s">
        <v>1171</v>
      </c>
      <c r="I502" s="133" t="s">
        <v>479</v>
      </c>
      <c r="J502" s="158">
        <v>0</v>
      </c>
      <c r="K502" s="159" t="str">
        <f ca="1">IFERROR(__xludf.DUMMYFUNCTION("GOOGLETRANSLATE(H509,""th"",""en"")"),"Approve code")</f>
        <v>Approve code</v>
      </c>
    </row>
    <row r="503" spans="1:11" ht="15.75" hidden="1" customHeight="1">
      <c r="A503" s="133" t="s">
        <v>7</v>
      </c>
      <c r="B503" s="133" t="s">
        <v>419</v>
      </c>
      <c r="C503" s="133" t="s">
        <v>1178</v>
      </c>
      <c r="D503" s="133" t="s">
        <v>477</v>
      </c>
      <c r="E503" s="158">
        <v>3</v>
      </c>
      <c r="F503" s="158">
        <v>0</v>
      </c>
      <c r="G503" s="158">
        <v>0</v>
      </c>
      <c r="H503" s="133" t="s">
        <v>1179</v>
      </c>
      <c r="I503" s="133" t="s">
        <v>479</v>
      </c>
      <c r="J503" s="158">
        <v>1</v>
      </c>
      <c r="K503" s="159" t="str">
        <f ca="1">IFERROR(__xludf.DUMMYFUNCTION("GOOGLETRANSLATE(H513,""th"",""en"")"),"Note code of the stock document")</f>
        <v>Note code of the stock document</v>
      </c>
    </row>
    <row r="504" spans="1:11" ht="15.75" hidden="1" customHeight="1">
      <c r="A504" s="133" t="s">
        <v>7</v>
      </c>
      <c r="B504" s="133" t="s">
        <v>419</v>
      </c>
      <c r="C504" s="133" t="s">
        <v>1182</v>
      </c>
      <c r="D504" s="133" t="s">
        <v>477</v>
      </c>
      <c r="E504" s="158">
        <v>60</v>
      </c>
      <c r="F504" s="158">
        <v>0</v>
      </c>
      <c r="G504" s="158">
        <v>0</v>
      </c>
      <c r="H504" s="133" t="s">
        <v>1183</v>
      </c>
      <c r="I504" s="133" t="s">
        <v>479</v>
      </c>
      <c r="J504" s="158">
        <v>1</v>
      </c>
      <c r="K504" s="159" t="str">
        <f ca="1">IFERROR(__xludf.DUMMYFUNCTION("GOOGLETRANSLATE(H520,""th"",""en"")"),"Stock Management Note")</f>
        <v>Stock Management Note</v>
      </c>
    </row>
    <row r="505" spans="1:11" ht="15.75" hidden="1" customHeight="1">
      <c r="A505" s="133" t="s">
        <v>7</v>
      </c>
      <c r="B505" s="133" t="s">
        <v>419</v>
      </c>
      <c r="C505" s="133" t="s">
        <v>523</v>
      </c>
      <c r="D505" s="133" t="s">
        <v>477</v>
      </c>
      <c r="E505" s="158">
        <v>8</v>
      </c>
      <c r="F505" s="158">
        <v>0</v>
      </c>
      <c r="G505" s="158">
        <v>0</v>
      </c>
      <c r="H505" s="133" t="s">
        <v>734</v>
      </c>
      <c r="I505" s="133" t="s">
        <v>479</v>
      </c>
      <c r="J505" s="158">
        <v>1</v>
      </c>
      <c r="K505" s="159" t="str">
        <f ca="1">IFERROR(__xludf.DUMMYFUNCTION("GOOGLETRANSLATE(H516,""th"",""en"")"),"Creator name")</f>
        <v>Creator name</v>
      </c>
    </row>
    <row r="506" spans="1:11" ht="15.75" hidden="1" customHeight="1">
      <c r="A506" s="133" t="s">
        <v>7</v>
      </c>
      <c r="B506" s="133" t="s">
        <v>419</v>
      </c>
      <c r="C506" s="133" t="s">
        <v>669</v>
      </c>
      <c r="D506" s="133" t="s">
        <v>496</v>
      </c>
      <c r="E506" s="158">
        <v>4</v>
      </c>
      <c r="F506" s="158">
        <v>16</v>
      </c>
      <c r="G506" s="158">
        <v>0</v>
      </c>
      <c r="H506" s="133" t="s">
        <v>1149</v>
      </c>
      <c r="I506" s="133" t="s">
        <v>479</v>
      </c>
      <c r="J506" s="158">
        <v>1</v>
      </c>
      <c r="K506" s="159" t="str">
        <f ca="1">IFERROR(__xludf.DUMMYFUNCTION("GOOGLETRANSLATE(H517,""th"",""en"")"),"Date")</f>
        <v>Date</v>
      </c>
    </row>
    <row r="507" spans="1:11" ht="15.75" hidden="1" customHeight="1">
      <c r="A507" s="133" t="s">
        <v>7</v>
      </c>
      <c r="B507" s="133" t="s">
        <v>419</v>
      </c>
      <c r="C507" s="133" t="s">
        <v>1167</v>
      </c>
      <c r="D507" s="133" t="s">
        <v>477</v>
      </c>
      <c r="E507" s="158">
        <v>8</v>
      </c>
      <c r="F507" s="158">
        <v>0</v>
      </c>
      <c r="G507" s="158">
        <v>0</v>
      </c>
      <c r="H507" s="133" t="s">
        <v>1168</v>
      </c>
      <c r="I507" s="133" t="s">
        <v>479</v>
      </c>
      <c r="J507" s="158">
        <v>0</v>
      </c>
      <c r="K507" s="159" t="str">
        <f ca="1">IFERROR(__xludf.DUMMYFUNCTION("GOOGLETRANSLATE(H507,""th"",""en"")"),"Customer code / supplier / employee based on OwnerFG")</f>
        <v>Customer code / supplier / employee based on OwnerFG</v>
      </c>
    </row>
    <row r="508" spans="1:11" ht="15.75" hidden="1" customHeight="1">
      <c r="A508" s="133" t="s">
        <v>7</v>
      </c>
      <c r="B508" s="133" t="s">
        <v>419</v>
      </c>
      <c r="C508" s="133" t="s">
        <v>557</v>
      </c>
      <c r="D508" s="133" t="s">
        <v>477</v>
      </c>
      <c r="E508" s="158">
        <v>100</v>
      </c>
      <c r="F508" s="158">
        <v>0</v>
      </c>
      <c r="G508" s="158">
        <v>0</v>
      </c>
      <c r="H508" s="133" t="s">
        <v>1169</v>
      </c>
      <c r="I508" s="133" t="s">
        <v>479</v>
      </c>
      <c r="J508" s="158">
        <v>1</v>
      </c>
      <c r="K508" s="159" t="str">
        <f ca="1">IFERROR(__xludf.DUMMYFUNCTION("GOOGLETRANSLATE(H508,""th"",""en"")"),"Customer name / supplier / employee based on OwnerFG")</f>
        <v>Customer name / supplier / employee based on OwnerFG</v>
      </c>
    </row>
    <row r="509" spans="1:11" ht="15.75" hidden="1" customHeight="1">
      <c r="A509" s="133" t="s">
        <v>7</v>
      </c>
      <c r="B509" s="133" t="s">
        <v>419</v>
      </c>
      <c r="C509" s="133" t="s">
        <v>1163</v>
      </c>
      <c r="D509" s="133" t="s">
        <v>477</v>
      </c>
      <c r="E509" s="158">
        <v>20</v>
      </c>
      <c r="F509" s="158">
        <v>0</v>
      </c>
      <c r="G509" s="158">
        <v>0</v>
      </c>
      <c r="H509" s="133" t="s">
        <v>1164</v>
      </c>
      <c r="I509" s="133" t="s">
        <v>479</v>
      </c>
      <c r="J509" s="158">
        <v>1</v>
      </c>
      <c r="K509" s="159" t="str">
        <f ca="1">IFERROR(__xludf.DUMMYFUNCTION("GOOGLETRANSLATE(H505,""th"",""en"")"),"Document number")</f>
        <v>Document number</v>
      </c>
    </row>
    <row r="510" spans="1:11" ht="15.75" hidden="1" customHeight="1">
      <c r="A510" s="133" t="s">
        <v>7</v>
      </c>
      <c r="B510" s="133" t="s">
        <v>419</v>
      </c>
      <c r="C510" s="133" t="s">
        <v>1165</v>
      </c>
      <c r="D510" s="133" t="s">
        <v>477</v>
      </c>
      <c r="E510" s="158">
        <v>1</v>
      </c>
      <c r="F510" s="158">
        <v>0</v>
      </c>
      <c r="G510" s="158">
        <v>0</v>
      </c>
      <c r="H510" s="133" t="s">
        <v>1166</v>
      </c>
      <c r="I510" s="133" t="s">
        <v>479</v>
      </c>
      <c r="J510" s="158">
        <v>1</v>
      </c>
      <c r="K510" s="159" t="str">
        <f ca="1">IFERROR(__xludf.DUMMYFUNCTION("GOOGLETRANSLATE(H506,""th"",""en"")"),"Flag says What is the custid channel information? (0 = Customer, 1 = Supplier, 2 = Employees)")</f>
        <v>Flag says What is the custid channel information? (0 = Customer, 1 = Supplier, 2 = Employees)</v>
      </c>
    </row>
    <row r="511" spans="1:11" ht="15.75" hidden="1" customHeight="1">
      <c r="A511" s="133" t="s">
        <v>7</v>
      </c>
      <c r="B511" s="133" t="s">
        <v>419</v>
      </c>
      <c r="C511" s="133" t="s">
        <v>164</v>
      </c>
      <c r="D511" s="133" t="s">
        <v>477</v>
      </c>
      <c r="E511" s="158">
        <v>200</v>
      </c>
      <c r="F511" s="158">
        <v>0</v>
      </c>
      <c r="G511" s="158">
        <v>0</v>
      </c>
      <c r="H511" s="133" t="s">
        <v>1180</v>
      </c>
      <c r="I511" s="133" t="s">
        <v>479</v>
      </c>
      <c r="J511" s="158">
        <v>1</v>
      </c>
      <c r="K511" s="159" t="str">
        <f ca="1">IFERROR(__xludf.DUMMYFUNCTION("GOOGLETRANSLATE(H514,""th"",""en"")"),"Remark storage of IC documents")</f>
        <v>Remark storage of IC documents</v>
      </c>
    </row>
    <row r="512" spans="1:11" ht="15.75" hidden="1" customHeight="1">
      <c r="A512" s="133" t="s">
        <v>7</v>
      </c>
      <c r="B512" s="133" t="s">
        <v>419</v>
      </c>
      <c r="C512" s="279" t="s">
        <v>1172</v>
      </c>
      <c r="D512" s="279" t="s">
        <v>496</v>
      </c>
      <c r="E512" s="158">
        <v>4</v>
      </c>
      <c r="F512" s="158">
        <v>16</v>
      </c>
      <c r="G512" s="158">
        <v>0</v>
      </c>
      <c r="H512" s="133" t="s">
        <v>1173</v>
      </c>
      <c r="I512" s="133" t="s">
        <v>479</v>
      </c>
      <c r="J512" s="277">
        <v>1</v>
      </c>
      <c r="K512" s="159" t="str">
        <f ca="1">IFERROR(__xludf.DUMMYFUNCTION("GOOGLETRANSLATE(H510,""th"",""en"")"),"Borrow date (only borrowed recovery)")</f>
        <v>Borrow date (only borrowed recovery)</v>
      </c>
    </row>
    <row r="513" spans="1:11" ht="15.75" hidden="1" customHeight="1">
      <c r="A513" s="133" t="s">
        <v>7</v>
      </c>
      <c r="B513" s="133" t="s">
        <v>419</v>
      </c>
      <c r="C513" s="133" t="s">
        <v>1174</v>
      </c>
      <c r="D513" s="133" t="s">
        <v>496</v>
      </c>
      <c r="E513" s="158">
        <v>4</v>
      </c>
      <c r="F513" s="158">
        <v>16</v>
      </c>
      <c r="G513" s="158">
        <v>0</v>
      </c>
      <c r="H513" s="133" t="s">
        <v>1175</v>
      </c>
      <c r="I513" s="133" t="s">
        <v>479</v>
      </c>
      <c r="J513" s="158">
        <v>1</v>
      </c>
      <c r="K513" s="159" t="str">
        <f ca="1">IFERROR(__xludf.DUMMYFUNCTION("GOOGLETRANSLATE(H511,""th"",""en"")"),"The date will be returned (only the borrower)")</f>
        <v>The date will be returned (only the borrower)</v>
      </c>
    </row>
    <row r="514" spans="1:11" ht="15.75" hidden="1" customHeight="1">
      <c r="A514" s="133" t="s">
        <v>7</v>
      </c>
      <c r="B514" s="133" t="s">
        <v>419</v>
      </c>
      <c r="C514" s="133" t="s">
        <v>811</v>
      </c>
      <c r="D514" s="133" t="s">
        <v>477</v>
      </c>
      <c r="E514" s="158">
        <v>1</v>
      </c>
      <c r="F514" s="158">
        <v>0</v>
      </c>
      <c r="G514" s="158">
        <v>0</v>
      </c>
      <c r="H514" s="133" t="s">
        <v>1181</v>
      </c>
      <c r="I514" s="133" t="s">
        <v>479</v>
      </c>
      <c r="J514" s="158">
        <v>1</v>
      </c>
      <c r="K514" s="159" t="str">
        <f ca="1">IFERROR(__xludf.DUMMYFUNCTION("GOOGLETRANSLATE(H515,""th"",""en"")"),"Document status in case SR (A = Active, P = Print; F = Confirm to return and go to CN; U = use old episodes This single is not used; D = Delete)")</f>
        <v>Document status in case SR (A = Active, P = Print; F = Confirm to return and go to CN; U = use old episodes This single is not used; D = Delete)</v>
      </c>
    </row>
    <row r="515" spans="1:11" ht="15.75" hidden="1" customHeight="1">
      <c r="A515" s="133" t="s">
        <v>7</v>
      </c>
      <c r="B515" s="133" t="s">
        <v>419</v>
      </c>
      <c r="C515" s="133" t="s">
        <v>1157</v>
      </c>
      <c r="D515" s="133" t="s">
        <v>496</v>
      </c>
      <c r="E515" s="158">
        <v>4</v>
      </c>
      <c r="F515" s="158">
        <v>16</v>
      </c>
      <c r="G515" s="158">
        <v>0</v>
      </c>
      <c r="H515" s="133" t="s">
        <v>1158</v>
      </c>
      <c r="I515" s="133" t="s">
        <v>479</v>
      </c>
      <c r="J515" s="158">
        <v>1</v>
      </c>
      <c r="K515" s="159" t="str">
        <f ca="1">IFERROR(__xludf.DUMMYFUNCTION("GOOGLETRANSLATE(H502,""th"",""en"")"),"Document date (use the day from TDSYSTEM + Really Time)")</f>
        <v>Document date (use the day from TDSYSTEM + Really Time)</v>
      </c>
    </row>
    <row r="516" spans="1:11" ht="15.75" hidden="1" customHeight="1">
      <c r="A516" s="133" t="s">
        <v>7</v>
      </c>
      <c r="B516" s="133" t="s">
        <v>419</v>
      </c>
      <c r="C516" s="133" t="s">
        <v>1161</v>
      </c>
      <c r="D516" s="133" t="s">
        <v>477</v>
      </c>
      <c r="E516" s="158">
        <v>1</v>
      </c>
      <c r="F516" s="158">
        <v>0</v>
      </c>
      <c r="G516" s="158">
        <v>0</v>
      </c>
      <c r="H516" s="133" t="s">
        <v>1162</v>
      </c>
      <c r="I516" s="133" t="s">
        <v>479</v>
      </c>
      <c r="J516" s="158">
        <v>1</v>
      </c>
      <c r="K516" s="159" t="str">
        <f ca="1">IFERROR(__xludf.DUMMYFUNCTION("GOOGLETRANSLATE(H504,""th"",""en"")"),"Use to store the document type of the RU document (1 = borrow, 2 = repair, 3 = sample 0 = 0 = This is an Insert from other non-RU documents)")</f>
        <v>Use to store the document type of the RU document (1 = borrow, 2 = repair, 3 = sample 0 = 0 = This is an Insert from other non-RU documents)</v>
      </c>
    </row>
    <row r="517" spans="1:11" ht="15.75" hidden="1" customHeight="1">
      <c r="A517" s="133" t="s">
        <v>7</v>
      </c>
      <c r="B517" s="133" t="s">
        <v>419</v>
      </c>
      <c r="C517" s="133" t="s">
        <v>1159</v>
      </c>
      <c r="D517" s="133" t="s">
        <v>477</v>
      </c>
      <c r="E517" s="158">
        <v>2</v>
      </c>
      <c r="F517" s="158">
        <v>0</v>
      </c>
      <c r="G517" s="158">
        <v>0</v>
      </c>
      <c r="H517" s="133" t="s">
        <v>1160</v>
      </c>
      <c r="I517" s="133" t="s">
        <v>479</v>
      </c>
      <c r="J517" s="158">
        <v>1</v>
      </c>
      <c r="K517" s="159" t="str">
        <f ca="1">IFERROR(__xludf.DUMMYFUNCTION("GOOGLETRANSLATE(H503,""th"",""en"")"),"Document type [AD = Add Qty (Not Change Cost), AQ = Add / Reduce Qty &amp; Cost, SR = SALE RETURN, IU = Internal Use, TR = Transfer Reverse, ST = Stock Taking, TS = Transfer Many PID To One PID , AJ = ADJUST AMT, RU = RENTASE (RENTQTY + Preserve), RR = RENTAS"&amp;"E (DEL RENTQTY, Preserve), Du = Damage Use]")</f>
        <v>Document type [AD = Add Qty (Not Change Cost), AQ = Add / Reduce Qty &amp; Cost, SR = SALE RETURN, IU = Internal Use, TR = Transfer Reverse, ST = Stock Taking, TS = Transfer Many PID To One PID , AJ = ADJUST AMT, RU = RENTASE (RENTQTY + Preserve), RR = RENTASE (DEL RENTQTY, Preserve), Du = Damage Use]</v>
      </c>
    </row>
    <row r="518" spans="1:11" ht="15.75" hidden="1" customHeight="1">
      <c r="A518" s="133" t="s">
        <v>7</v>
      </c>
      <c r="B518" s="133" t="s">
        <v>419</v>
      </c>
      <c r="C518" s="133" t="s">
        <v>432</v>
      </c>
      <c r="D518" s="133" t="s">
        <v>477</v>
      </c>
      <c r="E518" s="158">
        <v>20</v>
      </c>
      <c r="F518" s="158">
        <v>0</v>
      </c>
      <c r="G518" s="158">
        <v>0</v>
      </c>
      <c r="H518" s="133" t="s">
        <v>1128</v>
      </c>
      <c r="I518" s="133" t="s">
        <v>479</v>
      </c>
      <c r="J518" s="158">
        <v>0</v>
      </c>
      <c r="K518" s="159" t="str">
        <f ca="1">IFERROR(__xludf.DUMMYFUNCTION("GOOGLETRANSLATE(H501,""th"",""en"")"),"Transaction ID")</f>
        <v>Transaction ID</v>
      </c>
    </row>
    <row r="519" spans="1:11" ht="15.75" hidden="1" customHeight="1">
      <c r="A519" s="133" t="s">
        <v>7</v>
      </c>
      <c r="B519" s="133" t="s">
        <v>419</v>
      </c>
      <c r="C519" s="133" t="s">
        <v>670</v>
      </c>
      <c r="D519" s="133" t="s">
        <v>477</v>
      </c>
      <c r="E519" s="158">
        <v>8</v>
      </c>
      <c r="F519" s="158">
        <v>0</v>
      </c>
      <c r="G519" s="158">
        <v>0</v>
      </c>
      <c r="H519" s="133" t="s">
        <v>736</v>
      </c>
      <c r="I519" s="133" t="s">
        <v>479</v>
      </c>
      <c r="J519" s="158">
        <v>1</v>
      </c>
      <c r="K519" s="159" t="str">
        <f ca="1">IFERROR(__xludf.DUMMYFUNCTION("GOOGLETRANSLATE(H518,""th"",""en"")"),"Last edited name")</f>
        <v>Last edited name</v>
      </c>
    </row>
    <row r="520" spans="1:11" ht="15.75" hidden="1" customHeight="1">
      <c r="A520" s="133" t="s">
        <v>7</v>
      </c>
      <c r="B520" s="133" t="s">
        <v>419</v>
      </c>
      <c r="C520" s="133" t="s">
        <v>215</v>
      </c>
      <c r="D520" s="133" t="s">
        <v>496</v>
      </c>
      <c r="E520" s="158">
        <v>4</v>
      </c>
      <c r="F520" s="158">
        <v>16</v>
      </c>
      <c r="G520" s="158">
        <v>0</v>
      </c>
      <c r="H520" s="133" t="s">
        <v>1150</v>
      </c>
      <c r="I520" s="133" t="s">
        <v>479</v>
      </c>
      <c r="J520" s="158">
        <v>1</v>
      </c>
      <c r="K520" s="159" t="str">
        <f ca="1">IFERROR(__xludf.DUMMYFUNCTION("GOOGLETRANSLATE(H519,""th"",""en"")"),"Last modified date")</f>
        <v>Last modified date</v>
      </c>
    </row>
    <row r="521" spans="1:11" ht="15.75" hidden="1" customHeight="1">
      <c r="A521" s="133" t="s">
        <v>7</v>
      </c>
      <c r="B521" s="133" t="s">
        <v>419</v>
      </c>
      <c r="C521" s="133" t="s">
        <v>369</v>
      </c>
      <c r="D521" s="133" t="s">
        <v>477</v>
      </c>
      <c r="E521" s="158">
        <v>2</v>
      </c>
      <c r="F521" s="158">
        <v>0</v>
      </c>
      <c r="G521" s="158">
        <v>0</v>
      </c>
      <c r="H521" s="133" t="s">
        <v>1184</v>
      </c>
      <c r="I521" s="133" t="s">
        <v>1185</v>
      </c>
      <c r="J521" s="158">
        <v>0</v>
      </c>
      <c r="K521" s="159" t="str">
        <f ca="1">IFERROR(__xludf.DUMMYFUNCTION("GOOGLETRANSLATE(H521,""th"",""en"")"),"Warehouse (1: Office of the Office (Nong Chok), 3: Bangna Warehouse, 4: Warehouse Virgin, 5: Suwinwong Warehouse)")</f>
        <v>Warehouse (1: Office of the Office (Nong Chok), 3: Bangna Warehouse, 4: Warehouse Virgin, 5: Suwinwong Warehouse)</v>
      </c>
    </row>
    <row r="522" spans="1:11" ht="15.75" hidden="1" customHeight="1">
      <c r="A522" s="133" t="s">
        <v>7</v>
      </c>
      <c r="B522" s="133" t="s">
        <v>427</v>
      </c>
      <c r="C522" s="133" t="s">
        <v>432</v>
      </c>
      <c r="D522" s="133" t="s">
        <v>477</v>
      </c>
      <c r="E522" s="158">
        <v>12</v>
      </c>
      <c r="F522" s="158">
        <v>0</v>
      </c>
      <c r="G522" s="158">
        <v>0</v>
      </c>
      <c r="H522" s="133" t="s">
        <v>1186</v>
      </c>
      <c r="I522" s="133" t="s">
        <v>479</v>
      </c>
      <c r="J522" s="158">
        <v>0</v>
      </c>
      <c r="K522" s="159" t="str">
        <f ca="1">IFERROR(__xludf.DUMMYFUNCTION("GOOGLETRANSLATE(H522,""th"",""en"")"),"Product receipt number (PV)")</f>
        <v>Product receipt number (PV)</v>
      </c>
    </row>
    <row r="523" spans="1:11" ht="15.75" hidden="1" customHeight="1">
      <c r="A523" s="133" t="s">
        <v>7</v>
      </c>
      <c r="B523" s="133" t="s">
        <v>427</v>
      </c>
      <c r="C523" s="133" t="s">
        <v>292</v>
      </c>
      <c r="D523" s="133" t="s">
        <v>484</v>
      </c>
      <c r="E523" s="158">
        <v>4</v>
      </c>
      <c r="F523" s="158">
        <v>10</v>
      </c>
      <c r="G523" s="158">
        <v>0</v>
      </c>
      <c r="H523" s="133" t="s">
        <v>1129</v>
      </c>
      <c r="I523" s="133" t="s">
        <v>479</v>
      </c>
      <c r="J523" s="158">
        <v>0</v>
      </c>
      <c r="K523" s="159" t="str">
        <f ca="1">IFERROR(__xludf.DUMMYFUNCTION("GOOGLETRANSLATE(H523,""th"",""en"")"),"The order of the product")</f>
        <v>The order of the product</v>
      </c>
    </row>
    <row r="524" spans="1:11" ht="15.75" hidden="1" customHeight="1">
      <c r="A524" s="133" t="s">
        <v>7</v>
      </c>
      <c r="B524" s="133" t="s">
        <v>427</v>
      </c>
      <c r="C524" s="133" t="s">
        <v>253</v>
      </c>
      <c r="D524" s="133" t="s">
        <v>477</v>
      </c>
      <c r="E524" s="158">
        <v>7</v>
      </c>
      <c r="F524" s="158">
        <v>0</v>
      </c>
      <c r="G524" s="158">
        <v>0</v>
      </c>
      <c r="H524" s="133" t="s">
        <v>1130</v>
      </c>
      <c r="I524" s="133" t="s">
        <v>479</v>
      </c>
      <c r="J524" s="158">
        <v>1</v>
      </c>
      <c r="K524" s="159" t="str">
        <f ca="1">IFERROR(__xludf.DUMMYFUNCTION("GOOGLETRANSLATE(H524,""th"",""en"")"),"Product code")</f>
        <v>Product code</v>
      </c>
    </row>
    <row r="525" spans="1:11" ht="15.75" hidden="1" customHeight="1">
      <c r="A525" s="133" t="s">
        <v>7</v>
      </c>
      <c r="B525" s="133" t="s">
        <v>427</v>
      </c>
      <c r="C525" s="133" t="s">
        <v>1187</v>
      </c>
      <c r="D525" s="133" t="s">
        <v>477</v>
      </c>
      <c r="E525" s="158">
        <v>55</v>
      </c>
      <c r="F525" s="158">
        <v>0</v>
      </c>
      <c r="G525" s="158">
        <v>0</v>
      </c>
      <c r="H525" s="133" t="s">
        <v>1132</v>
      </c>
      <c r="I525" s="133" t="s">
        <v>479</v>
      </c>
      <c r="J525" s="158">
        <v>1</v>
      </c>
      <c r="K525" s="159" t="str">
        <f ca="1">IFERROR(__xludf.DUMMYFUNCTION("GOOGLETRANSLATE(H525,""th"",""en"")"),"Product name")</f>
        <v>Product name</v>
      </c>
    </row>
    <row r="526" spans="1:11" ht="15.75" hidden="1" customHeight="1">
      <c r="A526" s="133" t="s">
        <v>7</v>
      </c>
      <c r="B526" s="133" t="s">
        <v>427</v>
      </c>
      <c r="C526" s="133" t="s">
        <v>1133</v>
      </c>
      <c r="D526" s="133" t="s">
        <v>477</v>
      </c>
      <c r="E526" s="158">
        <v>7</v>
      </c>
      <c r="F526" s="158">
        <v>0</v>
      </c>
      <c r="G526" s="158">
        <v>0</v>
      </c>
      <c r="H526" s="133" t="s">
        <v>1134</v>
      </c>
      <c r="I526" s="133" t="s">
        <v>479</v>
      </c>
      <c r="J526" s="158">
        <v>1</v>
      </c>
      <c r="K526" s="159" t="str">
        <f ca="1">IFERROR(__xludf.DUMMYFUNCTION("GOOGLETRANSLATE(H526,""th"",""en"")"),"Location that pick up the product as a picking location of this product. On the day we accept (Which may not match PO)")</f>
        <v>Location that pick up the product as a picking location of this product. On the day we accept (Which may not match PO)</v>
      </c>
    </row>
    <row r="527" spans="1:11" ht="15.75" hidden="1" customHeight="1">
      <c r="A527" s="133" t="s">
        <v>7</v>
      </c>
      <c r="B527" s="133" t="s">
        <v>427</v>
      </c>
      <c r="C527" s="133" t="s">
        <v>1135</v>
      </c>
      <c r="D527" s="133" t="s">
        <v>481</v>
      </c>
      <c r="E527" s="158">
        <v>9</v>
      </c>
      <c r="F527" s="158">
        <v>11</v>
      </c>
      <c r="G527" s="158">
        <v>2</v>
      </c>
      <c r="H527" s="133" t="s">
        <v>1188</v>
      </c>
      <c r="I527" s="133" t="s">
        <v>479</v>
      </c>
      <c r="J527" s="158">
        <v>1</v>
      </c>
      <c r="K527" s="159" t="str">
        <f ca="1">IFERROR(__xludf.DUMMYFUNCTION("GOOGLETRANSLATE(H527,""th"",""en"")"),"The number of products in the purchase unit")</f>
        <v>The number of products in the purchase unit</v>
      </c>
    </row>
    <row r="528" spans="1:11" ht="15.75" hidden="1" customHeight="1">
      <c r="A528" s="133" t="s">
        <v>7</v>
      </c>
      <c r="B528" s="133" t="s">
        <v>427</v>
      </c>
      <c r="C528" s="133" t="s">
        <v>1137</v>
      </c>
      <c r="D528" s="133" t="s">
        <v>481</v>
      </c>
      <c r="E528" s="158">
        <v>9</v>
      </c>
      <c r="F528" s="158">
        <v>11</v>
      </c>
      <c r="G528" s="158">
        <v>2</v>
      </c>
      <c r="H528" s="133" t="s">
        <v>1189</v>
      </c>
      <c r="I528" s="133" t="s">
        <v>479</v>
      </c>
      <c r="J528" s="158">
        <v>1</v>
      </c>
      <c r="K528" s="159" t="str">
        <f ca="1">IFERROR(__xludf.DUMMYFUNCTION("GOOGLETRANSLATE(H528,""th"",""en"")"),"Product price in the purchase unit (Deducting the contained reducer in PO)")</f>
        <v>Product price in the purchase unit (Deducting the contained reducer in PO)</v>
      </c>
    </row>
    <row r="529" spans="1:11" ht="15.75" hidden="1" customHeight="1">
      <c r="A529" s="133" t="s">
        <v>7</v>
      </c>
      <c r="B529" s="133" t="s">
        <v>427</v>
      </c>
      <c r="C529" s="133" t="s">
        <v>1190</v>
      </c>
      <c r="D529" s="133" t="s">
        <v>477</v>
      </c>
      <c r="E529" s="158">
        <v>7</v>
      </c>
      <c r="F529" s="158">
        <v>0</v>
      </c>
      <c r="G529" s="158">
        <v>0</v>
      </c>
      <c r="H529" s="133" t="s">
        <v>1191</v>
      </c>
      <c r="I529" s="133" t="s">
        <v>479</v>
      </c>
      <c r="J529" s="158">
        <v>1</v>
      </c>
      <c r="K529" s="159" t="str">
        <f ca="1">IFERROR(__xludf.DUMMYFUNCTION("GOOGLETRANSLATE(H529,""th"",""en"")"),"Buy product unit")</f>
        <v>Buy product unit</v>
      </c>
    </row>
    <row r="530" spans="1:11" ht="15.75" hidden="1" customHeight="1">
      <c r="A530" s="133" t="s">
        <v>7</v>
      </c>
      <c r="B530" s="133" t="s">
        <v>427</v>
      </c>
      <c r="C530" s="133" t="s">
        <v>1141</v>
      </c>
      <c r="D530" s="133" t="s">
        <v>477</v>
      </c>
      <c r="E530" s="158">
        <v>7</v>
      </c>
      <c r="F530" s="158">
        <v>0</v>
      </c>
      <c r="G530" s="158">
        <v>0</v>
      </c>
      <c r="H530" s="133" t="s">
        <v>1142</v>
      </c>
      <c r="I530" s="133" t="s">
        <v>479</v>
      </c>
      <c r="J530" s="158">
        <v>1</v>
      </c>
      <c r="K530" s="159" t="str">
        <f ca="1">IFERROR(__xludf.DUMMYFUNCTION("GOOGLETRANSLATE(H530,""th"",""en"")"),"Standard product unit")</f>
        <v>Standard product unit</v>
      </c>
    </row>
    <row r="531" spans="1:11" ht="15.75" hidden="1" customHeight="1">
      <c r="A531" s="133" t="s">
        <v>7</v>
      </c>
      <c r="B531" s="133" t="s">
        <v>427</v>
      </c>
      <c r="C531" s="133" t="s">
        <v>1143</v>
      </c>
      <c r="D531" s="133" t="s">
        <v>484</v>
      </c>
      <c r="E531" s="158">
        <v>4</v>
      </c>
      <c r="F531" s="158">
        <v>10</v>
      </c>
      <c r="G531" s="158">
        <v>0</v>
      </c>
      <c r="H531" s="133" t="s">
        <v>1192</v>
      </c>
      <c r="I531" s="133" t="s">
        <v>479</v>
      </c>
      <c r="J531" s="158">
        <v>1</v>
      </c>
      <c r="K531" s="159" t="str">
        <f ca="1">IFERROR(__xludf.DUMMYFUNCTION("GOOGLETRANSLATE(H531,""th"",""en"")"),"Ratio of the standard unit with the order unit")</f>
        <v>Ratio of the standard unit with the order unit</v>
      </c>
    </row>
    <row r="532" spans="1:11" ht="15.75" hidden="1" customHeight="1">
      <c r="A532" s="133" t="s">
        <v>7</v>
      </c>
      <c r="B532" s="133" t="s">
        <v>427</v>
      </c>
      <c r="C532" s="133" t="s">
        <v>1145</v>
      </c>
      <c r="D532" s="133" t="s">
        <v>481</v>
      </c>
      <c r="E532" s="158">
        <v>9</v>
      </c>
      <c r="F532" s="158">
        <v>11</v>
      </c>
      <c r="G532" s="158">
        <v>2</v>
      </c>
      <c r="H532" s="133" t="s">
        <v>1193</v>
      </c>
      <c r="I532" s="133" t="s">
        <v>479</v>
      </c>
      <c r="J532" s="158">
        <v>1</v>
      </c>
      <c r="K532" s="159" t="str">
        <f ca="1">IFERROR(__xludf.DUMMYFUNCTION("GOOGLETRANSLATE(H532,""th"",""en"")"),"Number of products ordered In the standard unit")</f>
        <v>Number of products ordered In the standard unit</v>
      </c>
    </row>
    <row r="533" spans="1:11" ht="15.75" hidden="1" customHeight="1">
      <c r="A533" s="133" t="s">
        <v>7</v>
      </c>
      <c r="B533" s="133" t="s">
        <v>427</v>
      </c>
      <c r="C533" s="133" t="s">
        <v>1194</v>
      </c>
      <c r="D533" s="133" t="s">
        <v>481</v>
      </c>
      <c r="E533" s="158">
        <v>5</v>
      </c>
      <c r="F533" s="158">
        <v>6</v>
      </c>
      <c r="G533" s="158">
        <v>4</v>
      </c>
      <c r="H533" s="133" t="s">
        <v>960</v>
      </c>
      <c r="I533" s="133" t="s">
        <v>479</v>
      </c>
      <c r="J533" s="158">
        <v>1</v>
      </c>
      <c r="K533" s="159" t="str">
        <f ca="1">IFERROR(__xludf.DUMMYFUNCTION("GOOGLETRANSLATE(H533,""th"",""en"")"),"Quit")</f>
        <v>Quit</v>
      </c>
    </row>
    <row r="534" spans="1:11" ht="15.75" hidden="1" customHeight="1">
      <c r="A534" s="133" t="s">
        <v>7</v>
      </c>
      <c r="B534" s="133" t="s">
        <v>427</v>
      </c>
      <c r="C534" s="133" t="s">
        <v>1195</v>
      </c>
      <c r="D534" s="133" t="s">
        <v>481</v>
      </c>
      <c r="E534" s="158">
        <v>9</v>
      </c>
      <c r="F534" s="158">
        <v>11</v>
      </c>
      <c r="G534" s="158">
        <v>2</v>
      </c>
      <c r="H534" s="133" t="s">
        <v>960</v>
      </c>
      <c r="I534" s="133" t="s">
        <v>479</v>
      </c>
      <c r="J534" s="158">
        <v>1</v>
      </c>
      <c r="K534" s="159" t="str">
        <f ca="1">IFERROR(__xludf.DUMMYFUNCTION("GOOGLETRANSLATE(H534,""th"",""en"")"),"Quit")</f>
        <v>Quit</v>
      </c>
    </row>
    <row r="535" spans="1:11" ht="15.75" hidden="1" customHeight="1">
      <c r="A535" s="133" t="s">
        <v>7</v>
      </c>
      <c r="B535" s="133" t="s">
        <v>427</v>
      </c>
      <c r="C535" s="133" t="s">
        <v>1196</v>
      </c>
      <c r="D535" s="133" t="s">
        <v>481</v>
      </c>
      <c r="E535" s="158">
        <v>9</v>
      </c>
      <c r="F535" s="158">
        <v>11</v>
      </c>
      <c r="G535" s="158">
        <v>2</v>
      </c>
      <c r="H535" s="133" t="s">
        <v>1197</v>
      </c>
      <c r="I535" s="133" t="s">
        <v>479</v>
      </c>
      <c r="J535" s="158">
        <v>1</v>
      </c>
      <c r="K535" s="159" t="str">
        <f ca="1">IFERROR(__xludf.DUMMYFUNCTION("GOOGLETRANSLATE(H535,""th"",""en"")"),"The total product value of this line")</f>
        <v>The total product value of this line</v>
      </c>
    </row>
    <row r="536" spans="1:11" ht="15.75" hidden="1" customHeight="1">
      <c r="A536" s="133" t="s">
        <v>7</v>
      </c>
      <c r="B536" s="133" t="s">
        <v>427</v>
      </c>
      <c r="C536" s="133" t="s">
        <v>663</v>
      </c>
      <c r="D536" s="133" t="s">
        <v>481</v>
      </c>
      <c r="E536" s="158">
        <v>9</v>
      </c>
      <c r="F536" s="158">
        <v>11</v>
      </c>
      <c r="G536" s="158">
        <v>2</v>
      </c>
      <c r="H536" s="133" t="s">
        <v>960</v>
      </c>
      <c r="I536" s="133" t="s">
        <v>479</v>
      </c>
      <c r="J536" s="158">
        <v>1</v>
      </c>
      <c r="K536" s="159" t="str">
        <f ca="1">IFERROR(__xludf.DUMMYFUNCTION("GOOGLETRANSLATE(H536,""th"",""en"")"),"Quit")</f>
        <v>Quit</v>
      </c>
    </row>
    <row r="537" spans="1:11" ht="15.75" hidden="1" customHeight="1">
      <c r="A537" s="133" t="s">
        <v>7</v>
      </c>
      <c r="B537" s="133" t="s">
        <v>427</v>
      </c>
      <c r="C537" s="133" t="s">
        <v>523</v>
      </c>
      <c r="D537" s="133" t="s">
        <v>477</v>
      </c>
      <c r="E537" s="158">
        <v>8</v>
      </c>
      <c r="F537" s="158">
        <v>0</v>
      </c>
      <c r="G537" s="158">
        <v>0</v>
      </c>
      <c r="H537" s="133" t="s">
        <v>1198</v>
      </c>
      <c r="I537" s="133" t="s">
        <v>479</v>
      </c>
      <c r="J537" s="158">
        <v>1</v>
      </c>
      <c r="K537" s="159" t="str">
        <f ca="1">IFERROR(__xludf.DUMMYFUNCTION("GOOGLETRANSLATE(H537,""th"",""en"")"),"Product Creator Code")</f>
        <v>Product Creator Code</v>
      </c>
    </row>
    <row r="538" spans="1:11" ht="15.75" hidden="1" customHeight="1">
      <c r="A538" s="133" t="s">
        <v>7</v>
      </c>
      <c r="B538" s="133" t="s">
        <v>427</v>
      </c>
      <c r="C538" s="133" t="s">
        <v>669</v>
      </c>
      <c r="D538" s="133" t="s">
        <v>496</v>
      </c>
      <c r="E538" s="158">
        <v>4</v>
      </c>
      <c r="F538" s="158">
        <v>16</v>
      </c>
      <c r="G538" s="158">
        <v>0</v>
      </c>
      <c r="H538" s="133" t="s">
        <v>1199</v>
      </c>
      <c r="I538" s="133" t="s">
        <v>479</v>
      </c>
      <c r="J538" s="158">
        <v>1</v>
      </c>
      <c r="K538" s="159" t="str">
        <f ca="1">IFERROR(__xludf.DUMMYFUNCTION("GOOGLETRANSLATE(H538,""th"",""en"")"),"Date of creating a product receipt")</f>
        <v>Date of creating a product receipt</v>
      </c>
    </row>
    <row r="539" spans="1:11" ht="15.75" hidden="1" customHeight="1">
      <c r="A539" s="133" t="s">
        <v>7</v>
      </c>
      <c r="B539" s="133" t="s">
        <v>427</v>
      </c>
      <c r="C539" s="133" t="s">
        <v>670</v>
      </c>
      <c r="D539" s="133" t="s">
        <v>477</v>
      </c>
      <c r="E539" s="158">
        <v>8</v>
      </c>
      <c r="F539" s="158">
        <v>0</v>
      </c>
      <c r="G539" s="158">
        <v>0</v>
      </c>
      <c r="H539" s="133" t="s">
        <v>1200</v>
      </c>
      <c r="I539" s="133" t="s">
        <v>479</v>
      </c>
      <c r="J539" s="158">
        <v>1</v>
      </c>
      <c r="K539" s="159" t="str">
        <f ca="1">IFERROR(__xludf.DUMMYFUNCTION("GOOGLETRANSLATE(H539,""th"",""en"")"),"Name of the latest product receipt")</f>
        <v>Name of the latest product receipt</v>
      </c>
    </row>
    <row r="540" spans="1:11" ht="15.75" hidden="1" customHeight="1">
      <c r="A540" s="133" t="s">
        <v>7</v>
      </c>
      <c r="B540" s="133" t="s">
        <v>427</v>
      </c>
      <c r="C540" s="133" t="s">
        <v>215</v>
      </c>
      <c r="D540" s="133" t="s">
        <v>496</v>
      </c>
      <c r="E540" s="158">
        <v>4</v>
      </c>
      <c r="F540" s="158">
        <v>16</v>
      </c>
      <c r="G540" s="158">
        <v>0</v>
      </c>
      <c r="H540" s="133" t="s">
        <v>1201</v>
      </c>
      <c r="I540" s="133" t="s">
        <v>479</v>
      </c>
      <c r="J540" s="158">
        <v>1</v>
      </c>
      <c r="K540" s="159" t="str">
        <f ca="1">IFERROR(__xludf.DUMMYFUNCTION("GOOGLETRANSLATE(H540,""th"",""en"")"),"Date of editing the latest product receipt number")</f>
        <v>Date of editing the latest product receipt number</v>
      </c>
    </row>
    <row r="541" spans="1:11" ht="15.75" hidden="1" customHeight="1">
      <c r="A541" s="133" t="s">
        <v>7</v>
      </c>
      <c r="B541" s="133" t="s">
        <v>427</v>
      </c>
      <c r="C541" s="133" t="s">
        <v>1202</v>
      </c>
      <c r="D541" s="133" t="s">
        <v>481</v>
      </c>
      <c r="E541" s="158">
        <v>9</v>
      </c>
      <c r="F541" s="158">
        <v>11</v>
      </c>
      <c r="G541" s="158">
        <v>2</v>
      </c>
      <c r="H541" s="133" t="s">
        <v>1203</v>
      </c>
      <c r="I541" s="133" t="s">
        <v>479</v>
      </c>
      <c r="J541" s="158">
        <v>1</v>
      </c>
      <c r="K541" s="159" t="str">
        <f ca="1">IFERROR(__xludf.DUMMYFUNCTION("GOOGLETRANSLATE(H541,""th"",""en"")"),"Addition Addition Case Case Bill The Calculated Program Not equal to the end of the bill on the document from VENDOR (Refamt). The system will reheated the DIFF. All into the product with the most valued line in that receipt.")</f>
        <v>Addition Addition Case Case Bill The Calculated Program Not equal to the end of the bill on the document from VENDOR (Refamt). The system will reheated the DIFF. All into the product with the most valued line in that receipt.</v>
      </c>
    </row>
    <row r="542" spans="1:11" ht="15.75" hidden="1" customHeight="1">
      <c r="A542" s="133" t="s">
        <v>7</v>
      </c>
      <c r="B542" s="133" t="s">
        <v>427</v>
      </c>
      <c r="C542" s="133" t="s">
        <v>1204</v>
      </c>
      <c r="D542" s="133" t="s">
        <v>477</v>
      </c>
      <c r="E542" s="158">
        <v>3</v>
      </c>
      <c r="F542" s="158">
        <v>0</v>
      </c>
      <c r="G542" s="158">
        <v>0</v>
      </c>
      <c r="H542" s="133" t="s">
        <v>1205</v>
      </c>
      <c r="I542" s="133" t="s">
        <v>596</v>
      </c>
      <c r="J542" s="158">
        <v>0</v>
      </c>
      <c r="K542" s="159" t="str">
        <f ca="1">IFERROR(__xludf.DUMMYFUNCTION("GOOGLETRANSLATE(H542,""th"",""en"")"),"Create a Movement document")</f>
        <v>Create a Movement document</v>
      </c>
    </row>
    <row r="543" spans="1:11" ht="15.75" hidden="1" customHeight="1">
      <c r="A543" s="133" t="s">
        <v>7</v>
      </c>
      <c r="B543" s="133" t="s">
        <v>427</v>
      </c>
      <c r="C543" s="133" t="s">
        <v>1206</v>
      </c>
      <c r="D543" s="133" t="s">
        <v>477</v>
      </c>
      <c r="E543" s="158">
        <v>3</v>
      </c>
      <c r="F543" s="158">
        <v>0</v>
      </c>
      <c r="G543" s="158">
        <v>0</v>
      </c>
      <c r="H543" s="133" t="s">
        <v>1207</v>
      </c>
      <c r="I543" s="133" t="s">
        <v>548</v>
      </c>
      <c r="J543" s="158">
        <v>0</v>
      </c>
      <c r="K543" s="159" t="str">
        <f ca="1">IFERROR(__xludf.DUMMYFUNCTION("GOOGLETRANSLATE(H543,""th"",""en"")"),"VAT (YES = think, No = Don't think)")</f>
        <v>VAT (YES = think, No = Don't think)</v>
      </c>
    </row>
    <row r="544" spans="1:11" ht="15.75" hidden="1" customHeight="1">
      <c r="A544" s="133" t="s">
        <v>7</v>
      </c>
      <c r="B544" s="133" t="s">
        <v>427</v>
      </c>
      <c r="C544" s="133" t="s">
        <v>1208</v>
      </c>
      <c r="D544" s="133" t="s">
        <v>484</v>
      </c>
      <c r="E544" s="158">
        <v>4</v>
      </c>
      <c r="F544" s="158">
        <v>10</v>
      </c>
      <c r="G544" s="158">
        <v>0</v>
      </c>
      <c r="H544" s="133" t="s">
        <v>1209</v>
      </c>
      <c r="I544" s="133" t="s">
        <v>1210</v>
      </c>
      <c r="J544" s="158">
        <v>0</v>
      </c>
      <c r="K544" s="159" t="str">
        <f ca="1">IFERROR(__xludf.DUMMYFUNCTION("GOOGLETRANSLATE(H544,""th"",""en"")"),"Keep the channelid of the product that needs to be done. Reserve: [99: None Channel, 18: Center, 19: Global]")</f>
        <v>Keep the channelid of the product that needs to be done. Reserve: [99: None Channel, 18: Center, 19: Global]</v>
      </c>
    </row>
    <row r="545" spans="1:11" ht="15.75" hidden="1" customHeight="1">
      <c r="A545" s="133" t="s">
        <v>7</v>
      </c>
      <c r="B545" s="133" t="s">
        <v>430</v>
      </c>
      <c r="C545" s="133" t="s">
        <v>432</v>
      </c>
      <c r="D545" s="133" t="s">
        <v>477</v>
      </c>
      <c r="E545" s="158">
        <v>12</v>
      </c>
      <c r="F545" s="158">
        <v>0</v>
      </c>
      <c r="G545" s="158">
        <v>0</v>
      </c>
      <c r="H545" s="133" t="s">
        <v>1186</v>
      </c>
      <c r="I545" s="133" t="s">
        <v>479</v>
      </c>
      <c r="J545" s="158">
        <v>0</v>
      </c>
      <c r="K545" s="159" t="str">
        <f ca="1">IFERROR(__xludf.DUMMYFUNCTION("GOOGLETRANSLATE(H545,""th"",""en"")"),"Product receipt number (PV)")</f>
        <v>Product receipt number (PV)</v>
      </c>
    </row>
    <row r="546" spans="1:11" ht="15.75" hidden="1" customHeight="1">
      <c r="A546" s="133" t="s">
        <v>7</v>
      </c>
      <c r="B546" s="133" t="s">
        <v>430</v>
      </c>
      <c r="C546" s="133" t="s">
        <v>1157</v>
      </c>
      <c r="D546" s="133" t="s">
        <v>496</v>
      </c>
      <c r="E546" s="158">
        <v>4</v>
      </c>
      <c r="F546" s="158">
        <v>16</v>
      </c>
      <c r="G546" s="158">
        <v>0</v>
      </c>
      <c r="H546" s="133" t="s">
        <v>1211</v>
      </c>
      <c r="I546" s="133" t="s">
        <v>479</v>
      </c>
      <c r="J546" s="158">
        <v>1</v>
      </c>
      <c r="K546" s="159" t="str">
        <f ca="1">IFERROR(__xludf.DUMMYFUNCTION("GOOGLETRANSLATE(H546,""th"",""en"")"),"The date of the receipt (Product receipt date)")</f>
        <v>The date of the receipt (Product receipt date)</v>
      </c>
    </row>
    <row r="547" spans="1:11" ht="15.75" hidden="1" customHeight="1">
      <c r="A547" s="133" t="s">
        <v>7</v>
      </c>
      <c r="B547" s="133" t="s">
        <v>430</v>
      </c>
      <c r="C547" s="133" t="s">
        <v>1159</v>
      </c>
      <c r="D547" s="133" t="s">
        <v>477</v>
      </c>
      <c r="E547" s="158">
        <v>2</v>
      </c>
      <c r="F547" s="158">
        <v>0</v>
      </c>
      <c r="G547" s="158">
        <v>0</v>
      </c>
      <c r="H547" s="133" t="s">
        <v>1212</v>
      </c>
      <c r="I547" s="133" t="s">
        <v>479</v>
      </c>
      <c r="J547" s="158">
        <v>1</v>
      </c>
      <c r="K547" s="159" t="str">
        <f ca="1">IFERROR(__xludf.DUMMYFUNCTION("GOOGLETRANSLATE(H547,""th"",""en"")"),"PO receipt type = pick up the product PR = Returning Vendor")</f>
        <v>PO receipt type = pick up the product PR = Returning Vendor</v>
      </c>
    </row>
    <row r="548" spans="1:11" ht="15.75" hidden="1" customHeight="1">
      <c r="A548" s="133" t="s">
        <v>7</v>
      </c>
      <c r="B548" s="133" t="s">
        <v>430</v>
      </c>
      <c r="C548" s="133" t="s">
        <v>1163</v>
      </c>
      <c r="D548" s="133" t="s">
        <v>477</v>
      </c>
      <c r="E548" s="158">
        <v>20</v>
      </c>
      <c r="F548" s="158">
        <v>0</v>
      </c>
      <c r="G548" s="158">
        <v>0</v>
      </c>
      <c r="H548" s="133" t="s">
        <v>1213</v>
      </c>
      <c r="I548" s="133" t="s">
        <v>479</v>
      </c>
      <c r="J548" s="158">
        <v>0</v>
      </c>
      <c r="K548" s="159" t="str">
        <f ca="1">IFERROR(__xludf.DUMMYFUNCTION("GOOGLETRANSLATE(H548,""th"",""en"")"),"Purchase order number (PO)")</f>
        <v>Purchase order number (PO)</v>
      </c>
    </row>
    <row r="549" spans="1:11" ht="15.75" hidden="1" customHeight="1">
      <c r="A549" s="133" t="s">
        <v>7</v>
      </c>
      <c r="B549" s="133" t="s">
        <v>430</v>
      </c>
      <c r="C549" s="133" t="s">
        <v>1214</v>
      </c>
      <c r="D549" s="133" t="s">
        <v>477</v>
      </c>
      <c r="E549" s="158">
        <v>6</v>
      </c>
      <c r="F549" s="158">
        <v>0</v>
      </c>
      <c r="G549" s="158">
        <v>0</v>
      </c>
      <c r="H549" s="133" t="s">
        <v>1215</v>
      </c>
      <c r="I549" s="133" t="s">
        <v>479</v>
      </c>
      <c r="J549" s="158">
        <v>1</v>
      </c>
      <c r="K549" s="159" t="str">
        <f ca="1">IFERROR(__xludf.DUMMYFUNCTION("GOOGLETRANSLATE(H549,""th"",""en"")"),"Supplier / Vendor code")</f>
        <v>Supplier / Vendor code</v>
      </c>
    </row>
    <row r="550" spans="1:11" ht="15.75" hidden="1" customHeight="1">
      <c r="A550" s="133" t="s">
        <v>7</v>
      </c>
      <c r="B550" s="133" t="s">
        <v>430</v>
      </c>
      <c r="C550" s="133" t="s">
        <v>164</v>
      </c>
      <c r="D550" s="133" t="s">
        <v>477</v>
      </c>
      <c r="E550" s="158">
        <v>225</v>
      </c>
      <c r="F550" s="158">
        <v>0</v>
      </c>
      <c r="G550" s="158">
        <v>0</v>
      </c>
      <c r="H550" s="133" t="s">
        <v>1216</v>
      </c>
      <c r="I550" s="133" t="s">
        <v>479</v>
      </c>
      <c r="J550" s="158">
        <v>1</v>
      </c>
      <c r="K550" s="159" t="str">
        <f ca="1">IFERROR(__xludf.DUMMYFUNCTION("GOOGLETRANSLATE(H550,""th"",""en"")"),"Note the product receipt")</f>
        <v>Note the product receipt</v>
      </c>
    </row>
    <row r="551" spans="1:11" ht="15.75" hidden="1" customHeight="1">
      <c r="A551" s="133" t="s">
        <v>7</v>
      </c>
      <c r="B551" s="133" t="s">
        <v>430</v>
      </c>
      <c r="C551" s="133" t="s">
        <v>1217</v>
      </c>
      <c r="D551" s="133" t="s">
        <v>477</v>
      </c>
      <c r="E551" s="158">
        <v>20</v>
      </c>
      <c r="F551" s="158">
        <v>0</v>
      </c>
      <c r="G551" s="158">
        <v>0</v>
      </c>
      <c r="H551" s="133" t="s">
        <v>1218</v>
      </c>
      <c r="I551" s="133" t="s">
        <v>479</v>
      </c>
      <c r="J551" s="158">
        <v>1</v>
      </c>
      <c r="K551" s="159" t="str">
        <f ca="1">IFERROR(__xludf.DUMMYFUNCTION("GOOGLETRANSLATE(H551,""th"",""en"")"),"Vendor's Inv or CN tax invoice number")</f>
        <v>Vendor's Inv or CN tax invoice number</v>
      </c>
    </row>
    <row r="552" spans="1:11" ht="15.75" hidden="1" customHeight="1">
      <c r="A552" s="133" t="s">
        <v>7</v>
      </c>
      <c r="B552" s="133" t="s">
        <v>430</v>
      </c>
      <c r="C552" s="133" t="s">
        <v>1219</v>
      </c>
      <c r="D552" s="133" t="s">
        <v>496</v>
      </c>
      <c r="E552" s="158">
        <v>4</v>
      </c>
      <c r="F552" s="158">
        <v>16</v>
      </c>
      <c r="G552" s="158">
        <v>0</v>
      </c>
      <c r="H552" s="133" t="s">
        <v>1220</v>
      </c>
      <c r="I552" s="133" t="s">
        <v>479</v>
      </c>
      <c r="J552" s="158">
        <v>1</v>
      </c>
      <c r="K552" s="159" t="str">
        <f ca="1">IFERROR(__xludf.DUMMYFUNCTION("GOOGLETRANSLATE(H552,""th"",""en"")"),"Date on the tax invoice document")</f>
        <v>Date on the tax invoice document</v>
      </c>
    </row>
    <row r="553" spans="1:11" ht="15.75" hidden="1" customHeight="1">
      <c r="A553" s="133" t="s">
        <v>7</v>
      </c>
      <c r="B553" s="133" t="s">
        <v>430</v>
      </c>
      <c r="C553" s="133" t="s">
        <v>1221</v>
      </c>
      <c r="D553" s="133" t="s">
        <v>481</v>
      </c>
      <c r="E553" s="158">
        <v>9</v>
      </c>
      <c r="F553" s="158">
        <v>18</v>
      </c>
      <c r="G553" s="158">
        <v>2</v>
      </c>
      <c r="H553" s="133" t="s">
        <v>1222</v>
      </c>
      <c r="I553" s="133" t="s">
        <v>1223</v>
      </c>
      <c r="J553" s="158">
        <v>1</v>
      </c>
      <c r="K553" s="159" t="str">
        <f ca="1">IFERROR(__xludf.DUMMYFUNCTION("GOOGLETRANSLATE(H553,""th"",""en"")"),"The amount on the tax invoice before VAT")</f>
        <v>The amount on the tax invoice before VAT</v>
      </c>
    </row>
    <row r="554" spans="1:11" ht="15.75" hidden="1" customHeight="1">
      <c r="A554" s="133" t="s">
        <v>7</v>
      </c>
      <c r="B554" s="133" t="s">
        <v>430</v>
      </c>
      <c r="C554" s="133" t="s">
        <v>1224</v>
      </c>
      <c r="D554" s="133" t="s">
        <v>481</v>
      </c>
      <c r="E554" s="158">
        <v>9</v>
      </c>
      <c r="F554" s="158">
        <v>18</v>
      </c>
      <c r="G554" s="158">
        <v>2</v>
      </c>
      <c r="H554" s="133" t="s">
        <v>1225</v>
      </c>
      <c r="I554" s="133" t="s">
        <v>1223</v>
      </c>
      <c r="J554" s="158">
        <v>1</v>
      </c>
      <c r="K554" s="159" t="str">
        <f ca="1">IFERROR(__xludf.DUMMYFUNCTION("GOOGLETRANSLATE(H554,""th"",""en"")"),"VAT balance on tax invoice")</f>
        <v>VAT balance on tax invoice</v>
      </c>
    </row>
    <row r="555" spans="1:11" ht="15.75" hidden="1" customHeight="1">
      <c r="A555" s="133" t="s">
        <v>7</v>
      </c>
      <c r="B555" s="133" t="s">
        <v>430</v>
      </c>
      <c r="C555" s="133" t="s">
        <v>1226</v>
      </c>
      <c r="D555" s="133" t="s">
        <v>481</v>
      </c>
      <c r="E555" s="158">
        <v>9</v>
      </c>
      <c r="F555" s="158">
        <v>18</v>
      </c>
      <c r="G555" s="158">
        <v>2</v>
      </c>
      <c r="H555" s="133" t="s">
        <v>1227</v>
      </c>
      <c r="I555" s="133" t="s">
        <v>1223</v>
      </c>
      <c r="J555" s="158">
        <v>1</v>
      </c>
      <c r="K555" s="159" t="str">
        <f ca="1">IFERROR(__xludf.DUMMYFUNCTION("GOOGLETRANSLATE(H555,""th"",""en"")"),"VAT total amount on the tax invoice")</f>
        <v>VAT total amount on the tax invoice</v>
      </c>
    </row>
    <row r="556" spans="1:11" ht="15.75" hidden="1" customHeight="1">
      <c r="A556" s="133" t="s">
        <v>7</v>
      </c>
      <c r="B556" s="133" t="s">
        <v>430</v>
      </c>
      <c r="C556" s="133" t="s">
        <v>1228</v>
      </c>
      <c r="D556" s="133" t="s">
        <v>491</v>
      </c>
      <c r="E556" s="158">
        <v>1</v>
      </c>
      <c r="F556" s="158">
        <v>0</v>
      </c>
      <c r="G556" s="158">
        <v>0</v>
      </c>
      <c r="H556" s="133" t="s">
        <v>1229</v>
      </c>
      <c r="I556" s="133" t="s">
        <v>725</v>
      </c>
      <c r="J556" s="158">
        <v>1</v>
      </c>
      <c r="K556" s="159" t="str">
        <f ca="1">IFERROR(__xludf.DUMMYFUNCTION("GOOGLETRANSLATE(H556,""th"",""en"")"),"Flag Control the product (Y = yes, n = no)")</f>
        <v>Flag Control the product (Y = yes, n = no)</v>
      </c>
    </row>
    <row r="557" spans="1:11" ht="15.75" hidden="1" customHeight="1">
      <c r="A557" s="133" t="s">
        <v>7</v>
      </c>
      <c r="B557" s="133" t="s">
        <v>430</v>
      </c>
      <c r="C557" s="133" t="s">
        <v>1230</v>
      </c>
      <c r="D557" s="133" t="s">
        <v>481</v>
      </c>
      <c r="E557" s="158">
        <v>5</v>
      </c>
      <c r="F557" s="158">
        <v>6</v>
      </c>
      <c r="G557" s="158">
        <v>4</v>
      </c>
      <c r="H557" s="133" t="s">
        <v>1231</v>
      </c>
      <c r="I557" s="133" t="s">
        <v>479</v>
      </c>
      <c r="J557" s="158">
        <v>1</v>
      </c>
      <c r="K557" s="159" t="str">
        <f ca="1">IFERROR(__xludf.DUMMYFUNCTION("GOOGLETRANSLATE(H557,""th"",""en"")"),"Discount Rate at Bill 1")</f>
        <v>Discount Rate at Bill 1</v>
      </c>
    </row>
    <row r="558" spans="1:11" ht="15.75" hidden="1" customHeight="1">
      <c r="A558" s="133" t="s">
        <v>7</v>
      </c>
      <c r="B558" s="133" t="s">
        <v>430</v>
      </c>
      <c r="C558" s="133" t="s">
        <v>1232</v>
      </c>
      <c r="D558" s="133" t="s">
        <v>481</v>
      </c>
      <c r="E558" s="158">
        <v>9</v>
      </c>
      <c r="F558" s="158">
        <v>11</v>
      </c>
      <c r="G558" s="158">
        <v>2</v>
      </c>
      <c r="H558" s="133" t="s">
        <v>1233</v>
      </c>
      <c r="I558" s="133" t="s">
        <v>479</v>
      </c>
      <c r="J558" s="158">
        <v>1</v>
      </c>
      <c r="K558" s="159" t="str">
        <f ca="1">IFERROR(__xludf.DUMMYFUNCTION("GOOGLETRANSLATE(H558,""th"",""en"")"),"Discounted amount from Discount Rate 1")</f>
        <v>Discounted amount from Discount Rate 1</v>
      </c>
    </row>
    <row r="559" spans="1:11" ht="15.75" hidden="1" customHeight="1">
      <c r="A559" s="133" t="s">
        <v>7</v>
      </c>
      <c r="B559" s="133" t="s">
        <v>430</v>
      </c>
      <c r="C559" s="133" t="s">
        <v>1234</v>
      </c>
      <c r="D559" s="133" t="s">
        <v>481</v>
      </c>
      <c r="E559" s="158">
        <v>5</v>
      </c>
      <c r="F559" s="158">
        <v>6</v>
      </c>
      <c r="G559" s="158">
        <v>4</v>
      </c>
      <c r="H559" s="133" t="s">
        <v>1235</v>
      </c>
      <c r="I559" s="133" t="s">
        <v>479</v>
      </c>
      <c r="J559" s="158">
        <v>1</v>
      </c>
      <c r="K559" s="159" t="str">
        <f ca="1">IFERROR(__xludf.DUMMYFUNCTION("GOOGLETRANSLATE(H559,""th"",""en"")"),"Discount Rate at Bill 2")</f>
        <v>Discount Rate at Bill 2</v>
      </c>
    </row>
    <row r="560" spans="1:11" ht="15.75" hidden="1" customHeight="1">
      <c r="A560" s="133" t="s">
        <v>7</v>
      </c>
      <c r="B560" s="133" t="s">
        <v>430</v>
      </c>
      <c r="C560" s="133" t="s">
        <v>1236</v>
      </c>
      <c r="D560" s="133" t="s">
        <v>481</v>
      </c>
      <c r="E560" s="158">
        <v>9</v>
      </c>
      <c r="F560" s="158">
        <v>11</v>
      </c>
      <c r="G560" s="158">
        <v>2</v>
      </c>
      <c r="H560" s="133" t="s">
        <v>1237</v>
      </c>
      <c r="I560" s="133" t="s">
        <v>479</v>
      </c>
      <c r="J560" s="158">
        <v>1</v>
      </c>
      <c r="K560" s="159" t="str">
        <f ca="1">IFERROR(__xludf.DUMMYFUNCTION("GOOGLETRANSLATE(H560,""th"",""en"")"),"Discounted amount from Discount Rate 2")</f>
        <v>Discounted amount from Discount Rate 2</v>
      </c>
    </row>
    <row r="561" spans="1:11" ht="15.75" hidden="1" customHeight="1">
      <c r="A561" s="133" t="s">
        <v>7</v>
      </c>
      <c r="B561" s="133" t="s">
        <v>430</v>
      </c>
      <c r="C561" s="133" t="s">
        <v>1238</v>
      </c>
      <c r="D561" s="133" t="s">
        <v>481</v>
      </c>
      <c r="E561" s="158">
        <v>5</v>
      </c>
      <c r="F561" s="158">
        <v>6</v>
      </c>
      <c r="G561" s="158">
        <v>4</v>
      </c>
      <c r="H561" s="133" t="s">
        <v>1239</v>
      </c>
      <c r="I561" s="133" t="s">
        <v>479</v>
      </c>
      <c r="J561" s="158">
        <v>1</v>
      </c>
      <c r="K561" s="159" t="str">
        <f ca="1">IFERROR(__xludf.DUMMYFUNCTION("GOOGLETRANSLATE(H561,""th"",""en"")"),"Discount Rate at Bill 3")</f>
        <v>Discount Rate at Bill 3</v>
      </c>
    </row>
    <row r="562" spans="1:11" ht="15.75" hidden="1" customHeight="1">
      <c r="A562" s="133" t="s">
        <v>7</v>
      </c>
      <c r="B562" s="133" t="s">
        <v>430</v>
      </c>
      <c r="C562" s="133" t="s">
        <v>1240</v>
      </c>
      <c r="D562" s="133" t="s">
        <v>481</v>
      </c>
      <c r="E562" s="158">
        <v>9</v>
      </c>
      <c r="F562" s="158">
        <v>11</v>
      </c>
      <c r="G562" s="158">
        <v>2</v>
      </c>
      <c r="H562" s="133" t="s">
        <v>1241</v>
      </c>
      <c r="I562" s="133" t="s">
        <v>479</v>
      </c>
      <c r="J562" s="158">
        <v>1</v>
      </c>
      <c r="K562" s="159" t="str">
        <f ca="1">IFERROR(__xludf.DUMMYFUNCTION("GOOGLETRANSLATE(H562,""th"",""en"")"),"Discounted amount from Discount Rate 3")</f>
        <v>Discounted amount from Discount Rate 3</v>
      </c>
    </row>
    <row r="563" spans="1:11" ht="15.75" hidden="1" customHeight="1">
      <c r="A563" s="133" t="s">
        <v>7</v>
      </c>
      <c r="B563" s="133" t="s">
        <v>430</v>
      </c>
      <c r="C563" s="133" t="s">
        <v>1196</v>
      </c>
      <c r="D563" s="133" t="s">
        <v>481</v>
      </c>
      <c r="E563" s="158">
        <v>9</v>
      </c>
      <c r="F563" s="158">
        <v>11</v>
      </c>
      <c r="G563" s="158">
        <v>2</v>
      </c>
      <c r="H563" s="133" t="s">
        <v>1242</v>
      </c>
      <c r="I563" s="133" t="s">
        <v>479</v>
      </c>
      <c r="J563" s="158">
        <v>1</v>
      </c>
      <c r="K563" s="159" t="str">
        <f ca="1">IFERROR(__xludf.DUMMYFUNCTION("GOOGLETRANSLATE(H563,""th"",""en"")"),"Total amount that has not been deducted Discount 1,2,3 at the end of the bill")</f>
        <v>Total amount that has not been deducted Discount 1,2,3 at the end of the bill</v>
      </c>
    </row>
    <row r="564" spans="1:11" ht="15.75" hidden="1" customHeight="1">
      <c r="A564" s="133" t="s">
        <v>7</v>
      </c>
      <c r="B564" s="133" t="s">
        <v>430</v>
      </c>
      <c r="C564" s="133" t="s">
        <v>1243</v>
      </c>
      <c r="D564" s="133" t="s">
        <v>481</v>
      </c>
      <c r="E564" s="158">
        <v>9</v>
      </c>
      <c r="F564" s="158">
        <v>11</v>
      </c>
      <c r="G564" s="158">
        <v>2</v>
      </c>
      <c r="H564" s="133" t="s">
        <v>1244</v>
      </c>
      <c r="I564" s="133" t="s">
        <v>479</v>
      </c>
      <c r="J564" s="158">
        <v>1</v>
      </c>
      <c r="K564" s="159" t="str">
        <f ca="1">IFERROR(__xludf.DUMMYFUNCTION("GOOGLETRANSLATE(H564,""th"",""en"")"),"The total amount that deducts Discount at the end of the bill 1,2,3 before VAT")</f>
        <v>The total amount that deducts Discount at the end of the bill 1,2,3 before VAT</v>
      </c>
    </row>
    <row r="565" spans="1:11" ht="15.75" hidden="1" customHeight="1">
      <c r="A565" s="133" t="s">
        <v>7</v>
      </c>
      <c r="B565" s="133" t="s">
        <v>430</v>
      </c>
      <c r="C565" s="133" t="s">
        <v>663</v>
      </c>
      <c r="D565" s="133" t="s">
        <v>481</v>
      </c>
      <c r="E565" s="158">
        <v>9</v>
      </c>
      <c r="F565" s="158">
        <v>11</v>
      </c>
      <c r="G565" s="158">
        <v>2</v>
      </c>
      <c r="H565" s="133" t="s">
        <v>1245</v>
      </c>
      <c r="I565" s="133" t="s">
        <v>479</v>
      </c>
      <c r="J565" s="158">
        <v>1</v>
      </c>
      <c r="K565" s="159" t="str">
        <f ca="1">IFERROR(__xludf.DUMMYFUNCTION("GOOGLETRANSLATE(H565,""th"",""en"")"),"VAT amount")</f>
        <v>VAT amount</v>
      </c>
    </row>
    <row r="566" spans="1:11" ht="15.75" hidden="1" customHeight="1">
      <c r="A566" s="133" t="s">
        <v>7</v>
      </c>
      <c r="B566" s="133" t="s">
        <v>430</v>
      </c>
      <c r="C566" s="133" t="s">
        <v>1246</v>
      </c>
      <c r="D566" s="133" t="s">
        <v>481</v>
      </c>
      <c r="E566" s="158">
        <v>5</v>
      </c>
      <c r="F566" s="158">
        <v>5</v>
      </c>
      <c r="G566" s="158">
        <v>2</v>
      </c>
      <c r="H566" s="133" t="s">
        <v>1247</v>
      </c>
      <c r="I566" s="133" t="s">
        <v>479</v>
      </c>
      <c r="J566" s="158">
        <v>1</v>
      </c>
      <c r="K566" s="159" t="str">
        <f ca="1">IFERROR(__xludf.DUMMYFUNCTION("GOOGLETRANSLATE(H566,""th"",""en"")"),"Vat Rate")</f>
        <v>Vat Rate</v>
      </c>
    </row>
    <row r="567" spans="1:11" ht="15.75" hidden="1" customHeight="1">
      <c r="A567" s="133" t="s">
        <v>7</v>
      </c>
      <c r="B567" s="133" t="s">
        <v>430</v>
      </c>
      <c r="C567" s="133" t="s">
        <v>811</v>
      </c>
      <c r="D567" s="133" t="s">
        <v>477</v>
      </c>
      <c r="E567" s="158">
        <v>1</v>
      </c>
      <c r="F567" s="158">
        <v>0</v>
      </c>
      <c r="G567" s="158">
        <v>0</v>
      </c>
      <c r="H567" s="133" t="s">
        <v>1248</v>
      </c>
      <c r="I567" s="133" t="s">
        <v>479</v>
      </c>
      <c r="J567" s="158">
        <v>1</v>
      </c>
      <c r="K567" s="159" t="str">
        <f ca="1">IFERROR(__xludf.DUMMYFUNCTION("GOOGLETRANSLATE(H567,""th"",""en"")"),"Flag Leaves Status (P = Print, U = Transfer To AP, D = DELETE)")</f>
        <v>Flag Leaves Status (P = Print, U = Transfer To AP, D = DELETE)</v>
      </c>
    </row>
    <row r="568" spans="1:11" ht="15.75" hidden="1" customHeight="1">
      <c r="A568" s="133" t="s">
        <v>7</v>
      </c>
      <c r="B568" s="133" t="s">
        <v>430</v>
      </c>
      <c r="C568" s="133" t="s">
        <v>1249</v>
      </c>
      <c r="D568" s="133" t="s">
        <v>491</v>
      </c>
      <c r="E568" s="158">
        <v>1</v>
      </c>
      <c r="F568" s="158">
        <v>0</v>
      </c>
      <c r="G568" s="158">
        <v>0</v>
      </c>
      <c r="H568" s="133" t="s">
        <v>1250</v>
      </c>
      <c r="I568" s="133" t="s">
        <v>548</v>
      </c>
      <c r="J568" s="158">
        <v>1</v>
      </c>
      <c r="K568" s="159" t="str">
        <f ca="1">IFERROR(__xludf.DUMMYFUNCTION("GOOGLETRANSLATE(H568,""th"",""en"")"),"&lt;Will stop using&gt; PO categories for use in calculating costs to the purchase order with the product receipt as close as possible. 1/2/3. Now put it in 4")</f>
        <v>&lt;Will stop using&gt; PO categories for use in calculating costs to the purchase order with the product receipt as close as possible. 1/2/3. Now put it in 4</v>
      </c>
    </row>
    <row r="569" spans="1:11" ht="15.75" hidden="1" customHeight="1">
      <c r="A569" s="133" t="s">
        <v>7</v>
      </c>
      <c r="B569" s="133" t="s">
        <v>430</v>
      </c>
      <c r="C569" s="133" t="s">
        <v>523</v>
      </c>
      <c r="D569" s="133" t="s">
        <v>477</v>
      </c>
      <c r="E569" s="158">
        <v>8</v>
      </c>
      <c r="F569" s="158">
        <v>0</v>
      </c>
      <c r="G569" s="158">
        <v>0</v>
      </c>
      <c r="H569" s="133" t="s">
        <v>1198</v>
      </c>
      <c r="I569" s="133" t="s">
        <v>479</v>
      </c>
      <c r="J569" s="158">
        <v>1</v>
      </c>
      <c r="K569" s="159" t="str">
        <f ca="1">IFERROR(__xludf.DUMMYFUNCTION("GOOGLETRANSLATE(H569,""th"",""en"")"),"Product Creator Code")</f>
        <v>Product Creator Code</v>
      </c>
    </row>
    <row r="570" spans="1:11" ht="15.75" hidden="1" customHeight="1">
      <c r="A570" s="133" t="s">
        <v>7</v>
      </c>
      <c r="B570" s="133" t="s">
        <v>430</v>
      </c>
      <c r="C570" s="133" t="s">
        <v>669</v>
      </c>
      <c r="D570" s="133" t="s">
        <v>496</v>
      </c>
      <c r="E570" s="158">
        <v>4</v>
      </c>
      <c r="F570" s="158">
        <v>16</v>
      </c>
      <c r="G570" s="158">
        <v>0</v>
      </c>
      <c r="H570" s="133" t="s">
        <v>1199</v>
      </c>
      <c r="I570" s="133" t="s">
        <v>479</v>
      </c>
      <c r="J570" s="158">
        <v>1</v>
      </c>
      <c r="K570" s="159" t="str">
        <f ca="1">IFERROR(__xludf.DUMMYFUNCTION("GOOGLETRANSLATE(H570,""th"",""en"")"),"Date of creating a product receipt")</f>
        <v>Date of creating a product receipt</v>
      </c>
    </row>
    <row r="571" spans="1:11" ht="15.75" hidden="1" customHeight="1">
      <c r="A571" s="133" t="s">
        <v>7</v>
      </c>
      <c r="B571" s="133" t="s">
        <v>430</v>
      </c>
      <c r="C571" s="133" t="s">
        <v>670</v>
      </c>
      <c r="D571" s="133" t="s">
        <v>477</v>
      </c>
      <c r="E571" s="158">
        <v>8</v>
      </c>
      <c r="F571" s="158">
        <v>0</v>
      </c>
      <c r="G571" s="158">
        <v>0</v>
      </c>
      <c r="H571" s="133" t="s">
        <v>1200</v>
      </c>
      <c r="I571" s="133" t="s">
        <v>479</v>
      </c>
      <c r="J571" s="158">
        <v>1</v>
      </c>
      <c r="K571" s="159" t="str">
        <f ca="1">IFERROR(__xludf.DUMMYFUNCTION("GOOGLETRANSLATE(H571,""th"",""en"")"),"Name of the latest product receipt")</f>
        <v>Name of the latest product receipt</v>
      </c>
    </row>
    <row r="572" spans="1:11" ht="15.75" hidden="1" customHeight="1">
      <c r="A572" s="133" t="s">
        <v>7</v>
      </c>
      <c r="B572" s="133" t="s">
        <v>430</v>
      </c>
      <c r="C572" s="133" t="s">
        <v>215</v>
      </c>
      <c r="D572" s="133" t="s">
        <v>496</v>
      </c>
      <c r="E572" s="158">
        <v>4</v>
      </c>
      <c r="F572" s="158">
        <v>16</v>
      </c>
      <c r="G572" s="158">
        <v>0</v>
      </c>
      <c r="H572" s="133" t="s">
        <v>1201</v>
      </c>
      <c r="I572" s="133" t="s">
        <v>479</v>
      </c>
      <c r="J572" s="158">
        <v>1</v>
      </c>
      <c r="K572" s="159" t="str">
        <f ca="1">IFERROR(__xludf.DUMMYFUNCTION("GOOGLETRANSLATE(H572,""th"",""en"")"),"Date of editing the latest product receipt number")</f>
        <v>Date of editing the latest product receipt number</v>
      </c>
    </row>
    <row r="573" spans="1:11" ht="15.75" hidden="1" customHeight="1">
      <c r="A573" s="133" t="s">
        <v>7</v>
      </c>
      <c r="B573" s="133" t="s">
        <v>430</v>
      </c>
      <c r="C573" s="133" t="s">
        <v>1251</v>
      </c>
      <c r="D573" s="133" t="s">
        <v>477</v>
      </c>
      <c r="E573" s="158">
        <v>100</v>
      </c>
      <c r="F573" s="158">
        <v>0</v>
      </c>
      <c r="G573" s="158">
        <v>0</v>
      </c>
      <c r="H573" s="133" t="s">
        <v>1252</v>
      </c>
      <c r="I573" s="133" t="s">
        <v>479</v>
      </c>
      <c r="J573" s="158">
        <v>1</v>
      </c>
      <c r="K573" s="159" t="str">
        <f ca="1">IFERROR(__xludf.DUMMYFUNCTION("GOOGLETRANSLATE(H573,""th"",""en"")"),"Name Supplier / Vendor")</f>
        <v>Name Supplier / Vendor</v>
      </c>
    </row>
    <row r="574" spans="1:11" ht="15.75" hidden="1" customHeight="1">
      <c r="A574" s="133" t="s">
        <v>7</v>
      </c>
      <c r="B574" s="133" t="s">
        <v>430</v>
      </c>
      <c r="C574" s="133" t="s">
        <v>708</v>
      </c>
      <c r="D574" s="133" t="s">
        <v>477</v>
      </c>
      <c r="E574" s="158">
        <v>3</v>
      </c>
      <c r="F574" s="158">
        <v>0</v>
      </c>
      <c r="G574" s="158">
        <v>0</v>
      </c>
      <c r="H574" s="133" t="s">
        <v>1253</v>
      </c>
      <c r="I574" s="133" t="s">
        <v>479</v>
      </c>
      <c r="J574" s="158">
        <v>1</v>
      </c>
      <c r="K574" s="159" t="str">
        <f ca="1">IFERROR(__xludf.DUMMYFUNCTION("GOOGLETRANSLATE(H574,""th"",""en"")"),"Payment type code")</f>
        <v>Payment type code</v>
      </c>
    </row>
    <row r="575" spans="1:11" ht="15.75" hidden="1" customHeight="1">
      <c r="A575" s="133" t="s">
        <v>7</v>
      </c>
      <c r="B575" s="133" t="s">
        <v>430</v>
      </c>
      <c r="C575" s="133" t="s">
        <v>1254</v>
      </c>
      <c r="D575" s="133" t="s">
        <v>477</v>
      </c>
      <c r="E575" s="158">
        <v>6</v>
      </c>
      <c r="F575" s="158">
        <v>0</v>
      </c>
      <c r="G575" s="158">
        <v>0</v>
      </c>
      <c r="H575" s="133" t="s">
        <v>1255</v>
      </c>
      <c r="I575" s="133" t="s">
        <v>479</v>
      </c>
      <c r="J575" s="158">
        <v>1</v>
      </c>
      <c r="K575" s="159" t="str">
        <f ca="1">IFERROR(__xludf.DUMMYFUNCTION("GOOGLETRANSLATE(H575,""th"",""en"")"),"Product pickup")</f>
        <v>Product pickup</v>
      </c>
    </row>
    <row r="576" spans="1:11" ht="15.75" hidden="1" customHeight="1">
      <c r="A576" s="133" t="s">
        <v>7</v>
      </c>
      <c r="B576" s="133" t="s">
        <v>430</v>
      </c>
      <c r="C576" s="133" t="s">
        <v>1256</v>
      </c>
      <c r="D576" s="133" t="s">
        <v>491</v>
      </c>
      <c r="E576" s="158">
        <v>1</v>
      </c>
      <c r="F576" s="158">
        <v>0</v>
      </c>
      <c r="G576" s="158">
        <v>0</v>
      </c>
      <c r="H576" s="133" t="s">
        <v>1257</v>
      </c>
      <c r="I576" s="133" t="s">
        <v>479</v>
      </c>
      <c r="J576" s="158">
        <v>1</v>
      </c>
      <c r="K576" s="159" t="str">
        <f ca="1">IFERROR(__xludf.DUMMYFUNCTION("GOOGLETRANSLATE(H576,""th"",""en"")"),"Product Moving Status from Receive to Location (N = Not Move, Y = MOVE)")</f>
        <v>Product Moving Status from Receive to Location (N = Not Move, Y = MOVE)</v>
      </c>
    </row>
    <row r="577" spans="1:11" ht="15.75" hidden="1" customHeight="1">
      <c r="A577" s="133" t="s">
        <v>7</v>
      </c>
      <c r="B577" s="133" t="s">
        <v>430</v>
      </c>
      <c r="C577" s="133" t="s">
        <v>1258</v>
      </c>
      <c r="D577" s="133" t="s">
        <v>477</v>
      </c>
      <c r="E577" s="158">
        <v>200</v>
      </c>
      <c r="F577" s="158">
        <v>0</v>
      </c>
      <c r="G577" s="158">
        <v>0</v>
      </c>
      <c r="H577" s="133" t="s">
        <v>1259</v>
      </c>
      <c r="I577" s="133" t="s">
        <v>479</v>
      </c>
      <c r="J577" s="158">
        <v>1</v>
      </c>
      <c r="K577" s="159" t="str">
        <f ca="1">IFERROR(__xludf.DUMMYFUNCTION("GOOGLETRANSLATE(H577,""th"",""en"")"),"Remark storage, cancellation of the product receipt")</f>
        <v>Remark storage, cancellation of the product receipt</v>
      </c>
    </row>
    <row r="578" spans="1:11" ht="15.75" hidden="1" customHeight="1">
      <c r="A578" s="133" t="s">
        <v>7</v>
      </c>
      <c r="B578" s="133" t="s">
        <v>430</v>
      </c>
      <c r="C578" s="133" t="s">
        <v>1260</v>
      </c>
      <c r="D578" s="133" t="s">
        <v>477</v>
      </c>
      <c r="E578" s="158">
        <v>10</v>
      </c>
      <c r="F578" s="158">
        <v>0</v>
      </c>
      <c r="G578" s="158">
        <v>0</v>
      </c>
      <c r="H578" s="133" t="s">
        <v>1261</v>
      </c>
      <c r="I578" s="133" t="s">
        <v>548</v>
      </c>
      <c r="J578" s="277">
        <v>1</v>
      </c>
      <c r="K578" s="159" t="str">
        <f ca="1">IFERROR(__xludf.DUMMYFUNCTION("GOOGLETRANSLATE(H578,""th"",""en"")"),"Keep the Tax Running of Invoice. If there is a VAT value, Running using YYMM followed by the type of documents and 5 running (1 is the purchase / 3 document is a return document)")</f>
        <v>Keep the Tax Running of Invoice. If there is a VAT value, Running using YYMM followed by the type of documents and 5 running (1 is the purchase / 3 document is a return document)</v>
      </c>
    </row>
    <row r="579" spans="1:11" ht="15.75" hidden="1" customHeight="1">
      <c r="A579" s="133" t="s">
        <v>7</v>
      </c>
      <c r="B579" s="133" t="s">
        <v>430</v>
      </c>
      <c r="C579" s="133" t="s">
        <v>1262</v>
      </c>
      <c r="D579" s="133" t="s">
        <v>477</v>
      </c>
      <c r="E579" s="158">
        <v>3</v>
      </c>
      <c r="F579" s="158">
        <v>0</v>
      </c>
      <c r="G579" s="158">
        <v>0</v>
      </c>
      <c r="H579" s="133" t="s">
        <v>1263</v>
      </c>
      <c r="I579" s="133" t="s">
        <v>596</v>
      </c>
      <c r="J579" s="158">
        <v>0</v>
      </c>
      <c r="K579" s="159" t="str">
        <f ca="1">IFERROR(__xludf.DUMMYFUNCTION("GOOGLETRANSLATE(H579,""th"",""en"")"),"Product receipt confirmation status")</f>
        <v>Product receipt confirmation status</v>
      </c>
    </row>
    <row r="580" spans="1:11" ht="15.75" hidden="1" customHeight="1">
      <c r="A580" s="133" t="s">
        <v>7</v>
      </c>
      <c r="B580" s="133" t="s">
        <v>430</v>
      </c>
      <c r="C580" s="133" t="s">
        <v>369</v>
      </c>
      <c r="D580" s="133" t="s">
        <v>477</v>
      </c>
      <c r="E580" s="158">
        <v>2</v>
      </c>
      <c r="F580" s="158">
        <v>0</v>
      </c>
      <c r="G580" s="158">
        <v>0</v>
      </c>
      <c r="H580" s="133" t="s">
        <v>1264</v>
      </c>
      <c r="I580" s="133" t="s">
        <v>548</v>
      </c>
      <c r="J580" s="158">
        <v>0</v>
      </c>
      <c r="K580" s="159" t="str">
        <f ca="1">IFERROR(__xludf.DUMMYFUNCTION("GOOGLETRANSLATE(H580,""th"",""en"")"),"Warehouse code")</f>
        <v>Warehouse code</v>
      </c>
    </row>
    <row r="581" spans="1:11" ht="15.75" hidden="1" customHeight="1">
      <c r="A581" s="133" t="s">
        <v>7</v>
      </c>
      <c r="B581" s="133" t="s">
        <v>430</v>
      </c>
      <c r="C581" s="133" t="s">
        <v>1265</v>
      </c>
      <c r="D581" s="133" t="s">
        <v>481</v>
      </c>
      <c r="E581" s="158">
        <v>9</v>
      </c>
      <c r="F581" s="158">
        <v>11</v>
      </c>
      <c r="G581" s="158">
        <v>2</v>
      </c>
      <c r="H581" s="133" t="s">
        <v>1266</v>
      </c>
      <c r="I581" s="133" t="s">
        <v>615</v>
      </c>
      <c r="J581" s="158">
        <v>0</v>
      </c>
      <c r="K581" s="159" t="str">
        <f ca="1">IFERROR(__xludf.DUMMYFUNCTION("GOOGLETRANSLATE(H581,""th"",""en"")"),"Net Amount of Vat Product (VAT)")</f>
        <v>Net Amount of Vat Product (VAT)</v>
      </c>
    </row>
    <row r="582" spans="1:11" ht="15.75" hidden="1" customHeight="1">
      <c r="A582" s="133" t="s">
        <v>7</v>
      </c>
      <c r="B582" s="133" t="s">
        <v>430</v>
      </c>
      <c r="C582" s="133" t="s">
        <v>1267</v>
      </c>
      <c r="D582" s="133" t="s">
        <v>481</v>
      </c>
      <c r="E582" s="158">
        <v>9</v>
      </c>
      <c r="F582" s="158">
        <v>11</v>
      </c>
      <c r="G582" s="158">
        <v>2</v>
      </c>
      <c r="H582" s="133" t="s">
        <v>1268</v>
      </c>
      <c r="I582" s="133" t="s">
        <v>615</v>
      </c>
      <c r="J582" s="158">
        <v>0</v>
      </c>
      <c r="K582" s="159" t="str">
        <f ca="1">IFERROR(__xludf.DUMMYFUNCTION("GOOGLETRANSLATE(H582,""th"",""en"")"),"Net Amount of Non Vat Product (Except VAT)")</f>
        <v>Net Amount of Non Vat Product (Except VAT)</v>
      </c>
    </row>
    <row r="583" spans="1:11" ht="15.75" hidden="1" customHeight="1">
      <c r="A583" s="133" t="s">
        <v>7</v>
      </c>
      <c r="B583" s="133" t="s">
        <v>430</v>
      </c>
      <c r="C583" s="133" t="s">
        <v>1269</v>
      </c>
      <c r="D583" s="133" t="s">
        <v>477</v>
      </c>
      <c r="E583" s="158">
        <v>20</v>
      </c>
      <c r="F583" s="158">
        <v>0</v>
      </c>
      <c r="G583" s="158">
        <v>0</v>
      </c>
      <c r="H583" s="133" t="s">
        <v>1270</v>
      </c>
      <c r="I583" s="133" t="s">
        <v>548</v>
      </c>
      <c r="J583" s="158">
        <v>0</v>
      </c>
      <c r="K583" s="159" t="str">
        <f ca="1">IFERROR(__xludf.DUMMYFUNCTION("GOOGLETRANSLATE(H583,""th"",""en"")"),"Is the PV of the order of the company (OFM, Central)")</f>
        <v>Is the PV of the order of the company (OFM, Central)</v>
      </c>
    </row>
    <row r="584" spans="1:11" ht="15.75" hidden="1" customHeight="1">
      <c r="A584" s="133" t="s">
        <v>7</v>
      </c>
      <c r="B584" s="133" t="s">
        <v>430</v>
      </c>
      <c r="C584" s="133" t="s">
        <v>1271</v>
      </c>
      <c r="D584" s="133" t="s">
        <v>481</v>
      </c>
      <c r="E584" s="158">
        <v>5</v>
      </c>
      <c r="F584" s="158">
        <v>9</v>
      </c>
      <c r="G584" s="158">
        <v>2</v>
      </c>
      <c r="H584" s="133" t="s">
        <v>1272</v>
      </c>
      <c r="I584" s="133" t="s">
        <v>615</v>
      </c>
      <c r="J584" s="158">
        <v>0</v>
      </c>
      <c r="K584" s="159" t="str">
        <f ca="1">IFERROR(__xludf.DUMMYFUNCTION("GOOGLETRANSLATE(H584,""th"",""en"")"),"Collect the cost. Cost Time Removing PC Document, PV, PR")</f>
        <v>Collect the cost. Cost Time Removing PC Document, PV, PR</v>
      </c>
    </row>
    <row r="585" spans="1:11" ht="15.75" hidden="1" customHeight="1">
      <c r="A585" s="133" t="s">
        <v>7</v>
      </c>
      <c r="B585" s="133" t="s">
        <v>430</v>
      </c>
      <c r="C585" s="133" t="s">
        <v>1273</v>
      </c>
      <c r="D585" s="133" t="s">
        <v>477</v>
      </c>
      <c r="E585" s="158">
        <v>20</v>
      </c>
      <c r="F585" s="158">
        <v>0</v>
      </c>
      <c r="G585" s="158">
        <v>0</v>
      </c>
      <c r="H585" s="133" t="s">
        <v>479</v>
      </c>
      <c r="I585" s="133" t="s">
        <v>548</v>
      </c>
      <c r="J585" s="158">
        <v>0</v>
      </c>
      <c r="K585" s="159" t="str">
        <f ca="1">IFERROR(__xludf.DUMMYFUNCTION("GOOGLETRANSLATE(H585,""th"",""en"")"),"Null")</f>
        <v>Null</v>
      </c>
    </row>
    <row r="586" spans="1:11" ht="15.75" hidden="1" customHeight="1">
      <c r="A586" s="133" t="s">
        <v>7</v>
      </c>
      <c r="B586" s="133" t="s">
        <v>288</v>
      </c>
      <c r="C586" s="133" t="s">
        <v>1274</v>
      </c>
      <c r="D586" s="133" t="s">
        <v>484</v>
      </c>
      <c r="E586" s="158">
        <v>4</v>
      </c>
      <c r="F586" s="158">
        <v>10</v>
      </c>
      <c r="G586" s="158">
        <v>0</v>
      </c>
      <c r="H586" s="133" t="s">
        <v>1275</v>
      </c>
      <c r="I586" s="133" t="s">
        <v>615</v>
      </c>
      <c r="J586" s="158">
        <v>0</v>
      </c>
      <c r="K586" s="159" t="str">
        <f ca="1">IFERROR(__xludf.DUMMYFUNCTION("GOOGLETRANSLATE(H586,""th"",""en"")"),"The order in the Drop Down List in Oasys")</f>
        <v>The order in the Drop Down List in Oasys</v>
      </c>
    </row>
    <row r="587" spans="1:11" ht="15.75" hidden="1" customHeight="1">
      <c r="A587" s="133" t="s">
        <v>7</v>
      </c>
      <c r="B587" s="133" t="s">
        <v>288</v>
      </c>
      <c r="C587" s="133" t="s">
        <v>1276</v>
      </c>
      <c r="D587" s="133" t="s">
        <v>477</v>
      </c>
      <c r="E587" s="158">
        <v>10</v>
      </c>
      <c r="F587" s="158">
        <v>0</v>
      </c>
      <c r="G587" s="158">
        <v>0</v>
      </c>
      <c r="H587" s="133" t="s">
        <v>1277</v>
      </c>
      <c r="I587" s="133" t="s">
        <v>548</v>
      </c>
      <c r="J587" s="158">
        <v>0</v>
      </c>
      <c r="K587" s="159" t="str">
        <f ca="1">IFERROR(__xludf.DUMMYFUNCTION("GOOGLETRANSLATE(H587,""th"",""en"")"),"Account")</f>
        <v>Account</v>
      </c>
    </row>
    <row r="588" spans="1:11" ht="15.75" hidden="1" customHeight="1">
      <c r="A588" s="133" t="s">
        <v>7</v>
      </c>
      <c r="B588" s="133" t="s">
        <v>288</v>
      </c>
      <c r="C588" s="133" t="s">
        <v>250</v>
      </c>
      <c r="D588" s="133" t="s">
        <v>477</v>
      </c>
      <c r="E588" s="158">
        <v>10</v>
      </c>
      <c r="F588" s="158">
        <v>0</v>
      </c>
      <c r="G588" s="158">
        <v>0</v>
      </c>
      <c r="H588" s="133" t="s">
        <v>1278</v>
      </c>
      <c r="I588" s="133" t="s">
        <v>548</v>
      </c>
      <c r="J588" s="158">
        <v>0</v>
      </c>
      <c r="K588" s="159" t="str">
        <f ca="1">IFERROR(__xludf.DUMMYFUNCTION("GOOGLETRANSLATE(H588,""th"",""en"")"),"Account code referred to the glactmst table")</f>
        <v>Account code referred to the glactmst table</v>
      </c>
    </row>
    <row r="589" spans="1:11" ht="15.75" hidden="1" customHeight="1">
      <c r="A589" s="133" t="s">
        <v>7</v>
      </c>
      <c r="B589" s="133" t="s">
        <v>288</v>
      </c>
      <c r="C589" s="133" t="s">
        <v>1279</v>
      </c>
      <c r="D589" s="133" t="s">
        <v>477</v>
      </c>
      <c r="E589" s="158">
        <v>3</v>
      </c>
      <c r="F589" s="158">
        <v>0</v>
      </c>
      <c r="G589" s="158">
        <v>0</v>
      </c>
      <c r="H589" s="133" t="s">
        <v>1280</v>
      </c>
      <c r="I589" s="133" t="s">
        <v>548</v>
      </c>
      <c r="J589" s="158">
        <v>0</v>
      </c>
      <c r="K589" s="159" t="str">
        <f ca="1">IFERROR(__xludf.DUMMYFUNCTION("GOOGLETRANSLATE(H589,""th"",""en"")"),"Account type (CA = current account , SA = Savings account)")</f>
        <v>Account type (CA = current account , SA = Savings account)</v>
      </c>
    </row>
    <row r="590" spans="1:11" ht="15.75" hidden="1" customHeight="1">
      <c r="A590" s="133" t="s">
        <v>7</v>
      </c>
      <c r="B590" s="133" t="s">
        <v>288</v>
      </c>
      <c r="C590" s="133" t="s">
        <v>811</v>
      </c>
      <c r="D590" s="133" t="s">
        <v>477</v>
      </c>
      <c r="E590" s="158">
        <v>6</v>
      </c>
      <c r="F590" s="158">
        <v>0</v>
      </c>
      <c r="G590" s="158">
        <v>0</v>
      </c>
      <c r="H590" s="133" t="s">
        <v>1281</v>
      </c>
      <c r="I590" s="133" t="s">
        <v>548</v>
      </c>
      <c r="J590" s="158">
        <v>0</v>
      </c>
      <c r="K590" s="159" t="str">
        <f ca="1">IFERROR(__xludf.DUMMYFUNCTION("GOOGLETRANSLATE(H590,""th"",""en"")"),"Status (Active = Active, DELETE = Not used)")</f>
        <v>Status (Active = Active, DELETE = Not used)</v>
      </c>
    </row>
    <row r="591" spans="1:11" ht="15.75" hidden="1" customHeight="1">
      <c r="A591" s="133" t="s">
        <v>7</v>
      </c>
      <c r="B591" s="133" t="s">
        <v>288</v>
      </c>
      <c r="C591" s="133" t="s">
        <v>523</v>
      </c>
      <c r="D591" s="133" t="s">
        <v>477</v>
      </c>
      <c r="E591" s="158">
        <v>7</v>
      </c>
      <c r="F591" s="158">
        <v>0</v>
      </c>
      <c r="G591" s="158">
        <v>0</v>
      </c>
      <c r="H591" s="133" t="s">
        <v>1282</v>
      </c>
      <c r="I591" s="133" t="s">
        <v>548</v>
      </c>
      <c r="J591" s="158">
        <v>0</v>
      </c>
      <c r="K591" s="159" t="str">
        <f ca="1">IFERROR(__xludf.DUMMYFUNCTION("GOOGLETRANSLATE(H591,""th"",""en"")"),"Creator code")</f>
        <v>Creator code</v>
      </c>
    </row>
    <row r="592" spans="1:11" ht="15.75" hidden="1" customHeight="1">
      <c r="A592" s="133" t="s">
        <v>7</v>
      </c>
      <c r="B592" s="133" t="s">
        <v>288</v>
      </c>
      <c r="C592" s="133" t="s">
        <v>669</v>
      </c>
      <c r="D592" s="133" t="s">
        <v>496</v>
      </c>
      <c r="E592" s="158">
        <v>4</v>
      </c>
      <c r="F592" s="158">
        <v>16</v>
      </c>
      <c r="G592" s="158">
        <v>0</v>
      </c>
      <c r="H592" s="133" t="s">
        <v>1283</v>
      </c>
      <c r="I592" s="133" t="s">
        <v>1284</v>
      </c>
      <c r="J592" s="158">
        <v>0</v>
      </c>
      <c r="K592" s="159" t="str">
        <f ca="1">IFERROR(__xludf.DUMMYFUNCTION("GOOGLETRANSLATE(H592,""th"",""en"")"),"Date and time created")</f>
        <v>Date and time created</v>
      </c>
    </row>
    <row r="593" spans="1:11" ht="15.75" hidden="1" customHeight="1">
      <c r="A593" s="133" t="s">
        <v>7</v>
      </c>
      <c r="B593" s="133" t="s">
        <v>288</v>
      </c>
      <c r="C593" s="133" t="s">
        <v>670</v>
      </c>
      <c r="D593" s="133" t="s">
        <v>477</v>
      </c>
      <c r="E593" s="158">
        <v>7</v>
      </c>
      <c r="F593" s="158">
        <v>0</v>
      </c>
      <c r="G593" s="158">
        <v>0</v>
      </c>
      <c r="H593" s="133" t="s">
        <v>1285</v>
      </c>
      <c r="I593" s="133" t="s">
        <v>548</v>
      </c>
      <c r="J593" s="158">
        <v>0</v>
      </c>
      <c r="K593" s="159" t="str">
        <f ca="1">IFERROR(__xludf.DUMMYFUNCTION("GOOGLETRANSLATE(H593,""th"",""en"")"),"Editor code")</f>
        <v>Editor code</v>
      </c>
    </row>
    <row r="594" spans="1:11" ht="15.75" hidden="1" customHeight="1">
      <c r="A594" s="133" t="s">
        <v>7</v>
      </c>
      <c r="B594" s="133" t="s">
        <v>288</v>
      </c>
      <c r="C594" s="133" t="s">
        <v>215</v>
      </c>
      <c r="D594" s="133" t="s">
        <v>496</v>
      </c>
      <c r="E594" s="158">
        <v>4</v>
      </c>
      <c r="F594" s="158">
        <v>16</v>
      </c>
      <c r="G594" s="158">
        <v>0</v>
      </c>
      <c r="H594" s="133" t="s">
        <v>1286</v>
      </c>
      <c r="I594" s="133" t="s">
        <v>1284</v>
      </c>
      <c r="J594" s="158">
        <v>0</v>
      </c>
      <c r="K594" s="159" t="str">
        <f ca="1">IFERROR(__xludf.DUMMYFUNCTION("GOOGLETRANSLATE(H594,""th"",""en"")"),"Edit date and time")</f>
        <v>Edit date and time</v>
      </c>
    </row>
    <row r="595" spans="1:11" ht="15.75" hidden="1" customHeight="1">
      <c r="A595" s="133" t="s">
        <v>7</v>
      </c>
      <c r="B595" s="133" t="s">
        <v>288</v>
      </c>
      <c r="C595" s="133" t="s">
        <v>1287</v>
      </c>
      <c r="D595" s="133" t="s">
        <v>477</v>
      </c>
      <c r="E595" s="158">
        <v>4</v>
      </c>
      <c r="F595" s="158">
        <v>0</v>
      </c>
      <c r="G595" s="158">
        <v>0</v>
      </c>
      <c r="H595" s="133" t="s">
        <v>1288</v>
      </c>
      <c r="I595" s="133" t="s">
        <v>548</v>
      </c>
      <c r="J595" s="158">
        <v>0</v>
      </c>
      <c r="K595" s="159" t="str">
        <f ca="1">IFERROR(__xludf.DUMMYFUNCTION("GOOGLETRANSLATE(H595,""th"",""en"")"),"Active program group")</f>
        <v>Active program group</v>
      </c>
    </row>
    <row r="596" spans="1:11" ht="15.75" hidden="1" customHeight="1">
      <c r="A596" s="133" t="s">
        <v>7</v>
      </c>
      <c r="B596" s="133" t="s">
        <v>288</v>
      </c>
      <c r="C596" s="133" t="s">
        <v>1289</v>
      </c>
      <c r="D596" s="133" t="s">
        <v>477</v>
      </c>
      <c r="E596" s="158">
        <v>20</v>
      </c>
      <c r="F596" s="158">
        <v>0</v>
      </c>
      <c r="G596" s="158">
        <v>0</v>
      </c>
      <c r="H596" s="133" t="s">
        <v>1044</v>
      </c>
      <c r="I596" s="133" t="s">
        <v>548</v>
      </c>
      <c r="J596" s="158">
        <v>0</v>
      </c>
      <c r="K596" s="159" t="str">
        <f ca="1">IFERROR(__xludf.DUMMYFUNCTION("GOOGLETRANSLATE(H596,""th"",""en"")"),"Account number")</f>
        <v>Account number</v>
      </c>
    </row>
    <row r="597" spans="1:11" ht="15.75" hidden="1" customHeight="1">
      <c r="A597" s="133" t="s">
        <v>7</v>
      </c>
      <c r="B597" s="133" t="s">
        <v>288</v>
      </c>
      <c r="C597" s="133" t="s">
        <v>1290</v>
      </c>
      <c r="D597" s="133" t="s">
        <v>477</v>
      </c>
      <c r="E597" s="158">
        <v>20</v>
      </c>
      <c r="F597" s="158">
        <v>0</v>
      </c>
      <c r="G597" s="158">
        <v>0</v>
      </c>
      <c r="H597" s="133" t="s">
        <v>1290</v>
      </c>
      <c r="I597" s="133" t="s">
        <v>548</v>
      </c>
      <c r="J597" s="158">
        <v>0</v>
      </c>
      <c r="K597" s="159" t="str">
        <f ca="1">IFERROR(__xludf.DUMMYFUNCTION("GOOGLETRANSLATE(H597,""th"",""en"")"),"Accountowner")</f>
        <v>Accountowner</v>
      </c>
    </row>
    <row r="598" spans="1:11" ht="15.75" hidden="1" customHeight="1">
      <c r="A598" s="133" t="s">
        <v>7</v>
      </c>
      <c r="B598" s="133" t="s">
        <v>288</v>
      </c>
      <c r="C598" s="133" t="s">
        <v>1291</v>
      </c>
      <c r="D598" s="133" t="s">
        <v>484</v>
      </c>
      <c r="E598" s="158">
        <v>4</v>
      </c>
      <c r="F598" s="158">
        <v>10</v>
      </c>
      <c r="G598" s="158">
        <v>0</v>
      </c>
      <c r="H598" s="133" t="s">
        <v>1291</v>
      </c>
      <c r="I598" s="133" t="s">
        <v>1210</v>
      </c>
      <c r="J598" s="158">
        <v>0</v>
      </c>
      <c r="K598" s="159" t="str">
        <f ca="1">IFERROR(__xludf.DUMMYFUNCTION("GOOGLETRANSLATE(H598,""th"",""en"")"),"Accountseq")</f>
        <v>Accountseq</v>
      </c>
    </row>
    <row r="599" spans="1:11" ht="15.75" hidden="1" customHeight="1">
      <c r="A599" s="133" t="s">
        <v>7</v>
      </c>
      <c r="B599" s="133" t="s">
        <v>170</v>
      </c>
      <c r="C599" s="133" t="s">
        <v>1322</v>
      </c>
      <c r="D599" s="133" t="s">
        <v>477</v>
      </c>
      <c r="E599" s="158">
        <v>100</v>
      </c>
      <c r="F599" s="158">
        <v>0</v>
      </c>
      <c r="G599" s="158">
        <v>0</v>
      </c>
      <c r="H599" s="133" t="s">
        <v>1323</v>
      </c>
      <c r="I599" s="133" t="s">
        <v>548</v>
      </c>
      <c r="J599" s="277">
        <v>1</v>
      </c>
      <c r="K599" s="159" t="str">
        <f ca="1">IFERROR(__xludf.DUMMYFUNCTION("GOOGLETRANSLATE(H615,""th"",""en"")"),"Customer branch name")</f>
        <v>Customer branch name</v>
      </c>
    </row>
    <row r="600" spans="1:11" ht="15.75" hidden="1" customHeight="1">
      <c r="A600" s="133" t="s">
        <v>7</v>
      </c>
      <c r="B600" s="133" t="s">
        <v>170</v>
      </c>
      <c r="C600" s="133" t="s">
        <v>174</v>
      </c>
      <c r="D600" s="133" t="s">
        <v>477</v>
      </c>
      <c r="E600" s="158">
        <v>8</v>
      </c>
      <c r="F600" s="158">
        <v>0</v>
      </c>
      <c r="G600" s="158">
        <v>0</v>
      </c>
      <c r="H600" s="133" t="s">
        <v>1292</v>
      </c>
      <c r="I600" s="133" t="s">
        <v>548</v>
      </c>
      <c r="J600" s="158">
        <v>0</v>
      </c>
      <c r="K600" s="159" t="str">
        <f ca="1">IFERROR(__xludf.DUMMYFUNCTION("GOOGLETRANSLATE(H599,""th"",""en"")"),"Customer code")</f>
        <v>Customer code</v>
      </c>
    </row>
    <row r="601" spans="1:11" ht="15.75" hidden="1" customHeight="1">
      <c r="A601" s="133" t="s">
        <v>7</v>
      </c>
      <c r="B601" s="133" t="s">
        <v>170</v>
      </c>
      <c r="C601" s="133" t="s">
        <v>1318</v>
      </c>
      <c r="D601" s="133" t="s">
        <v>477</v>
      </c>
      <c r="E601" s="158">
        <v>100</v>
      </c>
      <c r="F601" s="158">
        <v>0</v>
      </c>
      <c r="G601" s="158">
        <v>0</v>
      </c>
      <c r="H601" s="133" t="s">
        <v>1319</v>
      </c>
      <c r="I601" s="133" t="s">
        <v>548</v>
      </c>
      <c r="J601" s="277">
        <v>1</v>
      </c>
      <c r="K601" s="159" t="str">
        <f ca="1">IFERROR(__xludf.DUMMYFUNCTION("GOOGLETRANSLATE(H613,""th"",""en"")"),"Web Site Customers")</f>
        <v>Web Site Customers</v>
      </c>
    </row>
    <row r="602" spans="1:11" ht="15.75" hidden="1" customHeight="1">
      <c r="A602" s="133" t="s">
        <v>7</v>
      </c>
      <c r="B602" s="133" t="s">
        <v>170</v>
      </c>
      <c r="C602" s="133" t="s">
        <v>1326</v>
      </c>
      <c r="D602" s="133" t="s">
        <v>477</v>
      </c>
      <c r="E602" s="158">
        <v>3</v>
      </c>
      <c r="F602" s="158">
        <v>0</v>
      </c>
      <c r="G602" s="158">
        <v>0</v>
      </c>
      <c r="H602" s="133" t="s">
        <v>1327</v>
      </c>
      <c r="I602" s="133" t="s">
        <v>596</v>
      </c>
      <c r="J602" s="277">
        <v>1</v>
      </c>
      <c r="K602" s="159" t="str">
        <f ca="1">IFERROR(__xludf.DUMMYFUNCTION("GOOGLETRANSLATE(H617,""th"",""en"")"),"BOI customers")</f>
        <v>BOI customers</v>
      </c>
    </row>
    <row r="603" spans="1:11" ht="15.75" hidden="1" customHeight="1">
      <c r="A603" s="133" t="s">
        <v>7</v>
      </c>
      <c r="B603" s="133" t="s">
        <v>170</v>
      </c>
      <c r="C603" s="133" t="s">
        <v>1301</v>
      </c>
      <c r="D603" s="133" t="s">
        <v>477</v>
      </c>
      <c r="E603" s="158">
        <v>50</v>
      </c>
      <c r="F603" s="158">
        <v>0</v>
      </c>
      <c r="G603" s="158">
        <v>0</v>
      </c>
      <c r="H603" s="133"/>
      <c r="I603" s="133" t="s">
        <v>548</v>
      </c>
      <c r="J603" s="277">
        <v>1</v>
      </c>
      <c r="K603" s="159" t="str">
        <f ca="1">IFERROR(__xludf.DUMMYFUNCTION("GOOGLETRANSLATE(H604,""th"",""en"")"),"#VALUE!")</f>
        <v>#VALUE!</v>
      </c>
    </row>
    <row r="604" spans="1:11" ht="15.75" hidden="1" customHeight="1">
      <c r="A604" s="133" t="s">
        <v>7</v>
      </c>
      <c r="B604" s="133" t="s">
        <v>170</v>
      </c>
      <c r="C604" s="133" t="s">
        <v>1297</v>
      </c>
      <c r="D604" s="133" t="s">
        <v>717</v>
      </c>
      <c r="E604" s="158">
        <v>9</v>
      </c>
      <c r="F604" s="158">
        <v>18</v>
      </c>
      <c r="G604" s="158">
        <v>0</v>
      </c>
      <c r="H604" s="160" t="s">
        <v>1298</v>
      </c>
      <c r="I604" s="133" t="s">
        <v>615</v>
      </c>
      <c r="J604" s="158">
        <v>0</v>
      </c>
      <c r="K604" s="159" t="str">
        <f ca="1">IFERROR(__xludf.DUMMYFUNCTION("GOOGLETRANSLATE(H602,""th"",""en"")"),"Registered capital")</f>
        <v>Registered capital</v>
      </c>
    </row>
    <row r="605" spans="1:11" ht="15.75" hidden="1" customHeight="1">
      <c r="A605" s="133" t="s">
        <v>7</v>
      </c>
      <c r="B605" s="133" t="s">
        <v>170</v>
      </c>
      <c r="C605" s="133" t="s">
        <v>1320</v>
      </c>
      <c r="D605" s="133" t="s">
        <v>477</v>
      </c>
      <c r="E605" s="158">
        <v>50</v>
      </c>
      <c r="F605" s="158">
        <v>0</v>
      </c>
      <c r="G605" s="158">
        <v>0</v>
      </c>
      <c r="H605" s="133" t="s">
        <v>1321</v>
      </c>
      <c r="I605" s="133" t="s">
        <v>548</v>
      </c>
      <c r="J605" s="277">
        <v>1</v>
      </c>
      <c r="K605" s="159" t="str">
        <f ca="1">IFERROR(__xludf.DUMMYFUNCTION("GOOGLETRANSLATE(H614,""th"",""en"")"),"CompanyID storage, customer case is (E-Procument)")</f>
        <v>CompanyID storage, customer case is (E-Procument)</v>
      </c>
    </row>
    <row r="606" spans="1:11" ht="15.75" hidden="1" customHeight="1">
      <c r="A606" s="133" t="s">
        <v>7</v>
      </c>
      <c r="B606" s="133" t="s">
        <v>170</v>
      </c>
      <c r="C606" s="133" t="s">
        <v>1334</v>
      </c>
      <c r="D606" s="133" t="s">
        <v>477</v>
      </c>
      <c r="E606" s="158">
        <v>8</v>
      </c>
      <c r="F606" s="158">
        <v>0</v>
      </c>
      <c r="G606" s="158">
        <v>0</v>
      </c>
      <c r="H606" s="133" t="s">
        <v>1282</v>
      </c>
      <c r="I606" s="133" t="s">
        <v>548</v>
      </c>
      <c r="J606" s="158">
        <v>0</v>
      </c>
      <c r="K606" s="159" t="str">
        <f ca="1">IFERROR(__xludf.DUMMYFUNCTION("GOOGLETRANSLATE(H622,""th"",""en"")"),"Creator code")</f>
        <v>Creator code</v>
      </c>
    </row>
    <row r="607" spans="1:11" ht="15.75" hidden="1" customHeight="1">
      <c r="A607" s="133" t="s">
        <v>7</v>
      </c>
      <c r="B607" s="133" t="s">
        <v>170</v>
      </c>
      <c r="C607" s="133" t="s">
        <v>184</v>
      </c>
      <c r="D607" s="133" t="s">
        <v>538</v>
      </c>
      <c r="E607" s="158">
        <v>8</v>
      </c>
      <c r="F607" s="158">
        <v>23</v>
      </c>
      <c r="G607" s="158">
        <v>3</v>
      </c>
      <c r="H607" s="133" t="s">
        <v>735</v>
      </c>
      <c r="I607" s="133" t="s">
        <v>1284</v>
      </c>
      <c r="J607" s="158">
        <v>0</v>
      </c>
      <c r="K607" s="159" t="str">
        <f ca="1">IFERROR(__xludf.DUMMYFUNCTION("GOOGLETRANSLATE(H623,""th"",""en"")"),"Date created")</f>
        <v>Date created</v>
      </c>
    </row>
    <row r="608" spans="1:11" ht="15.75" hidden="1" customHeight="1">
      <c r="A608" s="133" t="s">
        <v>7</v>
      </c>
      <c r="B608" s="133" t="s">
        <v>170</v>
      </c>
      <c r="C608" s="133" t="s">
        <v>1333</v>
      </c>
      <c r="D608" s="133" t="s">
        <v>477</v>
      </c>
      <c r="E608" s="158">
        <v>100</v>
      </c>
      <c r="F608" s="158">
        <v>0</v>
      </c>
      <c r="G608" s="158">
        <v>0</v>
      </c>
      <c r="H608" s="133" t="s">
        <v>734</v>
      </c>
      <c r="I608" s="133" t="s">
        <v>548</v>
      </c>
      <c r="J608" s="158">
        <v>0</v>
      </c>
      <c r="K608" s="159" t="str">
        <f ca="1">IFERROR(__xludf.DUMMYFUNCTION("GOOGLETRANSLATE(H621,""th"",""en"")"),"Creator name")</f>
        <v>Creator name</v>
      </c>
    </row>
    <row r="609" spans="1:11" ht="15.75" hidden="1" customHeight="1">
      <c r="A609" s="133" t="s">
        <v>7</v>
      </c>
      <c r="B609" s="133" t="s">
        <v>170</v>
      </c>
      <c r="C609" s="133" t="s">
        <v>1308</v>
      </c>
      <c r="D609" s="133" t="s">
        <v>477</v>
      </c>
      <c r="E609" s="158">
        <v>50</v>
      </c>
      <c r="F609" s="158">
        <v>0</v>
      </c>
      <c r="G609" s="158">
        <v>0</v>
      </c>
      <c r="H609" s="133" t="s">
        <v>1309</v>
      </c>
      <c r="I609" s="133" t="s">
        <v>1210</v>
      </c>
      <c r="J609" s="277">
        <v>1</v>
      </c>
      <c r="K609" s="159" t="str">
        <f ca="1">IFERROR(__xludf.DUMMYFUNCTION("GOOGLETRANSLATE(H608,""th"",""en"")"),"Flag that there is a company certificate document")</f>
        <v>Flag that there is a company certificate document</v>
      </c>
    </row>
    <row r="610" spans="1:11" ht="15.75" hidden="1" customHeight="1">
      <c r="A610" s="133" t="s">
        <v>7</v>
      </c>
      <c r="B610" s="133" t="s">
        <v>170</v>
      </c>
      <c r="C610" s="133" t="s">
        <v>1310</v>
      </c>
      <c r="D610" s="133" t="s">
        <v>477</v>
      </c>
      <c r="E610" s="158">
        <v>50</v>
      </c>
      <c r="F610" s="158">
        <v>0</v>
      </c>
      <c r="G610" s="158">
        <v>0</v>
      </c>
      <c r="H610" s="133" t="s">
        <v>1311</v>
      </c>
      <c r="I610" s="133" t="s">
        <v>548</v>
      </c>
      <c r="J610" s="277">
        <v>1</v>
      </c>
      <c r="K610" s="159" t="str">
        <f ca="1">IFERROR(__xludf.DUMMYFUNCTION("GOOGLETRANSLATE(H609,""th"",""en"")"),"Flag that there are 20 Doctor / BP.")</f>
        <v>Flag that there are 20 Doctor / BP.</v>
      </c>
    </row>
    <row r="611" spans="1:11" ht="15.75" hidden="1" customHeight="1">
      <c r="A611" s="133" t="s">
        <v>7</v>
      </c>
      <c r="B611" s="133" t="s">
        <v>170</v>
      </c>
      <c r="C611" s="133" t="s">
        <v>1312</v>
      </c>
      <c r="D611" s="133" t="s">
        <v>477</v>
      </c>
      <c r="E611" s="158">
        <v>50</v>
      </c>
      <c r="F611" s="158">
        <v>0</v>
      </c>
      <c r="G611" s="158">
        <v>0</v>
      </c>
      <c r="H611" s="133" t="s">
        <v>1313</v>
      </c>
      <c r="I611" s="133" t="s">
        <v>548</v>
      </c>
      <c r="J611" s="277">
        <v>1</v>
      </c>
      <c r="K611" s="159" t="str">
        <f ca="1">IFERROR(__xludf.DUMMYFUNCTION("GOOGLETRANSLATE(H610,""th"",""en"")"),"Flag that there is a company map")</f>
        <v>Flag that there is a company map</v>
      </c>
    </row>
    <row r="612" spans="1:11" ht="15.75" hidden="1" customHeight="1">
      <c r="A612" s="133" t="s">
        <v>7</v>
      </c>
      <c r="B612" s="133" t="s">
        <v>170</v>
      </c>
      <c r="C612" s="133" t="s">
        <v>1328</v>
      </c>
      <c r="D612" s="133" t="s">
        <v>477</v>
      </c>
      <c r="E612" s="158">
        <v>3</v>
      </c>
      <c r="F612" s="158">
        <v>0</v>
      </c>
      <c r="G612" s="158">
        <v>0</v>
      </c>
      <c r="H612" s="133" t="s">
        <v>1329</v>
      </c>
      <c r="I612" s="133" t="s">
        <v>596</v>
      </c>
      <c r="J612" s="277">
        <v>1</v>
      </c>
      <c r="K612" s="159" t="str">
        <f ca="1">IFERROR(__xludf.DUMMYFUNCTION("GOOGLETRANSLATE(H618,""th"",""en"")"),"Embassy customers")</f>
        <v>Embassy customers</v>
      </c>
    </row>
    <row r="613" spans="1:11" ht="15.75" hidden="1" customHeight="1">
      <c r="A613" s="133" t="s">
        <v>7</v>
      </c>
      <c r="B613" s="133" t="s">
        <v>170</v>
      </c>
      <c r="C613" s="133" t="s">
        <v>1299</v>
      </c>
      <c r="D613" s="133" t="s">
        <v>484</v>
      </c>
      <c r="E613" s="158">
        <v>4</v>
      </c>
      <c r="F613" s="158">
        <v>10</v>
      </c>
      <c r="G613" s="158">
        <v>0</v>
      </c>
      <c r="H613" s="133" t="s">
        <v>1300</v>
      </c>
      <c r="I613" s="133" t="s">
        <v>615</v>
      </c>
      <c r="J613" s="158">
        <v>0</v>
      </c>
      <c r="K613" s="159" t="str">
        <f ca="1">IFERROR(__xludf.DUMMYFUNCTION("GOOGLETRANSLATE(H603,""th"",""en"")"),"Number of employees in the company")</f>
        <v>Number of employees in the company</v>
      </c>
    </row>
    <row r="614" spans="1:11" ht="15.75" hidden="1" customHeight="1">
      <c r="A614" s="133" t="s">
        <v>7</v>
      </c>
      <c r="B614" s="133" t="s">
        <v>170</v>
      </c>
      <c r="C614" s="133" t="s">
        <v>1306</v>
      </c>
      <c r="D614" s="133" t="s">
        <v>484</v>
      </c>
      <c r="E614" s="158">
        <v>4</v>
      </c>
      <c r="F614" s="158">
        <v>10</v>
      </c>
      <c r="G614" s="158">
        <v>0</v>
      </c>
      <c r="H614" s="133" t="s">
        <v>1307</v>
      </c>
      <c r="I614" s="133" t="s">
        <v>615</v>
      </c>
      <c r="J614" s="158">
        <v>0</v>
      </c>
      <c r="K614" s="159" t="str">
        <f ca="1">IFERROR(__xludf.DUMMYFUNCTION("GOOGLETRANSLATE(H607,""th"",""en"")"),"Number of frequency in order (Expected on the open date date)")</f>
        <v>Number of frequency in order (Expected on the open date date)</v>
      </c>
    </row>
    <row r="615" spans="1:11" ht="15.75" hidden="1" customHeight="1">
      <c r="A615" s="133" t="s">
        <v>7</v>
      </c>
      <c r="B615" s="133" t="s">
        <v>170</v>
      </c>
      <c r="C615" s="133" t="s">
        <v>1330</v>
      </c>
      <c r="D615" s="133" t="s">
        <v>477</v>
      </c>
      <c r="E615" s="158">
        <v>3</v>
      </c>
      <c r="F615" s="158">
        <v>0</v>
      </c>
      <c r="G615" s="158">
        <v>0</v>
      </c>
      <c r="H615" s="133" t="s">
        <v>1331</v>
      </c>
      <c r="I615" s="133" t="s">
        <v>596</v>
      </c>
      <c r="J615" s="158">
        <v>0</v>
      </c>
      <c r="K615" s="159" t="str">
        <f ca="1">IFERROR(__xludf.DUMMYFUNCTION("GOOGLETRANSLATE(H619,""th"",""en"")"),"Government customers")</f>
        <v>Government customers</v>
      </c>
    </row>
    <row r="616" spans="1:11" ht="15.75" hidden="1" customHeight="1">
      <c r="A616" s="133" t="s">
        <v>7</v>
      </c>
      <c r="B616" s="133" t="s">
        <v>170</v>
      </c>
      <c r="C616" s="133" t="s">
        <v>1314</v>
      </c>
      <c r="D616" s="133" t="s">
        <v>477</v>
      </c>
      <c r="E616" s="158">
        <v>-1</v>
      </c>
      <c r="F616" s="158">
        <v>0</v>
      </c>
      <c r="G616" s="158">
        <v>0</v>
      </c>
      <c r="H616" s="133" t="s">
        <v>1315</v>
      </c>
      <c r="I616" s="133" t="s">
        <v>548</v>
      </c>
      <c r="J616" s="277">
        <v>1</v>
      </c>
      <c r="K616" s="159" t="str">
        <f ca="1">IFERROR(__xludf.DUMMYFUNCTION("GOOGLETRANSLATE(H611,""th"",""en"")"),"ID of Data Source of Survey How to Know Officemate? (Collect information as a name)")</f>
        <v>ID of Data Source of Survey How to Know Officemate? (Collect information as a name)</v>
      </c>
    </row>
    <row r="617" spans="1:11" ht="15.75" hidden="1" customHeight="1">
      <c r="A617" s="133" t="s">
        <v>7</v>
      </c>
      <c r="B617" s="133" t="s">
        <v>170</v>
      </c>
      <c r="C617" s="133" t="s">
        <v>1316</v>
      </c>
      <c r="D617" s="133" t="s">
        <v>477</v>
      </c>
      <c r="E617" s="158">
        <v>-1</v>
      </c>
      <c r="F617" s="158">
        <v>0</v>
      </c>
      <c r="G617" s="158">
        <v>0</v>
      </c>
      <c r="H617" s="133" t="s">
        <v>1317</v>
      </c>
      <c r="I617" s="133" t="s">
        <v>548</v>
      </c>
      <c r="J617" s="277">
        <v>1</v>
      </c>
      <c r="K617" s="159" t="str">
        <f ca="1">IFERROR(__xludf.DUMMYFUNCTION("GOOGLETRANSLATE(H612,""th"",""en"")"),"other")</f>
        <v>other</v>
      </c>
    </row>
    <row r="618" spans="1:11" ht="15.75" hidden="1" customHeight="1">
      <c r="A618" s="133" t="s">
        <v>7</v>
      </c>
      <c r="B618" s="133" t="s">
        <v>170</v>
      </c>
      <c r="C618" s="133" t="s">
        <v>1304</v>
      </c>
      <c r="D618" s="133" t="s">
        <v>481</v>
      </c>
      <c r="E618" s="158">
        <v>9</v>
      </c>
      <c r="F618" s="158">
        <v>18</v>
      </c>
      <c r="G618" s="158">
        <v>2</v>
      </c>
      <c r="H618" s="133" t="s">
        <v>1305</v>
      </c>
      <c r="I618" s="133" t="s">
        <v>615</v>
      </c>
      <c r="J618" s="158">
        <v>0</v>
      </c>
      <c r="K618" s="159" t="str">
        <f ca="1">IFERROR(__xludf.DUMMYFUNCTION("GOOGLETRANSLATE(H606,""th"",""en"")"),"Maximum order Expected to be purchased per month, asked at the first customer opening day")</f>
        <v>Maximum order Expected to be purchased per month, asked at the first customer opening day</v>
      </c>
    </row>
    <row r="619" spans="1:11" ht="15.75" hidden="1" customHeight="1">
      <c r="A619" s="133" t="s">
        <v>7</v>
      </c>
      <c r="B619" s="133" t="s">
        <v>170</v>
      </c>
      <c r="C619" s="133" t="s">
        <v>1302</v>
      </c>
      <c r="D619" s="133" t="s">
        <v>481</v>
      </c>
      <c r="E619" s="158">
        <v>9</v>
      </c>
      <c r="F619" s="158">
        <v>18</v>
      </c>
      <c r="G619" s="158">
        <v>2</v>
      </c>
      <c r="H619" s="133" t="s">
        <v>1303</v>
      </c>
      <c r="I619" s="133" t="s">
        <v>615</v>
      </c>
      <c r="J619" s="158">
        <v>0</v>
      </c>
      <c r="K619" s="159" t="str">
        <f ca="1">IFERROR(__xludf.DUMMYFUNCTION("GOOGLETRANSLATE(H605,""th"",""en"")"),"Lowest order Expected to be purchased per month, asked at the first customer opening day")</f>
        <v>Lowest order Expected to be purchased per month, asked at the first customer opening day</v>
      </c>
    </row>
    <row r="620" spans="1:11" ht="15.75" hidden="1" customHeight="1">
      <c r="A620" s="133" t="s">
        <v>7</v>
      </c>
      <c r="B620" s="133" t="s">
        <v>170</v>
      </c>
      <c r="C620" s="133" t="s">
        <v>1324</v>
      </c>
      <c r="D620" s="133" t="s">
        <v>477</v>
      </c>
      <c r="E620" s="158">
        <v>50</v>
      </c>
      <c r="F620" s="158">
        <v>0</v>
      </c>
      <c r="G620" s="158">
        <v>0</v>
      </c>
      <c r="H620" s="160" t="s">
        <v>1325</v>
      </c>
      <c r="I620" s="133" t="s">
        <v>548</v>
      </c>
      <c r="J620" s="277">
        <v>1</v>
      </c>
      <c r="K620" s="159" t="str">
        <f ca="1">IFERROR(__xludf.DUMMYFUNCTION("GOOGLETRANSLATE(H616,""th"",""en"")"),"Trade registration number")</f>
        <v>Trade registration number</v>
      </c>
    </row>
    <row r="621" spans="1:11" ht="15.75" hidden="1" customHeight="1">
      <c r="A621" s="133" t="s">
        <v>7</v>
      </c>
      <c r="B621" s="133" t="s">
        <v>170</v>
      </c>
      <c r="C621" s="133" t="s">
        <v>1336</v>
      </c>
      <c r="D621" s="133" t="s">
        <v>477</v>
      </c>
      <c r="E621" s="158">
        <v>8</v>
      </c>
      <c r="F621" s="158">
        <v>0</v>
      </c>
      <c r="G621" s="158">
        <v>0</v>
      </c>
      <c r="H621" s="133" t="s">
        <v>1285</v>
      </c>
      <c r="I621" s="133" t="s">
        <v>548</v>
      </c>
      <c r="J621" s="158">
        <v>0</v>
      </c>
      <c r="K621" s="159" t="str">
        <f ca="1">IFERROR(__xludf.DUMMYFUNCTION("GOOGLETRANSLATE(H625,""th"",""en"")"),"Editor code")</f>
        <v>Editor code</v>
      </c>
    </row>
    <row r="622" spans="1:11" ht="15.75" hidden="1" customHeight="1">
      <c r="A622" s="133" t="s">
        <v>7</v>
      </c>
      <c r="B622" s="133" t="s">
        <v>170</v>
      </c>
      <c r="C622" s="133" t="s">
        <v>175</v>
      </c>
      <c r="D622" s="133" t="s">
        <v>538</v>
      </c>
      <c r="E622" s="158">
        <v>8</v>
      </c>
      <c r="F622" s="158">
        <v>23</v>
      </c>
      <c r="G622" s="158">
        <v>3</v>
      </c>
      <c r="H622" s="133" t="s">
        <v>803</v>
      </c>
      <c r="I622" s="133" t="s">
        <v>1284</v>
      </c>
      <c r="J622" s="158">
        <v>0</v>
      </c>
      <c r="K622" s="159" t="str">
        <f ca="1">IFERROR(__xludf.DUMMYFUNCTION("GOOGLETRANSLATE(H626,""th"",""en"")"),"Edit date")</f>
        <v>Edit date</v>
      </c>
    </row>
    <row r="623" spans="1:11" ht="15.75" hidden="1" customHeight="1">
      <c r="A623" s="133" t="s">
        <v>7</v>
      </c>
      <c r="B623" s="133" t="s">
        <v>170</v>
      </c>
      <c r="C623" s="133" t="s">
        <v>1332</v>
      </c>
      <c r="D623" s="133" t="s">
        <v>477</v>
      </c>
      <c r="E623" s="158">
        <v>3</v>
      </c>
      <c r="F623" s="158">
        <v>0</v>
      </c>
      <c r="G623" s="158">
        <v>0</v>
      </c>
      <c r="H623" s="133"/>
      <c r="I623" s="133" t="s">
        <v>596</v>
      </c>
      <c r="J623" s="158">
        <v>0</v>
      </c>
      <c r="K623" s="159" t="str">
        <f ca="1">IFERROR(__xludf.DUMMYFUNCTION("GOOGLETRANSLATE(H620,""th"",""en"")"),"#VALUE!")</f>
        <v>#VALUE!</v>
      </c>
    </row>
    <row r="624" spans="1:11" ht="15.75" hidden="1" customHeight="1">
      <c r="A624" s="133" t="s">
        <v>7</v>
      </c>
      <c r="B624" s="133" t="s">
        <v>170</v>
      </c>
      <c r="C624" s="133" t="s">
        <v>1335</v>
      </c>
      <c r="D624" s="133" t="s">
        <v>477</v>
      </c>
      <c r="E624" s="158">
        <v>100</v>
      </c>
      <c r="F624" s="158">
        <v>0</v>
      </c>
      <c r="G624" s="158">
        <v>0</v>
      </c>
      <c r="H624" s="133" t="s">
        <v>802</v>
      </c>
      <c r="I624" s="133" t="s">
        <v>548</v>
      </c>
      <c r="J624" s="158">
        <v>0</v>
      </c>
      <c r="K624" s="159" t="str">
        <f ca="1">IFERROR(__xludf.DUMMYFUNCTION("GOOGLETRANSLATE(H624,""th"",""en"")"),"Editor")</f>
        <v>Editor</v>
      </c>
    </row>
    <row r="625" spans="1:11" ht="15.75" hidden="1" customHeight="1">
      <c r="A625" s="133" t="s">
        <v>7</v>
      </c>
      <c r="B625" s="133" t="s">
        <v>170</v>
      </c>
      <c r="C625" s="133" t="s">
        <v>1293</v>
      </c>
      <c r="D625" s="133" t="s">
        <v>477</v>
      </c>
      <c r="E625" s="158">
        <v>50</v>
      </c>
      <c r="F625" s="158">
        <v>0</v>
      </c>
      <c r="G625" s="158">
        <v>0</v>
      </c>
      <c r="H625" s="133" t="s">
        <v>1294</v>
      </c>
      <c r="I625" s="133" t="s">
        <v>548</v>
      </c>
      <c r="J625" s="158">
        <v>0</v>
      </c>
      <c r="K625" s="159" t="str">
        <f ca="1">IFERROR(__xludf.DUMMYFUNCTION("GOOGLETRANSLATE(H600,""th"",""en"")"),"Customer working day")</f>
        <v>Customer working day</v>
      </c>
    </row>
    <row r="626" spans="1:11" ht="15.75" hidden="1" customHeight="1">
      <c r="A626" s="133" t="s">
        <v>7</v>
      </c>
      <c r="B626" s="133" t="s">
        <v>170</v>
      </c>
      <c r="C626" s="133" t="s">
        <v>1295</v>
      </c>
      <c r="D626" s="133" t="s">
        <v>477</v>
      </c>
      <c r="E626" s="158">
        <v>50</v>
      </c>
      <c r="F626" s="158">
        <v>0</v>
      </c>
      <c r="G626" s="158">
        <v>0</v>
      </c>
      <c r="H626" s="133" t="s">
        <v>1296</v>
      </c>
      <c r="I626" s="133" t="s">
        <v>548</v>
      </c>
      <c r="J626" s="158">
        <v>0</v>
      </c>
      <c r="K626" s="159" t="str">
        <f ca="1">IFERROR(__xludf.DUMMYFUNCTION("GOOGLETRANSLATE(H601,""th"",""en"")"),"Customer business hours")</f>
        <v>Customer business hours</v>
      </c>
    </row>
    <row r="627" spans="1:11" ht="15.75" hidden="1" customHeight="1">
      <c r="A627" s="133" t="s">
        <v>7</v>
      </c>
      <c r="B627" s="133" t="s">
        <v>177</v>
      </c>
      <c r="C627" s="133" t="s">
        <v>1337</v>
      </c>
      <c r="D627" s="133" t="s">
        <v>477</v>
      </c>
      <c r="E627" s="158">
        <v>7</v>
      </c>
      <c r="F627" s="158">
        <v>0</v>
      </c>
      <c r="G627" s="158">
        <v>0</v>
      </c>
      <c r="H627" s="133" t="s">
        <v>1338</v>
      </c>
      <c r="I627" s="133" t="s">
        <v>548</v>
      </c>
      <c r="J627" s="158">
        <v>0</v>
      </c>
      <c r="K627" s="159" t="str">
        <f ca="1">IFERROR(__xludf.DUMMYFUNCTION("GOOGLETRANSLATE(H627,""th"",""en"")"),"SALEREPT Code")</f>
        <v>SALEREPT Code</v>
      </c>
    </row>
    <row r="628" spans="1:11" ht="15.75" hidden="1" customHeight="1">
      <c r="A628" s="133" t="s">
        <v>7</v>
      </c>
      <c r="B628" s="133" t="s">
        <v>177</v>
      </c>
      <c r="C628" s="133" t="s">
        <v>1339</v>
      </c>
      <c r="D628" s="133" t="s">
        <v>477</v>
      </c>
      <c r="E628" s="158">
        <v>7</v>
      </c>
      <c r="F628" s="158">
        <v>0</v>
      </c>
      <c r="G628" s="158">
        <v>0</v>
      </c>
      <c r="H628" s="133" t="s">
        <v>1340</v>
      </c>
      <c r="I628" s="133" t="s">
        <v>548</v>
      </c>
      <c r="J628" s="158">
        <v>0</v>
      </c>
      <c r="K628" s="159" t="str">
        <f ca="1">IFERROR(__xludf.DUMMYFUNCTION("GOOGLETRANSLATE(H628,""th"",""en"")"),"Class code")</f>
        <v>Class code</v>
      </c>
    </row>
    <row r="629" spans="1:11" ht="15.75" hidden="1" customHeight="1">
      <c r="A629" s="133" t="s">
        <v>7</v>
      </c>
      <c r="B629" s="133" t="s">
        <v>177</v>
      </c>
      <c r="C629" s="133" t="s">
        <v>1341</v>
      </c>
      <c r="D629" s="133" t="s">
        <v>477</v>
      </c>
      <c r="E629" s="158">
        <v>20</v>
      </c>
      <c r="F629" s="158">
        <v>0</v>
      </c>
      <c r="G629" s="158">
        <v>0</v>
      </c>
      <c r="H629" s="133" t="s">
        <v>1342</v>
      </c>
      <c r="I629" s="133" t="s">
        <v>548</v>
      </c>
      <c r="J629" s="158">
        <v>0</v>
      </c>
      <c r="K629" s="159" t="str">
        <f ca="1">IFERROR(__xludf.DUMMYFUNCTION("GOOGLETRANSLATE(H629,""th"",""en"")"),"SALEEREPT GROUP code")</f>
        <v>SALEEREPT GROUP code</v>
      </c>
    </row>
    <row r="630" spans="1:11" ht="15.75" hidden="1" customHeight="1">
      <c r="A630" s="133" t="s">
        <v>7</v>
      </c>
      <c r="B630" s="133" t="s">
        <v>177</v>
      </c>
      <c r="C630" s="133" t="s">
        <v>1343</v>
      </c>
      <c r="D630" s="133" t="s">
        <v>477</v>
      </c>
      <c r="E630" s="158">
        <v>400</v>
      </c>
      <c r="F630" s="158">
        <v>0</v>
      </c>
      <c r="G630" s="158">
        <v>0</v>
      </c>
      <c r="H630" s="133" t="s">
        <v>1344</v>
      </c>
      <c r="I630" s="133" t="s">
        <v>548</v>
      </c>
      <c r="J630" s="158">
        <v>0</v>
      </c>
      <c r="K630" s="159" t="str">
        <f ca="1">IFERROR(__xludf.DUMMYFUNCTION("GOOGLETRANSLATE(H630,""th"",""en"")"),"Meaning of each class")</f>
        <v>Meaning of each class</v>
      </c>
    </row>
    <row r="631" spans="1:11" ht="15.75" hidden="1" customHeight="1">
      <c r="A631" s="133" t="s">
        <v>7</v>
      </c>
      <c r="B631" s="133" t="s">
        <v>177</v>
      </c>
      <c r="C631" s="133" t="s">
        <v>1345</v>
      </c>
      <c r="D631" s="133" t="s">
        <v>477</v>
      </c>
      <c r="E631" s="158">
        <v>3</v>
      </c>
      <c r="F631" s="158">
        <v>0</v>
      </c>
      <c r="G631" s="158">
        <v>0</v>
      </c>
      <c r="H631" s="133" t="s">
        <v>1346</v>
      </c>
      <c r="I631" s="133" t="s">
        <v>596</v>
      </c>
      <c r="J631" s="158">
        <v>0</v>
      </c>
      <c r="K631" s="159" t="str">
        <f ca="1">IFERROR(__xludf.DUMMYFUNCTION("GOOGLETRANSLATE(H631,""th"",""en"")"),"Flag for locking from confirm order (yes = not to confirm, no = confirm)")</f>
        <v>Flag for locking from confirm order (yes = not to confirm, no = confirm)</v>
      </c>
    </row>
    <row r="632" spans="1:11" ht="15.75" hidden="1" customHeight="1">
      <c r="A632" s="133" t="s">
        <v>7</v>
      </c>
      <c r="B632" s="133" t="s">
        <v>177</v>
      </c>
      <c r="C632" s="133" t="s">
        <v>1333</v>
      </c>
      <c r="D632" s="133" t="s">
        <v>477</v>
      </c>
      <c r="E632" s="158">
        <v>100</v>
      </c>
      <c r="F632" s="158">
        <v>0</v>
      </c>
      <c r="G632" s="158">
        <v>0</v>
      </c>
      <c r="H632" s="133" t="s">
        <v>734</v>
      </c>
      <c r="I632" s="133" t="s">
        <v>548</v>
      </c>
      <c r="J632" s="158">
        <v>0</v>
      </c>
      <c r="K632" s="159" t="str">
        <f ca="1">IFERROR(__xludf.DUMMYFUNCTION("GOOGLETRANSLATE(H632,""th"",""en"")"),"Creator name")</f>
        <v>Creator name</v>
      </c>
    </row>
    <row r="633" spans="1:11" ht="15.75" hidden="1" customHeight="1">
      <c r="A633" s="133" t="s">
        <v>7</v>
      </c>
      <c r="B633" s="133" t="s">
        <v>177</v>
      </c>
      <c r="C633" s="133" t="s">
        <v>1334</v>
      </c>
      <c r="D633" s="133" t="s">
        <v>477</v>
      </c>
      <c r="E633" s="158">
        <v>8</v>
      </c>
      <c r="F633" s="158">
        <v>0</v>
      </c>
      <c r="G633" s="158">
        <v>0</v>
      </c>
      <c r="H633" s="133" t="s">
        <v>1282</v>
      </c>
      <c r="I633" s="133" t="s">
        <v>548</v>
      </c>
      <c r="J633" s="158">
        <v>0</v>
      </c>
      <c r="K633" s="159" t="str">
        <f ca="1">IFERROR(__xludf.DUMMYFUNCTION("GOOGLETRANSLATE(H633,""th"",""en"")"),"Creator code")</f>
        <v>Creator code</v>
      </c>
    </row>
    <row r="634" spans="1:11" ht="15.75" hidden="1" customHeight="1">
      <c r="A634" s="133" t="s">
        <v>7</v>
      </c>
      <c r="B634" s="133" t="s">
        <v>177</v>
      </c>
      <c r="C634" s="133" t="s">
        <v>184</v>
      </c>
      <c r="D634" s="133" t="s">
        <v>538</v>
      </c>
      <c r="E634" s="158">
        <v>8</v>
      </c>
      <c r="F634" s="158">
        <v>23</v>
      </c>
      <c r="G634" s="158">
        <v>3</v>
      </c>
      <c r="H634" s="133" t="s">
        <v>735</v>
      </c>
      <c r="I634" s="133" t="s">
        <v>1284</v>
      </c>
      <c r="J634" s="158">
        <v>0</v>
      </c>
      <c r="K634" s="159" t="str">
        <f ca="1">IFERROR(__xludf.DUMMYFUNCTION("GOOGLETRANSLATE(H634,""th"",""en"")"),"Date created")</f>
        <v>Date created</v>
      </c>
    </row>
    <row r="635" spans="1:11" ht="15.75" hidden="1" customHeight="1">
      <c r="A635" s="133" t="s">
        <v>7</v>
      </c>
      <c r="B635" s="133" t="s">
        <v>177</v>
      </c>
      <c r="C635" s="133" t="s">
        <v>1335</v>
      </c>
      <c r="D635" s="133" t="s">
        <v>477</v>
      </c>
      <c r="E635" s="158">
        <v>100</v>
      </c>
      <c r="F635" s="158">
        <v>0</v>
      </c>
      <c r="G635" s="158">
        <v>0</v>
      </c>
      <c r="H635" s="133" t="s">
        <v>802</v>
      </c>
      <c r="I635" s="133" t="s">
        <v>548</v>
      </c>
      <c r="J635" s="158">
        <v>0</v>
      </c>
      <c r="K635" s="159" t="str">
        <f ca="1">IFERROR(__xludf.DUMMYFUNCTION("GOOGLETRANSLATE(H635,""th"",""en"")"),"Editor")</f>
        <v>Editor</v>
      </c>
    </row>
    <row r="636" spans="1:11" ht="15.75" hidden="1" customHeight="1">
      <c r="A636" s="133" t="s">
        <v>7</v>
      </c>
      <c r="B636" s="133" t="s">
        <v>177</v>
      </c>
      <c r="C636" s="133" t="s">
        <v>1336</v>
      </c>
      <c r="D636" s="133" t="s">
        <v>477</v>
      </c>
      <c r="E636" s="158">
        <v>8</v>
      </c>
      <c r="F636" s="158">
        <v>0</v>
      </c>
      <c r="G636" s="158">
        <v>0</v>
      </c>
      <c r="H636" s="133" t="s">
        <v>1285</v>
      </c>
      <c r="I636" s="133" t="s">
        <v>548</v>
      </c>
      <c r="J636" s="158">
        <v>0</v>
      </c>
      <c r="K636" s="159" t="str">
        <f ca="1">IFERROR(__xludf.DUMMYFUNCTION("GOOGLETRANSLATE(H636,""th"",""en"")"),"Editor code")</f>
        <v>Editor code</v>
      </c>
    </row>
    <row r="637" spans="1:11" ht="15.75" hidden="1" customHeight="1">
      <c r="A637" s="133" t="s">
        <v>7</v>
      </c>
      <c r="B637" s="133" t="s">
        <v>177</v>
      </c>
      <c r="C637" s="133" t="s">
        <v>175</v>
      </c>
      <c r="D637" s="133" t="s">
        <v>538</v>
      </c>
      <c r="E637" s="158">
        <v>8</v>
      </c>
      <c r="F637" s="158">
        <v>23</v>
      </c>
      <c r="G637" s="158">
        <v>3</v>
      </c>
      <c r="H637" s="133" t="s">
        <v>803</v>
      </c>
      <c r="I637" s="133" t="s">
        <v>1284</v>
      </c>
      <c r="J637" s="158">
        <v>0</v>
      </c>
      <c r="K637" s="159" t="str">
        <f ca="1">IFERROR(__xludf.DUMMYFUNCTION("GOOGLETRANSLATE(H637,""th"",""en"")"),"Edit date")</f>
        <v>Edit date</v>
      </c>
    </row>
    <row r="638" spans="1:11" ht="15.75" hidden="1" customHeight="1">
      <c r="A638" s="133" t="s">
        <v>7</v>
      </c>
      <c r="B638" s="133" t="s">
        <v>179</v>
      </c>
      <c r="C638" s="133" t="s">
        <v>174</v>
      </c>
      <c r="D638" s="133" t="s">
        <v>477</v>
      </c>
      <c r="E638" s="158">
        <v>8</v>
      </c>
      <c r="F638" s="158">
        <v>0</v>
      </c>
      <c r="G638" s="158">
        <v>0</v>
      </c>
      <c r="H638" s="133" t="s">
        <v>1292</v>
      </c>
      <c r="I638" s="133" t="s">
        <v>548</v>
      </c>
      <c r="J638" s="158">
        <v>0</v>
      </c>
      <c r="K638" s="159" t="str">
        <f ca="1">IFERROR(__xludf.DUMMYFUNCTION("GOOGLETRANSLATE(H638,""th"",""en"")"),"Customer code")</f>
        <v>Customer code</v>
      </c>
    </row>
    <row r="639" spans="1:11" ht="15.75" hidden="1" customHeight="1">
      <c r="A639" s="133" t="s">
        <v>7</v>
      </c>
      <c r="B639" s="133" t="s">
        <v>179</v>
      </c>
      <c r="C639" s="133" t="s">
        <v>1347</v>
      </c>
      <c r="D639" s="133" t="s">
        <v>484</v>
      </c>
      <c r="E639" s="158">
        <v>4</v>
      </c>
      <c r="F639" s="158">
        <v>10</v>
      </c>
      <c r="G639" s="158">
        <v>0</v>
      </c>
      <c r="H639" s="133" t="s">
        <v>1348</v>
      </c>
      <c r="I639" s="133" t="s">
        <v>615</v>
      </c>
      <c r="J639" s="158">
        <v>0</v>
      </c>
      <c r="K639" s="159" t="str">
        <f ca="1">IFERROR(__xludf.DUMMYFUNCTION("GOOGLETRANSLATE(H639,""th"",""en"")"),"Time for Credit (Day)")</f>
        <v>Time for Credit (Day)</v>
      </c>
    </row>
    <row r="640" spans="1:11" ht="15.75" hidden="1" customHeight="1">
      <c r="A640" s="133" t="s">
        <v>7</v>
      </c>
      <c r="B640" s="133" t="s">
        <v>179</v>
      </c>
      <c r="C640" s="133" t="s">
        <v>1349</v>
      </c>
      <c r="D640" s="133" t="s">
        <v>481</v>
      </c>
      <c r="E640" s="158">
        <v>9</v>
      </c>
      <c r="F640" s="158">
        <v>11</v>
      </c>
      <c r="G640" s="158">
        <v>2</v>
      </c>
      <c r="H640" s="133" t="s">
        <v>1350</v>
      </c>
      <c r="I640" s="133" t="s">
        <v>1223</v>
      </c>
      <c r="J640" s="158">
        <v>0</v>
      </c>
      <c r="K640" s="159" t="str">
        <f ca="1">IFERROR(__xludf.DUMMYFUNCTION("GOOGLETRANSLATE(H640,""th"",""en"")"),"Credit balance begins")</f>
        <v>Credit balance begins</v>
      </c>
    </row>
    <row r="641" spans="1:11" ht="15.75" hidden="1" customHeight="1">
      <c r="A641" s="133" t="s">
        <v>7</v>
      </c>
      <c r="B641" s="133" t="s">
        <v>179</v>
      </c>
      <c r="C641" s="133" t="s">
        <v>1351</v>
      </c>
      <c r="D641" s="133" t="s">
        <v>481</v>
      </c>
      <c r="E641" s="158">
        <v>9</v>
      </c>
      <c r="F641" s="158">
        <v>11</v>
      </c>
      <c r="G641" s="158">
        <v>2</v>
      </c>
      <c r="H641" s="133" t="s">
        <v>1352</v>
      </c>
      <c r="I641" s="133" t="s">
        <v>615</v>
      </c>
      <c r="J641" s="158">
        <v>0</v>
      </c>
      <c r="K641" s="159" t="str">
        <f ca="1">IFERROR(__xludf.DUMMYFUNCTION("GOOGLETRANSLATE(H641,""th"",""en"")"),"Latest credit balance")</f>
        <v>Latest credit balance</v>
      </c>
    </row>
    <row r="642" spans="1:11" ht="15.75" hidden="1" customHeight="1">
      <c r="A642" s="133" t="s">
        <v>7</v>
      </c>
      <c r="B642" s="133" t="s">
        <v>179</v>
      </c>
      <c r="C642" s="133" t="s">
        <v>1353</v>
      </c>
      <c r="D642" s="133" t="s">
        <v>481</v>
      </c>
      <c r="E642" s="158">
        <v>9</v>
      </c>
      <c r="F642" s="158">
        <v>11</v>
      </c>
      <c r="G642" s="158">
        <v>2</v>
      </c>
      <c r="H642" s="133" t="s">
        <v>1354</v>
      </c>
      <c r="I642" s="133" t="s">
        <v>1223</v>
      </c>
      <c r="J642" s="158">
        <v>0</v>
      </c>
      <c r="K642" s="159" t="str">
        <f ca="1">IFERROR(__xludf.DUMMYFUNCTION("GOOGLETRANSLATE(H642,""th"",""en"")"),"Credit balance that will be used")</f>
        <v>Credit balance that will be used</v>
      </c>
    </row>
    <row r="643" spans="1:11" ht="15.75" hidden="1" customHeight="1">
      <c r="A643" s="133" t="s">
        <v>7</v>
      </c>
      <c r="B643" s="133" t="s">
        <v>179</v>
      </c>
      <c r="C643" s="133" t="s">
        <v>1355</v>
      </c>
      <c r="D643" s="133" t="s">
        <v>481</v>
      </c>
      <c r="E643" s="158">
        <v>9</v>
      </c>
      <c r="F643" s="158">
        <v>11</v>
      </c>
      <c r="G643" s="158">
        <v>2</v>
      </c>
      <c r="H643" s="133" t="s">
        <v>1356</v>
      </c>
      <c r="I643" s="133" t="s">
        <v>1223</v>
      </c>
      <c r="J643" s="158">
        <v>0</v>
      </c>
      <c r="K643" s="159" t="str">
        <f ca="1">IFERROR(__xludf.DUMMYFUNCTION("GOOGLETRANSLATE(H643,""th"",""en"")"),"Credit amount used")</f>
        <v>Credit amount used</v>
      </c>
    </row>
    <row r="644" spans="1:11" ht="15.75" hidden="1" customHeight="1">
      <c r="A644" s="133" t="s">
        <v>7</v>
      </c>
      <c r="B644" s="133" t="s">
        <v>179</v>
      </c>
      <c r="C644" s="133" t="s">
        <v>1357</v>
      </c>
      <c r="D644" s="133" t="s">
        <v>477</v>
      </c>
      <c r="E644" s="158">
        <v>255</v>
      </c>
      <c r="F644" s="158">
        <v>0</v>
      </c>
      <c r="G644" s="158">
        <v>0</v>
      </c>
      <c r="H644" s="133" t="s">
        <v>1358</v>
      </c>
      <c r="I644" s="133" t="s">
        <v>548</v>
      </c>
      <c r="J644" s="158">
        <v>1</v>
      </c>
      <c r="K644" s="159" t="str">
        <f ca="1">IFERROR(__xludf.DUMMYFUNCTION("GOOGLETRANSLATE(H644,""th"",""en"")"),"Credit notes")</f>
        <v>Credit notes</v>
      </c>
    </row>
    <row r="645" spans="1:11" ht="15.75" hidden="1" customHeight="1">
      <c r="A645" s="133" t="s">
        <v>7</v>
      </c>
      <c r="B645" s="133" t="s">
        <v>179</v>
      </c>
      <c r="C645" s="133" t="s">
        <v>1333</v>
      </c>
      <c r="D645" s="133" t="s">
        <v>477</v>
      </c>
      <c r="E645" s="158">
        <v>100</v>
      </c>
      <c r="F645" s="158">
        <v>0</v>
      </c>
      <c r="G645" s="158">
        <v>0</v>
      </c>
      <c r="H645" s="133" t="s">
        <v>1359</v>
      </c>
      <c r="I645" s="133" t="s">
        <v>548</v>
      </c>
      <c r="J645" s="158">
        <v>0</v>
      </c>
      <c r="K645" s="159" t="str">
        <f ca="1">IFERROR(__xludf.DUMMYFUNCTION("GOOGLETRANSLATE(H645,""th"",""en"")"),"Name")</f>
        <v>Name</v>
      </c>
    </row>
    <row r="646" spans="1:11" ht="15.75" hidden="1" customHeight="1">
      <c r="A646" s="133" t="s">
        <v>7</v>
      </c>
      <c r="B646" s="133" t="s">
        <v>179</v>
      </c>
      <c r="C646" s="133" t="s">
        <v>1334</v>
      </c>
      <c r="D646" s="133" t="s">
        <v>477</v>
      </c>
      <c r="E646" s="158">
        <v>8</v>
      </c>
      <c r="F646" s="158">
        <v>0</v>
      </c>
      <c r="G646" s="158">
        <v>0</v>
      </c>
      <c r="H646" s="133" t="s">
        <v>1282</v>
      </c>
      <c r="I646" s="133" t="s">
        <v>548</v>
      </c>
      <c r="J646" s="158">
        <v>0</v>
      </c>
      <c r="K646" s="159" t="str">
        <f ca="1">IFERROR(__xludf.DUMMYFUNCTION("GOOGLETRANSLATE(H646,""th"",""en"")"),"Creator code")</f>
        <v>Creator code</v>
      </c>
    </row>
    <row r="647" spans="1:11" ht="15.75" hidden="1" customHeight="1">
      <c r="A647" s="133" t="s">
        <v>7</v>
      </c>
      <c r="B647" s="133" t="s">
        <v>179</v>
      </c>
      <c r="C647" s="133" t="s">
        <v>184</v>
      </c>
      <c r="D647" s="133" t="s">
        <v>538</v>
      </c>
      <c r="E647" s="158">
        <v>8</v>
      </c>
      <c r="F647" s="158">
        <v>23</v>
      </c>
      <c r="G647" s="158">
        <v>3</v>
      </c>
      <c r="H647" s="133" t="s">
        <v>1360</v>
      </c>
      <c r="I647" s="133" t="s">
        <v>1284</v>
      </c>
      <c r="J647" s="158">
        <v>0</v>
      </c>
      <c r="K647" s="159" t="str">
        <f ca="1">IFERROR(__xludf.DUMMYFUNCTION("GOOGLETRANSLATE(H647,""th"",""en"")"),"Day")</f>
        <v>Day</v>
      </c>
    </row>
    <row r="648" spans="1:11" ht="15.75" hidden="1" customHeight="1">
      <c r="A648" s="133" t="s">
        <v>7</v>
      </c>
      <c r="B648" s="133" t="s">
        <v>179</v>
      </c>
      <c r="C648" s="133" t="s">
        <v>1335</v>
      </c>
      <c r="D648" s="133" t="s">
        <v>477</v>
      </c>
      <c r="E648" s="158">
        <v>100</v>
      </c>
      <c r="F648" s="158">
        <v>0</v>
      </c>
      <c r="G648" s="158">
        <v>0</v>
      </c>
      <c r="H648" s="133" t="s">
        <v>802</v>
      </c>
      <c r="I648" s="133" t="s">
        <v>548</v>
      </c>
      <c r="J648" s="158">
        <v>0</v>
      </c>
      <c r="K648" s="159" t="str">
        <f ca="1">IFERROR(__xludf.DUMMYFUNCTION("GOOGLETRANSLATE(H648,""th"",""en"")"),"Editor")</f>
        <v>Editor</v>
      </c>
    </row>
    <row r="649" spans="1:11" ht="15.75" hidden="1" customHeight="1">
      <c r="A649" s="133" t="s">
        <v>7</v>
      </c>
      <c r="B649" s="133" t="s">
        <v>179</v>
      </c>
      <c r="C649" s="133" t="s">
        <v>1336</v>
      </c>
      <c r="D649" s="133" t="s">
        <v>477</v>
      </c>
      <c r="E649" s="158">
        <v>8</v>
      </c>
      <c r="F649" s="158">
        <v>0</v>
      </c>
      <c r="G649" s="158">
        <v>0</v>
      </c>
      <c r="H649" s="133" t="s">
        <v>1285</v>
      </c>
      <c r="I649" s="133" t="s">
        <v>548</v>
      </c>
      <c r="J649" s="158">
        <v>0</v>
      </c>
      <c r="K649" s="159" t="str">
        <f ca="1">IFERROR(__xludf.DUMMYFUNCTION("GOOGLETRANSLATE(H649,""th"",""en"")"),"Editor code")</f>
        <v>Editor code</v>
      </c>
    </row>
    <row r="650" spans="1:11" ht="15.75" hidden="1" customHeight="1">
      <c r="A650" s="133" t="s">
        <v>7</v>
      </c>
      <c r="B650" s="133" t="s">
        <v>179</v>
      </c>
      <c r="C650" s="133" t="s">
        <v>175</v>
      </c>
      <c r="D650" s="133" t="s">
        <v>538</v>
      </c>
      <c r="E650" s="158">
        <v>8</v>
      </c>
      <c r="F650" s="158">
        <v>23</v>
      </c>
      <c r="G650" s="158">
        <v>3</v>
      </c>
      <c r="H650" s="133" t="s">
        <v>803</v>
      </c>
      <c r="I650" s="133" t="s">
        <v>1284</v>
      </c>
      <c r="J650" s="158">
        <v>0</v>
      </c>
      <c r="K650" s="159" t="str">
        <f ca="1">IFERROR(__xludf.DUMMYFUNCTION("GOOGLETRANSLATE(H650,""th"",""en"")"),"Edit date")</f>
        <v>Edit date</v>
      </c>
    </row>
    <row r="651" spans="1:11" ht="15.75" hidden="1" customHeight="1">
      <c r="A651" s="133" t="s">
        <v>7</v>
      </c>
      <c r="B651" s="133" t="s">
        <v>179</v>
      </c>
      <c r="C651" s="133" t="s">
        <v>1361</v>
      </c>
      <c r="D651" s="133" t="s">
        <v>538</v>
      </c>
      <c r="E651" s="158">
        <v>8</v>
      </c>
      <c r="F651" s="158">
        <v>23</v>
      </c>
      <c r="G651" s="158">
        <v>3</v>
      </c>
      <c r="H651" s="133" t="s">
        <v>1362</v>
      </c>
      <c r="I651" s="133" t="s">
        <v>1363</v>
      </c>
      <c r="J651" s="158">
        <v>0</v>
      </c>
      <c r="K651" s="159" t="str">
        <f ca="1">IFERROR(__xludf.DUMMYFUNCTION("GOOGLETRANSLATE(H651,""th"",""en"")"),"Date of using the latest credit balance So, Do, EO Status Confirm")</f>
        <v>Date of using the latest credit balance So, Do, EO Status Confirm</v>
      </c>
    </row>
    <row r="652" spans="1:11" ht="15.75" hidden="1" customHeight="1">
      <c r="A652" s="133" t="s">
        <v>7</v>
      </c>
      <c r="B652" s="133" t="s">
        <v>179</v>
      </c>
      <c r="C652" s="133" t="s">
        <v>1364</v>
      </c>
      <c r="D652" s="133" t="s">
        <v>477</v>
      </c>
      <c r="E652" s="158">
        <v>20</v>
      </c>
      <c r="F652" s="158">
        <v>0</v>
      </c>
      <c r="G652" s="158">
        <v>0</v>
      </c>
      <c r="H652" s="133" t="s">
        <v>1365</v>
      </c>
      <c r="I652" s="133" t="s">
        <v>548</v>
      </c>
      <c r="J652" s="158">
        <v>0</v>
      </c>
      <c r="K652" s="159" t="str">
        <f ca="1">IFERROR(__xludf.DUMMYFUNCTION("GOOGLETRANSLATE(H652,""th"",""en"")"),"The latest document number that uses SO, Do, EO status Confirm")</f>
        <v>The latest document number that uses SO, Do, EO status Confirm</v>
      </c>
    </row>
    <row r="653" spans="1:11" ht="15.75" hidden="1" customHeight="1">
      <c r="A653" s="133" t="s">
        <v>7</v>
      </c>
      <c r="B653" s="133" t="s">
        <v>179</v>
      </c>
      <c r="C653" s="133" t="s">
        <v>1366</v>
      </c>
      <c r="D653" s="133" t="s">
        <v>481</v>
      </c>
      <c r="E653" s="158">
        <v>9</v>
      </c>
      <c r="F653" s="158">
        <v>11</v>
      </c>
      <c r="G653" s="158">
        <v>2</v>
      </c>
      <c r="H653" s="133" t="s">
        <v>1367</v>
      </c>
      <c r="I653" s="133" t="s">
        <v>1223</v>
      </c>
      <c r="J653" s="158">
        <v>0</v>
      </c>
      <c r="K653" s="159" t="str">
        <f ca="1">IFERROR(__xludf.DUMMYFUNCTION("GOOGLETRANSLATE(H653,""th"",""en"")"),"The latest amount that uses the credit limit")</f>
        <v>The latest amount that uses the credit limit</v>
      </c>
    </row>
    <row r="654" spans="1:11" ht="15.75" hidden="1" customHeight="1">
      <c r="A654" s="133" t="s">
        <v>7</v>
      </c>
      <c r="B654" s="133" t="s">
        <v>179</v>
      </c>
      <c r="C654" s="133" t="s">
        <v>1368</v>
      </c>
      <c r="D654" s="133" t="s">
        <v>477</v>
      </c>
      <c r="E654" s="158">
        <v>20</v>
      </c>
      <c r="F654" s="158">
        <v>0</v>
      </c>
      <c r="G654" s="158">
        <v>0</v>
      </c>
      <c r="H654" s="133" t="s">
        <v>1369</v>
      </c>
      <c r="I654" s="133" t="s">
        <v>548</v>
      </c>
      <c r="J654" s="158">
        <v>0</v>
      </c>
      <c r="K654" s="159" t="str">
        <f ca="1">IFERROR(__xludf.DUMMYFUNCTION("GOOGLETRANSLATE(H654,""th"",""en"")"),"The latest document number that increases Rule, SO, DO, EO Status DELETE, SETTLE, CANCEL INVOICE / CANCEL DL (DR)")</f>
        <v>The latest document number that increases Rule, SO, DO, EO Status DELETE, SETTLE, CANCEL INVOICE / CANCEL DL (DR)</v>
      </c>
    </row>
    <row r="655" spans="1:11" ht="15.75" hidden="1" customHeight="1">
      <c r="A655" s="133" t="s">
        <v>7</v>
      </c>
      <c r="B655" s="133" t="s">
        <v>179</v>
      </c>
      <c r="C655" s="133" t="s">
        <v>1370</v>
      </c>
      <c r="D655" s="133" t="s">
        <v>538</v>
      </c>
      <c r="E655" s="158">
        <v>8</v>
      </c>
      <c r="F655" s="158">
        <v>23</v>
      </c>
      <c r="G655" s="158">
        <v>3</v>
      </c>
      <c r="H655" s="133" t="s">
        <v>1371</v>
      </c>
      <c r="I655" s="133" t="s">
        <v>1363</v>
      </c>
      <c r="J655" s="158">
        <v>0</v>
      </c>
      <c r="K655" s="159" t="str">
        <f ca="1">IFERROR(__xludf.DUMMYFUNCTION("GOOGLETRANSLATE(H655,""th"",""en"")"),"The latest credit increase date")</f>
        <v>The latest credit increase date</v>
      </c>
    </row>
    <row r="656" spans="1:11" ht="15.75" hidden="1" customHeight="1">
      <c r="A656" s="133" t="s">
        <v>7</v>
      </c>
      <c r="B656" s="133" t="s">
        <v>179</v>
      </c>
      <c r="C656" s="133" t="s">
        <v>1372</v>
      </c>
      <c r="D656" s="133" t="s">
        <v>481</v>
      </c>
      <c r="E656" s="158">
        <v>9</v>
      </c>
      <c r="F656" s="158">
        <v>11</v>
      </c>
      <c r="G656" s="158">
        <v>2</v>
      </c>
      <c r="H656" s="133" t="s">
        <v>1373</v>
      </c>
      <c r="I656" s="133" t="s">
        <v>1223</v>
      </c>
      <c r="J656" s="158">
        <v>0</v>
      </c>
      <c r="K656" s="159" t="str">
        <f ca="1">IFERROR(__xludf.DUMMYFUNCTION("GOOGLETRANSLATE(H656,""th"",""en"")"),"The latest amount that the credit limit returns")</f>
        <v>The latest amount that the credit limit returns</v>
      </c>
    </row>
    <row r="657" spans="1:11" ht="15.75" hidden="1" customHeight="1">
      <c r="A657" s="133" t="s">
        <v>7</v>
      </c>
      <c r="B657" s="133" t="s">
        <v>181</v>
      </c>
      <c r="C657" s="133" t="s">
        <v>183</v>
      </c>
      <c r="D657" s="133" t="s">
        <v>484</v>
      </c>
      <c r="E657" s="158">
        <v>4</v>
      </c>
      <c r="F657" s="158">
        <v>10</v>
      </c>
      <c r="G657" s="158">
        <v>0</v>
      </c>
      <c r="H657" s="133" t="s">
        <v>1374</v>
      </c>
      <c r="I657" s="133" t="s">
        <v>479</v>
      </c>
      <c r="J657" s="158">
        <v>0</v>
      </c>
      <c r="K657" s="159" t="str">
        <f ca="1">IFERROR(__xludf.DUMMYFUNCTION("GOOGLETRANSLATE(H657,""th"",""en"")"),"Log number")</f>
        <v>Log number</v>
      </c>
    </row>
    <row r="658" spans="1:11" ht="15.75" hidden="1" customHeight="1">
      <c r="A658" s="133" t="s">
        <v>7</v>
      </c>
      <c r="B658" s="133" t="s">
        <v>181</v>
      </c>
      <c r="C658" s="133" t="s">
        <v>174</v>
      </c>
      <c r="D658" s="133" t="s">
        <v>477</v>
      </c>
      <c r="E658" s="158">
        <v>8</v>
      </c>
      <c r="F658" s="158">
        <v>0</v>
      </c>
      <c r="G658" s="158">
        <v>0</v>
      </c>
      <c r="H658" s="133" t="s">
        <v>1292</v>
      </c>
      <c r="I658" s="133" t="s">
        <v>548</v>
      </c>
      <c r="J658" s="158">
        <v>0</v>
      </c>
      <c r="K658" s="159" t="str">
        <f ca="1">IFERROR(__xludf.DUMMYFUNCTION("GOOGLETRANSLATE(H658,""th"",""en"")"),"Customer code")</f>
        <v>Customer code</v>
      </c>
    </row>
    <row r="659" spans="1:11" ht="15.75" hidden="1" customHeight="1">
      <c r="A659" s="133" t="s">
        <v>7</v>
      </c>
      <c r="B659" s="133" t="s">
        <v>181</v>
      </c>
      <c r="C659" s="133" t="s">
        <v>1351</v>
      </c>
      <c r="D659" s="133" t="s">
        <v>481</v>
      </c>
      <c r="E659" s="158">
        <v>9</v>
      </c>
      <c r="F659" s="158">
        <v>11</v>
      </c>
      <c r="G659" s="158">
        <v>2</v>
      </c>
      <c r="H659" s="133" t="s">
        <v>1375</v>
      </c>
      <c r="I659" s="133" t="s">
        <v>1223</v>
      </c>
      <c r="J659" s="158">
        <v>0</v>
      </c>
      <c r="K659" s="159" t="str">
        <f ca="1">IFERROR(__xludf.DUMMYFUNCTION("GOOGLETRANSLATE(H659,""th"",""en"")"),"Customer's credit limit (Before adding or reduced)")</f>
        <v>Customer's credit limit (Before adding or reduced)</v>
      </c>
    </row>
    <row r="660" spans="1:11" ht="15.75" hidden="1" customHeight="1">
      <c r="A660" s="133" t="s">
        <v>7</v>
      </c>
      <c r="B660" s="133" t="s">
        <v>181</v>
      </c>
      <c r="C660" s="133" t="s">
        <v>1355</v>
      </c>
      <c r="D660" s="133" t="s">
        <v>481</v>
      </c>
      <c r="E660" s="158">
        <v>9</v>
      </c>
      <c r="F660" s="158">
        <v>11</v>
      </c>
      <c r="G660" s="158">
        <v>2</v>
      </c>
      <c r="H660" s="133" t="s">
        <v>1376</v>
      </c>
      <c r="I660" s="133" t="s">
        <v>1223</v>
      </c>
      <c r="J660" s="158">
        <v>0</v>
      </c>
      <c r="K660" s="159" t="str">
        <f ca="1">IFERROR(__xludf.DUMMYFUNCTION("GOOGLETRANSLATE(H660,""th"",""en"")"),"The credit limit used (Before adding or reduced)")</f>
        <v>The credit limit used (Before adding or reduced)</v>
      </c>
    </row>
    <row r="661" spans="1:11" ht="15.75" hidden="1" customHeight="1">
      <c r="A661" s="133" t="s">
        <v>7</v>
      </c>
      <c r="B661" s="133" t="s">
        <v>181</v>
      </c>
      <c r="C661" s="133" t="s">
        <v>458</v>
      </c>
      <c r="D661" s="133" t="s">
        <v>477</v>
      </c>
      <c r="E661" s="158">
        <v>20</v>
      </c>
      <c r="F661" s="158">
        <v>0</v>
      </c>
      <c r="G661" s="158">
        <v>0</v>
      </c>
      <c r="H661" s="133" t="s">
        <v>1377</v>
      </c>
      <c r="I661" s="133" t="s">
        <v>548</v>
      </c>
      <c r="J661" s="158">
        <v>0</v>
      </c>
      <c r="K661" s="159" t="str">
        <f ca="1">IFERROR(__xludf.DUMMYFUNCTION("GOOGLETRANSLATE(H661,""th"",""en"")"),"Reference document number")</f>
        <v>Reference document number</v>
      </c>
    </row>
    <row r="662" spans="1:11" ht="15.75" hidden="1" customHeight="1">
      <c r="A662" s="133" t="s">
        <v>7</v>
      </c>
      <c r="B662" s="133" t="s">
        <v>181</v>
      </c>
      <c r="C662" s="133" t="s">
        <v>1378</v>
      </c>
      <c r="D662" s="133" t="s">
        <v>481</v>
      </c>
      <c r="E662" s="158">
        <v>9</v>
      </c>
      <c r="F662" s="158">
        <v>11</v>
      </c>
      <c r="G662" s="158">
        <v>2</v>
      </c>
      <c r="H662" s="133" t="s">
        <v>1379</v>
      </c>
      <c r="I662" s="133" t="s">
        <v>1223</v>
      </c>
      <c r="J662" s="158">
        <v>0</v>
      </c>
      <c r="K662" s="159" t="str">
        <f ca="1">IFERROR(__xludf.DUMMYFUNCTION("GOOGLETRANSLATE(H662,""th"",""en"")"),"Total money of documents (+ add, - reduce)")</f>
        <v>Total money of documents (+ add, - reduce)</v>
      </c>
    </row>
    <row r="663" spans="1:11" ht="15.75" hidden="1" customHeight="1">
      <c r="A663" s="133" t="s">
        <v>7</v>
      </c>
      <c r="B663" s="133" t="s">
        <v>181</v>
      </c>
      <c r="C663" s="133" t="s">
        <v>1380</v>
      </c>
      <c r="D663" s="133" t="s">
        <v>477</v>
      </c>
      <c r="E663" s="158">
        <v>50</v>
      </c>
      <c r="F663" s="158">
        <v>0</v>
      </c>
      <c r="G663" s="158">
        <v>0</v>
      </c>
      <c r="H663" s="133" t="s">
        <v>1381</v>
      </c>
      <c r="I663" s="133" t="s">
        <v>548</v>
      </c>
      <c r="J663" s="158">
        <v>0</v>
      </c>
      <c r="K663" s="159" t="str">
        <f ca="1">IFERROR(__xludf.DUMMYFUNCTION("GOOGLETRANSLATE(H663,""th"",""en"")"),"Document type (SALE ORDER, RULE, Credit Note, Settle)")</f>
        <v>Document type (SALE ORDER, RULE, Credit Note, Settle)</v>
      </c>
    </row>
    <row r="664" spans="1:11" ht="15.75" hidden="1" customHeight="1">
      <c r="A664" s="133" t="s">
        <v>7</v>
      </c>
      <c r="B664" s="133" t="s">
        <v>181</v>
      </c>
      <c r="C664" s="133" t="s">
        <v>1382</v>
      </c>
      <c r="D664" s="133" t="s">
        <v>481</v>
      </c>
      <c r="E664" s="158">
        <v>9</v>
      </c>
      <c r="F664" s="158">
        <v>11</v>
      </c>
      <c r="G664" s="158">
        <v>2</v>
      </c>
      <c r="H664" s="133" t="s">
        <v>479</v>
      </c>
      <c r="I664" s="133" t="s">
        <v>1223</v>
      </c>
      <c r="J664" s="158">
        <v>0</v>
      </c>
      <c r="K664" s="159" t="str">
        <f ca="1">IFERROR(__xludf.DUMMYFUNCTION("GOOGLETRANSLATE(H664,""th"",""en"")"),"Null")</f>
        <v>Null</v>
      </c>
    </row>
    <row r="665" spans="1:11" ht="15.75" hidden="1" customHeight="1">
      <c r="A665" s="133" t="s">
        <v>7</v>
      </c>
      <c r="B665" s="133" t="s">
        <v>181</v>
      </c>
      <c r="C665" s="133" t="s">
        <v>1383</v>
      </c>
      <c r="D665" s="133" t="s">
        <v>481</v>
      </c>
      <c r="E665" s="158">
        <v>9</v>
      </c>
      <c r="F665" s="158">
        <v>11</v>
      </c>
      <c r="G665" s="158">
        <v>2</v>
      </c>
      <c r="H665" s="133" t="s">
        <v>1384</v>
      </c>
      <c r="I665" s="133" t="s">
        <v>1223</v>
      </c>
      <c r="J665" s="158">
        <v>0</v>
      </c>
      <c r="K665" s="159" t="str">
        <f ca="1">IFERROR(__xludf.DUMMYFUNCTION("GOOGLETRANSLATE(H665,""th"",""en"")"),"Increased or reduced credit balance (+ increase, - reduce)")</f>
        <v>Increased or reduced credit balance (+ increase, - reduce)</v>
      </c>
    </row>
    <row r="666" spans="1:11" ht="15.75" hidden="1" customHeight="1">
      <c r="A666" s="133" t="s">
        <v>7</v>
      </c>
      <c r="B666" s="133" t="s">
        <v>181</v>
      </c>
      <c r="C666" s="133" t="s">
        <v>1385</v>
      </c>
      <c r="D666" s="133" t="s">
        <v>481</v>
      </c>
      <c r="E666" s="158">
        <v>9</v>
      </c>
      <c r="F666" s="158">
        <v>11</v>
      </c>
      <c r="G666" s="158">
        <v>2</v>
      </c>
      <c r="H666" s="133" t="s">
        <v>1386</v>
      </c>
      <c r="I666" s="133" t="s">
        <v>1223</v>
      </c>
      <c r="J666" s="158">
        <v>0</v>
      </c>
      <c r="K666" s="159" t="str">
        <f ca="1">IFERROR(__xludf.DUMMYFUNCTION("GOOGLETRANSLATE(H666,""th"",""en"")"),"Limit outstanding credit after adding or reduced")</f>
        <v>Limit outstanding credit after adding or reduced</v>
      </c>
    </row>
    <row r="667" spans="1:11" ht="15.75" hidden="1" customHeight="1">
      <c r="A667" s="133" t="s">
        <v>7</v>
      </c>
      <c r="B667" s="133" t="s">
        <v>181</v>
      </c>
      <c r="C667" s="133" t="s">
        <v>1387</v>
      </c>
      <c r="D667" s="133" t="s">
        <v>481</v>
      </c>
      <c r="E667" s="158">
        <v>9</v>
      </c>
      <c r="F667" s="158">
        <v>11</v>
      </c>
      <c r="G667" s="158">
        <v>2</v>
      </c>
      <c r="H667" s="133" t="s">
        <v>1388</v>
      </c>
      <c r="I667" s="133" t="s">
        <v>1223</v>
      </c>
      <c r="J667" s="158">
        <v>0</v>
      </c>
      <c r="K667" s="159" t="str">
        <f ca="1">IFERROR(__xludf.DUMMYFUNCTION("GOOGLETRANSLATE(H667,""th"",""en"")"),"The total amount of the credit limit")</f>
        <v>The total amount of the credit limit</v>
      </c>
    </row>
    <row r="668" spans="1:11" ht="15.75" hidden="1" customHeight="1">
      <c r="A668" s="133" t="s">
        <v>7</v>
      </c>
      <c r="B668" s="133" t="s">
        <v>181</v>
      </c>
      <c r="C668" s="133" t="s">
        <v>1389</v>
      </c>
      <c r="D668" s="133" t="s">
        <v>477</v>
      </c>
      <c r="E668" s="158">
        <v>50</v>
      </c>
      <c r="F668" s="158">
        <v>0</v>
      </c>
      <c r="G668" s="158">
        <v>0</v>
      </c>
      <c r="H668" s="133" t="s">
        <v>1390</v>
      </c>
      <c r="I668" s="133" t="s">
        <v>548</v>
      </c>
      <c r="J668" s="158">
        <v>0</v>
      </c>
      <c r="K668" s="159" t="str">
        <f ca="1">IFERROR(__xludf.DUMMYFUNCTION("GOOGLETRANSLATE(H668,""th"",""en"")"),"Credit limit updates such as Oasys-X, Coreii, Avalonerp")</f>
        <v>Credit limit updates such as Oasys-X, Coreii, Avalonerp</v>
      </c>
    </row>
    <row r="669" spans="1:11" ht="15.75" hidden="1" customHeight="1">
      <c r="A669" s="133" t="s">
        <v>7</v>
      </c>
      <c r="B669" s="133" t="s">
        <v>181</v>
      </c>
      <c r="C669" s="133" t="s">
        <v>1391</v>
      </c>
      <c r="D669" s="133" t="s">
        <v>477</v>
      </c>
      <c r="E669" s="158">
        <v>100</v>
      </c>
      <c r="F669" s="158">
        <v>0</v>
      </c>
      <c r="G669" s="158">
        <v>0</v>
      </c>
      <c r="H669" s="133" t="s">
        <v>900</v>
      </c>
      <c r="I669" s="133" t="s">
        <v>548</v>
      </c>
      <c r="J669" s="158">
        <v>0</v>
      </c>
      <c r="K669" s="159" t="str">
        <f ca="1">IFERROR(__xludf.DUMMYFUNCTION("GOOGLETRANSLATE(H669,""th"",""en"")"),"note")</f>
        <v>note</v>
      </c>
    </row>
    <row r="670" spans="1:11" ht="15.75" hidden="1" customHeight="1">
      <c r="A670" s="133" t="s">
        <v>7</v>
      </c>
      <c r="B670" s="133" t="s">
        <v>181</v>
      </c>
      <c r="C670" s="133" t="s">
        <v>1333</v>
      </c>
      <c r="D670" s="133" t="s">
        <v>477</v>
      </c>
      <c r="E670" s="158">
        <v>100</v>
      </c>
      <c r="F670" s="158">
        <v>0</v>
      </c>
      <c r="G670" s="158">
        <v>0</v>
      </c>
      <c r="H670" s="133" t="s">
        <v>1392</v>
      </c>
      <c r="I670" s="133" t="s">
        <v>548</v>
      </c>
      <c r="J670" s="158">
        <v>0</v>
      </c>
      <c r="K670" s="159" t="str">
        <f ca="1">IFERROR(__xludf.DUMMYFUNCTION("GOOGLETRANSLATE(H670,""th"",""en"")"),"Named")</f>
        <v>Named</v>
      </c>
    </row>
    <row r="671" spans="1:11" ht="15.75" hidden="1" customHeight="1">
      <c r="A671" s="133" t="s">
        <v>7</v>
      </c>
      <c r="B671" s="133" t="s">
        <v>181</v>
      </c>
      <c r="C671" s="133" t="s">
        <v>1334</v>
      </c>
      <c r="D671" s="133" t="s">
        <v>477</v>
      </c>
      <c r="E671" s="158">
        <v>8</v>
      </c>
      <c r="F671" s="158">
        <v>0</v>
      </c>
      <c r="G671" s="158">
        <v>0</v>
      </c>
      <c r="H671" s="133" t="s">
        <v>1393</v>
      </c>
      <c r="I671" s="133" t="s">
        <v>548</v>
      </c>
      <c r="J671" s="158">
        <v>0</v>
      </c>
      <c r="K671" s="159" t="str">
        <f ca="1">IFERROR(__xludf.DUMMYFUNCTION("GOOGLETRANSLATE(H671,""th"",""en"")"),"Those codes")</f>
        <v>Those codes</v>
      </c>
    </row>
    <row r="672" spans="1:11" ht="15.75" hidden="1" customHeight="1">
      <c r="A672" s="133" t="s">
        <v>7</v>
      </c>
      <c r="B672" s="133" t="s">
        <v>181</v>
      </c>
      <c r="C672" s="133" t="s">
        <v>184</v>
      </c>
      <c r="D672" s="133" t="s">
        <v>538</v>
      </c>
      <c r="E672" s="158">
        <v>8</v>
      </c>
      <c r="F672" s="158">
        <v>23</v>
      </c>
      <c r="G672" s="158">
        <v>3</v>
      </c>
      <c r="H672" s="133" t="s">
        <v>735</v>
      </c>
      <c r="I672" s="133" t="s">
        <v>1284</v>
      </c>
      <c r="J672" s="158">
        <v>0</v>
      </c>
      <c r="K672" s="159" t="str">
        <f ca="1">IFERROR(__xludf.DUMMYFUNCTION("GOOGLETRANSLATE(H672,""th"",""en"")"),"Date created")</f>
        <v>Date created</v>
      </c>
    </row>
    <row r="673" spans="1:11" ht="15.75" hidden="1" customHeight="1">
      <c r="A673" s="133" t="s">
        <v>7</v>
      </c>
      <c r="B673" s="133" t="s">
        <v>186</v>
      </c>
      <c r="C673" s="133" t="s">
        <v>174</v>
      </c>
      <c r="D673" s="133" t="s">
        <v>477</v>
      </c>
      <c r="E673" s="158">
        <v>50</v>
      </c>
      <c r="F673" s="158">
        <v>0</v>
      </c>
      <c r="G673" s="158">
        <v>0</v>
      </c>
      <c r="H673" s="133" t="s">
        <v>1292</v>
      </c>
      <c r="I673" s="133" t="s">
        <v>548</v>
      </c>
      <c r="J673" s="158">
        <v>0</v>
      </c>
      <c r="K673" s="159" t="str">
        <f ca="1">IFERROR(__xludf.DUMMYFUNCTION("GOOGLETRANSLATE(H673,""th"",""en"")"),"Customer code")</f>
        <v>Customer code</v>
      </c>
    </row>
    <row r="674" spans="1:11" ht="15.75" hidden="1" customHeight="1">
      <c r="A674" s="133" t="s">
        <v>7</v>
      </c>
      <c r="B674" s="133" t="s">
        <v>186</v>
      </c>
      <c r="C674" s="133" t="s">
        <v>1394</v>
      </c>
      <c r="D674" s="133" t="s">
        <v>477</v>
      </c>
      <c r="E674" s="158">
        <v>50</v>
      </c>
      <c r="F674" s="158">
        <v>0</v>
      </c>
      <c r="G674" s="158">
        <v>0</v>
      </c>
      <c r="H674" s="133" t="s">
        <v>1130</v>
      </c>
      <c r="I674" s="133" t="s">
        <v>548</v>
      </c>
      <c r="J674" s="158">
        <v>0</v>
      </c>
      <c r="K674" s="159" t="str">
        <f ca="1">IFERROR(__xludf.DUMMYFUNCTION("GOOGLETRANSLATE(H674,""th"",""en"")"),"Product code")</f>
        <v>Product code</v>
      </c>
    </row>
    <row r="675" spans="1:11" ht="15.75" hidden="1" customHeight="1">
      <c r="A675" s="133" t="s">
        <v>7</v>
      </c>
      <c r="B675" s="133" t="s">
        <v>186</v>
      </c>
      <c r="C675" s="133" t="s">
        <v>1395</v>
      </c>
      <c r="D675" s="133" t="s">
        <v>477</v>
      </c>
      <c r="E675" s="158">
        <v>50</v>
      </c>
      <c r="F675" s="158">
        <v>0</v>
      </c>
      <c r="G675" s="158">
        <v>0</v>
      </c>
      <c r="H675" s="133" t="s">
        <v>1396</v>
      </c>
      <c r="I675" s="133" t="s">
        <v>548</v>
      </c>
      <c r="J675" s="158">
        <v>0</v>
      </c>
      <c r="K675" s="159" t="str">
        <f ca="1">IFERROR(__xludf.DUMMYFUNCTION("GOOGLETRANSLATE(H675,""th"",""en"")"),"Sales unit")</f>
        <v>Sales unit</v>
      </c>
    </row>
    <row r="676" spans="1:11" ht="15.75" hidden="1" customHeight="1">
      <c r="A676" s="133" t="s">
        <v>7</v>
      </c>
      <c r="B676" s="133" t="s">
        <v>186</v>
      </c>
      <c r="C676" s="133" t="s">
        <v>1397</v>
      </c>
      <c r="D676" s="133" t="s">
        <v>481</v>
      </c>
      <c r="E676" s="158">
        <v>9</v>
      </c>
      <c r="F676" s="158">
        <v>10</v>
      </c>
      <c r="G676" s="158">
        <v>2</v>
      </c>
      <c r="H676" s="133" t="s">
        <v>1398</v>
      </c>
      <c r="I676" s="133" t="s">
        <v>1223</v>
      </c>
      <c r="J676" s="158">
        <v>0</v>
      </c>
      <c r="K676" s="159" t="str">
        <f ca="1">IFERROR(__xludf.DUMMYFUNCTION("GOOGLETRANSLATE(H676,""th"",""en"")"),"Selling price")</f>
        <v>Selling price</v>
      </c>
    </row>
    <row r="677" spans="1:11" ht="15.75" hidden="1" customHeight="1">
      <c r="A677" s="133" t="s">
        <v>7</v>
      </c>
      <c r="B677" s="133" t="s">
        <v>186</v>
      </c>
      <c r="C677" s="133" t="s">
        <v>1399</v>
      </c>
      <c r="D677" s="133" t="s">
        <v>481</v>
      </c>
      <c r="E677" s="158">
        <v>9</v>
      </c>
      <c r="F677" s="158">
        <v>10</v>
      </c>
      <c r="G677" s="158">
        <v>2</v>
      </c>
      <c r="H677" s="133" t="s">
        <v>1400</v>
      </c>
      <c r="I677" s="133" t="s">
        <v>1223</v>
      </c>
      <c r="J677" s="158">
        <v>0</v>
      </c>
      <c r="K677" s="159" t="str">
        <f ca="1">IFERROR(__xludf.DUMMYFUNCTION("GOOGLETRANSLATE(H677,""th"",""en"")"),"VAT total sales price")</f>
        <v>VAT total sales price</v>
      </c>
    </row>
    <row r="678" spans="1:11" ht="15.75" hidden="1" customHeight="1">
      <c r="A678" s="133" t="s">
        <v>7</v>
      </c>
      <c r="B678" s="133" t="s">
        <v>186</v>
      </c>
      <c r="C678" s="133" t="s">
        <v>1401</v>
      </c>
      <c r="D678" s="133" t="s">
        <v>477</v>
      </c>
      <c r="E678" s="158">
        <v>3</v>
      </c>
      <c r="F678" s="158">
        <v>0</v>
      </c>
      <c r="G678" s="158">
        <v>0</v>
      </c>
      <c r="H678" s="133" t="s">
        <v>1402</v>
      </c>
      <c r="I678" s="133" t="s">
        <v>596</v>
      </c>
      <c r="J678" s="158">
        <v>0</v>
      </c>
      <c r="K678" s="159" t="str">
        <f ca="1">IFERROR(__xludf.DUMMYFUNCTION("GOOGLETRANSLATE(H678,""th"",""en"")"),"Flag Bestdeal Products")</f>
        <v>Flag Bestdeal Products</v>
      </c>
    </row>
    <row r="679" spans="1:11" ht="15.75" hidden="1" customHeight="1">
      <c r="A679" s="133" t="s">
        <v>7</v>
      </c>
      <c r="B679" s="133" t="s">
        <v>186</v>
      </c>
      <c r="C679" s="133" t="s">
        <v>1403</v>
      </c>
      <c r="D679" s="133" t="s">
        <v>496</v>
      </c>
      <c r="E679" s="158">
        <v>4</v>
      </c>
      <c r="F679" s="158">
        <v>16</v>
      </c>
      <c r="G679" s="158">
        <v>0</v>
      </c>
      <c r="H679" s="133" t="s">
        <v>1404</v>
      </c>
      <c r="I679" s="133" t="s">
        <v>1284</v>
      </c>
      <c r="J679" s="158">
        <v>0</v>
      </c>
      <c r="K679" s="159" t="str">
        <f ca="1">IFERROR(__xludf.DUMMYFUNCTION("GOOGLETRANSLATE(H679,""th"",""en"")"),"Start date [YYYY-MM-DD]")</f>
        <v>Start date [YYYY-MM-DD]</v>
      </c>
    </row>
    <row r="680" spans="1:11" ht="15.75" hidden="1" customHeight="1">
      <c r="A680" s="133" t="s">
        <v>7</v>
      </c>
      <c r="B680" s="133" t="s">
        <v>186</v>
      </c>
      <c r="C680" s="133" t="s">
        <v>1405</v>
      </c>
      <c r="D680" s="133" t="s">
        <v>496</v>
      </c>
      <c r="E680" s="158">
        <v>4</v>
      </c>
      <c r="F680" s="158">
        <v>16</v>
      </c>
      <c r="G680" s="158">
        <v>0</v>
      </c>
      <c r="H680" s="133" t="s">
        <v>1406</v>
      </c>
      <c r="I680" s="133" t="s">
        <v>1284</v>
      </c>
      <c r="J680" s="158">
        <v>0</v>
      </c>
      <c r="K680" s="159" t="str">
        <f ca="1">IFERROR(__xludf.DUMMYFUNCTION("GOOGLETRANSLATE(H680,""th"",""en"")"),"Expiration date [YYYY-MM-DD]")</f>
        <v>Expiration date [YYYY-MM-DD]</v>
      </c>
    </row>
    <row r="681" spans="1:11" ht="15.75" hidden="1" customHeight="1">
      <c r="A681" s="133" t="s">
        <v>7</v>
      </c>
      <c r="B681" s="133" t="s">
        <v>186</v>
      </c>
      <c r="C681" s="133" t="s">
        <v>1391</v>
      </c>
      <c r="D681" s="133" t="s">
        <v>477</v>
      </c>
      <c r="E681" s="158">
        <v>100</v>
      </c>
      <c r="F681" s="158">
        <v>0</v>
      </c>
      <c r="G681" s="158">
        <v>0</v>
      </c>
      <c r="H681" s="133" t="s">
        <v>1407</v>
      </c>
      <c r="I681" s="133" t="s">
        <v>548</v>
      </c>
      <c r="J681" s="158">
        <v>0</v>
      </c>
      <c r="K681" s="159" t="str">
        <f ca="1">IFERROR(__xludf.DUMMYFUNCTION("GOOGLETRANSLATE(H681,""th"",""en"")"),"This note specifies the company name. According to the customer code")</f>
        <v>This note specifies the company name. According to the customer code</v>
      </c>
    </row>
    <row r="682" spans="1:11" ht="15.75" hidden="1" customHeight="1">
      <c r="A682" s="133" t="s">
        <v>7</v>
      </c>
      <c r="B682" s="133" t="s">
        <v>186</v>
      </c>
      <c r="C682" s="133" t="s">
        <v>1333</v>
      </c>
      <c r="D682" s="133" t="s">
        <v>477</v>
      </c>
      <c r="E682" s="158">
        <v>100</v>
      </c>
      <c r="F682" s="158">
        <v>0</v>
      </c>
      <c r="G682" s="158">
        <v>0</v>
      </c>
      <c r="H682" s="133" t="s">
        <v>734</v>
      </c>
      <c r="I682" s="133" t="s">
        <v>548</v>
      </c>
      <c r="J682" s="158">
        <v>0</v>
      </c>
      <c r="K682" s="159" t="str">
        <f ca="1">IFERROR(__xludf.DUMMYFUNCTION("GOOGLETRANSLATE(H682,""th"",""en"")"),"Creator name")</f>
        <v>Creator name</v>
      </c>
    </row>
    <row r="683" spans="1:11" ht="15.75" hidden="1" customHeight="1">
      <c r="A683" s="133" t="s">
        <v>7</v>
      </c>
      <c r="B683" s="133" t="s">
        <v>186</v>
      </c>
      <c r="C683" s="133" t="s">
        <v>1334</v>
      </c>
      <c r="D683" s="133" t="s">
        <v>477</v>
      </c>
      <c r="E683" s="158">
        <v>50</v>
      </c>
      <c r="F683" s="158">
        <v>0</v>
      </c>
      <c r="G683" s="158">
        <v>0</v>
      </c>
      <c r="H683" s="133" t="s">
        <v>1282</v>
      </c>
      <c r="I683" s="133" t="s">
        <v>548</v>
      </c>
      <c r="J683" s="158">
        <v>0</v>
      </c>
      <c r="K683" s="159" t="str">
        <f ca="1">IFERROR(__xludf.DUMMYFUNCTION("GOOGLETRANSLATE(H683,""th"",""en"")"),"Creator code")</f>
        <v>Creator code</v>
      </c>
    </row>
    <row r="684" spans="1:11" ht="15.75" hidden="1" customHeight="1">
      <c r="A684" s="133" t="s">
        <v>7</v>
      </c>
      <c r="B684" s="133" t="s">
        <v>186</v>
      </c>
      <c r="C684" s="133" t="s">
        <v>184</v>
      </c>
      <c r="D684" s="133" t="s">
        <v>496</v>
      </c>
      <c r="E684" s="158">
        <v>4</v>
      </c>
      <c r="F684" s="158">
        <v>16</v>
      </c>
      <c r="G684" s="158">
        <v>0</v>
      </c>
      <c r="H684" s="133" t="s">
        <v>735</v>
      </c>
      <c r="I684" s="133" t="s">
        <v>1284</v>
      </c>
      <c r="J684" s="158">
        <v>0</v>
      </c>
      <c r="K684" s="159" t="str">
        <f ca="1">IFERROR(__xludf.DUMMYFUNCTION("GOOGLETRANSLATE(H684,""th"",""en"")"),"Date created")</f>
        <v>Date created</v>
      </c>
    </row>
    <row r="685" spans="1:11" ht="15.75" hidden="1" customHeight="1">
      <c r="A685" s="133" t="s">
        <v>7</v>
      </c>
      <c r="B685" s="133" t="s">
        <v>186</v>
      </c>
      <c r="C685" s="133" t="s">
        <v>1335</v>
      </c>
      <c r="D685" s="133" t="s">
        <v>477</v>
      </c>
      <c r="E685" s="158">
        <v>100</v>
      </c>
      <c r="F685" s="158">
        <v>0</v>
      </c>
      <c r="G685" s="158">
        <v>0</v>
      </c>
      <c r="H685" s="133" t="s">
        <v>802</v>
      </c>
      <c r="I685" s="133" t="s">
        <v>548</v>
      </c>
      <c r="J685" s="158">
        <v>0</v>
      </c>
      <c r="K685" s="159" t="str">
        <f ca="1">IFERROR(__xludf.DUMMYFUNCTION("GOOGLETRANSLATE(H685,""th"",""en"")"),"Editor")</f>
        <v>Editor</v>
      </c>
    </row>
    <row r="686" spans="1:11" ht="15.75" hidden="1" customHeight="1">
      <c r="A686" s="133" t="s">
        <v>7</v>
      </c>
      <c r="B686" s="133" t="s">
        <v>186</v>
      </c>
      <c r="C686" s="133" t="s">
        <v>1336</v>
      </c>
      <c r="D686" s="133" t="s">
        <v>477</v>
      </c>
      <c r="E686" s="158">
        <v>50</v>
      </c>
      <c r="F686" s="158">
        <v>0</v>
      </c>
      <c r="G686" s="158">
        <v>0</v>
      </c>
      <c r="H686" s="133" t="s">
        <v>1285</v>
      </c>
      <c r="I686" s="133" t="s">
        <v>548</v>
      </c>
      <c r="J686" s="158">
        <v>0</v>
      </c>
      <c r="K686" s="159" t="str">
        <f ca="1">IFERROR(__xludf.DUMMYFUNCTION("GOOGLETRANSLATE(H686,""th"",""en"")"),"Editor code")</f>
        <v>Editor code</v>
      </c>
    </row>
    <row r="687" spans="1:11" ht="15.75" hidden="1" customHeight="1">
      <c r="A687" s="133" t="s">
        <v>7</v>
      </c>
      <c r="B687" s="133" t="s">
        <v>186</v>
      </c>
      <c r="C687" s="133" t="s">
        <v>175</v>
      </c>
      <c r="D687" s="133" t="s">
        <v>496</v>
      </c>
      <c r="E687" s="158">
        <v>4</v>
      </c>
      <c r="F687" s="158">
        <v>16</v>
      </c>
      <c r="G687" s="158">
        <v>0</v>
      </c>
      <c r="H687" s="133" t="s">
        <v>803</v>
      </c>
      <c r="I687" s="133" t="s">
        <v>1284</v>
      </c>
      <c r="J687" s="158">
        <v>0</v>
      </c>
      <c r="K687" s="159" t="str">
        <f ca="1">IFERROR(__xludf.DUMMYFUNCTION("GOOGLETRANSLATE(H687,""th"",""en"")"),"Edit date")</f>
        <v>Edit date</v>
      </c>
    </row>
    <row r="688" spans="1:11" ht="15.75" hidden="1" customHeight="1">
      <c r="A688" s="133" t="s">
        <v>7</v>
      </c>
      <c r="B688" s="133" t="s">
        <v>186</v>
      </c>
      <c r="C688" s="133" t="s">
        <v>458</v>
      </c>
      <c r="D688" s="133" t="s">
        <v>477</v>
      </c>
      <c r="E688" s="158">
        <v>15</v>
      </c>
      <c r="F688" s="158">
        <v>0</v>
      </c>
      <c r="G688" s="158">
        <v>0</v>
      </c>
      <c r="H688" s="133" t="s">
        <v>1408</v>
      </c>
      <c r="I688" s="133" t="s">
        <v>548</v>
      </c>
      <c r="J688" s="158">
        <v>0</v>
      </c>
      <c r="K688" s="159" t="str">
        <f ca="1">IFERROR(__xludf.DUMMYFUNCTION("GOOGLETRANSLATE(H688,""th"",""en"")"),"Fixprice document number")</f>
        <v>Fixprice document number</v>
      </c>
    </row>
    <row r="689" spans="1:11" ht="15.75" hidden="1" customHeight="1">
      <c r="A689" s="133" t="s">
        <v>7</v>
      </c>
      <c r="B689" s="133" t="s">
        <v>189</v>
      </c>
      <c r="C689" s="133" t="s">
        <v>191</v>
      </c>
      <c r="D689" s="133" t="s">
        <v>477</v>
      </c>
      <c r="E689" s="158">
        <v>9</v>
      </c>
      <c r="F689" s="158">
        <v>0</v>
      </c>
      <c r="G689" s="158">
        <v>0</v>
      </c>
      <c r="H689" s="133" t="s">
        <v>1409</v>
      </c>
      <c r="I689" s="133" t="s">
        <v>548</v>
      </c>
      <c r="J689" s="158">
        <v>0</v>
      </c>
      <c r="K689" s="159" t="str">
        <f ca="1">IFERROR(__xludf.DUMMYFUNCTION("GOOGLETRANSLATE(H689,""th"",""en"")"),"Group code")</f>
        <v>Group code</v>
      </c>
    </row>
    <row r="690" spans="1:11" ht="15.75" hidden="1" customHeight="1">
      <c r="A690" s="133" t="s">
        <v>7</v>
      </c>
      <c r="B690" s="133" t="s">
        <v>189</v>
      </c>
      <c r="C690" s="133" t="s">
        <v>1410</v>
      </c>
      <c r="D690" s="133" t="s">
        <v>477</v>
      </c>
      <c r="E690" s="158">
        <v>100</v>
      </c>
      <c r="F690" s="158">
        <v>0</v>
      </c>
      <c r="G690" s="158">
        <v>0</v>
      </c>
      <c r="H690" s="133" t="s">
        <v>1411</v>
      </c>
      <c r="I690" s="133" t="s">
        <v>548</v>
      </c>
      <c r="J690" s="158">
        <v>0</v>
      </c>
      <c r="K690" s="159" t="str">
        <f ca="1">IFERROR(__xludf.DUMMYFUNCTION("GOOGLETRANSLATE(H690,""th"",""en"")"),"Group name")</f>
        <v>Group name</v>
      </c>
    </row>
    <row r="691" spans="1:11" ht="15.75" hidden="1" customHeight="1">
      <c r="A691" s="133" t="s">
        <v>7</v>
      </c>
      <c r="B691" s="133" t="s">
        <v>189</v>
      </c>
      <c r="C691" s="133" t="s">
        <v>1412</v>
      </c>
      <c r="D691" s="133" t="s">
        <v>1413</v>
      </c>
      <c r="E691" s="158">
        <v>8</v>
      </c>
      <c r="F691" s="158">
        <v>0</v>
      </c>
      <c r="G691" s="158">
        <v>0</v>
      </c>
      <c r="H691" s="133" t="s">
        <v>479</v>
      </c>
      <c r="I691" s="133" t="s">
        <v>479</v>
      </c>
      <c r="J691" s="158">
        <v>1</v>
      </c>
      <c r="K691" s="159" t="str">
        <f ca="1">IFERROR(__xludf.DUMMYFUNCTION("GOOGLETRANSLATE(H691,""th"",""en"")"),"Null")</f>
        <v>Null</v>
      </c>
    </row>
    <row r="692" spans="1:11" ht="15.75" hidden="1" customHeight="1">
      <c r="A692" s="133" t="s">
        <v>7</v>
      </c>
      <c r="B692" s="133" t="s">
        <v>189</v>
      </c>
      <c r="C692" s="133" t="s">
        <v>1333</v>
      </c>
      <c r="D692" s="133" t="s">
        <v>477</v>
      </c>
      <c r="E692" s="158">
        <v>100</v>
      </c>
      <c r="F692" s="158">
        <v>0</v>
      </c>
      <c r="G692" s="158">
        <v>0</v>
      </c>
      <c r="H692" s="133" t="s">
        <v>734</v>
      </c>
      <c r="I692" s="133" t="s">
        <v>548</v>
      </c>
      <c r="J692" s="158">
        <v>0</v>
      </c>
      <c r="K692" s="159" t="str">
        <f ca="1">IFERROR(__xludf.DUMMYFUNCTION("GOOGLETRANSLATE(H692,""th"",""en"")"),"Creator name")</f>
        <v>Creator name</v>
      </c>
    </row>
    <row r="693" spans="1:11" ht="15.75" hidden="1" customHeight="1">
      <c r="A693" s="133" t="s">
        <v>7</v>
      </c>
      <c r="B693" s="133" t="s">
        <v>189</v>
      </c>
      <c r="C693" s="133" t="s">
        <v>1334</v>
      </c>
      <c r="D693" s="133" t="s">
        <v>477</v>
      </c>
      <c r="E693" s="158">
        <v>50</v>
      </c>
      <c r="F693" s="158">
        <v>0</v>
      </c>
      <c r="G693" s="158">
        <v>0</v>
      </c>
      <c r="H693" s="133" t="s">
        <v>1282</v>
      </c>
      <c r="I693" s="133" t="s">
        <v>548</v>
      </c>
      <c r="J693" s="158">
        <v>0</v>
      </c>
      <c r="K693" s="159" t="str">
        <f ca="1">IFERROR(__xludf.DUMMYFUNCTION("GOOGLETRANSLATE(H693,""th"",""en"")"),"Creator code")</f>
        <v>Creator code</v>
      </c>
    </row>
    <row r="694" spans="1:11" ht="15.75" hidden="1" customHeight="1">
      <c r="A694" s="133" t="s">
        <v>7</v>
      </c>
      <c r="B694" s="133" t="s">
        <v>189</v>
      </c>
      <c r="C694" s="133" t="s">
        <v>184</v>
      </c>
      <c r="D694" s="133" t="s">
        <v>538</v>
      </c>
      <c r="E694" s="158">
        <v>8</v>
      </c>
      <c r="F694" s="158">
        <v>23</v>
      </c>
      <c r="G694" s="158">
        <v>3</v>
      </c>
      <c r="H694" s="133" t="s">
        <v>735</v>
      </c>
      <c r="I694" s="133" t="s">
        <v>1284</v>
      </c>
      <c r="J694" s="158">
        <v>0</v>
      </c>
      <c r="K694" s="159" t="str">
        <f ca="1">IFERROR(__xludf.DUMMYFUNCTION("GOOGLETRANSLATE(H694,""th"",""en"")"),"Date created")</f>
        <v>Date created</v>
      </c>
    </row>
    <row r="695" spans="1:11" ht="15.75" hidden="1" customHeight="1">
      <c r="A695" s="133" t="s">
        <v>7</v>
      </c>
      <c r="B695" s="133" t="s">
        <v>189</v>
      </c>
      <c r="C695" s="133" t="s">
        <v>1335</v>
      </c>
      <c r="D695" s="133" t="s">
        <v>477</v>
      </c>
      <c r="E695" s="158">
        <v>100</v>
      </c>
      <c r="F695" s="158">
        <v>0</v>
      </c>
      <c r="G695" s="158">
        <v>0</v>
      </c>
      <c r="H695" s="133" t="s">
        <v>802</v>
      </c>
      <c r="I695" s="133" t="s">
        <v>548</v>
      </c>
      <c r="J695" s="158">
        <v>0</v>
      </c>
      <c r="K695" s="159" t="str">
        <f ca="1">IFERROR(__xludf.DUMMYFUNCTION("GOOGLETRANSLATE(H695,""th"",""en"")"),"Editor")</f>
        <v>Editor</v>
      </c>
    </row>
    <row r="696" spans="1:11" ht="15.75" hidden="1" customHeight="1">
      <c r="A696" s="133" t="s">
        <v>7</v>
      </c>
      <c r="B696" s="133" t="s">
        <v>189</v>
      </c>
      <c r="C696" s="133" t="s">
        <v>1336</v>
      </c>
      <c r="D696" s="133" t="s">
        <v>477</v>
      </c>
      <c r="E696" s="158">
        <v>50</v>
      </c>
      <c r="F696" s="158">
        <v>0</v>
      </c>
      <c r="G696" s="158">
        <v>0</v>
      </c>
      <c r="H696" s="133" t="s">
        <v>1285</v>
      </c>
      <c r="I696" s="133" t="s">
        <v>548</v>
      </c>
      <c r="J696" s="158">
        <v>0</v>
      </c>
      <c r="K696" s="159" t="str">
        <f ca="1">IFERROR(__xludf.DUMMYFUNCTION("GOOGLETRANSLATE(H696,""th"",""en"")"),"Editor code")</f>
        <v>Editor code</v>
      </c>
    </row>
    <row r="697" spans="1:11" ht="15.75" hidden="1" customHeight="1">
      <c r="A697" s="133" t="s">
        <v>7</v>
      </c>
      <c r="B697" s="133" t="s">
        <v>189</v>
      </c>
      <c r="C697" s="133" t="s">
        <v>175</v>
      </c>
      <c r="D697" s="133" t="s">
        <v>538</v>
      </c>
      <c r="E697" s="158">
        <v>8</v>
      </c>
      <c r="F697" s="158">
        <v>23</v>
      </c>
      <c r="G697" s="158">
        <v>3</v>
      </c>
      <c r="H697" s="133" t="s">
        <v>803</v>
      </c>
      <c r="I697" s="133" t="s">
        <v>1284</v>
      </c>
      <c r="J697" s="158">
        <v>0</v>
      </c>
      <c r="K697" s="159" t="str">
        <f ca="1">IFERROR(__xludf.DUMMYFUNCTION("GOOGLETRANSLATE(H697,""th"",""en"")"),"Edit date")</f>
        <v>Edit date</v>
      </c>
    </row>
    <row r="698" spans="1:11" ht="15.75" hidden="1" customHeight="1">
      <c r="A698" s="133" t="s">
        <v>7</v>
      </c>
      <c r="B698" s="133" t="s">
        <v>192</v>
      </c>
      <c r="C698" s="133" t="s">
        <v>174</v>
      </c>
      <c r="D698" s="133" t="s">
        <v>477</v>
      </c>
      <c r="E698" s="158">
        <v>50</v>
      </c>
      <c r="F698" s="158">
        <v>0</v>
      </c>
      <c r="G698" s="158">
        <v>0</v>
      </c>
      <c r="H698" s="133" t="s">
        <v>1292</v>
      </c>
      <c r="I698" s="133" t="s">
        <v>548</v>
      </c>
      <c r="J698" s="158">
        <v>0</v>
      </c>
      <c r="K698" s="159" t="str">
        <f ca="1">IFERROR(__xludf.DUMMYFUNCTION("GOOGLETRANSLATE(H698,""th"",""en"")"),"Customer code")</f>
        <v>Customer code</v>
      </c>
    </row>
    <row r="699" spans="1:11" ht="15.75" hidden="1" customHeight="1">
      <c r="A699" s="133" t="s">
        <v>7</v>
      </c>
      <c r="B699" s="133" t="s">
        <v>192</v>
      </c>
      <c r="C699" s="133" t="s">
        <v>1414</v>
      </c>
      <c r="D699" s="133" t="s">
        <v>477</v>
      </c>
      <c r="E699" s="158">
        <v>50</v>
      </c>
      <c r="F699" s="158">
        <v>0</v>
      </c>
      <c r="G699" s="158">
        <v>0</v>
      </c>
      <c r="H699" s="133" t="s">
        <v>1415</v>
      </c>
      <c r="I699" s="133" t="s">
        <v>548</v>
      </c>
      <c r="J699" s="158">
        <v>0</v>
      </c>
      <c r="K699" s="159" t="str">
        <f ca="1">IFERROR(__xludf.DUMMYFUNCTION("GOOGLETRANSLATE(H699,""th"",""en"")"),"Telesels code")</f>
        <v>Telesels code</v>
      </c>
    </row>
    <row r="700" spans="1:11" ht="15.75" hidden="1" customHeight="1">
      <c r="A700" s="133" t="s">
        <v>7</v>
      </c>
      <c r="B700" s="133" t="s">
        <v>192</v>
      </c>
      <c r="C700" s="133" t="s">
        <v>1416</v>
      </c>
      <c r="D700" s="133" t="s">
        <v>477</v>
      </c>
      <c r="E700" s="158">
        <v>20</v>
      </c>
      <c r="F700" s="158">
        <v>0</v>
      </c>
      <c r="G700" s="158">
        <v>0</v>
      </c>
      <c r="H700" s="133" t="s">
        <v>479</v>
      </c>
      <c r="I700" s="133" t="s">
        <v>548</v>
      </c>
      <c r="J700" s="158">
        <v>0</v>
      </c>
      <c r="K700" s="159" t="str">
        <f ca="1">IFERROR(__xludf.DUMMYFUNCTION("GOOGLETRANSLATE(H700,""th"",""en"")"),"Null")</f>
        <v>Null</v>
      </c>
    </row>
    <row r="701" spans="1:11" ht="15.75" hidden="1" customHeight="1">
      <c r="A701" s="133" t="s">
        <v>7</v>
      </c>
      <c r="B701" s="133" t="s">
        <v>192</v>
      </c>
      <c r="C701" s="133" t="s">
        <v>1417</v>
      </c>
      <c r="D701" s="133" t="s">
        <v>477</v>
      </c>
      <c r="E701" s="158">
        <v>20</v>
      </c>
      <c r="F701" s="158">
        <v>0</v>
      </c>
      <c r="G701" s="158">
        <v>0</v>
      </c>
      <c r="H701" s="133" t="s">
        <v>1418</v>
      </c>
      <c r="I701" s="133" t="s">
        <v>596</v>
      </c>
      <c r="J701" s="158">
        <v>0</v>
      </c>
      <c r="K701" s="159" t="str">
        <f ca="1">IFERROR(__xludf.DUMMYFUNCTION("GOOGLETRANSLATE(H701,""th"",""en"")"),"Flag Set, which telesale is the main Telesale")</f>
        <v>Flag Set, which telesale is the main Telesale</v>
      </c>
    </row>
    <row r="702" spans="1:11" ht="15.75" hidden="1" customHeight="1">
      <c r="A702" s="133" t="s">
        <v>7</v>
      </c>
      <c r="B702" s="133" t="s">
        <v>192</v>
      </c>
      <c r="C702" s="133" t="s">
        <v>1419</v>
      </c>
      <c r="D702" s="133" t="s">
        <v>477</v>
      </c>
      <c r="E702" s="158">
        <v>20</v>
      </c>
      <c r="F702" s="158">
        <v>0</v>
      </c>
      <c r="G702" s="158">
        <v>0</v>
      </c>
      <c r="H702" s="133" t="s">
        <v>1420</v>
      </c>
      <c r="I702" s="133" t="s">
        <v>548</v>
      </c>
      <c r="J702" s="158">
        <v>0</v>
      </c>
      <c r="K702" s="159" t="str">
        <f ca="1">IFERROR(__xludf.DUMMYFUNCTION("GOOGLETRANSLATE(H702,""th"",""en"")"),"Waiting = wait for approval, Active = effective")</f>
        <v>Waiting = wait for approval, Active = effective</v>
      </c>
    </row>
    <row r="703" spans="1:11" ht="15.75" hidden="1" customHeight="1">
      <c r="A703" s="133" t="s">
        <v>7</v>
      </c>
      <c r="B703" s="133" t="s">
        <v>192</v>
      </c>
      <c r="C703" s="133" t="s">
        <v>1391</v>
      </c>
      <c r="D703" s="133" t="s">
        <v>477</v>
      </c>
      <c r="E703" s="158">
        <v>255</v>
      </c>
      <c r="F703" s="158">
        <v>0</v>
      </c>
      <c r="G703" s="158">
        <v>0</v>
      </c>
      <c r="H703" s="133" t="s">
        <v>900</v>
      </c>
      <c r="I703" s="133" t="s">
        <v>548</v>
      </c>
      <c r="J703" s="158">
        <v>0</v>
      </c>
      <c r="K703" s="159" t="str">
        <f ca="1">IFERROR(__xludf.DUMMYFUNCTION("GOOGLETRANSLATE(H703,""th"",""en"")"),"note")</f>
        <v>note</v>
      </c>
    </row>
    <row r="704" spans="1:11" ht="15.75" hidden="1" customHeight="1">
      <c r="A704" s="133" t="s">
        <v>7</v>
      </c>
      <c r="B704" s="133" t="s">
        <v>192</v>
      </c>
      <c r="C704" s="133" t="s">
        <v>1333</v>
      </c>
      <c r="D704" s="133" t="s">
        <v>477</v>
      </c>
      <c r="E704" s="158">
        <v>100</v>
      </c>
      <c r="F704" s="158">
        <v>0</v>
      </c>
      <c r="G704" s="158">
        <v>0</v>
      </c>
      <c r="H704" s="133" t="s">
        <v>734</v>
      </c>
      <c r="I704" s="133" t="s">
        <v>548</v>
      </c>
      <c r="J704" s="158">
        <v>0</v>
      </c>
      <c r="K704" s="159" t="str">
        <f ca="1">IFERROR(__xludf.DUMMYFUNCTION("GOOGLETRANSLATE(H704,""th"",""en"")"),"Creator name")</f>
        <v>Creator name</v>
      </c>
    </row>
    <row r="705" spans="1:11" ht="15.75" hidden="1" customHeight="1">
      <c r="A705" s="133" t="s">
        <v>7</v>
      </c>
      <c r="B705" s="133" t="s">
        <v>192</v>
      </c>
      <c r="C705" s="133" t="s">
        <v>1334</v>
      </c>
      <c r="D705" s="133" t="s">
        <v>477</v>
      </c>
      <c r="E705" s="158">
        <v>50</v>
      </c>
      <c r="F705" s="158">
        <v>0</v>
      </c>
      <c r="G705" s="158">
        <v>0</v>
      </c>
      <c r="H705" s="133" t="s">
        <v>1282</v>
      </c>
      <c r="I705" s="133" t="s">
        <v>548</v>
      </c>
      <c r="J705" s="158">
        <v>0</v>
      </c>
      <c r="K705" s="159" t="str">
        <f ca="1">IFERROR(__xludf.DUMMYFUNCTION("GOOGLETRANSLATE(H705,""th"",""en"")"),"Creator code")</f>
        <v>Creator code</v>
      </c>
    </row>
    <row r="706" spans="1:11" ht="15.75" hidden="1" customHeight="1">
      <c r="A706" s="133" t="s">
        <v>7</v>
      </c>
      <c r="B706" s="133" t="s">
        <v>192</v>
      </c>
      <c r="C706" s="133" t="s">
        <v>184</v>
      </c>
      <c r="D706" s="133" t="s">
        <v>538</v>
      </c>
      <c r="E706" s="158">
        <v>8</v>
      </c>
      <c r="F706" s="158">
        <v>23</v>
      </c>
      <c r="G706" s="158">
        <v>3</v>
      </c>
      <c r="H706" s="133" t="s">
        <v>735</v>
      </c>
      <c r="I706" s="133" t="s">
        <v>1284</v>
      </c>
      <c r="J706" s="158">
        <v>0</v>
      </c>
      <c r="K706" s="159" t="str">
        <f ca="1">IFERROR(__xludf.DUMMYFUNCTION("GOOGLETRANSLATE(H706,""th"",""en"")"),"Date created")</f>
        <v>Date created</v>
      </c>
    </row>
    <row r="707" spans="1:11" ht="15.75" hidden="1" customHeight="1">
      <c r="A707" s="133" t="s">
        <v>7</v>
      </c>
      <c r="B707" s="133" t="s">
        <v>192</v>
      </c>
      <c r="C707" s="133" t="s">
        <v>1335</v>
      </c>
      <c r="D707" s="133" t="s">
        <v>477</v>
      </c>
      <c r="E707" s="158">
        <v>100</v>
      </c>
      <c r="F707" s="158">
        <v>0</v>
      </c>
      <c r="G707" s="158">
        <v>0</v>
      </c>
      <c r="H707" s="133" t="s">
        <v>802</v>
      </c>
      <c r="I707" s="133" t="s">
        <v>548</v>
      </c>
      <c r="J707" s="158">
        <v>0</v>
      </c>
      <c r="K707" s="159" t="str">
        <f ca="1">IFERROR(__xludf.DUMMYFUNCTION("GOOGLETRANSLATE(H707,""th"",""en"")"),"Editor")</f>
        <v>Editor</v>
      </c>
    </row>
    <row r="708" spans="1:11" ht="15.75" hidden="1" customHeight="1">
      <c r="A708" s="133" t="s">
        <v>7</v>
      </c>
      <c r="B708" s="133" t="s">
        <v>192</v>
      </c>
      <c r="C708" s="133" t="s">
        <v>1336</v>
      </c>
      <c r="D708" s="133" t="s">
        <v>477</v>
      </c>
      <c r="E708" s="158">
        <v>50</v>
      </c>
      <c r="F708" s="158">
        <v>0</v>
      </c>
      <c r="G708" s="158">
        <v>0</v>
      </c>
      <c r="H708" s="133" t="s">
        <v>1285</v>
      </c>
      <c r="I708" s="133" t="s">
        <v>548</v>
      </c>
      <c r="J708" s="158">
        <v>0</v>
      </c>
      <c r="K708" s="159" t="str">
        <f ca="1">IFERROR(__xludf.DUMMYFUNCTION("GOOGLETRANSLATE(H708,""th"",""en"")"),"Editor code")</f>
        <v>Editor code</v>
      </c>
    </row>
    <row r="709" spans="1:11" ht="15.75" hidden="1" customHeight="1">
      <c r="A709" s="133" t="s">
        <v>7</v>
      </c>
      <c r="B709" s="133" t="s">
        <v>192</v>
      </c>
      <c r="C709" s="133" t="s">
        <v>175</v>
      </c>
      <c r="D709" s="133" t="s">
        <v>538</v>
      </c>
      <c r="E709" s="158">
        <v>8</v>
      </c>
      <c r="F709" s="158">
        <v>23</v>
      </c>
      <c r="G709" s="158">
        <v>3</v>
      </c>
      <c r="H709" s="133" t="s">
        <v>803</v>
      </c>
      <c r="I709" s="133" t="s">
        <v>1284</v>
      </c>
      <c r="J709" s="158">
        <v>0</v>
      </c>
      <c r="K709" s="159" t="str">
        <f ca="1">IFERROR(__xludf.DUMMYFUNCTION("GOOGLETRANSLATE(H709,""th"",""en"")"),"Edit date")</f>
        <v>Edit date</v>
      </c>
    </row>
    <row r="710" spans="1:11" ht="15.75" hidden="1" customHeight="1">
      <c r="A710" s="133" t="s">
        <v>7</v>
      </c>
      <c r="B710" s="133" t="s">
        <v>192</v>
      </c>
      <c r="C710" s="133" t="s">
        <v>1421</v>
      </c>
      <c r="D710" s="133" t="s">
        <v>484</v>
      </c>
      <c r="E710" s="158">
        <v>4</v>
      </c>
      <c r="F710" s="158">
        <v>10</v>
      </c>
      <c r="G710" s="158">
        <v>0</v>
      </c>
      <c r="H710" s="133" t="s">
        <v>1422</v>
      </c>
      <c r="I710" s="133" t="s">
        <v>615</v>
      </c>
      <c r="J710" s="158">
        <v>0</v>
      </c>
      <c r="K710" s="159" t="str">
        <f ca="1">IFERROR(__xludf.DUMMYFUNCTION("GOOGLETRANSLATE(H710,""th"",""en"")"),"number")</f>
        <v>number</v>
      </c>
    </row>
    <row r="711" spans="1:11" ht="15.75" hidden="1" customHeight="1">
      <c r="A711" s="133" t="s">
        <v>7</v>
      </c>
      <c r="B711" s="133" t="s">
        <v>195</v>
      </c>
      <c r="C711" s="133" t="s">
        <v>174</v>
      </c>
      <c r="D711" s="133" t="s">
        <v>477</v>
      </c>
      <c r="E711" s="158">
        <v>8</v>
      </c>
      <c r="F711" s="158">
        <v>0</v>
      </c>
      <c r="G711" s="158">
        <v>0</v>
      </c>
      <c r="H711" s="133" t="s">
        <v>1292</v>
      </c>
      <c r="I711" s="133" t="s">
        <v>548</v>
      </c>
      <c r="J711" s="158">
        <v>0</v>
      </c>
      <c r="K711" s="159" t="str">
        <f ca="1">IFERROR(__xludf.DUMMYFUNCTION("GOOGLETRANSLATE(H711,""th"",""en"")"),"Customer code")</f>
        <v>Customer code</v>
      </c>
    </row>
    <row r="712" spans="1:11" ht="15.75" hidden="1" customHeight="1">
      <c r="A712" s="133" t="s">
        <v>7</v>
      </c>
      <c r="B712" s="133" t="s">
        <v>195</v>
      </c>
      <c r="C712" s="133" t="s">
        <v>1423</v>
      </c>
      <c r="D712" s="133" t="s">
        <v>477</v>
      </c>
      <c r="E712" s="158">
        <v>50</v>
      </c>
      <c r="F712" s="158">
        <v>0</v>
      </c>
      <c r="G712" s="158">
        <v>0</v>
      </c>
      <c r="H712" s="133" t="s">
        <v>1424</v>
      </c>
      <c r="I712" s="133" t="s">
        <v>548</v>
      </c>
      <c r="J712" s="158">
        <v>0</v>
      </c>
      <c r="K712" s="159" t="str">
        <f ca="1">IFERROR(__xludf.DUMMYFUNCTION("GOOGLETRANSLATE(H712,""th"",""en"")"),"Type of customer (Personal = Person, Corporate = Organization)")</f>
        <v>Type of customer (Personal = Person, Corporate = Organization)</v>
      </c>
    </row>
    <row r="713" spans="1:11" ht="15.75" hidden="1" customHeight="1">
      <c r="A713" s="133" t="s">
        <v>7</v>
      </c>
      <c r="B713" s="133" t="s">
        <v>195</v>
      </c>
      <c r="C713" s="133" t="s">
        <v>191</v>
      </c>
      <c r="D713" s="133" t="s">
        <v>477</v>
      </c>
      <c r="E713" s="158">
        <v>9</v>
      </c>
      <c r="F713" s="158">
        <v>0</v>
      </c>
      <c r="G713" s="158">
        <v>0</v>
      </c>
      <c r="H713" s="133" t="s">
        <v>1409</v>
      </c>
      <c r="I713" s="133" t="s">
        <v>548</v>
      </c>
      <c r="J713" s="158">
        <v>0</v>
      </c>
      <c r="K713" s="159" t="str">
        <f ca="1">IFERROR(__xludf.DUMMYFUNCTION("GOOGLETRANSLATE(H713,""th"",""en"")"),"Group code")</f>
        <v>Group code</v>
      </c>
    </row>
    <row r="714" spans="1:11" ht="15.75" hidden="1" customHeight="1">
      <c r="A714" s="133" t="s">
        <v>7</v>
      </c>
      <c r="B714" s="133" t="s">
        <v>195</v>
      </c>
      <c r="C714" s="133" t="s">
        <v>1425</v>
      </c>
      <c r="D714" s="133" t="s">
        <v>477</v>
      </c>
      <c r="E714" s="158">
        <v>50</v>
      </c>
      <c r="F714" s="158">
        <v>0</v>
      </c>
      <c r="G714" s="158">
        <v>0</v>
      </c>
      <c r="H714" s="133" t="s">
        <v>1426</v>
      </c>
      <c r="I714" s="133" t="s">
        <v>548</v>
      </c>
      <c r="J714" s="158">
        <v>0</v>
      </c>
      <c r="K714" s="159" t="str">
        <f ca="1">IFERROR(__xludf.DUMMYFUNCTION("GOOGLETRANSLATE(H714,""th"",""en"")"),"Customer prefix")</f>
        <v>Customer prefix</v>
      </c>
    </row>
    <row r="715" spans="1:11" ht="15.75" hidden="1" customHeight="1">
      <c r="A715" s="133" t="s">
        <v>7</v>
      </c>
      <c r="B715" s="133" t="s">
        <v>195</v>
      </c>
      <c r="C715" s="133" t="s">
        <v>1427</v>
      </c>
      <c r="D715" s="133" t="s">
        <v>477</v>
      </c>
      <c r="E715" s="158">
        <v>100</v>
      </c>
      <c r="F715" s="158">
        <v>0</v>
      </c>
      <c r="G715" s="158">
        <v>0</v>
      </c>
      <c r="H715" s="133" t="s">
        <v>1428</v>
      </c>
      <c r="I715" s="133" t="s">
        <v>548</v>
      </c>
      <c r="J715" s="158">
        <v>0</v>
      </c>
      <c r="K715" s="159" t="str">
        <f ca="1">IFERROR(__xludf.DUMMYFUNCTION("GOOGLETRANSLATE(H715,""th"",""en"")"),"Thai customer name")</f>
        <v>Thai customer name</v>
      </c>
    </row>
    <row r="716" spans="1:11" ht="15.75" hidden="1" customHeight="1">
      <c r="A716" s="133" t="s">
        <v>7</v>
      </c>
      <c r="B716" s="133" t="s">
        <v>195</v>
      </c>
      <c r="C716" s="133" t="s">
        <v>1429</v>
      </c>
      <c r="D716" s="133" t="s">
        <v>477</v>
      </c>
      <c r="E716" s="158">
        <v>100</v>
      </c>
      <c r="F716" s="158">
        <v>0</v>
      </c>
      <c r="G716" s="158">
        <v>0</v>
      </c>
      <c r="H716" s="133" t="s">
        <v>1430</v>
      </c>
      <c r="I716" s="133" t="s">
        <v>548</v>
      </c>
      <c r="J716" s="158">
        <v>0</v>
      </c>
      <c r="K716" s="159" t="str">
        <f ca="1">IFERROR(__xludf.DUMMYFUNCTION("GOOGLETRANSLATE(H716,""th"",""en"")"),"English customer name")</f>
        <v>English customer name</v>
      </c>
    </row>
    <row r="717" spans="1:11" ht="15.75" hidden="1" customHeight="1">
      <c r="A717" s="133" t="s">
        <v>7</v>
      </c>
      <c r="B717" s="133" t="s">
        <v>195</v>
      </c>
      <c r="C717" s="133" t="s">
        <v>1431</v>
      </c>
      <c r="D717" s="133" t="s">
        <v>477</v>
      </c>
      <c r="E717" s="158">
        <v>50</v>
      </c>
      <c r="F717" s="158">
        <v>0</v>
      </c>
      <c r="G717" s="158">
        <v>0</v>
      </c>
      <c r="H717" s="133" t="s">
        <v>1432</v>
      </c>
      <c r="I717" s="133" t="s">
        <v>548</v>
      </c>
      <c r="J717" s="158">
        <v>0</v>
      </c>
      <c r="K717" s="159" t="str">
        <f ca="1">IFERROR(__xludf.DUMMYFUNCTION("GOOGLETRANSLATE(H717,""th"",""en"")"),"Customer status (suspend = recently created But not Approve (for Coperate customers), EarlyBad = (Early Bad Record) Do not sell all cases, but not yet Approve, Active = normal status (Personal customers are active from the first create), delete = Repeated"&amp;" code / dissolution, expire = no longer trading, Baddept = Cut off bad debt / prosecution, LOCK = LOCK from Collection Team, AutoLock = Auto Lock (by system))")</f>
        <v>Customer status (suspend = recently created But not Approve (for Coperate customers), EarlyBad = (Early Bad Record) Do not sell all cases, but not yet Approve, Active = normal status (Personal customers are active from the first create), delete = Repeated code / dissolution, expire = no longer trading, Baddept = Cut off bad debt / prosecution, LOCK = LOCK from Collection Team, AutoLock = Auto Lock (by system))</v>
      </c>
    </row>
    <row r="718" spans="1:11" ht="15.75" hidden="1" customHeight="1">
      <c r="A718" s="133" t="s">
        <v>7</v>
      </c>
      <c r="B718" s="133" t="s">
        <v>195</v>
      </c>
      <c r="C718" s="133" t="s">
        <v>1433</v>
      </c>
      <c r="D718" s="133" t="s">
        <v>477</v>
      </c>
      <c r="E718" s="158">
        <v>50</v>
      </c>
      <c r="F718" s="158">
        <v>0</v>
      </c>
      <c r="G718" s="158">
        <v>0</v>
      </c>
      <c r="H718" s="133" t="s">
        <v>1434</v>
      </c>
      <c r="I718" s="133" t="s">
        <v>548</v>
      </c>
      <c r="J718" s="158">
        <v>0</v>
      </c>
      <c r="K718" s="159" t="str">
        <f ca="1">IFERROR(__xludf.DUMMYFUNCTION("GOOGLETRANSLATE(H718,""th"",""en"")"),"Taxpayer ID number")</f>
        <v>Taxpayer ID number</v>
      </c>
    </row>
    <row r="719" spans="1:11" ht="15.75" hidden="1" customHeight="1">
      <c r="A719" s="133" t="s">
        <v>7</v>
      </c>
      <c r="B719" s="133" t="s">
        <v>195</v>
      </c>
      <c r="C719" s="133" t="s">
        <v>1435</v>
      </c>
      <c r="D719" s="133" t="s">
        <v>477</v>
      </c>
      <c r="E719" s="158">
        <v>50</v>
      </c>
      <c r="F719" s="158">
        <v>0</v>
      </c>
      <c r="G719" s="158">
        <v>0</v>
      </c>
      <c r="H719" s="133" t="s">
        <v>1436</v>
      </c>
      <c r="I719" s="133" t="s">
        <v>548</v>
      </c>
      <c r="J719" s="158">
        <v>0</v>
      </c>
      <c r="K719" s="159" t="str">
        <f ca="1">IFERROR(__xludf.DUMMYFUNCTION("GOOGLETRANSLATE(H719,""th"",""en"")"),"Payment terms (Cash = Cash, Credit = Credit)")</f>
        <v>Payment terms (Cash = Cash, Credit = Credit)</v>
      </c>
    </row>
    <row r="720" spans="1:11" ht="15.75" hidden="1" customHeight="1">
      <c r="A720" s="133" t="s">
        <v>7</v>
      </c>
      <c r="B720" s="133" t="s">
        <v>195</v>
      </c>
      <c r="C720" s="133" t="s">
        <v>1437</v>
      </c>
      <c r="D720" s="133" t="s">
        <v>477</v>
      </c>
      <c r="E720" s="158">
        <v>50</v>
      </c>
      <c r="F720" s="158">
        <v>0</v>
      </c>
      <c r="G720" s="158">
        <v>0</v>
      </c>
      <c r="H720" s="133" t="s">
        <v>1438</v>
      </c>
      <c r="I720" s="133" t="s">
        <v>548</v>
      </c>
      <c r="J720" s="158">
        <v>0</v>
      </c>
      <c r="K720" s="159" t="str">
        <f ca="1">IFERROR(__xludf.DUMMYFUNCTION("GOOGLETRANSLATE(H720,""th"",""en"")"),"Payment type")</f>
        <v>Payment type</v>
      </c>
    </row>
    <row r="721" spans="1:11" ht="15.75" hidden="1" customHeight="1">
      <c r="A721" s="133" t="s">
        <v>7</v>
      </c>
      <c r="B721" s="133" t="s">
        <v>195</v>
      </c>
      <c r="C721" s="133" t="s">
        <v>1439</v>
      </c>
      <c r="D721" s="133" t="s">
        <v>477</v>
      </c>
      <c r="E721" s="158">
        <v>50</v>
      </c>
      <c r="F721" s="158">
        <v>0</v>
      </c>
      <c r="G721" s="158">
        <v>0</v>
      </c>
      <c r="H721" s="133" t="s">
        <v>866</v>
      </c>
      <c r="I721" s="133" t="s">
        <v>548</v>
      </c>
      <c r="J721" s="158">
        <v>0</v>
      </c>
      <c r="K721" s="159" t="str">
        <f ca="1">IFERROR(__xludf.DUMMYFUNCTION("GOOGLETRANSLATE(H721,""th"",""en"")"),"Payment type name")</f>
        <v>Payment type name</v>
      </c>
    </row>
    <row r="722" spans="1:11" ht="15.75" hidden="1" customHeight="1">
      <c r="A722" s="133" t="s">
        <v>7</v>
      </c>
      <c r="B722" s="133" t="s">
        <v>195</v>
      </c>
      <c r="C722" s="133" t="s">
        <v>1440</v>
      </c>
      <c r="D722" s="133" t="s">
        <v>717</v>
      </c>
      <c r="E722" s="158">
        <v>5</v>
      </c>
      <c r="F722" s="158">
        <v>9</v>
      </c>
      <c r="G722" s="158">
        <v>2</v>
      </c>
      <c r="H722" s="133" t="s">
        <v>1441</v>
      </c>
      <c r="I722" s="133" t="s">
        <v>1223</v>
      </c>
      <c r="J722" s="158">
        <v>0</v>
      </c>
      <c r="K722" s="159" t="str">
        <f ca="1">IFERROR(__xludf.DUMMYFUNCTION("GOOGLETRANSLATE(H722,""th"",""en"")"),"Customer discount (%)")</f>
        <v>Customer discount (%)</v>
      </c>
    </row>
    <row r="723" spans="1:11" ht="15.75" hidden="1" customHeight="1">
      <c r="A723" s="133" t="s">
        <v>7</v>
      </c>
      <c r="B723" s="133" t="s">
        <v>195</v>
      </c>
      <c r="C723" s="133" t="s">
        <v>1442</v>
      </c>
      <c r="D723" s="133" t="s">
        <v>484</v>
      </c>
      <c r="E723" s="158">
        <v>4</v>
      </c>
      <c r="F723" s="158">
        <v>10</v>
      </c>
      <c r="G723" s="158">
        <v>0</v>
      </c>
      <c r="H723" s="133" t="s">
        <v>1443</v>
      </c>
      <c r="I723" s="133" t="s">
        <v>615</v>
      </c>
      <c r="J723" s="158">
        <v>0</v>
      </c>
      <c r="K723" s="159" t="str">
        <f ca="1">IFERROR(__xludf.DUMMYFUNCTION("GOOGLETRANSLATE(H723,""th"",""en"")"),"VAT percentage")</f>
        <v>VAT percentage</v>
      </c>
    </row>
    <row r="724" spans="1:11" ht="15.75" hidden="1" customHeight="1">
      <c r="A724" s="133" t="s">
        <v>7</v>
      </c>
      <c r="B724" s="133" t="s">
        <v>195</v>
      </c>
      <c r="C724" s="133" t="s">
        <v>1444</v>
      </c>
      <c r="D724" s="133" t="s">
        <v>477</v>
      </c>
      <c r="E724" s="158">
        <v>50</v>
      </c>
      <c r="F724" s="158">
        <v>0</v>
      </c>
      <c r="G724" s="158">
        <v>0</v>
      </c>
      <c r="H724" s="133" t="s">
        <v>1445</v>
      </c>
      <c r="I724" s="133" t="s">
        <v>1446</v>
      </c>
      <c r="J724" s="158">
        <v>0</v>
      </c>
      <c r="K724" s="159" t="str">
        <f ca="1">IFERROR(__xludf.DUMMYFUNCTION("GOOGLETRANSLATE(H724,""th"",""en"")"),"Segment information that users choose")</f>
        <v>Segment information that users choose</v>
      </c>
    </row>
    <row r="725" spans="1:11" ht="15.75" hidden="1" customHeight="1">
      <c r="A725" s="133" t="s">
        <v>7</v>
      </c>
      <c r="B725" s="133" t="s">
        <v>195</v>
      </c>
      <c r="C725" s="133" t="s">
        <v>1447</v>
      </c>
      <c r="D725" s="133" t="s">
        <v>477</v>
      </c>
      <c r="E725" s="158">
        <v>50</v>
      </c>
      <c r="F725" s="158">
        <v>0</v>
      </c>
      <c r="G725" s="158">
        <v>0</v>
      </c>
      <c r="H725" s="133" t="s">
        <v>1448</v>
      </c>
      <c r="I725" s="133" t="s">
        <v>548</v>
      </c>
      <c r="J725" s="158">
        <v>0</v>
      </c>
      <c r="K725" s="159" t="str">
        <f ca="1">IFERROR(__xludf.DUMMYFUNCTION("GOOGLETRANSLATE(H725,""th"",""en"")"),"Suggested segment information from the system")</f>
        <v>Suggested segment information from the system</v>
      </c>
    </row>
    <row r="726" spans="1:11" ht="15.75" hidden="1" customHeight="1">
      <c r="A726" s="133" t="s">
        <v>7</v>
      </c>
      <c r="B726" s="133" t="s">
        <v>195</v>
      </c>
      <c r="C726" s="133" t="s">
        <v>1337</v>
      </c>
      <c r="D726" s="133" t="s">
        <v>477</v>
      </c>
      <c r="E726" s="158">
        <v>50</v>
      </c>
      <c r="F726" s="158">
        <v>0</v>
      </c>
      <c r="G726" s="158">
        <v>0</v>
      </c>
      <c r="H726" s="133" t="s">
        <v>1449</v>
      </c>
      <c r="I726" s="133" t="s">
        <v>548</v>
      </c>
      <c r="J726" s="158">
        <v>0</v>
      </c>
      <c r="K726" s="159" t="str">
        <f ca="1">IFERROR(__xludf.DUMMYFUNCTION("GOOGLETRANSLATE(H726,""th"",""en"")"),"Salerept code that takes care of this customer")</f>
        <v>Salerept code that takes care of this customer</v>
      </c>
    </row>
    <row r="727" spans="1:11" ht="15.75" hidden="1" customHeight="1">
      <c r="A727" s="133" t="s">
        <v>7</v>
      </c>
      <c r="B727" s="133" t="s">
        <v>195</v>
      </c>
      <c r="C727" s="133" t="s">
        <v>1450</v>
      </c>
      <c r="D727" s="133" t="s">
        <v>477</v>
      </c>
      <c r="E727" s="158">
        <v>50</v>
      </c>
      <c r="F727" s="158">
        <v>0</v>
      </c>
      <c r="G727" s="158">
        <v>0</v>
      </c>
      <c r="H727" s="160"/>
      <c r="I727" s="133" t="s">
        <v>548</v>
      </c>
      <c r="J727" s="158">
        <v>0</v>
      </c>
      <c r="K727" s="159" t="str">
        <f ca="1">IFERROR(__xludf.DUMMYFUNCTION("GOOGLETRANSLATE(H727,""th"",""en"")"),"#VALUE!")</f>
        <v>#VALUE!</v>
      </c>
    </row>
    <row r="728" spans="1:11" ht="15.75" hidden="1" customHeight="1">
      <c r="A728" s="133" t="s">
        <v>7</v>
      </c>
      <c r="B728" s="133" t="s">
        <v>195</v>
      </c>
      <c r="C728" s="133" t="s">
        <v>1339</v>
      </c>
      <c r="D728" s="133" t="s">
        <v>477</v>
      </c>
      <c r="E728" s="158">
        <v>50</v>
      </c>
      <c r="F728" s="158">
        <v>0</v>
      </c>
      <c r="G728" s="158">
        <v>0</v>
      </c>
      <c r="H728" s="133" t="s">
        <v>1451</v>
      </c>
      <c r="I728" s="133" t="s">
        <v>548</v>
      </c>
      <c r="J728" s="158">
        <v>0</v>
      </c>
      <c r="K728" s="159" t="str">
        <f ca="1">IFERROR(__xludf.DUMMYFUNCTION("GOOGLETRANSLATE(H728,""th"",""en"")"),"Class of customers at present")</f>
        <v>Class of customers at present</v>
      </c>
    </row>
    <row r="729" spans="1:11" ht="15.75" hidden="1" customHeight="1">
      <c r="A729" s="133" t="s">
        <v>7</v>
      </c>
      <c r="B729" s="133" t="s">
        <v>195</v>
      </c>
      <c r="C729" s="133" t="s">
        <v>1452</v>
      </c>
      <c r="D729" s="133" t="s">
        <v>477</v>
      </c>
      <c r="E729" s="158">
        <v>50</v>
      </c>
      <c r="F729" s="158">
        <v>0</v>
      </c>
      <c r="G729" s="158">
        <v>0</v>
      </c>
      <c r="H729" s="160"/>
      <c r="I729" s="133" t="s">
        <v>548</v>
      </c>
      <c r="J729" s="158">
        <v>0</v>
      </c>
      <c r="K729" s="159" t="str">
        <f ca="1">IFERROR(__xludf.DUMMYFUNCTION("GOOGLETRANSLATE(H729,""th"",""en"")"),"#VALUE!")</f>
        <v>#VALUE!</v>
      </c>
    </row>
    <row r="730" spans="1:11" ht="15.75" hidden="1" customHeight="1">
      <c r="A730" s="133" t="s">
        <v>7</v>
      </c>
      <c r="B730" s="133" t="s">
        <v>195</v>
      </c>
      <c r="C730" s="133" t="s">
        <v>1453</v>
      </c>
      <c r="D730" s="133" t="s">
        <v>477</v>
      </c>
      <c r="E730" s="158">
        <v>3</v>
      </c>
      <c r="F730" s="158">
        <v>0</v>
      </c>
      <c r="G730" s="158">
        <v>0</v>
      </c>
      <c r="H730" s="133" t="s">
        <v>1454</v>
      </c>
      <c r="I730" s="133" t="s">
        <v>596</v>
      </c>
      <c r="J730" s="158">
        <v>0</v>
      </c>
      <c r="K730" s="159" t="str">
        <f ca="1">IFERROR(__xludf.DUMMYFUNCTION("GOOGLETRANSLATE(H730,""th"",""en"")"),"Keep Flag say that this customer has a telesale care? (Yes = customers have telesale care, no = customers do not have Telesale Care) to use Check in the opening of SO by checking from TBSocusttelesale")</f>
        <v>Keep Flag say that this customer has a telesale care? (Yes = customers have telesale care, no = customers do not have Telesale Care) to use Check in the opening of SO by checking from TBSocusttelesale</v>
      </c>
    </row>
    <row r="731" spans="1:11" ht="15.75" hidden="1" customHeight="1">
      <c r="A731" s="133" t="s">
        <v>7</v>
      </c>
      <c r="B731" s="133" t="s">
        <v>195</v>
      </c>
      <c r="C731" s="133" t="s">
        <v>1455</v>
      </c>
      <c r="D731" s="133" t="s">
        <v>477</v>
      </c>
      <c r="E731" s="158">
        <v>50</v>
      </c>
      <c r="F731" s="158">
        <v>0</v>
      </c>
      <c r="G731" s="158">
        <v>0</v>
      </c>
      <c r="H731" s="133" t="s">
        <v>1456</v>
      </c>
      <c r="I731" s="133" t="s">
        <v>548</v>
      </c>
      <c r="J731" s="158">
        <v>0</v>
      </c>
      <c r="K731" s="159" t="str">
        <f ca="1">IFERROR(__xludf.DUMMYFUNCTION("GOOGLETRANSLATE(H731,""th"",""en"")"),"PROSPECTID")</f>
        <v>PROSPECTID</v>
      </c>
    </row>
    <row r="732" spans="1:11" ht="15.75" hidden="1" customHeight="1">
      <c r="A732" s="133" t="s">
        <v>7</v>
      </c>
      <c r="B732" s="133" t="s">
        <v>195</v>
      </c>
      <c r="C732" s="133" t="s">
        <v>1457</v>
      </c>
      <c r="D732" s="133" t="s">
        <v>477</v>
      </c>
      <c r="E732" s="158">
        <v>50</v>
      </c>
      <c r="F732" s="158">
        <v>0</v>
      </c>
      <c r="G732" s="158">
        <v>0</v>
      </c>
      <c r="H732" s="133" t="s">
        <v>1458</v>
      </c>
      <c r="I732" s="133" t="s">
        <v>548</v>
      </c>
      <c r="J732" s="158">
        <v>0</v>
      </c>
      <c r="K732" s="159" t="str">
        <f ca="1">IFERROR(__xludf.DUMMYFUNCTION("GOOGLETRANSLATE(H732,""th"",""en"")"),"Business type code")</f>
        <v>Business type code</v>
      </c>
    </row>
    <row r="733" spans="1:11" ht="15.75" hidden="1" customHeight="1">
      <c r="A733" s="133" t="s">
        <v>7</v>
      </c>
      <c r="B733" s="133" t="s">
        <v>195</v>
      </c>
      <c r="C733" s="133" t="s">
        <v>1459</v>
      </c>
      <c r="D733" s="133" t="s">
        <v>477</v>
      </c>
      <c r="E733" s="158">
        <v>255</v>
      </c>
      <c r="F733" s="158">
        <v>0</v>
      </c>
      <c r="G733" s="158">
        <v>0</v>
      </c>
      <c r="H733" s="133" t="s">
        <v>1460</v>
      </c>
      <c r="I733" s="133" t="s">
        <v>548</v>
      </c>
      <c r="J733" s="158">
        <v>0</v>
      </c>
      <c r="K733" s="159" t="str">
        <f ca="1">IFERROR(__xludf.DUMMYFUNCTION("GOOGLETRANSLATE(H733,""th"",""en"")"),"More business type details")</f>
        <v>More business type details</v>
      </c>
    </row>
    <row r="734" spans="1:11" ht="15.75" hidden="1" customHeight="1">
      <c r="A734" s="133" t="s">
        <v>7</v>
      </c>
      <c r="B734" s="133" t="s">
        <v>195</v>
      </c>
      <c r="C734" s="133" t="s">
        <v>1461</v>
      </c>
      <c r="D734" s="133" t="s">
        <v>477</v>
      </c>
      <c r="E734" s="158">
        <v>50</v>
      </c>
      <c r="F734" s="158">
        <v>0</v>
      </c>
      <c r="G734" s="158">
        <v>0</v>
      </c>
      <c r="H734" s="133" t="s">
        <v>479</v>
      </c>
      <c r="I734" s="133" t="s">
        <v>548</v>
      </c>
      <c r="J734" s="158">
        <v>0</v>
      </c>
      <c r="K734" s="159" t="str">
        <f ca="1">IFERROR(__xludf.DUMMYFUNCTION("GOOGLETRANSLATE(H734,""th"",""en"")"),"Null")</f>
        <v>Null</v>
      </c>
    </row>
    <row r="735" spans="1:11" ht="15.75" hidden="1" customHeight="1">
      <c r="A735" s="133" t="s">
        <v>7</v>
      </c>
      <c r="B735" s="133" t="s">
        <v>195</v>
      </c>
      <c r="C735" s="133" t="s">
        <v>1462</v>
      </c>
      <c r="D735" s="133" t="s">
        <v>477</v>
      </c>
      <c r="E735" s="158">
        <v>255</v>
      </c>
      <c r="F735" s="158">
        <v>0</v>
      </c>
      <c r="G735" s="158">
        <v>0</v>
      </c>
      <c r="H735" s="133" t="s">
        <v>479</v>
      </c>
      <c r="I735" s="133" t="s">
        <v>548</v>
      </c>
      <c r="J735" s="158">
        <v>0</v>
      </c>
      <c r="K735" s="159" t="str">
        <f ca="1">IFERROR(__xludf.DUMMYFUNCTION("GOOGLETRANSLATE(H735,""th"",""en"")"),"Null")</f>
        <v>Null</v>
      </c>
    </row>
    <row r="736" spans="1:11" ht="15.75" hidden="1" customHeight="1">
      <c r="A736" s="133" t="s">
        <v>7</v>
      </c>
      <c r="B736" s="133" t="s">
        <v>195</v>
      </c>
      <c r="C736" s="133" t="s">
        <v>1463</v>
      </c>
      <c r="D736" s="133" t="s">
        <v>477</v>
      </c>
      <c r="E736" s="158">
        <v>255</v>
      </c>
      <c r="F736" s="158">
        <v>0</v>
      </c>
      <c r="G736" s="158">
        <v>0</v>
      </c>
      <c r="H736" s="133" t="s">
        <v>1464</v>
      </c>
      <c r="I736" s="133" t="s">
        <v>548</v>
      </c>
      <c r="J736" s="158">
        <v>0</v>
      </c>
      <c r="K736" s="159" t="str">
        <f ca="1">IFERROR(__xludf.DUMMYFUNCTION("GOOGLETRANSLATE(H736,""th"",""en"")"),"Note to change the status of the customer")</f>
        <v>Note to change the status of the customer</v>
      </c>
    </row>
    <row r="737" spans="1:11" ht="15.75" hidden="1" customHeight="1">
      <c r="A737" s="133" t="s">
        <v>7</v>
      </c>
      <c r="B737" s="133" t="s">
        <v>195</v>
      </c>
      <c r="C737" s="133" t="s">
        <v>1465</v>
      </c>
      <c r="D737" s="133" t="s">
        <v>484</v>
      </c>
      <c r="E737" s="158">
        <v>4</v>
      </c>
      <c r="F737" s="158">
        <v>10</v>
      </c>
      <c r="G737" s="158">
        <v>0</v>
      </c>
      <c r="H737" s="133" t="s">
        <v>1466</v>
      </c>
      <c r="I737" s="133" t="s">
        <v>615</v>
      </c>
      <c r="J737" s="158">
        <v>0</v>
      </c>
      <c r="K737" s="159" t="str">
        <f ca="1">IFERROR(__xludf.DUMMYFUNCTION("GOOGLETRANSLATE(H737,""th"",""en"")"),"The number of days added to the calculation of the LOCK X")</f>
        <v>The number of days added to the calculation of the LOCK X</v>
      </c>
    </row>
    <row r="738" spans="1:11" ht="15.75" hidden="1" customHeight="1">
      <c r="A738" s="133" t="s">
        <v>7</v>
      </c>
      <c r="B738" s="133" t="s">
        <v>195</v>
      </c>
      <c r="C738" s="133" t="s">
        <v>1467</v>
      </c>
      <c r="D738" s="133" t="s">
        <v>477</v>
      </c>
      <c r="E738" s="158">
        <v>50</v>
      </c>
      <c r="F738" s="158">
        <v>0</v>
      </c>
      <c r="G738" s="158">
        <v>0</v>
      </c>
      <c r="H738" s="133" t="s">
        <v>1468</v>
      </c>
      <c r="I738" s="133" t="s">
        <v>548</v>
      </c>
      <c r="J738" s="277">
        <v>1</v>
      </c>
      <c r="K738" s="159" t="str">
        <f ca="1">IFERROR(__xludf.DUMMYFUNCTION("GOOGLETRANSLATE(H738,""th"",""en"")"),"The 1 Card Card number")</f>
        <v>The 1 Card Card number</v>
      </c>
    </row>
    <row r="739" spans="1:11" ht="15.75" hidden="1" customHeight="1">
      <c r="A739" s="133" t="s">
        <v>7</v>
      </c>
      <c r="B739" s="133" t="s">
        <v>195</v>
      </c>
      <c r="C739" s="133" t="s">
        <v>1469</v>
      </c>
      <c r="D739" s="133" t="s">
        <v>484</v>
      </c>
      <c r="E739" s="158">
        <v>4</v>
      </c>
      <c r="F739" s="158">
        <v>10</v>
      </c>
      <c r="G739" s="158">
        <v>0</v>
      </c>
      <c r="H739" s="133" t="s">
        <v>1470</v>
      </c>
      <c r="I739" s="133" t="s">
        <v>615</v>
      </c>
      <c r="J739" s="158">
        <v>0</v>
      </c>
      <c r="K739" s="159" t="str">
        <f ca="1">IFERROR(__xludf.DUMMYFUNCTION("GOOGLETRANSLATE(H739,""th"",""en"")"),"Code Contact_ID comes from TBContact_Master Used to receive the y1card benefit")</f>
        <v>Code Contact_ID comes from TBContact_Master Used to receive the y1card benefit</v>
      </c>
    </row>
    <row r="740" spans="1:11" ht="15.75" hidden="1" customHeight="1">
      <c r="A740" s="133" t="s">
        <v>7</v>
      </c>
      <c r="B740" s="133" t="s">
        <v>195</v>
      </c>
      <c r="C740" s="133" t="s">
        <v>1471</v>
      </c>
      <c r="D740" s="133" t="s">
        <v>477</v>
      </c>
      <c r="E740" s="158">
        <v>8</v>
      </c>
      <c r="F740" s="158">
        <v>0</v>
      </c>
      <c r="G740" s="158">
        <v>0</v>
      </c>
      <c r="H740" s="160"/>
      <c r="I740" s="133" t="s">
        <v>548</v>
      </c>
      <c r="J740" s="277">
        <v>1</v>
      </c>
      <c r="K740" s="159" t="str">
        <f ca="1">IFERROR(__xludf.DUMMYFUNCTION("GOOGLETRANSLATE(H740,""th"",""en"")"),"#VALUE!")</f>
        <v>#VALUE!</v>
      </c>
    </row>
    <row r="741" spans="1:11" ht="15.75" hidden="1" customHeight="1">
      <c r="A741" s="133" t="s">
        <v>7</v>
      </c>
      <c r="B741" s="133" t="s">
        <v>195</v>
      </c>
      <c r="C741" s="133" t="s">
        <v>1472</v>
      </c>
      <c r="D741" s="133" t="s">
        <v>477</v>
      </c>
      <c r="E741" s="158">
        <v>50</v>
      </c>
      <c r="F741" s="158">
        <v>0</v>
      </c>
      <c r="G741" s="158">
        <v>0</v>
      </c>
      <c r="H741" s="133" t="s">
        <v>479</v>
      </c>
      <c r="I741" s="133" t="s">
        <v>548</v>
      </c>
      <c r="J741" s="158">
        <v>0</v>
      </c>
      <c r="K741" s="159" t="str">
        <f ca="1">IFERROR(__xludf.DUMMYFUNCTION("GOOGLETRANSLATE(H741,""th"",""en"")"),"Null")</f>
        <v>Null</v>
      </c>
    </row>
    <row r="742" spans="1:11" ht="15.75" hidden="1" customHeight="1">
      <c r="A742" s="133" t="s">
        <v>7</v>
      </c>
      <c r="B742" s="133" t="s">
        <v>195</v>
      </c>
      <c r="C742" s="133" t="s">
        <v>1473</v>
      </c>
      <c r="D742" s="133" t="s">
        <v>477</v>
      </c>
      <c r="E742" s="158">
        <v>3</v>
      </c>
      <c r="F742" s="158">
        <v>0</v>
      </c>
      <c r="G742" s="158">
        <v>0</v>
      </c>
      <c r="H742" s="133" t="s">
        <v>1474</v>
      </c>
      <c r="I742" s="133" t="s">
        <v>596</v>
      </c>
      <c r="J742" s="158">
        <v>0</v>
      </c>
      <c r="K742" s="159" t="str">
        <f ca="1">IFERROR(__xludf.DUMMYFUNCTION("GOOGLETRANSLATE(H742,""th"",""en"")"),"Third Party")</f>
        <v>Third Party</v>
      </c>
    </row>
    <row r="743" spans="1:11" ht="15.75" hidden="1" customHeight="1">
      <c r="A743" s="133" t="s">
        <v>7</v>
      </c>
      <c r="B743" s="133" t="s">
        <v>195</v>
      </c>
      <c r="C743" s="133" t="s">
        <v>1475</v>
      </c>
      <c r="D743" s="133" t="s">
        <v>477</v>
      </c>
      <c r="E743" s="158">
        <v>100</v>
      </c>
      <c r="F743" s="158">
        <v>0</v>
      </c>
      <c r="G743" s="158">
        <v>0</v>
      </c>
      <c r="H743" s="133" t="s">
        <v>1476</v>
      </c>
      <c r="I743" s="133" t="s">
        <v>548</v>
      </c>
      <c r="J743" s="158">
        <v>0</v>
      </c>
      <c r="K743" s="159" t="str">
        <f ca="1">IFERROR(__xludf.DUMMYFUNCTION("GOOGLETRANSLATE(H743,""th"",""en"")"),"System that the Third Party customer uses")</f>
        <v>System that the Third Party customer uses</v>
      </c>
    </row>
    <row r="744" spans="1:11" ht="15.75" hidden="1" customHeight="1">
      <c r="A744" s="133" t="s">
        <v>7</v>
      </c>
      <c r="B744" s="133" t="s">
        <v>195</v>
      </c>
      <c r="C744" s="133" t="s">
        <v>1477</v>
      </c>
      <c r="D744" s="133" t="s">
        <v>477</v>
      </c>
      <c r="E744" s="158">
        <v>300</v>
      </c>
      <c r="F744" s="158">
        <v>0</v>
      </c>
      <c r="G744" s="158">
        <v>0</v>
      </c>
      <c r="H744" s="133" t="s">
        <v>1478</v>
      </c>
      <c r="I744" s="133" t="s">
        <v>548</v>
      </c>
      <c r="J744" s="158">
        <v>0</v>
      </c>
      <c r="K744" s="159" t="str">
        <f ca="1">IFERROR(__xludf.DUMMYFUNCTION("GOOGLETRANSLATE(H744,""th"",""en"")"),"Warning is a Alert Message warning in the program so, for example, cancel the xxxxxx code instead, do not open the order.")</f>
        <v>Warning is a Alert Message warning in the program so, for example, cancel the xxxxxx code instead, do not open the order.</v>
      </c>
    </row>
    <row r="745" spans="1:11" ht="15.75" hidden="1" customHeight="1">
      <c r="A745" s="133" t="s">
        <v>7</v>
      </c>
      <c r="B745" s="133" t="s">
        <v>195</v>
      </c>
      <c r="C745" s="133" t="s">
        <v>1479</v>
      </c>
      <c r="D745" s="133" t="s">
        <v>477</v>
      </c>
      <c r="E745" s="158">
        <v>50</v>
      </c>
      <c r="F745" s="158">
        <v>0</v>
      </c>
      <c r="G745" s="158">
        <v>0</v>
      </c>
      <c r="H745" s="133" t="s">
        <v>1480</v>
      </c>
      <c r="I745" s="133" t="s">
        <v>548</v>
      </c>
      <c r="J745" s="277">
        <v>1</v>
      </c>
      <c r="K745" s="159" t="str">
        <f ca="1">IFERROR(__xludf.DUMMYFUNCTION("GOOGLETRANSLATE(H745,""th"",""en"")"),"Accounting group sequence For use in storing documents (By looking from old customer IDs, such as A0001 = 01, B0001 = 02) and new items from the first consonant of the name")</f>
        <v>Accounting group sequence For use in storing documents (By looking from old customer IDs, such as A0001 = 01, B0001 = 02) and new items from the first consonant of the name</v>
      </c>
    </row>
    <row r="746" spans="1:11" ht="15.75" hidden="1" customHeight="1">
      <c r="A746" s="133" t="s">
        <v>7</v>
      </c>
      <c r="B746" s="133" t="s">
        <v>195</v>
      </c>
      <c r="C746" s="133" t="s">
        <v>1481</v>
      </c>
      <c r="D746" s="133" t="s">
        <v>477</v>
      </c>
      <c r="E746" s="158">
        <v>3</v>
      </c>
      <c r="F746" s="158">
        <v>0</v>
      </c>
      <c r="G746" s="158">
        <v>0</v>
      </c>
      <c r="H746" s="133" t="s">
        <v>1482</v>
      </c>
      <c r="I746" s="133" t="s">
        <v>596</v>
      </c>
      <c r="J746" s="158">
        <v>0</v>
      </c>
      <c r="K746" s="159" t="str">
        <f ca="1">IFERROR(__xludf.DUMMYFUNCTION("GOOGLETRANSLATE(H746,""th"",""en"")"),"Customers have a fixprice price? (Yes = have FixPrice price, No = No H H Fixprice)")</f>
        <v>Customers have a fixprice price? (Yes = have FixPrice price, No = No H H Fixprice)</v>
      </c>
    </row>
    <row r="747" spans="1:11" ht="15.75" hidden="1" customHeight="1">
      <c r="A747" s="133" t="s">
        <v>7</v>
      </c>
      <c r="B747" s="133" t="s">
        <v>195</v>
      </c>
      <c r="C747" s="133" t="s">
        <v>1483</v>
      </c>
      <c r="D747" s="133" t="s">
        <v>477</v>
      </c>
      <c r="E747" s="158">
        <v>50</v>
      </c>
      <c r="F747" s="158">
        <v>0</v>
      </c>
      <c r="G747" s="158">
        <v>0</v>
      </c>
      <c r="H747" s="133" t="s">
        <v>1484</v>
      </c>
      <c r="I747" s="133" t="s">
        <v>548</v>
      </c>
      <c r="J747" s="158">
        <v>0</v>
      </c>
      <c r="K747" s="159" t="str">
        <f ca="1">IFERROR(__xludf.DUMMYFUNCTION("GOOGLETRANSLATE(H747,""th"",""en"")"),"Chain customer code")</f>
        <v>Chain customer code</v>
      </c>
    </row>
    <row r="748" spans="1:11" ht="15.75" hidden="1" customHeight="1">
      <c r="A748" s="133" t="s">
        <v>7</v>
      </c>
      <c r="B748" s="133" t="s">
        <v>195</v>
      </c>
      <c r="C748" s="133" t="s">
        <v>359</v>
      </c>
      <c r="D748" s="133" t="s">
        <v>484</v>
      </c>
      <c r="E748" s="158">
        <v>4</v>
      </c>
      <c r="F748" s="158">
        <v>10</v>
      </c>
      <c r="G748" s="158">
        <v>0</v>
      </c>
      <c r="H748" s="133" t="s">
        <v>1485</v>
      </c>
      <c r="I748" s="133" t="s">
        <v>615</v>
      </c>
      <c r="J748" s="158">
        <v>0</v>
      </c>
      <c r="K748" s="159" t="str">
        <f ca="1">IFERROR(__xludf.DUMMYFUNCTION("GOOGLETRANSLATE(H748,""th"",""en"")"),"Store number of OD")</f>
        <v>Store number of OD</v>
      </c>
    </row>
    <row r="749" spans="1:11" ht="15.75" hidden="1" customHeight="1">
      <c r="A749" s="133" t="s">
        <v>7</v>
      </c>
      <c r="B749" s="133" t="s">
        <v>195</v>
      </c>
      <c r="C749" s="133" t="s">
        <v>1486</v>
      </c>
      <c r="D749" s="133" t="s">
        <v>477</v>
      </c>
      <c r="E749" s="158">
        <v>6</v>
      </c>
      <c r="F749" s="158">
        <v>0</v>
      </c>
      <c r="G749" s="158">
        <v>0</v>
      </c>
      <c r="H749" s="133" t="s">
        <v>1487</v>
      </c>
      <c r="I749" s="133" t="s">
        <v>548</v>
      </c>
      <c r="J749" s="158">
        <v>0</v>
      </c>
      <c r="K749" s="159" t="str">
        <f ca="1">IFERROR(__xludf.DUMMYFUNCTION("GOOGLETRANSLATE(H749,""th"",""en"")"),"Central customer group")</f>
        <v>Central customer group</v>
      </c>
    </row>
    <row r="750" spans="1:11" ht="15.75" hidden="1" customHeight="1">
      <c r="A750" s="133" t="s">
        <v>7</v>
      </c>
      <c r="B750" s="133" t="s">
        <v>195</v>
      </c>
      <c r="C750" s="133" t="s">
        <v>1488</v>
      </c>
      <c r="D750" s="133" t="s">
        <v>477</v>
      </c>
      <c r="E750" s="158">
        <v>3</v>
      </c>
      <c r="F750" s="158">
        <v>0</v>
      </c>
      <c r="G750" s="158">
        <v>0</v>
      </c>
      <c r="H750" s="133" t="s">
        <v>1489</v>
      </c>
      <c r="I750" s="133" t="s">
        <v>596</v>
      </c>
      <c r="J750" s="158">
        <v>0</v>
      </c>
      <c r="K750" s="159" t="str">
        <f ca="1">IFERROR(__xludf.DUMMYFUNCTION("GOOGLETRANSLATE(H750,""th"",""en"")"),"To be copied (Yes / NO) (reference to the note Inv..Saleremark)")</f>
        <v>To be copied (Yes / NO) (reference to the note Inv..Saleremark)</v>
      </c>
    </row>
    <row r="751" spans="1:11" ht="15.75" hidden="1" customHeight="1">
      <c r="A751" s="133" t="s">
        <v>7</v>
      </c>
      <c r="B751" s="133" t="s">
        <v>195</v>
      </c>
      <c r="C751" s="133" t="s">
        <v>1490</v>
      </c>
      <c r="D751" s="133" t="s">
        <v>477</v>
      </c>
      <c r="E751" s="158">
        <v>3</v>
      </c>
      <c r="F751" s="158">
        <v>0</v>
      </c>
      <c r="G751" s="158">
        <v>0</v>
      </c>
      <c r="H751" s="133" t="s">
        <v>1491</v>
      </c>
      <c r="I751" s="133" t="s">
        <v>596</v>
      </c>
      <c r="J751" s="158">
        <v>0</v>
      </c>
      <c r="K751" s="159" t="str">
        <f ca="1">IFERROR(__xludf.DUMMYFUNCTION("GOOGLETRANSLATE(H751,""th"",""en"")"),"For checking That the customer can open the order at Stroe (Yes = Yes = No)")</f>
        <v>For checking That the customer can open the order at Stroe (Yes = Yes = No)</v>
      </c>
    </row>
    <row r="752" spans="1:11" ht="15.75" hidden="1" customHeight="1">
      <c r="A752" s="133" t="s">
        <v>7</v>
      </c>
      <c r="B752" s="133" t="s">
        <v>195</v>
      </c>
      <c r="C752" s="133" t="s">
        <v>1492</v>
      </c>
      <c r="D752" s="133" t="s">
        <v>477</v>
      </c>
      <c r="E752" s="158">
        <v>3</v>
      </c>
      <c r="F752" s="158">
        <v>0</v>
      </c>
      <c r="G752" s="158">
        <v>0</v>
      </c>
      <c r="H752" s="133" t="s">
        <v>1493</v>
      </c>
      <c r="I752" s="133" t="s">
        <v>596</v>
      </c>
      <c r="J752" s="158">
        <v>0</v>
      </c>
      <c r="K752" s="159" t="str">
        <f ca="1">IFERROR(__xludf.DUMMYFUNCTION("GOOGLETRANSLATE(H752,""th"",""en"")"),"For checking the sale of the credit (Yes = Yes, No = Not)")</f>
        <v>For checking the sale of the credit (Yes = Yes, No = Not)</v>
      </c>
    </row>
    <row r="753" spans="1:11" ht="15.75" hidden="1" customHeight="1">
      <c r="A753" s="133" t="s">
        <v>7</v>
      </c>
      <c r="B753" s="133" t="s">
        <v>195</v>
      </c>
      <c r="C753" s="133" t="s">
        <v>1494</v>
      </c>
      <c r="D753" s="133" t="s">
        <v>477</v>
      </c>
      <c r="E753" s="158">
        <v>3</v>
      </c>
      <c r="F753" s="158">
        <v>0</v>
      </c>
      <c r="G753" s="158">
        <v>0</v>
      </c>
      <c r="H753" s="133" t="s">
        <v>1495</v>
      </c>
      <c r="I753" s="133" t="s">
        <v>596</v>
      </c>
      <c r="J753" s="158">
        <v>0</v>
      </c>
      <c r="K753" s="159" t="str">
        <f ca="1">IFERROR(__xludf.DUMMYFUNCTION("GOOGLETRANSLATE(H753,""th"",""en"")"),"Identify customers with seal [yes, no]")</f>
        <v>Identify customers with seal [yes, no]</v>
      </c>
    </row>
    <row r="754" spans="1:11" ht="15.75" hidden="1" customHeight="1">
      <c r="A754" s="133" t="s">
        <v>7</v>
      </c>
      <c r="B754" s="133" t="s">
        <v>195</v>
      </c>
      <c r="C754" s="133" t="s">
        <v>1496</v>
      </c>
      <c r="D754" s="133" t="s">
        <v>477</v>
      </c>
      <c r="E754" s="158">
        <v>50</v>
      </c>
      <c r="F754" s="158">
        <v>0</v>
      </c>
      <c r="G754" s="158">
        <v>0</v>
      </c>
      <c r="H754" s="133" t="s">
        <v>1497</v>
      </c>
      <c r="I754" s="133" t="s">
        <v>548</v>
      </c>
      <c r="J754" s="158">
        <v>0</v>
      </c>
      <c r="K754" s="159" t="str">
        <f ca="1">IFERROR(__xludf.DUMMYFUNCTION("GOOGLETRANSLATE(H754,""th"",""en"")"),"Source of customers (Officemate, Central)")</f>
        <v>Source of customers (Officemate, Central)</v>
      </c>
    </row>
    <row r="755" spans="1:11" ht="15.75" hidden="1" customHeight="1">
      <c r="A755" s="133" t="s">
        <v>7</v>
      </c>
      <c r="B755" s="133" t="s">
        <v>195</v>
      </c>
      <c r="C755" s="133" t="s">
        <v>1498</v>
      </c>
      <c r="D755" s="133" t="s">
        <v>477</v>
      </c>
      <c r="E755" s="158">
        <v>20</v>
      </c>
      <c r="F755" s="158">
        <v>0</v>
      </c>
      <c r="G755" s="158">
        <v>0</v>
      </c>
      <c r="H755" s="160"/>
      <c r="I755" s="133" t="s">
        <v>548</v>
      </c>
      <c r="J755" s="158">
        <v>0</v>
      </c>
      <c r="K755" s="159" t="str">
        <f ca="1">IFERROR(__xludf.DUMMYFUNCTION("GOOGLETRANSLATE(H755,""th"",""en"")"),"#VALUE!")</f>
        <v>#VALUE!</v>
      </c>
    </row>
    <row r="756" spans="1:11" ht="15.75" hidden="1" customHeight="1">
      <c r="A756" s="133" t="s">
        <v>7</v>
      </c>
      <c r="B756" s="133" t="s">
        <v>195</v>
      </c>
      <c r="C756" s="133" t="s">
        <v>1380</v>
      </c>
      <c r="D756" s="133" t="s">
        <v>477</v>
      </c>
      <c r="E756" s="158">
        <v>50</v>
      </c>
      <c r="F756" s="158">
        <v>0</v>
      </c>
      <c r="G756" s="158">
        <v>0</v>
      </c>
      <c r="H756" s="133" t="s">
        <v>1499</v>
      </c>
      <c r="I756" s="133" t="s">
        <v>548</v>
      </c>
      <c r="J756" s="158">
        <v>0</v>
      </c>
      <c r="K756" s="159" t="str">
        <f ca="1">IFERROR(__xludf.DUMMYFUNCTION("GOOGLETRANSLATE(H756,""th"",""en"")"),"DEFAULT DOCUMENT of trading that is so or do")</f>
        <v>DEFAULT DOCUMENT of trading that is so or do</v>
      </c>
    </row>
    <row r="757" spans="1:11" ht="15.75" hidden="1" customHeight="1">
      <c r="A757" s="133" t="s">
        <v>7</v>
      </c>
      <c r="B757" s="133" t="s">
        <v>195</v>
      </c>
      <c r="C757" s="133" t="s">
        <v>1500</v>
      </c>
      <c r="D757" s="133" t="s">
        <v>477</v>
      </c>
      <c r="E757" s="158">
        <v>20</v>
      </c>
      <c r="F757" s="158">
        <v>0</v>
      </c>
      <c r="G757" s="158">
        <v>0</v>
      </c>
      <c r="H757" s="133" t="s">
        <v>1501</v>
      </c>
      <c r="I757" s="133" t="s">
        <v>1502</v>
      </c>
      <c r="J757" s="158">
        <v>0</v>
      </c>
      <c r="K757" s="159" t="str">
        <f ca="1">IFERROR(__xludf.DUMMYFUNCTION("GOOGLETRANSLATE(H757,""th"",""en"")"),"(Billspilt = Si Si, Billmerge = Total SI, Endmonth = Group SI Groupbill Customer)")</f>
        <v>(Billspilt = Si Si, Billmerge = Total SI, Endmonth = Group SI Groupbill Customer)</v>
      </c>
    </row>
    <row r="758" spans="1:11" ht="15.75" hidden="1" customHeight="1">
      <c r="A758" s="133" t="s">
        <v>7</v>
      </c>
      <c r="B758" s="133" t="s">
        <v>195</v>
      </c>
      <c r="C758" s="133" t="s">
        <v>1503</v>
      </c>
      <c r="D758" s="133" t="s">
        <v>481</v>
      </c>
      <c r="E758" s="158">
        <v>9</v>
      </c>
      <c r="F758" s="158">
        <v>18</v>
      </c>
      <c r="G758" s="158">
        <v>2</v>
      </c>
      <c r="H758" s="133" t="s">
        <v>479</v>
      </c>
      <c r="I758" s="133" t="s">
        <v>615</v>
      </c>
      <c r="J758" s="158">
        <v>0</v>
      </c>
      <c r="K758" s="159" t="str">
        <f ca="1">IFERROR(__xludf.DUMMYFUNCTION("GOOGLETRANSLATE(H758,""th"",""en"")"),"Null")</f>
        <v>Null</v>
      </c>
    </row>
    <row r="759" spans="1:11" ht="15.75" hidden="1" customHeight="1">
      <c r="A759" s="133" t="s">
        <v>7</v>
      </c>
      <c r="B759" s="133" t="s">
        <v>195</v>
      </c>
      <c r="C759" s="133" t="s">
        <v>1504</v>
      </c>
      <c r="D759" s="133" t="s">
        <v>484</v>
      </c>
      <c r="E759" s="158">
        <v>4</v>
      </c>
      <c r="F759" s="158">
        <v>10</v>
      </c>
      <c r="G759" s="158">
        <v>0</v>
      </c>
      <c r="H759" s="133" t="s">
        <v>479</v>
      </c>
      <c r="I759" s="133" t="s">
        <v>615</v>
      </c>
      <c r="J759" s="158">
        <v>0</v>
      </c>
      <c r="K759" s="159" t="str">
        <f ca="1">IFERROR(__xludf.DUMMYFUNCTION("GOOGLETRANSLATE(H759,""th"",""en"")"),"Null")</f>
        <v>Null</v>
      </c>
    </row>
    <row r="760" spans="1:11" ht="15.75" hidden="1" customHeight="1">
      <c r="A760" s="133" t="s">
        <v>7</v>
      </c>
      <c r="B760" s="133" t="s">
        <v>195</v>
      </c>
      <c r="C760" s="133" t="s">
        <v>1505</v>
      </c>
      <c r="D760" s="133" t="s">
        <v>538</v>
      </c>
      <c r="E760" s="158">
        <v>8</v>
      </c>
      <c r="F760" s="158">
        <v>23</v>
      </c>
      <c r="G760" s="158">
        <v>3</v>
      </c>
      <c r="H760" s="133" t="s">
        <v>1506</v>
      </c>
      <c r="I760" s="133" t="s">
        <v>1284</v>
      </c>
      <c r="J760" s="158">
        <v>0</v>
      </c>
      <c r="K760" s="159" t="str">
        <f ca="1">IFERROR(__xludf.DUMMYFUNCTION("GOOGLETRANSLATE(H760,""th"",""en"")"),"The date of the customer's status back Active after Expire")</f>
        <v>The date of the customer's status back Active after Expire</v>
      </c>
    </row>
    <row r="761" spans="1:11" ht="15.75" hidden="1" customHeight="1">
      <c r="A761" s="133" t="s">
        <v>7</v>
      </c>
      <c r="B761" s="133" t="s">
        <v>195</v>
      </c>
      <c r="C761" s="133" t="s">
        <v>1507</v>
      </c>
      <c r="D761" s="133" t="s">
        <v>538</v>
      </c>
      <c r="E761" s="158">
        <v>8</v>
      </c>
      <c r="F761" s="158">
        <v>23</v>
      </c>
      <c r="G761" s="158">
        <v>3</v>
      </c>
      <c r="H761" s="160"/>
      <c r="I761" s="133" t="s">
        <v>1284</v>
      </c>
      <c r="J761" s="158">
        <v>0</v>
      </c>
      <c r="K761" s="159" t="str">
        <f ca="1">IFERROR(__xludf.DUMMYFUNCTION("GOOGLETRANSLATE(H761,""th"",""en"")"),"#VALUE!")</f>
        <v>#VALUE!</v>
      </c>
    </row>
    <row r="762" spans="1:11" ht="15.75" hidden="1" customHeight="1">
      <c r="A762" s="133" t="s">
        <v>7</v>
      </c>
      <c r="B762" s="133" t="s">
        <v>195</v>
      </c>
      <c r="C762" s="133" t="s">
        <v>1508</v>
      </c>
      <c r="D762" s="133" t="s">
        <v>477</v>
      </c>
      <c r="E762" s="158">
        <v>18</v>
      </c>
      <c r="F762" s="158">
        <v>0</v>
      </c>
      <c r="G762" s="158">
        <v>0</v>
      </c>
      <c r="H762" s="133" t="s">
        <v>479</v>
      </c>
      <c r="I762" s="133" t="s">
        <v>548</v>
      </c>
      <c r="J762" s="158">
        <v>0</v>
      </c>
      <c r="K762" s="159" t="str">
        <f ca="1">IFERROR(__xludf.DUMMYFUNCTION("GOOGLETRANSLATE(H762,""th"",""en"")"),"Null")</f>
        <v>Null</v>
      </c>
    </row>
    <row r="763" spans="1:11" ht="15.75" hidden="1" customHeight="1">
      <c r="A763" s="133" t="s">
        <v>7</v>
      </c>
      <c r="B763" s="133" t="s">
        <v>195</v>
      </c>
      <c r="C763" s="133" t="s">
        <v>1509</v>
      </c>
      <c r="D763" s="133" t="s">
        <v>477</v>
      </c>
      <c r="E763" s="158">
        <v>255</v>
      </c>
      <c r="F763" s="158">
        <v>0</v>
      </c>
      <c r="G763" s="158">
        <v>0</v>
      </c>
      <c r="H763" s="133" t="s">
        <v>1510</v>
      </c>
      <c r="I763" s="133" t="s">
        <v>548</v>
      </c>
      <c r="J763" s="158">
        <v>0</v>
      </c>
      <c r="K763" s="159" t="str">
        <f ca="1">IFERROR(__xludf.DUMMYFUNCTION("GOOGLETRANSLATE(H763,""th"",""en"")"),"Keep the note that the branch cannot sell credits.")</f>
        <v>Keep the note that the branch cannot sell credits.</v>
      </c>
    </row>
    <row r="764" spans="1:11" ht="15.75" hidden="1" customHeight="1">
      <c r="A764" s="133" t="s">
        <v>7</v>
      </c>
      <c r="B764" s="133" t="s">
        <v>195</v>
      </c>
      <c r="C764" s="133" t="s">
        <v>1511</v>
      </c>
      <c r="D764" s="133" t="s">
        <v>477</v>
      </c>
      <c r="E764" s="158">
        <v>255</v>
      </c>
      <c r="F764" s="158">
        <v>0</v>
      </c>
      <c r="G764" s="158">
        <v>0</v>
      </c>
      <c r="H764" s="133" t="s">
        <v>1358</v>
      </c>
      <c r="I764" s="133" t="s">
        <v>548</v>
      </c>
      <c r="J764" s="158">
        <v>0</v>
      </c>
      <c r="K764" s="159" t="str">
        <f ca="1">IFERROR(__xludf.DUMMYFUNCTION("GOOGLETRANSLATE(H764,""th"",""en"")"),"Credit notes")</f>
        <v>Credit notes</v>
      </c>
    </row>
    <row r="765" spans="1:11" ht="15.75" hidden="1" customHeight="1">
      <c r="A765" s="133" t="s">
        <v>7</v>
      </c>
      <c r="B765" s="133" t="s">
        <v>195</v>
      </c>
      <c r="C765" s="133" t="s">
        <v>1512</v>
      </c>
      <c r="D765" s="133" t="s">
        <v>477</v>
      </c>
      <c r="E765" s="158">
        <v>255</v>
      </c>
      <c r="F765" s="158">
        <v>0</v>
      </c>
      <c r="G765" s="158">
        <v>0</v>
      </c>
      <c r="H765" s="133" t="s">
        <v>1513</v>
      </c>
      <c r="I765" s="133" t="s">
        <v>548</v>
      </c>
      <c r="J765" s="158">
        <v>0</v>
      </c>
      <c r="K765" s="159" t="str">
        <f ca="1">IFERROR(__xludf.DUMMYFUNCTION("GOOGLETRANSLATE(H765,""th"",""en"")"),"Note the payment changes and discounts (Used in the Admintools)")</f>
        <v>Note the payment changes and discounts (Used in the Admintools)</v>
      </c>
    </row>
    <row r="766" spans="1:11" ht="15.75" hidden="1" customHeight="1">
      <c r="A766" s="133" t="s">
        <v>7</v>
      </c>
      <c r="B766" s="133" t="s">
        <v>195</v>
      </c>
      <c r="C766" s="133" t="s">
        <v>1514</v>
      </c>
      <c r="D766" s="133" t="s">
        <v>477</v>
      </c>
      <c r="E766" s="158">
        <v>1000</v>
      </c>
      <c r="F766" s="158">
        <v>0</v>
      </c>
      <c r="G766" s="158">
        <v>0</v>
      </c>
      <c r="H766" s="133" t="s">
        <v>1515</v>
      </c>
      <c r="I766" s="133" t="s">
        <v>548</v>
      </c>
      <c r="J766" s="158">
        <v>0</v>
      </c>
      <c r="K766" s="159" t="str">
        <f ca="1">IFERROR(__xludf.DUMMYFUNCTION("GOOGLETRANSLATE(H766,""th"",""en"")"),"Remark on the account")</f>
        <v>Remark on the account</v>
      </c>
    </row>
    <row r="767" spans="1:11" ht="15.75" hidden="1" customHeight="1">
      <c r="A767" s="133" t="s">
        <v>7</v>
      </c>
      <c r="B767" s="133" t="s">
        <v>195</v>
      </c>
      <c r="C767" s="133" t="s">
        <v>1516</v>
      </c>
      <c r="D767" s="133" t="s">
        <v>477</v>
      </c>
      <c r="E767" s="158">
        <v>60</v>
      </c>
      <c r="F767" s="158">
        <v>0</v>
      </c>
      <c r="G767" s="158">
        <v>0</v>
      </c>
      <c r="H767" s="133" t="s">
        <v>1517</v>
      </c>
      <c r="I767" s="133" t="s">
        <v>548</v>
      </c>
      <c r="J767" s="158">
        <v>0</v>
      </c>
      <c r="K767" s="159" t="str">
        <f ca="1">IFERROR(__xludf.DUMMYFUNCTION("GOOGLETRANSLATE(H767,""th"",""en"")"),"Remark Show On Credit Note Document (On CmcCust)")</f>
        <v>Remark Show On Credit Note Document (On CmcCust)</v>
      </c>
    </row>
    <row r="768" spans="1:11" ht="15.75" hidden="1" customHeight="1">
      <c r="A768" s="133" t="s">
        <v>7</v>
      </c>
      <c r="B768" s="133" t="s">
        <v>195</v>
      </c>
      <c r="C768" s="133" t="s">
        <v>1518</v>
      </c>
      <c r="D768" s="133" t="s">
        <v>477</v>
      </c>
      <c r="E768" s="158">
        <v>-1</v>
      </c>
      <c r="F768" s="158">
        <v>0</v>
      </c>
      <c r="G768" s="158">
        <v>0</v>
      </c>
      <c r="H768" s="133" t="s">
        <v>1519</v>
      </c>
      <c r="I768" s="133" t="s">
        <v>548</v>
      </c>
      <c r="J768" s="158">
        <v>0</v>
      </c>
      <c r="K768" s="159" t="str">
        <f ca="1">IFERROR(__xludf.DUMMYFUNCTION("GOOGLETRANSLATE(H768,""th"",""en"")"),"Note of debt tracking")</f>
        <v>Note of debt tracking</v>
      </c>
    </row>
    <row r="769" spans="1:11" ht="15.75" hidden="1" customHeight="1">
      <c r="A769" s="133" t="s">
        <v>7</v>
      </c>
      <c r="B769" s="133" t="s">
        <v>195</v>
      </c>
      <c r="C769" s="133" t="s">
        <v>1520</v>
      </c>
      <c r="D769" s="133" t="s">
        <v>477</v>
      </c>
      <c r="E769" s="158">
        <v>100</v>
      </c>
      <c r="F769" s="158">
        <v>0</v>
      </c>
      <c r="G769" s="158">
        <v>0</v>
      </c>
      <c r="H769" s="133" t="s">
        <v>1521</v>
      </c>
      <c r="I769" s="133" t="s">
        <v>548</v>
      </c>
      <c r="J769" s="158">
        <v>0</v>
      </c>
      <c r="K769" s="159" t="str">
        <f ca="1">IFERROR(__xludf.DUMMYFUNCTION("GOOGLETRANSLATE(H769,""th"",""en"")"),"Remark of TM")</f>
        <v>Remark of TM</v>
      </c>
    </row>
    <row r="770" spans="1:11" ht="15.75" hidden="1" customHeight="1">
      <c r="A770" s="133" t="s">
        <v>7</v>
      </c>
      <c r="B770" s="133" t="s">
        <v>195</v>
      </c>
      <c r="C770" s="133" t="s">
        <v>1412</v>
      </c>
      <c r="D770" s="133" t="s">
        <v>1413</v>
      </c>
      <c r="E770" s="158">
        <v>8</v>
      </c>
      <c r="F770" s="158">
        <v>0</v>
      </c>
      <c r="G770" s="158">
        <v>0</v>
      </c>
      <c r="H770" s="133" t="s">
        <v>479</v>
      </c>
      <c r="I770" s="133" t="s">
        <v>479</v>
      </c>
      <c r="J770" s="158">
        <v>1</v>
      </c>
      <c r="K770" s="159" t="str">
        <f ca="1">IFERROR(__xludf.DUMMYFUNCTION("GOOGLETRANSLATE(H770,""th"",""en"")"),"Null")</f>
        <v>Null</v>
      </c>
    </row>
    <row r="771" spans="1:11" ht="15.75" hidden="1" customHeight="1">
      <c r="A771" s="133" t="s">
        <v>7</v>
      </c>
      <c r="B771" s="133" t="s">
        <v>195</v>
      </c>
      <c r="C771" s="133" t="s">
        <v>1332</v>
      </c>
      <c r="D771" s="133" t="s">
        <v>477</v>
      </c>
      <c r="E771" s="158">
        <v>3</v>
      </c>
      <c r="F771" s="158">
        <v>0</v>
      </c>
      <c r="G771" s="158">
        <v>0</v>
      </c>
      <c r="H771" s="160"/>
      <c r="I771" s="133" t="s">
        <v>596</v>
      </c>
      <c r="J771" s="158">
        <v>0</v>
      </c>
      <c r="K771" s="159" t="str">
        <f ca="1">IFERROR(__xludf.DUMMYFUNCTION("GOOGLETRANSLATE(H771,""th"",""en"")"),"#VALUE!")</f>
        <v>#VALUE!</v>
      </c>
    </row>
    <row r="772" spans="1:11" ht="15.75" hidden="1" customHeight="1">
      <c r="A772" s="133" t="s">
        <v>7</v>
      </c>
      <c r="B772" s="133" t="s">
        <v>195</v>
      </c>
      <c r="C772" s="133" t="s">
        <v>1333</v>
      </c>
      <c r="D772" s="133" t="s">
        <v>477</v>
      </c>
      <c r="E772" s="158">
        <v>100</v>
      </c>
      <c r="F772" s="158">
        <v>0</v>
      </c>
      <c r="G772" s="158">
        <v>0</v>
      </c>
      <c r="H772" s="133" t="s">
        <v>1359</v>
      </c>
      <c r="I772" s="133" t="s">
        <v>548</v>
      </c>
      <c r="J772" s="158">
        <v>0</v>
      </c>
      <c r="K772" s="159" t="str">
        <f ca="1">IFERROR(__xludf.DUMMYFUNCTION("GOOGLETRANSLATE(H772,""th"",""en"")"),"Name")</f>
        <v>Name</v>
      </c>
    </row>
    <row r="773" spans="1:11" ht="15.75" hidden="1" customHeight="1">
      <c r="A773" s="133" t="s">
        <v>7</v>
      </c>
      <c r="B773" s="133" t="s">
        <v>195</v>
      </c>
      <c r="C773" s="133" t="s">
        <v>1334</v>
      </c>
      <c r="D773" s="133" t="s">
        <v>477</v>
      </c>
      <c r="E773" s="158">
        <v>8</v>
      </c>
      <c r="F773" s="158">
        <v>0</v>
      </c>
      <c r="G773" s="158">
        <v>0</v>
      </c>
      <c r="H773" s="133" t="s">
        <v>1282</v>
      </c>
      <c r="I773" s="133" t="s">
        <v>548</v>
      </c>
      <c r="J773" s="158">
        <v>0</v>
      </c>
      <c r="K773" s="159" t="str">
        <f ca="1">IFERROR(__xludf.DUMMYFUNCTION("GOOGLETRANSLATE(H773,""th"",""en"")"),"Creator code")</f>
        <v>Creator code</v>
      </c>
    </row>
    <row r="774" spans="1:11" ht="15.75" hidden="1" customHeight="1">
      <c r="A774" s="133" t="s">
        <v>7</v>
      </c>
      <c r="B774" s="133" t="s">
        <v>195</v>
      </c>
      <c r="C774" s="133" t="s">
        <v>184</v>
      </c>
      <c r="D774" s="133" t="s">
        <v>538</v>
      </c>
      <c r="E774" s="158">
        <v>8</v>
      </c>
      <c r="F774" s="158">
        <v>23</v>
      </c>
      <c r="G774" s="158">
        <v>3</v>
      </c>
      <c r="H774" s="133" t="s">
        <v>1360</v>
      </c>
      <c r="I774" s="133" t="s">
        <v>1284</v>
      </c>
      <c r="J774" s="158">
        <v>0</v>
      </c>
      <c r="K774" s="159" t="str">
        <f ca="1">IFERROR(__xludf.DUMMYFUNCTION("GOOGLETRANSLATE(H774,""th"",""en"")"),"Day")</f>
        <v>Day</v>
      </c>
    </row>
    <row r="775" spans="1:11" ht="15.75" hidden="1" customHeight="1">
      <c r="A775" s="133" t="s">
        <v>7</v>
      </c>
      <c r="B775" s="133" t="s">
        <v>195</v>
      </c>
      <c r="C775" s="133" t="s">
        <v>1335</v>
      </c>
      <c r="D775" s="133" t="s">
        <v>477</v>
      </c>
      <c r="E775" s="158">
        <v>100</v>
      </c>
      <c r="F775" s="158">
        <v>0</v>
      </c>
      <c r="G775" s="158">
        <v>0</v>
      </c>
      <c r="H775" s="133" t="s">
        <v>802</v>
      </c>
      <c r="I775" s="133" t="s">
        <v>548</v>
      </c>
      <c r="J775" s="158">
        <v>0</v>
      </c>
      <c r="K775" s="159" t="str">
        <f ca="1">IFERROR(__xludf.DUMMYFUNCTION("GOOGLETRANSLATE(H775,""th"",""en"")"),"Editor")</f>
        <v>Editor</v>
      </c>
    </row>
    <row r="776" spans="1:11" ht="15.75" hidden="1" customHeight="1">
      <c r="A776" s="133" t="s">
        <v>7</v>
      </c>
      <c r="B776" s="133" t="s">
        <v>195</v>
      </c>
      <c r="C776" s="133" t="s">
        <v>1336</v>
      </c>
      <c r="D776" s="133" t="s">
        <v>477</v>
      </c>
      <c r="E776" s="158">
        <v>50</v>
      </c>
      <c r="F776" s="158">
        <v>0</v>
      </c>
      <c r="G776" s="158">
        <v>0</v>
      </c>
      <c r="H776" s="133" t="s">
        <v>1285</v>
      </c>
      <c r="I776" s="133" t="s">
        <v>548</v>
      </c>
      <c r="J776" s="158">
        <v>0</v>
      </c>
      <c r="K776" s="159" t="str">
        <f ca="1">IFERROR(__xludf.DUMMYFUNCTION("GOOGLETRANSLATE(H776,""th"",""en"")"),"Editor code")</f>
        <v>Editor code</v>
      </c>
    </row>
    <row r="777" spans="1:11" ht="15.75" hidden="1" customHeight="1">
      <c r="A777" s="133" t="s">
        <v>7</v>
      </c>
      <c r="B777" s="133" t="s">
        <v>195</v>
      </c>
      <c r="C777" s="133" t="s">
        <v>175</v>
      </c>
      <c r="D777" s="133" t="s">
        <v>538</v>
      </c>
      <c r="E777" s="158">
        <v>8</v>
      </c>
      <c r="F777" s="158">
        <v>23</v>
      </c>
      <c r="G777" s="158">
        <v>3</v>
      </c>
      <c r="H777" s="133" t="s">
        <v>803</v>
      </c>
      <c r="I777" s="133" t="s">
        <v>1284</v>
      </c>
      <c r="J777" s="158">
        <v>0</v>
      </c>
      <c r="K777" s="159" t="str">
        <f ca="1">IFERROR(__xludf.DUMMYFUNCTION("GOOGLETRANSLATE(H777,""th"",""en"")"),"Edit date")</f>
        <v>Edit date</v>
      </c>
    </row>
    <row r="778" spans="1:11" ht="15.75" hidden="1" customHeight="1">
      <c r="A778" s="133" t="s">
        <v>7</v>
      </c>
      <c r="B778" s="133" t="s">
        <v>195</v>
      </c>
      <c r="C778" s="133" t="s">
        <v>1522</v>
      </c>
      <c r="D778" s="133" t="s">
        <v>477</v>
      </c>
      <c r="E778" s="158">
        <v>3</v>
      </c>
      <c r="F778" s="158">
        <v>0</v>
      </c>
      <c r="G778" s="158">
        <v>0</v>
      </c>
      <c r="H778" s="133" t="s">
        <v>479</v>
      </c>
      <c r="I778" s="133" t="s">
        <v>596</v>
      </c>
      <c r="J778" s="158">
        <v>0</v>
      </c>
      <c r="K778" s="159" t="str">
        <f ca="1">IFERROR(__xludf.DUMMYFUNCTION("GOOGLETRANSLATE(H778,""th"",""en"")"),"Null")</f>
        <v>Null</v>
      </c>
    </row>
    <row r="779" spans="1:11" ht="15.75" hidden="1" customHeight="1">
      <c r="A779" s="133" t="s">
        <v>7</v>
      </c>
      <c r="B779" s="133" t="s">
        <v>195</v>
      </c>
      <c r="C779" s="133" t="s">
        <v>1523</v>
      </c>
      <c r="D779" s="133" t="s">
        <v>477</v>
      </c>
      <c r="E779" s="158">
        <v>20</v>
      </c>
      <c r="F779" s="158">
        <v>0</v>
      </c>
      <c r="G779" s="158">
        <v>0</v>
      </c>
      <c r="H779" s="160"/>
      <c r="I779" s="133" t="s">
        <v>548</v>
      </c>
      <c r="J779" s="158">
        <v>0</v>
      </c>
      <c r="K779" s="159" t="str">
        <f ca="1">IFERROR(__xludf.DUMMYFUNCTION("GOOGLETRANSLATE(H779,""th"",""en"")"),"#VALUE!")</f>
        <v>#VALUE!</v>
      </c>
    </row>
    <row r="780" spans="1:11" ht="15.75" hidden="1" customHeight="1">
      <c r="A780" s="133" t="s">
        <v>7</v>
      </c>
      <c r="B780" s="133" t="s">
        <v>195</v>
      </c>
      <c r="C780" s="133" t="s">
        <v>1524</v>
      </c>
      <c r="D780" s="133" t="s">
        <v>477</v>
      </c>
      <c r="E780" s="158">
        <v>8</v>
      </c>
      <c r="F780" s="158">
        <v>0</v>
      </c>
      <c r="G780" s="158">
        <v>0</v>
      </c>
      <c r="H780" s="160"/>
      <c r="I780" s="133" t="s">
        <v>548</v>
      </c>
      <c r="J780" s="158">
        <v>0</v>
      </c>
      <c r="K780" s="159" t="str">
        <f ca="1">IFERROR(__xludf.DUMMYFUNCTION("GOOGLETRANSLATE(H780,""th"",""en"")"),"#VALUE!")</f>
        <v>#VALUE!</v>
      </c>
    </row>
    <row r="781" spans="1:11" ht="15.75" hidden="1" customHeight="1">
      <c r="A781" s="133" t="s">
        <v>7</v>
      </c>
      <c r="B781" s="133" t="s">
        <v>195</v>
      </c>
      <c r="C781" s="133" t="s">
        <v>1525</v>
      </c>
      <c r="D781" s="133" t="s">
        <v>477</v>
      </c>
      <c r="E781" s="158">
        <v>20</v>
      </c>
      <c r="F781" s="158">
        <v>0</v>
      </c>
      <c r="G781" s="158">
        <v>0</v>
      </c>
      <c r="H781" s="133" t="s">
        <v>479</v>
      </c>
      <c r="I781" s="133" t="s">
        <v>548</v>
      </c>
      <c r="J781" s="158">
        <v>0</v>
      </c>
      <c r="K781" s="159" t="str">
        <f ca="1">IFERROR(__xludf.DUMMYFUNCTION("GOOGLETRANSLATE(H781,""th"",""en"")"),"Null")</f>
        <v>Null</v>
      </c>
    </row>
    <row r="782" spans="1:11" ht="15.75" hidden="1" customHeight="1">
      <c r="A782" s="133" t="s">
        <v>7</v>
      </c>
      <c r="B782" s="133" t="s">
        <v>195</v>
      </c>
      <c r="C782" s="133" t="s">
        <v>1526</v>
      </c>
      <c r="D782" s="133" t="s">
        <v>477</v>
      </c>
      <c r="E782" s="158">
        <v>20</v>
      </c>
      <c r="F782" s="158">
        <v>0</v>
      </c>
      <c r="G782" s="158">
        <v>0</v>
      </c>
      <c r="H782" s="133" t="s">
        <v>479</v>
      </c>
      <c r="I782" s="133" t="s">
        <v>548</v>
      </c>
      <c r="J782" s="158">
        <v>0</v>
      </c>
      <c r="K782" s="159" t="str">
        <f ca="1">IFERROR(__xludf.DUMMYFUNCTION("GOOGLETRANSLATE(H782,""th"",""en"")"),"Null")</f>
        <v>Null</v>
      </c>
    </row>
    <row r="783" spans="1:11" ht="15.75" hidden="1" customHeight="1">
      <c r="A783" s="133" t="s">
        <v>7</v>
      </c>
      <c r="B783" s="133" t="s">
        <v>195</v>
      </c>
      <c r="C783" s="133" t="s">
        <v>1527</v>
      </c>
      <c r="D783" s="133" t="s">
        <v>477</v>
      </c>
      <c r="E783" s="158">
        <v>20</v>
      </c>
      <c r="F783" s="158">
        <v>0</v>
      </c>
      <c r="G783" s="158">
        <v>0</v>
      </c>
      <c r="H783" s="133" t="s">
        <v>479</v>
      </c>
      <c r="I783" s="133" t="s">
        <v>548</v>
      </c>
      <c r="J783" s="158">
        <v>0</v>
      </c>
      <c r="K783" s="159" t="str">
        <f ca="1">IFERROR(__xludf.DUMMYFUNCTION("GOOGLETRANSLATE(H783,""th"",""en"")"),"Null")</f>
        <v>Null</v>
      </c>
    </row>
    <row r="784" spans="1:11" ht="15.75" hidden="1" customHeight="1">
      <c r="A784" s="133" t="s">
        <v>7</v>
      </c>
      <c r="B784" s="133" t="s">
        <v>197</v>
      </c>
      <c r="C784" s="133" t="s">
        <v>199</v>
      </c>
      <c r="D784" s="133" t="s">
        <v>484</v>
      </c>
      <c r="E784" s="158">
        <v>4</v>
      </c>
      <c r="F784" s="158">
        <v>10</v>
      </c>
      <c r="G784" s="158">
        <v>0</v>
      </c>
      <c r="H784" s="133" t="s">
        <v>1528</v>
      </c>
      <c r="I784" s="133" t="s">
        <v>479</v>
      </c>
      <c r="J784" s="158">
        <v>0</v>
      </c>
      <c r="K784" s="159" t="str">
        <f ca="1">IFERROR(__xludf.DUMMYFUNCTION("GOOGLETRANSLATE(H784,""th"",""en"")"),"Segment code")</f>
        <v>Segment code</v>
      </c>
    </row>
    <row r="785" spans="1:11" ht="15.75" hidden="1" customHeight="1">
      <c r="A785" s="133" t="s">
        <v>7</v>
      </c>
      <c r="B785" s="133" t="s">
        <v>197</v>
      </c>
      <c r="C785" s="133" t="s">
        <v>1529</v>
      </c>
      <c r="D785" s="133" t="s">
        <v>477</v>
      </c>
      <c r="E785" s="158">
        <v>20</v>
      </c>
      <c r="F785" s="158">
        <v>0</v>
      </c>
      <c r="G785" s="158">
        <v>0</v>
      </c>
      <c r="H785" s="133" t="s">
        <v>1530</v>
      </c>
      <c r="I785" s="133" t="s">
        <v>548</v>
      </c>
      <c r="J785" s="158">
        <v>0</v>
      </c>
      <c r="K785" s="159" t="str">
        <f ca="1">IFERROR(__xludf.DUMMYFUNCTION("GOOGLETRANSLATE(H785,""th"",""en"")"),"Segment name")</f>
        <v>Segment name</v>
      </c>
    </row>
    <row r="786" spans="1:11" ht="15.75" hidden="1" customHeight="1">
      <c r="A786" s="133" t="s">
        <v>7</v>
      </c>
      <c r="B786" s="133" t="s">
        <v>197</v>
      </c>
      <c r="C786" s="133" t="s">
        <v>1333</v>
      </c>
      <c r="D786" s="133" t="s">
        <v>477</v>
      </c>
      <c r="E786" s="158">
        <v>100</v>
      </c>
      <c r="F786" s="158">
        <v>0</v>
      </c>
      <c r="G786" s="158">
        <v>0</v>
      </c>
      <c r="H786" s="133" t="s">
        <v>734</v>
      </c>
      <c r="I786" s="133" t="s">
        <v>548</v>
      </c>
      <c r="J786" s="158">
        <v>0</v>
      </c>
      <c r="K786" s="159" t="str">
        <f ca="1">IFERROR(__xludf.DUMMYFUNCTION("GOOGLETRANSLATE(H786,""th"",""en"")"),"Creator name")</f>
        <v>Creator name</v>
      </c>
    </row>
    <row r="787" spans="1:11" ht="15.75" hidden="1" customHeight="1">
      <c r="A787" s="133" t="s">
        <v>7</v>
      </c>
      <c r="B787" s="133" t="s">
        <v>197</v>
      </c>
      <c r="C787" s="133" t="s">
        <v>1334</v>
      </c>
      <c r="D787" s="133" t="s">
        <v>477</v>
      </c>
      <c r="E787" s="158">
        <v>8</v>
      </c>
      <c r="F787" s="158">
        <v>0</v>
      </c>
      <c r="G787" s="158">
        <v>0</v>
      </c>
      <c r="H787" s="133" t="s">
        <v>1282</v>
      </c>
      <c r="I787" s="133" t="s">
        <v>548</v>
      </c>
      <c r="J787" s="158">
        <v>0</v>
      </c>
      <c r="K787" s="159" t="str">
        <f ca="1">IFERROR(__xludf.DUMMYFUNCTION("GOOGLETRANSLATE(H787,""th"",""en"")"),"Creator code")</f>
        <v>Creator code</v>
      </c>
    </row>
    <row r="788" spans="1:11" ht="15.75" hidden="1" customHeight="1">
      <c r="A788" s="133" t="s">
        <v>7</v>
      </c>
      <c r="B788" s="133" t="s">
        <v>197</v>
      </c>
      <c r="C788" s="133" t="s">
        <v>184</v>
      </c>
      <c r="D788" s="133" t="s">
        <v>538</v>
      </c>
      <c r="E788" s="158">
        <v>8</v>
      </c>
      <c r="F788" s="158">
        <v>23</v>
      </c>
      <c r="G788" s="158">
        <v>3</v>
      </c>
      <c r="H788" s="133" t="s">
        <v>735</v>
      </c>
      <c r="I788" s="133" t="s">
        <v>1284</v>
      </c>
      <c r="J788" s="158">
        <v>0</v>
      </c>
      <c r="K788" s="159" t="str">
        <f ca="1">IFERROR(__xludf.DUMMYFUNCTION("GOOGLETRANSLATE(H788,""th"",""en"")"),"Date created")</f>
        <v>Date created</v>
      </c>
    </row>
    <row r="789" spans="1:11" ht="15.75" hidden="1" customHeight="1">
      <c r="A789" s="133" t="s">
        <v>7</v>
      </c>
      <c r="B789" s="133" t="s">
        <v>197</v>
      </c>
      <c r="C789" s="133" t="s">
        <v>1335</v>
      </c>
      <c r="D789" s="133" t="s">
        <v>477</v>
      </c>
      <c r="E789" s="158">
        <v>100</v>
      </c>
      <c r="F789" s="158">
        <v>0</v>
      </c>
      <c r="G789" s="158">
        <v>0</v>
      </c>
      <c r="H789" s="133" t="s">
        <v>802</v>
      </c>
      <c r="I789" s="133" t="s">
        <v>548</v>
      </c>
      <c r="J789" s="158">
        <v>0</v>
      </c>
      <c r="K789" s="159" t="str">
        <f ca="1">IFERROR(__xludf.DUMMYFUNCTION("GOOGLETRANSLATE(H789,""th"",""en"")"),"Editor")</f>
        <v>Editor</v>
      </c>
    </row>
    <row r="790" spans="1:11" ht="15.75" hidden="1" customHeight="1">
      <c r="A790" s="133" t="s">
        <v>7</v>
      </c>
      <c r="B790" s="133" t="s">
        <v>197</v>
      </c>
      <c r="C790" s="133" t="s">
        <v>1336</v>
      </c>
      <c r="D790" s="133" t="s">
        <v>477</v>
      </c>
      <c r="E790" s="158">
        <v>8</v>
      </c>
      <c r="F790" s="158">
        <v>0</v>
      </c>
      <c r="G790" s="158">
        <v>0</v>
      </c>
      <c r="H790" s="133" t="s">
        <v>1285</v>
      </c>
      <c r="I790" s="133" t="s">
        <v>548</v>
      </c>
      <c r="J790" s="158">
        <v>0</v>
      </c>
      <c r="K790" s="159" t="str">
        <f ca="1">IFERROR(__xludf.DUMMYFUNCTION("GOOGLETRANSLATE(H790,""th"",""en"")"),"Editor code")</f>
        <v>Editor code</v>
      </c>
    </row>
    <row r="791" spans="1:11" ht="15.75" hidden="1" customHeight="1">
      <c r="A791" s="133" t="s">
        <v>7</v>
      </c>
      <c r="B791" s="133" t="s">
        <v>197</v>
      </c>
      <c r="C791" s="133" t="s">
        <v>175</v>
      </c>
      <c r="D791" s="133" t="s">
        <v>538</v>
      </c>
      <c r="E791" s="158">
        <v>8</v>
      </c>
      <c r="F791" s="158">
        <v>23</v>
      </c>
      <c r="G791" s="158">
        <v>3</v>
      </c>
      <c r="H791" s="133" t="s">
        <v>803</v>
      </c>
      <c r="I791" s="133" t="s">
        <v>1284</v>
      </c>
      <c r="J791" s="158">
        <v>0</v>
      </c>
      <c r="K791" s="159" t="str">
        <f ca="1">IFERROR(__xludf.DUMMYFUNCTION("GOOGLETRANSLATE(H791,""th"",""en"")"),"Edit date")</f>
        <v>Edit date</v>
      </c>
    </row>
    <row r="792" spans="1:11" ht="15.75" hidden="1" customHeight="1">
      <c r="A792" s="133" t="s">
        <v>7</v>
      </c>
      <c r="B792" s="133" t="s">
        <v>241</v>
      </c>
      <c r="C792" s="133" t="s">
        <v>243</v>
      </c>
      <c r="D792" s="133" t="s">
        <v>477</v>
      </c>
      <c r="E792" s="158">
        <v>16</v>
      </c>
      <c r="F792" s="158">
        <v>0</v>
      </c>
      <c r="G792" s="158">
        <v>0</v>
      </c>
      <c r="H792" s="133" t="s">
        <v>1531</v>
      </c>
      <c r="I792" s="133" t="s">
        <v>479</v>
      </c>
      <c r="J792" s="158">
        <v>0</v>
      </c>
      <c r="K792" s="159" t="str">
        <f ca="1">IFERROR(__xludf.DUMMYFUNCTION("GOOGLETRANSLATE(H792,""th"",""en"")"),"Voucher No.")</f>
        <v>Voucher No.</v>
      </c>
    </row>
    <row r="793" spans="1:11" ht="15.75" hidden="1" customHeight="1">
      <c r="A793" s="133" t="s">
        <v>7</v>
      </c>
      <c r="B793" s="133" t="s">
        <v>241</v>
      </c>
      <c r="C793" s="133" t="s">
        <v>630</v>
      </c>
      <c r="D793" s="133" t="s">
        <v>477</v>
      </c>
      <c r="E793" s="158">
        <v>5</v>
      </c>
      <c r="F793" s="158">
        <v>0</v>
      </c>
      <c r="G793" s="158">
        <v>0</v>
      </c>
      <c r="H793" s="133" t="s">
        <v>1532</v>
      </c>
      <c r="I793" s="133" t="s">
        <v>479</v>
      </c>
      <c r="J793" s="158">
        <v>1</v>
      </c>
      <c r="K793" s="159" t="str">
        <f ca="1">IFERROR(__xludf.DUMMYFUNCTION("GOOGLETRANSLATE(H793,""th"",""en"")"),"Bank Code")</f>
        <v>Bank Code</v>
      </c>
    </row>
    <row r="794" spans="1:11" ht="15.75" hidden="1" customHeight="1">
      <c r="A794" s="133" t="s">
        <v>7</v>
      </c>
      <c r="B794" s="133" t="s">
        <v>241</v>
      </c>
      <c r="C794" s="133" t="s">
        <v>1533</v>
      </c>
      <c r="D794" s="133" t="s">
        <v>477</v>
      </c>
      <c r="E794" s="158">
        <v>100</v>
      </c>
      <c r="F794" s="158">
        <v>0</v>
      </c>
      <c r="G794" s="158">
        <v>0</v>
      </c>
      <c r="H794" s="133" t="s">
        <v>1534</v>
      </c>
      <c r="I794" s="133" t="s">
        <v>479</v>
      </c>
      <c r="J794" s="158">
        <v>1</v>
      </c>
      <c r="K794" s="159" t="str">
        <f ca="1">IFERROR(__xludf.DUMMYFUNCTION("GOOGLETRANSLATE(H794,""th"",""en"")"),"Pay To Name")</f>
        <v>Pay To Name</v>
      </c>
    </row>
    <row r="795" spans="1:11" ht="15.75" hidden="1" customHeight="1">
      <c r="A795" s="133" t="s">
        <v>7</v>
      </c>
      <c r="B795" s="133" t="s">
        <v>241</v>
      </c>
      <c r="C795" s="133" t="s">
        <v>1535</v>
      </c>
      <c r="D795" s="133" t="s">
        <v>477</v>
      </c>
      <c r="E795" s="158">
        <v>3</v>
      </c>
      <c r="F795" s="158">
        <v>0</v>
      </c>
      <c r="G795" s="158">
        <v>0</v>
      </c>
      <c r="H795" s="133" t="s">
        <v>1536</v>
      </c>
      <c r="I795" s="133" t="s">
        <v>479</v>
      </c>
      <c r="J795" s="158">
        <v>1</v>
      </c>
      <c r="K795" s="159" t="str">
        <f ca="1">IFERROR(__xludf.DUMMYFUNCTION("GOOGLETRANSLATE(H795,""th"",""en"")"),"Currency Code")</f>
        <v>Currency Code</v>
      </c>
    </row>
    <row r="796" spans="1:11" ht="15.75" hidden="1" customHeight="1">
      <c r="A796" s="133" t="s">
        <v>7</v>
      </c>
      <c r="B796" s="133" t="s">
        <v>241</v>
      </c>
      <c r="C796" s="133" t="s">
        <v>1537</v>
      </c>
      <c r="D796" s="133" t="s">
        <v>481</v>
      </c>
      <c r="E796" s="158">
        <v>5</v>
      </c>
      <c r="F796" s="158">
        <v>9</v>
      </c>
      <c r="G796" s="158">
        <v>4</v>
      </c>
      <c r="H796" s="133" t="s">
        <v>1538</v>
      </c>
      <c r="I796" s="133" t="s">
        <v>479</v>
      </c>
      <c r="J796" s="158">
        <v>1</v>
      </c>
      <c r="K796" s="159" t="str">
        <f ca="1">IFERROR(__xludf.DUMMYFUNCTION("GOOGLETRANSLATE(H796,""th"",""en"")"),"Currency Rate")</f>
        <v>Currency Rate</v>
      </c>
    </row>
    <row r="797" spans="1:11" ht="15.75" hidden="1" customHeight="1">
      <c r="A797" s="133" t="s">
        <v>7</v>
      </c>
      <c r="B797" s="133" t="s">
        <v>241</v>
      </c>
      <c r="C797" s="133" t="s">
        <v>1539</v>
      </c>
      <c r="D797" s="133" t="s">
        <v>477</v>
      </c>
      <c r="E797" s="158">
        <v>15</v>
      </c>
      <c r="F797" s="158">
        <v>0</v>
      </c>
      <c r="G797" s="158">
        <v>0</v>
      </c>
      <c r="H797" s="133" t="s">
        <v>1540</v>
      </c>
      <c r="I797" s="133" t="s">
        <v>479</v>
      </c>
      <c r="J797" s="158">
        <v>0</v>
      </c>
      <c r="K797" s="159" t="str">
        <f ca="1">IFERROR(__xludf.DUMMYFUNCTION("GOOGLETRANSLATE(H797,""th"",""en"")"),"CHEQUE No.")</f>
        <v>CHEQUE No.</v>
      </c>
    </row>
    <row r="798" spans="1:11" ht="15.75" hidden="1" customHeight="1">
      <c r="A798" s="133" t="s">
        <v>7</v>
      </c>
      <c r="B798" s="133" t="s">
        <v>241</v>
      </c>
      <c r="C798" s="133" t="s">
        <v>1541</v>
      </c>
      <c r="D798" s="133" t="s">
        <v>481</v>
      </c>
      <c r="E798" s="158">
        <v>9</v>
      </c>
      <c r="F798" s="158">
        <v>18</v>
      </c>
      <c r="G798" s="158">
        <v>2</v>
      </c>
      <c r="H798" s="133" t="s">
        <v>1542</v>
      </c>
      <c r="I798" s="133" t="s">
        <v>479</v>
      </c>
      <c r="J798" s="158">
        <v>1</v>
      </c>
      <c r="K798" s="159" t="str">
        <f ca="1">IFERROR(__xludf.DUMMYFUNCTION("GOOGLETRANSLATE(H798,""th"",""en"")"),"CHEGE AMOUNT (Related to Currency Code)")</f>
        <v>CHEGE AMOUNT (Related to Currency Code)</v>
      </c>
    </row>
    <row r="799" spans="1:11" ht="15.75" hidden="1" customHeight="1">
      <c r="A799" s="133" t="s">
        <v>7</v>
      </c>
      <c r="B799" s="133" t="s">
        <v>241</v>
      </c>
      <c r="C799" s="133" t="s">
        <v>1543</v>
      </c>
      <c r="D799" s="133" t="s">
        <v>481</v>
      </c>
      <c r="E799" s="158">
        <v>9</v>
      </c>
      <c r="F799" s="158">
        <v>18</v>
      </c>
      <c r="G799" s="158">
        <v>2</v>
      </c>
      <c r="H799" s="133" t="s">
        <v>1544</v>
      </c>
      <c r="I799" s="133" t="s">
        <v>479</v>
      </c>
      <c r="J799" s="158">
        <v>1</v>
      </c>
      <c r="K799" s="159" t="str">
        <f ca="1">IFERROR(__xludf.DUMMYFUNCTION("GOOGLETRANSLATE(H799,""th"",""en"")"),"Cheque Amount")</f>
        <v>Cheque Amount</v>
      </c>
    </row>
    <row r="800" spans="1:11" ht="15.75" hidden="1" customHeight="1">
      <c r="A800" s="133" t="s">
        <v>7</v>
      </c>
      <c r="B800" s="133" t="s">
        <v>241</v>
      </c>
      <c r="C800" s="133" t="s">
        <v>1545</v>
      </c>
      <c r="D800" s="133" t="s">
        <v>496</v>
      </c>
      <c r="E800" s="158">
        <v>4</v>
      </c>
      <c r="F800" s="158">
        <v>16</v>
      </c>
      <c r="G800" s="158">
        <v>0</v>
      </c>
      <c r="H800" s="133" t="s">
        <v>1546</v>
      </c>
      <c r="I800" s="133" t="s">
        <v>479</v>
      </c>
      <c r="J800" s="158">
        <v>1</v>
      </c>
      <c r="K800" s="159" t="str">
        <f ca="1">IFERROR(__xludf.DUMMYFUNCTION("GOOGLETRANSLATE(H800,""th"",""en"")"),"CHEQUE DATE")</f>
        <v>CHEQUE DATE</v>
      </c>
    </row>
    <row r="801" spans="1:11" ht="15.75" hidden="1" customHeight="1">
      <c r="A801" s="133" t="s">
        <v>7</v>
      </c>
      <c r="B801" s="133" t="s">
        <v>241</v>
      </c>
      <c r="C801" s="133" t="s">
        <v>164</v>
      </c>
      <c r="D801" s="133" t="s">
        <v>477</v>
      </c>
      <c r="E801" s="158">
        <v>100</v>
      </c>
      <c r="F801" s="158">
        <v>0</v>
      </c>
      <c r="G801" s="158">
        <v>0</v>
      </c>
      <c r="H801" s="133" t="s">
        <v>164</v>
      </c>
      <c r="I801" s="133" t="s">
        <v>479</v>
      </c>
      <c r="J801" s="158">
        <v>1</v>
      </c>
      <c r="K801" s="159" t="str">
        <f ca="1">IFERROR(__xludf.DUMMYFUNCTION("GOOGLETRANSLATE(H801,""th"",""en"")"),"REMARK")</f>
        <v>REMARK</v>
      </c>
    </row>
    <row r="802" spans="1:11" ht="15.75" hidden="1" customHeight="1">
      <c r="A802" s="133" t="s">
        <v>7</v>
      </c>
      <c r="B802" s="133" t="s">
        <v>241</v>
      </c>
      <c r="C802" s="133" t="s">
        <v>1547</v>
      </c>
      <c r="D802" s="133" t="s">
        <v>491</v>
      </c>
      <c r="E802" s="158">
        <v>1</v>
      </c>
      <c r="F802" s="158">
        <v>0</v>
      </c>
      <c r="G802" s="158">
        <v>0</v>
      </c>
      <c r="H802" s="133" t="s">
        <v>1548</v>
      </c>
      <c r="I802" s="133" t="s">
        <v>479</v>
      </c>
      <c r="J802" s="158">
        <v>1</v>
      </c>
      <c r="K802" s="159" t="str">
        <f ca="1">IFERROR(__xludf.DUMMYFUNCTION("GOOGLETRANSLATE(H802,""th"",""en"")"),"CHEQUE STATUS (W: Wait for Create Check, P: Create Check)")</f>
        <v>CHEQUE STATUS (W: Wait for Create Check, P: Create Check)</v>
      </c>
    </row>
    <row r="803" spans="1:11" ht="15.75" hidden="1" customHeight="1">
      <c r="A803" s="133" t="s">
        <v>7</v>
      </c>
      <c r="B803" s="133" t="s">
        <v>241</v>
      </c>
      <c r="C803" s="133" t="s">
        <v>811</v>
      </c>
      <c r="D803" s="133" t="s">
        <v>491</v>
      </c>
      <c r="E803" s="158">
        <v>1</v>
      </c>
      <c r="F803" s="158">
        <v>0</v>
      </c>
      <c r="G803" s="158">
        <v>0</v>
      </c>
      <c r="H803" s="133" t="s">
        <v>1549</v>
      </c>
      <c r="I803" s="133" t="s">
        <v>479</v>
      </c>
      <c r="J803" s="158">
        <v>1</v>
      </c>
      <c r="K803" s="159" t="str">
        <f ca="1">IFERROR(__xludf.DUMMYFUNCTION("GOOGLETRANSLATE(H803,""th"",""en"")"),"Status (A: Active, D: Delete)")</f>
        <v>Status (A: Active, D: Delete)</v>
      </c>
    </row>
    <row r="804" spans="1:11" ht="15.75" hidden="1" customHeight="1">
      <c r="A804" s="133" t="s">
        <v>7</v>
      </c>
      <c r="B804" s="133" t="s">
        <v>241</v>
      </c>
      <c r="C804" s="133" t="s">
        <v>523</v>
      </c>
      <c r="D804" s="133" t="s">
        <v>477</v>
      </c>
      <c r="E804" s="158">
        <v>8</v>
      </c>
      <c r="F804" s="158">
        <v>0</v>
      </c>
      <c r="G804" s="158">
        <v>0</v>
      </c>
      <c r="H804" s="133" t="s">
        <v>1550</v>
      </c>
      <c r="I804" s="133" t="s">
        <v>479</v>
      </c>
      <c r="J804" s="158">
        <v>1</v>
      </c>
      <c r="K804" s="159" t="str">
        <f ca="1">IFERROR(__xludf.DUMMYFUNCTION("GOOGLETRANSLATE(H804,""th"",""en"")"),"Create User")</f>
        <v>Create User</v>
      </c>
    </row>
    <row r="805" spans="1:11" ht="15.75" hidden="1" customHeight="1">
      <c r="A805" s="133" t="s">
        <v>7</v>
      </c>
      <c r="B805" s="133" t="s">
        <v>241</v>
      </c>
      <c r="C805" s="133" t="s">
        <v>669</v>
      </c>
      <c r="D805" s="133" t="s">
        <v>496</v>
      </c>
      <c r="E805" s="158">
        <v>4</v>
      </c>
      <c r="F805" s="158">
        <v>16</v>
      </c>
      <c r="G805" s="158">
        <v>0</v>
      </c>
      <c r="H805" s="133" t="s">
        <v>1551</v>
      </c>
      <c r="I805" s="133" t="s">
        <v>479</v>
      </c>
      <c r="J805" s="158">
        <v>1</v>
      </c>
      <c r="K805" s="159" t="str">
        <f ca="1">IFERROR(__xludf.DUMMYFUNCTION("GOOGLETRANSLATE(H805,""th"",""en"")"),"CREATE DATE")</f>
        <v>CREATE DATE</v>
      </c>
    </row>
    <row r="806" spans="1:11" ht="15.75" hidden="1" customHeight="1">
      <c r="A806" s="133" t="s">
        <v>7</v>
      </c>
      <c r="B806" s="133" t="s">
        <v>241</v>
      </c>
      <c r="C806" s="133" t="s">
        <v>1552</v>
      </c>
      <c r="D806" s="133" t="s">
        <v>477</v>
      </c>
      <c r="E806" s="158">
        <v>8</v>
      </c>
      <c r="F806" s="158">
        <v>0</v>
      </c>
      <c r="G806" s="158">
        <v>0</v>
      </c>
      <c r="H806" s="133" t="s">
        <v>1553</v>
      </c>
      <c r="I806" s="133" t="s">
        <v>479</v>
      </c>
      <c r="J806" s="158">
        <v>1</v>
      </c>
      <c r="K806" s="159" t="str">
        <f ca="1">IFERROR(__xludf.DUMMYFUNCTION("GOOGLETRANSLATE(H806,""th"",""en"")"),"Last update user")</f>
        <v>Last update user</v>
      </c>
    </row>
    <row r="807" spans="1:11" ht="15.75" hidden="1" customHeight="1">
      <c r="A807" s="133" t="s">
        <v>7</v>
      </c>
      <c r="B807" s="133" t="s">
        <v>241</v>
      </c>
      <c r="C807" s="133" t="s">
        <v>215</v>
      </c>
      <c r="D807" s="133" t="s">
        <v>496</v>
      </c>
      <c r="E807" s="158">
        <v>4</v>
      </c>
      <c r="F807" s="158">
        <v>16</v>
      </c>
      <c r="G807" s="158">
        <v>0</v>
      </c>
      <c r="H807" s="133" t="s">
        <v>1554</v>
      </c>
      <c r="I807" s="133" t="s">
        <v>479</v>
      </c>
      <c r="J807" s="158">
        <v>1</v>
      </c>
      <c r="K807" s="159" t="str">
        <f ca="1">IFERROR(__xludf.DUMMYFUNCTION("GOOGLETRANSLATE(H807,""th"",""en"")"),"Last Update Date")</f>
        <v>Last Update Date</v>
      </c>
    </row>
    <row r="808" spans="1:11" ht="15.75" hidden="1" customHeight="1">
      <c r="A808" s="133" t="s">
        <v>7</v>
      </c>
      <c r="B808" s="133" t="s">
        <v>241</v>
      </c>
      <c r="C808" s="133" t="s">
        <v>229</v>
      </c>
      <c r="D808" s="133" t="s">
        <v>496</v>
      </c>
      <c r="E808" s="158">
        <v>4</v>
      </c>
      <c r="F808" s="158">
        <v>16</v>
      </c>
      <c r="G808" s="158">
        <v>0</v>
      </c>
      <c r="H808" s="133" t="s">
        <v>1555</v>
      </c>
      <c r="I808" s="133" t="s">
        <v>479</v>
      </c>
      <c r="J808" s="158">
        <v>1</v>
      </c>
      <c r="K808" s="159" t="str">
        <f ca="1">IFERROR(__xludf.DUMMYFUNCTION("GOOGLETRANSLATE(H808,""th"",""en"")"),"Transaction Date")</f>
        <v>Transaction Date</v>
      </c>
    </row>
    <row r="809" spans="1:11" ht="15.75" hidden="1" customHeight="1">
      <c r="A809" s="133" t="s">
        <v>7</v>
      </c>
      <c r="B809" s="133" t="s">
        <v>244</v>
      </c>
      <c r="C809" s="133" t="s">
        <v>325</v>
      </c>
      <c r="D809" s="133" t="s">
        <v>484</v>
      </c>
      <c r="E809" s="158">
        <v>4</v>
      </c>
      <c r="F809" s="158">
        <v>10</v>
      </c>
      <c r="G809" s="158">
        <v>0</v>
      </c>
      <c r="H809" s="133" t="s">
        <v>479</v>
      </c>
      <c r="I809" s="133" t="s">
        <v>479</v>
      </c>
      <c r="J809" s="158">
        <v>0</v>
      </c>
      <c r="K809" s="159" t="str">
        <f ca="1">IFERROR(__xludf.DUMMYFUNCTION("GOOGLETRANSLATE(H809,""th"",""en"")"),"Null")</f>
        <v>Null</v>
      </c>
    </row>
    <row r="810" spans="1:11" ht="15.75" hidden="1" customHeight="1">
      <c r="A810" s="133" t="s">
        <v>7</v>
      </c>
      <c r="B810" s="133" t="s">
        <v>244</v>
      </c>
      <c r="C810" s="133" t="s">
        <v>1163</v>
      </c>
      <c r="D810" s="133" t="s">
        <v>477</v>
      </c>
      <c r="E810" s="158">
        <v>20</v>
      </c>
      <c r="F810" s="158">
        <v>0</v>
      </c>
      <c r="G810" s="158">
        <v>0</v>
      </c>
      <c r="H810" s="133" t="s">
        <v>1556</v>
      </c>
      <c r="I810" s="133" t="s">
        <v>548</v>
      </c>
      <c r="J810" s="158">
        <v>0</v>
      </c>
      <c r="K810" s="159" t="str">
        <f ca="1">IFERROR(__xludf.DUMMYFUNCTION("GOOGLETRANSLATE(H810,""th"",""en"")"),"Document number")</f>
        <v>Document number</v>
      </c>
    </row>
    <row r="811" spans="1:11" ht="15.75" hidden="1" customHeight="1">
      <c r="A811" s="133" t="s">
        <v>7</v>
      </c>
      <c r="B811" s="133" t="s">
        <v>244</v>
      </c>
      <c r="C811" s="133" t="s">
        <v>1557</v>
      </c>
      <c r="D811" s="133" t="s">
        <v>496</v>
      </c>
      <c r="E811" s="158">
        <v>4</v>
      </c>
      <c r="F811" s="158">
        <v>16</v>
      </c>
      <c r="G811" s="158">
        <v>0</v>
      </c>
      <c r="H811" s="133" t="s">
        <v>1558</v>
      </c>
      <c r="I811" s="133" t="s">
        <v>1559</v>
      </c>
      <c r="J811" s="158">
        <v>0</v>
      </c>
      <c r="K811" s="159" t="str">
        <f ca="1">IFERROR(__xludf.DUMMYFUNCTION("GOOGLETRANSLATE(H811,""th"",""en"")"),"Document date and time")</f>
        <v>Document date and time</v>
      </c>
    </row>
    <row r="812" spans="1:11" ht="15.75" hidden="1" customHeight="1">
      <c r="A812" s="133" t="s">
        <v>7</v>
      </c>
      <c r="B812" s="133" t="s">
        <v>244</v>
      </c>
      <c r="C812" s="133" t="s">
        <v>601</v>
      </c>
      <c r="D812" s="133" t="s">
        <v>496</v>
      </c>
      <c r="E812" s="158">
        <v>4</v>
      </c>
      <c r="F812" s="158">
        <v>16</v>
      </c>
      <c r="G812" s="158">
        <v>0</v>
      </c>
      <c r="H812" s="133" t="s">
        <v>1560</v>
      </c>
      <c r="I812" s="133" t="s">
        <v>1559</v>
      </c>
      <c r="J812" s="158">
        <v>0</v>
      </c>
      <c r="K812" s="159" t="str">
        <f ca="1">IFERROR(__xludf.DUMMYFUNCTION("GOOGLETRANSLATE(H812,""th"",""en"")"),"Date and time of the transaction")</f>
        <v>Date and time of the transaction</v>
      </c>
    </row>
    <row r="813" spans="1:11" ht="15.75" hidden="1" customHeight="1">
      <c r="A813" s="133" t="s">
        <v>7</v>
      </c>
      <c r="B813" s="133" t="s">
        <v>244</v>
      </c>
      <c r="C813" s="133" t="s">
        <v>1561</v>
      </c>
      <c r="D813" s="133" t="s">
        <v>477</v>
      </c>
      <c r="E813" s="158">
        <v>20</v>
      </c>
      <c r="F813" s="158">
        <v>0</v>
      </c>
      <c r="G813" s="158">
        <v>0</v>
      </c>
      <c r="H813" s="133" t="s">
        <v>1562</v>
      </c>
      <c r="I813" s="133" t="s">
        <v>548</v>
      </c>
      <c r="J813" s="158">
        <v>0</v>
      </c>
      <c r="K813" s="159" t="str">
        <f ca="1">IFERROR(__xludf.DUMMYFUNCTION("GOOGLETRANSLATE(H813,""th"",""en"")"),"Document status")</f>
        <v>Document status</v>
      </c>
    </row>
    <row r="814" spans="1:11" ht="15.75" hidden="1" customHeight="1">
      <c r="A814" s="133" t="s">
        <v>7</v>
      </c>
      <c r="B814" s="133" t="s">
        <v>244</v>
      </c>
      <c r="C814" s="133" t="s">
        <v>1167</v>
      </c>
      <c r="D814" s="133" t="s">
        <v>477</v>
      </c>
      <c r="E814" s="158">
        <v>8</v>
      </c>
      <c r="F814" s="158">
        <v>0</v>
      </c>
      <c r="G814" s="158">
        <v>0</v>
      </c>
      <c r="H814" s="133" t="s">
        <v>1292</v>
      </c>
      <c r="I814" s="133" t="s">
        <v>548</v>
      </c>
      <c r="J814" s="158">
        <v>0</v>
      </c>
      <c r="K814" s="159" t="str">
        <f ca="1">IFERROR(__xludf.DUMMYFUNCTION("GOOGLETRANSLATE(H814,""th"",""en"")"),"Customer code")</f>
        <v>Customer code</v>
      </c>
    </row>
    <row r="815" spans="1:11" ht="15.75" hidden="1" customHeight="1">
      <c r="A815" s="133" t="s">
        <v>7</v>
      </c>
      <c r="B815" s="133" t="s">
        <v>244</v>
      </c>
      <c r="C815" s="133" t="s">
        <v>557</v>
      </c>
      <c r="D815" s="133" t="s">
        <v>477</v>
      </c>
      <c r="E815" s="158">
        <v>100</v>
      </c>
      <c r="F815" s="158">
        <v>0</v>
      </c>
      <c r="G815" s="158">
        <v>0</v>
      </c>
      <c r="H815" s="133" t="s">
        <v>1563</v>
      </c>
      <c r="I815" s="133" t="s">
        <v>548</v>
      </c>
      <c r="J815" s="158">
        <v>0</v>
      </c>
      <c r="K815" s="159" t="str">
        <f ca="1">IFERROR(__xludf.DUMMYFUNCTION("GOOGLETRANSLATE(H815,""th"",""en"")"),"Customer name")</f>
        <v>Customer name</v>
      </c>
    </row>
    <row r="816" spans="1:11" ht="15.75" hidden="1" customHeight="1">
      <c r="A816" s="133" t="s">
        <v>7</v>
      </c>
      <c r="B816" s="133" t="s">
        <v>244</v>
      </c>
      <c r="C816" s="133" t="s">
        <v>1564</v>
      </c>
      <c r="D816" s="133" t="s">
        <v>477</v>
      </c>
      <c r="E816" s="158">
        <v>6</v>
      </c>
      <c r="F816" s="158">
        <v>0</v>
      </c>
      <c r="G816" s="158">
        <v>0</v>
      </c>
      <c r="H816" s="133" t="s">
        <v>1409</v>
      </c>
      <c r="I816" s="133" t="s">
        <v>548</v>
      </c>
      <c r="J816" s="158">
        <v>0</v>
      </c>
      <c r="K816" s="159" t="str">
        <f ca="1">IFERROR(__xludf.DUMMYFUNCTION("GOOGLETRANSLATE(H816,""th"",""en"")"),"Group code")</f>
        <v>Group code</v>
      </c>
    </row>
    <row r="817" spans="1:11" ht="15.75" hidden="1" customHeight="1">
      <c r="A817" s="133" t="s">
        <v>7</v>
      </c>
      <c r="B817" s="133" t="s">
        <v>244</v>
      </c>
      <c r="C817" s="133" t="s">
        <v>708</v>
      </c>
      <c r="D817" s="133" t="s">
        <v>477</v>
      </c>
      <c r="E817" s="158">
        <v>10</v>
      </c>
      <c r="F817" s="158">
        <v>0</v>
      </c>
      <c r="G817" s="158">
        <v>0</v>
      </c>
      <c r="H817" s="133" t="s">
        <v>1436</v>
      </c>
      <c r="I817" s="133" t="s">
        <v>548</v>
      </c>
      <c r="J817" s="158">
        <v>0</v>
      </c>
      <c r="K817" s="159" t="str">
        <f ca="1">IFERROR(__xludf.DUMMYFUNCTION("GOOGLETRANSLATE(H817,""th"",""en"")"),"Payment terms (Cash = Cash, Credit = Credit)")</f>
        <v>Payment terms (Cash = Cash, Credit = Credit)</v>
      </c>
    </row>
    <row r="818" spans="1:11" ht="15.75" hidden="1" customHeight="1">
      <c r="A818" s="133" t="s">
        <v>7</v>
      </c>
      <c r="B818" s="133" t="s">
        <v>244</v>
      </c>
      <c r="C818" s="133" t="s">
        <v>712</v>
      </c>
      <c r="D818" s="133" t="s">
        <v>477</v>
      </c>
      <c r="E818" s="158">
        <v>30</v>
      </c>
      <c r="F818" s="158">
        <v>0</v>
      </c>
      <c r="G818" s="158">
        <v>0</v>
      </c>
      <c r="H818" s="133" t="s">
        <v>1438</v>
      </c>
      <c r="I818" s="133" t="s">
        <v>548</v>
      </c>
      <c r="J818" s="158">
        <v>0</v>
      </c>
      <c r="K818" s="159" t="str">
        <f ca="1">IFERROR(__xludf.DUMMYFUNCTION("GOOGLETRANSLATE(H818,""th"",""en"")"),"Payment type")</f>
        <v>Payment type</v>
      </c>
    </row>
    <row r="819" spans="1:11" ht="15.75" hidden="1" customHeight="1">
      <c r="A819" s="133" t="s">
        <v>7</v>
      </c>
      <c r="B819" s="133" t="s">
        <v>244</v>
      </c>
      <c r="C819" s="133" t="s">
        <v>228</v>
      </c>
      <c r="D819" s="133" t="s">
        <v>477</v>
      </c>
      <c r="E819" s="158">
        <v>16</v>
      </c>
      <c r="F819" s="158">
        <v>0</v>
      </c>
      <c r="G819" s="158">
        <v>0</v>
      </c>
      <c r="H819" s="133" t="s">
        <v>1565</v>
      </c>
      <c r="I819" s="133" t="s">
        <v>548</v>
      </c>
      <c r="J819" s="158">
        <v>0</v>
      </c>
      <c r="K819" s="159" t="str">
        <f ca="1">IFERROR(__xludf.DUMMYFUNCTION("GOOGLETRANSLATE(H819,""th"",""en"")"),"Voucher number")</f>
        <v>Voucher number</v>
      </c>
    </row>
    <row r="820" spans="1:11" ht="15.75" hidden="1" customHeight="1">
      <c r="A820" s="133" t="s">
        <v>7</v>
      </c>
      <c r="B820" s="133" t="s">
        <v>244</v>
      </c>
      <c r="C820" s="133" t="s">
        <v>221</v>
      </c>
      <c r="D820" s="133" t="s">
        <v>477</v>
      </c>
      <c r="E820" s="158">
        <v>12</v>
      </c>
      <c r="F820" s="158">
        <v>0</v>
      </c>
      <c r="G820" s="158">
        <v>0</v>
      </c>
      <c r="H820" s="133" t="s">
        <v>479</v>
      </c>
      <c r="I820" s="133" t="s">
        <v>548</v>
      </c>
      <c r="J820" s="158">
        <v>0</v>
      </c>
      <c r="K820" s="159" t="str">
        <f ca="1">IFERROR(__xludf.DUMMYFUNCTION("GOOGLETRANSLATE(H820,""th"",""en"")"),"Null")</f>
        <v>Null</v>
      </c>
    </row>
    <row r="821" spans="1:11" ht="15.75" hidden="1" customHeight="1">
      <c r="A821" s="133" t="s">
        <v>7</v>
      </c>
      <c r="B821" s="133" t="s">
        <v>244</v>
      </c>
      <c r="C821" s="133" t="s">
        <v>534</v>
      </c>
      <c r="D821" s="133" t="s">
        <v>477</v>
      </c>
      <c r="E821" s="158">
        <v>50</v>
      </c>
      <c r="F821" s="158">
        <v>0</v>
      </c>
      <c r="G821" s="158">
        <v>0</v>
      </c>
      <c r="H821" s="133" t="s">
        <v>1566</v>
      </c>
      <c r="I821" s="133" t="s">
        <v>548</v>
      </c>
      <c r="J821" s="158">
        <v>0</v>
      </c>
      <c r="K821" s="159" t="str">
        <f ca="1">IFERROR(__xludf.DUMMYFUNCTION("GOOGLETRANSLATE(H821,""th"",""en"")"),"Reference number")</f>
        <v>Reference number</v>
      </c>
    </row>
    <row r="822" spans="1:11" ht="15.75" hidden="1" customHeight="1">
      <c r="A822" s="133" t="s">
        <v>7</v>
      </c>
      <c r="B822" s="133" t="s">
        <v>244</v>
      </c>
      <c r="C822" s="133" t="s">
        <v>552</v>
      </c>
      <c r="D822" s="133" t="s">
        <v>496</v>
      </c>
      <c r="E822" s="158">
        <v>4</v>
      </c>
      <c r="F822" s="158">
        <v>16</v>
      </c>
      <c r="G822" s="158">
        <v>0</v>
      </c>
      <c r="H822" s="133" t="s">
        <v>1567</v>
      </c>
      <c r="I822" s="133" t="s">
        <v>1559</v>
      </c>
      <c r="J822" s="158">
        <v>0</v>
      </c>
      <c r="K822" s="159" t="str">
        <f ca="1">IFERROR(__xludf.DUMMYFUNCTION("GOOGLETRANSLATE(H822,""th"",""en"")"),"Day and time, Bill document")</f>
        <v>Day and time, Bill document</v>
      </c>
    </row>
    <row r="823" spans="1:11" ht="15.75" hidden="1" customHeight="1">
      <c r="A823" s="133" t="s">
        <v>7</v>
      </c>
      <c r="B823" s="133" t="s">
        <v>244</v>
      </c>
      <c r="C823" s="133" t="s">
        <v>688</v>
      </c>
      <c r="D823" s="133" t="s">
        <v>496</v>
      </c>
      <c r="E823" s="158">
        <v>4</v>
      </c>
      <c r="F823" s="158">
        <v>16</v>
      </c>
      <c r="G823" s="158">
        <v>0</v>
      </c>
      <c r="H823" s="133" t="s">
        <v>1568</v>
      </c>
      <c r="I823" s="133" t="s">
        <v>1559</v>
      </c>
      <c r="J823" s="158">
        <v>0</v>
      </c>
      <c r="K823" s="159" t="str">
        <f ca="1">IFERROR(__xludf.DUMMYFUNCTION("GOOGLETRANSLATE(H823,""th"",""en"")"),"Payment date")</f>
        <v>Payment date</v>
      </c>
    </row>
    <row r="824" spans="1:11" ht="15.75" hidden="1" customHeight="1">
      <c r="A824" s="133" t="s">
        <v>7</v>
      </c>
      <c r="B824" s="133" t="s">
        <v>244</v>
      </c>
      <c r="C824" s="133" t="s">
        <v>541</v>
      </c>
      <c r="D824" s="133" t="s">
        <v>477</v>
      </c>
      <c r="E824" s="158">
        <v>2</v>
      </c>
      <c r="F824" s="158">
        <v>0</v>
      </c>
      <c r="G824" s="158">
        <v>0</v>
      </c>
      <c r="H824" s="133" t="s">
        <v>1569</v>
      </c>
      <c r="I824" s="133" t="s">
        <v>548</v>
      </c>
      <c r="J824" s="158">
        <v>0</v>
      </c>
      <c r="K824" s="159" t="str">
        <f ca="1">IFERROR(__xludf.DUMMYFUNCTION("GOOGLETRANSLATE(H824,""th"",""en"")"),"Document type")</f>
        <v>Document type</v>
      </c>
    </row>
    <row r="825" spans="1:11" ht="15.75" hidden="1" customHeight="1">
      <c r="A825" s="133" t="s">
        <v>7</v>
      </c>
      <c r="B825" s="133" t="s">
        <v>244</v>
      </c>
      <c r="C825" s="133" t="s">
        <v>662</v>
      </c>
      <c r="D825" s="133" t="s">
        <v>481</v>
      </c>
      <c r="E825" s="158">
        <v>9</v>
      </c>
      <c r="F825" s="158">
        <v>11</v>
      </c>
      <c r="G825" s="158">
        <v>2</v>
      </c>
      <c r="H825" s="133" t="s">
        <v>1570</v>
      </c>
      <c r="I825" s="133" t="s">
        <v>615</v>
      </c>
      <c r="J825" s="158">
        <v>0</v>
      </c>
      <c r="K825" s="159" t="str">
        <f ca="1">IFERROR(__xludf.DUMMYFUNCTION("GOOGLETRANSLATE(H825,""th"",""en"")"),"Document balance")</f>
        <v>Document balance</v>
      </c>
    </row>
    <row r="826" spans="1:11" ht="15.75" hidden="1" customHeight="1">
      <c r="A826" s="133" t="s">
        <v>7</v>
      </c>
      <c r="B826" s="133" t="s">
        <v>244</v>
      </c>
      <c r="C826" s="133" t="s">
        <v>1571</v>
      </c>
      <c r="D826" s="133" t="s">
        <v>484</v>
      </c>
      <c r="E826" s="158">
        <v>4</v>
      </c>
      <c r="F826" s="158">
        <v>10</v>
      </c>
      <c r="G826" s="158">
        <v>0</v>
      </c>
      <c r="H826" s="133" t="s">
        <v>1348</v>
      </c>
      <c r="I826" s="133" t="s">
        <v>615</v>
      </c>
      <c r="J826" s="158">
        <v>0</v>
      </c>
      <c r="K826" s="159" t="str">
        <f ca="1">IFERROR(__xludf.DUMMYFUNCTION("GOOGLETRANSLATE(H826,""th"",""en"")"),"Time for Credit (Day)")</f>
        <v>Time for Credit (Day)</v>
      </c>
    </row>
    <row r="827" spans="1:11" ht="15.75" hidden="1" customHeight="1">
      <c r="A827" s="133" t="s">
        <v>7</v>
      </c>
      <c r="B827" s="133" t="s">
        <v>244</v>
      </c>
      <c r="C827" s="133" t="s">
        <v>1572</v>
      </c>
      <c r="D827" s="133" t="s">
        <v>496</v>
      </c>
      <c r="E827" s="158">
        <v>4</v>
      </c>
      <c r="F827" s="158">
        <v>16</v>
      </c>
      <c r="G827" s="158">
        <v>0</v>
      </c>
      <c r="H827" s="133" t="s">
        <v>1573</v>
      </c>
      <c r="I827" s="133" t="s">
        <v>1559</v>
      </c>
      <c r="J827" s="158">
        <v>0</v>
      </c>
      <c r="K827" s="159" t="str">
        <f ca="1">IFERROR(__xludf.DUMMYFUNCTION("GOOGLETRANSLATE(H827,""th"",""en"")"),"Paid day and time")</f>
        <v>Paid day and time</v>
      </c>
    </row>
    <row r="828" spans="1:11" ht="15.75" hidden="1" customHeight="1">
      <c r="A828" s="133" t="s">
        <v>7</v>
      </c>
      <c r="B828" s="133" t="s">
        <v>244</v>
      </c>
      <c r="C828" s="133" t="s">
        <v>1574</v>
      </c>
      <c r="D828" s="133" t="s">
        <v>496</v>
      </c>
      <c r="E828" s="158">
        <v>4</v>
      </c>
      <c r="F828" s="158">
        <v>16</v>
      </c>
      <c r="G828" s="158">
        <v>0</v>
      </c>
      <c r="H828" s="133" t="s">
        <v>1575</v>
      </c>
      <c r="I828" s="133" t="s">
        <v>1559</v>
      </c>
      <c r="J828" s="158">
        <v>0</v>
      </c>
      <c r="K828" s="159" t="str">
        <f ca="1">IFERROR(__xludf.DUMMYFUNCTION("GOOGLETRANSLATE(H828,""th"",""en"")"),"Duedate calculation date")</f>
        <v>Duedate calculation date</v>
      </c>
    </row>
    <row r="829" spans="1:11" ht="15.75" hidden="1" customHeight="1">
      <c r="A829" s="133" t="s">
        <v>7</v>
      </c>
      <c r="B829" s="133" t="s">
        <v>244</v>
      </c>
      <c r="C829" s="133" t="s">
        <v>544</v>
      </c>
      <c r="D829" s="133" t="s">
        <v>477</v>
      </c>
      <c r="E829" s="158">
        <v>50</v>
      </c>
      <c r="F829" s="158">
        <v>0</v>
      </c>
      <c r="G829" s="158">
        <v>0</v>
      </c>
      <c r="H829" s="133" t="s">
        <v>479</v>
      </c>
      <c r="I829" s="133" t="s">
        <v>548</v>
      </c>
      <c r="J829" s="158">
        <v>0</v>
      </c>
      <c r="K829" s="159" t="str">
        <f ca="1">IFERROR(__xludf.DUMMYFUNCTION("GOOGLETRANSLATE(H829,""th"",""en"")"),"Null")</f>
        <v>Null</v>
      </c>
    </row>
    <row r="830" spans="1:11" ht="15.75" hidden="1" customHeight="1">
      <c r="A830" s="133" t="s">
        <v>7</v>
      </c>
      <c r="B830" s="133" t="s">
        <v>244</v>
      </c>
      <c r="C830" s="133" t="s">
        <v>669</v>
      </c>
      <c r="D830" s="133" t="s">
        <v>496</v>
      </c>
      <c r="E830" s="158">
        <v>4</v>
      </c>
      <c r="F830" s="158">
        <v>16</v>
      </c>
      <c r="G830" s="158">
        <v>0</v>
      </c>
      <c r="H830" s="133" t="s">
        <v>479</v>
      </c>
      <c r="I830" s="133" t="s">
        <v>1363</v>
      </c>
      <c r="J830" s="158">
        <v>0</v>
      </c>
      <c r="K830" s="159" t="str">
        <f ca="1">IFERROR(__xludf.DUMMYFUNCTION("GOOGLETRANSLATE(H830,""th"",""en"")"),"Null")</f>
        <v>Null</v>
      </c>
    </row>
    <row r="831" spans="1:11" ht="15.75" hidden="1" customHeight="1">
      <c r="A831" s="133" t="s">
        <v>7</v>
      </c>
      <c r="B831" s="133" t="s">
        <v>244</v>
      </c>
      <c r="C831" s="133" t="s">
        <v>1576</v>
      </c>
      <c r="D831" s="133" t="s">
        <v>477</v>
      </c>
      <c r="E831" s="158">
        <v>20</v>
      </c>
      <c r="F831" s="158">
        <v>0</v>
      </c>
      <c r="G831" s="158">
        <v>0</v>
      </c>
      <c r="H831" s="133" t="s">
        <v>1577</v>
      </c>
      <c r="I831" s="133" t="s">
        <v>548</v>
      </c>
      <c r="J831" s="158">
        <v>0</v>
      </c>
      <c r="K831" s="159" t="str">
        <f ca="1">IFERROR(__xludf.DUMMYFUNCTION("GOOGLETRANSLATE(H831,""th"",""en"")"),"Representative document number")</f>
        <v>Representative document number</v>
      </c>
    </row>
    <row r="832" spans="1:11" ht="15.75" hidden="1" customHeight="1">
      <c r="A832" s="133" t="s">
        <v>7</v>
      </c>
      <c r="B832" s="133" t="s">
        <v>246</v>
      </c>
      <c r="C832" s="133" t="s">
        <v>1578</v>
      </c>
      <c r="D832" s="133" t="s">
        <v>491</v>
      </c>
      <c r="E832" s="158">
        <v>16</v>
      </c>
      <c r="F832" s="158">
        <v>0</v>
      </c>
      <c r="G832" s="158">
        <v>0</v>
      </c>
      <c r="H832" s="133" t="s">
        <v>479</v>
      </c>
      <c r="I832" s="133" t="s">
        <v>479</v>
      </c>
      <c r="J832" s="158">
        <v>0</v>
      </c>
      <c r="K832" s="159" t="str">
        <f ca="1">IFERROR(__xludf.DUMMYFUNCTION("GOOGLETRANSLATE(H832,""th"",""en"")"),"Null")</f>
        <v>Null</v>
      </c>
    </row>
    <row r="833" spans="1:11" ht="15.75" hidden="1" customHeight="1">
      <c r="A833" s="133" t="s">
        <v>7</v>
      </c>
      <c r="B833" s="133" t="s">
        <v>246</v>
      </c>
      <c r="C833" s="133" t="s">
        <v>534</v>
      </c>
      <c r="D833" s="133" t="s">
        <v>477</v>
      </c>
      <c r="E833" s="158">
        <v>16</v>
      </c>
      <c r="F833" s="158">
        <v>0</v>
      </c>
      <c r="G833" s="158">
        <v>0</v>
      </c>
      <c r="H833" s="133" t="s">
        <v>479</v>
      </c>
      <c r="I833" s="133" t="s">
        <v>479</v>
      </c>
      <c r="J833" s="158">
        <v>0</v>
      </c>
      <c r="K833" s="159" t="str">
        <f ca="1">IFERROR(__xludf.DUMMYFUNCTION("GOOGLETRANSLATE(H833,""th"",""en"")"),"Null")</f>
        <v>Null</v>
      </c>
    </row>
    <row r="834" spans="1:11" ht="15.75" hidden="1" customHeight="1">
      <c r="A834" s="133" t="s">
        <v>7</v>
      </c>
      <c r="B834" s="133" t="s">
        <v>246</v>
      </c>
      <c r="C834" s="133" t="s">
        <v>221</v>
      </c>
      <c r="D834" s="133" t="s">
        <v>491</v>
      </c>
      <c r="E834" s="158">
        <v>12</v>
      </c>
      <c r="F834" s="158">
        <v>0</v>
      </c>
      <c r="G834" s="158">
        <v>0</v>
      </c>
      <c r="H834" s="133" t="s">
        <v>479</v>
      </c>
      <c r="I834" s="133" t="s">
        <v>479</v>
      </c>
      <c r="J834" s="158">
        <v>1</v>
      </c>
      <c r="K834" s="159" t="str">
        <f ca="1">IFERROR(__xludf.DUMMYFUNCTION("GOOGLETRANSLATE(H834,""th"",""en"")"),"Null")</f>
        <v>Null</v>
      </c>
    </row>
    <row r="835" spans="1:11" ht="15.75" hidden="1" customHeight="1">
      <c r="A835" s="133" t="s">
        <v>7</v>
      </c>
      <c r="B835" s="133" t="s">
        <v>246</v>
      </c>
      <c r="C835" s="133" t="s">
        <v>1579</v>
      </c>
      <c r="D835" s="133" t="s">
        <v>481</v>
      </c>
      <c r="E835" s="158">
        <v>9</v>
      </c>
      <c r="F835" s="158">
        <v>11</v>
      </c>
      <c r="G835" s="158">
        <v>2</v>
      </c>
      <c r="H835" s="133" t="s">
        <v>479</v>
      </c>
      <c r="I835" s="133" t="s">
        <v>479</v>
      </c>
      <c r="J835" s="158">
        <v>1</v>
      </c>
      <c r="K835" s="159" t="str">
        <f ca="1">IFERROR(__xludf.DUMMYFUNCTION("GOOGLETRANSLATE(H835,""th"",""en"")"),"Null")</f>
        <v>Null</v>
      </c>
    </row>
    <row r="836" spans="1:11" ht="15.75" hidden="1" customHeight="1">
      <c r="A836" s="133" t="s">
        <v>7</v>
      </c>
      <c r="B836" s="133" t="s">
        <v>246</v>
      </c>
      <c r="C836" s="133" t="s">
        <v>523</v>
      </c>
      <c r="D836" s="133" t="s">
        <v>477</v>
      </c>
      <c r="E836" s="158">
        <v>8</v>
      </c>
      <c r="F836" s="158">
        <v>0</v>
      </c>
      <c r="G836" s="158">
        <v>0</v>
      </c>
      <c r="H836" s="133" t="s">
        <v>479</v>
      </c>
      <c r="I836" s="133" t="s">
        <v>479</v>
      </c>
      <c r="J836" s="158">
        <v>1</v>
      </c>
      <c r="K836" s="159" t="str">
        <f ca="1">IFERROR(__xludf.DUMMYFUNCTION("GOOGLETRANSLATE(H836,""th"",""en"")"),"Null")</f>
        <v>Null</v>
      </c>
    </row>
    <row r="837" spans="1:11" ht="15.75" hidden="1" customHeight="1">
      <c r="A837" s="133" t="s">
        <v>7</v>
      </c>
      <c r="B837" s="133" t="s">
        <v>246</v>
      </c>
      <c r="C837" s="133" t="s">
        <v>669</v>
      </c>
      <c r="D837" s="133" t="s">
        <v>538</v>
      </c>
      <c r="E837" s="158">
        <v>8</v>
      </c>
      <c r="F837" s="158">
        <v>23</v>
      </c>
      <c r="G837" s="158">
        <v>3</v>
      </c>
      <c r="H837" s="133" t="s">
        <v>479</v>
      </c>
      <c r="I837" s="133" t="s">
        <v>479</v>
      </c>
      <c r="J837" s="158">
        <v>1</v>
      </c>
      <c r="K837" s="159" t="str">
        <f ca="1">IFERROR(__xludf.DUMMYFUNCTION("GOOGLETRANSLATE(H837,""th"",""en"")"),"Null")</f>
        <v>Null</v>
      </c>
    </row>
    <row r="838" spans="1:11" ht="15.75" hidden="1" customHeight="1">
      <c r="A838" s="133" t="s">
        <v>7</v>
      </c>
      <c r="B838" s="133" t="s">
        <v>246</v>
      </c>
      <c r="C838" s="133" t="s">
        <v>670</v>
      </c>
      <c r="D838" s="133" t="s">
        <v>477</v>
      </c>
      <c r="E838" s="158">
        <v>8</v>
      </c>
      <c r="F838" s="158">
        <v>0</v>
      </c>
      <c r="G838" s="158">
        <v>0</v>
      </c>
      <c r="H838" s="133" t="s">
        <v>479</v>
      </c>
      <c r="I838" s="133" t="s">
        <v>479</v>
      </c>
      <c r="J838" s="158">
        <v>1</v>
      </c>
      <c r="K838" s="159" t="str">
        <f ca="1">IFERROR(__xludf.DUMMYFUNCTION("GOOGLETRANSLATE(H838,""th"",""en"")"),"Null")</f>
        <v>Null</v>
      </c>
    </row>
    <row r="839" spans="1:11" ht="15.75" hidden="1" customHeight="1">
      <c r="A839" s="133" t="s">
        <v>7</v>
      </c>
      <c r="B839" s="133" t="s">
        <v>246</v>
      </c>
      <c r="C839" s="133" t="s">
        <v>215</v>
      </c>
      <c r="D839" s="133" t="s">
        <v>538</v>
      </c>
      <c r="E839" s="158">
        <v>8</v>
      </c>
      <c r="F839" s="158">
        <v>23</v>
      </c>
      <c r="G839" s="158">
        <v>3</v>
      </c>
      <c r="H839" s="133" t="s">
        <v>479</v>
      </c>
      <c r="I839" s="133" t="s">
        <v>479</v>
      </c>
      <c r="J839" s="158">
        <v>1</v>
      </c>
      <c r="K839" s="159" t="str">
        <f ca="1">IFERROR(__xludf.DUMMYFUNCTION("GOOGLETRANSLATE(H839,""th"",""en"")"),"Null")</f>
        <v>Null</v>
      </c>
    </row>
    <row r="840" spans="1:11" ht="15.75" hidden="1" customHeight="1">
      <c r="A840" s="133" t="s">
        <v>7</v>
      </c>
      <c r="B840" s="133" t="s">
        <v>291</v>
      </c>
      <c r="C840" s="133" t="s">
        <v>292</v>
      </c>
      <c r="D840" s="133" t="s">
        <v>484</v>
      </c>
      <c r="E840" s="158">
        <v>4</v>
      </c>
      <c r="F840" s="158">
        <v>10</v>
      </c>
      <c r="G840" s="158">
        <v>0</v>
      </c>
      <c r="H840" s="133" t="s">
        <v>479</v>
      </c>
      <c r="I840" s="133" t="s">
        <v>479</v>
      </c>
      <c r="J840" s="158">
        <v>0</v>
      </c>
      <c r="K840" s="159" t="str">
        <f ca="1">IFERROR(__xludf.DUMMYFUNCTION("GOOGLETRANSLATE(H840,""th"",""en"")"),"Null")</f>
        <v>Null</v>
      </c>
    </row>
    <row r="841" spans="1:11" ht="15.75" hidden="1" customHeight="1">
      <c r="A841" s="133" t="s">
        <v>7</v>
      </c>
      <c r="B841" s="133" t="s">
        <v>291</v>
      </c>
      <c r="C841" s="133" t="s">
        <v>1580</v>
      </c>
      <c r="D841" s="133" t="s">
        <v>477</v>
      </c>
      <c r="E841" s="158">
        <v>50</v>
      </c>
      <c r="F841" s="158">
        <v>0</v>
      </c>
      <c r="G841" s="158">
        <v>0</v>
      </c>
      <c r="H841" s="133" t="s">
        <v>479</v>
      </c>
      <c r="I841" s="133" t="s">
        <v>479</v>
      </c>
      <c r="J841" s="158">
        <v>0</v>
      </c>
      <c r="K841" s="159" t="str">
        <f ca="1">IFERROR(__xludf.DUMMYFUNCTION("GOOGLETRANSLATE(H841,""th"",""en"")"),"Null")</f>
        <v>Null</v>
      </c>
    </row>
    <row r="842" spans="1:11" ht="15.75" hidden="1" customHeight="1">
      <c r="A842" s="133" t="s">
        <v>7</v>
      </c>
      <c r="B842" s="133" t="s">
        <v>291</v>
      </c>
      <c r="C842" s="133" t="s">
        <v>1581</v>
      </c>
      <c r="D842" s="133" t="s">
        <v>477</v>
      </c>
      <c r="E842" s="158">
        <v>200</v>
      </c>
      <c r="F842" s="158">
        <v>0</v>
      </c>
      <c r="G842" s="158">
        <v>0</v>
      </c>
      <c r="H842" s="133" t="s">
        <v>479</v>
      </c>
      <c r="I842" s="133" t="s">
        <v>479</v>
      </c>
      <c r="J842" s="158">
        <v>0</v>
      </c>
      <c r="K842" s="159" t="str">
        <f ca="1">IFERROR(__xludf.DUMMYFUNCTION("GOOGLETRANSLATE(H842,""th"",""en"")"),"Null")</f>
        <v>Null</v>
      </c>
    </row>
    <row r="843" spans="1:11" ht="15.75" hidden="1" customHeight="1">
      <c r="A843" s="133" t="s">
        <v>7</v>
      </c>
      <c r="B843" s="133" t="s">
        <v>291</v>
      </c>
      <c r="C843" s="133" t="s">
        <v>1582</v>
      </c>
      <c r="D843" s="133" t="s">
        <v>477</v>
      </c>
      <c r="E843" s="158">
        <v>8</v>
      </c>
      <c r="F843" s="158">
        <v>0</v>
      </c>
      <c r="G843" s="158">
        <v>0</v>
      </c>
      <c r="H843" s="133" t="s">
        <v>479</v>
      </c>
      <c r="I843" s="133" t="s">
        <v>479</v>
      </c>
      <c r="J843" s="158">
        <v>0</v>
      </c>
      <c r="K843" s="159" t="str">
        <f ca="1">IFERROR(__xludf.DUMMYFUNCTION("GOOGLETRANSLATE(H843,""th"",""en"")"),"Null")</f>
        <v>Null</v>
      </c>
    </row>
    <row r="844" spans="1:11" ht="15.75" hidden="1" customHeight="1">
      <c r="A844" s="133" t="s">
        <v>7</v>
      </c>
      <c r="B844" s="133" t="s">
        <v>291</v>
      </c>
      <c r="C844" s="133" t="s">
        <v>669</v>
      </c>
      <c r="D844" s="133" t="s">
        <v>800</v>
      </c>
      <c r="E844" s="158">
        <v>8</v>
      </c>
      <c r="F844" s="158">
        <v>27</v>
      </c>
      <c r="G844" s="158">
        <v>7</v>
      </c>
      <c r="H844" s="133" t="s">
        <v>479</v>
      </c>
      <c r="I844" s="133" t="s">
        <v>479</v>
      </c>
      <c r="J844" s="158">
        <v>0</v>
      </c>
      <c r="K844" s="159" t="str">
        <f ca="1">IFERROR(__xludf.DUMMYFUNCTION("GOOGLETRANSLATE(H844,""th"",""en"")"),"Null")</f>
        <v>Null</v>
      </c>
    </row>
    <row r="845" spans="1:11" ht="15.75" hidden="1" customHeight="1">
      <c r="A845" s="133" t="s">
        <v>7</v>
      </c>
      <c r="B845" s="133" t="s">
        <v>291</v>
      </c>
      <c r="C845" s="133" t="s">
        <v>523</v>
      </c>
      <c r="D845" s="133" t="s">
        <v>477</v>
      </c>
      <c r="E845" s="158">
        <v>8</v>
      </c>
      <c r="F845" s="158">
        <v>0</v>
      </c>
      <c r="G845" s="158">
        <v>0</v>
      </c>
      <c r="H845" s="133" t="s">
        <v>479</v>
      </c>
      <c r="I845" s="133" t="s">
        <v>479</v>
      </c>
      <c r="J845" s="158">
        <v>0</v>
      </c>
      <c r="K845" s="159" t="str">
        <f ca="1">IFERROR(__xludf.DUMMYFUNCTION("GOOGLETRANSLATE(H845,""th"",""en"")"),"Null")</f>
        <v>Null</v>
      </c>
    </row>
    <row r="846" spans="1:11" ht="15.75" hidden="1" customHeight="1">
      <c r="A846" s="133" t="s">
        <v>7</v>
      </c>
      <c r="B846" s="133" t="s">
        <v>291</v>
      </c>
      <c r="C846" s="133" t="s">
        <v>215</v>
      </c>
      <c r="D846" s="133" t="s">
        <v>800</v>
      </c>
      <c r="E846" s="158">
        <v>8</v>
      </c>
      <c r="F846" s="158">
        <v>27</v>
      </c>
      <c r="G846" s="158">
        <v>7</v>
      </c>
      <c r="H846" s="133" t="s">
        <v>479</v>
      </c>
      <c r="I846" s="133" t="s">
        <v>479</v>
      </c>
      <c r="J846" s="158">
        <v>0</v>
      </c>
      <c r="K846" s="159" t="str">
        <f ca="1">IFERROR(__xludf.DUMMYFUNCTION("GOOGLETRANSLATE(H846,""th"",""en"")"),"Null")</f>
        <v>Null</v>
      </c>
    </row>
    <row r="847" spans="1:11" ht="15.75" hidden="1" customHeight="1">
      <c r="A847" s="133" t="s">
        <v>7</v>
      </c>
      <c r="B847" s="133" t="s">
        <v>291</v>
      </c>
      <c r="C847" s="133" t="s">
        <v>670</v>
      </c>
      <c r="D847" s="133" t="s">
        <v>477</v>
      </c>
      <c r="E847" s="158">
        <v>8</v>
      </c>
      <c r="F847" s="158">
        <v>0</v>
      </c>
      <c r="G847" s="158">
        <v>0</v>
      </c>
      <c r="H847" s="133" t="s">
        <v>479</v>
      </c>
      <c r="I847" s="133" t="s">
        <v>479</v>
      </c>
      <c r="J847" s="158">
        <v>0</v>
      </c>
      <c r="K847" s="159" t="str">
        <f ca="1">IFERROR(__xludf.DUMMYFUNCTION("GOOGLETRANSLATE(H847,""th"",""en"")"),"Null")</f>
        <v>Null</v>
      </c>
    </row>
    <row r="848" spans="1:11" ht="15.75" hidden="1" customHeight="1">
      <c r="A848" s="133" t="s">
        <v>7</v>
      </c>
      <c r="B848" s="133" t="s">
        <v>291</v>
      </c>
      <c r="C848" s="133" t="s">
        <v>814</v>
      </c>
      <c r="D848" s="133" t="s">
        <v>477</v>
      </c>
      <c r="E848" s="158">
        <v>100</v>
      </c>
      <c r="F848" s="158">
        <v>0</v>
      </c>
      <c r="G848" s="158">
        <v>0</v>
      </c>
      <c r="H848" s="133" t="s">
        <v>479</v>
      </c>
      <c r="I848" s="133" t="s">
        <v>479</v>
      </c>
      <c r="J848" s="158">
        <v>0</v>
      </c>
      <c r="K848" s="159" t="str">
        <f ca="1">IFERROR(__xludf.DUMMYFUNCTION("GOOGLETRANSLATE(H848,""th"",""en"")"),"Null")</f>
        <v>Null</v>
      </c>
    </row>
    <row r="849" spans="1:11" ht="15.75" hidden="1" customHeight="1">
      <c r="A849" s="133" t="s">
        <v>7</v>
      </c>
      <c r="B849" s="133" t="s">
        <v>291</v>
      </c>
      <c r="C849" s="133" t="s">
        <v>816</v>
      </c>
      <c r="D849" s="133" t="s">
        <v>477</v>
      </c>
      <c r="E849" s="158">
        <v>100</v>
      </c>
      <c r="F849" s="158">
        <v>0</v>
      </c>
      <c r="G849" s="158">
        <v>0</v>
      </c>
      <c r="H849" s="133" t="s">
        <v>479</v>
      </c>
      <c r="I849" s="133" t="s">
        <v>479</v>
      </c>
      <c r="J849" s="158">
        <v>0</v>
      </c>
      <c r="K849" s="159" t="str">
        <f ca="1">IFERROR(__xludf.DUMMYFUNCTION("GOOGLETRANSLATE(H849,""th"",""en"")"),"Null")</f>
        <v>Null</v>
      </c>
    </row>
    <row r="850" spans="1:11" ht="15.75" hidden="1" customHeight="1">
      <c r="A850" s="133" t="s">
        <v>7</v>
      </c>
      <c r="B850" s="133" t="s">
        <v>291</v>
      </c>
      <c r="C850" s="133" t="s">
        <v>1583</v>
      </c>
      <c r="D850" s="133" t="s">
        <v>477</v>
      </c>
      <c r="E850" s="158">
        <v>30</v>
      </c>
      <c r="F850" s="158">
        <v>0</v>
      </c>
      <c r="G850" s="158">
        <v>0</v>
      </c>
      <c r="H850" s="133" t="s">
        <v>479</v>
      </c>
      <c r="I850" s="133" t="s">
        <v>479</v>
      </c>
      <c r="J850" s="158">
        <v>0</v>
      </c>
      <c r="K850" s="159" t="str">
        <f ca="1">IFERROR(__xludf.DUMMYFUNCTION("GOOGLETRANSLATE(H850,""th"",""en"")"),"Null")</f>
        <v>Null</v>
      </c>
    </row>
    <row r="851" spans="1:11" ht="15.75" hidden="1" customHeight="1">
      <c r="A851" s="133" t="s">
        <v>7</v>
      </c>
      <c r="B851" s="133" t="s">
        <v>293</v>
      </c>
      <c r="C851" s="133" t="s">
        <v>276</v>
      </c>
      <c r="D851" s="133" t="s">
        <v>477</v>
      </c>
      <c r="E851" s="158">
        <v>50</v>
      </c>
      <c r="F851" s="158">
        <v>0</v>
      </c>
      <c r="G851" s="158">
        <v>0</v>
      </c>
      <c r="H851" s="133" t="s">
        <v>276</v>
      </c>
      <c r="I851" s="133" t="s">
        <v>479</v>
      </c>
      <c r="J851" s="158">
        <v>0</v>
      </c>
      <c r="K851" s="159" t="str">
        <f ca="1">IFERROR(__xludf.DUMMYFUNCTION("GOOGLETRANSLATE(H851,""th"",""en"")"),"Provinceid")</f>
        <v>Provinceid</v>
      </c>
    </row>
    <row r="852" spans="1:11" ht="15.75" hidden="1" customHeight="1">
      <c r="A852" s="133" t="s">
        <v>7</v>
      </c>
      <c r="B852" s="133" t="s">
        <v>293</v>
      </c>
      <c r="C852" s="133" t="s">
        <v>1584</v>
      </c>
      <c r="D852" s="133" t="s">
        <v>477</v>
      </c>
      <c r="E852" s="158">
        <v>50</v>
      </c>
      <c r="F852" s="158">
        <v>0</v>
      </c>
      <c r="G852" s="158">
        <v>0</v>
      </c>
      <c r="H852" s="133" t="s">
        <v>1584</v>
      </c>
      <c r="I852" s="133" t="s">
        <v>548</v>
      </c>
      <c r="J852" s="158">
        <v>0</v>
      </c>
      <c r="K852" s="159" t="str">
        <f ca="1">IFERROR(__xludf.DUMMYFUNCTION("GOOGLETRANSLATE(H852,""th"",""en"")"),"City")</f>
        <v>City</v>
      </c>
    </row>
    <row r="853" spans="1:11" ht="15.75" hidden="1" customHeight="1">
      <c r="A853" s="133" t="s">
        <v>7</v>
      </c>
      <c r="B853" s="133" t="s">
        <v>293</v>
      </c>
      <c r="C853" s="133" t="s">
        <v>1585</v>
      </c>
      <c r="D853" s="133" t="s">
        <v>477</v>
      </c>
      <c r="E853" s="158">
        <v>50</v>
      </c>
      <c r="F853" s="158">
        <v>0</v>
      </c>
      <c r="G853" s="158">
        <v>0</v>
      </c>
      <c r="H853" s="133" t="s">
        <v>1585</v>
      </c>
      <c r="I853" s="133" t="s">
        <v>548</v>
      </c>
      <c r="J853" s="158">
        <v>0</v>
      </c>
      <c r="K853" s="159" t="str">
        <f ca="1">IFERROR(__xludf.DUMMYFUNCTION("GOOGLETRANSLATE(H853,""th"",""en"")"),"District")</f>
        <v>District</v>
      </c>
    </row>
    <row r="854" spans="1:11" ht="15.75" hidden="1" customHeight="1">
      <c r="A854" s="133" t="s">
        <v>7</v>
      </c>
      <c r="B854" s="133" t="s">
        <v>293</v>
      </c>
      <c r="C854" s="133" t="s">
        <v>669</v>
      </c>
      <c r="D854" s="133" t="s">
        <v>496</v>
      </c>
      <c r="E854" s="158">
        <v>4</v>
      </c>
      <c r="F854" s="158">
        <v>16</v>
      </c>
      <c r="G854" s="158">
        <v>0</v>
      </c>
      <c r="H854" s="133" t="s">
        <v>1551</v>
      </c>
      <c r="I854" s="133" t="s">
        <v>479</v>
      </c>
      <c r="J854" s="158">
        <v>0</v>
      </c>
      <c r="K854" s="159" t="str">
        <f ca="1">IFERROR(__xludf.DUMMYFUNCTION("GOOGLETRANSLATE(H854,""th"",""en"")"),"CREATE DATE")</f>
        <v>CREATE DATE</v>
      </c>
    </row>
    <row r="855" spans="1:11" ht="15.75" hidden="1" customHeight="1">
      <c r="A855" s="133" t="s">
        <v>7</v>
      </c>
      <c r="B855" s="133" t="s">
        <v>293</v>
      </c>
      <c r="C855" s="133" t="s">
        <v>523</v>
      </c>
      <c r="D855" s="133" t="s">
        <v>477</v>
      </c>
      <c r="E855" s="158">
        <v>8</v>
      </c>
      <c r="F855" s="158">
        <v>0</v>
      </c>
      <c r="G855" s="158">
        <v>0</v>
      </c>
      <c r="H855" s="133" t="s">
        <v>1550</v>
      </c>
      <c r="I855" s="133" t="s">
        <v>548</v>
      </c>
      <c r="J855" s="158">
        <v>0</v>
      </c>
      <c r="K855" s="159" t="str">
        <f ca="1">IFERROR(__xludf.DUMMYFUNCTION("GOOGLETRANSLATE(H855,""th"",""en"")"),"Create User")</f>
        <v>Create User</v>
      </c>
    </row>
    <row r="856" spans="1:11" ht="15.75" hidden="1" customHeight="1">
      <c r="A856" s="133" t="s">
        <v>7</v>
      </c>
      <c r="B856" s="133" t="s">
        <v>293</v>
      </c>
      <c r="C856" s="133" t="s">
        <v>215</v>
      </c>
      <c r="D856" s="133" t="s">
        <v>496</v>
      </c>
      <c r="E856" s="158">
        <v>4</v>
      </c>
      <c r="F856" s="158">
        <v>16</v>
      </c>
      <c r="G856" s="158">
        <v>0</v>
      </c>
      <c r="H856" s="133" t="s">
        <v>1586</v>
      </c>
      <c r="I856" s="133" t="s">
        <v>479</v>
      </c>
      <c r="J856" s="158">
        <v>0</v>
      </c>
      <c r="K856" s="159" t="str">
        <f ca="1">IFERROR(__xludf.DUMMYFUNCTION("GOOGLETRANSLATE(H856,""th"",""en"")"),"Update Date")</f>
        <v>Update Date</v>
      </c>
    </row>
    <row r="857" spans="1:11" ht="15.75" hidden="1" customHeight="1">
      <c r="A857" s="133" t="s">
        <v>7</v>
      </c>
      <c r="B857" s="133" t="s">
        <v>293</v>
      </c>
      <c r="C857" s="133" t="s">
        <v>670</v>
      </c>
      <c r="D857" s="133" t="s">
        <v>477</v>
      </c>
      <c r="E857" s="158">
        <v>8</v>
      </c>
      <c r="F857" s="158">
        <v>0</v>
      </c>
      <c r="G857" s="158">
        <v>0</v>
      </c>
      <c r="H857" s="133" t="s">
        <v>1587</v>
      </c>
      <c r="I857" s="133" t="s">
        <v>548</v>
      </c>
      <c r="J857" s="158">
        <v>0</v>
      </c>
      <c r="K857" s="159" t="str">
        <f ca="1">IFERROR(__xludf.DUMMYFUNCTION("GOOGLETRANSLATE(H857,""th"",""en"")"),"Update user")</f>
        <v>Update user</v>
      </c>
    </row>
    <row r="858" spans="1:11" ht="15.75" hidden="1" customHeight="1">
      <c r="A858" s="133" t="s">
        <v>7</v>
      </c>
      <c r="B858" s="133" t="s">
        <v>293</v>
      </c>
      <c r="C858" s="133" t="s">
        <v>1588</v>
      </c>
      <c r="D858" s="133" t="s">
        <v>477</v>
      </c>
      <c r="E858" s="158">
        <v>5</v>
      </c>
      <c r="F858" s="158">
        <v>0</v>
      </c>
      <c r="G858" s="158">
        <v>0</v>
      </c>
      <c r="H858" s="133" t="s">
        <v>1589</v>
      </c>
      <c r="I858" s="133" t="s">
        <v>548</v>
      </c>
      <c r="J858" s="158">
        <v>0</v>
      </c>
      <c r="K858" s="159" t="str">
        <f ca="1">IFERROR(__xludf.DUMMYFUNCTION("GOOGLETRANSLATE(H858,""th"",""en"")"),"Post Code")</f>
        <v>Post Code</v>
      </c>
    </row>
    <row r="859" spans="1:11" ht="15.75" hidden="1" customHeight="1">
      <c r="A859" s="133" t="s">
        <v>7</v>
      </c>
      <c r="B859" s="133" t="s">
        <v>293</v>
      </c>
      <c r="C859" s="133" t="s">
        <v>164</v>
      </c>
      <c r="D859" s="133" t="s">
        <v>477</v>
      </c>
      <c r="E859" s="158">
        <v>100</v>
      </c>
      <c r="F859" s="158">
        <v>0</v>
      </c>
      <c r="G859" s="158">
        <v>0</v>
      </c>
      <c r="H859" s="133" t="s">
        <v>479</v>
      </c>
      <c r="I859" s="133" t="s">
        <v>548</v>
      </c>
      <c r="J859" s="158">
        <v>0</v>
      </c>
      <c r="K859" s="159" t="str">
        <f ca="1">IFERROR(__xludf.DUMMYFUNCTION("GOOGLETRANSLATE(H859,""th"",""en"")"),"Null")</f>
        <v>Null</v>
      </c>
    </row>
    <row r="860" spans="1:11" ht="15.75" hidden="1" customHeight="1">
      <c r="A860" s="133" t="s">
        <v>7</v>
      </c>
      <c r="B860" s="133" t="s">
        <v>293</v>
      </c>
      <c r="C860" s="133" t="s">
        <v>1590</v>
      </c>
      <c r="D860" s="133" t="s">
        <v>477</v>
      </c>
      <c r="E860" s="158">
        <v>50</v>
      </c>
      <c r="F860" s="158">
        <v>0</v>
      </c>
      <c r="G860" s="158">
        <v>0</v>
      </c>
      <c r="H860" s="133" t="s">
        <v>1591</v>
      </c>
      <c r="I860" s="133" t="s">
        <v>548</v>
      </c>
      <c r="J860" s="158">
        <v>0</v>
      </c>
      <c r="K860" s="159" t="str">
        <f ca="1">IFERROR(__xludf.DUMMYFUNCTION("GOOGLETRANSLATE(H860,""th"",""en"")"),"District / District in English delivery")</f>
        <v>District / District in English delivery</v>
      </c>
    </row>
    <row r="861" spans="1:11" ht="15.75" hidden="1" customHeight="1">
      <c r="A861" s="133" t="s">
        <v>7</v>
      </c>
      <c r="B861" s="133" t="s">
        <v>293</v>
      </c>
      <c r="C861" s="133" t="s">
        <v>1592</v>
      </c>
      <c r="D861" s="133" t="s">
        <v>477</v>
      </c>
      <c r="E861" s="158">
        <v>50</v>
      </c>
      <c r="F861" s="158">
        <v>0</v>
      </c>
      <c r="G861" s="158">
        <v>0</v>
      </c>
      <c r="H861" s="133" t="s">
        <v>1593</v>
      </c>
      <c r="I861" s="133" t="s">
        <v>548</v>
      </c>
      <c r="J861" s="158">
        <v>0</v>
      </c>
      <c r="K861" s="159" t="str">
        <f ca="1">IFERROR(__xludf.DUMMYFUNCTION("GOOGLETRANSLATE(H861,""th"",""en"")"),"District / District in English delivery")</f>
        <v>District / District in English delivery</v>
      </c>
    </row>
    <row r="862" spans="1:11" ht="15.75" hidden="1" customHeight="1">
      <c r="A862" s="133" t="s">
        <v>7</v>
      </c>
      <c r="B862" s="133" t="s">
        <v>293</v>
      </c>
      <c r="C862" s="133" t="s">
        <v>1594</v>
      </c>
      <c r="D862" s="133" t="s">
        <v>477</v>
      </c>
      <c r="E862" s="158">
        <v>50</v>
      </c>
      <c r="F862" s="158">
        <v>0</v>
      </c>
      <c r="G862" s="158">
        <v>0</v>
      </c>
      <c r="H862" s="133" t="s">
        <v>1595</v>
      </c>
      <c r="I862" s="133" t="s">
        <v>548</v>
      </c>
      <c r="J862" s="158">
        <v>0</v>
      </c>
      <c r="K862" s="159" t="str">
        <f ca="1">IFERROR(__xludf.DUMMYFUNCTION("GOOGLETRANSLATE(H862,""th"",""en"")"),"English province")</f>
        <v>English province</v>
      </c>
    </row>
    <row r="863" spans="1:11" ht="15.75" hidden="1" customHeight="1">
      <c r="A863" s="133" t="s">
        <v>7</v>
      </c>
      <c r="B863" s="133" t="s">
        <v>295</v>
      </c>
      <c r="C863" s="133" t="s">
        <v>1596</v>
      </c>
      <c r="D863" s="133" t="s">
        <v>484</v>
      </c>
      <c r="E863" s="158">
        <v>4</v>
      </c>
      <c r="F863" s="158">
        <v>10</v>
      </c>
      <c r="G863" s="158">
        <v>0</v>
      </c>
      <c r="H863" s="133" t="s">
        <v>1597</v>
      </c>
      <c r="I863" s="133" t="s">
        <v>615</v>
      </c>
      <c r="J863" s="158">
        <v>0</v>
      </c>
      <c r="K863" s="159" t="str">
        <f ca="1">IFERROR(__xludf.DUMMYFUNCTION("GOOGLETRANSLATE(H863,""th"",""en"")"),"Feed Back Group Identify")</f>
        <v>Feed Back Group Identify</v>
      </c>
    </row>
    <row r="864" spans="1:11" ht="15.75" hidden="1" customHeight="1">
      <c r="A864" s="133" t="s">
        <v>7</v>
      </c>
      <c r="B864" s="133" t="s">
        <v>295</v>
      </c>
      <c r="C864" s="133" t="s">
        <v>292</v>
      </c>
      <c r="D864" s="133" t="s">
        <v>484</v>
      </c>
      <c r="E864" s="158">
        <v>4</v>
      </c>
      <c r="F864" s="158">
        <v>10</v>
      </c>
      <c r="G864" s="158">
        <v>0</v>
      </c>
      <c r="H864" s="133" t="s">
        <v>1598</v>
      </c>
      <c r="I864" s="133" t="s">
        <v>479</v>
      </c>
      <c r="J864" s="158">
        <v>0</v>
      </c>
      <c r="K864" s="159" t="str">
        <f ca="1">IFERROR(__xludf.DUMMYFUNCTION("GOOGLETRANSLATE(H864,""th"",""en"")"),"Feed List Sequence Number")</f>
        <v>Feed List Sequence Number</v>
      </c>
    </row>
    <row r="865" spans="1:11" ht="15.75" hidden="1" customHeight="1">
      <c r="A865" s="133" t="s">
        <v>7</v>
      </c>
      <c r="B865" s="133" t="s">
        <v>295</v>
      </c>
      <c r="C865" s="133" t="s">
        <v>811</v>
      </c>
      <c r="D865" s="133" t="s">
        <v>491</v>
      </c>
      <c r="E865" s="158">
        <v>1</v>
      </c>
      <c r="F865" s="158">
        <v>0</v>
      </c>
      <c r="G865" s="158">
        <v>0</v>
      </c>
      <c r="H865" s="133" t="s">
        <v>1599</v>
      </c>
      <c r="I865" s="133" t="s">
        <v>479</v>
      </c>
      <c r="J865" s="158">
        <v>0</v>
      </c>
      <c r="K865" s="159" t="str">
        <f ca="1">IFERROR(__xludf.DUMMYFUNCTION("GOOGLETRANSLATE(H865,""th"",""en"")"),"Usage status (A = Active [Active], D = Delete [Delete])")</f>
        <v>Usage status (A = Active [Active], D = Delete [Delete])</v>
      </c>
    </row>
    <row r="866" spans="1:11" ht="15.75" hidden="1" customHeight="1">
      <c r="A866" s="133" t="s">
        <v>7</v>
      </c>
      <c r="B866" s="133" t="s">
        <v>295</v>
      </c>
      <c r="C866" s="133" t="s">
        <v>1600</v>
      </c>
      <c r="D866" s="133" t="s">
        <v>477</v>
      </c>
      <c r="E866" s="158">
        <v>200</v>
      </c>
      <c r="F866" s="158">
        <v>0</v>
      </c>
      <c r="G866" s="158">
        <v>0</v>
      </c>
      <c r="H866" s="133" t="s">
        <v>1601</v>
      </c>
      <c r="I866" s="133" t="s">
        <v>548</v>
      </c>
      <c r="J866" s="158">
        <v>0</v>
      </c>
      <c r="K866" s="159" t="str">
        <f ca="1">IFERROR(__xludf.DUMMYFUNCTION("GOOGLETRANSLATE(H866,""th"",""en"")"),"Feed Back Name")</f>
        <v>Feed Back Name</v>
      </c>
    </row>
    <row r="867" spans="1:11" ht="15.75" hidden="1" customHeight="1">
      <c r="A867" s="133" t="s">
        <v>7</v>
      </c>
      <c r="B867" s="133" t="s">
        <v>295</v>
      </c>
      <c r="C867" s="133" t="s">
        <v>1602</v>
      </c>
      <c r="D867" s="133" t="s">
        <v>491</v>
      </c>
      <c r="E867" s="158">
        <v>1</v>
      </c>
      <c r="F867" s="158">
        <v>0</v>
      </c>
      <c r="G867" s="158">
        <v>0</v>
      </c>
      <c r="H867" s="133" t="s">
        <v>1603</v>
      </c>
      <c r="I867" s="133" t="s">
        <v>548</v>
      </c>
      <c r="J867" s="158">
        <v>0</v>
      </c>
      <c r="K867" s="159" t="str">
        <f ca="1">IFERROR(__xludf.DUMMYFUNCTION("GOOGLETRANSLATE(H867,""th"",""en"")"),"Y = Choose This Seqno Job Will Be Close N = None Close Job")</f>
        <v>Y = Choose This Seqno Job Will Be Close N = None Close Job</v>
      </c>
    </row>
    <row r="868" spans="1:11" ht="15.75" hidden="1" customHeight="1">
      <c r="A868" s="133" t="s">
        <v>7</v>
      </c>
      <c r="B868" s="133" t="s">
        <v>295</v>
      </c>
      <c r="C868" s="133" t="s">
        <v>669</v>
      </c>
      <c r="D868" s="133" t="s">
        <v>496</v>
      </c>
      <c r="E868" s="158">
        <v>4</v>
      </c>
      <c r="F868" s="158">
        <v>16</v>
      </c>
      <c r="G868" s="158">
        <v>0</v>
      </c>
      <c r="H868" s="133" t="s">
        <v>1551</v>
      </c>
      <c r="I868" s="133" t="s">
        <v>1284</v>
      </c>
      <c r="J868" s="158">
        <v>0</v>
      </c>
      <c r="K868" s="159" t="str">
        <f ca="1">IFERROR(__xludf.DUMMYFUNCTION("GOOGLETRANSLATE(H868,""th"",""en"")"),"CREATE DATE")</f>
        <v>CREATE DATE</v>
      </c>
    </row>
    <row r="869" spans="1:11" ht="15.75" hidden="1" customHeight="1">
      <c r="A869" s="133" t="s">
        <v>7</v>
      </c>
      <c r="B869" s="133" t="s">
        <v>295</v>
      </c>
      <c r="C869" s="133" t="s">
        <v>523</v>
      </c>
      <c r="D869" s="133" t="s">
        <v>477</v>
      </c>
      <c r="E869" s="158">
        <v>7</v>
      </c>
      <c r="F869" s="158">
        <v>0</v>
      </c>
      <c r="G869" s="158">
        <v>0</v>
      </c>
      <c r="H869" s="133" t="s">
        <v>1604</v>
      </c>
      <c r="I869" s="133" t="s">
        <v>548</v>
      </c>
      <c r="J869" s="158">
        <v>0</v>
      </c>
      <c r="K869" s="159" t="str">
        <f ca="1">IFERROR(__xludf.DUMMYFUNCTION("GOOGLETRANSLATE(H869,""th"",""en"")"),"Create by EMP ID")</f>
        <v>Create by EMP ID</v>
      </c>
    </row>
    <row r="870" spans="1:11" ht="15.75" hidden="1" customHeight="1">
      <c r="A870" s="133" t="s">
        <v>7</v>
      </c>
      <c r="B870" s="133" t="s">
        <v>295</v>
      </c>
      <c r="C870" s="133" t="s">
        <v>215</v>
      </c>
      <c r="D870" s="133" t="s">
        <v>496</v>
      </c>
      <c r="E870" s="158">
        <v>4</v>
      </c>
      <c r="F870" s="158">
        <v>16</v>
      </c>
      <c r="G870" s="158">
        <v>0</v>
      </c>
      <c r="H870" s="133" t="s">
        <v>1605</v>
      </c>
      <c r="I870" s="133" t="s">
        <v>1284</v>
      </c>
      <c r="J870" s="158">
        <v>0</v>
      </c>
      <c r="K870" s="159" t="str">
        <f ca="1">IFERROR(__xludf.DUMMYFUNCTION("GOOGLETRANSLATE(H870,""th"",""en"")"),"Update Date")</f>
        <v>Update Date</v>
      </c>
    </row>
    <row r="871" spans="1:11" ht="15.75" hidden="1" customHeight="1">
      <c r="A871" s="133" t="s">
        <v>7</v>
      </c>
      <c r="B871" s="133" t="s">
        <v>295</v>
      </c>
      <c r="C871" s="133" t="s">
        <v>670</v>
      </c>
      <c r="D871" s="133" t="s">
        <v>477</v>
      </c>
      <c r="E871" s="158">
        <v>7</v>
      </c>
      <c r="F871" s="158">
        <v>0</v>
      </c>
      <c r="G871" s="158">
        <v>0</v>
      </c>
      <c r="H871" s="133" t="s">
        <v>1606</v>
      </c>
      <c r="I871" s="133" t="s">
        <v>548</v>
      </c>
      <c r="J871" s="158">
        <v>0</v>
      </c>
      <c r="K871" s="159" t="str">
        <f ca="1">IFERROR(__xludf.DUMMYFUNCTION("GOOGLETRANSLATE(H871,""th"",""en"")"),"Update by EMP ID")</f>
        <v>Update by EMP ID</v>
      </c>
    </row>
    <row r="872" spans="1:11" ht="15.75" hidden="1" customHeight="1">
      <c r="A872" s="133" t="s">
        <v>7</v>
      </c>
      <c r="B872" s="133" t="s">
        <v>298</v>
      </c>
      <c r="C872" s="133" t="s">
        <v>1607</v>
      </c>
      <c r="D872" s="133" t="s">
        <v>477</v>
      </c>
      <c r="E872" s="158">
        <v>8</v>
      </c>
      <c r="F872" s="158">
        <v>0</v>
      </c>
      <c r="G872" s="158">
        <v>0</v>
      </c>
      <c r="H872" s="133" t="s">
        <v>1608</v>
      </c>
      <c r="I872" s="133" t="s">
        <v>479</v>
      </c>
      <c r="J872" s="158">
        <v>0</v>
      </c>
      <c r="K872" s="159" t="str">
        <f ca="1">IFERROR(__xludf.DUMMYFUNCTION("GOOGLETRANSLATE(H872,""th"",""en"")"),"ActivityID (Acyyxxx)")</f>
        <v>ActivityID (Acyyxxx)</v>
      </c>
    </row>
    <row r="873" spans="1:11" ht="15.75" hidden="1" customHeight="1">
      <c r="A873" s="133" t="s">
        <v>7</v>
      </c>
      <c r="B873" s="133" t="s">
        <v>298</v>
      </c>
      <c r="C873" s="133" t="s">
        <v>1609</v>
      </c>
      <c r="D873" s="133" t="s">
        <v>477</v>
      </c>
      <c r="E873" s="158">
        <v>13</v>
      </c>
      <c r="F873" s="158">
        <v>0</v>
      </c>
      <c r="G873" s="158">
        <v>0</v>
      </c>
      <c r="H873" s="133" t="s">
        <v>1610</v>
      </c>
      <c r="I873" s="133" t="s">
        <v>548</v>
      </c>
      <c r="J873" s="158">
        <v>0</v>
      </c>
      <c r="K873" s="159" t="str">
        <f ca="1">IFERROR(__xludf.DUMMYFUNCTION("GOOGLETRANSLATE(H873,""th"",""en"")"),"Joinid (PROSPECTID / Custid)")</f>
        <v>Joinid (PROSPECTID / Custid)</v>
      </c>
    </row>
    <row r="874" spans="1:11" ht="15.75" hidden="1" customHeight="1">
      <c r="A874" s="133" t="s">
        <v>7</v>
      </c>
      <c r="B874" s="133" t="s">
        <v>298</v>
      </c>
      <c r="C874" s="133" t="s">
        <v>1611</v>
      </c>
      <c r="D874" s="133" t="s">
        <v>491</v>
      </c>
      <c r="E874" s="158">
        <v>1</v>
      </c>
      <c r="F874" s="158">
        <v>0</v>
      </c>
      <c r="G874" s="158">
        <v>0</v>
      </c>
      <c r="H874" s="133" t="s">
        <v>1612</v>
      </c>
      <c r="I874" s="133" t="s">
        <v>548</v>
      </c>
      <c r="J874" s="158">
        <v>0</v>
      </c>
      <c r="K874" s="159" t="str">
        <f ca="1">IFERROR(__xludf.DUMMYFUNCTION("GOOGLETRANSLATE(H874,""th"",""en"")"),"Type of Join Person (C: Customer, P: PROSPECT)")</f>
        <v>Type of Join Person (C: Customer, P: PROSPECT)</v>
      </c>
    </row>
    <row r="875" spans="1:11" ht="15.75" hidden="1" customHeight="1">
      <c r="A875" s="133" t="s">
        <v>7</v>
      </c>
      <c r="B875" s="133" t="s">
        <v>298</v>
      </c>
      <c r="C875" s="133" t="s">
        <v>1613</v>
      </c>
      <c r="D875" s="133" t="s">
        <v>484</v>
      </c>
      <c r="E875" s="158">
        <v>4</v>
      </c>
      <c r="F875" s="158">
        <v>10</v>
      </c>
      <c r="G875" s="158">
        <v>0</v>
      </c>
      <c r="H875" s="133" t="s">
        <v>1614</v>
      </c>
      <c r="I875" s="133" t="s">
        <v>615</v>
      </c>
      <c r="J875" s="158">
        <v>0</v>
      </c>
      <c r="K875" s="159" t="str">
        <f ca="1">IFERROR(__xludf.DUMMYFUNCTION("GOOGLETRANSLATE(H875,""th"",""en"")"),"Feedback ID")</f>
        <v>Feedback ID</v>
      </c>
    </row>
    <row r="876" spans="1:11" ht="15.75" hidden="1" customHeight="1">
      <c r="A876" s="133" t="s">
        <v>7</v>
      </c>
      <c r="B876" s="133" t="s">
        <v>298</v>
      </c>
      <c r="C876" s="133" t="s">
        <v>164</v>
      </c>
      <c r="D876" s="133" t="s">
        <v>477</v>
      </c>
      <c r="E876" s="158">
        <v>200</v>
      </c>
      <c r="F876" s="158">
        <v>0</v>
      </c>
      <c r="G876" s="158">
        <v>0</v>
      </c>
      <c r="H876" s="133" t="s">
        <v>164</v>
      </c>
      <c r="I876" s="133" t="s">
        <v>479</v>
      </c>
      <c r="J876" s="158">
        <v>0</v>
      </c>
      <c r="K876" s="159" t="str">
        <f ca="1">IFERROR(__xludf.DUMMYFUNCTION("GOOGLETRANSLATE(H876,""th"",""en"")"),"REMARK")</f>
        <v>REMARK</v>
      </c>
    </row>
    <row r="877" spans="1:11" ht="15.75" hidden="1" customHeight="1">
      <c r="A877" s="133" t="s">
        <v>7</v>
      </c>
      <c r="B877" s="133" t="s">
        <v>298</v>
      </c>
      <c r="C877" s="133" t="s">
        <v>523</v>
      </c>
      <c r="D877" s="133" t="s">
        <v>477</v>
      </c>
      <c r="E877" s="158">
        <v>8</v>
      </c>
      <c r="F877" s="158">
        <v>0</v>
      </c>
      <c r="G877" s="158">
        <v>0</v>
      </c>
      <c r="H877" s="133" t="s">
        <v>1550</v>
      </c>
      <c r="I877" s="133" t="s">
        <v>548</v>
      </c>
      <c r="J877" s="158">
        <v>0</v>
      </c>
      <c r="K877" s="159" t="str">
        <f ca="1">IFERROR(__xludf.DUMMYFUNCTION("GOOGLETRANSLATE(H877,""th"",""en"")"),"Create User")</f>
        <v>Create User</v>
      </c>
    </row>
    <row r="878" spans="1:11" ht="15.75" hidden="1" customHeight="1">
      <c r="A878" s="133" t="s">
        <v>7</v>
      </c>
      <c r="B878" s="133" t="s">
        <v>298</v>
      </c>
      <c r="C878" s="133" t="s">
        <v>669</v>
      </c>
      <c r="D878" s="133" t="s">
        <v>496</v>
      </c>
      <c r="E878" s="158">
        <v>4</v>
      </c>
      <c r="F878" s="158">
        <v>16</v>
      </c>
      <c r="G878" s="158">
        <v>0</v>
      </c>
      <c r="H878" s="133" t="s">
        <v>1551</v>
      </c>
      <c r="I878" s="133" t="s">
        <v>479</v>
      </c>
      <c r="J878" s="158">
        <v>0</v>
      </c>
      <c r="K878" s="159" t="str">
        <f ca="1">IFERROR(__xludf.DUMMYFUNCTION("GOOGLETRANSLATE(H878,""th"",""en"")"),"CREATE DATE")</f>
        <v>CREATE DATE</v>
      </c>
    </row>
    <row r="879" spans="1:11" ht="15.75" hidden="1" customHeight="1">
      <c r="A879" s="133" t="s">
        <v>7</v>
      </c>
      <c r="B879" s="133" t="s">
        <v>298</v>
      </c>
      <c r="C879" s="133" t="s">
        <v>670</v>
      </c>
      <c r="D879" s="133" t="s">
        <v>477</v>
      </c>
      <c r="E879" s="158">
        <v>8</v>
      </c>
      <c r="F879" s="158">
        <v>0</v>
      </c>
      <c r="G879" s="158">
        <v>0</v>
      </c>
      <c r="H879" s="133" t="s">
        <v>1587</v>
      </c>
      <c r="I879" s="133" t="s">
        <v>548</v>
      </c>
      <c r="J879" s="158">
        <v>0</v>
      </c>
      <c r="K879" s="159" t="str">
        <f ca="1">IFERROR(__xludf.DUMMYFUNCTION("GOOGLETRANSLATE(H879,""th"",""en"")"),"Update user")</f>
        <v>Update user</v>
      </c>
    </row>
    <row r="880" spans="1:11" ht="15.75" hidden="1" customHeight="1">
      <c r="A880" s="133" t="s">
        <v>7</v>
      </c>
      <c r="B880" s="133" t="s">
        <v>298</v>
      </c>
      <c r="C880" s="133" t="s">
        <v>215</v>
      </c>
      <c r="D880" s="133" t="s">
        <v>496</v>
      </c>
      <c r="E880" s="158">
        <v>4</v>
      </c>
      <c r="F880" s="158">
        <v>16</v>
      </c>
      <c r="G880" s="158">
        <v>0</v>
      </c>
      <c r="H880" s="133" t="s">
        <v>1586</v>
      </c>
      <c r="I880" s="133" t="s">
        <v>479</v>
      </c>
      <c r="J880" s="158">
        <v>0</v>
      </c>
      <c r="K880" s="159" t="str">
        <f ca="1">IFERROR(__xludf.DUMMYFUNCTION("GOOGLETRANSLATE(H880,""th"",""en"")"),"Update Date")</f>
        <v>Update Date</v>
      </c>
    </row>
    <row r="881" spans="1:11" ht="15.75" hidden="1" customHeight="1">
      <c r="A881" s="133" t="s">
        <v>7</v>
      </c>
      <c r="B881" s="133" t="s">
        <v>304</v>
      </c>
      <c r="C881" s="133" t="s">
        <v>306</v>
      </c>
      <c r="D881" s="133" t="s">
        <v>477</v>
      </c>
      <c r="E881" s="158">
        <v>3</v>
      </c>
      <c r="F881" s="158">
        <v>0</v>
      </c>
      <c r="G881" s="158">
        <v>0</v>
      </c>
      <c r="H881" s="133" t="s">
        <v>1615</v>
      </c>
      <c r="I881" s="133" t="s">
        <v>548</v>
      </c>
      <c r="J881" s="158">
        <v>0</v>
      </c>
      <c r="K881" s="159" t="str">
        <f ca="1">IFERROR(__xludf.DUMMYFUNCTION("GOOGLETRANSLATE(H881,""th"",""en"")"),"PROSPECT GROUP ID")</f>
        <v>PROSPECT GROUP ID</v>
      </c>
    </row>
    <row r="882" spans="1:11" ht="15.75" hidden="1" customHeight="1">
      <c r="A882" s="133" t="s">
        <v>7</v>
      </c>
      <c r="B882" s="133" t="s">
        <v>304</v>
      </c>
      <c r="C882" s="133" t="s">
        <v>1616</v>
      </c>
      <c r="D882" s="133" t="s">
        <v>477</v>
      </c>
      <c r="E882" s="158">
        <v>50</v>
      </c>
      <c r="F882" s="158">
        <v>0</v>
      </c>
      <c r="G882" s="158">
        <v>0</v>
      </c>
      <c r="H882" s="133" t="s">
        <v>1617</v>
      </c>
      <c r="I882" s="133" t="s">
        <v>548</v>
      </c>
      <c r="J882" s="158">
        <v>0</v>
      </c>
      <c r="K882" s="159" t="str">
        <f ca="1">IFERROR(__xludf.DUMMYFUNCTION("GOOGLETRANSLATE(H882,""th"",""en"")"),"Group Name")</f>
        <v>Group Name</v>
      </c>
    </row>
    <row r="883" spans="1:11" ht="15.75" hidden="1" customHeight="1">
      <c r="A883" s="133" t="s">
        <v>7</v>
      </c>
      <c r="B883" s="133" t="s">
        <v>304</v>
      </c>
      <c r="C883" s="133" t="s">
        <v>523</v>
      </c>
      <c r="D883" s="133" t="s">
        <v>477</v>
      </c>
      <c r="E883" s="158">
        <v>8</v>
      </c>
      <c r="F883" s="158">
        <v>0</v>
      </c>
      <c r="G883" s="158">
        <v>0</v>
      </c>
      <c r="H883" s="133" t="s">
        <v>1550</v>
      </c>
      <c r="I883" s="133" t="s">
        <v>548</v>
      </c>
      <c r="J883" s="158">
        <v>0</v>
      </c>
      <c r="K883" s="159" t="str">
        <f ca="1">IFERROR(__xludf.DUMMYFUNCTION("GOOGLETRANSLATE(H883,""th"",""en"")"),"Create User")</f>
        <v>Create User</v>
      </c>
    </row>
    <row r="884" spans="1:11" ht="15.75" hidden="1" customHeight="1">
      <c r="A884" s="133" t="s">
        <v>7</v>
      </c>
      <c r="B884" s="133" t="s">
        <v>304</v>
      </c>
      <c r="C884" s="133" t="s">
        <v>669</v>
      </c>
      <c r="D884" s="133" t="s">
        <v>496</v>
      </c>
      <c r="E884" s="158">
        <v>4</v>
      </c>
      <c r="F884" s="158">
        <v>16</v>
      </c>
      <c r="G884" s="158">
        <v>0</v>
      </c>
      <c r="H884" s="133" t="s">
        <v>1551</v>
      </c>
      <c r="I884" s="133" t="s">
        <v>548</v>
      </c>
      <c r="J884" s="158">
        <v>0</v>
      </c>
      <c r="K884" s="159" t="str">
        <f ca="1">IFERROR(__xludf.DUMMYFUNCTION("GOOGLETRANSLATE(H884,""th"",""en"")"),"CREATE DATE")</f>
        <v>CREATE DATE</v>
      </c>
    </row>
    <row r="885" spans="1:11" ht="15.75" hidden="1" customHeight="1">
      <c r="A885" s="133" t="s">
        <v>7</v>
      </c>
      <c r="B885" s="133" t="s">
        <v>304</v>
      </c>
      <c r="C885" s="133" t="s">
        <v>670</v>
      </c>
      <c r="D885" s="133" t="s">
        <v>477</v>
      </c>
      <c r="E885" s="158">
        <v>8</v>
      </c>
      <c r="F885" s="158">
        <v>0</v>
      </c>
      <c r="G885" s="158">
        <v>0</v>
      </c>
      <c r="H885" s="133" t="s">
        <v>1587</v>
      </c>
      <c r="I885" s="133" t="s">
        <v>548</v>
      </c>
      <c r="J885" s="158">
        <v>0</v>
      </c>
      <c r="K885" s="159" t="str">
        <f ca="1">IFERROR(__xludf.DUMMYFUNCTION("GOOGLETRANSLATE(H885,""th"",""en"")"),"Update user")</f>
        <v>Update user</v>
      </c>
    </row>
    <row r="886" spans="1:11" ht="15.75" hidden="1" customHeight="1">
      <c r="A886" s="133" t="s">
        <v>7</v>
      </c>
      <c r="B886" s="133" t="s">
        <v>304</v>
      </c>
      <c r="C886" s="133" t="s">
        <v>215</v>
      </c>
      <c r="D886" s="133" t="s">
        <v>496</v>
      </c>
      <c r="E886" s="158">
        <v>4</v>
      </c>
      <c r="F886" s="158">
        <v>16</v>
      </c>
      <c r="G886" s="158">
        <v>0</v>
      </c>
      <c r="H886" s="133" t="s">
        <v>1586</v>
      </c>
      <c r="I886" s="133" t="s">
        <v>479</v>
      </c>
      <c r="J886" s="158">
        <v>0</v>
      </c>
      <c r="K886" s="159" t="str">
        <f ca="1">IFERROR(__xludf.DUMMYFUNCTION("GOOGLETRANSLATE(H886,""th"",""en"")"),"Update Date")</f>
        <v>Update Date</v>
      </c>
    </row>
    <row r="887" spans="1:11" ht="15.75" hidden="1" customHeight="1">
      <c r="A887" s="133" t="s">
        <v>7</v>
      </c>
      <c r="B887" s="133" t="s">
        <v>307</v>
      </c>
      <c r="C887" s="133" t="s">
        <v>309</v>
      </c>
      <c r="D887" s="133" t="s">
        <v>491</v>
      </c>
      <c r="E887" s="158">
        <v>2</v>
      </c>
      <c r="F887" s="158">
        <v>0</v>
      </c>
      <c r="G887" s="158">
        <v>0</v>
      </c>
      <c r="H887" s="133" t="s">
        <v>1037</v>
      </c>
      <c r="I887" s="133" t="s">
        <v>479</v>
      </c>
      <c r="J887" s="158">
        <v>0</v>
      </c>
      <c r="K887" s="159" t="str">
        <f ca="1">IFERROR(__xludf.DUMMYFUNCTION("GOOGLETRANSLATE(H887,""th"",""en"")"),"Supplier payment format")</f>
        <v>Supplier payment format</v>
      </c>
    </row>
    <row r="888" spans="1:11" ht="15.75" hidden="1" customHeight="1">
      <c r="A888" s="133" t="s">
        <v>7</v>
      </c>
      <c r="B888" s="133" t="s">
        <v>307</v>
      </c>
      <c r="C888" s="133" t="s">
        <v>1618</v>
      </c>
      <c r="D888" s="133" t="s">
        <v>477</v>
      </c>
      <c r="E888" s="158">
        <v>50</v>
      </c>
      <c r="F888" s="158">
        <v>0</v>
      </c>
      <c r="G888" s="158">
        <v>0</v>
      </c>
      <c r="H888" s="133" t="s">
        <v>1619</v>
      </c>
      <c r="I888" s="133" t="s">
        <v>548</v>
      </c>
      <c r="J888" s="158">
        <v>0</v>
      </c>
      <c r="K888" s="159" t="str">
        <f ca="1">IFERROR(__xludf.DUMMYFUNCTION("GOOGLETRANSLATE(H888,""th"",""en"")"),"Supplier's payment model name")</f>
        <v>Supplier's payment model name</v>
      </c>
    </row>
    <row r="889" spans="1:11" ht="15.75" hidden="1" customHeight="1">
      <c r="A889" s="133" t="s">
        <v>7</v>
      </c>
      <c r="B889" s="133" t="s">
        <v>307</v>
      </c>
      <c r="C889" s="133" t="s">
        <v>310</v>
      </c>
      <c r="D889" s="133" t="s">
        <v>496</v>
      </c>
      <c r="E889" s="158">
        <v>4</v>
      </c>
      <c r="F889" s="158">
        <v>16</v>
      </c>
      <c r="G889" s="158">
        <v>0</v>
      </c>
      <c r="H889" s="133" t="s">
        <v>735</v>
      </c>
      <c r="I889" s="133" t="s">
        <v>548</v>
      </c>
      <c r="J889" s="158">
        <v>0</v>
      </c>
      <c r="K889" s="159" t="str">
        <f ca="1">IFERROR(__xludf.DUMMYFUNCTION("GOOGLETRANSLATE(H889,""th"",""en"")"),"Date created")</f>
        <v>Date created</v>
      </c>
    </row>
    <row r="890" spans="1:11" ht="15.75" hidden="1" customHeight="1">
      <c r="A890" s="133" t="s">
        <v>7</v>
      </c>
      <c r="B890" s="133" t="s">
        <v>307</v>
      </c>
      <c r="C890" s="133" t="s">
        <v>1620</v>
      </c>
      <c r="D890" s="133" t="s">
        <v>477</v>
      </c>
      <c r="E890" s="158">
        <v>10</v>
      </c>
      <c r="F890" s="158">
        <v>0</v>
      </c>
      <c r="G890" s="158">
        <v>0</v>
      </c>
      <c r="H890" s="133" t="s">
        <v>1621</v>
      </c>
      <c r="I890" s="133" t="s">
        <v>548</v>
      </c>
      <c r="J890" s="158">
        <v>0</v>
      </c>
      <c r="K890" s="159" t="str">
        <f ca="1">IFERROR(__xludf.DUMMYFUNCTION("GOOGLETRANSLATE(H890,""th"",""en"")"),"Creator")</f>
        <v>Creator</v>
      </c>
    </row>
    <row r="891" spans="1:11" ht="15.75" hidden="1" customHeight="1">
      <c r="A891" s="133" t="s">
        <v>7</v>
      </c>
      <c r="B891" s="133" t="s">
        <v>301</v>
      </c>
      <c r="C891" s="133" t="s">
        <v>303</v>
      </c>
      <c r="D891" s="133" t="s">
        <v>477</v>
      </c>
      <c r="E891" s="158">
        <v>6</v>
      </c>
      <c r="F891" s="158">
        <v>0</v>
      </c>
      <c r="G891" s="158">
        <v>0</v>
      </c>
      <c r="H891" s="133" t="s">
        <v>755</v>
      </c>
      <c r="I891" s="133" t="s">
        <v>479</v>
      </c>
      <c r="J891" s="158">
        <v>0</v>
      </c>
      <c r="K891" s="159" t="str">
        <f ca="1">IFERROR(__xludf.DUMMYFUNCTION("GOOGLETRANSLATE(H891,""th"",""en"")"),"Department code")</f>
        <v>Department code</v>
      </c>
    </row>
    <row r="892" spans="1:11" ht="15.75" hidden="1" customHeight="1">
      <c r="A892" s="133" t="s">
        <v>7</v>
      </c>
      <c r="B892" s="133" t="s">
        <v>301</v>
      </c>
      <c r="C892" s="133" t="s">
        <v>1622</v>
      </c>
      <c r="D892" s="133" t="s">
        <v>477</v>
      </c>
      <c r="E892" s="158">
        <v>6</v>
      </c>
      <c r="F892" s="158">
        <v>0</v>
      </c>
      <c r="G892" s="158">
        <v>0</v>
      </c>
      <c r="H892" s="133" t="s">
        <v>1623</v>
      </c>
      <c r="I892" s="133" t="s">
        <v>479</v>
      </c>
      <c r="J892" s="158">
        <v>1</v>
      </c>
      <c r="K892" s="159" t="str">
        <f ca="1">IFERROR(__xludf.DUMMYFUNCTION("GOOGLETRANSLATE(H892,""th"",""en"")"),"Department's initials")</f>
        <v>Department's initials</v>
      </c>
    </row>
    <row r="893" spans="1:11" ht="15.75" hidden="1" customHeight="1">
      <c r="A893" s="133" t="s">
        <v>7</v>
      </c>
      <c r="B893" s="133" t="s">
        <v>301</v>
      </c>
      <c r="C893" s="133" t="s">
        <v>1624</v>
      </c>
      <c r="D893" s="133" t="s">
        <v>477</v>
      </c>
      <c r="E893" s="158">
        <v>50</v>
      </c>
      <c r="F893" s="158">
        <v>0</v>
      </c>
      <c r="G893" s="158">
        <v>0</v>
      </c>
      <c r="H893" s="133" t="s">
        <v>1625</v>
      </c>
      <c r="I893" s="133" t="s">
        <v>479</v>
      </c>
      <c r="J893" s="158">
        <v>1</v>
      </c>
      <c r="K893" s="159" t="str">
        <f ca="1">IFERROR(__xludf.DUMMYFUNCTION("GOOGLETRANSLATE(H893,""th"",""en"")"),"Full name of the department (English)")</f>
        <v>Full name of the department (English)</v>
      </c>
    </row>
    <row r="894" spans="1:11" ht="15.75" hidden="1" customHeight="1">
      <c r="A894" s="133" t="s">
        <v>7</v>
      </c>
      <c r="B894" s="133" t="s">
        <v>301</v>
      </c>
      <c r="C894" s="133" t="s">
        <v>1626</v>
      </c>
      <c r="D894" s="133" t="s">
        <v>477</v>
      </c>
      <c r="E894" s="158">
        <v>50</v>
      </c>
      <c r="F894" s="158">
        <v>0</v>
      </c>
      <c r="G894" s="158">
        <v>0</v>
      </c>
      <c r="H894" s="133" t="s">
        <v>1627</v>
      </c>
      <c r="I894" s="133" t="s">
        <v>479</v>
      </c>
      <c r="J894" s="158">
        <v>1</v>
      </c>
      <c r="K894" s="159" t="str">
        <f ca="1">IFERROR(__xludf.DUMMYFUNCTION("GOOGLETRANSLATE(H894,""th"",""en"")"),"Full name of the party (Thai)")</f>
        <v>Full name of the party (Thai)</v>
      </c>
    </row>
    <row r="895" spans="1:11" ht="15.75" hidden="1" customHeight="1">
      <c r="A895" s="133" t="s">
        <v>7</v>
      </c>
      <c r="B895" s="133" t="s">
        <v>301</v>
      </c>
      <c r="C895" s="133" t="s">
        <v>1628</v>
      </c>
      <c r="D895" s="133" t="s">
        <v>477</v>
      </c>
      <c r="E895" s="158">
        <v>50</v>
      </c>
      <c r="F895" s="158">
        <v>0</v>
      </c>
      <c r="G895" s="158">
        <v>0</v>
      </c>
      <c r="H895" s="133" t="s">
        <v>1629</v>
      </c>
      <c r="I895" s="133" t="s">
        <v>479</v>
      </c>
      <c r="J895" s="158">
        <v>1</v>
      </c>
      <c r="K895" s="159" t="str">
        <f ca="1">IFERROR(__xludf.DUMMYFUNCTION("GOOGLETRANSLATE(H895,""th"",""en"")"),"Manager code")</f>
        <v>Manager code</v>
      </c>
    </row>
    <row r="896" spans="1:11" ht="15.75" hidden="1" customHeight="1">
      <c r="A896" s="133" t="s">
        <v>7</v>
      </c>
      <c r="B896" s="133" t="s">
        <v>200</v>
      </c>
      <c r="C896" s="133" t="s">
        <v>1630</v>
      </c>
      <c r="D896" s="133" t="s">
        <v>1631</v>
      </c>
      <c r="E896" s="158">
        <v>8</v>
      </c>
      <c r="F896" s="158">
        <v>19</v>
      </c>
      <c r="G896" s="158">
        <v>0</v>
      </c>
      <c r="H896" s="133" t="s">
        <v>1632</v>
      </c>
      <c r="I896" s="133" t="s">
        <v>615</v>
      </c>
      <c r="J896" s="158">
        <v>0</v>
      </c>
      <c r="K896" s="159" t="str">
        <f ca="1">IFERROR(__xludf.DUMMYFUNCTION("GOOGLETRANSLATE(H896,""th"",""en"")"),"Contact_id")</f>
        <v>Contact_id</v>
      </c>
    </row>
    <row r="897" spans="1:11" ht="15.75" hidden="1" customHeight="1">
      <c r="A897" s="133" t="s">
        <v>7</v>
      </c>
      <c r="B897" s="133" t="s">
        <v>200</v>
      </c>
      <c r="C897" s="133" t="s">
        <v>174</v>
      </c>
      <c r="D897" s="133" t="s">
        <v>477</v>
      </c>
      <c r="E897" s="158">
        <v>8</v>
      </c>
      <c r="F897" s="158">
        <v>0</v>
      </c>
      <c r="G897" s="158">
        <v>0</v>
      </c>
      <c r="H897" s="133" t="s">
        <v>1633</v>
      </c>
      <c r="I897" s="133" t="s">
        <v>548</v>
      </c>
      <c r="J897" s="158">
        <v>0</v>
      </c>
      <c r="K897" s="159" t="str">
        <f ca="1">IFERROR(__xludf.DUMMYFUNCTION("GOOGLETRANSLATE(H897,""th"",""en"")"),"Customer ID (Account_ID)")</f>
        <v>Customer ID (Account_ID)</v>
      </c>
    </row>
    <row r="898" spans="1:11" ht="15.75" hidden="1" customHeight="1">
      <c r="A898" s="133" t="s">
        <v>7</v>
      </c>
      <c r="B898" s="133" t="s">
        <v>200</v>
      </c>
      <c r="C898" s="133" t="s">
        <v>1634</v>
      </c>
      <c r="D898" s="133" t="s">
        <v>477</v>
      </c>
      <c r="E898" s="158">
        <v>50</v>
      </c>
      <c r="F898" s="158">
        <v>0</v>
      </c>
      <c r="G898" s="158">
        <v>0</v>
      </c>
      <c r="H898" s="133" t="s">
        <v>1635</v>
      </c>
      <c r="I898" s="133" t="s">
        <v>548</v>
      </c>
      <c r="J898" s="158">
        <v>0</v>
      </c>
      <c r="K898" s="159" t="str">
        <f ca="1">IFERROR(__xludf.DUMMYFUNCTION("GOOGLETRANSLATE(H898,""th"",""en"")"),"Data Source of Number Contact / Shipping")</f>
        <v>Data Source of Number Contact / Shipping</v>
      </c>
    </row>
    <row r="899" spans="1:11" ht="15.75" hidden="1" customHeight="1">
      <c r="A899" s="133" t="s">
        <v>7</v>
      </c>
      <c r="B899" s="133" t="s">
        <v>200</v>
      </c>
      <c r="C899" s="133" t="s">
        <v>1636</v>
      </c>
      <c r="D899" s="133" t="s">
        <v>477</v>
      </c>
      <c r="E899" s="158">
        <v>50</v>
      </c>
      <c r="F899" s="158">
        <v>0</v>
      </c>
      <c r="G899" s="158">
        <v>0</v>
      </c>
      <c r="H899" s="133" t="s">
        <v>1637</v>
      </c>
      <c r="I899" s="133" t="s">
        <v>548</v>
      </c>
      <c r="J899" s="158">
        <v>0</v>
      </c>
      <c r="K899" s="159" t="str">
        <f ca="1">IFERROR(__xludf.DUMMYFUNCTION("GOOGLETRANSLATE(H899,""th"",""en"")"),"Contact type (Phone, Mobile, Fax, Email)")</f>
        <v>Contact type (Phone, Mobile, Fax, Email)</v>
      </c>
    </row>
    <row r="900" spans="1:11" ht="15.75" hidden="1" customHeight="1">
      <c r="A900" s="133" t="s">
        <v>7</v>
      </c>
      <c r="B900" s="133" t="s">
        <v>200</v>
      </c>
      <c r="C900" s="133" t="s">
        <v>1638</v>
      </c>
      <c r="D900" s="133" t="s">
        <v>477</v>
      </c>
      <c r="E900" s="158">
        <v>100</v>
      </c>
      <c r="F900" s="158">
        <v>0</v>
      </c>
      <c r="G900" s="158">
        <v>0</v>
      </c>
      <c r="H900" s="133" t="s">
        <v>1639</v>
      </c>
      <c r="I900" s="133" t="s">
        <v>548</v>
      </c>
      <c r="J900" s="158">
        <v>0</v>
      </c>
      <c r="K900" s="159" t="str">
        <f ca="1">IFERROR(__xludf.DUMMYFUNCTION("GOOGLETRANSLATE(H900,""th"",""en"")"),"Contact information")</f>
        <v>Contact information</v>
      </c>
    </row>
    <row r="901" spans="1:11" ht="15.75" hidden="1" customHeight="1">
      <c r="A901" s="133" t="s">
        <v>7</v>
      </c>
      <c r="B901" s="133" t="s">
        <v>200</v>
      </c>
      <c r="C901" s="133" t="s">
        <v>1640</v>
      </c>
      <c r="D901" s="133" t="s">
        <v>477</v>
      </c>
      <c r="E901" s="158">
        <v>6</v>
      </c>
      <c r="F901" s="158">
        <v>0</v>
      </c>
      <c r="G901" s="158">
        <v>0</v>
      </c>
      <c r="H901" s="133" t="s">
        <v>887</v>
      </c>
      <c r="I901" s="133" t="s">
        <v>548</v>
      </c>
      <c r="J901" s="277">
        <v>1</v>
      </c>
      <c r="K901" s="159" t="str">
        <f ca="1">IFERROR(__xludf.DUMMYFUNCTION("GOOGLETRANSLATE(H901,""th"",""en"")"),"Continue")</f>
        <v>Continue</v>
      </c>
    </row>
    <row r="902" spans="1:11" ht="15.75" hidden="1" customHeight="1">
      <c r="A902" s="133" t="s">
        <v>7</v>
      </c>
      <c r="B902" s="133" t="s">
        <v>200</v>
      </c>
      <c r="C902" s="133" t="s">
        <v>1417</v>
      </c>
      <c r="D902" s="133" t="s">
        <v>477</v>
      </c>
      <c r="E902" s="158">
        <v>3</v>
      </c>
      <c r="F902" s="158">
        <v>0</v>
      </c>
      <c r="G902" s="158">
        <v>0</v>
      </c>
      <c r="H902" s="133" t="s">
        <v>1641</v>
      </c>
      <c r="I902" s="133" t="s">
        <v>596</v>
      </c>
      <c r="J902" s="158">
        <v>0</v>
      </c>
      <c r="K902" s="159" t="str">
        <f ca="1">IFERROR(__xludf.DUMMYFUNCTION("GOOGLETRANSLATE(H902,""th"",""en"")"),"Set as the main number")</f>
        <v>Set as the main number</v>
      </c>
    </row>
    <row r="903" spans="1:11" ht="15.75" hidden="1" customHeight="1">
      <c r="A903" s="133" t="s">
        <v>7</v>
      </c>
      <c r="B903" s="133" t="s">
        <v>200</v>
      </c>
      <c r="C903" s="133" t="s">
        <v>1332</v>
      </c>
      <c r="D903" s="133" t="s">
        <v>477</v>
      </c>
      <c r="E903" s="158">
        <v>3</v>
      </c>
      <c r="F903" s="158">
        <v>0</v>
      </c>
      <c r="G903" s="158">
        <v>0</v>
      </c>
      <c r="H903" s="160"/>
      <c r="I903" s="133" t="s">
        <v>596</v>
      </c>
      <c r="J903" s="158">
        <v>0</v>
      </c>
      <c r="K903" s="159" t="str">
        <f ca="1">IFERROR(__xludf.DUMMYFUNCTION("GOOGLETRANSLATE(H903,""th"",""en"")"),"#VALUE!")</f>
        <v>#VALUE!</v>
      </c>
    </row>
    <row r="904" spans="1:11" ht="15.75" hidden="1" customHeight="1">
      <c r="A904" s="133" t="s">
        <v>7</v>
      </c>
      <c r="B904" s="133" t="s">
        <v>200</v>
      </c>
      <c r="C904" s="133" t="s">
        <v>1333</v>
      </c>
      <c r="D904" s="133" t="s">
        <v>477</v>
      </c>
      <c r="E904" s="158">
        <v>100</v>
      </c>
      <c r="F904" s="158">
        <v>0</v>
      </c>
      <c r="G904" s="158">
        <v>0</v>
      </c>
      <c r="H904" s="133" t="s">
        <v>734</v>
      </c>
      <c r="I904" s="133" t="s">
        <v>548</v>
      </c>
      <c r="J904" s="158">
        <v>0</v>
      </c>
      <c r="K904" s="159" t="str">
        <f ca="1">IFERROR(__xludf.DUMMYFUNCTION("GOOGLETRANSLATE(H904,""th"",""en"")"),"Creator name")</f>
        <v>Creator name</v>
      </c>
    </row>
    <row r="905" spans="1:11" ht="15.75" hidden="1" customHeight="1">
      <c r="A905" s="133" t="s">
        <v>7</v>
      </c>
      <c r="B905" s="133" t="s">
        <v>200</v>
      </c>
      <c r="C905" s="133" t="s">
        <v>1334</v>
      </c>
      <c r="D905" s="133" t="s">
        <v>477</v>
      </c>
      <c r="E905" s="158">
        <v>8</v>
      </c>
      <c r="F905" s="158">
        <v>0</v>
      </c>
      <c r="G905" s="158">
        <v>0</v>
      </c>
      <c r="H905" s="133" t="s">
        <v>1282</v>
      </c>
      <c r="I905" s="133" t="s">
        <v>548</v>
      </c>
      <c r="J905" s="158">
        <v>0</v>
      </c>
      <c r="K905" s="159" t="str">
        <f ca="1">IFERROR(__xludf.DUMMYFUNCTION("GOOGLETRANSLATE(H905,""th"",""en"")"),"Creator code")</f>
        <v>Creator code</v>
      </c>
    </row>
    <row r="906" spans="1:11" ht="15.75" hidden="1" customHeight="1">
      <c r="A906" s="133" t="s">
        <v>7</v>
      </c>
      <c r="B906" s="133" t="s">
        <v>200</v>
      </c>
      <c r="C906" s="133" t="s">
        <v>184</v>
      </c>
      <c r="D906" s="133" t="s">
        <v>538</v>
      </c>
      <c r="E906" s="158">
        <v>8</v>
      </c>
      <c r="F906" s="158">
        <v>23</v>
      </c>
      <c r="G906" s="158">
        <v>3</v>
      </c>
      <c r="H906" s="133" t="s">
        <v>735</v>
      </c>
      <c r="I906" s="133" t="s">
        <v>1284</v>
      </c>
      <c r="J906" s="158">
        <v>0</v>
      </c>
      <c r="K906" s="159" t="str">
        <f ca="1">IFERROR(__xludf.DUMMYFUNCTION("GOOGLETRANSLATE(H906,""th"",""en"")"),"Date created")</f>
        <v>Date created</v>
      </c>
    </row>
    <row r="907" spans="1:11" ht="15.75" hidden="1" customHeight="1">
      <c r="A907" s="133" t="s">
        <v>7</v>
      </c>
      <c r="B907" s="133" t="s">
        <v>200</v>
      </c>
      <c r="C907" s="133" t="s">
        <v>1335</v>
      </c>
      <c r="D907" s="133" t="s">
        <v>477</v>
      </c>
      <c r="E907" s="158">
        <v>100</v>
      </c>
      <c r="F907" s="158">
        <v>0</v>
      </c>
      <c r="G907" s="158">
        <v>0</v>
      </c>
      <c r="H907" s="133" t="s">
        <v>802</v>
      </c>
      <c r="I907" s="133" t="s">
        <v>548</v>
      </c>
      <c r="J907" s="158">
        <v>0</v>
      </c>
      <c r="K907" s="159" t="str">
        <f ca="1">IFERROR(__xludf.DUMMYFUNCTION("GOOGLETRANSLATE(H907,""th"",""en"")"),"Editor")</f>
        <v>Editor</v>
      </c>
    </row>
    <row r="908" spans="1:11" ht="15.75" hidden="1" customHeight="1">
      <c r="A908" s="133" t="s">
        <v>7</v>
      </c>
      <c r="B908" s="133" t="s">
        <v>200</v>
      </c>
      <c r="C908" s="133" t="s">
        <v>1336</v>
      </c>
      <c r="D908" s="133" t="s">
        <v>477</v>
      </c>
      <c r="E908" s="158">
        <v>8</v>
      </c>
      <c r="F908" s="158">
        <v>0</v>
      </c>
      <c r="G908" s="158">
        <v>0</v>
      </c>
      <c r="H908" s="133" t="s">
        <v>1285</v>
      </c>
      <c r="I908" s="133" t="s">
        <v>548</v>
      </c>
      <c r="J908" s="158">
        <v>0</v>
      </c>
      <c r="K908" s="159" t="str">
        <f ca="1">IFERROR(__xludf.DUMMYFUNCTION("GOOGLETRANSLATE(H908,""th"",""en"")"),"Editor code")</f>
        <v>Editor code</v>
      </c>
    </row>
    <row r="909" spans="1:11" ht="15.75" hidden="1" customHeight="1">
      <c r="A909" s="133" t="s">
        <v>7</v>
      </c>
      <c r="B909" s="133" t="s">
        <v>200</v>
      </c>
      <c r="C909" s="133" t="s">
        <v>175</v>
      </c>
      <c r="D909" s="133" t="s">
        <v>538</v>
      </c>
      <c r="E909" s="158">
        <v>8</v>
      </c>
      <c r="F909" s="158">
        <v>23</v>
      </c>
      <c r="G909" s="158">
        <v>3</v>
      </c>
      <c r="H909" s="133" t="s">
        <v>803</v>
      </c>
      <c r="I909" s="133" t="s">
        <v>1284</v>
      </c>
      <c r="J909" s="158">
        <v>0</v>
      </c>
      <c r="K909" s="159" t="str">
        <f ca="1">IFERROR(__xludf.DUMMYFUNCTION("GOOGLETRANSLATE(H909,""th"",""en"")"),"Edit date")</f>
        <v>Edit date</v>
      </c>
    </row>
    <row r="910" spans="1:11" ht="15.75" hidden="1" customHeight="1">
      <c r="A910" s="133" t="s">
        <v>7</v>
      </c>
      <c r="B910" s="133" t="s">
        <v>200</v>
      </c>
      <c r="C910" s="133" t="s">
        <v>1642</v>
      </c>
      <c r="D910" s="133" t="s">
        <v>477</v>
      </c>
      <c r="E910" s="158">
        <v>20</v>
      </c>
      <c r="F910" s="158">
        <v>0</v>
      </c>
      <c r="G910" s="158">
        <v>0</v>
      </c>
      <c r="H910" s="133" t="s">
        <v>1643</v>
      </c>
      <c r="I910" s="133" t="s">
        <v>1644</v>
      </c>
      <c r="J910" s="158">
        <v>0</v>
      </c>
      <c r="K910" s="159" t="str">
        <f ca="1">IFERROR(__xludf.DUMMYFUNCTION("GOOGLETRANSLATE(H910,""th"",""en"")"),"Response status")</f>
        <v>Response status</v>
      </c>
    </row>
    <row r="911" spans="1:11" ht="15.75" hidden="1" customHeight="1">
      <c r="A911" s="133" t="s">
        <v>7</v>
      </c>
      <c r="B911" s="133" t="s">
        <v>200</v>
      </c>
      <c r="C911" s="133" t="s">
        <v>1645</v>
      </c>
      <c r="D911" s="133" t="s">
        <v>477</v>
      </c>
      <c r="E911" s="158">
        <v>50</v>
      </c>
      <c r="F911" s="158">
        <v>0</v>
      </c>
      <c r="G911" s="158">
        <v>0</v>
      </c>
      <c r="H911" s="133" t="s">
        <v>1646</v>
      </c>
      <c r="I911" s="133" t="s">
        <v>548</v>
      </c>
      <c r="J911" s="158">
        <v>0</v>
      </c>
      <c r="K911" s="159" t="str">
        <f ca="1">IFERROR(__xludf.DUMMYFUNCTION("GOOGLETRANSLATE(H911,""th"",""en"")"),"Refer. From the response to the customer's consent")</f>
        <v>Refer. From the response to the customer's consent</v>
      </c>
    </row>
    <row r="912" spans="1:11" ht="15.75" hidden="1" customHeight="1">
      <c r="A912" s="133" t="s">
        <v>7</v>
      </c>
      <c r="B912" s="133" t="s">
        <v>200</v>
      </c>
      <c r="C912" s="133" t="s">
        <v>1647</v>
      </c>
      <c r="D912" s="133" t="s">
        <v>477</v>
      </c>
      <c r="E912" s="158">
        <v>20</v>
      </c>
      <c r="F912" s="158">
        <v>0</v>
      </c>
      <c r="G912" s="158">
        <v>0</v>
      </c>
      <c r="H912" s="133" t="s">
        <v>479</v>
      </c>
      <c r="I912" s="133" t="s">
        <v>1644</v>
      </c>
      <c r="J912" s="158">
        <v>0</v>
      </c>
      <c r="K912" s="159" t="str">
        <f ca="1">IFERROR(__xludf.DUMMYFUNCTION("GOOGLETRANSLATE(H912,""th"",""en"")"),"Null")</f>
        <v>Null</v>
      </c>
    </row>
    <row r="913" spans="1:11" ht="15.75" hidden="1" customHeight="1">
      <c r="A913" s="133" t="s">
        <v>7</v>
      </c>
      <c r="B913" s="133" t="s">
        <v>203</v>
      </c>
      <c r="C913" s="133" t="s">
        <v>208</v>
      </c>
      <c r="D913" s="133" t="s">
        <v>1631</v>
      </c>
      <c r="E913" s="158">
        <v>8</v>
      </c>
      <c r="F913" s="158">
        <v>19</v>
      </c>
      <c r="G913" s="158">
        <v>0</v>
      </c>
      <c r="H913" s="133" t="s">
        <v>1633</v>
      </c>
      <c r="I913" s="133" t="s">
        <v>615</v>
      </c>
      <c r="J913" s="158">
        <v>0</v>
      </c>
      <c r="K913" s="159" t="str">
        <f ca="1">IFERROR(__xludf.DUMMYFUNCTION("GOOGLETRANSLATE(H913,""th"",""en"")"),"Customer ID (Account_ID)")</f>
        <v>Customer ID (Account_ID)</v>
      </c>
    </row>
    <row r="914" spans="1:11" ht="15.75" hidden="1" customHeight="1">
      <c r="A914" s="133" t="s">
        <v>7</v>
      </c>
      <c r="B914" s="133" t="s">
        <v>203</v>
      </c>
      <c r="C914" s="133" t="s">
        <v>174</v>
      </c>
      <c r="D914" s="133" t="s">
        <v>477</v>
      </c>
      <c r="E914" s="158">
        <v>8</v>
      </c>
      <c r="F914" s="158">
        <v>0</v>
      </c>
      <c r="G914" s="158">
        <v>0</v>
      </c>
      <c r="H914" s="133" t="s">
        <v>1648</v>
      </c>
      <c r="I914" s="133" t="s">
        <v>548</v>
      </c>
      <c r="J914" s="158">
        <v>0</v>
      </c>
      <c r="K914" s="159" t="str">
        <f ca="1">IFERROR(__xludf.DUMMYFUNCTION("GOOGLETRANSLATE(H914,""th"",""en"")"),"Trial")</f>
        <v>Trial</v>
      </c>
    </row>
    <row r="915" spans="1:11" ht="15.75" hidden="1" customHeight="1">
      <c r="A915" s="133" t="s">
        <v>7</v>
      </c>
      <c r="B915" s="133" t="s">
        <v>203</v>
      </c>
      <c r="C915" s="133" t="s">
        <v>1417</v>
      </c>
      <c r="D915" s="133" t="s">
        <v>477</v>
      </c>
      <c r="E915" s="158">
        <v>3</v>
      </c>
      <c r="F915" s="158">
        <v>0</v>
      </c>
      <c r="G915" s="158">
        <v>0</v>
      </c>
      <c r="H915" s="133" t="s">
        <v>1649</v>
      </c>
      <c r="I915" s="133" t="s">
        <v>596</v>
      </c>
      <c r="J915" s="158">
        <v>0</v>
      </c>
      <c r="K915" s="159" t="str">
        <f ca="1">IFERROR(__xludf.DUMMYFUNCTION("GOOGLETRANSLATE(H915,""th"",""en"")"),"Set as the main contact")</f>
        <v>Set as the main contact</v>
      </c>
    </row>
    <row r="916" spans="1:11" ht="15.75" hidden="1" customHeight="1">
      <c r="A916" s="133" t="s">
        <v>7</v>
      </c>
      <c r="B916" s="133" t="s">
        <v>203</v>
      </c>
      <c r="C916" s="133" t="s">
        <v>1650</v>
      </c>
      <c r="D916" s="133" t="s">
        <v>477</v>
      </c>
      <c r="E916" s="158">
        <v>7</v>
      </c>
      <c r="F916" s="158">
        <v>0</v>
      </c>
      <c r="G916" s="158">
        <v>0</v>
      </c>
      <c r="H916" s="133" t="s">
        <v>1651</v>
      </c>
      <c r="I916" s="133" t="s">
        <v>1652</v>
      </c>
      <c r="J916" s="158">
        <v>0</v>
      </c>
      <c r="K916" s="159" t="str">
        <f ca="1">IFERROR(__xludf.DUMMYFUNCTION("GOOGLETRANSLATE(H916,""th"",""en"")"),"Set as the main contact type (Phone, Mobile)")</f>
        <v>Set as the main contact type (Phone, Mobile)</v>
      </c>
    </row>
    <row r="917" spans="1:11" ht="15.75" hidden="1" customHeight="1">
      <c r="A917" s="133" t="s">
        <v>7</v>
      </c>
      <c r="B917" s="133" t="s">
        <v>203</v>
      </c>
      <c r="C917" s="133" t="s">
        <v>1653</v>
      </c>
      <c r="D917" s="133" t="s">
        <v>477</v>
      </c>
      <c r="E917" s="158">
        <v>100</v>
      </c>
      <c r="F917" s="158">
        <v>0</v>
      </c>
      <c r="G917" s="158">
        <v>0</v>
      </c>
      <c r="H917" s="133" t="s">
        <v>1654</v>
      </c>
      <c r="I917" s="133" t="s">
        <v>548</v>
      </c>
      <c r="J917" s="158">
        <v>0</v>
      </c>
      <c r="K917" s="159" t="str">
        <f ca="1">IFERROR(__xludf.DUMMYFUNCTION("GOOGLETRANSLATE(H917,""th"",""en"")"),"Email contact")</f>
        <v>Email contact</v>
      </c>
    </row>
    <row r="918" spans="1:11" ht="15.75" hidden="1" customHeight="1">
      <c r="A918" s="133" t="s">
        <v>7</v>
      </c>
      <c r="B918" s="133" t="s">
        <v>203</v>
      </c>
      <c r="C918" s="133" t="s">
        <v>1655</v>
      </c>
      <c r="D918" s="133" t="s">
        <v>538</v>
      </c>
      <c r="E918" s="158">
        <v>8</v>
      </c>
      <c r="F918" s="158">
        <v>23</v>
      </c>
      <c r="G918" s="158">
        <v>3</v>
      </c>
      <c r="H918" s="160"/>
      <c r="I918" s="133" t="s">
        <v>1284</v>
      </c>
      <c r="J918" s="158">
        <v>0</v>
      </c>
      <c r="K918" s="159" t="str">
        <f ca="1">IFERROR(__xludf.DUMMYFUNCTION("GOOGLETRANSLATE(H918,""th"",""en"")"),"#VALUE!")</f>
        <v>#VALUE!</v>
      </c>
    </row>
    <row r="919" spans="1:11" ht="15.75" hidden="1" customHeight="1">
      <c r="A919" s="133" t="s">
        <v>7</v>
      </c>
      <c r="B919" s="133" t="s">
        <v>203</v>
      </c>
      <c r="C919" s="133" t="s">
        <v>1333</v>
      </c>
      <c r="D919" s="133" t="s">
        <v>477</v>
      </c>
      <c r="E919" s="158">
        <v>100</v>
      </c>
      <c r="F919" s="158">
        <v>0</v>
      </c>
      <c r="G919" s="158">
        <v>0</v>
      </c>
      <c r="H919" s="133" t="s">
        <v>734</v>
      </c>
      <c r="I919" s="133" t="s">
        <v>548</v>
      </c>
      <c r="J919" s="158">
        <v>0</v>
      </c>
      <c r="K919" s="159" t="str">
        <f ca="1">IFERROR(__xludf.DUMMYFUNCTION("GOOGLETRANSLATE(H919,""th"",""en"")"),"Creator name")</f>
        <v>Creator name</v>
      </c>
    </row>
    <row r="920" spans="1:11" ht="15.75" hidden="1" customHeight="1">
      <c r="A920" s="133" t="s">
        <v>7</v>
      </c>
      <c r="B920" s="133" t="s">
        <v>203</v>
      </c>
      <c r="C920" s="133" t="s">
        <v>1334</v>
      </c>
      <c r="D920" s="133" t="s">
        <v>477</v>
      </c>
      <c r="E920" s="158">
        <v>8</v>
      </c>
      <c r="F920" s="158">
        <v>0</v>
      </c>
      <c r="G920" s="158">
        <v>0</v>
      </c>
      <c r="H920" s="133" t="s">
        <v>1282</v>
      </c>
      <c r="I920" s="133" t="s">
        <v>548</v>
      </c>
      <c r="J920" s="158">
        <v>0</v>
      </c>
      <c r="K920" s="159" t="str">
        <f ca="1">IFERROR(__xludf.DUMMYFUNCTION("GOOGLETRANSLATE(H920,""th"",""en"")"),"Creator code")</f>
        <v>Creator code</v>
      </c>
    </row>
    <row r="921" spans="1:11" ht="15.75" hidden="1" customHeight="1">
      <c r="A921" s="133" t="s">
        <v>7</v>
      </c>
      <c r="B921" s="133" t="s">
        <v>203</v>
      </c>
      <c r="C921" s="133" t="s">
        <v>184</v>
      </c>
      <c r="D921" s="133" t="s">
        <v>538</v>
      </c>
      <c r="E921" s="158">
        <v>8</v>
      </c>
      <c r="F921" s="158">
        <v>23</v>
      </c>
      <c r="G921" s="158">
        <v>3</v>
      </c>
      <c r="H921" s="133" t="s">
        <v>735</v>
      </c>
      <c r="I921" s="133" t="s">
        <v>1284</v>
      </c>
      <c r="J921" s="158">
        <v>0</v>
      </c>
      <c r="K921" s="159" t="str">
        <f ca="1">IFERROR(__xludf.DUMMYFUNCTION("GOOGLETRANSLATE(H921,""th"",""en"")"),"Date created")</f>
        <v>Date created</v>
      </c>
    </row>
    <row r="922" spans="1:11" ht="15.75" hidden="1" customHeight="1">
      <c r="A922" s="133" t="s">
        <v>7</v>
      </c>
      <c r="B922" s="133" t="s">
        <v>203</v>
      </c>
      <c r="C922" s="133" t="s">
        <v>1335</v>
      </c>
      <c r="D922" s="133" t="s">
        <v>477</v>
      </c>
      <c r="E922" s="158">
        <v>100</v>
      </c>
      <c r="F922" s="158">
        <v>0</v>
      </c>
      <c r="G922" s="158">
        <v>0</v>
      </c>
      <c r="H922" s="133" t="s">
        <v>802</v>
      </c>
      <c r="I922" s="133" t="s">
        <v>548</v>
      </c>
      <c r="J922" s="158">
        <v>0</v>
      </c>
      <c r="K922" s="159" t="str">
        <f ca="1">IFERROR(__xludf.DUMMYFUNCTION("GOOGLETRANSLATE(H922,""th"",""en"")"),"Editor")</f>
        <v>Editor</v>
      </c>
    </row>
    <row r="923" spans="1:11" ht="15.75" hidden="1" customHeight="1">
      <c r="A923" s="133" t="s">
        <v>7</v>
      </c>
      <c r="B923" s="133" t="s">
        <v>203</v>
      </c>
      <c r="C923" s="133" t="s">
        <v>1336</v>
      </c>
      <c r="D923" s="133" t="s">
        <v>477</v>
      </c>
      <c r="E923" s="158">
        <v>8</v>
      </c>
      <c r="F923" s="158">
        <v>0</v>
      </c>
      <c r="G923" s="158">
        <v>0</v>
      </c>
      <c r="H923" s="133" t="s">
        <v>1285</v>
      </c>
      <c r="I923" s="133" t="s">
        <v>548</v>
      </c>
      <c r="J923" s="158">
        <v>0</v>
      </c>
      <c r="K923" s="159" t="str">
        <f ca="1">IFERROR(__xludf.DUMMYFUNCTION("GOOGLETRANSLATE(H923,""th"",""en"")"),"Editor code")</f>
        <v>Editor code</v>
      </c>
    </row>
    <row r="924" spans="1:11" ht="15.75" hidden="1" customHeight="1">
      <c r="A924" s="133" t="s">
        <v>7</v>
      </c>
      <c r="B924" s="133" t="s">
        <v>203</v>
      </c>
      <c r="C924" s="133" t="s">
        <v>175</v>
      </c>
      <c r="D924" s="133" t="s">
        <v>538</v>
      </c>
      <c r="E924" s="158">
        <v>8</v>
      </c>
      <c r="F924" s="158">
        <v>23</v>
      </c>
      <c r="G924" s="158">
        <v>3</v>
      </c>
      <c r="H924" s="133" t="s">
        <v>803</v>
      </c>
      <c r="I924" s="133" t="s">
        <v>1284</v>
      </c>
      <c r="J924" s="158">
        <v>0</v>
      </c>
      <c r="K924" s="159" t="str">
        <f ca="1">IFERROR(__xludf.DUMMYFUNCTION("GOOGLETRANSLATE(H924,""th"",""en"")"),"Edit date")</f>
        <v>Edit date</v>
      </c>
    </row>
    <row r="925" spans="1:11" ht="15.75" hidden="1" customHeight="1">
      <c r="A925" s="133" t="s">
        <v>7</v>
      </c>
      <c r="B925" s="133" t="s">
        <v>206</v>
      </c>
      <c r="C925" s="133" t="s">
        <v>208</v>
      </c>
      <c r="D925" s="133" t="s">
        <v>1631</v>
      </c>
      <c r="E925" s="158">
        <v>8</v>
      </c>
      <c r="F925" s="158">
        <v>19</v>
      </c>
      <c r="G925" s="158">
        <v>0</v>
      </c>
      <c r="H925" s="133" t="s">
        <v>1656</v>
      </c>
      <c r="I925" s="133" t="s">
        <v>479</v>
      </c>
      <c r="J925" s="158">
        <v>0</v>
      </c>
      <c r="K925" s="159" t="str">
        <f ca="1">IFERROR(__xludf.DUMMYFUNCTION("GOOGLETRANSLATE(H925,""th"",""en"")"),"Contact person")</f>
        <v>Contact person</v>
      </c>
    </row>
    <row r="926" spans="1:11" ht="15.75" hidden="1" customHeight="1">
      <c r="A926" s="133" t="s">
        <v>7</v>
      </c>
      <c r="B926" s="133" t="s">
        <v>206</v>
      </c>
      <c r="C926" s="133" t="s">
        <v>1657</v>
      </c>
      <c r="D926" s="133" t="s">
        <v>477</v>
      </c>
      <c r="E926" s="158">
        <v>50</v>
      </c>
      <c r="F926" s="158">
        <v>0</v>
      </c>
      <c r="G926" s="158">
        <v>0</v>
      </c>
      <c r="H926" s="133" t="s">
        <v>479</v>
      </c>
      <c r="I926" s="133" t="s">
        <v>548</v>
      </c>
      <c r="J926" s="158">
        <v>0</v>
      </c>
      <c r="K926" s="159" t="str">
        <f ca="1">IFERROR(__xludf.DUMMYFUNCTION("GOOGLETRANSLATE(H926,""th"",""en"")"),"Null")</f>
        <v>Null</v>
      </c>
    </row>
    <row r="927" spans="1:11" ht="15.75" hidden="1" customHeight="1">
      <c r="A927" s="133" t="s">
        <v>7</v>
      </c>
      <c r="B927" s="133" t="s">
        <v>206</v>
      </c>
      <c r="C927" s="133" t="s">
        <v>1658</v>
      </c>
      <c r="D927" s="133" t="s">
        <v>477</v>
      </c>
      <c r="E927" s="158">
        <v>100</v>
      </c>
      <c r="F927" s="158">
        <v>0</v>
      </c>
      <c r="G927" s="158">
        <v>0</v>
      </c>
      <c r="H927" s="133" t="s">
        <v>479</v>
      </c>
      <c r="I927" s="133" t="s">
        <v>548</v>
      </c>
      <c r="J927" s="158">
        <v>0</v>
      </c>
      <c r="K927" s="159" t="str">
        <f ca="1">IFERROR(__xludf.DUMMYFUNCTION("GOOGLETRANSLATE(H927,""th"",""en"")"),"Null")</f>
        <v>Null</v>
      </c>
    </row>
    <row r="928" spans="1:11" ht="15.75" hidden="1" customHeight="1">
      <c r="A928" s="133" t="s">
        <v>7</v>
      </c>
      <c r="B928" s="133" t="s">
        <v>206</v>
      </c>
      <c r="C928" s="133" t="s">
        <v>1659</v>
      </c>
      <c r="D928" s="133" t="s">
        <v>477</v>
      </c>
      <c r="E928" s="158">
        <v>100</v>
      </c>
      <c r="F928" s="158">
        <v>0</v>
      </c>
      <c r="G928" s="158">
        <v>0</v>
      </c>
      <c r="H928" s="133" t="s">
        <v>479</v>
      </c>
      <c r="I928" s="133" t="s">
        <v>548</v>
      </c>
      <c r="J928" s="158">
        <v>0</v>
      </c>
      <c r="K928" s="159" t="str">
        <f ca="1">IFERROR(__xludf.DUMMYFUNCTION("GOOGLETRANSLATE(H928,""th"",""en"")"),"Null")</f>
        <v>Null</v>
      </c>
    </row>
    <row r="929" spans="1:11" ht="15.75" hidden="1" customHeight="1">
      <c r="A929" s="133" t="s">
        <v>7</v>
      </c>
      <c r="B929" s="133" t="s">
        <v>206</v>
      </c>
      <c r="C929" s="133" t="s">
        <v>1660</v>
      </c>
      <c r="D929" s="133" t="s">
        <v>477</v>
      </c>
      <c r="E929" s="158">
        <v>100</v>
      </c>
      <c r="F929" s="158">
        <v>0</v>
      </c>
      <c r="G929" s="158">
        <v>0</v>
      </c>
      <c r="H929" s="133" t="s">
        <v>1661</v>
      </c>
      <c r="I929" s="133" t="s">
        <v>548</v>
      </c>
      <c r="J929" s="158">
        <v>0</v>
      </c>
      <c r="K929" s="159" t="str">
        <f ca="1">IFERROR(__xludf.DUMMYFUNCTION("GOOGLETRANSLATE(H929,""th"",""en"")"),"Contact person name")</f>
        <v>Contact person name</v>
      </c>
    </row>
    <row r="930" spans="1:11" ht="15.75" hidden="1" customHeight="1">
      <c r="A930" s="133" t="s">
        <v>7</v>
      </c>
      <c r="B930" s="133" t="s">
        <v>206</v>
      </c>
      <c r="C930" s="133" t="s">
        <v>1662</v>
      </c>
      <c r="D930" s="133" t="s">
        <v>477</v>
      </c>
      <c r="E930" s="158">
        <v>50</v>
      </c>
      <c r="F930" s="158">
        <v>0</v>
      </c>
      <c r="G930" s="158">
        <v>0</v>
      </c>
      <c r="H930" s="133" t="s">
        <v>1663</v>
      </c>
      <c r="I930" s="133" t="s">
        <v>548</v>
      </c>
      <c r="J930" s="158">
        <v>0</v>
      </c>
      <c r="K930" s="159" t="str">
        <f ca="1">IFERROR(__xludf.DUMMYFUNCTION("GOOGLETRANSLATE(H930,""th"",""en"")"),"Status of this contact (Active, Delete)")</f>
        <v>Status of this contact (Active, Delete)</v>
      </c>
    </row>
    <row r="931" spans="1:11" ht="15.75" hidden="1" customHeight="1">
      <c r="A931" s="133" t="s">
        <v>7</v>
      </c>
      <c r="B931" s="133" t="s">
        <v>206</v>
      </c>
      <c r="C931" s="133" t="s">
        <v>1664</v>
      </c>
      <c r="D931" s="133" t="s">
        <v>477</v>
      </c>
      <c r="E931" s="158">
        <v>50</v>
      </c>
      <c r="F931" s="158">
        <v>0</v>
      </c>
      <c r="G931" s="158">
        <v>0</v>
      </c>
      <c r="H931" s="133" t="s">
        <v>1665</v>
      </c>
      <c r="I931" s="133" t="s">
        <v>548</v>
      </c>
      <c r="J931" s="158">
        <v>0</v>
      </c>
      <c r="K931" s="159" t="str">
        <f ca="1">IFERROR(__xludf.DUMMYFUNCTION("GOOGLETRANSLATE(H931,""th"",""en"")"),"Contact person")</f>
        <v>Contact person</v>
      </c>
    </row>
    <row r="932" spans="1:11" ht="15.75" hidden="1" customHeight="1">
      <c r="A932" s="133" t="s">
        <v>7</v>
      </c>
      <c r="B932" s="133" t="s">
        <v>206</v>
      </c>
      <c r="C932" s="133" t="s">
        <v>1666</v>
      </c>
      <c r="D932" s="133" t="s">
        <v>477</v>
      </c>
      <c r="E932" s="158">
        <v>20</v>
      </c>
      <c r="F932" s="158">
        <v>0</v>
      </c>
      <c r="G932" s="158">
        <v>0</v>
      </c>
      <c r="H932" s="133" t="s">
        <v>1667</v>
      </c>
      <c r="I932" s="133" t="s">
        <v>548</v>
      </c>
      <c r="J932" s="158">
        <v>0</v>
      </c>
      <c r="K932" s="159" t="str">
        <f ca="1">IFERROR(__xludf.DUMMYFUNCTION("GOOGLETRANSLATE(H932,""th"",""en"")"),"Sex of the contact")</f>
        <v>Sex of the contact</v>
      </c>
    </row>
    <row r="933" spans="1:11" ht="15.75" hidden="1" customHeight="1">
      <c r="A933" s="133" t="s">
        <v>7</v>
      </c>
      <c r="B933" s="133" t="s">
        <v>206</v>
      </c>
      <c r="C933" s="133" t="s">
        <v>1668</v>
      </c>
      <c r="D933" s="133" t="s">
        <v>496</v>
      </c>
      <c r="E933" s="158">
        <v>4</v>
      </c>
      <c r="F933" s="158">
        <v>16</v>
      </c>
      <c r="G933" s="158">
        <v>0</v>
      </c>
      <c r="H933" s="133" t="s">
        <v>1669</v>
      </c>
      <c r="I933" s="133" t="s">
        <v>548</v>
      </c>
      <c r="J933" s="158">
        <v>0</v>
      </c>
      <c r="K933" s="159" t="str">
        <f ca="1">IFERROR(__xludf.DUMMYFUNCTION("GOOGLETRANSLATE(H933,""th"",""en"")"),"Contact date")</f>
        <v>Contact date</v>
      </c>
    </row>
    <row r="934" spans="1:11" ht="15.75" hidden="1" customHeight="1">
      <c r="A934" s="133" t="s">
        <v>7</v>
      </c>
      <c r="B934" s="133" t="s">
        <v>206</v>
      </c>
      <c r="C934" s="133" t="s">
        <v>1670</v>
      </c>
      <c r="D934" s="133" t="s">
        <v>477</v>
      </c>
      <c r="E934" s="158">
        <v>20</v>
      </c>
      <c r="F934" s="158">
        <v>0</v>
      </c>
      <c r="G934" s="158">
        <v>0</v>
      </c>
      <c r="H934" s="133" t="s">
        <v>1671</v>
      </c>
      <c r="I934" s="133" t="s">
        <v>548</v>
      </c>
      <c r="J934" s="277">
        <v>1</v>
      </c>
      <c r="K934" s="159" t="str">
        <f ca="1">IFERROR(__xludf.DUMMYFUNCTION("GOOGLETRANSLATE(H934,""th"",""en"")"),"13-digit identification number")</f>
        <v>13-digit identification number</v>
      </c>
    </row>
    <row r="935" spans="1:11" ht="15.75" hidden="1" customHeight="1">
      <c r="A935" s="133" t="s">
        <v>7</v>
      </c>
      <c r="B935" s="133" t="s">
        <v>206</v>
      </c>
      <c r="C935" s="133" t="s">
        <v>1672</v>
      </c>
      <c r="D935" s="133" t="s">
        <v>477</v>
      </c>
      <c r="E935" s="158">
        <v>155</v>
      </c>
      <c r="F935" s="158">
        <v>0</v>
      </c>
      <c r="G935" s="158">
        <v>0</v>
      </c>
      <c r="H935" s="133" t="s">
        <v>1673</v>
      </c>
      <c r="I935" s="133" t="s">
        <v>548</v>
      </c>
      <c r="J935" s="158">
        <v>0</v>
      </c>
      <c r="K935" s="159" t="str">
        <f ca="1">IFERROR(__xludf.DUMMYFUNCTION("GOOGLETRANSLATE(H935,""th"",""en"")"),"Contact duties")</f>
        <v>Contact duties</v>
      </c>
    </row>
    <row r="936" spans="1:11" ht="15.75" hidden="1" customHeight="1">
      <c r="A936" s="133" t="s">
        <v>7</v>
      </c>
      <c r="B936" s="133" t="s">
        <v>206</v>
      </c>
      <c r="C936" s="133" t="s">
        <v>1674</v>
      </c>
      <c r="D936" s="133" t="s">
        <v>477</v>
      </c>
      <c r="E936" s="158">
        <v>20</v>
      </c>
      <c r="F936" s="158">
        <v>0</v>
      </c>
      <c r="G936" s="158">
        <v>0</v>
      </c>
      <c r="H936" s="133" t="s">
        <v>1675</v>
      </c>
      <c r="I936" s="133" t="s">
        <v>548</v>
      </c>
      <c r="J936" s="158">
        <v>0</v>
      </c>
      <c r="K936" s="159" t="str">
        <f ca="1">IFERROR(__xludf.DUMMYFUNCTION("GOOGLETRANSLATE(H936,""th"",""en"")"),"House number")</f>
        <v>House number</v>
      </c>
    </row>
    <row r="937" spans="1:11" ht="15.75" hidden="1" customHeight="1">
      <c r="A937" s="133" t="s">
        <v>7</v>
      </c>
      <c r="B937" s="133" t="s">
        <v>206</v>
      </c>
      <c r="C937" s="133" t="s">
        <v>1676</v>
      </c>
      <c r="D937" s="133" t="s">
        <v>477</v>
      </c>
      <c r="E937" s="158">
        <v>10</v>
      </c>
      <c r="F937" s="158">
        <v>0</v>
      </c>
      <c r="G937" s="158">
        <v>0</v>
      </c>
      <c r="H937" s="133" t="s">
        <v>1677</v>
      </c>
      <c r="I937" s="133" t="s">
        <v>548</v>
      </c>
      <c r="J937" s="277">
        <v>1</v>
      </c>
      <c r="K937" s="159" t="str">
        <f ca="1">IFERROR(__xludf.DUMMYFUNCTION("GOOGLETRANSLATE(H937,""th"",""en"")"),"group")</f>
        <v>group</v>
      </c>
    </row>
    <row r="938" spans="1:11" ht="15.75" hidden="1" customHeight="1">
      <c r="A938" s="133" t="s">
        <v>7</v>
      </c>
      <c r="B938" s="133" t="s">
        <v>206</v>
      </c>
      <c r="C938" s="133" t="s">
        <v>1678</v>
      </c>
      <c r="D938" s="133" t="s">
        <v>484</v>
      </c>
      <c r="E938" s="158">
        <v>4</v>
      </c>
      <c r="F938" s="158">
        <v>10</v>
      </c>
      <c r="G938" s="158">
        <v>0</v>
      </c>
      <c r="H938" s="133" t="s">
        <v>1679</v>
      </c>
      <c r="I938" s="133" t="s">
        <v>615</v>
      </c>
      <c r="J938" s="158">
        <v>0</v>
      </c>
      <c r="K938" s="159" t="str">
        <f ca="1">IFERROR(__xludf.DUMMYFUNCTION("GOOGLETRANSLATE(H938,""th"",""en"")"),"Building number")</f>
        <v>Building number</v>
      </c>
    </row>
    <row r="939" spans="1:11" ht="15.75" hidden="1" customHeight="1">
      <c r="A939" s="133" t="s">
        <v>7</v>
      </c>
      <c r="B939" s="133" t="s">
        <v>206</v>
      </c>
      <c r="C939" s="133" t="s">
        <v>1680</v>
      </c>
      <c r="D939" s="133" t="s">
        <v>477</v>
      </c>
      <c r="E939" s="158">
        <v>75</v>
      </c>
      <c r="F939" s="158">
        <v>0</v>
      </c>
      <c r="G939" s="158">
        <v>0</v>
      </c>
      <c r="H939" s="133" t="s">
        <v>1681</v>
      </c>
      <c r="I939" s="133" t="s">
        <v>548</v>
      </c>
      <c r="J939" s="158">
        <v>0</v>
      </c>
      <c r="K939" s="159" t="str">
        <f ca="1">IFERROR(__xludf.DUMMYFUNCTION("GOOGLETRANSLATE(H939,""th"",""en"")"),"Building building names")</f>
        <v>Building building names</v>
      </c>
    </row>
    <row r="940" spans="1:11" ht="15.75" hidden="1" customHeight="1">
      <c r="A940" s="133" t="s">
        <v>7</v>
      </c>
      <c r="B940" s="133" t="s">
        <v>206</v>
      </c>
      <c r="C940" s="133" t="s">
        <v>1682</v>
      </c>
      <c r="D940" s="133" t="s">
        <v>477</v>
      </c>
      <c r="E940" s="158">
        <v>10</v>
      </c>
      <c r="F940" s="158">
        <v>0</v>
      </c>
      <c r="G940" s="158">
        <v>0</v>
      </c>
      <c r="H940" s="133" t="s">
        <v>1683</v>
      </c>
      <c r="I940" s="133" t="s">
        <v>548</v>
      </c>
      <c r="J940" s="158">
        <v>0</v>
      </c>
      <c r="K940" s="159" t="str">
        <f ca="1">IFERROR(__xludf.DUMMYFUNCTION("GOOGLETRANSLATE(H940,""th"",""en"")"),"floor")</f>
        <v>floor</v>
      </c>
    </row>
    <row r="941" spans="1:11" ht="15.75" hidden="1" customHeight="1">
      <c r="A941" s="133" t="s">
        <v>7</v>
      </c>
      <c r="B941" s="133" t="s">
        <v>206</v>
      </c>
      <c r="C941" s="133" t="s">
        <v>1684</v>
      </c>
      <c r="D941" s="133" t="s">
        <v>477</v>
      </c>
      <c r="E941" s="158">
        <v>10</v>
      </c>
      <c r="F941" s="158">
        <v>0</v>
      </c>
      <c r="G941" s="158">
        <v>0</v>
      </c>
      <c r="H941" s="133" t="s">
        <v>1685</v>
      </c>
      <c r="I941" s="133" t="s">
        <v>548</v>
      </c>
      <c r="J941" s="158">
        <v>0</v>
      </c>
      <c r="K941" s="159" t="str">
        <f ca="1">IFERROR(__xludf.DUMMYFUNCTION("GOOGLETRANSLATE(H941,""th"",""en"")"),"room")</f>
        <v>room</v>
      </c>
    </row>
    <row r="942" spans="1:11" ht="15.75" hidden="1" customHeight="1">
      <c r="A942" s="133" t="s">
        <v>7</v>
      </c>
      <c r="B942" s="133" t="s">
        <v>206</v>
      </c>
      <c r="C942" s="133" t="s">
        <v>1686</v>
      </c>
      <c r="D942" s="133" t="s">
        <v>477</v>
      </c>
      <c r="E942" s="158">
        <v>35</v>
      </c>
      <c r="F942" s="158">
        <v>0</v>
      </c>
      <c r="G942" s="158">
        <v>0</v>
      </c>
      <c r="H942" s="133" t="s">
        <v>1687</v>
      </c>
      <c r="I942" s="133" t="s">
        <v>548</v>
      </c>
      <c r="J942" s="158">
        <v>0</v>
      </c>
      <c r="K942" s="159" t="str">
        <f ca="1">IFERROR(__xludf.DUMMYFUNCTION("GOOGLETRANSLATE(H942,""th"",""en"")"),"alley")</f>
        <v>alley</v>
      </c>
    </row>
    <row r="943" spans="1:11" ht="15.75" hidden="1" customHeight="1">
      <c r="A943" s="133" t="s">
        <v>7</v>
      </c>
      <c r="B943" s="133" t="s">
        <v>206</v>
      </c>
      <c r="C943" s="133" t="s">
        <v>1688</v>
      </c>
      <c r="D943" s="133" t="s">
        <v>477</v>
      </c>
      <c r="E943" s="158">
        <v>35</v>
      </c>
      <c r="F943" s="158">
        <v>0</v>
      </c>
      <c r="G943" s="158">
        <v>0</v>
      </c>
      <c r="H943" s="133" t="s">
        <v>1689</v>
      </c>
      <c r="I943" s="133" t="s">
        <v>548</v>
      </c>
      <c r="J943" s="158">
        <v>0</v>
      </c>
      <c r="K943" s="159" t="str">
        <f ca="1">IFERROR(__xludf.DUMMYFUNCTION("GOOGLETRANSLATE(H943,""th"",""en"")"),"road")</f>
        <v>road</v>
      </c>
    </row>
    <row r="944" spans="1:11" ht="15.75" hidden="1" customHeight="1">
      <c r="A944" s="133" t="s">
        <v>7</v>
      </c>
      <c r="B944" s="133" t="s">
        <v>206</v>
      </c>
      <c r="C944" s="133" t="s">
        <v>1690</v>
      </c>
      <c r="D944" s="133" t="s">
        <v>484</v>
      </c>
      <c r="E944" s="158">
        <v>4</v>
      </c>
      <c r="F944" s="158">
        <v>10</v>
      </c>
      <c r="G944" s="158">
        <v>0</v>
      </c>
      <c r="H944" s="133" t="s">
        <v>1691</v>
      </c>
      <c r="I944" s="133" t="s">
        <v>615</v>
      </c>
      <c r="J944" s="158">
        <v>0</v>
      </c>
      <c r="K944" s="159" t="str">
        <f ca="1">IFERROR(__xludf.DUMMYFUNCTION("GOOGLETRANSLATE(H944,""th"",""en"")"),"POI ID")</f>
        <v>POI ID</v>
      </c>
    </row>
    <row r="945" spans="1:12" ht="15.75" hidden="1" customHeight="1">
      <c r="A945" s="133" t="s">
        <v>7</v>
      </c>
      <c r="B945" s="133" t="s">
        <v>206</v>
      </c>
      <c r="C945" s="133" t="s">
        <v>1692</v>
      </c>
      <c r="D945" s="133" t="s">
        <v>477</v>
      </c>
      <c r="E945" s="158">
        <v>100</v>
      </c>
      <c r="F945" s="158">
        <v>0</v>
      </c>
      <c r="G945" s="158">
        <v>0</v>
      </c>
      <c r="H945" s="133" t="s">
        <v>1693</v>
      </c>
      <c r="I945" s="133" t="s">
        <v>548</v>
      </c>
      <c r="J945" s="158">
        <v>0</v>
      </c>
      <c r="K945" s="159" t="str">
        <f ca="1">IFERROR(__xludf.DUMMYFUNCTION("GOOGLETRANSLATE(H945,""th"",""en"")"),"POI")</f>
        <v>POI</v>
      </c>
    </row>
    <row r="946" spans="1:12" ht="15.75" hidden="1" customHeight="1">
      <c r="A946" s="133" t="s">
        <v>7</v>
      </c>
      <c r="B946" s="133" t="s">
        <v>206</v>
      </c>
      <c r="C946" s="133" t="s">
        <v>1694</v>
      </c>
      <c r="D946" s="133" t="s">
        <v>477</v>
      </c>
      <c r="E946" s="158">
        <v>55</v>
      </c>
      <c r="F946" s="158">
        <v>0</v>
      </c>
      <c r="G946" s="158">
        <v>0</v>
      </c>
      <c r="H946" s="133" t="s">
        <v>1695</v>
      </c>
      <c r="I946" s="133" t="s">
        <v>548</v>
      </c>
      <c r="J946" s="158">
        <v>0</v>
      </c>
      <c r="K946" s="159" t="str">
        <f ca="1">IFERROR(__xludf.DUMMYFUNCTION("GOOGLETRANSLATE(H946,""th"",""en"")"),"Contact address line 1")</f>
        <v>Contact address line 1</v>
      </c>
    </row>
    <row r="947" spans="1:12" ht="15.75" hidden="1" customHeight="1">
      <c r="A947" s="133" t="s">
        <v>7</v>
      </c>
      <c r="B947" s="133" t="s">
        <v>206</v>
      </c>
      <c r="C947" s="133" t="s">
        <v>1696</v>
      </c>
      <c r="D947" s="133" t="s">
        <v>477</v>
      </c>
      <c r="E947" s="158">
        <v>110</v>
      </c>
      <c r="F947" s="158">
        <v>0</v>
      </c>
      <c r="G947" s="158">
        <v>0</v>
      </c>
      <c r="H947" s="133" t="s">
        <v>1697</v>
      </c>
      <c r="I947" s="133" t="s">
        <v>548</v>
      </c>
      <c r="J947" s="158">
        <v>0</v>
      </c>
      <c r="K947" s="159" t="str">
        <f ca="1">IFERROR(__xludf.DUMMYFUNCTION("GOOGLETRANSLATE(H947,""th"",""en"")"),"Contact address line 2")</f>
        <v>Contact address line 2</v>
      </c>
    </row>
    <row r="948" spans="1:12" ht="15.75" hidden="1" customHeight="1">
      <c r="A948" s="133" t="s">
        <v>7</v>
      </c>
      <c r="B948" s="133" t="s">
        <v>206</v>
      </c>
      <c r="C948" s="133" t="s">
        <v>1698</v>
      </c>
      <c r="D948" s="133" t="s">
        <v>477</v>
      </c>
      <c r="E948" s="158">
        <v>50</v>
      </c>
      <c r="F948" s="158">
        <v>0</v>
      </c>
      <c r="G948" s="158">
        <v>0</v>
      </c>
      <c r="H948" s="133" t="s">
        <v>1699</v>
      </c>
      <c r="I948" s="133" t="s">
        <v>548</v>
      </c>
      <c r="J948" s="158">
        <v>0</v>
      </c>
      <c r="K948" s="159" t="str">
        <f ca="1">IFERROR(__xludf.DUMMYFUNCTION("GOOGLETRANSLATE(H948,""th"",""en"")"),"Address - District / District")</f>
        <v>Address - District / District</v>
      </c>
    </row>
    <row r="949" spans="1:12" ht="15.75" hidden="1" customHeight="1">
      <c r="A949" s="133" t="s">
        <v>7</v>
      </c>
      <c r="B949" s="133" t="s">
        <v>206</v>
      </c>
      <c r="C949" s="133" t="s">
        <v>1700</v>
      </c>
      <c r="D949" s="133" t="s">
        <v>477</v>
      </c>
      <c r="E949" s="158">
        <v>50</v>
      </c>
      <c r="F949" s="158">
        <v>0</v>
      </c>
      <c r="G949" s="158">
        <v>0</v>
      </c>
      <c r="H949" s="133" t="s">
        <v>1701</v>
      </c>
      <c r="I949" s="133" t="s">
        <v>548</v>
      </c>
      <c r="J949" s="158">
        <v>0</v>
      </c>
      <c r="K949" s="159" t="str">
        <f ca="1">IFERROR(__xludf.DUMMYFUNCTION("GOOGLETRANSLATE(H949,""th"",""en"")"),"Address - District / District")</f>
        <v>Address - District / District</v>
      </c>
    </row>
    <row r="950" spans="1:12" ht="15.75" hidden="1" customHeight="1">
      <c r="A950" s="133" t="s">
        <v>7</v>
      </c>
      <c r="B950" s="133" t="s">
        <v>206</v>
      </c>
      <c r="C950" s="133" t="s">
        <v>1702</v>
      </c>
      <c r="D950" s="133" t="s">
        <v>477</v>
      </c>
      <c r="E950" s="158">
        <v>50</v>
      </c>
      <c r="F950" s="158">
        <v>0</v>
      </c>
      <c r="G950" s="158">
        <v>0</v>
      </c>
      <c r="H950" s="133" t="s">
        <v>479</v>
      </c>
      <c r="I950" s="133" t="s">
        <v>548</v>
      </c>
      <c r="J950" s="158">
        <v>0</v>
      </c>
      <c r="K950" s="159" t="str">
        <f ca="1">IFERROR(__xludf.DUMMYFUNCTION("GOOGLETRANSLATE(H950,""th"",""en"")"),"Null")</f>
        <v>Null</v>
      </c>
    </row>
    <row r="951" spans="1:12" ht="15.75" hidden="1" customHeight="1">
      <c r="A951" s="133" t="s">
        <v>7</v>
      </c>
      <c r="B951" s="133" t="s">
        <v>206</v>
      </c>
      <c r="C951" s="133" t="s">
        <v>1703</v>
      </c>
      <c r="D951" s="133" t="s">
        <v>477</v>
      </c>
      <c r="E951" s="158">
        <v>5</v>
      </c>
      <c r="F951" s="158">
        <v>0</v>
      </c>
      <c r="G951" s="158">
        <v>0</v>
      </c>
      <c r="H951" s="133" t="s">
        <v>821</v>
      </c>
      <c r="I951" s="133" t="s">
        <v>548</v>
      </c>
      <c r="J951" s="277">
        <v>1</v>
      </c>
      <c r="K951" s="159" t="str">
        <f ca="1">IFERROR(__xludf.DUMMYFUNCTION("GOOGLETRANSLATE(H951,""th"",""en"")"),"Province")</f>
        <v>Province</v>
      </c>
    </row>
    <row r="952" spans="1:12" ht="15.75" hidden="1" customHeight="1">
      <c r="A952" s="133" t="s">
        <v>7</v>
      </c>
      <c r="B952" s="133" t="s">
        <v>206</v>
      </c>
      <c r="C952" s="133" t="s">
        <v>1704</v>
      </c>
      <c r="D952" s="133" t="s">
        <v>477</v>
      </c>
      <c r="E952" s="158">
        <v>7</v>
      </c>
      <c r="F952" s="158">
        <v>0</v>
      </c>
      <c r="G952" s="158">
        <v>0</v>
      </c>
      <c r="H952" s="133" t="s">
        <v>1705</v>
      </c>
      <c r="I952" s="133" t="s">
        <v>548</v>
      </c>
      <c r="J952" s="277">
        <v>1</v>
      </c>
      <c r="K952" s="159" t="str">
        <f ca="1">IFERROR(__xludf.DUMMYFUNCTION("GOOGLETRANSLATE(H952,""th"",""en"")"),"The area code is subzone 6 digits.")</f>
        <v>The area code is subzone 6 digits.</v>
      </c>
    </row>
    <row r="953" spans="1:12" ht="15.75" hidden="1" customHeight="1">
      <c r="A953" s="133" t="s">
        <v>7</v>
      </c>
      <c r="B953" s="133" t="s">
        <v>206</v>
      </c>
      <c r="C953" s="133" t="s">
        <v>1706</v>
      </c>
      <c r="D953" s="133" t="s">
        <v>477</v>
      </c>
      <c r="E953" s="158">
        <v>50</v>
      </c>
      <c r="F953" s="158">
        <v>0</v>
      </c>
      <c r="G953" s="158">
        <v>0</v>
      </c>
      <c r="H953" s="133" t="s">
        <v>1707</v>
      </c>
      <c r="I953" s="133" t="s">
        <v>548</v>
      </c>
      <c r="J953" s="158">
        <v>0</v>
      </c>
      <c r="K953" s="159" t="str">
        <f ca="1">IFERROR(__xludf.DUMMYFUNCTION("GOOGLETRANSLATE(H953,""th"",""en"")"),"Mainzone code")</f>
        <v>Mainzone code</v>
      </c>
    </row>
    <row r="954" spans="1:12" ht="15.75" hidden="1" customHeight="1">
      <c r="A954" s="133" t="s">
        <v>7</v>
      </c>
      <c r="B954" s="133" t="s">
        <v>206</v>
      </c>
      <c r="C954" s="133" t="s">
        <v>1708</v>
      </c>
      <c r="D954" s="133" t="s">
        <v>477</v>
      </c>
      <c r="E954" s="158">
        <v>3</v>
      </c>
      <c r="F954" s="158">
        <v>0</v>
      </c>
      <c r="G954" s="158">
        <v>0</v>
      </c>
      <c r="H954" s="133" t="s">
        <v>1709</v>
      </c>
      <c r="I954" s="133" t="s">
        <v>596</v>
      </c>
      <c r="J954" s="277">
        <v>1</v>
      </c>
      <c r="K954" s="159" t="str">
        <f ca="1">IFERROR(__xludf.DUMMYFUNCTION("GOOGLETRANSLATE(H954,""th"",""en"")"),"Send News-Letter (YES, NO)")</f>
        <v>Send News-Letter (YES, NO)</v>
      </c>
    </row>
    <row r="955" spans="1:12" ht="15.75" hidden="1" customHeight="1">
      <c r="A955" s="133" t="s">
        <v>7</v>
      </c>
      <c r="B955" s="133" t="s">
        <v>206</v>
      </c>
      <c r="C955" s="278" t="s">
        <v>1710</v>
      </c>
      <c r="D955" s="133" t="s">
        <v>477</v>
      </c>
      <c r="E955" s="158">
        <v>3</v>
      </c>
      <c r="F955" s="158">
        <v>0</v>
      </c>
      <c r="G955" s="158">
        <v>0</v>
      </c>
      <c r="H955" s="133" t="s">
        <v>1711</v>
      </c>
      <c r="I955" s="133" t="s">
        <v>596</v>
      </c>
      <c r="J955" s="158">
        <v>0</v>
      </c>
      <c r="K955" s="159" t="str">
        <f ca="1">IFERROR(__xludf.DUMMYFUNCTION("GOOGLETRANSLATE(H955,""th"",""en"")"),"Send Magazine (yes, no)")</f>
        <v>Send Magazine (yes, no)</v>
      </c>
    </row>
    <row r="956" spans="1:12" ht="15.75" hidden="1" customHeight="1">
      <c r="A956" s="133" t="s">
        <v>7</v>
      </c>
      <c r="B956" s="133" t="s">
        <v>206</v>
      </c>
      <c r="C956" s="133" t="s">
        <v>1712</v>
      </c>
      <c r="D956" s="133" t="s">
        <v>484</v>
      </c>
      <c r="E956" s="158">
        <v>4</v>
      </c>
      <c r="F956" s="158">
        <v>10</v>
      </c>
      <c r="G956" s="158">
        <v>0</v>
      </c>
      <c r="H956" s="133" t="s">
        <v>1713</v>
      </c>
      <c r="I956" s="133" t="s">
        <v>615</v>
      </c>
      <c r="J956" s="158">
        <v>0</v>
      </c>
      <c r="K956" s="159" t="str">
        <f ca="1">IFERROR(__xludf.DUMMYFUNCTION("GOOGLETRANSLATE(H956,""th"",""en"")"),"Address in the delivery of Magzine according to the shipping address (ship_id like xxxxx)")</f>
        <v>Address in the delivery of Magzine according to the shipping address (ship_id like xxxxx)</v>
      </c>
    </row>
    <row r="957" spans="1:12" ht="15.75" hidden="1" customHeight="1">
      <c r="A957" s="133" t="s">
        <v>7</v>
      </c>
      <c r="B957" s="133" t="s">
        <v>206</v>
      </c>
      <c r="C957" s="133" t="s">
        <v>1714</v>
      </c>
      <c r="D957" s="133" t="s">
        <v>477</v>
      </c>
      <c r="E957" s="158">
        <v>200</v>
      </c>
      <c r="F957" s="158">
        <v>0</v>
      </c>
      <c r="G957" s="158">
        <v>0</v>
      </c>
      <c r="H957" s="133" t="s">
        <v>1715</v>
      </c>
      <c r="I957" s="133" t="s">
        <v>548</v>
      </c>
      <c r="J957" s="158">
        <v>0</v>
      </c>
      <c r="K957" s="159" t="str">
        <f ca="1">IFERROR(__xludf.DUMMYFUNCTION("GOOGLETRANSLATE(H957,""th"",""en"")"),"Note that the catalog is hit back")</f>
        <v>Note that the catalog is hit back</v>
      </c>
    </row>
    <row r="958" spans="1:12" ht="15.75" hidden="1" customHeight="1">
      <c r="A958" s="133" t="s">
        <v>7</v>
      </c>
      <c r="B958" s="133" t="s">
        <v>206</v>
      </c>
      <c r="C958" s="133" t="s">
        <v>1716</v>
      </c>
      <c r="D958" s="133" t="s">
        <v>477</v>
      </c>
      <c r="E958" s="158">
        <v>255</v>
      </c>
      <c r="F958" s="158">
        <v>0</v>
      </c>
      <c r="G958" s="158">
        <v>0</v>
      </c>
      <c r="H958" s="133" t="s">
        <v>1717</v>
      </c>
      <c r="I958" s="133" t="s">
        <v>548</v>
      </c>
      <c r="J958" s="158">
        <v>0</v>
      </c>
      <c r="K958" s="159" t="str">
        <f ca="1">IFERROR(__xludf.DUMMYFUNCTION("GOOGLETRANSLATE(H958,""th"",""en"")"),"Note of this contact")</f>
        <v>Note of this contact</v>
      </c>
    </row>
    <row r="959" spans="1:12" ht="15.75" hidden="1" customHeight="1">
      <c r="A959" s="133" t="s">
        <v>7</v>
      </c>
      <c r="B959" s="133" t="s">
        <v>206</v>
      </c>
      <c r="C959" s="133" t="s">
        <v>1412</v>
      </c>
      <c r="D959" s="228" t="s">
        <v>1413</v>
      </c>
      <c r="E959" s="158">
        <v>8</v>
      </c>
      <c r="F959" s="158">
        <v>0</v>
      </c>
      <c r="G959" s="158">
        <v>0</v>
      </c>
      <c r="H959" s="133" t="s">
        <v>479</v>
      </c>
      <c r="I959" s="133" t="s">
        <v>479</v>
      </c>
      <c r="J959" s="277">
        <v>1</v>
      </c>
      <c r="K959" s="159" t="str">
        <f ca="1">IFERROR(__xludf.DUMMYFUNCTION("GOOGLETRANSLATE(H959,""th"",""en"")"),"Null")</f>
        <v>Null</v>
      </c>
      <c r="L959" s="228"/>
    </row>
    <row r="960" spans="1:12" ht="15.75" hidden="1" customHeight="1">
      <c r="A960" s="133" t="s">
        <v>7</v>
      </c>
      <c r="B960" s="133" t="s">
        <v>206</v>
      </c>
      <c r="C960" s="133" t="s">
        <v>1332</v>
      </c>
      <c r="D960" s="133" t="s">
        <v>477</v>
      </c>
      <c r="E960" s="158">
        <v>3</v>
      </c>
      <c r="F960" s="158">
        <v>0</v>
      </c>
      <c r="G960" s="158">
        <v>0</v>
      </c>
      <c r="H960" s="160"/>
      <c r="I960" s="133" t="s">
        <v>596</v>
      </c>
      <c r="J960" s="158">
        <v>0</v>
      </c>
      <c r="K960" s="159" t="str">
        <f ca="1">IFERROR(__xludf.DUMMYFUNCTION("GOOGLETRANSLATE(H960,""th"",""en"")"),"#VALUE!")</f>
        <v>#VALUE!</v>
      </c>
    </row>
    <row r="961" spans="1:11" ht="15.75" hidden="1" customHeight="1">
      <c r="A961" s="133" t="s">
        <v>7</v>
      </c>
      <c r="B961" s="133" t="s">
        <v>206</v>
      </c>
      <c r="C961" s="133" t="s">
        <v>1333</v>
      </c>
      <c r="D961" s="133" t="s">
        <v>477</v>
      </c>
      <c r="E961" s="158">
        <v>100</v>
      </c>
      <c r="F961" s="158">
        <v>0</v>
      </c>
      <c r="G961" s="158">
        <v>0</v>
      </c>
      <c r="H961" s="133" t="s">
        <v>734</v>
      </c>
      <c r="I961" s="133" t="s">
        <v>548</v>
      </c>
      <c r="J961" s="158">
        <v>0</v>
      </c>
      <c r="K961" s="159" t="str">
        <f ca="1">IFERROR(__xludf.DUMMYFUNCTION("GOOGLETRANSLATE(H961,""th"",""en"")"),"Creator name")</f>
        <v>Creator name</v>
      </c>
    </row>
    <row r="962" spans="1:11" ht="15.75" hidden="1" customHeight="1">
      <c r="A962" s="133" t="s">
        <v>7</v>
      </c>
      <c r="B962" s="133" t="s">
        <v>206</v>
      </c>
      <c r="C962" s="133" t="s">
        <v>1334</v>
      </c>
      <c r="D962" s="133" t="s">
        <v>477</v>
      </c>
      <c r="E962" s="158">
        <v>50</v>
      </c>
      <c r="F962" s="158">
        <v>0</v>
      </c>
      <c r="G962" s="158">
        <v>0</v>
      </c>
      <c r="H962" s="133" t="s">
        <v>1282</v>
      </c>
      <c r="I962" s="133" t="s">
        <v>548</v>
      </c>
      <c r="J962" s="158">
        <v>0</v>
      </c>
      <c r="K962" s="159" t="str">
        <f ca="1">IFERROR(__xludf.DUMMYFUNCTION("GOOGLETRANSLATE(H962,""th"",""en"")"),"Creator code")</f>
        <v>Creator code</v>
      </c>
    </row>
    <row r="963" spans="1:11" ht="15.75" hidden="1" customHeight="1">
      <c r="A963" s="133" t="s">
        <v>7</v>
      </c>
      <c r="B963" s="133" t="s">
        <v>206</v>
      </c>
      <c r="C963" s="133" t="s">
        <v>184</v>
      </c>
      <c r="D963" s="133" t="s">
        <v>538</v>
      </c>
      <c r="E963" s="158">
        <v>8</v>
      </c>
      <c r="F963" s="158">
        <v>23</v>
      </c>
      <c r="G963" s="158">
        <v>3</v>
      </c>
      <c r="H963" s="133" t="s">
        <v>735</v>
      </c>
      <c r="I963" s="133" t="s">
        <v>1284</v>
      </c>
      <c r="J963" s="158">
        <v>0</v>
      </c>
      <c r="K963" s="159" t="str">
        <f ca="1">IFERROR(__xludf.DUMMYFUNCTION("GOOGLETRANSLATE(H963,""th"",""en"")"),"Date created")</f>
        <v>Date created</v>
      </c>
    </row>
    <row r="964" spans="1:11" ht="15.75" hidden="1" customHeight="1">
      <c r="A964" s="133" t="s">
        <v>7</v>
      </c>
      <c r="B964" s="133" t="s">
        <v>206</v>
      </c>
      <c r="C964" s="133" t="s">
        <v>1335</v>
      </c>
      <c r="D964" s="133" t="s">
        <v>477</v>
      </c>
      <c r="E964" s="158">
        <v>100</v>
      </c>
      <c r="F964" s="158">
        <v>0</v>
      </c>
      <c r="G964" s="158">
        <v>0</v>
      </c>
      <c r="H964" s="133" t="s">
        <v>802</v>
      </c>
      <c r="I964" s="133" t="s">
        <v>548</v>
      </c>
      <c r="J964" s="158">
        <v>0</v>
      </c>
      <c r="K964" s="159" t="str">
        <f ca="1">IFERROR(__xludf.DUMMYFUNCTION("GOOGLETRANSLATE(H964,""th"",""en"")"),"Editor")</f>
        <v>Editor</v>
      </c>
    </row>
    <row r="965" spans="1:11" ht="15.75" hidden="1" customHeight="1">
      <c r="A965" s="133" t="s">
        <v>7</v>
      </c>
      <c r="B965" s="133" t="s">
        <v>206</v>
      </c>
      <c r="C965" s="133" t="s">
        <v>1336</v>
      </c>
      <c r="D965" s="133" t="s">
        <v>477</v>
      </c>
      <c r="E965" s="158">
        <v>50</v>
      </c>
      <c r="F965" s="158">
        <v>0</v>
      </c>
      <c r="G965" s="158">
        <v>0</v>
      </c>
      <c r="H965" s="133" t="s">
        <v>1285</v>
      </c>
      <c r="I965" s="133" t="s">
        <v>548</v>
      </c>
      <c r="J965" s="158">
        <v>0</v>
      </c>
      <c r="K965" s="159" t="str">
        <f ca="1">IFERROR(__xludf.DUMMYFUNCTION("GOOGLETRANSLATE(H965,""th"",""en"")"),"Editor code")</f>
        <v>Editor code</v>
      </c>
    </row>
    <row r="966" spans="1:11" ht="15.75" hidden="1" customHeight="1">
      <c r="A966" s="133" t="s">
        <v>7</v>
      </c>
      <c r="B966" s="133" t="s">
        <v>206</v>
      </c>
      <c r="C966" s="133" t="s">
        <v>175</v>
      </c>
      <c r="D966" s="133" t="s">
        <v>538</v>
      </c>
      <c r="E966" s="158">
        <v>8</v>
      </c>
      <c r="F966" s="158">
        <v>23</v>
      </c>
      <c r="G966" s="158">
        <v>3</v>
      </c>
      <c r="H966" s="133" t="s">
        <v>803</v>
      </c>
      <c r="I966" s="133" t="s">
        <v>1284</v>
      </c>
      <c r="J966" s="158">
        <v>0</v>
      </c>
      <c r="K966" s="159" t="str">
        <f ca="1">IFERROR(__xludf.DUMMYFUNCTION("GOOGLETRANSLATE(H966,""th"",""en"")"),"Edit date")</f>
        <v>Edit date</v>
      </c>
    </row>
    <row r="967" spans="1:11" ht="15.75" hidden="1" customHeight="1">
      <c r="A967" s="133" t="s">
        <v>7</v>
      </c>
      <c r="B967" s="133" t="s">
        <v>311</v>
      </c>
      <c r="C967" s="133" t="s">
        <v>313</v>
      </c>
      <c r="D967" s="133" t="s">
        <v>484</v>
      </c>
      <c r="E967" s="158">
        <v>4</v>
      </c>
      <c r="F967" s="158">
        <v>10</v>
      </c>
      <c r="G967" s="158">
        <v>0</v>
      </c>
      <c r="H967" s="133" t="s">
        <v>1718</v>
      </c>
      <c r="I967" s="133" t="s">
        <v>479</v>
      </c>
      <c r="J967" s="158">
        <v>0</v>
      </c>
      <c r="K967" s="159" t="str">
        <f ca="1">IFERROR(__xludf.DUMMYFUNCTION("GOOGLETRANSLATE(H967,""th"",""en"")"),"Credit card code")</f>
        <v>Credit card code</v>
      </c>
    </row>
    <row r="968" spans="1:11" ht="15.75" hidden="1" customHeight="1">
      <c r="A968" s="133" t="s">
        <v>7</v>
      </c>
      <c r="B968" s="133" t="s">
        <v>311</v>
      </c>
      <c r="C968" s="133" t="s">
        <v>1719</v>
      </c>
      <c r="D968" s="133" t="s">
        <v>477</v>
      </c>
      <c r="E968" s="158">
        <v>100</v>
      </c>
      <c r="F968" s="158">
        <v>0</v>
      </c>
      <c r="G968" s="158">
        <v>0</v>
      </c>
      <c r="H968" s="133" t="s">
        <v>1720</v>
      </c>
      <c r="I968" s="133" t="s">
        <v>548</v>
      </c>
      <c r="J968" s="158">
        <v>0</v>
      </c>
      <c r="K968" s="159" t="str">
        <f ca="1">IFERROR(__xludf.DUMMYFUNCTION("GOOGLETRANSLATE(H968,""th"",""en"")"),"Bank credit card name (TH)")</f>
        <v>Bank credit card name (TH)</v>
      </c>
    </row>
    <row r="969" spans="1:11" ht="15.75" hidden="1" customHeight="1">
      <c r="A969" s="133" t="s">
        <v>7</v>
      </c>
      <c r="B969" s="133" t="s">
        <v>311</v>
      </c>
      <c r="C969" s="133" t="s">
        <v>1721</v>
      </c>
      <c r="D969" s="133" t="s">
        <v>477</v>
      </c>
      <c r="E969" s="158">
        <v>50</v>
      </c>
      <c r="F969" s="158">
        <v>0</v>
      </c>
      <c r="G969" s="158">
        <v>0</v>
      </c>
      <c r="H969" s="133" t="s">
        <v>1722</v>
      </c>
      <c r="I969" s="133" t="s">
        <v>548</v>
      </c>
      <c r="J969" s="158">
        <v>0</v>
      </c>
      <c r="K969" s="159" t="str">
        <f ca="1">IFERROR(__xludf.DUMMYFUNCTION("GOOGLETRANSLATE(H969,""th"",""en"")"),"Bank's credit card name (EN)")</f>
        <v>Bank's credit card name (EN)</v>
      </c>
    </row>
    <row r="970" spans="1:11" ht="15.75" hidden="1" customHeight="1">
      <c r="A970" s="133" t="s">
        <v>7</v>
      </c>
      <c r="B970" s="133" t="s">
        <v>311</v>
      </c>
      <c r="C970" s="133" t="s">
        <v>630</v>
      </c>
      <c r="D970" s="133" t="s">
        <v>477</v>
      </c>
      <c r="E970" s="158">
        <v>10</v>
      </c>
      <c r="F970" s="158">
        <v>0</v>
      </c>
      <c r="G970" s="158">
        <v>0</v>
      </c>
      <c r="H970" s="133" t="s">
        <v>1723</v>
      </c>
      <c r="I970" s="133" t="s">
        <v>548</v>
      </c>
      <c r="J970" s="158">
        <v>0</v>
      </c>
      <c r="K970" s="159" t="str">
        <f ca="1">IFERROR(__xludf.DUMMYFUNCTION("GOOGLETRANSLATE(H970,""th"",""en"")"),"BANK abbreviations such as SCB, TMS")</f>
        <v>BANK abbreviations such as SCB, TMS</v>
      </c>
    </row>
    <row r="971" spans="1:11" ht="15.75" hidden="1" customHeight="1">
      <c r="A971" s="133" t="s">
        <v>7</v>
      </c>
      <c r="B971" s="133" t="s">
        <v>311</v>
      </c>
      <c r="C971" s="133" t="s">
        <v>1041</v>
      </c>
      <c r="D971" s="133" t="s">
        <v>477</v>
      </c>
      <c r="E971" s="158">
        <v>50</v>
      </c>
      <c r="F971" s="158">
        <v>0</v>
      </c>
      <c r="G971" s="158">
        <v>0</v>
      </c>
      <c r="H971" s="133" t="s">
        <v>1724</v>
      </c>
      <c r="I971" s="133" t="s">
        <v>548</v>
      </c>
      <c r="J971" s="158">
        <v>0</v>
      </c>
      <c r="K971" s="159" t="str">
        <f ca="1">IFERROR(__xludf.DUMMYFUNCTION("GOOGLETRANSLATE(H971,""th"",""en"")"),"Bank name")</f>
        <v>Bank name</v>
      </c>
    </row>
    <row r="972" spans="1:11" ht="15.75" hidden="1" customHeight="1">
      <c r="A972" s="133" t="s">
        <v>7</v>
      </c>
      <c r="B972" s="133" t="s">
        <v>311</v>
      </c>
      <c r="C972" s="133" t="s">
        <v>1725</v>
      </c>
      <c r="D972" s="133" t="s">
        <v>477</v>
      </c>
      <c r="E972" s="158">
        <v>4</v>
      </c>
      <c r="F972" s="158">
        <v>0</v>
      </c>
      <c r="G972" s="158">
        <v>0</v>
      </c>
      <c r="H972" s="133" t="s">
        <v>1726</v>
      </c>
      <c r="I972" s="133" t="s">
        <v>548</v>
      </c>
      <c r="J972" s="158">
        <v>0</v>
      </c>
      <c r="K972" s="159" t="str">
        <f ca="1">IFERROR(__xludf.DUMMYFUNCTION("GOOGLETRANSLATE(H972,""th"",""en"")"),"Bank number")</f>
        <v>Bank number</v>
      </c>
    </row>
    <row r="973" spans="1:11" ht="15.75" hidden="1" customHeight="1">
      <c r="A973" s="133" t="s">
        <v>7</v>
      </c>
      <c r="B973" s="133" t="s">
        <v>311</v>
      </c>
      <c r="C973" s="133" t="s">
        <v>1727</v>
      </c>
      <c r="D973" s="133" t="s">
        <v>477</v>
      </c>
      <c r="E973" s="158">
        <v>50</v>
      </c>
      <c r="F973" s="158">
        <v>0</v>
      </c>
      <c r="G973" s="158">
        <v>0</v>
      </c>
      <c r="H973" s="133" t="s">
        <v>1728</v>
      </c>
      <c r="I973" s="133" t="s">
        <v>548</v>
      </c>
      <c r="J973" s="158">
        <v>0</v>
      </c>
      <c r="K973" s="159" t="str">
        <f ca="1">IFERROR(__xludf.DUMMYFUNCTION("GOOGLETRANSLATE(H973,""th"",""en"")"),"Payment method (normal swipe, installment swipe)")</f>
        <v>Payment method (normal swipe, installment swipe)</v>
      </c>
    </row>
    <row r="974" spans="1:11" ht="15.75" hidden="1" customHeight="1">
      <c r="A974" s="133" t="s">
        <v>7</v>
      </c>
      <c r="B974" s="133" t="s">
        <v>311</v>
      </c>
      <c r="C974" s="133" t="s">
        <v>1729</v>
      </c>
      <c r="D974" s="133" t="s">
        <v>477</v>
      </c>
      <c r="E974" s="158">
        <v>100</v>
      </c>
      <c r="F974" s="158">
        <v>0</v>
      </c>
      <c r="G974" s="158">
        <v>0</v>
      </c>
      <c r="H974" s="133" t="s">
        <v>1730</v>
      </c>
      <c r="I974" s="133" t="s">
        <v>548</v>
      </c>
      <c r="J974" s="158">
        <v>0</v>
      </c>
      <c r="K974" s="159" t="str">
        <f ca="1">IFERROR(__xludf.DUMMYFUNCTION("GOOGLETRANSLATE(H974,""th"",""en"")"),"details")</f>
        <v>details</v>
      </c>
    </row>
    <row r="975" spans="1:11" ht="15.75" hidden="1" customHeight="1">
      <c r="A975" s="133" t="s">
        <v>7</v>
      </c>
      <c r="B975" s="133" t="s">
        <v>311</v>
      </c>
      <c r="C975" s="133" t="s">
        <v>1731</v>
      </c>
      <c r="D975" s="133" t="s">
        <v>477</v>
      </c>
      <c r="E975" s="158">
        <v>10</v>
      </c>
      <c r="F975" s="158">
        <v>0</v>
      </c>
      <c r="G975" s="158">
        <v>0</v>
      </c>
      <c r="H975" s="133" t="s">
        <v>1732</v>
      </c>
      <c r="I975" s="133" t="s">
        <v>813</v>
      </c>
      <c r="J975" s="158">
        <v>0</v>
      </c>
      <c r="K975" s="159" t="str">
        <f ca="1">IFERROR(__xludf.DUMMYFUNCTION("GOOGLETRANSLATE(H975,""th"",""en"")"),"Usage locations (Active, Delete)")</f>
        <v>Usage locations (Active, Delete)</v>
      </c>
    </row>
    <row r="976" spans="1:11" ht="15.75" hidden="1" customHeight="1">
      <c r="A976" s="133" t="s">
        <v>7</v>
      </c>
      <c r="B976" s="133" t="s">
        <v>311</v>
      </c>
      <c r="C976" s="133" t="s">
        <v>669</v>
      </c>
      <c r="D976" s="133" t="s">
        <v>496</v>
      </c>
      <c r="E976" s="158">
        <v>4</v>
      </c>
      <c r="F976" s="158">
        <v>16</v>
      </c>
      <c r="G976" s="158">
        <v>0</v>
      </c>
      <c r="H976" s="133" t="s">
        <v>735</v>
      </c>
      <c r="I976" s="133" t="s">
        <v>548</v>
      </c>
      <c r="J976" s="158">
        <v>0</v>
      </c>
      <c r="K976" s="159" t="str">
        <f ca="1">IFERROR(__xludf.DUMMYFUNCTION("GOOGLETRANSLATE(H976,""th"",""en"")"),"Date created")</f>
        <v>Date created</v>
      </c>
    </row>
    <row r="977" spans="1:11" ht="15.75" hidden="1" customHeight="1">
      <c r="A977" s="133" t="s">
        <v>7</v>
      </c>
      <c r="B977" s="133" t="s">
        <v>311</v>
      </c>
      <c r="C977" s="133" t="s">
        <v>523</v>
      </c>
      <c r="D977" s="133" t="s">
        <v>477</v>
      </c>
      <c r="E977" s="158">
        <v>7</v>
      </c>
      <c r="F977" s="158">
        <v>0</v>
      </c>
      <c r="G977" s="158">
        <v>0</v>
      </c>
      <c r="H977" s="133" t="s">
        <v>1733</v>
      </c>
      <c r="I977" s="133" t="s">
        <v>548</v>
      </c>
      <c r="J977" s="158">
        <v>0</v>
      </c>
      <c r="K977" s="159" t="str">
        <f ca="1">IFERROR(__xludf.DUMMYFUNCTION("GOOGLETRANSLATE(H977,""th"",""en"")"),"Operator")</f>
        <v>Operator</v>
      </c>
    </row>
    <row r="978" spans="1:11" ht="15.75" hidden="1" customHeight="1">
      <c r="A978" s="133" t="s">
        <v>7</v>
      </c>
      <c r="B978" s="133" t="s">
        <v>311</v>
      </c>
      <c r="C978" s="133" t="s">
        <v>215</v>
      </c>
      <c r="D978" s="133" t="s">
        <v>496</v>
      </c>
      <c r="E978" s="158">
        <v>4</v>
      </c>
      <c r="F978" s="158">
        <v>16</v>
      </c>
      <c r="G978" s="158">
        <v>0</v>
      </c>
      <c r="H978" s="133" t="s">
        <v>803</v>
      </c>
      <c r="I978" s="133" t="s">
        <v>548</v>
      </c>
      <c r="J978" s="158">
        <v>0</v>
      </c>
      <c r="K978" s="159" t="str">
        <f ca="1">IFERROR(__xludf.DUMMYFUNCTION("GOOGLETRANSLATE(H978,""th"",""en"")"),"Edit date")</f>
        <v>Edit date</v>
      </c>
    </row>
    <row r="979" spans="1:11" ht="15.75" hidden="1" customHeight="1">
      <c r="A979" s="133" t="s">
        <v>7</v>
      </c>
      <c r="B979" s="133" t="s">
        <v>311</v>
      </c>
      <c r="C979" s="133" t="s">
        <v>670</v>
      </c>
      <c r="D979" s="133" t="s">
        <v>477</v>
      </c>
      <c r="E979" s="158">
        <v>7</v>
      </c>
      <c r="F979" s="158">
        <v>0</v>
      </c>
      <c r="G979" s="158">
        <v>0</v>
      </c>
      <c r="H979" s="133" t="s">
        <v>1734</v>
      </c>
      <c r="I979" s="133" t="s">
        <v>548</v>
      </c>
      <c r="J979" s="158">
        <v>0</v>
      </c>
      <c r="K979" s="159" t="str">
        <f ca="1">IFERROR(__xludf.DUMMYFUNCTION("GOOGLETRANSLATE(H979,""th"",""en"")"),"Operator")</f>
        <v>Operator</v>
      </c>
    </row>
    <row r="980" spans="1:11" ht="15.75" hidden="1" customHeight="1">
      <c r="A980" s="133" t="s">
        <v>7</v>
      </c>
      <c r="B980" s="133" t="s">
        <v>311</v>
      </c>
      <c r="C980" s="133" t="s">
        <v>1735</v>
      </c>
      <c r="D980" s="133" t="s">
        <v>481</v>
      </c>
      <c r="E980" s="158">
        <v>5</v>
      </c>
      <c r="F980" s="158">
        <v>9</v>
      </c>
      <c r="G980" s="158">
        <v>2</v>
      </c>
      <c r="H980" s="133" t="s">
        <v>479</v>
      </c>
      <c r="I980" s="133" t="s">
        <v>615</v>
      </c>
      <c r="J980" s="158">
        <v>0</v>
      </c>
      <c r="K980" s="159" t="str">
        <f ca="1">IFERROR(__xludf.DUMMYFUNCTION("GOOGLETRANSLATE(H980,""th"",""en"")"),"Null")</f>
        <v>Null</v>
      </c>
    </row>
    <row r="981" spans="1:11" ht="15.75" hidden="1" customHeight="1">
      <c r="A981" s="133" t="s">
        <v>7</v>
      </c>
      <c r="B981" s="133" t="s">
        <v>311</v>
      </c>
      <c r="C981" s="133" t="s">
        <v>1736</v>
      </c>
      <c r="D981" s="133" t="s">
        <v>477</v>
      </c>
      <c r="E981" s="158">
        <v>3</v>
      </c>
      <c r="F981" s="158">
        <v>0</v>
      </c>
      <c r="G981" s="158">
        <v>0</v>
      </c>
      <c r="H981" s="133" t="s">
        <v>479</v>
      </c>
      <c r="I981" s="133" t="s">
        <v>596</v>
      </c>
      <c r="J981" s="158">
        <v>0</v>
      </c>
      <c r="K981" s="159" t="str">
        <f ca="1">IFERROR(__xludf.DUMMYFUNCTION("GOOGLETRANSLATE(H981,""th"",""en"")"),"Null")</f>
        <v>Null</v>
      </c>
    </row>
    <row r="982" spans="1:11" ht="15.75" hidden="1" customHeight="1">
      <c r="A982" s="133" t="s">
        <v>7</v>
      </c>
      <c r="B982" s="133" t="s">
        <v>311</v>
      </c>
      <c r="C982" s="133" t="s">
        <v>1274</v>
      </c>
      <c r="D982" s="133" t="s">
        <v>484</v>
      </c>
      <c r="E982" s="158">
        <v>4</v>
      </c>
      <c r="F982" s="158">
        <v>10</v>
      </c>
      <c r="G982" s="158">
        <v>0</v>
      </c>
      <c r="H982" s="133" t="s">
        <v>479</v>
      </c>
      <c r="I982" s="133" t="s">
        <v>615</v>
      </c>
      <c r="J982" s="158">
        <v>0</v>
      </c>
      <c r="K982" s="159" t="str">
        <f ca="1">IFERROR(__xludf.DUMMYFUNCTION("GOOGLETRANSLATE(H982,""th"",""en"")"),"Null")</f>
        <v>Null</v>
      </c>
    </row>
    <row r="983" spans="1:11" ht="15.75" hidden="1" customHeight="1">
      <c r="A983" s="133" t="s">
        <v>7</v>
      </c>
      <c r="B983" s="133" t="s">
        <v>311</v>
      </c>
      <c r="C983" s="133" t="s">
        <v>316</v>
      </c>
      <c r="D983" s="133" t="s">
        <v>484</v>
      </c>
      <c r="E983" s="158">
        <v>4</v>
      </c>
      <c r="F983" s="158">
        <v>10</v>
      </c>
      <c r="G983" s="158">
        <v>0</v>
      </c>
      <c r="H983" s="133" t="s">
        <v>479</v>
      </c>
      <c r="I983" s="133" t="s">
        <v>615</v>
      </c>
      <c r="J983" s="158">
        <v>0</v>
      </c>
      <c r="K983" s="159" t="str">
        <f ca="1">IFERROR(__xludf.DUMMYFUNCTION("GOOGLETRANSLATE(H983,""th"",""en"")"),"Null")</f>
        <v>Null</v>
      </c>
    </row>
    <row r="984" spans="1:11" ht="15.75" hidden="1" customHeight="1">
      <c r="A984" s="133" t="s">
        <v>7</v>
      </c>
      <c r="B984" s="133" t="s">
        <v>311</v>
      </c>
      <c r="C984" s="133" t="s">
        <v>1737</v>
      </c>
      <c r="D984" s="133" t="s">
        <v>477</v>
      </c>
      <c r="E984" s="158">
        <v>3</v>
      </c>
      <c r="F984" s="158">
        <v>0</v>
      </c>
      <c r="G984" s="158">
        <v>0</v>
      </c>
      <c r="H984" s="133" t="s">
        <v>479</v>
      </c>
      <c r="I984" s="133" t="s">
        <v>596</v>
      </c>
      <c r="J984" s="158">
        <v>0</v>
      </c>
      <c r="K984" s="159" t="str">
        <f ca="1">IFERROR(__xludf.DUMMYFUNCTION("GOOGLETRANSLATE(H984,""th"",""en"")"),"Null")</f>
        <v>Null</v>
      </c>
    </row>
    <row r="985" spans="1:11" ht="15.75" hidden="1" customHeight="1">
      <c r="A985" s="133" t="s">
        <v>7</v>
      </c>
      <c r="B985" s="133" t="s">
        <v>314</v>
      </c>
      <c r="C985" s="133" t="s">
        <v>316</v>
      </c>
      <c r="D985" s="133" t="s">
        <v>484</v>
      </c>
      <c r="E985" s="158">
        <v>4</v>
      </c>
      <c r="F985" s="158">
        <v>10</v>
      </c>
      <c r="G985" s="158">
        <v>0</v>
      </c>
      <c r="H985" s="133" t="s">
        <v>1738</v>
      </c>
      <c r="I985" s="133" t="s">
        <v>479</v>
      </c>
      <c r="J985" s="158">
        <v>0</v>
      </c>
      <c r="K985" s="159" t="str">
        <f ca="1">IFERROR(__xludf.DUMMYFUNCTION("GOOGLETRANSLATE(H985,""th"",""en"")"),"Auto Nummber")</f>
        <v>Auto Nummber</v>
      </c>
    </row>
    <row r="986" spans="1:11" ht="15.75" hidden="1" customHeight="1">
      <c r="A986" s="133" t="s">
        <v>7</v>
      </c>
      <c r="B986" s="133" t="s">
        <v>314</v>
      </c>
      <c r="C986" s="133" t="s">
        <v>708</v>
      </c>
      <c r="D986" s="133" t="s">
        <v>477</v>
      </c>
      <c r="E986" s="158">
        <v>10</v>
      </c>
      <c r="F986" s="158">
        <v>0</v>
      </c>
      <c r="G986" s="158">
        <v>0</v>
      </c>
      <c r="H986" s="133" t="s">
        <v>1739</v>
      </c>
      <c r="I986" s="133" t="s">
        <v>548</v>
      </c>
      <c r="J986" s="158">
        <v>0</v>
      </c>
      <c r="K986" s="159" t="str">
        <f ca="1">IFERROR(__xludf.DUMMYFUNCTION("GOOGLETRANSLATE(H986,""th"",""en"")"),"Cash = cash, credit = credit")</f>
        <v>Cash = cash, credit = credit</v>
      </c>
    </row>
    <row r="987" spans="1:11" ht="15.75" hidden="1" customHeight="1">
      <c r="A987" s="133" t="s">
        <v>7</v>
      </c>
      <c r="B987" s="133" t="s">
        <v>314</v>
      </c>
      <c r="C987" s="133" t="s">
        <v>712</v>
      </c>
      <c r="D987" s="133" t="s">
        <v>477</v>
      </c>
      <c r="E987" s="158">
        <v>30</v>
      </c>
      <c r="F987" s="158">
        <v>0</v>
      </c>
      <c r="G987" s="158">
        <v>0</v>
      </c>
      <c r="H987" s="133" t="s">
        <v>1740</v>
      </c>
      <c r="I987" s="133" t="s">
        <v>548</v>
      </c>
      <c r="J987" s="158">
        <v>0</v>
      </c>
      <c r="K987" s="159" t="str">
        <f ca="1">IFERROR(__xludf.DUMMYFUNCTION("GOOGLETRANSLATE(H987,""th"",""en"")"),"Payment details")</f>
        <v>Payment details</v>
      </c>
    </row>
    <row r="988" spans="1:11" ht="15.75" hidden="1" customHeight="1">
      <c r="A988" s="133" t="s">
        <v>7</v>
      </c>
      <c r="B988" s="133" t="s">
        <v>314</v>
      </c>
      <c r="C988" s="133" t="s">
        <v>1741</v>
      </c>
      <c r="D988" s="133" t="s">
        <v>477</v>
      </c>
      <c r="E988" s="158">
        <v>50</v>
      </c>
      <c r="F988" s="158">
        <v>0</v>
      </c>
      <c r="G988" s="158">
        <v>0</v>
      </c>
      <c r="H988" s="133" t="s">
        <v>1438</v>
      </c>
      <c r="I988" s="133" t="s">
        <v>548</v>
      </c>
      <c r="J988" s="158">
        <v>0</v>
      </c>
      <c r="K988" s="159" t="str">
        <f ca="1">IFERROR(__xludf.DUMMYFUNCTION("GOOGLETRANSLATE(H988,""th"",""en"")"),"Payment type")</f>
        <v>Payment type</v>
      </c>
    </row>
    <row r="989" spans="1:11" ht="15.75" hidden="1" customHeight="1">
      <c r="A989" s="133" t="s">
        <v>7</v>
      </c>
      <c r="B989" s="133" t="s">
        <v>314</v>
      </c>
      <c r="C989" s="133" t="s">
        <v>1742</v>
      </c>
      <c r="D989" s="133" t="s">
        <v>481</v>
      </c>
      <c r="E989" s="158">
        <v>5</v>
      </c>
      <c r="F989" s="158">
        <v>9</v>
      </c>
      <c r="G989" s="158">
        <v>2</v>
      </c>
      <c r="H989" s="133" t="s">
        <v>1743</v>
      </c>
      <c r="I989" s="133" t="s">
        <v>615</v>
      </c>
      <c r="J989" s="158">
        <v>0</v>
      </c>
      <c r="K989" s="159" t="str">
        <f ca="1">IFERROR(__xludf.DUMMYFUNCTION("GOOGLETRANSLATE(H989,""th"",""en"")"),"Discounts of payment types")</f>
        <v>Discounts of payment types</v>
      </c>
    </row>
    <row r="990" spans="1:11" ht="15.75" hidden="1" customHeight="1">
      <c r="A990" s="133" t="s">
        <v>7</v>
      </c>
      <c r="B990" s="133" t="s">
        <v>314</v>
      </c>
      <c r="C990" s="133" t="s">
        <v>1744</v>
      </c>
      <c r="D990" s="133" t="s">
        <v>477</v>
      </c>
      <c r="E990" s="158">
        <v>7</v>
      </c>
      <c r="F990" s="158">
        <v>0</v>
      </c>
      <c r="G990" s="158">
        <v>0</v>
      </c>
      <c r="H990" s="133" t="s">
        <v>1745</v>
      </c>
      <c r="I990" s="133" t="s">
        <v>548</v>
      </c>
      <c r="J990" s="158">
        <v>0</v>
      </c>
      <c r="K990" s="159" t="str">
        <f ca="1">IFERROR(__xludf.DUMMYFUNCTION("GOOGLETRANSLATE(H990,""th"",""en"")"),"Status of payment type (Active, Delete)")</f>
        <v>Status of payment type (Active, Delete)</v>
      </c>
    </row>
    <row r="991" spans="1:11" ht="15.75" hidden="1" customHeight="1">
      <c r="A991" s="133" t="s">
        <v>7</v>
      </c>
      <c r="B991" s="133" t="s">
        <v>314</v>
      </c>
      <c r="C991" s="133" t="s">
        <v>669</v>
      </c>
      <c r="D991" s="133" t="s">
        <v>800</v>
      </c>
      <c r="E991" s="158">
        <v>8</v>
      </c>
      <c r="F991" s="158">
        <v>27</v>
      </c>
      <c r="G991" s="158">
        <v>7</v>
      </c>
      <c r="H991" s="133" t="s">
        <v>735</v>
      </c>
      <c r="I991" s="133" t="s">
        <v>801</v>
      </c>
      <c r="J991" s="158">
        <v>0</v>
      </c>
      <c r="K991" s="159" t="str">
        <f ca="1">IFERROR(__xludf.DUMMYFUNCTION("GOOGLETRANSLATE(H991,""th"",""en"")"),"Date created")</f>
        <v>Date created</v>
      </c>
    </row>
    <row r="992" spans="1:11" ht="15.75" hidden="1" customHeight="1">
      <c r="A992" s="133" t="s">
        <v>7</v>
      </c>
      <c r="B992" s="133" t="s">
        <v>314</v>
      </c>
      <c r="C992" s="133" t="s">
        <v>523</v>
      </c>
      <c r="D992" s="133" t="s">
        <v>477</v>
      </c>
      <c r="E992" s="158">
        <v>8</v>
      </c>
      <c r="F992" s="158">
        <v>0</v>
      </c>
      <c r="G992" s="158">
        <v>0</v>
      </c>
      <c r="H992" s="133" t="s">
        <v>1621</v>
      </c>
      <c r="I992" s="133" t="s">
        <v>548</v>
      </c>
      <c r="J992" s="158">
        <v>0</v>
      </c>
      <c r="K992" s="159" t="str">
        <f ca="1">IFERROR(__xludf.DUMMYFUNCTION("GOOGLETRANSLATE(H992,""th"",""en"")"),"Creator")</f>
        <v>Creator</v>
      </c>
    </row>
    <row r="993" spans="1:11" ht="15.75" hidden="1" customHeight="1">
      <c r="A993" s="133" t="s">
        <v>7</v>
      </c>
      <c r="B993" s="133" t="s">
        <v>314</v>
      </c>
      <c r="C993" s="133" t="s">
        <v>215</v>
      </c>
      <c r="D993" s="133" t="s">
        <v>800</v>
      </c>
      <c r="E993" s="158">
        <v>8</v>
      </c>
      <c r="F993" s="158">
        <v>27</v>
      </c>
      <c r="G993" s="158">
        <v>7</v>
      </c>
      <c r="H993" s="133" t="s">
        <v>803</v>
      </c>
      <c r="I993" s="133" t="s">
        <v>801</v>
      </c>
      <c r="J993" s="158">
        <v>0</v>
      </c>
      <c r="K993" s="159" t="str">
        <f ca="1">IFERROR(__xludf.DUMMYFUNCTION("GOOGLETRANSLATE(H993,""th"",""en"")"),"Edit date")</f>
        <v>Edit date</v>
      </c>
    </row>
    <row r="994" spans="1:11" ht="15.75" hidden="1" customHeight="1">
      <c r="A994" s="133" t="s">
        <v>7</v>
      </c>
      <c r="B994" s="133" t="s">
        <v>314</v>
      </c>
      <c r="C994" s="133" t="s">
        <v>670</v>
      </c>
      <c r="D994" s="133" t="s">
        <v>477</v>
      </c>
      <c r="E994" s="158">
        <v>8</v>
      </c>
      <c r="F994" s="158">
        <v>0</v>
      </c>
      <c r="G994" s="158">
        <v>0</v>
      </c>
      <c r="H994" s="133" t="s">
        <v>1621</v>
      </c>
      <c r="I994" s="133" t="s">
        <v>548</v>
      </c>
      <c r="J994" s="158">
        <v>0</v>
      </c>
      <c r="K994" s="159" t="str">
        <f ca="1">IFERROR(__xludf.DUMMYFUNCTION("GOOGLETRANSLATE(H994,""th"",""en"")"),"Creator")</f>
        <v>Creator</v>
      </c>
    </row>
    <row r="995" spans="1:11" ht="15.75" hidden="1" customHeight="1">
      <c r="A995" s="133" t="s">
        <v>7</v>
      </c>
      <c r="B995" s="133" t="s">
        <v>314</v>
      </c>
      <c r="C995" s="133" t="s">
        <v>1746</v>
      </c>
      <c r="D995" s="133" t="s">
        <v>1413</v>
      </c>
      <c r="E995" s="158">
        <v>8</v>
      </c>
      <c r="F995" s="158">
        <v>0</v>
      </c>
      <c r="G995" s="158">
        <v>0</v>
      </c>
      <c r="H995" s="133" t="s">
        <v>1747</v>
      </c>
      <c r="I995" s="133" t="s">
        <v>479</v>
      </c>
      <c r="J995" s="277">
        <v>1</v>
      </c>
      <c r="K995" s="159" t="str">
        <f ca="1">IFERROR(__xludf.DUMMYFUNCTION("GOOGLETRANSLATE(H995,""th"",""en"")"),"Stored data created - edit With automation")</f>
        <v>Stored data created - edit With automation</v>
      </c>
    </row>
    <row r="996" spans="1:11" ht="15.75" hidden="1" customHeight="1">
      <c r="A996" s="133" t="s">
        <v>7</v>
      </c>
      <c r="B996" s="133" t="s">
        <v>314</v>
      </c>
      <c r="C996" s="133" t="s">
        <v>1748</v>
      </c>
      <c r="D996" s="133" t="s">
        <v>477</v>
      </c>
      <c r="E996" s="158">
        <v>3</v>
      </c>
      <c r="F996" s="158">
        <v>0</v>
      </c>
      <c r="G996" s="158">
        <v>0</v>
      </c>
      <c r="H996" s="160"/>
      <c r="I996" s="133" t="s">
        <v>596</v>
      </c>
      <c r="J996" s="158">
        <v>0</v>
      </c>
      <c r="K996" s="159" t="str">
        <f ca="1">IFERROR(__xludf.DUMMYFUNCTION("GOOGLETRANSLATE(H996,""th"",""en"")"),"#VALUE!")</f>
        <v>#VALUE!</v>
      </c>
    </row>
    <row r="997" spans="1:11" ht="15.75" hidden="1" customHeight="1">
      <c r="A997" s="133" t="s">
        <v>7</v>
      </c>
      <c r="B997" s="133" t="s">
        <v>314</v>
      </c>
      <c r="C997" s="133" t="s">
        <v>1749</v>
      </c>
      <c r="D997" s="133" t="s">
        <v>477</v>
      </c>
      <c r="E997" s="158">
        <v>50</v>
      </c>
      <c r="F997" s="158">
        <v>0</v>
      </c>
      <c r="G997" s="158">
        <v>0</v>
      </c>
      <c r="H997" s="160"/>
      <c r="I997" s="133" t="s">
        <v>548</v>
      </c>
      <c r="J997" s="158">
        <v>0</v>
      </c>
      <c r="K997" s="159" t="str">
        <f ca="1">IFERROR(__xludf.DUMMYFUNCTION("GOOGLETRANSLATE(H997,""th"",""en"")"),"#VALUE!")</f>
        <v>#VALUE!</v>
      </c>
    </row>
    <row r="998" spans="1:11" ht="15.75" hidden="1" customHeight="1">
      <c r="A998" s="133" t="s">
        <v>7</v>
      </c>
      <c r="B998" s="133" t="s">
        <v>314</v>
      </c>
      <c r="C998" s="133" t="s">
        <v>1750</v>
      </c>
      <c r="D998" s="133" t="s">
        <v>477</v>
      </c>
      <c r="E998" s="158">
        <v>3</v>
      </c>
      <c r="F998" s="158">
        <v>0</v>
      </c>
      <c r="G998" s="158">
        <v>0</v>
      </c>
      <c r="H998" s="160"/>
      <c r="I998" s="133" t="s">
        <v>596</v>
      </c>
      <c r="J998" s="158">
        <v>0</v>
      </c>
      <c r="K998" s="159" t="str">
        <f ca="1">IFERROR(__xludf.DUMMYFUNCTION("GOOGLETRANSLATE(H998,""th"",""en"")"),"#VALUE!")</f>
        <v>#VALUE!</v>
      </c>
    </row>
    <row r="999" spans="1:11" ht="15.75" hidden="1" customHeight="1">
      <c r="A999" s="133" t="s">
        <v>7</v>
      </c>
      <c r="B999" s="133" t="s">
        <v>314</v>
      </c>
      <c r="C999" s="133" t="s">
        <v>1751</v>
      </c>
      <c r="D999" s="133" t="s">
        <v>477</v>
      </c>
      <c r="E999" s="158">
        <v>50</v>
      </c>
      <c r="F999" s="158">
        <v>0</v>
      </c>
      <c r="G999" s="158">
        <v>0</v>
      </c>
      <c r="H999" s="133" t="s">
        <v>1752</v>
      </c>
      <c r="I999" s="133" t="s">
        <v>1753</v>
      </c>
      <c r="J999" s="158">
        <v>0</v>
      </c>
      <c r="K999" s="159" t="str">
        <f ca="1">IFERROR(__xludf.DUMMYFUNCTION("GOOGLETRANSLATE(H999,""th"",""en"")"),"Group of payment [Payondelivery = Pay with cash destination, CREDITM = Pay by credit system, fullpayment = full payment before shipping, installments = installment payment, redemption = redeeming]")</f>
        <v>Group of payment [Payondelivery = Pay with cash destination, CREDITM = Pay by credit system, fullpayment = full payment before shipping, installments = installment payment, redemption = redeeming]</v>
      </c>
    </row>
    <row r="1000" spans="1:11" ht="15.75" hidden="1" customHeight="1">
      <c r="A1000" s="133" t="s">
        <v>7</v>
      </c>
      <c r="B1000" s="133" t="s">
        <v>387</v>
      </c>
      <c r="C1000" s="133" t="s">
        <v>1754</v>
      </c>
      <c r="D1000" s="133" t="s">
        <v>477</v>
      </c>
      <c r="E1000" s="158">
        <v>8</v>
      </c>
      <c r="F1000" s="158">
        <v>0</v>
      </c>
      <c r="G1000" s="158">
        <v>0</v>
      </c>
      <c r="H1000" s="133" t="s">
        <v>1292</v>
      </c>
      <c r="I1000" s="133" t="s">
        <v>479</v>
      </c>
      <c r="J1000" s="158">
        <v>0</v>
      </c>
      <c r="K1000" s="159" t="str">
        <f ca="1">IFERROR(__xludf.DUMMYFUNCTION("GOOGLETRANSLATE(H1000,""th"",""en"")"),"Customer code")</f>
        <v>Customer code</v>
      </c>
    </row>
    <row r="1001" spans="1:11" ht="15.75" hidden="1" customHeight="1">
      <c r="A1001" s="133" t="s">
        <v>7</v>
      </c>
      <c r="B1001" s="133" t="s">
        <v>387</v>
      </c>
      <c r="C1001" s="133" t="s">
        <v>253</v>
      </c>
      <c r="D1001" s="133" t="s">
        <v>477</v>
      </c>
      <c r="E1001" s="158">
        <v>7</v>
      </c>
      <c r="F1001" s="158">
        <v>0</v>
      </c>
      <c r="G1001" s="158">
        <v>0</v>
      </c>
      <c r="H1001" s="133" t="s">
        <v>1130</v>
      </c>
      <c r="I1001" s="133" t="s">
        <v>479</v>
      </c>
      <c r="J1001" s="158">
        <v>0</v>
      </c>
      <c r="K1001" s="159" t="str">
        <f ca="1">IFERROR(__xludf.DUMMYFUNCTION("GOOGLETRANSLATE(H1001,""th"",""en"")"),"Product code")</f>
        <v>Product code</v>
      </c>
    </row>
    <row r="1002" spans="1:11" ht="15.75" hidden="1" customHeight="1">
      <c r="A1002" s="133" t="s">
        <v>7</v>
      </c>
      <c r="B1002" s="133" t="s">
        <v>387</v>
      </c>
      <c r="C1002" s="133" t="s">
        <v>1755</v>
      </c>
      <c r="D1002" s="133" t="s">
        <v>477</v>
      </c>
      <c r="E1002" s="158">
        <v>7</v>
      </c>
      <c r="F1002" s="158">
        <v>0</v>
      </c>
      <c r="G1002" s="158">
        <v>0</v>
      </c>
      <c r="H1002" s="133" t="s">
        <v>1396</v>
      </c>
      <c r="I1002" s="133" t="s">
        <v>479</v>
      </c>
      <c r="J1002" s="158">
        <v>1</v>
      </c>
      <c r="K1002" s="159" t="str">
        <f ca="1">IFERROR(__xludf.DUMMYFUNCTION("GOOGLETRANSLATE(H1002,""th"",""en"")"),"Sales unit")</f>
        <v>Sales unit</v>
      </c>
    </row>
    <row r="1003" spans="1:11" ht="15.75" hidden="1" customHeight="1">
      <c r="A1003" s="133" t="s">
        <v>7</v>
      </c>
      <c r="B1003" s="133" t="s">
        <v>387</v>
      </c>
      <c r="C1003" s="133" t="s">
        <v>811</v>
      </c>
      <c r="D1003" s="133" t="s">
        <v>491</v>
      </c>
      <c r="E1003" s="158">
        <v>1</v>
      </c>
      <c r="F1003" s="158">
        <v>0</v>
      </c>
      <c r="G1003" s="158">
        <v>0</v>
      </c>
      <c r="H1003" s="133" t="s">
        <v>1756</v>
      </c>
      <c r="I1003" s="133" t="s">
        <v>479</v>
      </c>
      <c r="J1003" s="158">
        <v>1</v>
      </c>
      <c r="K1003" s="159" t="str">
        <f ca="1">IFERROR(__xludf.DUMMYFUNCTION("GOOGLETRANSLATE(H1003,""th"",""en"")"),"Status [Status = A]")</f>
        <v>Status [Status = A]</v>
      </c>
    </row>
    <row r="1004" spans="1:11" ht="15.75" hidden="1" customHeight="1">
      <c r="A1004" s="133" t="s">
        <v>7</v>
      </c>
      <c r="B1004" s="133" t="s">
        <v>387</v>
      </c>
      <c r="C1004" s="133" t="s">
        <v>1757</v>
      </c>
      <c r="D1004" s="133" t="s">
        <v>481</v>
      </c>
      <c r="E1004" s="158">
        <v>5</v>
      </c>
      <c r="F1004" s="158">
        <v>8</v>
      </c>
      <c r="G1004" s="158">
        <v>2</v>
      </c>
      <c r="H1004" s="133" t="s">
        <v>1398</v>
      </c>
      <c r="I1004" s="133" t="s">
        <v>479</v>
      </c>
      <c r="J1004" s="158">
        <v>0</v>
      </c>
      <c r="K1004" s="159" t="str">
        <f ca="1">IFERROR(__xludf.DUMMYFUNCTION("GOOGLETRANSLATE(H1004,""th"",""en"")"),"Selling price")</f>
        <v>Selling price</v>
      </c>
    </row>
    <row r="1005" spans="1:11" ht="15.75" hidden="1" customHeight="1">
      <c r="A1005" s="133" t="s">
        <v>7</v>
      </c>
      <c r="B1005" s="133" t="s">
        <v>387</v>
      </c>
      <c r="C1005" s="133" t="s">
        <v>1758</v>
      </c>
      <c r="D1005" s="133" t="s">
        <v>481</v>
      </c>
      <c r="E1005" s="158">
        <v>5</v>
      </c>
      <c r="F1005" s="158">
        <v>8</v>
      </c>
      <c r="G1005" s="158">
        <v>2</v>
      </c>
      <c r="H1005" s="133" t="s">
        <v>1759</v>
      </c>
      <c r="I1005" s="133" t="s">
        <v>615</v>
      </c>
      <c r="J1005" s="158">
        <v>0</v>
      </c>
      <c r="K1005" s="159" t="str">
        <f ca="1">IFERROR(__xludf.DUMMYFUNCTION("GOOGLETRANSLATE(H1005,""th"",""en"")"),"VAT total sales price")</f>
        <v>VAT total sales price</v>
      </c>
    </row>
    <row r="1006" spans="1:11" ht="15.75" hidden="1" customHeight="1">
      <c r="A1006" s="133" t="s">
        <v>7</v>
      </c>
      <c r="B1006" s="133" t="s">
        <v>387</v>
      </c>
      <c r="C1006" s="133" t="s">
        <v>1760</v>
      </c>
      <c r="D1006" s="133" t="s">
        <v>477</v>
      </c>
      <c r="E1006" s="158">
        <v>3</v>
      </c>
      <c r="F1006" s="158">
        <v>0</v>
      </c>
      <c r="G1006" s="158">
        <v>0</v>
      </c>
      <c r="H1006" s="133" t="s">
        <v>479</v>
      </c>
      <c r="I1006" s="133" t="s">
        <v>548</v>
      </c>
      <c r="J1006" s="158">
        <v>0</v>
      </c>
      <c r="K1006" s="159" t="str">
        <f ca="1">IFERROR(__xludf.DUMMYFUNCTION("GOOGLETRANSLATE(H1006,""th"",""en"")"),"Null")</f>
        <v>Null</v>
      </c>
    </row>
    <row r="1007" spans="1:11" ht="15.75" hidden="1" customHeight="1">
      <c r="A1007" s="133" t="s">
        <v>7</v>
      </c>
      <c r="B1007" s="133" t="s">
        <v>387</v>
      </c>
      <c r="C1007" s="133" t="s">
        <v>1761</v>
      </c>
      <c r="D1007" s="133" t="s">
        <v>496</v>
      </c>
      <c r="E1007" s="158">
        <v>4</v>
      </c>
      <c r="F1007" s="158">
        <v>16</v>
      </c>
      <c r="G1007" s="158">
        <v>0</v>
      </c>
      <c r="H1007" s="133" t="s">
        <v>1404</v>
      </c>
      <c r="I1007" s="133" t="s">
        <v>479</v>
      </c>
      <c r="J1007" s="158">
        <v>0</v>
      </c>
      <c r="K1007" s="159" t="str">
        <f ca="1">IFERROR(__xludf.DUMMYFUNCTION("GOOGLETRANSLATE(H1007,""th"",""en"")"),"Start date [YYYY-MM-DD]")</f>
        <v>Start date [YYYY-MM-DD]</v>
      </c>
    </row>
    <row r="1008" spans="1:11" ht="15.75" hidden="1" customHeight="1">
      <c r="A1008" s="133" t="s">
        <v>7</v>
      </c>
      <c r="B1008" s="133" t="s">
        <v>387</v>
      </c>
      <c r="C1008" s="133" t="s">
        <v>1762</v>
      </c>
      <c r="D1008" s="133" t="s">
        <v>496</v>
      </c>
      <c r="E1008" s="158">
        <v>4</v>
      </c>
      <c r="F1008" s="158">
        <v>16</v>
      </c>
      <c r="G1008" s="158">
        <v>0</v>
      </c>
      <c r="H1008" s="133" t="s">
        <v>1406</v>
      </c>
      <c r="I1008" s="133" t="s">
        <v>479</v>
      </c>
      <c r="J1008" s="158">
        <v>0</v>
      </c>
      <c r="K1008" s="159" t="str">
        <f ca="1">IFERROR(__xludf.DUMMYFUNCTION("GOOGLETRANSLATE(H1008,""th"",""en"")"),"Expiration date [YYYY-MM-DD]")</f>
        <v>Expiration date [YYYY-MM-DD]</v>
      </c>
    </row>
    <row r="1009" spans="1:11" ht="15.75" hidden="1" customHeight="1">
      <c r="A1009" s="133" t="s">
        <v>7</v>
      </c>
      <c r="B1009" s="133" t="s">
        <v>387</v>
      </c>
      <c r="C1009" s="133" t="s">
        <v>164</v>
      </c>
      <c r="D1009" s="133" t="s">
        <v>477</v>
      </c>
      <c r="E1009" s="158">
        <v>100</v>
      </c>
      <c r="F1009" s="158">
        <v>0</v>
      </c>
      <c r="G1009" s="158">
        <v>0</v>
      </c>
      <c r="H1009" s="133" t="s">
        <v>1407</v>
      </c>
      <c r="I1009" s="133" t="s">
        <v>479</v>
      </c>
      <c r="J1009" s="158">
        <v>1</v>
      </c>
      <c r="K1009" s="159" t="str">
        <f ca="1">IFERROR(__xludf.DUMMYFUNCTION("GOOGLETRANSLATE(H1009,""th"",""en"")"),"This note specifies the company name. According to the customer code")</f>
        <v>This note specifies the company name. According to the customer code</v>
      </c>
    </row>
    <row r="1010" spans="1:11" ht="15.75" hidden="1" customHeight="1">
      <c r="A1010" s="133" t="s">
        <v>7</v>
      </c>
      <c r="B1010" s="133" t="s">
        <v>387</v>
      </c>
      <c r="C1010" s="133" t="s">
        <v>669</v>
      </c>
      <c r="D1010" s="133" t="s">
        <v>496</v>
      </c>
      <c r="E1010" s="158">
        <v>4</v>
      </c>
      <c r="F1010" s="158">
        <v>16</v>
      </c>
      <c r="G1010" s="158">
        <v>0</v>
      </c>
      <c r="H1010" s="133" t="s">
        <v>735</v>
      </c>
      <c r="I1010" s="133" t="s">
        <v>548</v>
      </c>
      <c r="J1010" s="158">
        <v>0</v>
      </c>
      <c r="K1010" s="159" t="str">
        <f ca="1">IFERROR(__xludf.DUMMYFUNCTION("GOOGLETRANSLATE(H1010,""th"",""en"")"),"Date created")</f>
        <v>Date created</v>
      </c>
    </row>
    <row r="1011" spans="1:11" ht="15.75" hidden="1" customHeight="1">
      <c r="A1011" s="133" t="s">
        <v>7</v>
      </c>
      <c r="B1011" s="133" t="s">
        <v>387</v>
      </c>
      <c r="C1011" s="133" t="s">
        <v>523</v>
      </c>
      <c r="D1011" s="133" t="s">
        <v>477</v>
      </c>
      <c r="E1011" s="158">
        <v>7</v>
      </c>
      <c r="F1011" s="158">
        <v>0</v>
      </c>
      <c r="G1011" s="158">
        <v>0</v>
      </c>
      <c r="H1011" s="133" t="s">
        <v>1763</v>
      </c>
      <c r="I1011" s="133" t="s">
        <v>548</v>
      </c>
      <c r="J1011" s="158">
        <v>0</v>
      </c>
      <c r="K1011" s="159" t="str">
        <f ca="1">IFERROR(__xludf.DUMMYFUNCTION("GOOGLETRANSLATE(H1011,""th"",""en"")"),"Creation")</f>
        <v>Creation</v>
      </c>
    </row>
    <row r="1012" spans="1:11" ht="15.75" hidden="1" customHeight="1">
      <c r="A1012" s="133" t="s">
        <v>7</v>
      </c>
      <c r="B1012" s="133" t="s">
        <v>387</v>
      </c>
      <c r="C1012" s="133" t="s">
        <v>215</v>
      </c>
      <c r="D1012" s="133" t="s">
        <v>496</v>
      </c>
      <c r="E1012" s="158">
        <v>4</v>
      </c>
      <c r="F1012" s="158">
        <v>16</v>
      </c>
      <c r="G1012" s="158">
        <v>0</v>
      </c>
      <c r="H1012" s="133" t="s">
        <v>803</v>
      </c>
      <c r="I1012" s="133" t="s">
        <v>548</v>
      </c>
      <c r="J1012" s="158">
        <v>0</v>
      </c>
      <c r="K1012" s="159" t="str">
        <f ca="1">IFERROR(__xludf.DUMMYFUNCTION("GOOGLETRANSLATE(H1012,""th"",""en"")"),"Edit date")</f>
        <v>Edit date</v>
      </c>
    </row>
    <row r="1013" spans="1:11" ht="15.75" hidden="1" customHeight="1">
      <c r="A1013" s="133" t="s">
        <v>7</v>
      </c>
      <c r="B1013" s="133" t="s">
        <v>387</v>
      </c>
      <c r="C1013" s="133" t="s">
        <v>670</v>
      </c>
      <c r="D1013" s="133" t="s">
        <v>477</v>
      </c>
      <c r="E1013" s="158">
        <v>7</v>
      </c>
      <c r="F1013" s="158">
        <v>0</v>
      </c>
      <c r="G1013" s="158">
        <v>0</v>
      </c>
      <c r="H1013" s="133" t="s">
        <v>1764</v>
      </c>
      <c r="I1013" s="133" t="s">
        <v>548</v>
      </c>
      <c r="J1013" s="158">
        <v>0</v>
      </c>
      <c r="K1013" s="159" t="str">
        <f ca="1">IFERROR(__xludf.DUMMYFUNCTION("GOOGLETRANSLATE(H1013,""th"",""en"")"),"Edit operator name")</f>
        <v>Edit operator name</v>
      </c>
    </row>
    <row r="1014" spans="1:11" ht="15.75" hidden="1" customHeight="1">
      <c r="A1014" s="133" t="s">
        <v>7</v>
      </c>
      <c r="B1014" s="133" t="s">
        <v>387</v>
      </c>
      <c r="C1014" s="133" t="s">
        <v>1765</v>
      </c>
      <c r="D1014" s="133" t="s">
        <v>477</v>
      </c>
      <c r="E1014" s="158">
        <v>12</v>
      </c>
      <c r="F1014" s="158">
        <v>0</v>
      </c>
      <c r="G1014" s="158">
        <v>0</v>
      </c>
      <c r="H1014" s="133" t="s">
        <v>1408</v>
      </c>
      <c r="I1014" s="133" t="s">
        <v>548</v>
      </c>
      <c r="J1014" s="158">
        <v>0</v>
      </c>
      <c r="K1014" s="159" t="str">
        <f ca="1">IFERROR(__xludf.DUMMYFUNCTION("GOOGLETRANSLATE(H1014,""th"",""en"")"),"Fixprice document number")</f>
        <v>Fixprice document number</v>
      </c>
    </row>
    <row r="1015" spans="1:11" ht="15.75" hidden="1" customHeight="1">
      <c r="A1015" s="133" t="s">
        <v>7</v>
      </c>
      <c r="B1015" s="133" t="s">
        <v>387</v>
      </c>
      <c r="C1015" s="133" t="s">
        <v>1766</v>
      </c>
      <c r="D1015" s="133" t="s">
        <v>477</v>
      </c>
      <c r="E1015" s="158">
        <v>10</v>
      </c>
      <c r="F1015" s="158">
        <v>0</v>
      </c>
      <c r="G1015" s="158">
        <v>0</v>
      </c>
      <c r="H1015" s="133" t="s">
        <v>1767</v>
      </c>
      <c r="I1015" s="133" t="s">
        <v>548</v>
      </c>
      <c r="J1015" s="158">
        <v>0</v>
      </c>
      <c r="K1015" s="159" t="str">
        <f ca="1">IFERROR(__xludf.DUMMYFUNCTION("GOOGLETRANSLATE(H1015,""th"",""en"")"),"Latest data recording type")</f>
        <v>Latest data recording type</v>
      </c>
    </row>
    <row r="1016" spans="1:11" ht="15.75" hidden="1" customHeight="1">
      <c r="A1016" s="133" t="s">
        <v>7</v>
      </c>
      <c r="B1016" s="133" t="s">
        <v>387</v>
      </c>
      <c r="C1016" s="133" t="s">
        <v>1768</v>
      </c>
      <c r="D1016" s="133" t="s">
        <v>477</v>
      </c>
      <c r="E1016" s="158">
        <v>10</v>
      </c>
      <c r="F1016" s="158">
        <v>0</v>
      </c>
      <c r="G1016" s="158">
        <v>0</v>
      </c>
      <c r="H1016" s="133" t="s">
        <v>1769</v>
      </c>
      <c r="I1016" s="133" t="s">
        <v>548</v>
      </c>
      <c r="J1016" s="158">
        <v>0</v>
      </c>
      <c r="K1016" s="159" t="str">
        <f ca="1">IFERROR(__xludf.DUMMYFUNCTION("GOOGLETRANSLATE(H1016,""th"",""en"")"),"FixPrice, Extension")</f>
        <v>FixPrice, Extension</v>
      </c>
    </row>
    <row r="1017" spans="1:11" ht="15.75" hidden="1" customHeight="1">
      <c r="A1017" s="133" t="s">
        <v>7</v>
      </c>
      <c r="B1017" s="133" t="s">
        <v>317</v>
      </c>
      <c r="C1017" s="133" t="s">
        <v>1770</v>
      </c>
      <c r="D1017" s="133" t="s">
        <v>477</v>
      </c>
      <c r="E1017" s="158">
        <v>3</v>
      </c>
      <c r="F1017" s="158">
        <v>0</v>
      </c>
      <c r="G1017" s="158">
        <v>0</v>
      </c>
      <c r="H1017" s="133" t="s">
        <v>1771</v>
      </c>
      <c r="I1017" s="133" t="s">
        <v>548</v>
      </c>
      <c r="J1017" s="158">
        <v>0</v>
      </c>
      <c r="K1017" s="159" t="str">
        <f ca="1">IFERROR(__xludf.DUMMYFUNCTION("GOOGLETRANSLATE(H1017,""th"",""en"")"),"Dept code")</f>
        <v>Dept code</v>
      </c>
    </row>
    <row r="1018" spans="1:11" ht="15.75" hidden="1" customHeight="1">
      <c r="A1018" s="133" t="s">
        <v>7</v>
      </c>
      <c r="B1018" s="133" t="s">
        <v>317</v>
      </c>
      <c r="C1018" s="133" t="s">
        <v>1772</v>
      </c>
      <c r="D1018" s="133" t="s">
        <v>477</v>
      </c>
      <c r="E1018" s="158">
        <v>200</v>
      </c>
      <c r="F1018" s="158">
        <v>0</v>
      </c>
      <c r="G1018" s="158">
        <v>0</v>
      </c>
      <c r="H1018" s="133" t="s">
        <v>1773</v>
      </c>
      <c r="I1018" s="133" t="s">
        <v>548</v>
      </c>
      <c r="J1018" s="158">
        <v>0</v>
      </c>
      <c r="K1018" s="159" t="str">
        <f ca="1">IFERROR(__xludf.DUMMYFUNCTION("GOOGLETRANSLATE(H1018,""th"",""en"")"),"DEPT name")</f>
        <v>DEPT name</v>
      </c>
    </row>
    <row r="1019" spans="1:11" ht="15.75" hidden="1" customHeight="1">
      <c r="A1019" s="133" t="s">
        <v>7</v>
      </c>
      <c r="B1019" s="133" t="s">
        <v>317</v>
      </c>
      <c r="C1019" s="133" t="s">
        <v>1774</v>
      </c>
      <c r="D1019" s="133" t="s">
        <v>477</v>
      </c>
      <c r="E1019" s="158">
        <v>3</v>
      </c>
      <c r="F1019" s="158">
        <v>0</v>
      </c>
      <c r="G1019" s="158">
        <v>0</v>
      </c>
      <c r="H1019" s="133" t="s">
        <v>1775</v>
      </c>
      <c r="I1019" s="133" t="s">
        <v>548</v>
      </c>
      <c r="J1019" s="158">
        <v>0</v>
      </c>
      <c r="K1019" s="159" t="str">
        <f ca="1">IFERROR(__xludf.DUMMYFUNCTION("GOOGLETRANSLATE(H1019,""th"",""en"")"),"Sub_dept code")</f>
        <v>Sub_dept code</v>
      </c>
    </row>
    <row r="1020" spans="1:11" ht="15.75" hidden="1" customHeight="1">
      <c r="A1020" s="133" t="s">
        <v>7</v>
      </c>
      <c r="B1020" s="133" t="s">
        <v>317</v>
      </c>
      <c r="C1020" s="133" t="s">
        <v>1776</v>
      </c>
      <c r="D1020" s="133" t="s">
        <v>477</v>
      </c>
      <c r="E1020" s="158">
        <v>200</v>
      </c>
      <c r="F1020" s="158">
        <v>0</v>
      </c>
      <c r="G1020" s="158">
        <v>0</v>
      </c>
      <c r="H1020" s="133" t="s">
        <v>1777</v>
      </c>
      <c r="I1020" s="133" t="s">
        <v>548</v>
      </c>
      <c r="J1020" s="158">
        <v>0</v>
      </c>
      <c r="K1020" s="159" t="str">
        <f ca="1">IFERROR(__xludf.DUMMYFUNCTION("GOOGLETRANSLATE(H1020,""th"",""en"")"),"Name sub_dept")</f>
        <v>Name sub_dept</v>
      </c>
    </row>
    <row r="1021" spans="1:11" ht="15.75" hidden="1" customHeight="1">
      <c r="A1021" s="133" t="s">
        <v>7</v>
      </c>
      <c r="B1021" s="133" t="s">
        <v>317</v>
      </c>
      <c r="C1021" s="133" t="s">
        <v>1127</v>
      </c>
      <c r="D1021" s="133" t="s">
        <v>477</v>
      </c>
      <c r="E1021" s="158">
        <v>3</v>
      </c>
      <c r="F1021" s="158">
        <v>0</v>
      </c>
      <c r="G1021" s="158">
        <v>0</v>
      </c>
      <c r="H1021" s="133" t="s">
        <v>1778</v>
      </c>
      <c r="I1021" s="133" t="s">
        <v>548</v>
      </c>
      <c r="J1021" s="158">
        <v>0</v>
      </c>
      <c r="K1021" s="159" t="str">
        <f ca="1">IFERROR(__xludf.DUMMYFUNCTION("GOOGLETRANSLATE(H1021,""th"",""en"")"),"Class code")</f>
        <v>Class code</v>
      </c>
    </row>
    <row r="1022" spans="1:11" ht="15.75" hidden="1" customHeight="1">
      <c r="A1022" s="133" t="s">
        <v>7</v>
      </c>
      <c r="B1022" s="133" t="s">
        <v>317</v>
      </c>
      <c r="C1022" s="133" t="s">
        <v>1779</v>
      </c>
      <c r="D1022" s="133" t="s">
        <v>477</v>
      </c>
      <c r="E1022" s="158">
        <v>200</v>
      </c>
      <c r="F1022" s="158">
        <v>0</v>
      </c>
      <c r="G1022" s="158">
        <v>0</v>
      </c>
      <c r="H1022" s="133" t="s">
        <v>1780</v>
      </c>
      <c r="I1022" s="133" t="s">
        <v>548</v>
      </c>
      <c r="J1022" s="158">
        <v>0</v>
      </c>
      <c r="K1022" s="159" t="str">
        <f ca="1">IFERROR(__xludf.DUMMYFUNCTION("GOOGLETRANSLATE(H1022,""th"",""en"")"),"Class name")</f>
        <v>Class name</v>
      </c>
    </row>
    <row r="1023" spans="1:11" ht="15.75" hidden="1" customHeight="1">
      <c r="A1023" s="133" t="s">
        <v>7</v>
      </c>
      <c r="B1023" s="133" t="s">
        <v>317</v>
      </c>
      <c r="C1023" s="133" t="s">
        <v>1781</v>
      </c>
      <c r="D1023" s="133" t="s">
        <v>477</v>
      </c>
      <c r="E1023" s="158">
        <v>3</v>
      </c>
      <c r="F1023" s="158">
        <v>0</v>
      </c>
      <c r="G1023" s="158">
        <v>0</v>
      </c>
      <c r="H1023" s="133" t="s">
        <v>1782</v>
      </c>
      <c r="I1023" s="133" t="s">
        <v>548</v>
      </c>
      <c r="J1023" s="158">
        <v>0</v>
      </c>
      <c r="K1023" s="159" t="str">
        <f ca="1">IFERROR(__xludf.DUMMYFUNCTION("GOOGLETRANSLATE(H1023,""th"",""en"")"),"Sub_class code")</f>
        <v>Sub_class code</v>
      </c>
    </row>
    <row r="1024" spans="1:11" ht="15.75" hidden="1" customHeight="1">
      <c r="A1024" s="133" t="s">
        <v>7</v>
      </c>
      <c r="B1024" s="133" t="s">
        <v>317</v>
      </c>
      <c r="C1024" s="133" t="s">
        <v>1783</v>
      </c>
      <c r="D1024" s="133" t="s">
        <v>477</v>
      </c>
      <c r="E1024" s="158">
        <v>200</v>
      </c>
      <c r="F1024" s="158">
        <v>0</v>
      </c>
      <c r="G1024" s="158">
        <v>0</v>
      </c>
      <c r="H1024" s="133" t="s">
        <v>1784</v>
      </c>
      <c r="I1024" s="133" t="s">
        <v>548</v>
      </c>
      <c r="J1024" s="158">
        <v>0</v>
      </c>
      <c r="K1024" s="159" t="str">
        <f ca="1">IFERROR(__xludf.DUMMYFUNCTION("GOOGLETRANSLATE(H1024,""th"",""en"")"),"Name sub_class")</f>
        <v>Name sub_class</v>
      </c>
    </row>
    <row r="1025" spans="1:11" ht="15.75" hidden="1" customHeight="1">
      <c r="A1025" s="133" t="s">
        <v>7</v>
      </c>
      <c r="B1025" s="133" t="s">
        <v>317</v>
      </c>
      <c r="C1025" s="133" t="s">
        <v>1785</v>
      </c>
      <c r="D1025" s="133" t="s">
        <v>477</v>
      </c>
      <c r="E1025" s="158">
        <v>5</v>
      </c>
      <c r="F1025" s="158">
        <v>0</v>
      </c>
      <c r="G1025" s="158">
        <v>0</v>
      </c>
      <c r="H1025" s="133" t="s">
        <v>1786</v>
      </c>
      <c r="I1025" s="133" t="s">
        <v>548</v>
      </c>
      <c r="J1025" s="158">
        <v>0</v>
      </c>
      <c r="K1025" s="159" t="str">
        <f ca="1">IFERROR(__xludf.DUMMYFUNCTION("GOOGLETRANSLATE(H1025,""th"",""en"")"),"CPC or Oracle code code")</f>
        <v>CPC or Oracle code code</v>
      </c>
    </row>
    <row r="1026" spans="1:11" ht="15.75" hidden="1" customHeight="1">
      <c r="A1026" s="133" t="s">
        <v>7</v>
      </c>
      <c r="B1026" s="133" t="s">
        <v>317</v>
      </c>
      <c r="C1026" s="133" t="s">
        <v>1787</v>
      </c>
      <c r="D1026" s="133" t="s">
        <v>477</v>
      </c>
      <c r="E1026" s="158">
        <v>10</v>
      </c>
      <c r="F1026" s="158">
        <v>0</v>
      </c>
      <c r="G1026" s="158">
        <v>0</v>
      </c>
      <c r="H1026" s="133" t="s">
        <v>1788</v>
      </c>
      <c r="I1026" s="133" t="s">
        <v>548</v>
      </c>
      <c r="J1026" s="158">
        <v>0</v>
      </c>
      <c r="K1026" s="159" t="str">
        <f ca="1">IFERROR(__xludf.DUMMYFUNCTION("GOOGLETRANSLATE(H1026,""th"",""en"")"),"Business Unit, affiliated information")</f>
        <v>Business Unit, affiliated information</v>
      </c>
    </row>
    <row r="1027" spans="1:11" ht="15.75" hidden="1" customHeight="1">
      <c r="A1027" s="133" t="s">
        <v>7</v>
      </c>
      <c r="B1027" s="133" t="s">
        <v>317</v>
      </c>
      <c r="C1027" s="133" t="s">
        <v>164</v>
      </c>
      <c r="D1027" s="133" t="s">
        <v>477</v>
      </c>
      <c r="E1027" s="158">
        <v>100</v>
      </c>
      <c r="F1027" s="158">
        <v>0</v>
      </c>
      <c r="G1027" s="158">
        <v>0</v>
      </c>
      <c r="H1027" s="133" t="s">
        <v>1789</v>
      </c>
      <c r="I1027" s="133" t="s">
        <v>548</v>
      </c>
      <c r="J1027" s="158">
        <v>0</v>
      </c>
      <c r="K1027" s="159" t="str">
        <f ca="1">IFERROR(__xludf.DUMMYFUNCTION("GOOGLETRANSLATE(H1027,""th"",""en"")"),"Additional notes")</f>
        <v>Additional notes</v>
      </c>
    </row>
    <row r="1028" spans="1:11" ht="15.75" hidden="1" customHeight="1">
      <c r="A1028" s="133" t="s">
        <v>7</v>
      </c>
      <c r="B1028" s="133" t="s">
        <v>317</v>
      </c>
      <c r="C1028" s="133" t="s">
        <v>826</v>
      </c>
      <c r="D1028" s="133" t="s">
        <v>477</v>
      </c>
      <c r="E1028" s="158">
        <v>2</v>
      </c>
      <c r="F1028" s="158">
        <v>0</v>
      </c>
      <c r="G1028" s="158">
        <v>0</v>
      </c>
      <c r="H1028" s="133" t="s">
        <v>1790</v>
      </c>
      <c r="I1028" s="133" t="s">
        <v>548</v>
      </c>
      <c r="J1028" s="158">
        <v>0</v>
      </c>
      <c r="K1028" s="159" t="str">
        <f ca="1">IFERROR(__xludf.DUMMYFUNCTION("GOOGLETRANSLATE(H1028,""th"",""en"")"),"Cancel: Subcatid code")</f>
        <v>Cancel: Subcatid code</v>
      </c>
    </row>
    <row r="1029" spans="1:11" ht="15.75" hidden="1" customHeight="1">
      <c r="A1029" s="133" t="s">
        <v>7</v>
      </c>
      <c r="B1029" s="133" t="s">
        <v>317</v>
      </c>
      <c r="C1029" s="133" t="s">
        <v>523</v>
      </c>
      <c r="D1029" s="133" t="s">
        <v>477</v>
      </c>
      <c r="E1029" s="158">
        <v>8</v>
      </c>
      <c r="F1029" s="158">
        <v>0</v>
      </c>
      <c r="G1029" s="158">
        <v>0</v>
      </c>
      <c r="H1029" s="133" t="s">
        <v>834</v>
      </c>
      <c r="I1029" s="133" t="s">
        <v>548</v>
      </c>
      <c r="J1029" s="158">
        <v>0</v>
      </c>
      <c r="K1029" s="159" t="str">
        <f ca="1">IFERROR(__xludf.DUMMYFUNCTION("GOOGLETRANSLATE(H1029,""th"",""en"")"),"Information Creator ID")</f>
        <v>Information Creator ID</v>
      </c>
    </row>
    <row r="1030" spans="1:11" ht="15.75" hidden="1" customHeight="1">
      <c r="A1030" s="133" t="s">
        <v>7</v>
      </c>
      <c r="B1030" s="133" t="s">
        <v>317</v>
      </c>
      <c r="C1030" s="133" t="s">
        <v>669</v>
      </c>
      <c r="D1030" s="133" t="s">
        <v>800</v>
      </c>
      <c r="E1030" s="158">
        <v>8</v>
      </c>
      <c r="F1030" s="158">
        <v>27</v>
      </c>
      <c r="G1030" s="158">
        <v>7</v>
      </c>
      <c r="H1030" s="133" t="s">
        <v>735</v>
      </c>
      <c r="I1030" s="133" t="s">
        <v>801</v>
      </c>
      <c r="J1030" s="158">
        <v>0</v>
      </c>
      <c r="K1030" s="159" t="str">
        <f ca="1">IFERROR(__xludf.DUMMYFUNCTION("GOOGLETRANSLATE(H1030,""th"",""en"")"),"Date created")</f>
        <v>Date created</v>
      </c>
    </row>
    <row r="1031" spans="1:11" ht="15.75" hidden="1" customHeight="1">
      <c r="A1031" s="133" t="s">
        <v>7</v>
      </c>
      <c r="B1031" s="133" t="s">
        <v>317</v>
      </c>
      <c r="C1031" s="133" t="s">
        <v>670</v>
      </c>
      <c r="D1031" s="133" t="s">
        <v>477</v>
      </c>
      <c r="E1031" s="158">
        <v>8</v>
      </c>
      <c r="F1031" s="158">
        <v>0</v>
      </c>
      <c r="G1031" s="158">
        <v>0</v>
      </c>
      <c r="H1031" s="133" t="s">
        <v>1734</v>
      </c>
      <c r="I1031" s="133" t="s">
        <v>548</v>
      </c>
      <c r="J1031" s="158">
        <v>0</v>
      </c>
      <c r="K1031" s="159" t="str">
        <f ca="1">IFERROR(__xludf.DUMMYFUNCTION("GOOGLETRANSLATE(H1031,""th"",""en"")"),"Operator")</f>
        <v>Operator</v>
      </c>
    </row>
    <row r="1032" spans="1:11" ht="15.75" hidden="1" customHeight="1">
      <c r="A1032" s="133" t="s">
        <v>7</v>
      </c>
      <c r="B1032" s="133" t="s">
        <v>317</v>
      </c>
      <c r="C1032" s="133" t="s">
        <v>215</v>
      </c>
      <c r="D1032" s="133" t="s">
        <v>800</v>
      </c>
      <c r="E1032" s="158">
        <v>8</v>
      </c>
      <c r="F1032" s="158">
        <v>27</v>
      </c>
      <c r="G1032" s="158">
        <v>7</v>
      </c>
      <c r="H1032" s="133" t="s">
        <v>803</v>
      </c>
      <c r="I1032" s="133" t="s">
        <v>801</v>
      </c>
      <c r="J1032" s="158">
        <v>0</v>
      </c>
      <c r="K1032" s="159" t="str">
        <f ca="1">IFERROR(__xludf.DUMMYFUNCTION("GOOGLETRANSLATE(H1032,""th"",""en"")"),"Edit date")</f>
        <v>Edit date</v>
      </c>
    </row>
    <row r="1033" spans="1:11" ht="15.75" hidden="1" customHeight="1">
      <c r="A1033" s="133" t="s">
        <v>7</v>
      </c>
      <c r="B1033" s="133" t="s">
        <v>317</v>
      </c>
      <c r="C1033" s="133" t="s">
        <v>814</v>
      </c>
      <c r="D1033" s="133" t="s">
        <v>477</v>
      </c>
      <c r="E1033" s="158">
        <v>100</v>
      </c>
      <c r="F1033" s="158">
        <v>0</v>
      </c>
      <c r="G1033" s="158">
        <v>0</v>
      </c>
      <c r="H1033" s="133" t="s">
        <v>815</v>
      </c>
      <c r="I1033" s="133" t="s">
        <v>548</v>
      </c>
      <c r="J1033" s="158">
        <v>0</v>
      </c>
      <c r="K1033" s="159" t="str">
        <f ca="1">IFERROR(__xludf.DUMMYFUNCTION("GOOGLETRANSLATE(H1033,""th"",""en"")"),"Information Creator Name")</f>
        <v>Information Creator Name</v>
      </c>
    </row>
    <row r="1034" spans="1:11" ht="15.75" hidden="1" customHeight="1">
      <c r="A1034" s="133" t="s">
        <v>7</v>
      </c>
      <c r="B1034" s="133" t="s">
        <v>317</v>
      </c>
      <c r="C1034" s="133" t="s">
        <v>816</v>
      </c>
      <c r="D1034" s="133" t="s">
        <v>477</v>
      </c>
      <c r="E1034" s="158">
        <v>100</v>
      </c>
      <c r="F1034" s="158">
        <v>0</v>
      </c>
      <c r="G1034" s="158">
        <v>0</v>
      </c>
      <c r="H1034" s="133" t="s">
        <v>817</v>
      </c>
      <c r="I1034" s="133" t="s">
        <v>548</v>
      </c>
      <c r="J1034" s="158">
        <v>0</v>
      </c>
      <c r="K1034" s="159" t="str">
        <f ca="1">IFERROR(__xludf.DUMMYFUNCTION("GOOGLETRANSLATE(H1034,""th"",""en"")"),"Latest information")</f>
        <v>Latest information</v>
      </c>
    </row>
    <row r="1035" spans="1:11" ht="15.75" hidden="1" customHeight="1">
      <c r="A1035" s="133" t="s">
        <v>7</v>
      </c>
      <c r="B1035" s="133" t="s">
        <v>317</v>
      </c>
      <c r="C1035" s="133" t="s">
        <v>811</v>
      </c>
      <c r="D1035" s="133" t="s">
        <v>477</v>
      </c>
      <c r="E1035" s="158">
        <v>10</v>
      </c>
      <c r="F1035" s="158">
        <v>0</v>
      </c>
      <c r="G1035" s="158">
        <v>0</v>
      </c>
      <c r="H1035" s="133" t="s">
        <v>812</v>
      </c>
      <c r="I1035" s="133" t="s">
        <v>813</v>
      </c>
      <c r="J1035" s="158">
        <v>0</v>
      </c>
      <c r="K1035" s="159" t="str">
        <f ca="1">IFERROR(__xludf.DUMMYFUNCTION("GOOGLETRANSLATE(H1035,""th"",""en"")"),"Category Status [Active, Inactive, Delete]")</f>
        <v>Category Status [Active, Inactive, Delete]</v>
      </c>
    </row>
    <row r="1036" spans="1:11" ht="15.75" hidden="1" customHeight="1">
      <c r="A1036" s="133" t="s">
        <v>7</v>
      </c>
      <c r="B1036" s="133" t="s">
        <v>320</v>
      </c>
      <c r="C1036" s="133" t="s">
        <v>1791</v>
      </c>
      <c r="D1036" s="133" t="s">
        <v>481</v>
      </c>
      <c r="E1036" s="158">
        <v>5</v>
      </c>
      <c r="F1036" s="158">
        <v>3</v>
      </c>
      <c r="G1036" s="158">
        <v>0</v>
      </c>
      <c r="H1036" s="133" t="s">
        <v>479</v>
      </c>
      <c r="I1036" s="133" t="s">
        <v>479</v>
      </c>
      <c r="J1036" s="158">
        <v>1</v>
      </c>
      <c r="K1036" s="159" t="str">
        <f ca="1">IFERROR(__xludf.DUMMYFUNCTION("GOOGLETRANSLATE(H1036,""th"",""en"")"),"Null")</f>
        <v>Null</v>
      </c>
    </row>
    <row r="1037" spans="1:11" ht="15.75" hidden="1" customHeight="1">
      <c r="A1037" s="133" t="s">
        <v>7</v>
      </c>
      <c r="B1037" s="133" t="s">
        <v>320</v>
      </c>
      <c r="C1037" s="133" t="s">
        <v>1792</v>
      </c>
      <c r="D1037" s="133" t="s">
        <v>481</v>
      </c>
      <c r="E1037" s="158">
        <v>5</v>
      </c>
      <c r="F1037" s="158">
        <v>3</v>
      </c>
      <c r="G1037" s="158">
        <v>0</v>
      </c>
      <c r="H1037" s="133" t="s">
        <v>479</v>
      </c>
      <c r="I1037" s="133" t="s">
        <v>479</v>
      </c>
      <c r="J1037" s="158">
        <v>1</v>
      </c>
      <c r="K1037" s="159" t="str">
        <f ca="1">IFERROR(__xludf.DUMMYFUNCTION("GOOGLETRANSLATE(H1037,""th"",""en"")"),"Null")</f>
        <v>Null</v>
      </c>
    </row>
    <row r="1038" spans="1:11" ht="15.75" hidden="1" customHeight="1">
      <c r="A1038" s="133" t="s">
        <v>7</v>
      </c>
      <c r="B1038" s="133" t="s">
        <v>320</v>
      </c>
      <c r="C1038" s="133" t="s">
        <v>1793</v>
      </c>
      <c r="D1038" s="133" t="s">
        <v>481</v>
      </c>
      <c r="E1038" s="158">
        <v>5</v>
      </c>
      <c r="F1038" s="158">
        <v>3</v>
      </c>
      <c r="G1038" s="158">
        <v>0</v>
      </c>
      <c r="H1038" s="133" t="s">
        <v>479</v>
      </c>
      <c r="I1038" s="133" t="s">
        <v>479</v>
      </c>
      <c r="J1038" s="158">
        <v>1</v>
      </c>
      <c r="K1038" s="159" t="str">
        <f ca="1">IFERROR(__xludf.DUMMYFUNCTION("GOOGLETRANSLATE(H1038,""th"",""en"")"),"Null")</f>
        <v>Null</v>
      </c>
    </row>
    <row r="1039" spans="1:11" ht="15.75" hidden="1" customHeight="1">
      <c r="A1039" s="133" t="s">
        <v>7</v>
      </c>
      <c r="B1039" s="133" t="s">
        <v>320</v>
      </c>
      <c r="C1039" s="133" t="s">
        <v>1794</v>
      </c>
      <c r="D1039" s="133" t="s">
        <v>481</v>
      </c>
      <c r="E1039" s="158">
        <v>5</v>
      </c>
      <c r="F1039" s="158">
        <v>3</v>
      </c>
      <c r="G1039" s="158">
        <v>0</v>
      </c>
      <c r="H1039" s="133" t="s">
        <v>479</v>
      </c>
      <c r="I1039" s="133" t="s">
        <v>479</v>
      </c>
      <c r="J1039" s="158">
        <v>1</v>
      </c>
      <c r="K1039" s="159" t="str">
        <f ca="1">IFERROR(__xludf.DUMMYFUNCTION("GOOGLETRANSLATE(H1039,""th"",""en"")"),"Null")</f>
        <v>Null</v>
      </c>
    </row>
    <row r="1040" spans="1:11" ht="15.75" hidden="1" customHeight="1">
      <c r="A1040" s="133" t="s">
        <v>7</v>
      </c>
      <c r="B1040" s="133" t="s">
        <v>320</v>
      </c>
      <c r="C1040" s="133" t="s">
        <v>1795</v>
      </c>
      <c r="D1040" s="133" t="s">
        <v>1796</v>
      </c>
      <c r="E1040" s="158">
        <v>50</v>
      </c>
      <c r="F1040" s="158">
        <v>0</v>
      </c>
      <c r="G1040" s="158">
        <v>0</v>
      </c>
      <c r="H1040" s="133" t="s">
        <v>479</v>
      </c>
      <c r="I1040" s="133" t="s">
        <v>479</v>
      </c>
      <c r="J1040" s="158">
        <v>1</v>
      </c>
      <c r="K1040" s="159" t="str">
        <f ca="1">IFERROR(__xludf.DUMMYFUNCTION("GOOGLETRANSLATE(H1040,""th"",""en"")"),"Null")</f>
        <v>Null</v>
      </c>
    </row>
    <row r="1041" spans="1:11" ht="15.75" hidden="1" customHeight="1">
      <c r="A1041" s="133" t="s">
        <v>7</v>
      </c>
      <c r="B1041" s="133" t="s">
        <v>320</v>
      </c>
      <c r="C1041" s="133" t="s">
        <v>1797</v>
      </c>
      <c r="D1041" s="133" t="s">
        <v>1796</v>
      </c>
      <c r="E1041" s="158">
        <v>50</v>
      </c>
      <c r="F1041" s="158">
        <v>0</v>
      </c>
      <c r="G1041" s="158">
        <v>0</v>
      </c>
      <c r="H1041" s="133" t="s">
        <v>479</v>
      </c>
      <c r="I1041" s="133" t="s">
        <v>479</v>
      </c>
      <c r="J1041" s="158">
        <v>1</v>
      </c>
      <c r="K1041" s="159" t="str">
        <f ca="1">IFERROR(__xludf.DUMMYFUNCTION("GOOGLETRANSLATE(H1041,""th"",""en"")"),"Null")</f>
        <v>Null</v>
      </c>
    </row>
    <row r="1042" spans="1:11" ht="15.75" hidden="1" customHeight="1">
      <c r="A1042" s="133" t="s">
        <v>7</v>
      </c>
      <c r="B1042" s="133" t="s">
        <v>320</v>
      </c>
      <c r="C1042" s="133" t="s">
        <v>1798</v>
      </c>
      <c r="D1042" s="133" t="s">
        <v>1796</v>
      </c>
      <c r="E1042" s="158">
        <v>50</v>
      </c>
      <c r="F1042" s="158">
        <v>0</v>
      </c>
      <c r="G1042" s="158">
        <v>0</v>
      </c>
      <c r="H1042" s="133" t="s">
        <v>479</v>
      </c>
      <c r="I1042" s="133" t="s">
        <v>479</v>
      </c>
      <c r="J1042" s="158">
        <v>1</v>
      </c>
      <c r="K1042" s="159" t="str">
        <f ca="1">IFERROR(__xludf.DUMMYFUNCTION("GOOGLETRANSLATE(H1042,""th"",""en"")"),"Null")</f>
        <v>Null</v>
      </c>
    </row>
    <row r="1043" spans="1:11" ht="15.75" hidden="1" customHeight="1">
      <c r="A1043" s="133" t="s">
        <v>7</v>
      </c>
      <c r="B1043" s="133" t="s">
        <v>320</v>
      </c>
      <c r="C1043" s="133" t="s">
        <v>1799</v>
      </c>
      <c r="D1043" s="133" t="s">
        <v>1796</v>
      </c>
      <c r="E1043" s="158">
        <v>50</v>
      </c>
      <c r="F1043" s="158">
        <v>0</v>
      </c>
      <c r="G1043" s="158">
        <v>0</v>
      </c>
      <c r="H1043" s="133" t="s">
        <v>479</v>
      </c>
      <c r="I1043" s="133" t="s">
        <v>479</v>
      </c>
      <c r="J1043" s="158">
        <v>1</v>
      </c>
      <c r="K1043" s="159" t="str">
        <f ca="1">IFERROR(__xludf.DUMMYFUNCTION("GOOGLETRANSLATE(H1043,""th"",""en"")"),"Null")</f>
        <v>Null</v>
      </c>
    </row>
    <row r="1044" spans="1:11" ht="15.75" hidden="1" customHeight="1">
      <c r="A1044" s="133" t="s">
        <v>7</v>
      </c>
      <c r="B1044" s="133" t="s">
        <v>321</v>
      </c>
      <c r="C1044" s="133" t="s">
        <v>1800</v>
      </c>
      <c r="D1044" s="133" t="s">
        <v>491</v>
      </c>
      <c r="E1044" s="158">
        <v>7</v>
      </c>
      <c r="F1044" s="158">
        <v>0</v>
      </c>
      <c r="G1044" s="158">
        <v>0</v>
      </c>
      <c r="H1044" s="133" t="s">
        <v>479</v>
      </c>
      <c r="I1044" s="133" t="s">
        <v>479</v>
      </c>
      <c r="J1044" s="158">
        <v>0</v>
      </c>
      <c r="K1044" s="159" t="str">
        <f ca="1">IFERROR(__xludf.DUMMYFUNCTION("GOOGLETRANSLATE(H1044,""th"",""en"")"),"Null")</f>
        <v>Null</v>
      </c>
    </row>
    <row r="1045" spans="1:11" ht="15.75" hidden="1" customHeight="1">
      <c r="A1045" s="133" t="s">
        <v>7</v>
      </c>
      <c r="B1045" s="133" t="s">
        <v>321</v>
      </c>
      <c r="C1045" s="133" t="s">
        <v>1801</v>
      </c>
      <c r="D1045" s="133" t="s">
        <v>491</v>
      </c>
      <c r="E1045" s="158">
        <v>1</v>
      </c>
      <c r="F1045" s="158">
        <v>0</v>
      </c>
      <c r="G1045" s="158">
        <v>0</v>
      </c>
      <c r="H1045" s="133" t="s">
        <v>479</v>
      </c>
      <c r="I1045" s="133" t="s">
        <v>479</v>
      </c>
      <c r="J1045" s="158">
        <v>0</v>
      </c>
      <c r="K1045" s="159" t="str">
        <f ca="1">IFERROR(__xludf.DUMMYFUNCTION("GOOGLETRANSLATE(H1045,""th"",""en"")"),"Null")</f>
        <v>Null</v>
      </c>
    </row>
    <row r="1046" spans="1:11" ht="15.75" hidden="1" customHeight="1">
      <c r="A1046" s="133" t="s">
        <v>7</v>
      </c>
      <c r="B1046" s="133" t="s">
        <v>321</v>
      </c>
      <c r="C1046" s="133" t="s">
        <v>1802</v>
      </c>
      <c r="D1046" s="133" t="s">
        <v>491</v>
      </c>
      <c r="E1046" s="158">
        <v>3</v>
      </c>
      <c r="F1046" s="158">
        <v>0</v>
      </c>
      <c r="G1046" s="158">
        <v>0</v>
      </c>
      <c r="H1046" s="133" t="s">
        <v>479</v>
      </c>
      <c r="I1046" s="133" t="s">
        <v>479</v>
      </c>
      <c r="J1046" s="158">
        <v>0</v>
      </c>
      <c r="K1046" s="159" t="str">
        <f ca="1">IFERROR(__xludf.DUMMYFUNCTION("GOOGLETRANSLATE(H1046,""th"",""en"")"),"Null")</f>
        <v>Null</v>
      </c>
    </row>
    <row r="1047" spans="1:11" ht="15.75" hidden="1" customHeight="1">
      <c r="A1047" s="133" t="s">
        <v>7</v>
      </c>
      <c r="B1047" s="133" t="s">
        <v>321</v>
      </c>
      <c r="C1047" s="133" t="s">
        <v>1803</v>
      </c>
      <c r="D1047" s="133" t="s">
        <v>491</v>
      </c>
      <c r="E1047" s="158">
        <v>2</v>
      </c>
      <c r="F1047" s="158">
        <v>0</v>
      </c>
      <c r="G1047" s="158">
        <v>0</v>
      </c>
      <c r="H1047" s="133" t="s">
        <v>479</v>
      </c>
      <c r="I1047" s="133" t="s">
        <v>479</v>
      </c>
      <c r="J1047" s="158">
        <v>1</v>
      </c>
      <c r="K1047" s="159" t="str">
        <f ca="1">IFERROR(__xludf.DUMMYFUNCTION("GOOGLETRANSLATE(H1047,""th"",""en"")"),"Null")</f>
        <v>Null</v>
      </c>
    </row>
    <row r="1048" spans="1:11" ht="15.75" hidden="1" customHeight="1">
      <c r="A1048" s="133" t="s">
        <v>7</v>
      </c>
      <c r="B1048" s="133" t="s">
        <v>321</v>
      </c>
      <c r="C1048" s="133" t="s">
        <v>1804</v>
      </c>
      <c r="D1048" s="133" t="s">
        <v>477</v>
      </c>
      <c r="E1048" s="158">
        <v>20</v>
      </c>
      <c r="F1048" s="158">
        <v>0</v>
      </c>
      <c r="G1048" s="158">
        <v>0</v>
      </c>
      <c r="H1048" s="133" t="s">
        <v>479</v>
      </c>
      <c r="I1048" s="133" t="s">
        <v>479</v>
      </c>
      <c r="J1048" s="158">
        <v>1</v>
      </c>
      <c r="K1048" s="159" t="str">
        <f ca="1">IFERROR(__xludf.DUMMYFUNCTION("GOOGLETRANSLATE(H1048,""th"",""en"")"),"Null")</f>
        <v>Null</v>
      </c>
    </row>
    <row r="1049" spans="1:11" ht="15.75" hidden="1" customHeight="1">
      <c r="A1049" s="133" t="s">
        <v>7</v>
      </c>
      <c r="B1049" s="133" t="s">
        <v>321</v>
      </c>
      <c r="C1049" s="133" t="s">
        <v>1805</v>
      </c>
      <c r="D1049" s="133" t="s">
        <v>477</v>
      </c>
      <c r="E1049" s="158">
        <v>20</v>
      </c>
      <c r="F1049" s="158">
        <v>0</v>
      </c>
      <c r="G1049" s="158">
        <v>0</v>
      </c>
      <c r="H1049" s="133" t="s">
        <v>479</v>
      </c>
      <c r="I1049" s="133" t="s">
        <v>479</v>
      </c>
      <c r="J1049" s="158">
        <v>1</v>
      </c>
      <c r="K1049" s="159" t="str">
        <f ca="1">IFERROR(__xludf.DUMMYFUNCTION("GOOGLETRANSLATE(H1049,""th"",""en"")"),"Null")</f>
        <v>Null</v>
      </c>
    </row>
    <row r="1050" spans="1:11" ht="15.75" hidden="1" customHeight="1">
      <c r="A1050" s="133" t="s">
        <v>7</v>
      </c>
      <c r="B1050" s="133" t="s">
        <v>321</v>
      </c>
      <c r="C1050" s="133" t="s">
        <v>1806</v>
      </c>
      <c r="D1050" s="133" t="s">
        <v>1807</v>
      </c>
      <c r="E1050" s="158">
        <v>8</v>
      </c>
      <c r="F1050" s="158">
        <v>53</v>
      </c>
      <c r="G1050" s="158">
        <v>0</v>
      </c>
      <c r="H1050" s="133" t="s">
        <v>479</v>
      </c>
      <c r="I1050" s="133" t="s">
        <v>479</v>
      </c>
      <c r="J1050" s="158">
        <v>0</v>
      </c>
      <c r="K1050" s="159" t="str">
        <f ca="1">IFERROR(__xludf.DUMMYFUNCTION("GOOGLETRANSLATE(H1050,""th"",""en"")"),"Null")</f>
        <v>Null</v>
      </c>
    </row>
    <row r="1051" spans="1:11" ht="15.75" hidden="1" customHeight="1">
      <c r="A1051" s="133" t="s">
        <v>7</v>
      </c>
      <c r="B1051" s="133" t="s">
        <v>321</v>
      </c>
      <c r="C1051" s="133" t="s">
        <v>669</v>
      </c>
      <c r="D1051" s="133" t="s">
        <v>496</v>
      </c>
      <c r="E1051" s="158">
        <v>4</v>
      </c>
      <c r="F1051" s="158">
        <v>16</v>
      </c>
      <c r="G1051" s="158">
        <v>0</v>
      </c>
      <c r="H1051" s="133" t="s">
        <v>479</v>
      </c>
      <c r="I1051" s="133" t="s">
        <v>479</v>
      </c>
      <c r="J1051" s="158">
        <v>1</v>
      </c>
      <c r="K1051" s="159" t="str">
        <f ca="1">IFERROR(__xludf.DUMMYFUNCTION("GOOGLETRANSLATE(H1051,""th"",""en"")"),"Null")</f>
        <v>Null</v>
      </c>
    </row>
    <row r="1052" spans="1:11" ht="15.75" hidden="1" customHeight="1">
      <c r="A1052" s="133" t="s">
        <v>7</v>
      </c>
      <c r="B1052" s="133" t="s">
        <v>321</v>
      </c>
      <c r="C1052" s="133" t="s">
        <v>523</v>
      </c>
      <c r="D1052" s="133" t="s">
        <v>477</v>
      </c>
      <c r="E1052" s="158">
        <v>10</v>
      </c>
      <c r="F1052" s="158">
        <v>0</v>
      </c>
      <c r="G1052" s="158">
        <v>0</v>
      </c>
      <c r="H1052" s="133" t="s">
        <v>479</v>
      </c>
      <c r="I1052" s="133" t="s">
        <v>479</v>
      </c>
      <c r="J1052" s="158">
        <v>1</v>
      </c>
      <c r="K1052" s="159" t="str">
        <f ca="1">IFERROR(__xludf.DUMMYFUNCTION("GOOGLETRANSLATE(H1052,""th"",""en"")"),"Null")</f>
        <v>Null</v>
      </c>
    </row>
    <row r="1053" spans="1:11" ht="15.75" hidden="1" customHeight="1">
      <c r="A1053" s="133" t="s">
        <v>7</v>
      </c>
      <c r="B1053" s="133" t="s">
        <v>321</v>
      </c>
      <c r="C1053" s="133" t="s">
        <v>215</v>
      </c>
      <c r="D1053" s="133" t="s">
        <v>496</v>
      </c>
      <c r="E1053" s="158">
        <v>4</v>
      </c>
      <c r="F1053" s="158">
        <v>16</v>
      </c>
      <c r="G1053" s="158">
        <v>0</v>
      </c>
      <c r="H1053" s="133" t="s">
        <v>479</v>
      </c>
      <c r="I1053" s="133" t="s">
        <v>479</v>
      </c>
      <c r="J1053" s="158">
        <v>1</v>
      </c>
      <c r="K1053" s="159" t="str">
        <f ca="1">IFERROR(__xludf.DUMMYFUNCTION("GOOGLETRANSLATE(H1053,""th"",""en"")"),"Null")</f>
        <v>Null</v>
      </c>
    </row>
    <row r="1054" spans="1:11" ht="15.75" hidden="1" customHeight="1">
      <c r="A1054" s="133" t="s">
        <v>7</v>
      </c>
      <c r="B1054" s="133" t="s">
        <v>321</v>
      </c>
      <c r="C1054" s="133" t="s">
        <v>670</v>
      </c>
      <c r="D1054" s="133" t="s">
        <v>477</v>
      </c>
      <c r="E1054" s="158">
        <v>10</v>
      </c>
      <c r="F1054" s="158">
        <v>0</v>
      </c>
      <c r="G1054" s="158">
        <v>0</v>
      </c>
      <c r="H1054" s="133" t="s">
        <v>479</v>
      </c>
      <c r="I1054" s="133" t="s">
        <v>479</v>
      </c>
      <c r="J1054" s="158">
        <v>1</v>
      </c>
      <c r="K1054" s="159" t="str">
        <f ca="1">IFERROR(__xludf.DUMMYFUNCTION("GOOGLETRANSLATE(H1054,""th"",""en"")"),"Null")</f>
        <v>Null</v>
      </c>
    </row>
    <row r="1055" spans="1:11" ht="15.75" hidden="1" customHeight="1">
      <c r="A1055" s="133" t="s">
        <v>7</v>
      </c>
      <c r="B1055" s="133" t="s">
        <v>321</v>
      </c>
      <c r="C1055" s="133" t="s">
        <v>1808</v>
      </c>
      <c r="D1055" s="133" t="s">
        <v>491</v>
      </c>
      <c r="E1055" s="158">
        <v>1</v>
      </c>
      <c r="F1055" s="158">
        <v>0</v>
      </c>
      <c r="G1055" s="158">
        <v>0</v>
      </c>
      <c r="H1055" s="133" t="s">
        <v>479</v>
      </c>
      <c r="I1055" s="133" t="s">
        <v>479</v>
      </c>
      <c r="J1055" s="158">
        <v>1</v>
      </c>
      <c r="K1055" s="159" t="str">
        <f ca="1">IFERROR(__xludf.DUMMYFUNCTION("GOOGLETRANSLATE(H1055,""th"",""en"")"),"Null")</f>
        <v>Null</v>
      </c>
    </row>
    <row r="1056" spans="1:11" ht="15.75" hidden="1" customHeight="1">
      <c r="A1056" s="133" t="s">
        <v>7</v>
      </c>
      <c r="B1056" s="133" t="s">
        <v>321</v>
      </c>
      <c r="C1056" s="133" t="s">
        <v>1809</v>
      </c>
      <c r="D1056" s="133" t="s">
        <v>477</v>
      </c>
      <c r="E1056" s="158">
        <v>7</v>
      </c>
      <c r="F1056" s="158">
        <v>0</v>
      </c>
      <c r="G1056" s="158">
        <v>0</v>
      </c>
      <c r="H1056" s="133" t="s">
        <v>479</v>
      </c>
      <c r="I1056" s="133" t="s">
        <v>479</v>
      </c>
      <c r="J1056" s="158">
        <v>1</v>
      </c>
      <c r="K1056" s="159" t="str">
        <f ca="1">IFERROR(__xludf.DUMMYFUNCTION("GOOGLETRANSLATE(H1056,""th"",""en"")"),"Null")</f>
        <v>Null</v>
      </c>
    </row>
    <row r="1057" spans="1:11" ht="15.75" hidden="1" customHeight="1">
      <c r="A1057" s="133" t="s">
        <v>7</v>
      </c>
      <c r="B1057" s="133" t="s">
        <v>321</v>
      </c>
      <c r="C1057" s="133" t="s">
        <v>1810</v>
      </c>
      <c r="D1057" s="133" t="s">
        <v>477</v>
      </c>
      <c r="E1057" s="158">
        <v>2</v>
      </c>
      <c r="F1057" s="158">
        <v>0</v>
      </c>
      <c r="G1057" s="158">
        <v>0</v>
      </c>
      <c r="H1057" s="133" t="s">
        <v>479</v>
      </c>
      <c r="I1057" s="133" t="s">
        <v>479</v>
      </c>
      <c r="J1057" s="158">
        <v>1</v>
      </c>
      <c r="K1057" s="159" t="str">
        <f ca="1">IFERROR(__xludf.DUMMYFUNCTION("GOOGLETRANSLATE(H1057,""th"",""en"")"),"Null")</f>
        <v>Null</v>
      </c>
    </row>
    <row r="1058" spans="1:11" ht="15.75" hidden="1" customHeight="1">
      <c r="A1058" s="133" t="s">
        <v>7</v>
      </c>
      <c r="B1058" s="133" t="s">
        <v>321</v>
      </c>
      <c r="C1058" s="133" t="s">
        <v>1811</v>
      </c>
      <c r="D1058" s="133" t="s">
        <v>477</v>
      </c>
      <c r="E1058" s="158">
        <v>100</v>
      </c>
      <c r="F1058" s="158">
        <v>0</v>
      </c>
      <c r="G1058" s="158">
        <v>0</v>
      </c>
      <c r="H1058" s="133" t="s">
        <v>479</v>
      </c>
      <c r="I1058" s="133" t="s">
        <v>479</v>
      </c>
      <c r="J1058" s="158">
        <v>1</v>
      </c>
      <c r="K1058" s="159" t="str">
        <f ca="1">IFERROR(__xludf.DUMMYFUNCTION("GOOGLETRANSLATE(H1058,""th"",""en"")"),"Null")</f>
        <v>Null</v>
      </c>
    </row>
    <row r="1059" spans="1:11" ht="15.75" hidden="1" customHeight="1">
      <c r="A1059" s="133" t="s">
        <v>7</v>
      </c>
      <c r="B1059" s="133" t="s">
        <v>321</v>
      </c>
      <c r="C1059" s="133" t="s">
        <v>1812</v>
      </c>
      <c r="D1059" s="133" t="s">
        <v>491</v>
      </c>
      <c r="E1059" s="158">
        <v>1</v>
      </c>
      <c r="F1059" s="158">
        <v>0</v>
      </c>
      <c r="G1059" s="158">
        <v>0</v>
      </c>
      <c r="H1059" s="133" t="s">
        <v>479</v>
      </c>
      <c r="I1059" s="133" t="s">
        <v>479</v>
      </c>
      <c r="J1059" s="158">
        <v>1</v>
      </c>
      <c r="K1059" s="159" t="str">
        <f ca="1">IFERROR(__xludf.DUMMYFUNCTION("GOOGLETRANSLATE(H1059,""th"",""en"")"),"Null")</f>
        <v>Null</v>
      </c>
    </row>
    <row r="1060" spans="1:11" ht="15.75" hidden="1" customHeight="1">
      <c r="A1060" s="133" t="s">
        <v>7</v>
      </c>
      <c r="B1060" s="133" t="s">
        <v>321</v>
      </c>
      <c r="C1060" s="133" t="s">
        <v>594</v>
      </c>
      <c r="D1060" s="133" t="s">
        <v>477</v>
      </c>
      <c r="E1060" s="158">
        <v>4</v>
      </c>
      <c r="F1060" s="158">
        <v>0</v>
      </c>
      <c r="G1060" s="158">
        <v>0</v>
      </c>
      <c r="H1060" s="133" t="s">
        <v>479</v>
      </c>
      <c r="I1060" s="133" t="s">
        <v>479</v>
      </c>
      <c r="J1060" s="158">
        <v>0</v>
      </c>
      <c r="K1060" s="159" t="str">
        <f ca="1">IFERROR(__xludf.DUMMYFUNCTION("GOOGLETRANSLATE(H1060,""th"",""en"")"),"Null")</f>
        <v>Null</v>
      </c>
    </row>
    <row r="1061" spans="1:11" ht="15.75" hidden="1" customHeight="1">
      <c r="A1061" s="133" t="s">
        <v>7</v>
      </c>
      <c r="B1061" s="133" t="s">
        <v>321</v>
      </c>
      <c r="C1061" s="133" t="s">
        <v>1813</v>
      </c>
      <c r="D1061" s="133" t="s">
        <v>477</v>
      </c>
      <c r="E1061" s="158">
        <v>3</v>
      </c>
      <c r="F1061" s="158">
        <v>0</v>
      </c>
      <c r="G1061" s="158">
        <v>0</v>
      </c>
      <c r="H1061" s="133" t="s">
        <v>479</v>
      </c>
      <c r="I1061" s="133" t="s">
        <v>479</v>
      </c>
      <c r="J1061" s="158">
        <v>0</v>
      </c>
      <c r="K1061" s="159" t="str">
        <f ca="1">IFERROR(__xludf.DUMMYFUNCTION("GOOGLETRANSLATE(H1061,""th"",""en"")"),"Null")</f>
        <v>Null</v>
      </c>
    </row>
    <row r="1062" spans="1:11" ht="15.75" hidden="1" customHeight="1">
      <c r="A1062" s="133" t="s">
        <v>7</v>
      </c>
      <c r="B1062" s="133" t="s">
        <v>321</v>
      </c>
      <c r="C1062" s="133" t="s">
        <v>1814</v>
      </c>
      <c r="D1062" s="133" t="s">
        <v>477</v>
      </c>
      <c r="E1062" s="158">
        <v>2</v>
      </c>
      <c r="F1062" s="158">
        <v>0</v>
      </c>
      <c r="G1062" s="158">
        <v>0</v>
      </c>
      <c r="H1062" s="133" t="s">
        <v>479</v>
      </c>
      <c r="I1062" s="133" t="s">
        <v>479</v>
      </c>
      <c r="J1062" s="158">
        <v>0</v>
      </c>
      <c r="K1062" s="159" t="str">
        <f ca="1">IFERROR(__xludf.DUMMYFUNCTION("GOOGLETRANSLATE(H1062,""th"",""en"")"),"Null")</f>
        <v>Null</v>
      </c>
    </row>
    <row r="1063" spans="1:11" ht="15.75" hidden="1" customHeight="1">
      <c r="A1063" s="133" t="s">
        <v>7</v>
      </c>
      <c r="B1063" s="133" t="s">
        <v>321</v>
      </c>
      <c r="C1063" s="133" t="s">
        <v>1815</v>
      </c>
      <c r="D1063" s="133" t="s">
        <v>477</v>
      </c>
      <c r="E1063" s="158">
        <v>50</v>
      </c>
      <c r="F1063" s="158">
        <v>0</v>
      </c>
      <c r="G1063" s="158">
        <v>0</v>
      </c>
      <c r="H1063" s="133" t="s">
        <v>479</v>
      </c>
      <c r="I1063" s="133" t="s">
        <v>479</v>
      </c>
      <c r="J1063" s="158">
        <v>0</v>
      </c>
      <c r="K1063" s="159" t="str">
        <f ca="1">IFERROR(__xludf.DUMMYFUNCTION("GOOGLETRANSLATE(H1063,""th"",""en"")"),"Null")</f>
        <v>Null</v>
      </c>
    </row>
    <row r="1064" spans="1:11" ht="15.75" hidden="1" customHeight="1">
      <c r="A1064" s="133" t="s">
        <v>7</v>
      </c>
      <c r="B1064" s="133" t="s">
        <v>321</v>
      </c>
      <c r="C1064" s="133" t="s">
        <v>1816</v>
      </c>
      <c r="D1064" s="133" t="s">
        <v>477</v>
      </c>
      <c r="E1064" s="158">
        <v>50</v>
      </c>
      <c r="F1064" s="158">
        <v>0</v>
      </c>
      <c r="G1064" s="158">
        <v>0</v>
      </c>
      <c r="H1064" s="133" t="s">
        <v>479</v>
      </c>
      <c r="I1064" s="133" t="s">
        <v>479</v>
      </c>
      <c r="J1064" s="158">
        <v>0</v>
      </c>
      <c r="K1064" s="159" t="str">
        <f ca="1">IFERROR(__xludf.DUMMYFUNCTION("GOOGLETRANSLATE(H1064,""th"",""en"")"),"Null")</f>
        <v>Null</v>
      </c>
    </row>
    <row r="1065" spans="1:11" ht="15.75" hidden="1" customHeight="1">
      <c r="A1065" s="133" t="s">
        <v>7</v>
      </c>
      <c r="B1065" s="133" t="s">
        <v>321</v>
      </c>
      <c r="C1065" s="133" t="s">
        <v>1817</v>
      </c>
      <c r="D1065" s="133" t="s">
        <v>477</v>
      </c>
      <c r="E1065" s="158">
        <v>20</v>
      </c>
      <c r="F1065" s="158">
        <v>0</v>
      </c>
      <c r="G1065" s="158">
        <v>0</v>
      </c>
      <c r="H1065" s="133" t="s">
        <v>479</v>
      </c>
      <c r="I1065" s="133" t="s">
        <v>479</v>
      </c>
      <c r="J1065" s="158">
        <v>0</v>
      </c>
      <c r="K1065" s="159" t="str">
        <f ca="1">IFERROR(__xludf.DUMMYFUNCTION("GOOGLETRANSLATE(H1065,""th"",""en"")"),"Null")</f>
        <v>Null</v>
      </c>
    </row>
    <row r="1066" spans="1:11" ht="15.75" hidden="1" customHeight="1">
      <c r="A1066" s="133" t="s">
        <v>7</v>
      </c>
      <c r="B1066" s="133" t="s">
        <v>321</v>
      </c>
      <c r="C1066" s="133" t="s">
        <v>1818</v>
      </c>
      <c r="D1066" s="133" t="s">
        <v>477</v>
      </c>
      <c r="E1066" s="158">
        <v>100</v>
      </c>
      <c r="F1066" s="158">
        <v>0</v>
      </c>
      <c r="G1066" s="158">
        <v>0</v>
      </c>
      <c r="H1066" s="133" t="s">
        <v>479</v>
      </c>
      <c r="I1066" s="133" t="s">
        <v>479</v>
      </c>
      <c r="J1066" s="158">
        <v>0</v>
      </c>
      <c r="K1066" s="159" t="str">
        <f ca="1">IFERROR(__xludf.DUMMYFUNCTION("GOOGLETRANSLATE(H1066,""th"",""en"")"),"Null")</f>
        <v>Null</v>
      </c>
    </row>
    <row r="1067" spans="1:11" ht="15.75" hidden="1" customHeight="1">
      <c r="A1067" s="133" t="s">
        <v>7</v>
      </c>
      <c r="B1067" s="133" t="s">
        <v>321</v>
      </c>
      <c r="C1067" s="133" t="s">
        <v>1819</v>
      </c>
      <c r="D1067" s="133" t="s">
        <v>477</v>
      </c>
      <c r="E1067" s="158">
        <v>3</v>
      </c>
      <c r="F1067" s="158">
        <v>0</v>
      </c>
      <c r="G1067" s="158">
        <v>0</v>
      </c>
      <c r="H1067" s="133" t="s">
        <v>479</v>
      </c>
      <c r="I1067" s="133" t="s">
        <v>479</v>
      </c>
      <c r="J1067" s="158">
        <v>0</v>
      </c>
      <c r="K1067" s="159" t="str">
        <f ca="1">IFERROR(__xludf.DUMMYFUNCTION("GOOGLETRANSLATE(H1067,""th"",""en"")"),"Null")</f>
        <v>Null</v>
      </c>
    </row>
    <row r="1068" spans="1:11" ht="15.75" hidden="1" customHeight="1">
      <c r="A1068" s="133" t="s">
        <v>7</v>
      </c>
      <c r="B1068" s="133" t="s">
        <v>321</v>
      </c>
      <c r="C1068" s="133" t="s">
        <v>1594</v>
      </c>
      <c r="D1068" s="133" t="s">
        <v>477</v>
      </c>
      <c r="E1068" s="158">
        <v>50</v>
      </c>
      <c r="F1068" s="158">
        <v>0</v>
      </c>
      <c r="G1068" s="158">
        <v>0</v>
      </c>
      <c r="H1068" s="133" t="s">
        <v>479</v>
      </c>
      <c r="I1068" s="133" t="s">
        <v>548</v>
      </c>
      <c r="J1068" s="158">
        <v>0</v>
      </c>
      <c r="K1068" s="159" t="str">
        <f ca="1">IFERROR(__xludf.DUMMYFUNCTION("GOOGLETRANSLATE(H1068,""th"",""en"")"),"Null")</f>
        <v>Null</v>
      </c>
    </row>
    <row r="1069" spans="1:11" ht="15.75" hidden="1" customHeight="1">
      <c r="A1069" s="133" t="s">
        <v>7</v>
      </c>
      <c r="B1069" s="133" t="s">
        <v>321</v>
      </c>
      <c r="C1069" s="133" t="s">
        <v>1820</v>
      </c>
      <c r="D1069" s="133" t="s">
        <v>477</v>
      </c>
      <c r="E1069" s="158">
        <v>50</v>
      </c>
      <c r="F1069" s="158">
        <v>0</v>
      </c>
      <c r="G1069" s="158">
        <v>0</v>
      </c>
      <c r="H1069" s="133" t="s">
        <v>479</v>
      </c>
      <c r="I1069" s="133" t="s">
        <v>548</v>
      </c>
      <c r="J1069" s="158">
        <v>0</v>
      </c>
      <c r="K1069" s="159" t="str">
        <f ca="1">IFERROR(__xludf.DUMMYFUNCTION("GOOGLETRANSLATE(H1069,""th"",""en"")"),"Null")</f>
        <v>Null</v>
      </c>
    </row>
    <row r="1070" spans="1:11" ht="15.75" hidden="1" customHeight="1">
      <c r="A1070" s="133" t="s">
        <v>7</v>
      </c>
      <c r="B1070" s="133" t="s">
        <v>321</v>
      </c>
      <c r="C1070" s="133" t="s">
        <v>1592</v>
      </c>
      <c r="D1070" s="133" t="s">
        <v>477</v>
      </c>
      <c r="E1070" s="158">
        <v>50</v>
      </c>
      <c r="F1070" s="158">
        <v>0</v>
      </c>
      <c r="G1070" s="158">
        <v>0</v>
      </c>
      <c r="H1070" s="133" t="s">
        <v>479</v>
      </c>
      <c r="I1070" s="133" t="s">
        <v>548</v>
      </c>
      <c r="J1070" s="158">
        <v>0</v>
      </c>
      <c r="K1070" s="159" t="str">
        <f ca="1">IFERROR(__xludf.DUMMYFUNCTION("GOOGLETRANSLATE(H1070,""th"",""en"")"),"Null")</f>
        <v>Null</v>
      </c>
    </row>
    <row r="1071" spans="1:11" ht="15.75" hidden="1" customHeight="1">
      <c r="A1071" s="133" t="s">
        <v>7</v>
      </c>
      <c r="B1071" s="133" t="s">
        <v>385</v>
      </c>
      <c r="C1071" s="133" t="s">
        <v>458</v>
      </c>
      <c r="D1071" s="133" t="s">
        <v>477</v>
      </c>
      <c r="E1071" s="158">
        <v>15</v>
      </c>
      <c r="F1071" s="158">
        <v>0</v>
      </c>
      <c r="G1071" s="158">
        <v>0</v>
      </c>
      <c r="H1071" s="133" t="s">
        <v>1648</v>
      </c>
      <c r="I1071" s="133" t="s">
        <v>548</v>
      </c>
      <c r="J1071" s="158">
        <v>0</v>
      </c>
      <c r="K1071" s="159" t="str">
        <f ca="1">IFERROR(__xludf.DUMMYFUNCTION("GOOGLETRANSLATE(H1071,""th"",""en"")"),"Trial")</f>
        <v>Trial</v>
      </c>
    </row>
    <row r="1072" spans="1:11" ht="15.75" hidden="1" customHeight="1">
      <c r="A1072" s="133" t="s">
        <v>7</v>
      </c>
      <c r="B1072" s="133" t="s">
        <v>385</v>
      </c>
      <c r="C1072" s="133" t="s">
        <v>174</v>
      </c>
      <c r="D1072" s="133" t="s">
        <v>477</v>
      </c>
      <c r="E1072" s="158">
        <v>8</v>
      </c>
      <c r="F1072" s="158">
        <v>0</v>
      </c>
      <c r="G1072" s="158">
        <v>0</v>
      </c>
      <c r="H1072" s="133" t="s">
        <v>1648</v>
      </c>
      <c r="I1072" s="133" t="s">
        <v>548</v>
      </c>
      <c r="J1072" s="158">
        <v>0</v>
      </c>
      <c r="K1072" s="159" t="str">
        <f ca="1">IFERROR(__xludf.DUMMYFUNCTION("GOOGLETRANSLATE(H1072,""th"",""en"")"),"Trial")</f>
        <v>Trial</v>
      </c>
    </row>
    <row r="1073" spans="1:11" ht="15.75" hidden="1" customHeight="1">
      <c r="A1073" s="133" t="s">
        <v>7</v>
      </c>
      <c r="B1073" s="133" t="s">
        <v>385</v>
      </c>
      <c r="C1073" s="133" t="s">
        <v>1821</v>
      </c>
      <c r="D1073" s="133" t="s">
        <v>477</v>
      </c>
      <c r="E1073" s="158">
        <v>100</v>
      </c>
      <c r="F1073" s="158">
        <v>0</v>
      </c>
      <c r="G1073" s="158">
        <v>0</v>
      </c>
      <c r="H1073" s="133" t="s">
        <v>1648</v>
      </c>
      <c r="I1073" s="133" t="s">
        <v>548</v>
      </c>
      <c r="J1073" s="158">
        <v>0</v>
      </c>
      <c r="K1073" s="159" t="str">
        <f ca="1">IFERROR(__xludf.DUMMYFUNCTION("GOOGLETRANSLATE(H1073,""th"",""en"")"),"Trial")</f>
        <v>Trial</v>
      </c>
    </row>
    <row r="1074" spans="1:11" ht="15.75" hidden="1" customHeight="1">
      <c r="A1074" s="133" t="s">
        <v>7</v>
      </c>
      <c r="B1074" s="133" t="s">
        <v>385</v>
      </c>
      <c r="C1074" s="133" t="s">
        <v>191</v>
      </c>
      <c r="D1074" s="133" t="s">
        <v>477</v>
      </c>
      <c r="E1074" s="158">
        <v>9</v>
      </c>
      <c r="F1074" s="158">
        <v>0</v>
      </c>
      <c r="G1074" s="158">
        <v>0</v>
      </c>
      <c r="H1074" s="133" t="s">
        <v>1648</v>
      </c>
      <c r="I1074" s="133" t="s">
        <v>548</v>
      </c>
      <c r="J1074" s="158">
        <v>0</v>
      </c>
      <c r="K1074" s="159" t="str">
        <f ca="1">IFERROR(__xludf.DUMMYFUNCTION("GOOGLETRANSLATE(H1074,""th"",""en"")"),"Trial")</f>
        <v>Trial</v>
      </c>
    </row>
    <row r="1075" spans="1:11" ht="15.75" hidden="1" customHeight="1">
      <c r="A1075" s="133" t="s">
        <v>7</v>
      </c>
      <c r="B1075" s="133" t="s">
        <v>385</v>
      </c>
      <c r="C1075" s="133" t="s">
        <v>1410</v>
      </c>
      <c r="D1075" s="133" t="s">
        <v>477</v>
      </c>
      <c r="E1075" s="158">
        <v>100</v>
      </c>
      <c r="F1075" s="158">
        <v>0</v>
      </c>
      <c r="G1075" s="158">
        <v>0</v>
      </c>
      <c r="H1075" s="133" t="s">
        <v>1648</v>
      </c>
      <c r="I1075" s="133" t="s">
        <v>548</v>
      </c>
      <c r="J1075" s="158">
        <v>0</v>
      </c>
      <c r="K1075" s="159" t="str">
        <f ca="1">IFERROR(__xludf.DUMMYFUNCTION("GOOGLETRANSLATE(H1075,""th"",""en"")"),"Trial")</f>
        <v>Trial</v>
      </c>
    </row>
    <row r="1076" spans="1:11" ht="15.75" hidden="1" customHeight="1">
      <c r="A1076" s="133" t="s">
        <v>7</v>
      </c>
      <c r="B1076" s="133" t="s">
        <v>385</v>
      </c>
      <c r="C1076" s="133" t="s">
        <v>1822</v>
      </c>
      <c r="D1076" s="133" t="s">
        <v>477</v>
      </c>
      <c r="E1076" s="158">
        <v>20</v>
      </c>
      <c r="F1076" s="158">
        <v>0</v>
      </c>
      <c r="G1076" s="158">
        <v>0</v>
      </c>
      <c r="H1076" s="133" t="s">
        <v>1648</v>
      </c>
      <c r="I1076" s="133" t="s">
        <v>548</v>
      </c>
      <c r="J1076" s="158">
        <v>0</v>
      </c>
      <c r="K1076" s="159" t="str">
        <f ca="1">IFERROR(__xludf.DUMMYFUNCTION("GOOGLETRANSLATE(H1076,""th"",""en"")"),"Trial")</f>
        <v>Trial</v>
      </c>
    </row>
    <row r="1077" spans="1:11" ht="15.75" hidden="1" customHeight="1">
      <c r="A1077" s="133" t="s">
        <v>7</v>
      </c>
      <c r="B1077" s="133" t="s">
        <v>385</v>
      </c>
      <c r="C1077" s="133" t="s">
        <v>1440</v>
      </c>
      <c r="D1077" s="133" t="s">
        <v>717</v>
      </c>
      <c r="E1077" s="158">
        <v>5</v>
      </c>
      <c r="F1077" s="158">
        <v>9</v>
      </c>
      <c r="G1077" s="158">
        <v>2</v>
      </c>
      <c r="H1077" s="133" t="s">
        <v>1648</v>
      </c>
      <c r="I1077" s="133" t="s">
        <v>615</v>
      </c>
      <c r="J1077" s="158">
        <v>0</v>
      </c>
      <c r="K1077" s="159" t="str">
        <f ca="1">IFERROR(__xludf.DUMMYFUNCTION("GOOGLETRANSLATE(H1077,""th"",""en"")"),"Trial")</f>
        <v>Trial</v>
      </c>
    </row>
    <row r="1078" spans="1:11" ht="15.75" hidden="1" customHeight="1">
      <c r="A1078" s="133" t="s">
        <v>7</v>
      </c>
      <c r="B1078" s="133" t="s">
        <v>385</v>
      </c>
      <c r="C1078" s="133" t="s">
        <v>451</v>
      </c>
      <c r="D1078" s="133" t="s">
        <v>477</v>
      </c>
      <c r="E1078" s="158">
        <v>15</v>
      </c>
      <c r="F1078" s="158">
        <v>0</v>
      </c>
      <c r="G1078" s="158">
        <v>0</v>
      </c>
      <c r="H1078" s="133" t="s">
        <v>479</v>
      </c>
      <c r="I1078" s="133" t="s">
        <v>548</v>
      </c>
      <c r="J1078" s="158">
        <v>0</v>
      </c>
      <c r="K1078" s="159" t="str">
        <f ca="1">IFERROR(__xludf.DUMMYFUNCTION("GOOGLETRANSLATE(H1078,""th"",""en"")"),"Null")</f>
        <v>Null</v>
      </c>
    </row>
    <row r="1079" spans="1:11" ht="15.75" hidden="1" customHeight="1">
      <c r="A1079" s="133" t="s">
        <v>7</v>
      </c>
      <c r="B1079" s="133" t="s">
        <v>459</v>
      </c>
      <c r="C1079" s="133" t="s">
        <v>458</v>
      </c>
      <c r="D1079" s="133" t="s">
        <v>477</v>
      </c>
      <c r="E1079" s="158">
        <v>15</v>
      </c>
      <c r="F1079" s="158">
        <v>0</v>
      </c>
      <c r="G1079" s="158">
        <v>0</v>
      </c>
      <c r="H1079" s="133" t="s">
        <v>1648</v>
      </c>
      <c r="I1079" s="133" t="s">
        <v>548</v>
      </c>
      <c r="J1079" s="158">
        <v>0</v>
      </c>
      <c r="K1079" s="159" t="str">
        <f ca="1">IFERROR(__xludf.DUMMYFUNCTION("GOOGLETRANSLATE(H1079,""th"",""en"")"),"Trial")</f>
        <v>Trial</v>
      </c>
    </row>
    <row r="1080" spans="1:11" ht="15.75" hidden="1" customHeight="1">
      <c r="A1080" s="133" t="s">
        <v>7</v>
      </c>
      <c r="B1080" s="133" t="s">
        <v>459</v>
      </c>
      <c r="C1080" s="133" t="s">
        <v>1421</v>
      </c>
      <c r="D1080" s="133" t="s">
        <v>484</v>
      </c>
      <c r="E1080" s="158">
        <v>4</v>
      </c>
      <c r="F1080" s="158">
        <v>10</v>
      </c>
      <c r="G1080" s="158">
        <v>0</v>
      </c>
      <c r="H1080" s="133" t="s">
        <v>1648</v>
      </c>
      <c r="I1080" s="133" t="s">
        <v>615</v>
      </c>
      <c r="J1080" s="158">
        <v>0</v>
      </c>
      <c r="K1080" s="159" t="str">
        <f ca="1">IFERROR(__xludf.DUMMYFUNCTION("GOOGLETRANSLATE(H1080,""th"",""en"")"),"Trial")</f>
        <v>Trial</v>
      </c>
    </row>
    <row r="1081" spans="1:11" ht="15.75" hidden="1" customHeight="1">
      <c r="A1081" s="133" t="s">
        <v>7</v>
      </c>
      <c r="B1081" s="133" t="s">
        <v>459</v>
      </c>
      <c r="C1081" s="133" t="s">
        <v>1394</v>
      </c>
      <c r="D1081" s="133" t="s">
        <v>477</v>
      </c>
      <c r="E1081" s="158">
        <v>7</v>
      </c>
      <c r="F1081" s="158">
        <v>0</v>
      </c>
      <c r="G1081" s="158">
        <v>0</v>
      </c>
      <c r="H1081" s="133" t="s">
        <v>1648</v>
      </c>
      <c r="I1081" s="133" t="s">
        <v>548</v>
      </c>
      <c r="J1081" s="158">
        <v>0</v>
      </c>
      <c r="K1081" s="159" t="str">
        <f ca="1">IFERROR(__xludf.DUMMYFUNCTION("GOOGLETRANSLATE(H1081,""th"",""en"")"),"Trial")</f>
        <v>Trial</v>
      </c>
    </row>
    <row r="1082" spans="1:11" ht="15.75" hidden="1" customHeight="1">
      <c r="A1082" s="133" t="s">
        <v>7</v>
      </c>
      <c r="B1082" s="133" t="s">
        <v>459</v>
      </c>
      <c r="C1082" s="133" t="s">
        <v>1823</v>
      </c>
      <c r="D1082" s="133" t="s">
        <v>477</v>
      </c>
      <c r="E1082" s="158">
        <v>55</v>
      </c>
      <c r="F1082" s="158">
        <v>0</v>
      </c>
      <c r="G1082" s="158">
        <v>0</v>
      </c>
      <c r="H1082" s="133" t="s">
        <v>1648</v>
      </c>
      <c r="I1082" s="133" t="s">
        <v>548</v>
      </c>
      <c r="J1082" s="158">
        <v>0</v>
      </c>
      <c r="K1082" s="159" t="str">
        <f ca="1">IFERROR(__xludf.DUMMYFUNCTION("GOOGLETRANSLATE(H1082,""th"",""en"")"),"Trial")</f>
        <v>Trial</v>
      </c>
    </row>
    <row r="1083" spans="1:11" ht="15.75" hidden="1" customHeight="1">
      <c r="A1083" s="133" t="s">
        <v>7</v>
      </c>
      <c r="B1083" s="133" t="s">
        <v>459</v>
      </c>
      <c r="C1083" s="133" t="s">
        <v>1401</v>
      </c>
      <c r="D1083" s="133" t="s">
        <v>477</v>
      </c>
      <c r="E1083" s="158">
        <v>3</v>
      </c>
      <c r="F1083" s="158">
        <v>0</v>
      </c>
      <c r="G1083" s="158">
        <v>0</v>
      </c>
      <c r="H1083" s="133" t="s">
        <v>1648</v>
      </c>
      <c r="I1083" s="133" t="s">
        <v>596</v>
      </c>
      <c r="J1083" s="158">
        <v>0</v>
      </c>
      <c r="K1083" s="159" t="str">
        <f ca="1">IFERROR(__xludf.DUMMYFUNCTION("GOOGLETRANSLATE(H1083,""th"",""en"")"),"Trial")</f>
        <v>Trial</v>
      </c>
    </row>
    <row r="1084" spans="1:11" ht="15.75" hidden="1" customHeight="1">
      <c r="A1084" s="133" t="s">
        <v>7</v>
      </c>
      <c r="B1084" s="133" t="s">
        <v>459</v>
      </c>
      <c r="C1084" s="133" t="s">
        <v>1824</v>
      </c>
      <c r="D1084" s="133" t="s">
        <v>477</v>
      </c>
      <c r="E1084" s="158">
        <v>3</v>
      </c>
      <c r="F1084" s="158">
        <v>0</v>
      </c>
      <c r="G1084" s="158">
        <v>0</v>
      </c>
      <c r="H1084" s="133" t="s">
        <v>1648</v>
      </c>
      <c r="I1084" s="133" t="s">
        <v>596</v>
      </c>
      <c r="J1084" s="158">
        <v>0</v>
      </c>
      <c r="K1084" s="159" t="str">
        <f ca="1">IFERROR(__xludf.DUMMYFUNCTION("GOOGLETRANSLATE(H1084,""th"",""en"")"),"Trial")</f>
        <v>Trial</v>
      </c>
    </row>
    <row r="1085" spans="1:11" ht="15.75" hidden="1" customHeight="1">
      <c r="A1085" s="133" t="s">
        <v>7</v>
      </c>
      <c r="B1085" s="133" t="s">
        <v>459</v>
      </c>
      <c r="C1085" s="133" t="s">
        <v>1825</v>
      </c>
      <c r="D1085" s="133" t="s">
        <v>477</v>
      </c>
      <c r="E1085" s="158">
        <v>15</v>
      </c>
      <c r="F1085" s="158">
        <v>0</v>
      </c>
      <c r="G1085" s="158">
        <v>0</v>
      </c>
      <c r="H1085" s="133" t="s">
        <v>1648</v>
      </c>
      <c r="I1085" s="133" t="s">
        <v>548</v>
      </c>
      <c r="J1085" s="158">
        <v>0</v>
      </c>
      <c r="K1085" s="159" t="str">
        <f ca="1">IFERROR(__xludf.DUMMYFUNCTION("GOOGLETRANSLATE(H1085,""th"",""en"")"),"Trial")</f>
        <v>Trial</v>
      </c>
    </row>
    <row r="1086" spans="1:11" ht="15.75" hidden="1" customHeight="1">
      <c r="A1086" s="133" t="s">
        <v>7</v>
      </c>
      <c r="B1086" s="133" t="s">
        <v>459</v>
      </c>
      <c r="C1086" s="133" t="s">
        <v>1826</v>
      </c>
      <c r="D1086" s="133" t="s">
        <v>484</v>
      </c>
      <c r="E1086" s="158">
        <v>4</v>
      </c>
      <c r="F1086" s="158">
        <v>10</v>
      </c>
      <c r="G1086" s="158">
        <v>0</v>
      </c>
      <c r="H1086" s="133" t="s">
        <v>1648</v>
      </c>
      <c r="I1086" s="133" t="s">
        <v>615</v>
      </c>
      <c r="J1086" s="158">
        <v>0</v>
      </c>
      <c r="K1086" s="159" t="str">
        <f ca="1">IFERROR(__xludf.DUMMYFUNCTION("GOOGLETRANSLATE(H1086,""th"",""en"")"),"Trial")</f>
        <v>Trial</v>
      </c>
    </row>
    <row r="1087" spans="1:11" ht="15.75" hidden="1" customHeight="1">
      <c r="A1087" s="133" t="s">
        <v>7</v>
      </c>
      <c r="B1087" s="133" t="s">
        <v>459</v>
      </c>
      <c r="C1087" s="133" t="s">
        <v>1827</v>
      </c>
      <c r="D1087" s="133" t="s">
        <v>717</v>
      </c>
      <c r="E1087" s="158">
        <v>5</v>
      </c>
      <c r="F1087" s="158">
        <v>9</v>
      </c>
      <c r="G1087" s="158">
        <v>2</v>
      </c>
      <c r="H1087" s="133" t="s">
        <v>1648</v>
      </c>
      <c r="I1087" s="133" t="s">
        <v>1223</v>
      </c>
      <c r="J1087" s="158">
        <v>0</v>
      </c>
      <c r="K1087" s="159" t="str">
        <f ca="1">IFERROR(__xludf.DUMMYFUNCTION("GOOGLETRANSLATE(H1087,""th"",""en"")"),"Trial")</f>
        <v>Trial</v>
      </c>
    </row>
    <row r="1088" spans="1:11" ht="15.75" hidden="1" customHeight="1">
      <c r="A1088" s="133" t="s">
        <v>7</v>
      </c>
      <c r="B1088" s="133" t="s">
        <v>459</v>
      </c>
      <c r="C1088" s="133" t="s">
        <v>1828</v>
      </c>
      <c r="D1088" s="133" t="s">
        <v>717</v>
      </c>
      <c r="E1088" s="158">
        <v>5</v>
      </c>
      <c r="F1088" s="158">
        <v>9</v>
      </c>
      <c r="G1088" s="158">
        <v>2</v>
      </c>
      <c r="H1088" s="133" t="s">
        <v>1648</v>
      </c>
      <c r="I1088" s="133" t="s">
        <v>1223</v>
      </c>
      <c r="J1088" s="158">
        <v>0</v>
      </c>
      <c r="K1088" s="159" t="str">
        <f ca="1">IFERROR(__xludf.DUMMYFUNCTION("GOOGLETRANSLATE(H1088,""th"",""en"")"),"Trial")</f>
        <v>Trial</v>
      </c>
    </row>
    <row r="1089" spans="1:11" ht="15.75" hidden="1" customHeight="1">
      <c r="A1089" s="133" t="s">
        <v>7</v>
      </c>
      <c r="B1089" s="133" t="s">
        <v>459</v>
      </c>
      <c r="C1089" s="133" t="s">
        <v>1829</v>
      </c>
      <c r="D1089" s="133" t="s">
        <v>717</v>
      </c>
      <c r="E1089" s="158">
        <v>5</v>
      </c>
      <c r="F1089" s="158">
        <v>9</v>
      </c>
      <c r="G1089" s="158">
        <v>2</v>
      </c>
      <c r="H1089" s="133" t="s">
        <v>1648</v>
      </c>
      <c r="I1089" s="133" t="s">
        <v>1223</v>
      </c>
      <c r="J1089" s="158">
        <v>0</v>
      </c>
      <c r="K1089" s="159" t="str">
        <f ca="1">IFERROR(__xludf.DUMMYFUNCTION("GOOGLETRANSLATE(H1089,""th"",""en"")"),"Trial")</f>
        <v>Trial</v>
      </c>
    </row>
    <row r="1090" spans="1:11" ht="15.75" hidden="1" customHeight="1">
      <c r="A1090" s="133" t="s">
        <v>7</v>
      </c>
      <c r="B1090" s="133" t="s">
        <v>459</v>
      </c>
      <c r="C1090" s="133" t="s">
        <v>1830</v>
      </c>
      <c r="D1090" s="133" t="s">
        <v>717</v>
      </c>
      <c r="E1090" s="158">
        <v>5</v>
      </c>
      <c r="F1090" s="158">
        <v>9</v>
      </c>
      <c r="G1090" s="158">
        <v>2</v>
      </c>
      <c r="H1090" s="133" t="s">
        <v>1648</v>
      </c>
      <c r="I1090" s="133" t="s">
        <v>1223</v>
      </c>
      <c r="J1090" s="158">
        <v>0</v>
      </c>
      <c r="K1090" s="159" t="str">
        <f ca="1">IFERROR(__xludf.DUMMYFUNCTION("GOOGLETRANSLATE(H1090,""th"",""en"")"),"Trial")</f>
        <v>Trial</v>
      </c>
    </row>
    <row r="1091" spans="1:11" ht="15.75" hidden="1" customHeight="1">
      <c r="A1091" s="133" t="s">
        <v>7</v>
      </c>
      <c r="B1091" s="133" t="s">
        <v>459</v>
      </c>
      <c r="C1091" s="133" t="s">
        <v>1831</v>
      </c>
      <c r="D1091" s="133" t="s">
        <v>717</v>
      </c>
      <c r="E1091" s="158">
        <v>5</v>
      </c>
      <c r="F1091" s="158">
        <v>9</v>
      </c>
      <c r="G1091" s="158">
        <v>2</v>
      </c>
      <c r="H1091" s="133" t="s">
        <v>1648</v>
      </c>
      <c r="I1091" s="133" t="s">
        <v>1223</v>
      </c>
      <c r="J1091" s="158">
        <v>0</v>
      </c>
      <c r="K1091" s="159" t="str">
        <f ca="1">IFERROR(__xludf.DUMMYFUNCTION("GOOGLETRANSLATE(H1091,""th"",""en"")"),"Trial")</f>
        <v>Trial</v>
      </c>
    </row>
    <row r="1092" spans="1:11" ht="15.75" hidden="1" customHeight="1">
      <c r="A1092" s="133" t="s">
        <v>7</v>
      </c>
      <c r="B1092" s="133" t="s">
        <v>459</v>
      </c>
      <c r="C1092" s="133" t="s">
        <v>1832</v>
      </c>
      <c r="D1092" s="133" t="s">
        <v>717</v>
      </c>
      <c r="E1092" s="158">
        <v>5</v>
      </c>
      <c r="F1092" s="158">
        <v>9</v>
      </c>
      <c r="G1092" s="158">
        <v>2</v>
      </c>
      <c r="H1092" s="133" t="s">
        <v>1648</v>
      </c>
      <c r="I1092" s="133" t="s">
        <v>1223</v>
      </c>
      <c r="J1092" s="158">
        <v>0</v>
      </c>
      <c r="K1092" s="159" t="str">
        <f ca="1">IFERROR(__xludf.DUMMYFUNCTION("GOOGLETRANSLATE(H1092,""th"",""en"")"),"Trial")</f>
        <v>Trial</v>
      </c>
    </row>
    <row r="1093" spans="1:11" ht="15.75" hidden="1" customHeight="1">
      <c r="A1093" s="133" t="s">
        <v>7</v>
      </c>
      <c r="B1093" s="133" t="s">
        <v>459</v>
      </c>
      <c r="C1093" s="133" t="s">
        <v>1833</v>
      </c>
      <c r="D1093" s="133" t="s">
        <v>717</v>
      </c>
      <c r="E1093" s="158">
        <v>5</v>
      </c>
      <c r="F1093" s="158">
        <v>9</v>
      </c>
      <c r="G1093" s="158">
        <v>2</v>
      </c>
      <c r="H1093" s="133" t="s">
        <v>1648</v>
      </c>
      <c r="I1093" s="133" t="s">
        <v>1223</v>
      </c>
      <c r="J1093" s="158">
        <v>0</v>
      </c>
      <c r="K1093" s="159" t="str">
        <f ca="1">IFERROR(__xludf.DUMMYFUNCTION("GOOGLETRANSLATE(H1093,""th"",""en"")"),"Trial")</f>
        <v>Trial</v>
      </c>
    </row>
    <row r="1094" spans="1:11" ht="15.75" hidden="1" customHeight="1">
      <c r="A1094" s="133" t="s">
        <v>7</v>
      </c>
      <c r="B1094" s="133" t="s">
        <v>459</v>
      </c>
      <c r="C1094" s="133" t="s">
        <v>1834</v>
      </c>
      <c r="D1094" s="133" t="s">
        <v>477</v>
      </c>
      <c r="E1094" s="158">
        <v>3</v>
      </c>
      <c r="F1094" s="158">
        <v>0</v>
      </c>
      <c r="G1094" s="158">
        <v>0</v>
      </c>
      <c r="H1094" s="133" t="s">
        <v>1648</v>
      </c>
      <c r="I1094" s="133" t="s">
        <v>596</v>
      </c>
      <c r="J1094" s="158">
        <v>0</v>
      </c>
      <c r="K1094" s="159" t="str">
        <f ca="1">IFERROR(__xludf.DUMMYFUNCTION("GOOGLETRANSLATE(H1094,""th"",""en"")"),"Trial")</f>
        <v>Trial</v>
      </c>
    </row>
    <row r="1095" spans="1:11" ht="15.75" hidden="1" customHeight="1">
      <c r="A1095" s="133" t="s">
        <v>7</v>
      </c>
      <c r="B1095" s="133" t="s">
        <v>459</v>
      </c>
      <c r="C1095" s="133" t="s">
        <v>1835</v>
      </c>
      <c r="D1095" s="133" t="s">
        <v>477</v>
      </c>
      <c r="E1095" s="158">
        <v>10</v>
      </c>
      <c r="F1095" s="158">
        <v>0</v>
      </c>
      <c r="G1095" s="158">
        <v>0</v>
      </c>
      <c r="H1095" s="133" t="s">
        <v>1648</v>
      </c>
      <c r="I1095" s="133" t="s">
        <v>548</v>
      </c>
      <c r="J1095" s="158">
        <v>0</v>
      </c>
      <c r="K1095" s="159" t="str">
        <f ca="1">IFERROR(__xludf.DUMMYFUNCTION("GOOGLETRANSLATE(H1095,""th"",""en"")"),"Trial")</f>
        <v>Trial</v>
      </c>
    </row>
    <row r="1096" spans="1:11" ht="15.75" hidden="1" customHeight="1">
      <c r="A1096" s="133" t="s">
        <v>7</v>
      </c>
      <c r="B1096" s="133" t="s">
        <v>459</v>
      </c>
      <c r="C1096" s="133" t="s">
        <v>1836</v>
      </c>
      <c r="D1096" s="133" t="s">
        <v>477</v>
      </c>
      <c r="E1096" s="158">
        <v>3</v>
      </c>
      <c r="F1096" s="158">
        <v>0</v>
      </c>
      <c r="G1096" s="158">
        <v>0</v>
      </c>
      <c r="H1096" s="133" t="s">
        <v>479</v>
      </c>
      <c r="I1096" s="133" t="s">
        <v>596</v>
      </c>
      <c r="J1096" s="158">
        <v>0</v>
      </c>
      <c r="K1096" s="159" t="str">
        <f ca="1">IFERROR(__xludf.DUMMYFUNCTION("GOOGLETRANSLATE(H1096,""th"",""en"")"),"Null")</f>
        <v>Null</v>
      </c>
    </row>
    <row r="1097" spans="1:11" ht="15.75" hidden="1" customHeight="1">
      <c r="A1097" s="133" t="s">
        <v>7</v>
      </c>
      <c r="B1097" s="133" t="s">
        <v>459</v>
      </c>
      <c r="C1097" s="133" t="s">
        <v>1837</v>
      </c>
      <c r="D1097" s="133" t="s">
        <v>477</v>
      </c>
      <c r="E1097" s="158">
        <v>200</v>
      </c>
      <c r="F1097" s="158">
        <v>0</v>
      </c>
      <c r="G1097" s="158">
        <v>0</v>
      </c>
      <c r="H1097" s="133" t="s">
        <v>479</v>
      </c>
      <c r="I1097" s="133" t="s">
        <v>548</v>
      </c>
      <c r="J1097" s="158">
        <v>0</v>
      </c>
      <c r="K1097" s="159" t="str">
        <f ca="1">IFERROR(__xludf.DUMMYFUNCTION("GOOGLETRANSLATE(H1097,""th"",""en"")"),"Null")</f>
        <v>Null</v>
      </c>
    </row>
    <row r="1098" spans="1:11" ht="15.75" hidden="1" customHeight="1">
      <c r="A1098" s="133" t="s">
        <v>7</v>
      </c>
      <c r="B1098" s="133" t="s">
        <v>459</v>
      </c>
      <c r="C1098" s="133" t="s">
        <v>1838</v>
      </c>
      <c r="D1098" s="133" t="s">
        <v>477</v>
      </c>
      <c r="E1098" s="158">
        <v>100</v>
      </c>
      <c r="F1098" s="158">
        <v>0</v>
      </c>
      <c r="G1098" s="158">
        <v>0</v>
      </c>
      <c r="H1098" s="133" t="s">
        <v>479</v>
      </c>
      <c r="I1098" s="133" t="s">
        <v>548</v>
      </c>
      <c r="J1098" s="158">
        <v>0</v>
      </c>
      <c r="K1098" s="159" t="str">
        <f ca="1">IFERROR(__xludf.DUMMYFUNCTION("GOOGLETRANSLATE(H1098,""th"",""en"")"),"Null")</f>
        <v>Null</v>
      </c>
    </row>
    <row r="1099" spans="1:11" ht="15.75" hidden="1" customHeight="1">
      <c r="A1099" s="133" t="s">
        <v>7</v>
      </c>
      <c r="B1099" s="133" t="s">
        <v>459</v>
      </c>
      <c r="C1099" s="133" t="s">
        <v>1839</v>
      </c>
      <c r="D1099" s="133" t="s">
        <v>477</v>
      </c>
      <c r="E1099" s="158">
        <v>3</v>
      </c>
      <c r="F1099" s="158">
        <v>0</v>
      </c>
      <c r="G1099" s="158">
        <v>0</v>
      </c>
      <c r="H1099" s="133" t="s">
        <v>479</v>
      </c>
      <c r="I1099" s="133" t="s">
        <v>596</v>
      </c>
      <c r="J1099" s="158">
        <v>0</v>
      </c>
      <c r="K1099" s="159" t="str">
        <f ca="1">IFERROR(__xludf.DUMMYFUNCTION("GOOGLETRANSLATE(H1099,""th"",""en"")"),"Null")</f>
        <v>Null</v>
      </c>
    </row>
    <row r="1100" spans="1:11" ht="15.75" hidden="1" customHeight="1">
      <c r="A1100" s="133" t="s">
        <v>7</v>
      </c>
      <c r="B1100" s="133" t="s">
        <v>459</v>
      </c>
      <c r="C1100" s="133" t="s">
        <v>1840</v>
      </c>
      <c r="D1100" s="133" t="s">
        <v>477</v>
      </c>
      <c r="E1100" s="158">
        <v>3</v>
      </c>
      <c r="F1100" s="158">
        <v>0</v>
      </c>
      <c r="G1100" s="158">
        <v>0</v>
      </c>
      <c r="H1100" s="133" t="s">
        <v>479</v>
      </c>
      <c r="I1100" s="133" t="s">
        <v>596</v>
      </c>
      <c r="J1100" s="158">
        <v>0</v>
      </c>
      <c r="K1100" s="159" t="str">
        <f ca="1">IFERROR(__xludf.DUMMYFUNCTION("GOOGLETRANSLATE(H1100,""th"",""en"")"),"Null")</f>
        <v>Null</v>
      </c>
    </row>
    <row r="1101" spans="1:11" ht="15.75" hidden="1" customHeight="1">
      <c r="A1101" s="133" t="s">
        <v>7</v>
      </c>
      <c r="B1101" s="133" t="s">
        <v>459</v>
      </c>
      <c r="C1101" s="133" t="s">
        <v>1841</v>
      </c>
      <c r="D1101" s="133" t="s">
        <v>477</v>
      </c>
      <c r="E1101" s="158">
        <v>20</v>
      </c>
      <c r="F1101" s="158">
        <v>0</v>
      </c>
      <c r="G1101" s="158">
        <v>0</v>
      </c>
      <c r="H1101" s="133" t="s">
        <v>479</v>
      </c>
      <c r="I1101" s="133" t="s">
        <v>548</v>
      </c>
      <c r="J1101" s="158">
        <v>0</v>
      </c>
      <c r="K1101" s="159" t="str">
        <f ca="1">IFERROR(__xludf.DUMMYFUNCTION("GOOGLETRANSLATE(H1101,""th"",""en"")"),"Null")</f>
        <v>Null</v>
      </c>
    </row>
    <row r="1102" spans="1:11" ht="15.75" hidden="1" customHeight="1">
      <c r="A1102" s="133" t="s">
        <v>7</v>
      </c>
      <c r="B1102" s="133" t="s">
        <v>459</v>
      </c>
      <c r="C1102" s="133" t="s">
        <v>1842</v>
      </c>
      <c r="D1102" s="133" t="s">
        <v>477</v>
      </c>
      <c r="E1102" s="158">
        <v>20</v>
      </c>
      <c r="F1102" s="158">
        <v>0</v>
      </c>
      <c r="G1102" s="158">
        <v>0</v>
      </c>
      <c r="H1102" s="160"/>
      <c r="I1102" s="133" t="s">
        <v>548</v>
      </c>
      <c r="J1102" s="158">
        <v>0</v>
      </c>
      <c r="K1102" s="159" t="str">
        <f ca="1">IFERROR(__xludf.DUMMYFUNCTION("GOOGLETRANSLATE(H1102,""th"",""en"")"),"#VALUE!")</f>
        <v>#VALUE!</v>
      </c>
    </row>
    <row r="1103" spans="1:11" ht="15.75" hidden="1" customHeight="1">
      <c r="A1103" s="133" t="s">
        <v>7</v>
      </c>
      <c r="B1103" s="133" t="s">
        <v>457</v>
      </c>
      <c r="C1103" s="133" t="s">
        <v>458</v>
      </c>
      <c r="D1103" s="133" t="s">
        <v>477</v>
      </c>
      <c r="E1103" s="158">
        <v>15</v>
      </c>
      <c r="F1103" s="158">
        <v>0</v>
      </c>
      <c r="G1103" s="158">
        <v>0</v>
      </c>
      <c r="H1103" s="133" t="s">
        <v>1648</v>
      </c>
      <c r="I1103" s="133" t="s">
        <v>548</v>
      </c>
      <c r="J1103" s="158">
        <v>0</v>
      </c>
      <c r="K1103" s="159" t="str">
        <f ca="1">IFERROR(__xludf.DUMMYFUNCTION("GOOGLETRANSLATE(H1103,""th"",""en"")"),"Trial")</f>
        <v>Trial</v>
      </c>
    </row>
    <row r="1104" spans="1:11" ht="15.75" hidden="1" customHeight="1">
      <c r="A1104" s="133" t="s">
        <v>7</v>
      </c>
      <c r="B1104" s="133" t="s">
        <v>457</v>
      </c>
      <c r="C1104" s="133" t="s">
        <v>1843</v>
      </c>
      <c r="D1104" s="133" t="s">
        <v>496</v>
      </c>
      <c r="E1104" s="158">
        <v>4</v>
      </c>
      <c r="F1104" s="158">
        <v>16</v>
      </c>
      <c r="G1104" s="158">
        <v>0</v>
      </c>
      <c r="H1104" s="133" t="s">
        <v>1648</v>
      </c>
      <c r="I1104" s="133" t="s">
        <v>1284</v>
      </c>
      <c r="J1104" s="158">
        <v>0</v>
      </c>
      <c r="K1104" s="159" t="str">
        <f ca="1">IFERROR(__xludf.DUMMYFUNCTION("GOOGLETRANSLATE(H1104,""th"",""en"")"),"Trial")</f>
        <v>Trial</v>
      </c>
    </row>
    <row r="1105" spans="1:11" ht="15.75" hidden="1" customHeight="1">
      <c r="A1105" s="133" t="s">
        <v>7</v>
      </c>
      <c r="B1105" s="133" t="s">
        <v>457</v>
      </c>
      <c r="C1105" s="133" t="s">
        <v>1419</v>
      </c>
      <c r="D1105" s="133" t="s">
        <v>477</v>
      </c>
      <c r="E1105" s="158">
        <v>15</v>
      </c>
      <c r="F1105" s="158">
        <v>0</v>
      </c>
      <c r="G1105" s="158">
        <v>0</v>
      </c>
      <c r="H1105" s="133" t="s">
        <v>1648</v>
      </c>
      <c r="I1105" s="133" t="s">
        <v>548</v>
      </c>
      <c r="J1105" s="158">
        <v>0</v>
      </c>
      <c r="K1105" s="159" t="str">
        <f ca="1">IFERROR(__xludf.DUMMYFUNCTION("GOOGLETRANSLATE(H1105,""th"",""en"")"),"Trial")</f>
        <v>Trial</v>
      </c>
    </row>
    <row r="1106" spans="1:11" ht="15.75" hidden="1" customHeight="1">
      <c r="A1106" s="133" t="s">
        <v>7</v>
      </c>
      <c r="B1106" s="133" t="s">
        <v>457</v>
      </c>
      <c r="C1106" s="133" t="s">
        <v>1844</v>
      </c>
      <c r="D1106" s="133" t="s">
        <v>477</v>
      </c>
      <c r="E1106" s="158">
        <v>15</v>
      </c>
      <c r="F1106" s="158">
        <v>0</v>
      </c>
      <c r="G1106" s="158">
        <v>0</v>
      </c>
      <c r="H1106" s="133" t="s">
        <v>1648</v>
      </c>
      <c r="I1106" s="133" t="s">
        <v>548</v>
      </c>
      <c r="J1106" s="158">
        <v>0</v>
      </c>
      <c r="K1106" s="159" t="str">
        <f ca="1">IFERROR(__xludf.DUMMYFUNCTION("GOOGLETRANSLATE(H1106,""th"",""en"")"),"Trial")</f>
        <v>Trial</v>
      </c>
    </row>
    <row r="1107" spans="1:11" ht="15.75" hidden="1" customHeight="1">
      <c r="A1107" s="133" t="s">
        <v>7</v>
      </c>
      <c r="B1107" s="133" t="s">
        <v>457</v>
      </c>
      <c r="C1107" s="133" t="s">
        <v>451</v>
      </c>
      <c r="D1107" s="133" t="s">
        <v>477</v>
      </c>
      <c r="E1107" s="158">
        <v>15</v>
      </c>
      <c r="F1107" s="158">
        <v>0</v>
      </c>
      <c r="G1107" s="158">
        <v>0</v>
      </c>
      <c r="H1107" s="133" t="s">
        <v>1648</v>
      </c>
      <c r="I1107" s="133" t="s">
        <v>548</v>
      </c>
      <c r="J1107" s="158">
        <v>0</v>
      </c>
      <c r="K1107" s="159" t="str">
        <f ca="1">IFERROR(__xludf.DUMMYFUNCTION("GOOGLETRANSLATE(H1107,""th"",""en"")"),"Trial")</f>
        <v>Trial</v>
      </c>
    </row>
    <row r="1108" spans="1:11" ht="15.75" hidden="1" customHeight="1">
      <c r="A1108" s="133" t="s">
        <v>7</v>
      </c>
      <c r="B1108" s="133" t="s">
        <v>457</v>
      </c>
      <c r="C1108" s="133" t="s">
        <v>1845</v>
      </c>
      <c r="D1108" s="133" t="s">
        <v>477</v>
      </c>
      <c r="E1108" s="158">
        <v>10</v>
      </c>
      <c r="F1108" s="158">
        <v>0</v>
      </c>
      <c r="G1108" s="158">
        <v>0</v>
      </c>
      <c r="H1108" s="133" t="s">
        <v>1648</v>
      </c>
      <c r="I1108" s="133" t="s">
        <v>548</v>
      </c>
      <c r="J1108" s="158">
        <v>0</v>
      </c>
      <c r="K1108" s="159" t="str">
        <f ca="1">IFERROR(__xludf.DUMMYFUNCTION("GOOGLETRANSLATE(H1108,""th"",""en"")"),"Trial")</f>
        <v>Trial</v>
      </c>
    </row>
    <row r="1109" spans="1:11" ht="15.75" hidden="1" customHeight="1">
      <c r="A1109" s="133" t="s">
        <v>7</v>
      </c>
      <c r="B1109" s="133" t="s">
        <v>457</v>
      </c>
      <c r="C1109" s="133" t="s">
        <v>1846</v>
      </c>
      <c r="D1109" s="133" t="s">
        <v>477</v>
      </c>
      <c r="E1109" s="158">
        <v>3</v>
      </c>
      <c r="F1109" s="158">
        <v>0</v>
      </c>
      <c r="G1109" s="158">
        <v>0</v>
      </c>
      <c r="H1109" s="133" t="s">
        <v>479</v>
      </c>
      <c r="I1109" s="133" t="s">
        <v>548</v>
      </c>
      <c r="J1109" s="158">
        <v>0</v>
      </c>
      <c r="K1109" s="159" t="str">
        <f ca="1">IFERROR(__xludf.DUMMYFUNCTION("GOOGLETRANSLATE(H1109,""th"",""en"")"),"Null")</f>
        <v>Null</v>
      </c>
    </row>
    <row r="1110" spans="1:11" ht="15.75" hidden="1" customHeight="1">
      <c r="A1110" s="133" t="s">
        <v>7</v>
      </c>
      <c r="B1110" s="133" t="s">
        <v>457</v>
      </c>
      <c r="C1110" s="133" t="s">
        <v>1847</v>
      </c>
      <c r="D1110" s="133" t="s">
        <v>477</v>
      </c>
      <c r="E1110" s="158">
        <v>10</v>
      </c>
      <c r="F1110" s="158">
        <v>0</v>
      </c>
      <c r="G1110" s="158">
        <v>0</v>
      </c>
      <c r="H1110" s="133" t="s">
        <v>1648</v>
      </c>
      <c r="I1110" s="133" t="s">
        <v>548</v>
      </c>
      <c r="J1110" s="158">
        <v>0</v>
      </c>
      <c r="K1110" s="159" t="str">
        <f ca="1">IFERROR(__xludf.DUMMYFUNCTION("GOOGLETRANSLATE(H1110,""th"",""en"")"),"Trial")</f>
        <v>Trial</v>
      </c>
    </row>
    <row r="1111" spans="1:11" ht="15.75" hidden="1" customHeight="1">
      <c r="A1111" s="133" t="s">
        <v>7</v>
      </c>
      <c r="B1111" s="133" t="s">
        <v>457</v>
      </c>
      <c r="C1111" s="133" t="s">
        <v>1848</v>
      </c>
      <c r="D1111" s="133" t="s">
        <v>477</v>
      </c>
      <c r="E1111" s="158">
        <v>50</v>
      </c>
      <c r="F1111" s="158">
        <v>0</v>
      </c>
      <c r="G1111" s="158">
        <v>0</v>
      </c>
      <c r="H1111" s="133" t="s">
        <v>1648</v>
      </c>
      <c r="I1111" s="133" t="s">
        <v>548</v>
      </c>
      <c r="J1111" s="158">
        <v>0</v>
      </c>
      <c r="K1111" s="159" t="str">
        <f ca="1">IFERROR(__xludf.DUMMYFUNCTION("GOOGLETRANSLATE(H1111,""th"",""en"")"),"Trial")</f>
        <v>Trial</v>
      </c>
    </row>
    <row r="1112" spans="1:11" ht="15.75" hidden="1" customHeight="1">
      <c r="A1112" s="133" t="s">
        <v>7</v>
      </c>
      <c r="B1112" s="133" t="s">
        <v>457</v>
      </c>
      <c r="C1112" s="133" t="s">
        <v>1849</v>
      </c>
      <c r="D1112" s="133" t="s">
        <v>477</v>
      </c>
      <c r="E1112" s="158">
        <v>10</v>
      </c>
      <c r="F1112" s="158">
        <v>0</v>
      </c>
      <c r="G1112" s="158">
        <v>0</v>
      </c>
      <c r="H1112" s="133" t="s">
        <v>1648</v>
      </c>
      <c r="I1112" s="133" t="s">
        <v>548</v>
      </c>
      <c r="J1112" s="158">
        <v>0</v>
      </c>
      <c r="K1112" s="159" t="str">
        <f ca="1">IFERROR(__xludf.DUMMYFUNCTION("GOOGLETRANSLATE(H1112,""th"",""en"")"),"Trial")</f>
        <v>Trial</v>
      </c>
    </row>
    <row r="1113" spans="1:11" ht="15.75" hidden="1" customHeight="1">
      <c r="A1113" s="133" t="s">
        <v>7</v>
      </c>
      <c r="B1113" s="133" t="s">
        <v>457</v>
      </c>
      <c r="C1113" s="133" t="s">
        <v>1850</v>
      </c>
      <c r="D1113" s="133" t="s">
        <v>477</v>
      </c>
      <c r="E1113" s="158">
        <v>20</v>
      </c>
      <c r="F1113" s="158">
        <v>0</v>
      </c>
      <c r="G1113" s="158">
        <v>0</v>
      </c>
      <c r="H1113" s="133" t="s">
        <v>479</v>
      </c>
      <c r="I1113" s="133" t="s">
        <v>548</v>
      </c>
      <c r="J1113" s="158">
        <v>0</v>
      </c>
      <c r="K1113" s="159" t="str">
        <f ca="1">IFERROR(__xludf.DUMMYFUNCTION("GOOGLETRANSLATE(H1113,""th"",""en"")"),"Null")</f>
        <v>Null</v>
      </c>
    </row>
    <row r="1114" spans="1:11" ht="15.75" hidden="1" customHeight="1">
      <c r="A1114" s="133" t="s">
        <v>7</v>
      </c>
      <c r="B1114" s="133" t="s">
        <v>457</v>
      </c>
      <c r="C1114" s="133" t="s">
        <v>1851</v>
      </c>
      <c r="D1114" s="133" t="s">
        <v>496</v>
      </c>
      <c r="E1114" s="158">
        <v>4</v>
      </c>
      <c r="F1114" s="158">
        <v>16</v>
      </c>
      <c r="G1114" s="158">
        <v>0</v>
      </c>
      <c r="H1114" s="133" t="s">
        <v>1648</v>
      </c>
      <c r="I1114" s="133" t="s">
        <v>1284</v>
      </c>
      <c r="J1114" s="158">
        <v>0</v>
      </c>
      <c r="K1114" s="159" t="str">
        <f ca="1">IFERROR(__xludf.DUMMYFUNCTION("GOOGLETRANSLATE(H1114,""th"",""en"")"),"Trial")</f>
        <v>Trial</v>
      </c>
    </row>
    <row r="1115" spans="1:11" ht="15.75" hidden="1" customHeight="1">
      <c r="A1115" s="133" t="s">
        <v>7</v>
      </c>
      <c r="B1115" s="133" t="s">
        <v>457</v>
      </c>
      <c r="C1115" s="133" t="s">
        <v>1852</v>
      </c>
      <c r="D1115" s="133" t="s">
        <v>496</v>
      </c>
      <c r="E1115" s="158">
        <v>4</v>
      </c>
      <c r="F1115" s="158">
        <v>16</v>
      </c>
      <c r="G1115" s="158">
        <v>0</v>
      </c>
      <c r="H1115" s="133" t="s">
        <v>1648</v>
      </c>
      <c r="I1115" s="133" t="s">
        <v>1284</v>
      </c>
      <c r="J1115" s="158">
        <v>0</v>
      </c>
      <c r="K1115" s="159" t="str">
        <f ca="1">IFERROR(__xludf.DUMMYFUNCTION("GOOGLETRANSLATE(H1115,""th"",""en"")"),"Trial")</f>
        <v>Trial</v>
      </c>
    </row>
    <row r="1116" spans="1:11" ht="15.75" hidden="1" customHeight="1">
      <c r="A1116" s="133" t="s">
        <v>7</v>
      </c>
      <c r="B1116" s="133" t="s">
        <v>457</v>
      </c>
      <c r="C1116" s="133" t="s">
        <v>191</v>
      </c>
      <c r="D1116" s="133" t="s">
        <v>477</v>
      </c>
      <c r="E1116" s="158">
        <v>9</v>
      </c>
      <c r="F1116" s="158">
        <v>0</v>
      </c>
      <c r="G1116" s="158">
        <v>0</v>
      </c>
      <c r="H1116" s="133" t="s">
        <v>1648</v>
      </c>
      <c r="I1116" s="133" t="s">
        <v>548</v>
      </c>
      <c r="J1116" s="158">
        <v>0</v>
      </c>
      <c r="K1116" s="159" t="str">
        <f ca="1">IFERROR(__xludf.DUMMYFUNCTION("GOOGLETRANSLATE(H1116,""th"",""en"")"),"Trial")</f>
        <v>Trial</v>
      </c>
    </row>
    <row r="1117" spans="1:11" ht="15.75" hidden="1" customHeight="1">
      <c r="A1117" s="133" t="s">
        <v>7</v>
      </c>
      <c r="B1117" s="133" t="s">
        <v>457</v>
      </c>
      <c r="C1117" s="133" t="s">
        <v>1410</v>
      </c>
      <c r="D1117" s="133" t="s">
        <v>477</v>
      </c>
      <c r="E1117" s="158">
        <v>100</v>
      </c>
      <c r="F1117" s="158">
        <v>0</v>
      </c>
      <c r="G1117" s="158">
        <v>0</v>
      </c>
      <c r="H1117" s="133" t="s">
        <v>1648</v>
      </c>
      <c r="I1117" s="133" t="s">
        <v>548</v>
      </c>
      <c r="J1117" s="158">
        <v>0</v>
      </c>
      <c r="K1117" s="159" t="str">
        <f ca="1">IFERROR(__xludf.DUMMYFUNCTION("GOOGLETRANSLATE(H1117,""th"",""en"")"),"Trial")</f>
        <v>Trial</v>
      </c>
    </row>
    <row r="1118" spans="1:11" ht="15.75" hidden="1" customHeight="1">
      <c r="A1118" s="133" t="s">
        <v>7</v>
      </c>
      <c r="B1118" s="133" t="s">
        <v>457</v>
      </c>
      <c r="C1118" s="133" t="s">
        <v>174</v>
      </c>
      <c r="D1118" s="133" t="s">
        <v>477</v>
      </c>
      <c r="E1118" s="158">
        <v>8</v>
      </c>
      <c r="F1118" s="158">
        <v>0</v>
      </c>
      <c r="G1118" s="158">
        <v>0</v>
      </c>
      <c r="H1118" s="133" t="s">
        <v>1648</v>
      </c>
      <c r="I1118" s="133" t="s">
        <v>548</v>
      </c>
      <c r="J1118" s="158">
        <v>0</v>
      </c>
      <c r="K1118" s="159" t="str">
        <f ca="1">IFERROR(__xludf.DUMMYFUNCTION("GOOGLETRANSLATE(H1118,""th"",""en"")"),"Trial")</f>
        <v>Trial</v>
      </c>
    </row>
    <row r="1119" spans="1:11" ht="15.75" hidden="1" customHeight="1">
      <c r="A1119" s="133" t="s">
        <v>7</v>
      </c>
      <c r="B1119" s="133" t="s">
        <v>457</v>
      </c>
      <c r="C1119" s="133" t="s">
        <v>1821</v>
      </c>
      <c r="D1119" s="133" t="s">
        <v>477</v>
      </c>
      <c r="E1119" s="158">
        <v>100</v>
      </c>
      <c r="F1119" s="158">
        <v>0</v>
      </c>
      <c r="G1119" s="158">
        <v>0</v>
      </c>
      <c r="H1119" s="133" t="s">
        <v>1648</v>
      </c>
      <c r="I1119" s="133" t="s">
        <v>548</v>
      </c>
      <c r="J1119" s="158">
        <v>0</v>
      </c>
      <c r="K1119" s="159" t="str">
        <f ca="1">IFERROR(__xludf.DUMMYFUNCTION("GOOGLETRANSLATE(H1119,""th"",""en"")"),"Trial")</f>
        <v>Trial</v>
      </c>
    </row>
    <row r="1120" spans="1:11" ht="15.75" hidden="1" customHeight="1">
      <c r="A1120" s="133" t="s">
        <v>7</v>
      </c>
      <c r="B1120" s="133" t="s">
        <v>457</v>
      </c>
      <c r="C1120" s="133" t="s">
        <v>1822</v>
      </c>
      <c r="D1120" s="133" t="s">
        <v>477</v>
      </c>
      <c r="E1120" s="158">
        <v>20</v>
      </c>
      <c r="F1120" s="158">
        <v>0</v>
      </c>
      <c r="G1120" s="158">
        <v>0</v>
      </c>
      <c r="H1120" s="133" t="s">
        <v>1648</v>
      </c>
      <c r="I1120" s="133" t="s">
        <v>548</v>
      </c>
      <c r="J1120" s="158">
        <v>0</v>
      </c>
      <c r="K1120" s="159" t="str">
        <f ca="1">IFERROR(__xludf.DUMMYFUNCTION("GOOGLETRANSLATE(H1120,""th"",""en"")"),"Trial")</f>
        <v>Trial</v>
      </c>
    </row>
    <row r="1121" spans="1:11" ht="15.75" hidden="1" customHeight="1">
      <c r="A1121" s="133" t="s">
        <v>7</v>
      </c>
      <c r="B1121" s="133" t="s">
        <v>457</v>
      </c>
      <c r="C1121" s="133" t="s">
        <v>1440</v>
      </c>
      <c r="D1121" s="133" t="s">
        <v>717</v>
      </c>
      <c r="E1121" s="158">
        <v>5</v>
      </c>
      <c r="F1121" s="158">
        <v>9</v>
      </c>
      <c r="G1121" s="158">
        <v>2</v>
      </c>
      <c r="H1121" s="133" t="s">
        <v>1648</v>
      </c>
      <c r="I1121" s="133" t="s">
        <v>615</v>
      </c>
      <c r="J1121" s="158">
        <v>0</v>
      </c>
      <c r="K1121" s="159" t="str">
        <f ca="1">IFERROR(__xludf.DUMMYFUNCTION("GOOGLETRANSLATE(H1121,""th"",""en"")"),"Trial")</f>
        <v>Trial</v>
      </c>
    </row>
    <row r="1122" spans="1:11" ht="15.75" hidden="1" customHeight="1">
      <c r="A1122" s="133" t="s">
        <v>7</v>
      </c>
      <c r="B1122" s="133" t="s">
        <v>457</v>
      </c>
      <c r="C1122" s="133" t="s">
        <v>1853</v>
      </c>
      <c r="D1122" s="133" t="s">
        <v>484</v>
      </c>
      <c r="E1122" s="158">
        <v>4</v>
      </c>
      <c r="F1122" s="158">
        <v>10</v>
      </c>
      <c r="G1122" s="158">
        <v>0</v>
      </c>
      <c r="H1122" s="133" t="s">
        <v>1648</v>
      </c>
      <c r="I1122" s="133" t="s">
        <v>615</v>
      </c>
      <c r="J1122" s="158">
        <v>0</v>
      </c>
      <c r="K1122" s="159" t="str">
        <f ca="1">IFERROR(__xludf.DUMMYFUNCTION("GOOGLETRANSLATE(H1122,""th"",""en"")"),"Trial")</f>
        <v>Trial</v>
      </c>
    </row>
    <row r="1123" spans="1:11" ht="15.75" hidden="1" customHeight="1">
      <c r="A1123" s="133" t="s">
        <v>7</v>
      </c>
      <c r="B1123" s="133" t="s">
        <v>457</v>
      </c>
      <c r="C1123" s="133" t="s">
        <v>1854</v>
      </c>
      <c r="D1123" s="133" t="s">
        <v>484</v>
      </c>
      <c r="E1123" s="158">
        <v>4</v>
      </c>
      <c r="F1123" s="158">
        <v>10</v>
      </c>
      <c r="G1123" s="158">
        <v>0</v>
      </c>
      <c r="H1123" s="133" t="s">
        <v>1648</v>
      </c>
      <c r="I1123" s="133" t="s">
        <v>615</v>
      </c>
      <c r="J1123" s="158">
        <v>0</v>
      </c>
      <c r="K1123" s="159" t="str">
        <f ca="1">IFERROR(__xludf.DUMMYFUNCTION("GOOGLETRANSLATE(H1123,""th"",""en"")"),"Trial")</f>
        <v>Trial</v>
      </c>
    </row>
    <row r="1124" spans="1:11" ht="15.75" hidden="1" customHeight="1">
      <c r="A1124" s="133" t="s">
        <v>7</v>
      </c>
      <c r="B1124" s="133" t="s">
        <v>457</v>
      </c>
      <c r="C1124" s="133" t="s">
        <v>1855</v>
      </c>
      <c r="D1124" s="133" t="s">
        <v>477</v>
      </c>
      <c r="E1124" s="158">
        <v>1</v>
      </c>
      <c r="F1124" s="158">
        <v>0</v>
      </c>
      <c r="G1124" s="158">
        <v>0</v>
      </c>
      <c r="H1124" s="133" t="s">
        <v>1648</v>
      </c>
      <c r="I1124" s="133" t="s">
        <v>548</v>
      </c>
      <c r="J1124" s="158">
        <v>0</v>
      </c>
      <c r="K1124" s="159" t="str">
        <f ca="1">IFERROR(__xludf.DUMMYFUNCTION("GOOGLETRANSLATE(H1124,""th"",""en"")"),"Trial")</f>
        <v>Trial</v>
      </c>
    </row>
    <row r="1125" spans="1:11" ht="15.75" hidden="1" customHeight="1">
      <c r="A1125" s="133" t="s">
        <v>7</v>
      </c>
      <c r="B1125" s="133" t="s">
        <v>457</v>
      </c>
      <c r="C1125" s="133" t="s">
        <v>1833</v>
      </c>
      <c r="D1125" s="133" t="s">
        <v>717</v>
      </c>
      <c r="E1125" s="158">
        <v>5</v>
      </c>
      <c r="F1125" s="158">
        <v>9</v>
      </c>
      <c r="G1125" s="158">
        <v>2</v>
      </c>
      <c r="H1125" s="133" t="s">
        <v>1648</v>
      </c>
      <c r="I1125" s="133" t="s">
        <v>1223</v>
      </c>
      <c r="J1125" s="158">
        <v>0</v>
      </c>
      <c r="K1125" s="159" t="str">
        <f ca="1">IFERROR(__xludf.DUMMYFUNCTION("GOOGLETRANSLATE(H1125,""th"",""en"")"),"Trial")</f>
        <v>Trial</v>
      </c>
    </row>
    <row r="1126" spans="1:11" ht="15.75" hidden="1" customHeight="1">
      <c r="A1126" s="133" t="s">
        <v>7</v>
      </c>
      <c r="B1126" s="133" t="s">
        <v>457</v>
      </c>
      <c r="C1126" s="133" t="s">
        <v>1333</v>
      </c>
      <c r="D1126" s="133" t="s">
        <v>477</v>
      </c>
      <c r="E1126" s="158">
        <v>100</v>
      </c>
      <c r="F1126" s="158">
        <v>0</v>
      </c>
      <c r="G1126" s="158">
        <v>0</v>
      </c>
      <c r="H1126" s="133" t="s">
        <v>1648</v>
      </c>
      <c r="I1126" s="133" t="s">
        <v>548</v>
      </c>
      <c r="J1126" s="158">
        <v>0</v>
      </c>
      <c r="K1126" s="159" t="str">
        <f ca="1">IFERROR(__xludf.DUMMYFUNCTION("GOOGLETRANSLATE(H1126,""th"",""en"")"),"Trial")</f>
        <v>Trial</v>
      </c>
    </row>
    <row r="1127" spans="1:11" ht="15.75" hidden="1" customHeight="1">
      <c r="A1127" s="133" t="s">
        <v>7</v>
      </c>
      <c r="B1127" s="133" t="s">
        <v>457</v>
      </c>
      <c r="C1127" s="133" t="s">
        <v>1334</v>
      </c>
      <c r="D1127" s="133" t="s">
        <v>477</v>
      </c>
      <c r="E1127" s="158">
        <v>8</v>
      </c>
      <c r="F1127" s="158">
        <v>0</v>
      </c>
      <c r="G1127" s="158">
        <v>0</v>
      </c>
      <c r="H1127" s="133" t="s">
        <v>1648</v>
      </c>
      <c r="I1127" s="133" t="s">
        <v>548</v>
      </c>
      <c r="J1127" s="158">
        <v>0</v>
      </c>
      <c r="K1127" s="159" t="str">
        <f ca="1">IFERROR(__xludf.DUMMYFUNCTION("GOOGLETRANSLATE(H1127,""th"",""en"")"),"Trial")</f>
        <v>Trial</v>
      </c>
    </row>
    <row r="1128" spans="1:11" ht="15.75" hidden="1" customHeight="1">
      <c r="A1128" s="133" t="s">
        <v>7</v>
      </c>
      <c r="B1128" s="133" t="s">
        <v>457</v>
      </c>
      <c r="C1128" s="133" t="s">
        <v>184</v>
      </c>
      <c r="D1128" s="133" t="s">
        <v>538</v>
      </c>
      <c r="E1128" s="158">
        <v>8</v>
      </c>
      <c r="F1128" s="158">
        <v>23</v>
      </c>
      <c r="G1128" s="158">
        <v>3</v>
      </c>
      <c r="H1128" s="133" t="s">
        <v>1648</v>
      </c>
      <c r="I1128" s="133" t="s">
        <v>1284</v>
      </c>
      <c r="J1128" s="158">
        <v>0</v>
      </c>
      <c r="K1128" s="159" t="str">
        <f ca="1">IFERROR(__xludf.DUMMYFUNCTION("GOOGLETRANSLATE(H1128,""th"",""en"")"),"Trial")</f>
        <v>Trial</v>
      </c>
    </row>
    <row r="1129" spans="1:11" ht="15.75" hidden="1" customHeight="1">
      <c r="A1129" s="133" t="s">
        <v>7</v>
      </c>
      <c r="B1129" s="133" t="s">
        <v>457</v>
      </c>
      <c r="C1129" s="133" t="s">
        <v>1335</v>
      </c>
      <c r="D1129" s="133" t="s">
        <v>477</v>
      </c>
      <c r="E1129" s="158">
        <v>100</v>
      </c>
      <c r="F1129" s="158">
        <v>0</v>
      </c>
      <c r="G1129" s="158">
        <v>0</v>
      </c>
      <c r="H1129" s="133" t="s">
        <v>1648</v>
      </c>
      <c r="I1129" s="133" t="s">
        <v>548</v>
      </c>
      <c r="J1129" s="158">
        <v>0</v>
      </c>
      <c r="K1129" s="159" t="str">
        <f ca="1">IFERROR(__xludf.DUMMYFUNCTION("GOOGLETRANSLATE(H1129,""th"",""en"")"),"Trial")</f>
        <v>Trial</v>
      </c>
    </row>
    <row r="1130" spans="1:11" ht="15.75" hidden="1" customHeight="1">
      <c r="A1130" s="133" t="s">
        <v>7</v>
      </c>
      <c r="B1130" s="133" t="s">
        <v>457</v>
      </c>
      <c r="C1130" s="133" t="s">
        <v>1336</v>
      </c>
      <c r="D1130" s="133" t="s">
        <v>477</v>
      </c>
      <c r="E1130" s="158">
        <v>8</v>
      </c>
      <c r="F1130" s="158">
        <v>0</v>
      </c>
      <c r="G1130" s="158">
        <v>0</v>
      </c>
      <c r="H1130" s="133" t="s">
        <v>1648</v>
      </c>
      <c r="I1130" s="133" t="s">
        <v>548</v>
      </c>
      <c r="J1130" s="158">
        <v>0</v>
      </c>
      <c r="K1130" s="159" t="str">
        <f ca="1">IFERROR(__xludf.DUMMYFUNCTION("GOOGLETRANSLATE(H1130,""th"",""en"")"),"Trial")</f>
        <v>Trial</v>
      </c>
    </row>
    <row r="1131" spans="1:11" ht="15.75" hidden="1" customHeight="1">
      <c r="A1131" s="133" t="s">
        <v>7</v>
      </c>
      <c r="B1131" s="133" t="s">
        <v>457</v>
      </c>
      <c r="C1131" s="133" t="s">
        <v>175</v>
      </c>
      <c r="D1131" s="133" t="s">
        <v>538</v>
      </c>
      <c r="E1131" s="158">
        <v>8</v>
      </c>
      <c r="F1131" s="158">
        <v>23</v>
      </c>
      <c r="G1131" s="158">
        <v>3</v>
      </c>
      <c r="H1131" s="133" t="s">
        <v>1648</v>
      </c>
      <c r="I1131" s="133" t="s">
        <v>1284</v>
      </c>
      <c r="J1131" s="158">
        <v>0</v>
      </c>
      <c r="K1131" s="159" t="str">
        <f ca="1">IFERROR(__xludf.DUMMYFUNCTION("GOOGLETRANSLATE(H1131,""th"",""en"")"),"Trial")</f>
        <v>Trial</v>
      </c>
    </row>
    <row r="1132" spans="1:11" ht="15.75" hidden="1" customHeight="1">
      <c r="A1132" s="133" t="s">
        <v>7</v>
      </c>
      <c r="B1132" s="133" t="s">
        <v>457</v>
      </c>
      <c r="C1132" s="133" t="s">
        <v>1856</v>
      </c>
      <c r="D1132" s="133" t="s">
        <v>477</v>
      </c>
      <c r="E1132" s="158">
        <v>3</v>
      </c>
      <c r="F1132" s="158">
        <v>0</v>
      </c>
      <c r="G1132" s="158">
        <v>0</v>
      </c>
      <c r="H1132" s="133" t="s">
        <v>479</v>
      </c>
      <c r="I1132" s="133" t="s">
        <v>596</v>
      </c>
      <c r="J1132" s="158">
        <v>0</v>
      </c>
      <c r="K1132" s="159" t="str">
        <f ca="1">IFERROR(__xludf.DUMMYFUNCTION("GOOGLETRANSLATE(H1132,""th"",""en"")"),"Null")</f>
        <v>Null</v>
      </c>
    </row>
    <row r="1133" spans="1:11" ht="15.75" hidden="1" customHeight="1">
      <c r="A1133" s="133" t="s">
        <v>7</v>
      </c>
      <c r="B1133" s="133" t="s">
        <v>457</v>
      </c>
      <c r="C1133" s="133" t="s">
        <v>1857</v>
      </c>
      <c r="D1133" s="133" t="s">
        <v>477</v>
      </c>
      <c r="E1133" s="158">
        <v>100</v>
      </c>
      <c r="F1133" s="158">
        <v>0</v>
      </c>
      <c r="G1133" s="158">
        <v>0</v>
      </c>
      <c r="H1133" s="133" t="s">
        <v>479</v>
      </c>
      <c r="I1133" s="133" t="s">
        <v>548</v>
      </c>
      <c r="J1133" s="158">
        <v>0</v>
      </c>
      <c r="K1133" s="159" t="str">
        <f ca="1">IFERROR(__xludf.DUMMYFUNCTION("GOOGLETRANSLATE(H1133,""th"",""en"")"),"Null")</f>
        <v>Null</v>
      </c>
    </row>
    <row r="1134" spans="1:11" ht="15.75" hidden="1" customHeight="1">
      <c r="A1134" s="133" t="s">
        <v>7</v>
      </c>
      <c r="B1134" s="133" t="s">
        <v>457</v>
      </c>
      <c r="C1134" s="133" t="s">
        <v>1858</v>
      </c>
      <c r="D1134" s="133" t="s">
        <v>477</v>
      </c>
      <c r="E1134" s="158">
        <v>8</v>
      </c>
      <c r="F1134" s="158">
        <v>0</v>
      </c>
      <c r="G1134" s="158">
        <v>0</v>
      </c>
      <c r="H1134" s="133" t="s">
        <v>479</v>
      </c>
      <c r="I1134" s="133" t="s">
        <v>548</v>
      </c>
      <c r="J1134" s="158">
        <v>0</v>
      </c>
      <c r="K1134" s="159" t="str">
        <f ca="1">IFERROR(__xludf.DUMMYFUNCTION("GOOGLETRANSLATE(H1134,""th"",""en"")"),"Null")</f>
        <v>Null</v>
      </c>
    </row>
    <row r="1135" spans="1:11" ht="15.75" hidden="1" customHeight="1">
      <c r="A1135" s="133" t="s">
        <v>7</v>
      </c>
      <c r="B1135" s="133" t="s">
        <v>457</v>
      </c>
      <c r="C1135" s="133" t="s">
        <v>1859</v>
      </c>
      <c r="D1135" s="133" t="s">
        <v>496</v>
      </c>
      <c r="E1135" s="158">
        <v>4</v>
      </c>
      <c r="F1135" s="158">
        <v>16</v>
      </c>
      <c r="G1135" s="158">
        <v>0</v>
      </c>
      <c r="H1135" s="133" t="s">
        <v>479</v>
      </c>
      <c r="I1135" s="133" t="s">
        <v>1363</v>
      </c>
      <c r="J1135" s="158">
        <v>0</v>
      </c>
      <c r="K1135" s="159" t="str">
        <f ca="1">IFERROR(__xludf.DUMMYFUNCTION("GOOGLETRANSLATE(H1135,""th"",""en"")"),"Null")</f>
        <v>Null</v>
      </c>
    </row>
    <row r="1136" spans="1:11" ht="15.75" hidden="1" customHeight="1">
      <c r="A1136" s="133" t="s">
        <v>7</v>
      </c>
      <c r="B1136" s="133" t="s">
        <v>457</v>
      </c>
      <c r="C1136" s="133" t="s">
        <v>1860</v>
      </c>
      <c r="D1136" s="133" t="s">
        <v>477</v>
      </c>
      <c r="E1136" s="158">
        <v>3</v>
      </c>
      <c r="F1136" s="158">
        <v>0</v>
      </c>
      <c r="G1136" s="158">
        <v>0</v>
      </c>
      <c r="H1136" s="133" t="s">
        <v>479</v>
      </c>
      <c r="I1136" s="133" t="s">
        <v>596</v>
      </c>
      <c r="J1136" s="158">
        <v>0</v>
      </c>
      <c r="K1136" s="159" t="str">
        <f ca="1">IFERROR(__xludf.DUMMYFUNCTION("GOOGLETRANSLATE(H1136,""th"",""en"")"),"Null")</f>
        <v>Null</v>
      </c>
    </row>
    <row r="1137" spans="1:11" ht="15.75" hidden="1" customHeight="1">
      <c r="A1137" s="133" t="s">
        <v>7</v>
      </c>
      <c r="B1137" s="133" t="s">
        <v>457</v>
      </c>
      <c r="C1137" s="133" t="s">
        <v>1861</v>
      </c>
      <c r="D1137" s="133" t="s">
        <v>477</v>
      </c>
      <c r="E1137" s="158">
        <v>100</v>
      </c>
      <c r="F1137" s="158">
        <v>0</v>
      </c>
      <c r="G1137" s="158">
        <v>0</v>
      </c>
      <c r="H1137" s="133" t="s">
        <v>479</v>
      </c>
      <c r="I1137" s="133" t="s">
        <v>548</v>
      </c>
      <c r="J1137" s="158">
        <v>0</v>
      </c>
      <c r="K1137" s="159" t="str">
        <f ca="1">IFERROR(__xludf.DUMMYFUNCTION("GOOGLETRANSLATE(H1137,""th"",""en"")"),"Null")</f>
        <v>Null</v>
      </c>
    </row>
    <row r="1138" spans="1:11" ht="15.75" hidden="1" customHeight="1">
      <c r="A1138" s="133" t="s">
        <v>7</v>
      </c>
      <c r="B1138" s="133" t="s">
        <v>457</v>
      </c>
      <c r="C1138" s="133" t="s">
        <v>1862</v>
      </c>
      <c r="D1138" s="133" t="s">
        <v>477</v>
      </c>
      <c r="E1138" s="158">
        <v>8</v>
      </c>
      <c r="F1138" s="158">
        <v>0</v>
      </c>
      <c r="G1138" s="158">
        <v>0</v>
      </c>
      <c r="H1138" s="133" t="s">
        <v>479</v>
      </c>
      <c r="I1138" s="133" t="s">
        <v>548</v>
      </c>
      <c r="J1138" s="158">
        <v>0</v>
      </c>
      <c r="K1138" s="159" t="str">
        <f ca="1">IFERROR(__xludf.DUMMYFUNCTION("GOOGLETRANSLATE(H1138,""th"",""en"")"),"Null")</f>
        <v>Null</v>
      </c>
    </row>
    <row r="1139" spans="1:11" ht="15.75" hidden="1" customHeight="1">
      <c r="A1139" s="133" t="s">
        <v>7</v>
      </c>
      <c r="B1139" s="133" t="s">
        <v>457</v>
      </c>
      <c r="C1139" s="133" t="s">
        <v>1863</v>
      </c>
      <c r="D1139" s="133" t="s">
        <v>496</v>
      </c>
      <c r="E1139" s="158">
        <v>4</v>
      </c>
      <c r="F1139" s="158">
        <v>16</v>
      </c>
      <c r="G1139" s="158">
        <v>0</v>
      </c>
      <c r="H1139" s="133" t="s">
        <v>479</v>
      </c>
      <c r="I1139" s="133" t="s">
        <v>1363</v>
      </c>
      <c r="J1139" s="158">
        <v>0</v>
      </c>
      <c r="K1139" s="159" t="str">
        <f ca="1">IFERROR(__xludf.DUMMYFUNCTION("GOOGLETRANSLATE(H1139,""th"",""en"")"),"Null")</f>
        <v>Null</v>
      </c>
    </row>
    <row r="1140" spans="1:11" ht="15.75" hidden="1" customHeight="1">
      <c r="A1140" s="133" t="s">
        <v>7</v>
      </c>
      <c r="B1140" s="133" t="s">
        <v>457</v>
      </c>
      <c r="C1140" s="133" t="s">
        <v>1864</v>
      </c>
      <c r="D1140" s="133" t="s">
        <v>477</v>
      </c>
      <c r="E1140" s="158">
        <v>8</v>
      </c>
      <c r="F1140" s="158">
        <v>0</v>
      </c>
      <c r="G1140" s="158">
        <v>0</v>
      </c>
      <c r="H1140" s="160"/>
      <c r="I1140" s="133" t="s">
        <v>548</v>
      </c>
      <c r="J1140" s="158">
        <v>0</v>
      </c>
      <c r="K1140" s="159" t="str">
        <f ca="1">IFERROR(__xludf.DUMMYFUNCTION("GOOGLETRANSLATE(H1140,""th"",""en"")"),"#VALUE!")</f>
        <v>#VALUE!</v>
      </c>
    </row>
    <row r="1141" spans="1:11" ht="15.75" hidden="1" customHeight="1">
      <c r="A1141" s="133" t="s">
        <v>7</v>
      </c>
      <c r="B1141" s="133" t="s">
        <v>457</v>
      </c>
      <c r="C1141" s="133" t="s">
        <v>1865</v>
      </c>
      <c r="D1141" s="133" t="s">
        <v>477</v>
      </c>
      <c r="E1141" s="158">
        <v>100</v>
      </c>
      <c r="F1141" s="158">
        <v>0</v>
      </c>
      <c r="G1141" s="158">
        <v>0</v>
      </c>
      <c r="H1141" s="160"/>
      <c r="I1141" s="133" t="s">
        <v>548</v>
      </c>
      <c r="J1141" s="158">
        <v>0</v>
      </c>
      <c r="K1141" s="159" t="str">
        <f ca="1">IFERROR(__xludf.DUMMYFUNCTION("GOOGLETRANSLATE(H1141,""th"",""en"")"),"#VALUE!")</f>
        <v>#VALUE!</v>
      </c>
    </row>
    <row r="1142" spans="1:11" ht="15.75" hidden="1" customHeight="1">
      <c r="A1142" s="133" t="s">
        <v>7</v>
      </c>
      <c r="B1142" s="133" t="s">
        <v>457</v>
      </c>
      <c r="C1142" s="133" t="s">
        <v>1866</v>
      </c>
      <c r="D1142" s="133" t="s">
        <v>477</v>
      </c>
      <c r="E1142" s="158">
        <v>200</v>
      </c>
      <c r="F1142" s="158">
        <v>0</v>
      </c>
      <c r="G1142" s="158">
        <v>0</v>
      </c>
      <c r="H1142" s="160"/>
      <c r="I1142" s="133" t="s">
        <v>548</v>
      </c>
      <c r="J1142" s="158">
        <v>0</v>
      </c>
      <c r="K1142" s="159" t="str">
        <f ca="1">IFERROR(__xludf.DUMMYFUNCTION("GOOGLETRANSLATE(H1142,""th"",""en"")"),"#VALUE!")</f>
        <v>#VALUE!</v>
      </c>
    </row>
    <row r="1143" spans="1:11" ht="15.75" hidden="1" customHeight="1">
      <c r="A1143" s="133" t="s">
        <v>7</v>
      </c>
      <c r="B1143" s="133" t="s">
        <v>457</v>
      </c>
      <c r="C1143" s="133" t="s">
        <v>1867</v>
      </c>
      <c r="D1143" s="133" t="s">
        <v>496</v>
      </c>
      <c r="E1143" s="158">
        <v>4</v>
      </c>
      <c r="F1143" s="158">
        <v>16</v>
      </c>
      <c r="G1143" s="158">
        <v>0</v>
      </c>
      <c r="H1143" s="160"/>
      <c r="I1143" s="133" t="s">
        <v>548</v>
      </c>
      <c r="J1143" s="158">
        <v>0</v>
      </c>
      <c r="K1143" s="159" t="str">
        <f ca="1">IFERROR(__xludf.DUMMYFUNCTION("GOOGLETRANSLATE(H1143,""th"",""en"")"),"#VALUE!")</f>
        <v>#VALUE!</v>
      </c>
    </row>
    <row r="1144" spans="1:11" ht="15.75" hidden="1" customHeight="1">
      <c r="A1144" s="133" t="s">
        <v>7</v>
      </c>
      <c r="B1144" s="133" t="s">
        <v>457</v>
      </c>
      <c r="C1144" s="133" t="s">
        <v>1868</v>
      </c>
      <c r="D1144" s="133" t="s">
        <v>477</v>
      </c>
      <c r="E1144" s="158">
        <v>20</v>
      </c>
      <c r="F1144" s="158">
        <v>0</v>
      </c>
      <c r="G1144" s="158">
        <v>0</v>
      </c>
      <c r="H1144" s="160"/>
      <c r="I1144" s="133" t="s">
        <v>548</v>
      </c>
      <c r="J1144" s="158">
        <v>0</v>
      </c>
      <c r="K1144" s="159" t="str">
        <f ca="1">IFERROR(__xludf.DUMMYFUNCTION("GOOGLETRANSLATE(H1144,""th"",""en"")"),"#VALUE!")</f>
        <v>#VALUE!</v>
      </c>
    </row>
    <row r="1145" spans="1:11" ht="15.75" hidden="1" customHeight="1">
      <c r="A1145" s="133" t="s">
        <v>7</v>
      </c>
      <c r="B1145" s="133" t="s">
        <v>457</v>
      </c>
      <c r="C1145" s="133" t="s">
        <v>1869</v>
      </c>
      <c r="D1145" s="133" t="s">
        <v>477</v>
      </c>
      <c r="E1145" s="158">
        <v>50</v>
      </c>
      <c r="F1145" s="158">
        <v>0</v>
      </c>
      <c r="G1145" s="158">
        <v>0</v>
      </c>
      <c r="H1145" s="133" t="s">
        <v>479</v>
      </c>
      <c r="I1145" s="133" t="s">
        <v>548</v>
      </c>
      <c r="J1145" s="158">
        <v>0</v>
      </c>
      <c r="K1145" s="159" t="str">
        <f ca="1">IFERROR(__xludf.DUMMYFUNCTION("GOOGLETRANSLATE(H1145,""th"",""en"")"),"Null")</f>
        <v>Null</v>
      </c>
    </row>
    <row r="1146" spans="1:11" ht="15.75" hidden="1" customHeight="1">
      <c r="A1146" s="133" t="s">
        <v>7</v>
      </c>
      <c r="B1146" s="133" t="s">
        <v>457</v>
      </c>
      <c r="C1146" s="133" t="s">
        <v>1660</v>
      </c>
      <c r="D1146" s="133" t="s">
        <v>477</v>
      </c>
      <c r="E1146" s="158">
        <v>50</v>
      </c>
      <c r="F1146" s="158">
        <v>0</v>
      </c>
      <c r="G1146" s="158">
        <v>0</v>
      </c>
      <c r="H1146" s="133" t="s">
        <v>479</v>
      </c>
      <c r="I1146" s="133" t="s">
        <v>548</v>
      </c>
      <c r="J1146" s="158">
        <v>0</v>
      </c>
      <c r="K1146" s="159" t="str">
        <f ca="1">IFERROR(__xludf.DUMMYFUNCTION("GOOGLETRANSLATE(H1146,""th"",""en"")"),"Null")</f>
        <v>Null</v>
      </c>
    </row>
    <row r="1147" spans="1:11" ht="15.75" hidden="1" customHeight="1">
      <c r="A1147" s="133" t="s">
        <v>7</v>
      </c>
      <c r="B1147" s="133" t="s">
        <v>457</v>
      </c>
      <c r="C1147" s="133" t="s">
        <v>1870</v>
      </c>
      <c r="D1147" s="133" t="s">
        <v>477</v>
      </c>
      <c r="E1147" s="158">
        <v>50</v>
      </c>
      <c r="F1147" s="158">
        <v>0</v>
      </c>
      <c r="G1147" s="158">
        <v>0</v>
      </c>
      <c r="H1147" s="133" t="s">
        <v>479</v>
      </c>
      <c r="I1147" s="133" t="s">
        <v>548</v>
      </c>
      <c r="J1147" s="158">
        <v>0</v>
      </c>
      <c r="K1147" s="159" t="str">
        <f ca="1">IFERROR(__xludf.DUMMYFUNCTION("GOOGLETRANSLATE(H1147,""th"",""en"")"),"Null")</f>
        <v>Null</v>
      </c>
    </row>
    <row r="1148" spans="1:11" ht="15.75" hidden="1" customHeight="1">
      <c r="A1148" s="133" t="s">
        <v>7</v>
      </c>
      <c r="B1148" s="133" t="s">
        <v>457</v>
      </c>
      <c r="C1148" s="133" t="s">
        <v>1653</v>
      </c>
      <c r="D1148" s="133" t="s">
        <v>477</v>
      </c>
      <c r="E1148" s="158">
        <v>100</v>
      </c>
      <c r="F1148" s="158">
        <v>0</v>
      </c>
      <c r="G1148" s="158">
        <v>0</v>
      </c>
      <c r="H1148" s="133" t="s">
        <v>479</v>
      </c>
      <c r="I1148" s="133" t="s">
        <v>548</v>
      </c>
      <c r="J1148" s="158">
        <v>0</v>
      </c>
      <c r="K1148" s="159" t="str">
        <f ca="1">IFERROR(__xludf.DUMMYFUNCTION("GOOGLETRANSLATE(H1148,""th"",""en"")"),"Null")</f>
        <v>Null</v>
      </c>
    </row>
    <row r="1149" spans="1:11" ht="15.75" hidden="1" customHeight="1">
      <c r="A1149" s="133" t="s">
        <v>7</v>
      </c>
      <c r="B1149" s="133" t="s">
        <v>457</v>
      </c>
      <c r="C1149" s="133" t="s">
        <v>357</v>
      </c>
      <c r="D1149" s="133" t="s">
        <v>484</v>
      </c>
      <c r="E1149" s="158">
        <v>4</v>
      </c>
      <c r="F1149" s="158">
        <v>10</v>
      </c>
      <c r="G1149" s="158">
        <v>0</v>
      </c>
      <c r="H1149" s="133" t="s">
        <v>479</v>
      </c>
      <c r="I1149" s="133" t="s">
        <v>1210</v>
      </c>
      <c r="J1149" s="158">
        <v>0</v>
      </c>
      <c r="K1149" s="159" t="str">
        <f ca="1">IFERROR(__xludf.DUMMYFUNCTION("GOOGLETRANSLATE(H1149,""th"",""en"")"),"Null")</f>
        <v>Null</v>
      </c>
    </row>
    <row r="1150" spans="1:11" ht="15.75" hidden="1" customHeight="1">
      <c r="A1150" s="133" t="s">
        <v>7</v>
      </c>
      <c r="B1150" s="133" t="s">
        <v>457</v>
      </c>
      <c r="C1150" s="133" t="s">
        <v>1871</v>
      </c>
      <c r="D1150" s="133" t="s">
        <v>477</v>
      </c>
      <c r="E1150" s="158">
        <v>100</v>
      </c>
      <c r="F1150" s="158">
        <v>0</v>
      </c>
      <c r="G1150" s="158">
        <v>0</v>
      </c>
      <c r="H1150" s="133" t="s">
        <v>479</v>
      </c>
      <c r="I1150" s="133" t="s">
        <v>548</v>
      </c>
      <c r="J1150" s="158">
        <v>0</v>
      </c>
      <c r="K1150" s="159" t="str">
        <f ca="1">IFERROR(__xludf.DUMMYFUNCTION("GOOGLETRANSLATE(H1150,""th"",""en"")"),"Null")</f>
        <v>Null</v>
      </c>
    </row>
    <row r="1151" spans="1:11" ht="15.75" hidden="1" customHeight="1">
      <c r="A1151" s="133" t="s">
        <v>7</v>
      </c>
      <c r="B1151" s="133" t="s">
        <v>457</v>
      </c>
      <c r="C1151" s="133" t="s">
        <v>1872</v>
      </c>
      <c r="D1151" s="133" t="s">
        <v>477</v>
      </c>
      <c r="E1151" s="158">
        <v>8</v>
      </c>
      <c r="F1151" s="158">
        <v>0</v>
      </c>
      <c r="G1151" s="158">
        <v>0</v>
      </c>
      <c r="H1151" s="133" t="s">
        <v>479</v>
      </c>
      <c r="I1151" s="133" t="s">
        <v>548</v>
      </c>
      <c r="J1151" s="158">
        <v>0</v>
      </c>
      <c r="K1151" s="159" t="str">
        <f ca="1">IFERROR(__xludf.DUMMYFUNCTION("GOOGLETRANSLATE(H1151,""th"",""en"")"),"Null")</f>
        <v>Null</v>
      </c>
    </row>
    <row r="1152" spans="1:11" ht="15.75" hidden="1" customHeight="1">
      <c r="A1152" s="133" t="s">
        <v>7</v>
      </c>
      <c r="B1152" s="133" t="s">
        <v>457</v>
      </c>
      <c r="C1152" s="133" t="s">
        <v>377</v>
      </c>
      <c r="D1152" s="133" t="s">
        <v>477</v>
      </c>
      <c r="E1152" s="158">
        <v>10</v>
      </c>
      <c r="F1152" s="158">
        <v>0</v>
      </c>
      <c r="G1152" s="158">
        <v>0</v>
      </c>
      <c r="H1152" s="133" t="s">
        <v>479</v>
      </c>
      <c r="I1152" s="133" t="s">
        <v>548</v>
      </c>
      <c r="J1152" s="158">
        <v>0</v>
      </c>
      <c r="K1152" s="159" t="str">
        <f ca="1">IFERROR(__xludf.DUMMYFUNCTION("GOOGLETRANSLATE(H1152,""th"",""en"")"),"Null")</f>
        <v>Null</v>
      </c>
    </row>
    <row r="1153" spans="1:11" ht="15.75" hidden="1" customHeight="1">
      <c r="A1153" s="133" t="s">
        <v>7</v>
      </c>
      <c r="B1153" s="133" t="s">
        <v>457</v>
      </c>
      <c r="C1153" s="133" t="s">
        <v>1873</v>
      </c>
      <c r="D1153" s="133" t="s">
        <v>484</v>
      </c>
      <c r="E1153" s="158">
        <v>4</v>
      </c>
      <c r="F1153" s="158">
        <v>10</v>
      </c>
      <c r="G1153" s="158">
        <v>0</v>
      </c>
      <c r="H1153" s="133" t="s">
        <v>479</v>
      </c>
      <c r="I1153" s="133" t="s">
        <v>548</v>
      </c>
      <c r="J1153" s="158">
        <v>0</v>
      </c>
      <c r="K1153" s="159" t="str">
        <f ca="1">IFERROR(__xludf.DUMMYFUNCTION("GOOGLETRANSLATE(H1153,""th"",""en"")"),"Null")</f>
        <v>Null</v>
      </c>
    </row>
    <row r="1154" spans="1:11" ht="15.75" hidden="1" customHeight="1">
      <c r="A1154" s="133" t="s">
        <v>7</v>
      </c>
      <c r="B1154" s="133" t="s">
        <v>457</v>
      </c>
      <c r="C1154" s="133" t="s">
        <v>1874</v>
      </c>
      <c r="D1154" s="133" t="s">
        <v>477</v>
      </c>
      <c r="E1154" s="158">
        <v>3</v>
      </c>
      <c r="F1154" s="158">
        <v>0</v>
      </c>
      <c r="G1154" s="158">
        <v>0</v>
      </c>
      <c r="H1154" s="160"/>
      <c r="I1154" s="133" t="s">
        <v>596</v>
      </c>
      <c r="J1154" s="158">
        <v>0</v>
      </c>
      <c r="K1154" s="159" t="str">
        <f ca="1">IFERROR(__xludf.DUMMYFUNCTION("GOOGLETRANSLATE(H1154,""th"",""en"")"),"#VALUE!")</f>
        <v>#VALUE!</v>
      </c>
    </row>
    <row r="1155" spans="1:11" ht="15.75" hidden="1" customHeight="1">
      <c r="A1155" s="133" t="s">
        <v>7</v>
      </c>
      <c r="B1155" s="133" t="s">
        <v>457</v>
      </c>
      <c r="C1155" s="133" t="s">
        <v>1875</v>
      </c>
      <c r="D1155" s="133" t="s">
        <v>477</v>
      </c>
      <c r="E1155" s="158">
        <v>20</v>
      </c>
      <c r="F1155" s="158">
        <v>0</v>
      </c>
      <c r="G1155" s="158">
        <v>0</v>
      </c>
      <c r="H1155" s="160"/>
      <c r="I1155" s="133" t="s">
        <v>548</v>
      </c>
      <c r="J1155" s="158">
        <v>0</v>
      </c>
      <c r="K1155" s="159" t="str">
        <f ca="1">IFERROR(__xludf.DUMMYFUNCTION("GOOGLETRANSLATE(H1155,""th"",""en"")"),"#VALUE!")</f>
        <v>#VALUE!</v>
      </c>
    </row>
    <row r="1156" spans="1:11" ht="15.75" hidden="1" customHeight="1">
      <c r="A1156" s="133" t="s">
        <v>7</v>
      </c>
      <c r="B1156" s="133" t="s">
        <v>457</v>
      </c>
      <c r="C1156" s="133" t="s">
        <v>1876</v>
      </c>
      <c r="D1156" s="133" t="s">
        <v>477</v>
      </c>
      <c r="E1156" s="158">
        <v>3</v>
      </c>
      <c r="F1156" s="158">
        <v>0</v>
      </c>
      <c r="G1156" s="158">
        <v>0</v>
      </c>
      <c r="H1156" s="160"/>
      <c r="I1156" s="133" t="s">
        <v>596</v>
      </c>
      <c r="J1156" s="158">
        <v>0</v>
      </c>
      <c r="K1156" s="159" t="str">
        <f ca="1">IFERROR(__xludf.DUMMYFUNCTION("GOOGLETRANSLATE(H1156,""th"",""en"")"),"#VALUE!")</f>
        <v>#VALUE!</v>
      </c>
    </row>
    <row r="1157" spans="1:11" ht="15.75" customHeight="1">
      <c r="A1157" s="133" t="s">
        <v>7</v>
      </c>
      <c r="B1157" s="133" t="s">
        <v>209</v>
      </c>
      <c r="C1157" s="133" t="s">
        <v>174</v>
      </c>
      <c r="D1157" s="133" t="s">
        <v>477</v>
      </c>
      <c r="E1157" s="158">
        <v>8</v>
      </c>
      <c r="F1157" s="158">
        <v>0</v>
      </c>
      <c r="G1157" s="158">
        <v>0</v>
      </c>
      <c r="H1157" s="133" t="s">
        <v>1648</v>
      </c>
      <c r="I1157" s="133" t="s">
        <v>548</v>
      </c>
      <c r="J1157" s="158">
        <v>0</v>
      </c>
      <c r="K1157" s="159" t="str">
        <f ca="1">IFERROR(__xludf.DUMMYFUNCTION("GOOGLETRANSLATE(H1157,""th"",""en"")"),"Trial")</f>
        <v>Trial</v>
      </c>
    </row>
    <row r="1158" spans="1:11" ht="15.75" customHeight="1">
      <c r="A1158" s="133" t="s">
        <v>7</v>
      </c>
      <c r="B1158" s="133" t="s">
        <v>209</v>
      </c>
      <c r="C1158" s="133" t="s">
        <v>1877</v>
      </c>
      <c r="D1158" s="133" t="s">
        <v>1631</v>
      </c>
      <c r="E1158" s="158">
        <v>8</v>
      </c>
      <c r="F1158" s="158">
        <v>19</v>
      </c>
      <c r="G1158" s="158">
        <v>0</v>
      </c>
      <c r="H1158" s="133" t="s">
        <v>1648</v>
      </c>
      <c r="I1158" s="133" t="s">
        <v>1878</v>
      </c>
      <c r="J1158" s="158">
        <v>0</v>
      </c>
      <c r="K1158" s="159" t="str">
        <f ca="1">IFERROR(__xludf.DUMMYFUNCTION("GOOGLETRANSLATE(H1158,""th"",""en"")"),"Trial")</f>
        <v>Trial</v>
      </c>
    </row>
    <row r="1159" spans="1:11" ht="15.75" customHeight="1">
      <c r="A1159" s="133" t="s">
        <v>7</v>
      </c>
      <c r="B1159" s="133" t="s">
        <v>209</v>
      </c>
      <c r="C1159" s="133" t="s">
        <v>1879</v>
      </c>
      <c r="D1159" s="133" t="s">
        <v>477</v>
      </c>
      <c r="E1159" s="158">
        <v>55</v>
      </c>
      <c r="F1159" s="158">
        <v>0</v>
      </c>
      <c r="G1159" s="158">
        <v>0</v>
      </c>
      <c r="H1159" s="133" t="s">
        <v>1648</v>
      </c>
      <c r="I1159" s="133" t="s">
        <v>548</v>
      </c>
      <c r="J1159" s="158">
        <v>0</v>
      </c>
      <c r="K1159" s="159" t="str">
        <f ca="1">IFERROR(__xludf.DUMMYFUNCTION("GOOGLETRANSLATE(H1159,""th"",""en"")"),"Trial")</f>
        <v>Trial</v>
      </c>
    </row>
    <row r="1160" spans="1:11" ht="15.75" customHeight="1">
      <c r="A1160" s="133" t="s">
        <v>7</v>
      </c>
      <c r="B1160" s="133" t="s">
        <v>209</v>
      </c>
      <c r="C1160" s="133" t="s">
        <v>1880</v>
      </c>
      <c r="D1160" s="133" t="s">
        <v>477</v>
      </c>
      <c r="E1160" s="158">
        <v>110</v>
      </c>
      <c r="F1160" s="158">
        <v>0</v>
      </c>
      <c r="G1160" s="158">
        <v>0</v>
      </c>
      <c r="H1160" s="133" t="s">
        <v>1648</v>
      </c>
      <c r="I1160" s="133" t="s">
        <v>548</v>
      </c>
      <c r="J1160" s="158">
        <v>0</v>
      </c>
      <c r="K1160" s="159" t="str">
        <f ca="1">IFERROR(__xludf.DUMMYFUNCTION("GOOGLETRANSLATE(H1160,""th"",""en"")"),"Trial")</f>
        <v>Trial</v>
      </c>
    </row>
    <row r="1161" spans="1:11" ht="15.75" customHeight="1">
      <c r="A1161" s="133" t="s">
        <v>7</v>
      </c>
      <c r="B1161" s="133" t="s">
        <v>209</v>
      </c>
      <c r="C1161" s="133" t="s">
        <v>1881</v>
      </c>
      <c r="D1161" s="133" t="s">
        <v>477</v>
      </c>
      <c r="E1161" s="158">
        <v>55</v>
      </c>
      <c r="F1161" s="158">
        <v>0</v>
      </c>
      <c r="G1161" s="158">
        <v>0</v>
      </c>
      <c r="H1161" s="133" t="s">
        <v>1648</v>
      </c>
      <c r="I1161" s="133" t="s">
        <v>548</v>
      </c>
      <c r="J1161" s="158">
        <v>0</v>
      </c>
      <c r="K1161" s="159" t="str">
        <f ca="1">IFERROR(__xludf.DUMMYFUNCTION("GOOGLETRANSLATE(H1161,""th"",""en"")"),"Trial")</f>
        <v>Trial</v>
      </c>
    </row>
    <row r="1162" spans="1:11" ht="15.75" customHeight="1">
      <c r="A1162" s="133" t="s">
        <v>7</v>
      </c>
      <c r="B1162" s="133" t="s">
        <v>209</v>
      </c>
      <c r="C1162" s="133" t="s">
        <v>1882</v>
      </c>
      <c r="D1162" s="133" t="s">
        <v>477</v>
      </c>
      <c r="E1162" s="158">
        <v>55</v>
      </c>
      <c r="F1162" s="158">
        <v>0</v>
      </c>
      <c r="G1162" s="158">
        <v>0</v>
      </c>
      <c r="H1162" s="133" t="s">
        <v>1648</v>
      </c>
      <c r="I1162" s="133" t="s">
        <v>548</v>
      </c>
      <c r="J1162" s="158">
        <v>0</v>
      </c>
      <c r="K1162" s="159" t="str">
        <f ca="1">IFERROR(__xludf.DUMMYFUNCTION("GOOGLETRANSLATE(H1162,""th"",""en"")"),"Trial")</f>
        <v>Trial</v>
      </c>
    </row>
    <row r="1163" spans="1:11" ht="15.75" customHeight="1">
      <c r="A1163" s="133" t="s">
        <v>7</v>
      </c>
      <c r="B1163" s="133" t="s">
        <v>209</v>
      </c>
      <c r="C1163" s="133" t="s">
        <v>1883</v>
      </c>
      <c r="D1163" s="133" t="s">
        <v>477</v>
      </c>
      <c r="E1163" s="158">
        <v>50</v>
      </c>
      <c r="F1163" s="158">
        <v>0</v>
      </c>
      <c r="G1163" s="158">
        <v>0</v>
      </c>
      <c r="H1163" s="133" t="s">
        <v>1648</v>
      </c>
      <c r="I1163" s="133" t="s">
        <v>548</v>
      </c>
      <c r="J1163" s="158">
        <v>0</v>
      </c>
      <c r="K1163" s="159" t="str">
        <f ca="1">IFERROR(__xludf.DUMMYFUNCTION("GOOGLETRANSLATE(H1163,""th"",""en"")"),"Trial")</f>
        <v>Trial</v>
      </c>
    </row>
    <row r="1164" spans="1:11" ht="15.75" customHeight="1">
      <c r="A1164" s="133" t="s">
        <v>7</v>
      </c>
      <c r="B1164" s="133" t="s">
        <v>209</v>
      </c>
      <c r="C1164" s="133" t="s">
        <v>1884</v>
      </c>
      <c r="D1164" s="133" t="s">
        <v>477</v>
      </c>
      <c r="E1164" s="158">
        <v>50</v>
      </c>
      <c r="F1164" s="158">
        <v>0</v>
      </c>
      <c r="G1164" s="158">
        <v>0</v>
      </c>
      <c r="H1164" s="133" t="s">
        <v>1648</v>
      </c>
      <c r="I1164" s="133" t="s">
        <v>548</v>
      </c>
      <c r="J1164" s="158">
        <v>0</v>
      </c>
      <c r="K1164" s="159" t="str">
        <f ca="1">IFERROR(__xludf.DUMMYFUNCTION("GOOGLETRANSLATE(H1164,""th"",""en"")"),"Trial")</f>
        <v>Trial</v>
      </c>
    </row>
    <row r="1165" spans="1:11" ht="15.75" customHeight="1">
      <c r="A1165" s="133" t="s">
        <v>7</v>
      </c>
      <c r="B1165" s="133" t="s">
        <v>209</v>
      </c>
      <c r="C1165" s="133" t="s">
        <v>1885</v>
      </c>
      <c r="D1165" s="133" t="s">
        <v>477</v>
      </c>
      <c r="E1165" s="158">
        <v>50</v>
      </c>
      <c r="F1165" s="158">
        <v>0</v>
      </c>
      <c r="G1165" s="158">
        <v>0</v>
      </c>
      <c r="H1165" s="133" t="s">
        <v>1648</v>
      </c>
      <c r="I1165" s="133" t="s">
        <v>548</v>
      </c>
      <c r="J1165" s="158">
        <v>0</v>
      </c>
      <c r="K1165" s="159" t="str">
        <f ca="1">IFERROR(__xludf.DUMMYFUNCTION("GOOGLETRANSLATE(H1165,""th"",""en"")"),"Trial")</f>
        <v>Trial</v>
      </c>
    </row>
    <row r="1166" spans="1:11" ht="15.75" customHeight="1">
      <c r="A1166" s="133" t="s">
        <v>7</v>
      </c>
      <c r="B1166" s="133" t="s">
        <v>209</v>
      </c>
      <c r="C1166" s="133" t="s">
        <v>1886</v>
      </c>
      <c r="D1166" s="133" t="s">
        <v>477</v>
      </c>
      <c r="E1166" s="158">
        <v>5</v>
      </c>
      <c r="F1166" s="158">
        <v>0</v>
      </c>
      <c r="G1166" s="158">
        <v>0</v>
      </c>
      <c r="H1166" s="133" t="s">
        <v>1648</v>
      </c>
      <c r="I1166" s="133" t="s">
        <v>548</v>
      </c>
      <c r="J1166" s="158">
        <v>0</v>
      </c>
      <c r="K1166" s="159" t="str">
        <f ca="1">IFERROR(__xludf.DUMMYFUNCTION("GOOGLETRANSLATE(H1166,""th"",""en"")"),"Trial")</f>
        <v>Trial</v>
      </c>
    </row>
    <row r="1167" spans="1:11" ht="15.75" customHeight="1">
      <c r="A1167" s="133" t="s">
        <v>7</v>
      </c>
      <c r="B1167" s="133" t="s">
        <v>209</v>
      </c>
      <c r="C1167" s="133" t="s">
        <v>1887</v>
      </c>
      <c r="D1167" s="133" t="s">
        <v>477</v>
      </c>
      <c r="E1167" s="158">
        <v>3</v>
      </c>
      <c r="F1167" s="158">
        <v>0</v>
      </c>
      <c r="G1167" s="158">
        <v>0</v>
      </c>
      <c r="H1167" s="133" t="s">
        <v>479</v>
      </c>
      <c r="I1167" s="133" t="s">
        <v>548</v>
      </c>
      <c r="J1167" s="158">
        <v>0</v>
      </c>
      <c r="K1167" s="159" t="str">
        <f ca="1">IFERROR(__xludf.DUMMYFUNCTION("GOOGLETRANSLATE(H1167,""th"",""en"")"),"Null")</f>
        <v>Null</v>
      </c>
    </row>
    <row r="1168" spans="1:11" ht="15.75" customHeight="1">
      <c r="A1168" s="133" t="s">
        <v>7</v>
      </c>
      <c r="B1168" s="133" t="s">
        <v>209</v>
      </c>
      <c r="C1168" s="133" t="s">
        <v>1888</v>
      </c>
      <c r="D1168" s="133" t="s">
        <v>477</v>
      </c>
      <c r="E1168" s="158">
        <v>7</v>
      </c>
      <c r="F1168" s="158">
        <v>0</v>
      </c>
      <c r="G1168" s="158">
        <v>0</v>
      </c>
      <c r="H1168" s="133" t="s">
        <v>1648</v>
      </c>
      <c r="I1168" s="133" t="s">
        <v>548</v>
      </c>
      <c r="J1168" s="277">
        <v>1</v>
      </c>
      <c r="K1168" s="159" t="str">
        <f ca="1">IFERROR(__xludf.DUMMYFUNCTION("GOOGLETRANSLATE(H1168,""th"",""en"")"),"Trial")</f>
        <v>Trial</v>
      </c>
    </row>
    <row r="1169" spans="1:11" ht="15.75" customHeight="1">
      <c r="A1169" s="133" t="s">
        <v>7</v>
      </c>
      <c r="B1169" s="133" t="s">
        <v>209</v>
      </c>
      <c r="C1169" s="133" t="s">
        <v>1889</v>
      </c>
      <c r="D1169" s="133" t="s">
        <v>477</v>
      </c>
      <c r="E1169" s="158">
        <v>35</v>
      </c>
      <c r="F1169" s="158">
        <v>0</v>
      </c>
      <c r="G1169" s="158">
        <v>0</v>
      </c>
      <c r="H1169" s="133" t="s">
        <v>1648</v>
      </c>
      <c r="I1169" s="133" t="s">
        <v>548</v>
      </c>
      <c r="J1169" s="158">
        <v>0</v>
      </c>
      <c r="K1169" s="159" t="str">
        <f ca="1">IFERROR(__xludf.DUMMYFUNCTION("GOOGLETRANSLATE(H1169,""th"",""en"")"),"Trial")</f>
        <v>Trial</v>
      </c>
    </row>
    <row r="1170" spans="1:11" ht="15.75" customHeight="1">
      <c r="A1170" s="133" t="s">
        <v>7</v>
      </c>
      <c r="B1170" s="133" t="s">
        <v>209</v>
      </c>
      <c r="C1170" s="133" t="s">
        <v>1890</v>
      </c>
      <c r="D1170" s="133" t="s">
        <v>477</v>
      </c>
      <c r="E1170" s="158">
        <v>10</v>
      </c>
      <c r="F1170" s="158">
        <v>0</v>
      </c>
      <c r="G1170" s="158">
        <v>0</v>
      </c>
      <c r="H1170" s="133" t="s">
        <v>479</v>
      </c>
      <c r="I1170" s="133" t="s">
        <v>548</v>
      </c>
      <c r="J1170" s="277">
        <v>1</v>
      </c>
      <c r="K1170" s="159" t="str">
        <f ca="1">IFERROR(__xludf.DUMMYFUNCTION("GOOGLETRANSLATE(H1170,""th"",""en"")"),"Null")</f>
        <v>Null</v>
      </c>
    </row>
    <row r="1171" spans="1:11" ht="15.75" customHeight="1">
      <c r="A1171" s="133" t="s">
        <v>7</v>
      </c>
      <c r="B1171" s="133" t="s">
        <v>209</v>
      </c>
      <c r="C1171" s="133" t="s">
        <v>1891</v>
      </c>
      <c r="D1171" s="133" t="s">
        <v>477</v>
      </c>
      <c r="E1171" s="158">
        <v>100</v>
      </c>
      <c r="F1171" s="158">
        <v>0</v>
      </c>
      <c r="G1171" s="158">
        <v>0</v>
      </c>
      <c r="H1171" s="133" t="s">
        <v>1648</v>
      </c>
      <c r="I1171" s="133" t="s">
        <v>548</v>
      </c>
      <c r="J1171" s="158">
        <v>1</v>
      </c>
      <c r="K1171" s="159" t="str">
        <f ca="1">IFERROR(__xludf.DUMMYFUNCTION("GOOGLETRANSLATE(H1171,""th"",""en"")"),"Trial")</f>
        <v>Trial</v>
      </c>
    </row>
    <row r="1172" spans="1:11" ht="15.75" customHeight="1">
      <c r="A1172" s="133" t="s">
        <v>7</v>
      </c>
      <c r="B1172" s="133" t="s">
        <v>209</v>
      </c>
      <c r="C1172" s="133" t="s">
        <v>1892</v>
      </c>
      <c r="D1172" s="133" t="s">
        <v>484</v>
      </c>
      <c r="E1172" s="158">
        <v>4</v>
      </c>
      <c r="F1172" s="158">
        <v>10</v>
      </c>
      <c r="G1172" s="158">
        <v>0</v>
      </c>
      <c r="H1172" s="133" t="s">
        <v>1648</v>
      </c>
      <c r="I1172" s="133" t="s">
        <v>615</v>
      </c>
      <c r="J1172" s="158">
        <v>0</v>
      </c>
      <c r="K1172" s="159" t="str">
        <f ca="1">IFERROR(__xludf.DUMMYFUNCTION("GOOGLETRANSLATE(H1172,""th"",""en"")"),"Trial")</f>
        <v>Trial</v>
      </c>
    </row>
    <row r="1173" spans="1:11" ht="15.75" customHeight="1">
      <c r="A1173" s="133" t="s">
        <v>7</v>
      </c>
      <c r="B1173" s="133" t="s">
        <v>209</v>
      </c>
      <c r="C1173" s="133" t="s">
        <v>1893</v>
      </c>
      <c r="D1173" s="133" t="s">
        <v>477</v>
      </c>
      <c r="E1173" s="158">
        <v>10</v>
      </c>
      <c r="F1173" s="158">
        <v>0</v>
      </c>
      <c r="G1173" s="158">
        <v>0</v>
      </c>
      <c r="H1173" s="133" t="s">
        <v>479</v>
      </c>
      <c r="I1173" s="133" t="s">
        <v>548</v>
      </c>
      <c r="J1173" s="158">
        <v>0</v>
      </c>
      <c r="K1173" s="159" t="str">
        <f ca="1">IFERROR(__xludf.DUMMYFUNCTION("GOOGLETRANSLATE(H1173,""th"",""en"")"),"Null")</f>
        <v>Null</v>
      </c>
    </row>
    <row r="1174" spans="1:11" ht="15.75" customHeight="1">
      <c r="A1174" s="133" t="s">
        <v>7</v>
      </c>
      <c r="B1174" s="133" t="s">
        <v>209</v>
      </c>
      <c r="C1174" s="133" t="s">
        <v>1894</v>
      </c>
      <c r="D1174" s="133" t="s">
        <v>477</v>
      </c>
      <c r="E1174" s="158">
        <v>10</v>
      </c>
      <c r="F1174" s="158">
        <v>0</v>
      </c>
      <c r="G1174" s="158">
        <v>0</v>
      </c>
      <c r="H1174" s="133" t="s">
        <v>479</v>
      </c>
      <c r="I1174" s="133" t="s">
        <v>548</v>
      </c>
      <c r="J1174" s="158">
        <v>0</v>
      </c>
      <c r="K1174" s="159" t="str">
        <f ca="1">IFERROR(__xludf.DUMMYFUNCTION("GOOGLETRANSLATE(H1174,""th"",""en"")"),"Null")</f>
        <v>Null</v>
      </c>
    </row>
    <row r="1175" spans="1:11" ht="15.75" customHeight="1">
      <c r="A1175" s="133" t="s">
        <v>7</v>
      </c>
      <c r="B1175" s="133" t="s">
        <v>209</v>
      </c>
      <c r="C1175" s="133" t="s">
        <v>1895</v>
      </c>
      <c r="D1175" s="133" t="s">
        <v>477</v>
      </c>
      <c r="E1175" s="158">
        <v>35</v>
      </c>
      <c r="F1175" s="158">
        <v>0</v>
      </c>
      <c r="G1175" s="158">
        <v>0</v>
      </c>
      <c r="H1175" s="133" t="s">
        <v>1648</v>
      </c>
      <c r="I1175" s="133" t="s">
        <v>548</v>
      </c>
      <c r="J1175" s="158">
        <v>0</v>
      </c>
      <c r="K1175" s="159" t="str">
        <f ca="1">IFERROR(__xludf.DUMMYFUNCTION("GOOGLETRANSLATE(H1175,""th"",""en"")"),"Trial")</f>
        <v>Trial</v>
      </c>
    </row>
    <row r="1176" spans="1:11" ht="15.75" customHeight="1">
      <c r="A1176" s="133" t="s">
        <v>7</v>
      </c>
      <c r="B1176" s="133" t="s">
        <v>209</v>
      </c>
      <c r="C1176" s="133" t="s">
        <v>1896</v>
      </c>
      <c r="D1176" s="133" t="s">
        <v>477</v>
      </c>
      <c r="E1176" s="158">
        <v>35</v>
      </c>
      <c r="F1176" s="158">
        <v>0</v>
      </c>
      <c r="G1176" s="158">
        <v>0</v>
      </c>
      <c r="H1176" s="133" t="s">
        <v>1648</v>
      </c>
      <c r="I1176" s="133" t="s">
        <v>548</v>
      </c>
      <c r="J1176" s="158">
        <v>0</v>
      </c>
      <c r="K1176" s="159" t="str">
        <f ca="1">IFERROR(__xludf.DUMMYFUNCTION("GOOGLETRANSLATE(H1176,""th"",""en"")"),"Trial")</f>
        <v>Trial</v>
      </c>
    </row>
    <row r="1177" spans="1:11" ht="15.75" customHeight="1">
      <c r="A1177" s="133" t="s">
        <v>7</v>
      </c>
      <c r="B1177" s="133" t="s">
        <v>209</v>
      </c>
      <c r="C1177" s="133" t="s">
        <v>1897</v>
      </c>
      <c r="D1177" s="133" t="s">
        <v>477</v>
      </c>
      <c r="E1177" s="158">
        <v>100</v>
      </c>
      <c r="F1177" s="158">
        <v>0</v>
      </c>
      <c r="G1177" s="158">
        <v>0</v>
      </c>
      <c r="H1177" s="133" t="s">
        <v>1648</v>
      </c>
      <c r="I1177" s="133" t="s">
        <v>548</v>
      </c>
      <c r="J1177" s="158">
        <v>0</v>
      </c>
      <c r="K1177" s="159" t="str">
        <f ca="1">IFERROR(__xludf.DUMMYFUNCTION("GOOGLETRANSLATE(H1177,""th"",""en"")"),"Trial")</f>
        <v>Trial</v>
      </c>
    </row>
    <row r="1178" spans="1:11" ht="15.75" customHeight="1">
      <c r="A1178" s="133" t="s">
        <v>7</v>
      </c>
      <c r="B1178" s="133" t="s">
        <v>209</v>
      </c>
      <c r="C1178" s="133" t="s">
        <v>1898</v>
      </c>
      <c r="D1178" s="133" t="s">
        <v>484</v>
      </c>
      <c r="E1178" s="158">
        <v>4</v>
      </c>
      <c r="F1178" s="158">
        <v>10</v>
      </c>
      <c r="G1178" s="158">
        <v>0</v>
      </c>
      <c r="H1178" s="133" t="s">
        <v>1648</v>
      </c>
      <c r="I1178" s="133" t="s">
        <v>615</v>
      </c>
      <c r="J1178" s="158">
        <v>0</v>
      </c>
      <c r="K1178" s="159" t="str">
        <f ca="1">IFERROR(__xludf.DUMMYFUNCTION("GOOGLETRANSLATE(H1178,""th"",""en"")"),"Trial")</f>
        <v>Trial</v>
      </c>
    </row>
    <row r="1179" spans="1:11" ht="15.75" customHeight="1">
      <c r="A1179" s="133" t="s">
        <v>7</v>
      </c>
      <c r="B1179" s="133" t="s">
        <v>209</v>
      </c>
      <c r="C1179" s="133" t="s">
        <v>1899</v>
      </c>
      <c r="D1179" s="133" t="s">
        <v>477</v>
      </c>
      <c r="E1179" s="158">
        <v>100</v>
      </c>
      <c r="F1179" s="158">
        <v>0</v>
      </c>
      <c r="G1179" s="158">
        <v>0</v>
      </c>
      <c r="H1179" s="133" t="s">
        <v>479</v>
      </c>
      <c r="I1179" s="133" t="s">
        <v>548</v>
      </c>
      <c r="J1179" s="277">
        <v>1</v>
      </c>
      <c r="K1179" s="159" t="str">
        <f ca="1">IFERROR(__xludf.DUMMYFUNCTION("GOOGLETRANSLATE(H1179,""th"",""en"")"),"Null")</f>
        <v>Null</v>
      </c>
    </row>
    <row r="1180" spans="1:11" ht="15.75" customHeight="1">
      <c r="A1180" s="133" t="s">
        <v>7</v>
      </c>
      <c r="B1180" s="133" t="s">
        <v>209</v>
      </c>
      <c r="C1180" s="133" t="s">
        <v>1380</v>
      </c>
      <c r="D1180" s="133" t="s">
        <v>477</v>
      </c>
      <c r="E1180" s="158">
        <v>55</v>
      </c>
      <c r="F1180" s="158">
        <v>0</v>
      </c>
      <c r="G1180" s="158">
        <v>0</v>
      </c>
      <c r="H1180" s="133" t="s">
        <v>1648</v>
      </c>
      <c r="I1180" s="133" t="s">
        <v>548</v>
      </c>
      <c r="J1180" s="158">
        <v>0</v>
      </c>
      <c r="K1180" s="159" t="str">
        <f ca="1">IFERROR(__xludf.DUMMYFUNCTION("GOOGLETRANSLATE(H1180,""th"",""en"")"),"Trial")</f>
        <v>Trial</v>
      </c>
    </row>
    <row r="1181" spans="1:11" ht="15.75" customHeight="1">
      <c r="A1181" s="133" t="s">
        <v>7</v>
      </c>
      <c r="B1181" s="133" t="s">
        <v>209</v>
      </c>
      <c r="C1181" s="133" t="s">
        <v>1900</v>
      </c>
      <c r="D1181" s="133" t="s">
        <v>477</v>
      </c>
      <c r="E1181" s="158">
        <v>255</v>
      </c>
      <c r="F1181" s="158">
        <v>0</v>
      </c>
      <c r="G1181" s="158">
        <v>0</v>
      </c>
      <c r="H1181" s="133" t="s">
        <v>1648</v>
      </c>
      <c r="I1181" s="133" t="s">
        <v>548</v>
      </c>
      <c r="J1181" s="158">
        <v>0</v>
      </c>
      <c r="K1181" s="159" t="str">
        <f ca="1">IFERROR(__xludf.DUMMYFUNCTION("GOOGLETRANSLATE(H1181,""th"",""en"")"),"Trial")</f>
        <v>Trial</v>
      </c>
    </row>
    <row r="1182" spans="1:11" ht="15.75" customHeight="1">
      <c r="A1182" s="133" t="s">
        <v>7</v>
      </c>
      <c r="B1182" s="133" t="s">
        <v>209</v>
      </c>
      <c r="C1182" s="133" t="s">
        <v>1901</v>
      </c>
      <c r="D1182" s="133" t="s">
        <v>477</v>
      </c>
      <c r="E1182" s="158">
        <v>100</v>
      </c>
      <c r="F1182" s="158">
        <v>0</v>
      </c>
      <c r="G1182" s="158">
        <v>0</v>
      </c>
      <c r="H1182" s="133" t="s">
        <v>1648</v>
      </c>
      <c r="I1182" s="133" t="s">
        <v>548</v>
      </c>
      <c r="J1182" s="158">
        <v>0</v>
      </c>
      <c r="K1182" s="159" t="str">
        <f ca="1">IFERROR(__xludf.DUMMYFUNCTION("GOOGLETRANSLATE(H1182,""th"",""en"")"),"Trial")</f>
        <v>Trial</v>
      </c>
    </row>
    <row r="1183" spans="1:11" ht="15.75" customHeight="1">
      <c r="A1183" s="133" t="s">
        <v>7</v>
      </c>
      <c r="B1183" s="133" t="s">
        <v>209</v>
      </c>
      <c r="C1183" s="133" t="s">
        <v>1902</v>
      </c>
      <c r="D1183" s="133" t="s">
        <v>477</v>
      </c>
      <c r="E1183" s="158">
        <v>100</v>
      </c>
      <c r="F1183" s="158">
        <v>0</v>
      </c>
      <c r="G1183" s="158">
        <v>0</v>
      </c>
      <c r="H1183" s="133" t="s">
        <v>1648</v>
      </c>
      <c r="I1183" s="133" t="s">
        <v>548</v>
      </c>
      <c r="J1183" s="158">
        <v>0</v>
      </c>
      <c r="K1183" s="159" t="str">
        <f ca="1">IFERROR(__xludf.DUMMYFUNCTION("GOOGLETRANSLATE(H1183,""th"",""en"")"),"Trial")</f>
        <v>Trial</v>
      </c>
    </row>
    <row r="1184" spans="1:11" ht="15.75" customHeight="1">
      <c r="A1184" s="133" t="s">
        <v>7</v>
      </c>
      <c r="B1184" s="133" t="s">
        <v>209</v>
      </c>
      <c r="C1184" s="133" t="s">
        <v>1903</v>
      </c>
      <c r="D1184" s="133" t="s">
        <v>477</v>
      </c>
      <c r="E1184" s="158">
        <v>3</v>
      </c>
      <c r="F1184" s="158">
        <v>0</v>
      </c>
      <c r="G1184" s="158">
        <v>0</v>
      </c>
      <c r="H1184" s="133" t="s">
        <v>479</v>
      </c>
      <c r="I1184" s="133" t="s">
        <v>548</v>
      </c>
      <c r="J1184" s="158">
        <v>0</v>
      </c>
      <c r="K1184" s="159" t="str">
        <f ca="1">IFERROR(__xludf.DUMMYFUNCTION("GOOGLETRANSLATE(H1184,""th"",""en"")"),"Null")</f>
        <v>Null</v>
      </c>
    </row>
    <row r="1185" spans="1:11" ht="15.75" customHeight="1">
      <c r="A1185" s="133" t="s">
        <v>7</v>
      </c>
      <c r="B1185" s="133" t="s">
        <v>209</v>
      </c>
      <c r="C1185" s="133" t="s">
        <v>1332</v>
      </c>
      <c r="D1185" s="133" t="s">
        <v>477</v>
      </c>
      <c r="E1185" s="158">
        <v>3</v>
      </c>
      <c r="F1185" s="158">
        <v>0</v>
      </c>
      <c r="G1185" s="158">
        <v>0</v>
      </c>
      <c r="H1185" s="160"/>
      <c r="I1185" s="133" t="s">
        <v>596</v>
      </c>
      <c r="J1185" s="158">
        <v>0</v>
      </c>
      <c r="K1185" s="159" t="str">
        <f ca="1">IFERROR(__xludf.DUMMYFUNCTION("GOOGLETRANSLATE(H1185,""th"",""en"")"),"#VALUE!")</f>
        <v>#VALUE!</v>
      </c>
    </row>
    <row r="1186" spans="1:11" ht="15.75" customHeight="1">
      <c r="A1186" s="133" t="s">
        <v>7</v>
      </c>
      <c r="B1186" s="133" t="s">
        <v>209</v>
      </c>
      <c r="C1186" s="133" t="s">
        <v>1333</v>
      </c>
      <c r="D1186" s="133" t="s">
        <v>477</v>
      </c>
      <c r="E1186" s="158">
        <v>100</v>
      </c>
      <c r="F1186" s="158">
        <v>0</v>
      </c>
      <c r="G1186" s="158">
        <v>0</v>
      </c>
      <c r="H1186" s="133" t="s">
        <v>1648</v>
      </c>
      <c r="I1186" s="133" t="s">
        <v>548</v>
      </c>
      <c r="J1186" s="158">
        <v>0</v>
      </c>
      <c r="K1186" s="159" t="str">
        <f ca="1">IFERROR(__xludf.DUMMYFUNCTION("GOOGLETRANSLATE(H1186,""th"",""en"")"),"Trial")</f>
        <v>Trial</v>
      </c>
    </row>
    <row r="1187" spans="1:11" ht="15.75" customHeight="1">
      <c r="A1187" s="133" t="s">
        <v>7</v>
      </c>
      <c r="B1187" s="133" t="s">
        <v>209</v>
      </c>
      <c r="C1187" s="133" t="s">
        <v>1334</v>
      </c>
      <c r="D1187" s="133" t="s">
        <v>477</v>
      </c>
      <c r="E1187" s="158">
        <v>8</v>
      </c>
      <c r="F1187" s="158">
        <v>0</v>
      </c>
      <c r="G1187" s="158">
        <v>0</v>
      </c>
      <c r="H1187" s="133" t="s">
        <v>1648</v>
      </c>
      <c r="I1187" s="133" t="s">
        <v>548</v>
      </c>
      <c r="J1187" s="158">
        <v>0</v>
      </c>
      <c r="K1187" s="159" t="str">
        <f ca="1">IFERROR(__xludf.DUMMYFUNCTION("GOOGLETRANSLATE(H1187,""th"",""en"")"),"Trial")</f>
        <v>Trial</v>
      </c>
    </row>
    <row r="1188" spans="1:11" ht="15.75" customHeight="1">
      <c r="A1188" s="133" t="s">
        <v>7</v>
      </c>
      <c r="B1188" s="133" t="s">
        <v>209</v>
      </c>
      <c r="C1188" s="133" t="s">
        <v>184</v>
      </c>
      <c r="D1188" s="133" t="s">
        <v>538</v>
      </c>
      <c r="E1188" s="158">
        <v>8</v>
      </c>
      <c r="F1188" s="158">
        <v>23</v>
      </c>
      <c r="G1188" s="158">
        <v>3</v>
      </c>
      <c r="H1188" s="133" t="s">
        <v>1648</v>
      </c>
      <c r="I1188" s="133" t="s">
        <v>1284</v>
      </c>
      <c r="J1188" s="158">
        <v>0</v>
      </c>
      <c r="K1188" s="159" t="str">
        <f ca="1">IFERROR(__xludf.DUMMYFUNCTION("GOOGLETRANSLATE(H1188,""th"",""en"")"),"Trial")</f>
        <v>Trial</v>
      </c>
    </row>
    <row r="1189" spans="1:11" ht="15.75" customHeight="1">
      <c r="A1189" s="133" t="s">
        <v>7</v>
      </c>
      <c r="B1189" s="133" t="s">
        <v>209</v>
      </c>
      <c r="C1189" s="133" t="s">
        <v>1335</v>
      </c>
      <c r="D1189" s="133" t="s">
        <v>477</v>
      </c>
      <c r="E1189" s="158">
        <v>100</v>
      </c>
      <c r="F1189" s="158">
        <v>0</v>
      </c>
      <c r="G1189" s="158">
        <v>0</v>
      </c>
      <c r="H1189" s="133" t="s">
        <v>1648</v>
      </c>
      <c r="I1189" s="133" t="s">
        <v>548</v>
      </c>
      <c r="J1189" s="158">
        <v>0</v>
      </c>
      <c r="K1189" s="159" t="str">
        <f ca="1">IFERROR(__xludf.DUMMYFUNCTION("GOOGLETRANSLATE(H1189,""th"",""en"")"),"Trial")</f>
        <v>Trial</v>
      </c>
    </row>
    <row r="1190" spans="1:11" ht="15.75" customHeight="1">
      <c r="A1190" s="133" t="s">
        <v>7</v>
      </c>
      <c r="B1190" s="133" t="s">
        <v>209</v>
      </c>
      <c r="C1190" s="133" t="s">
        <v>1336</v>
      </c>
      <c r="D1190" s="133" t="s">
        <v>477</v>
      </c>
      <c r="E1190" s="158">
        <v>8</v>
      </c>
      <c r="F1190" s="158">
        <v>0</v>
      </c>
      <c r="G1190" s="158">
        <v>0</v>
      </c>
      <c r="H1190" s="133" t="s">
        <v>1648</v>
      </c>
      <c r="I1190" s="133" t="s">
        <v>548</v>
      </c>
      <c r="J1190" s="158">
        <v>0</v>
      </c>
      <c r="K1190" s="159" t="str">
        <f ca="1">IFERROR(__xludf.DUMMYFUNCTION("GOOGLETRANSLATE(H1190,""th"",""en"")"),"Trial")</f>
        <v>Trial</v>
      </c>
    </row>
    <row r="1191" spans="1:11" ht="15.75" customHeight="1">
      <c r="A1191" s="133" t="s">
        <v>7</v>
      </c>
      <c r="B1191" s="133" t="s">
        <v>209</v>
      </c>
      <c r="C1191" s="133" t="s">
        <v>175</v>
      </c>
      <c r="D1191" s="133" t="s">
        <v>538</v>
      </c>
      <c r="E1191" s="158">
        <v>8</v>
      </c>
      <c r="F1191" s="158">
        <v>23</v>
      </c>
      <c r="G1191" s="158">
        <v>3</v>
      </c>
      <c r="H1191" s="133" t="s">
        <v>1648</v>
      </c>
      <c r="I1191" s="133" t="s">
        <v>1284</v>
      </c>
      <c r="J1191" s="158">
        <v>0</v>
      </c>
      <c r="K1191" s="159" t="str">
        <f ca="1">IFERROR(__xludf.DUMMYFUNCTION("GOOGLETRANSLATE(H1191,""th"",""en"")"),"Trial")</f>
        <v>Trial</v>
      </c>
    </row>
    <row r="1192" spans="1:11" ht="15.75" customHeight="1">
      <c r="A1192" s="133" t="s">
        <v>7</v>
      </c>
      <c r="B1192" s="133" t="s">
        <v>209</v>
      </c>
      <c r="C1192" s="133" t="s">
        <v>1904</v>
      </c>
      <c r="D1192" s="133" t="s">
        <v>477</v>
      </c>
      <c r="E1192" s="158">
        <v>3</v>
      </c>
      <c r="F1192" s="158">
        <v>0</v>
      </c>
      <c r="G1192" s="158">
        <v>0</v>
      </c>
      <c r="H1192" s="133" t="s">
        <v>1905</v>
      </c>
      <c r="I1192" s="133" t="s">
        <v>596</v>
      </c>
      <c r="J1192" s="158">
        <v>0</v>
      </c>
      <c r="K1192" s="159" t="str">
        <f ca="1">IFERROR(__xludf.DUMMYFUNCTION("GOOGLETRANSLATE(H1192,""th"",""en"")"),"Receive E-Tax information: [yes, no]")</f>
        <v>Receive E-Tax information: [yes, no]</v>
      </c>
    </row>
    <row r="1193" spans="1:11" ht="15.75" customHeight="1">
      <c r="A1193" s="133" t="s">
        <v>7</v>
      </c>
      <c r="B1193" s="133" t="s">
        <v>209</v>
      </c>
      <c r="C1193" s="133" t="s">
        <v>1906</v>
      </c>
      <c r="D1193" s="133" t="s">
        <v>477</v>
      </c>
      <c r="E1193" s="158">
        <v>3</v>
      </c>
      <c r="F1193" s="158">
        <v>0</v>
      </c>
      <c r="G1193" s="158">
        <v>0</v>
      </c>
      <c r="H1193" s="133" t="s">
        <v>1907</v>
      </c>
      <c r="I1193" s="133" t="s">
        <v>596</v>
      </c>
      <c r="J1193" s="158">
        <v>0</v>
      </c>
      <c r="K1193" s="159" t="str">
        <f ca="1">IFERROR(__xludf.DUMMYFUNCTION("GOOGLETRANSLATE(H1193,""th"",""en"")"),"Want PRINT PAPER E-TAX [YES, NO]")</f>
        <v>Want PRINT PAPER E-TAX [YES, NO]</v>
      </c>
    </row>
    <row r="1194" spans="1:11" ht="15.75" customHeight="1">
      <c r="A1194" s="133" t="s">
        <v>7</v>
      </c>
      <c r="B1194" s="133" t="s">
        <v>209</v>
      </c>
      <c r="C1194" s="133" t="s">
        <v>1908</v>
      </c>
      <c r="D1194" s="133" t="s">
        <v>477</v>
      </c>
      <c r="E1194" s="158">
        <v>3</v>
      </c>
      <c r="F1194" s="158">
        <v>0</v>
      </c>
      <c r="G1194" s="158">
        <v>0</v>
      </c>
      <c r="H1194" s="133" t="s">
        <v>479</v>
      </c>
      <c r="I1194" s="133" t="s">
        <v>596</v>
      </c>
      <c r="J1194" s="158">
        <v>0</v>
      </c>
      <c r="K1194" s="159" t="str">
        <f ca="1">IFERROR(__xludf.DUMMYFUNCTION("GOOGLETRANSLATE(H1194,""th"",""en"")"),"Null")</f>
        <v>Null</v>
      </c>
    </row>
    <row r="1195" spans="1:11" ht="15.75" hidden="1" customHeight="1">
      <c r="A1195" s="133" t="s">
        <v>7</v>
      </c>
      <c r="B1195" s="133" t="s">
        <v>448</v>
      </c>
      <c r="C1195" s="133" t="s">
        <v>451</v>
      </c>
      <c r="D1195" s="133" t="s">
        <v>477</v>
      </c>
      <c r="E1195" s="158">
        <v>15</v>
      </c>
      <c r="F1195" s="158">
        <v>0</v>
      </c>
      <c r="G1195" s="158">
        <v>0</v>
      </c>
      <c r="H1195" s="133" t="s">
        <v>1909</v>
      </c>
      <c r="I1195" s="133" t="s">
        <v>548</v>
      </c>
      <c r="J1195" s="158">
        <v>0</v>
      </c>
      <c r="K1195" s="159" t="str">
        <f ca="1">IFERROR(__xludf.DUMMYFUNCTION("GOOGLETRANSLATE(H1195,""th"",""en"")"),"Purchase order number (order)")</f>
        <v>Purchase order number (order)</v>
      </c>
    </row>
    <row r="1196" spans="1:11" ht="15.75" hidden="1" customHeight="1">
      <c r="A1196" s="133" t="s">
        <v>7</v>
      </c>
      <c r="B1196" s="133" t="s">
        <v>448</v>
      </c>
      <c r="C1196" s="133" t="s">
        <v>1910</v>
      </c>
      <c r="D1196" s="133" t="s">
        <v>496</v>
      </c>
      <c r="E1196" s="158">
        <v>4</v>
      </c>
      <c r="F1196" s="158">
        <v>16</v>
      </c>
      <c r="G1196" s="158">
        <v>0</v>
      </c>
      <c r="H1196" s="133" t="s">
        <v>1911</v>
      </c>
      <c r="I1196" s="133" t="s">
        <v>1363</v>
      </c>
      <c r="J1196" s="158">
        <v>0</v>
      </c>
      <c r="K1196" s="159" t="str">
        <f ca="1">IFERROR(__xludf.DUMMYFUNCTION("GOOGLETRANSLATE(H1196,""th"",""en"")"),"Document date")</f>
        <v>Document date</v>
      </c>
    </row>
    <row r="1197" spans="1:11" ht="15.75" hidden="1" customHeight="1">
      <c r="A1197" s="133" t="s">
        <v>7</v>
      </c>
      <c r="B1197" s="133" t="s">
        <v>448</v>
      </c>
      <c r="C1197" s="133" t="s">
        <v>174</v>
      </c>
      <c r="D1197" s="133" t="s">
        <v>477</v>
      </c>
      <c r="E1197" s="158">
        <v>8</v>
      </c>
      <c r="F1197" s="158">
        <v>0</v>
      </c>
      <c r="G1197" s="158">
        <v>0</v>
      </c>
      <c r="H1197" s="133" t="s">
        <v>1292</v>
      </c>
      <c r="I1197" s="133" t="s">
        <v>548</v>
      </c>
      <c r="J1197" s="158">
        <v>0</v>
      </c>
      <c r="K1197" s="159" t="str">
        <f ca="1">IFERROR(__xludf.DUMMYFUNCTION("GOOGLETRANSLATE(H1197,""th"",""en"")"),"Customer code")</f>
        <v>Customer code</v>
      </c>
    </row>
    <row r="1198" spans="1:11" ht="15.75" hidden="1" customHeight="1">
      <c r="A1198" s="133" t="s">
        <v>7</v>
      </c>
      <c r="B1198" s="133" t="s">
        <v>448</v>
      </c>
      <c r="C1198" s="133" t="s">
        <v>1912</v>
      </c>
      <c r="D1198" s="133" t="s">
        <v>481</v>
      </c>
      <c r="E1198" s="158">
        <v>5</v>
      </c>
      <c r="F1198" s="158">
        <v>9</v>
      </c>
      <c r="G1198" s="158">
        <v>2</v>
      </c>
      <c r="H1198" s="133" t="s">
        <v>1266</v>
      </c>
      <c r="I1198" s="133" t="s">
        <v>1223</v>
      </c>
      <c r="J1198" s="158">
        <v>0</v>
      </c>
      <c r="K1198" s="159" t="str">
        <f ca="1">IFERROR(__xludf.DUMMYFUNCTION("GOOGLETRANSLATE(H1198,""th"",""en"")"),"Net Amount of Vat Product (VAT)")</f>
        <v>Net Amount of Vat Product (VAT)</v>
      </c>
    </row>
    <row r="1199" spans="1:11" ht="15.75" hidden="1" customHeight="1">
      <c r="A1199" s="133" t="s">
        <v>7</v>
      </c>
      <c r="B1199" s="133" t="s">
        <v>448</v>
      </c>
      <c r="C1199" s="133" t="s">
        <v>1913</v>
      </c>
      <c r="D1199" s="133" t="s">
        <v>481</v>
      </c>
      <c r="E1199" s="158">
        <v>5</v>
      </c>
      <c r="F1199" s="158">
        <v>9</v>
      </c>
      <c r="G1199" s="158">
        <v>2</v>
      </c>
      <c r="H1199" s="133" t="s">
        <v>1268</v>
      </c>
      <c r="I1199" s="133" t="s">
        <v>1223</v>
      </c>
      <c r="J1199" s="158">
        <v>0</v>
      </c>
      <c r="K1199" s="159" t="str">
        <f ca="1">IFERROR(__xludf.DUMMYFUNCTION("GOOGLETRANSLATE(H1199,""th"",""en"")"),"Net Amount of Non Vat Product (Except VAT)")</f>
        <v>Net Amount of Non Vat Product (Except VAT)</v>
      </c>
    </row>
    <row r="1200" spans="1:11" ht="15.75" hidden="1" customHeight="1">
      <c r="A1200" s="133" t="s">
        <v>7</v>
      </c>
      <c r="B1200" s="133" t="s">
        <v>448</v>
      </c>
      <c r="C1200" s="133" t="s">
        <v>1914</v>
      </c>
      <c r="D1200" s="133" t="s">
        <v>481</v>
      </c>
      <c r="E1200" s="158">
        <v>5</v>
      </c>
      <c r="F1200" s="158">
        <v>9</v>
      </c>
      <c r="G1200" s="158">
        <v>2</v>
      </c>
      <c r="H1200" s="133" t="s">
        <v>1915</v>
      </c>
      <c r="I1200" s="133" t="s">
        <v>1223</v>
      </c>
      <c r="J1200" s="158">
        <v>0</v>
      </c>
      <c r="K1200" s="159" t="str">
        <f ca="1">IFERROR(__xludf.DUMMYFUNCTION("GOOGLETRANSLATE(H1200,""th"",""en"")"),"Tax amount by thinking from VAT_PROD_NET_AMT")</f>
        <v>Tax amount by thinking from VAT_PROD_NET_AMT</v>
      </c>
    </row>
    <row r="1201" spans="1:11" ht="15.75" hidden="1" customHeight="1">
      <c r="A1201" s="133" t="s">
        <v>7</v>
      </c>
      <c r="B1201" s="133" t="s">
        <v>448</v>
      </c>
      <c r="C1201" s="133" t="s">
        <v>1916</v>
      </c>
      <c r="D1201" s="133" t="s">
        <v>481</v>
      </c>
      <c r="E1201" s="158">
        <v>5</v>
      </c>
      <c r="F1201" s="158">
        <v>9</v>
      </c>
      <c r="G1201" s="158">
        <v>2</v>
      </c>
      <c r="H1201" s="133" t="s">
        <v>1917</v>
      </c>
      <c r="I1201" s="133" t="s">
        <v>1223</v>
      </c>
      <c r="J1201" s="158">
        <v>0</v>
      </c>
      <c r="K1201" s="159" t="str">
        <f ca="1">IFERROR(__xludf.DUMMYFUNCTION("GOOGLETRANSLATE(H1201,""th"",""en"")"),"The amount of goods broken, discount, including transportation, excluding language")</f>
        <v>The amount of goods broken, discount, including transportation, excluding language</v>
      </c>
    </row>
    <row r="1202" spans="1:11" ht="15.75" hidden="1" customHeight="1">
      <c r="A1202" s="133" t="s">
        <v>7</v>
      </c>
      <c r="B1202" s="133" t="s">
        <v>448</v>
      </c>
      <c r="C1202" s="133" t="s">
        <v>1918</v>
      </c>
      <c r="D1202" s="133" t="s">
        <v>481</v>
      </c>
      <c r="E1202" s="158">
        <v>5</v>
      </c>
      <c r="F1202" s="158">
        <v>9</v>
      </c>
      <c r="G1202" s="158">
        <v>2</v>
      </c>
      <c r="H1202" s="133" t="s">
        <v>1919</v>
      </c>
      <c r="I1202" s="133" t="s">
        <v>1223</v>
      </c>
      <c r="J1202" s="158">
        <v>0</v>
      </c>
      <c r="K1202" s="159" t="str">
        <f ca="1">IFERROR(__xludf.DUMMYFUNCTION("GOOGLETRANSLATE(H1202,""th"",""en"")"),"The freight does not include taxes.")</f>
        <v>The freight does not include taxes.</v>
      </c>
    </row>
    <row r="1203" spans="1:11" ht="15.75" hidden="1" customHeight="1">
      <c r="A1203" s="133" t="s">
        <v>7</v>
      </c>
      <c r="B1203" s="133" t="s">
        <v>448</v>
      </c>
      <c r="C1203" s="133" t="s">
        <v>1920</v>
      </c>
      <c r="D1203" s="133" t="s">
        <v>481</v>
      </c>
      <c r="E1203" s="158">
        <v>5</v>
      </c>
      <c r="F1203" s="158">
        <v>9</v>
      </c>
      <c r="G1203" s="158">
        <v>2</v>
      </c>
      <c r="H1203" s="133" t="s">
        <v>1921</v>
      </c>
      <c r="I1203" s="133" t="s">
        <v>1223</v>
      </c>
      <c r="J1203" s="158">
        <v>0</v>
      </c>
      <c r="K1203" s="159" t="str">
        <f ca="1">IFERROR(__xludf.DUMMYFUNCTION("GOOGLETRANSLATE(H1203,""th"",""en"")"),"The amount before deducting the discount before VAT (with the total shipping)")</f>
        <v>The amount before deducting the discount before VAT (with the total shipping)</v>
      </c>
    </row>
    <row r="1204" spans="1:11" ht="15.75" hidden="1" customHeight="1">
      <c r="A1204" s="133" t="s">
        <v>7</v>
      </c>
      <c r="B1204" s="133" t="s">
        <v>448</v>
      </c>
      <c r="C1204" s="133" t="s">
        <v>1333</v>
      </c>
      <c r="D1204" s="133" t="s">
        <v>477</v>
      </c>
      <c r="E1204" s="158">
        <v>100</v>
      </c>
      <c r="F1204" s="158">
        <v>0</v>
      </c>
      <c r="G1204" s="158">
        <v>0</v>
      </c>
      <c r="H1204" s="133" t="s">
        <v>734</v>
      </c>
      <c r="I1204" s="133" t="s">
        <v>548</v>
      </c>
      <c r="J1204" s="158">
        <v>0</v>
      </c>
      <c r="K1204" s="159" t="str">
        <f ca="1">IFERROR(__xludf.DUMMYFUNCTION("GOOGLETRANSLATE(H1204,""th"",""en"")"),"Creator name")</f>
        <v>Creator name</v>
      </c>
    </row>
    <row r="1205" spans="1:11" ht="15.75" hidden="1" customHeight="1">
      <c r="A1205" s="133" t="s">
        <v>7</v>
      </c>
      <c r="B1205" s="133" t="s">
        <v>448</v>
      </c>
      <c r="C1205" s="133" t="s">
        <v>1334</v>
      </c>
      <c r="D1205" s="133" t="s">
        <v>477</v>
      </c>
      <c r="E1205" s="158">
        <v>8</v>
      </c>
      <c r="F1205" s="158">
        <v>0</v>
      </c>
      <c r="G1205" s="158">
        <v>0</v>
      </c>
      <c r="H1205" s="133" t="s">
        <v>1282</v>
      </c>
      <c r="I1205" s="133" t="s">
        <v>548</v>
      </c>
      <c r="J1205" s="158">
        <v>0</v>
      </c>
      <c r="K1205" s="159" t="str">
        <f ca="1">IFERROR(__xludf.DUMMYFUNCTION("GOOGLETRANSLATE(H1205,""th"",""en"")"),"Creator code")</f>
        <v>Creator code</v>
      </c>
    </row>
    <row r="1206" spans="1:11" ht="15.75" hidden="1" customHeight="1">
      <c r="A1206" s="133" t="s">
        <v>7</v>
      </c>
      <c r="B1206" s="133" t="s">
        <v>448</v>
      </c>
      <c r="C1206" s="133" t="s">
        <v>184</v>
      </c>
      <c r="D1206" s="133" t="s">
        <v>538</v>
      </c>
      <c r="E1206" s="158">
        <v>8</v>
      </c>
      <c r="F1206" s="158">
        <v>23</v>
      </c>
      <c r="G1206" s="158">
        <v>3</v>
      </c>
      <c r="H1206" s="133" t="s">
        <v>735</v>
      </c>
      <c r="I1206" s="133" t="s">
        <v>1284</v>
      </c>
      <c r="J1206" s="158">
        <v>0</v>
      </c>
      <c r="K1206" s="159" t="str">
        <f ca="1">IFERROR(__xludf.DUMMYFUNCTION("GOOGLETRANSLATE(H1206,""th"",""en"")"),"Date created")</f>
        <v>Date created</v>
      </c>
    </row>
    <row r="1207" spans="1:11" ht="15.75" hidden="1" customHeight="1">
      <c r="A1207" s="133" t="s">
        <v>7</v>
      </c>
      <c r="B1207" s="133" t="s">
        <v>448</v>
      </c>
      <c r="C1207" s="133" t="s">
        <v>1335</v>
      </c>
      <c r="D1207" s="133" t="s">
        <v>477</v>
      </c>
      <c r="E1207" s="158">
        <v>100</v>
      </c>
      <c r="F1207" s="158">
        <v>0</v>
      </c>
      <c r="G1207" s="158">
        <v>0</v>
      </c>
      <c r="H1207" s="133" t="s">
        <v>802</v>
      </c>
      <c r="I1207" s="133" t="s">
        <v>548</v>
      </c>
      <c r="J1207" s="158">
        <v>0</v>
      </c>
      <c r="K1207" s="159" t="str">
        <f ca="1">IFERROR(__xludf.DUMMYFUNCTION("GOOGLETRANSLATE(H1207,""th"",""en"")"),"Editor")</f>
        <v>Editor</v>
      </c>
    </row>
    <row r="1208" spans="1:11" ht="15.75" hidden="1" customHeight="1">
      <c r="A1208" s="133" t="s">
        <v>7</v>
      </c>
      <c r="B1208" s="133" t="s">
        <v>448</v>
      </c>
      <c r="C1208" s="133" t="s">
        <v>1336</v>
      </c>
      <c r="D1208" s="133" t="s">
        <v>477</v>
      </c>
      <c r="E1208" s="158">
        <v>8</v>
      </c>
      <c r="F1208" s="158">
        <v>0</v>
      </c>
      <c r="G1208" s="158">
        <v>0</v>
      </c>
      <c r="H1208" s="133" t="s">
        <v>1922</v>
      </c>
      <c r="I1208" s="133" t="s">
        <v>548</v>
      </c>
      <c r="J1208" s="158">
        <v>0</v>
      </c>
      <c r="K1208" s="159" t="str">
        <f ca="1">IFERROR(__xludf.DUMMYFUNCTION("GOOGLETRANSLATE(H1208,""th"",""en"")"),"Edit code")</f>
        <v>Edit code</v>
      </c>
    </row>
    <row r="1209" spans="1:11" ht="15.75" hidden="1" customHeight="1">
      <c r="A1209" s="133" t="s">
        <v>7</v>
      </c>
      <c r="B1209" s="133" t="s">
        <v>448</v>
      </c>
      <c r="C1209" s="133" t="s">
        <v>175</v>
      </c>
      <c r="D1209" s="133" t="s">
        <v>538</v>
      </c>
      <c r="E1209" s="158">
        <v>8</v>
      </c>
      <c r="F1209" s="158">
        <v>23</v>
      </c>
      <c r="G1209" s="158">
        <v>3</v>
      </c>
      <c r="H1209" s="133" t="s">
        <v>803</v>
      </c>
      <c r="I1209" s="133" t="s">
        <v>548</v>
      </c>
      <c r="J1209" s="158">
        <v>0</v>
      </c>
      <c r="K1209" s="159" t="str">
        <f ca="1">IFERROR(__xludf.DUMMYFUNCTION("GOOGLETRANSLATE(H1209,""th"",""en"")"),"Edit date")</f>
        <v>Edit date</v>
      </c>
    </row>
    <row r="1210" spans="1:11" ht="15.75" hidden="1" customHeight="1">
      <c r="A1210" s="133" t="s">
        <v>7</v>
      </c>
      <c r="B1210" s="133" t="s">
        <v>448</v>
      </c>
      <c r="C1210" s="133" t="s">
        <v>1923</v>
      </c>
      <c r="D1210" s="133" t="s">
        <v>481</v>
      </c>
      <c r="E1210" s="158">
        <v>5</v>
      </c>
      <c r="F1210" s="158">
        <v>9</v>
      </c>
      <c r="G1210" s="158">
        <v>2</v>
      </c>
      <c r="H1210" s="133" t="s">
        <v>1924</v>
      </c>
      <c r="I1210" s="133" t="s">
        <v>1223</v>
      </c>
      <c r="J1210" s="158">
        <v>0</v>
      </c>
      <c r="K1210" s="159" t="str">
        <f ca="1">IFERROR(__xludf.DUMMYFUNCTION("GOOGLETRANSLATE(H1210,""th"",""en"")"),"Total amount before VAT after deducting discount")</f>
        <v>Total amount before VAT after deducting discount</v>
      </c>
    </row>
    <row r="1211" spans="1:11" ht="15.75" hidden="1" customHeight="1">
      <c r="A1211" s="133" t="s">
        <v>7</v>
      </c>
      <c r="B1211" s="133" t="s">
        <v>448</v>
      </c>
      <c r="C1211" s="133" t="s">
        <v>1925</v>
      </c>
      <c r="D1211" s="133" t="s">
        <v>481</v>
      </c>
      <c r="E1211" s="158">
        <v>5</v>
      </c>
      <c r="F1211" s="158">
        <v>9</v>
      </c>
      <c r="G1211" s="158">
        <v>2</v>
      </c>
      <c r="H1211" s="133" t="s">
        <v>1926</v>
      </c>
      <c r="I1211" s="133" t="s">
        <v>1223</v>
      </c>
      <c r="J1211" s="158">
        <v>0</v>
      </c>
      <c r="K1211" s="159" t="str">
        <f ca="1">IFERROR(__xludf.DUMMYFUNCTION("GOOGLETRANSLATE(H1211,""th"",""en"")"),"Discount tax included")</f>
        <v>Discount tax included</v>
      </c>
    </row>
    <row r="1212" spans="1:11" ht="15.75" hidden="1" customHeight="1">
      <c r="A1212" s="133" t="s">
        <v>7</v>
      </c>
      <c r="B1212" s="133" t="s">
        <v>324</v>
      </c>
      <c r="C1212" s="133" t="s">
        <v>325</v>
      </c>
      <c r="D1212" s="133" t="s">
        <v>484</v>
      </c>
      <c r="E1212" s="158">
        <v>4</v>
      </c>
      <c r="F1212" s="158">
        <v>10</v>
      </c>
      <c r="G1212" s="158">
        <v>0</v>
      </c>
      <c r="H1212" s="133" t="s">
        <v>1927</v>
      </c>
      <c r="I1212" s="133" t="s">
        <v>479</v>
      </c>
      <c r="J1212" s="158">
        <v>0</v>
      </c>
      <c r="K1212" s="159" t="str">
        <f ca="1">IFERROR(__xludf.DUMMYFUNCTION("GOOGLETRANSLATE(H1212,""th"",""en"")"),"List code")</f>
        <v>List code</v>
      </c>
    </row>
    <row r="1213" spans="1:11" ht="15.75" hidden="1" customHeight="1">
      <c r="A1213" s="133" t="s">
        <v>7</v>
      </c>
      <c r="B1213" s="133" t="s">
        <v>324</v>
      </c>
      <c r="C1213" s="133" t="s">
        <v>1928</v>
      </c>
      <c r="D1213" s="133" t="s">
        <v>477</v>
      </c>
      <c r="E1213" s="158">
        <v>100</v>
      </c>
      <c r="F1213" s="158">
        <v>0</v>
      </c>
      <c r="G1213" s="158">
        <v>0</v>
      </c>
      <c r="H1213" s="133" t="s">
        <v>1929</v>
      </c>
      <c r="I1213" s="133" t="s">
        <v>548</v>
      </c>
      <c r="J1213" s="158">
        <v>0</v>
      </c>
      <c r="K1213" s="159" t="str">
        <f ca="1">IFERROR(__xludf.DUMMYFUNCTION("GOOGLETRANSLATE(H1213,""th"",""en"")"),"Cause Document Cancellation")</f>
        <v>Cause Document Cancellation</v>
      </c>
    </row>
    <row r="1214" spans="1:11" ht="15.75" hidden="1" customHeight="1">
      <c r="A1214" s="133" t="s">
        <v>7</v>
      </c>
      <c r="B1214" s="133" t="s">
        <v>324</v>
      </c>
      <c r="C1214" s="133" t="s">
        <v>811</v>
      </c>
      <c r="D1214" s="133" t="s">
        <v>477</v>
      </c>
      <c r="E1214" s="158">
        <v>12</v>
      </c>
      <c r="F1214" s="158">
        <v>0</v>
      </c>
      <c r="G1214" s="158">
        <v>0</v>
      </c>
      <c r="H1214" s="133" t="s">
        <v>1930</v>
      </c>
      <c r="I1214" s="133" t="s">
        <v>548</v>
      </c>
      <c r="J1214" s="158">
        <v>0</v>
      </c>
      <c r="K1214" s="159" t="str">
        <f ca="1">IFERROR(__xludf.DUMMYFUNCTION("GOOGLETRANSLATE(H1214,""th"",""en"")"),"Status, causes, canceling documents (Active, Delete)")</f>
        <v>Status, causes, canceling documents (Active, Delete)</v>
      </c>
    </row>
    <row r="1215" spans="1:11" ht="15.75" hidden="1" customHeight="1">
      <c r="A1215" s="133" t="s">
        <v>7</v>
      </c>
      <c r="B1215" s="133" t="s">
        <v>324</v>
      </c>
      <c r="C1215" s="133" t="s">
        <v>164</v>
      </c>
      <c r="D1215" s="133" t="s">
        <v>477</v>
      </c>
      <c r="E1215" s="158">
        <v>100</v>
      </c>
      <c r="F1215" s="158">
        <v>0</v>
      </c>
      <c r="G1215" s="158">
        <v>0</v>
      </c>
      <c r="H1215" s="133" t="s">
        <v>1931</v>
      </c>
      <c r="I1215" s="133" t="s">
        <v>548</v>
      </c>
      <c r="J1215" s="158">
        <v>0</v>
      </c>
      <c r="K1215" s="159" t="str">
        <f ca="1">IFERROR(__xludf.DUMMYFUNCTION("GOOGLETRANSLATE(H1215,""th"",""en"")"),"Additional notes")</f>
        <v>Additional notes</v>
      </c>
    </row>
    <row r="1216" spans="1:11" ht="15.75" hidden="1" customHeight="1">
      <c r="A1216" s="133" t="s">
        <v>7</v>
      </c>
      <c r="B1216" s="133" t="s">
        <v>324</v>
      </c>
      <c r="C1216" s="133" t="s">
        <v>523</v>
      </c>
      <c r="D1216" s="133" t="s">
        <v>477</v>
      </c>
      <c r="E1216" s="158">
        <v>8</v>
      </c>
      <c r="F1216" s="158">
        <v>0</v>
      </c>
      <c r="G1216" s="158">
        <v>0</v>
      </c>
      <c r="H1216" s="133" t="s">
        <v>1932</v>
      </c>
      <c r="I1216" s="133" t="s">
        <v>548</v>
      </c>
      <c r="J1216" s="158">
        <v>0</v>
      </c>
      <c r="K1216" s="159" t="str">
        <f ca="1">IFERROR(__xludf.DUMMYFUNCTION("GOOGLETRANSLATE(H1216,""th"",""en"")"),"Creator")</f>
        <v>Creator</v>
      </c>
    </row>
    <row r="1217" spans="1:11" ht="15.75" hidden="1" customHeight="1">
      <c r="A1217" s="133" t="s">
        <v>7</v>
      </c>
      <c r="B1217" s="133" t="s">
        <v>324</v>
      </c>
      <c r="C1217" s="133" t="s">
        <v>669</v>
      </c>
      <c r="D1217" s="133" t="s">
        <v>496</v>
      </c>
      <c r="E1217" s="158">
        <v>4</v>
      </c>
      <c r="F1217" s="158">
        <v>16</v>
      </c>
      <c r="G1217" s="158">
        <v>0</v>
      </c>
      <c r="H1217" s="133" t="s">
        <v>1933</v>
      </c>
      <c r="I1217" s="133" t="s">
        <v>548</v>
      </c>
      <c r="J1217" s="158">
        <v>0</v>
      </c>
      <c r="K1217" s="159" t="str">
        <f ca="1">IFERROR(__xludf.DUMMYFUNCTION("GOOGLETRANSLATE(H1217,""th"",""en"")"),"Date Created")</f>
        <v>Date Created</v>
      </c>
    </row>
    <row r="1218" spans="1:11" ht="15.75" hidden="1" customHeight="1">
      <c r="A1218" s="133" t="s">
        <v>7</v>
      </c>
      <c r="B1218" s="133" t="s">
        <v>324</v>
      </c>
      <c r="C1218" s="133" t="s">
        <v>670</v>
      </c>
      <c r="D1218" s="133" t="s">
        <v>477</v>
      </c>
      <c r="E1218" s="158">
        <v>8</v>
      </c>
      <c r="F1218" s="158">
        <v>0</v>
      </c>
      <c r="G1218" s="158">
        <v>0</v>
      </c>
      <c r="H1218" s="133" t="s">
        <v>1934</v>
      </c>
      <c r="I1218" s="133" t="s">
        <v>548</v>
      </c>
      <c r="J1218" s="158">
        <v>0</v>
      </c>
      <c r="K1218" s="159" t="str">
        <f ca="1">IFERROR(__xludf.DUMMYFUNCTION("GOOGLETRANSLATE(H1218,""th"",""en"")"),"Latest list")</f>
        <v>Latest list</v>
      </c>
    </row>
    <row r="1219" spans="1:11" ht="15.75" hidden="1" customHeight="1">
      <c r="A1219" s="133" t="s">
        <v>7</v>
      </c>
      <c r="B1219" s="133" t="s">
        <v>324</v>
      </c>
      <c r="C1219" s="133" t="s">
        <v>215</v>
      </c>
      <c r="D1219" s="133" t="s">
        <v>496</v>
      </c>
      <c r="E1219" s="158">
        <v>4</v>
      </c>
      <c r="F1219" s="158">
        <v>16</v>
      </c>
      <c r="G1219" s="158">
        <v>0</v>
      </c>
      <c r="H1219" s="133" t="s">
        <v>1935</v>
      </c>
      <c r="I1219" s="133" t="s">
        <v>548</v>
      </c>
      <c r="J1219" s="158">
        <v>0</v>
      </c>
      <c r="K1219" s="159" t="str">
        <f ca="1">IFERROR(__xludf.DUMMYFUNCTION("GOOGLETRANSLATE(H1219,""th"",""en"")"),"Last edited date")</f>
        <v>Last edited date</v>
      </c>
    </row>
    <row r="1220" spans="1:11" ht="15.75" hidden="1" customHeight="1">
      <c r="A1220" s="133" t="s">
        <v>7</v>
      </c>
      <c r="B1220" s="133" t="s">
        <v>254</v>
      </c>
      <c r="C1220" s="133" t="s">
        <v>1936</v>
      </c>
      <c r="D1220" s="133" t="s">
        <v>484</v>
      </c>
      <c r="E1220" s="158">
        <v>4</v>
      </c>
      <c r="F1220" s="158">
        <v>10</v>
      </c>
      <c r="G1220" s="158">
        <v>0</v>
      </c>
      <c r="H1220" s="133" t="s">
        <v>479</v>
      </c>
      <c r="I1220" s="133" t="s">
        <v>479</v>
      </c>
      <c r="J1220" s="158">
        <v>1</v>
      </c>
      <c r="K1220" s="159" t="str">
        <f ca="1">IFERROR(__xludf.DUMMYFUNCTION("GOOGLETRANSLATE(H1220,""th"",""en"")"),"Null")</f>
        <v>Null</v>
      </c>
    </row>
    <row r="1221" spans="1:11" ht="15.75" hidden="1" customHeight="1">
      <c r="A1221" s="133" t="s">
        <v>7</v>
      </c>
      <c r="B1221" s="133" t="s">
        <v>254</v>
      </c>
      <c r="C1221" s="133" t="s">
        <v>1937</v>
      </c>
      <c r="D1221" s="133" t="s">
        <v>496</v>
      </c>
      <c r="E1221" s="158">
        <v>4</v>
      </c>
      <c r="F1221" s="158">
        <v>16</v>
      </c>
      <c r="G1221" s="158">
        <v>0</v>
      </c>
      <c r="H1221" s="133" t="s">
        <v>479</v>
      </c>
      <c r="I1221" s="133" t="s">
        <v>479</v>
      </c>
      <c r="J1221" s="158">
        <v>1</v>
      </c>
      <c r="K1221" s="159" t="str">
        <f ca="1">IFERROR(__xludf.DUMMYFUNCTION("GOOGLETRANSLATE(H1221,""th"",""en"")"),"Null")</f>
        <v>Null</v>
      </c>
    </row>
    <row r="1222" spans="1:11" ht="15.75" hidden="1" customHeight="1">
      <c r="A1222" s="133" t="s">
        <v>7</v>
      </c>
      <c r="B1222" s="133" t="s">
        <v>254</v>
      </c>
      <c r="C1222" s="133" t="s">
        <v>1938</v>
      </c>
      <c r="D1222" s="133" t="s">
        <v>477</v>
      </c>
      <c r="E1222" s="158">
        <v>3</v>
      </c>
      <c r="F1222" s="158">
        <v>0</v>
      </c>
      <c r="G1222" s="158">
        <v>0</v>
      </c>
      <c r="H1222" s="133" t="s">
        <v>479</v>
      </c>
      <c r="I1222" s="133" t="s">
        <v>479</v>
      </c>
      <c r="J1222" s="158">
        <v>1</v>
      </c>
      <c r="K1222" s="159" t="str">
        <f ca="1">IFERROR(__xludf.DUMMYFUNCTION("GOOGLETRANSLATE(H1222,""th"",""en"")"),"Null")</f>
        <v>Null</v>
      </c>
    </row>
    <row r="1223" spans="1:11" ht="15.75" hidden="1" customHeight="1">
      <c r="A1223" s="133" t="s">
        <v>7</v>
      </c>
      <c r="B1223" s="133" t="s">
        <v>254</v>
      </c>
      <c r="C1223" s="133" t="s">
        <v>1939</v>
      </c>
      <c r="D1223" s="133" t="s">
        <v>477</v>
      </c>
      <c r="E1223" s="158">
        <v>3</v>
      </c>
      <c r="F1223" s="158">
        <v>0</v>
      </c>
      <c r="G1223" s="158">
        <v>0</v>
      </c>
      <c r="H1223" s="133" t="s">
        <v>479</v>
      </c>
      <c r="I1223" s="133" t="s">
        <v>479</v>
      </c>
      <c r="J1223" s="158">
        <v>0</v>
      </c>
      <c r="K1223" s="159" t="str">
        <f ca="1">IFERROR(__xludf.DUMMYFUNCTION("GOOGLETRANSLATE(H1223,""th"",""en"")"),"Null")</f>
        <v>Null</v>
      </c>
    </row>
    <row r="1224" spans="1:11" ht="15.75" hidden="1" customHeight="1">
      <c r="A1224" s="133" t="s">
        <v>7</v>
      </c>
      <c r="B1224" s="133" t="s">
        <v>254</v>
      </c>
      <c r="C1224" s="133" t="s">
        <v>1940</v>
      </c>
      <c r="D1224" s="133" t="s">
        <v>484</v>
      </c>
      <c r="E1224" s="158">
        <v>4</v>
      </c>
      <c r="F1224" s="158">
        <v>10</v>
      </c>
      <c r="G1224" s="158">
        <v>0</v>
      </c>
      <c r="H1224" s="133" t="s">
        <v>479</v>
      </c>
      <c r="I1224" s="133" t="s">
        <v>479</v>
      </c>
      <c r="J1224" s="158">
        <v>1</v>
      </c>
      <c r="K1224" s="159" t="str">
        <f ca="1">IFERROR(__xludf.DUMMYFUNCTION("GOOGLETRANSLATE(H1224,""th"",""en"")"),"Null")</f>
        <v>Null</v>
      </c>
    </row>
    <row r="1225" spans="1:11" ht="15.75" hidden="1" customHeight="1">
      <c r="A1225" s="133" t="s">
        <v>7</v>
      </c>
      <c r="B1225" s="133" t="s">
        <v>254</v>
      </c>
      <c r="C1225" s="133" t="s">
        <v>1941</v>
      </c>
      <c r="D1225" s="133" t="s">
        <v>484</v>
      </c>
      <c r="E1225" s="158">
        <v>4</v>
      </c>
      <c r="F1225" s="158">
        <v>10</v>
      </c>
      <c r="G1225" s="158">
        <v>0</v>
      </c>
      <c r="H1225" s="133" t="s">
        <v>479</v>
      </c>
      <c r="I1225" s="133" t="s">
        <v>479</v>
      </c>
      <c r="J1225" s="158">
        <v>1</v>
      </c>
      <c r="K1225" s="159" t="str">
        <f ca="1">IFERROR(__xludf.DUMMYFUNCTION("GOOGLETRANSLATE(H1225,""th"",""en"")"),"Null")</f>
        <v>Null</v>
      </c>
    </row>
    <row r="1226" spans="1:11" ht="15.75" hidden="1" customHeight="1">
      <c r="A1226" s="133" t="s">
        <v>7</v>
      </c>
      <c r="B1226" s="133" t="s">
        <v>254</v>
      </c>
      <c r="C1226" s="133" t="s">
        <v>1942</v>
      </c>
      <c r="D1226" s="133" t="s">
        <v>484</v>
      </c>
      <c r="E1226" s="158">
        <v>4</v>
      </c>
      <c r="F1226" s="158">
        <v>10</v>
      </c>
      <c r="G1226" s="158">
        <v>0</v>
      </c>
      <c r="H1226" s="133" t="s">
        <v>479</v>
      </c>
      <c r="I1226" s="133" t="s">
        <v>479</v>
      </c>
      <c r="J1226" s="158">
        <v>1</v>
      </c>
      <c r="K1226" s="159" t="str">
        <f ca="1">IFERROR(__xludf.DUMMYFUNCTION("GOOGLETRANSLATE(H1226,""th"",""en"")"),"Null")</f>
        <v>Null</v>
      </c>
    </row>
    <row r="1227" spans="1:11" ht="15.75" hidden="1" customHeight="1">
      <c r="A1227" s="133" t="s">
        <v>7</v>
      </c>
      <c r="B1227" s="133" t="s">
        <v>254</v>
      </c>
      <c r="C1227" s="133" t="s">
        <v>1943</v>
      </c>
      <c r="D1227" s="133" t="s">
        <v>1631</v>
      </c>
      <c r="E1227" s="158">
        <v>8</v>
      </c>
      <c r="F1227" s="158">
        <v>19</v>
      </c>
      <c r="G1227" s="158">
        <v>0</v>
      </c>
      <c r="H1227" s="133" t="s">
        <v>479</v>
      </c>
      <c r="I1227" s="133" t="s">
        <v>479</v>
      </c>
      <c r="J1227" s="158">
        <v>1</v>
      </c>
      <c r="K1227" s="159" t="str">
        <f ca="1">IFERROR(__xludf.DUMMYFUNCTION("GOOGLETRANSLATE(H1227,""th"",""en"")"),"Null")</f>
        <v>Null</v>
      </c>
    </row>
    <row r="1228" spans="1:11" ht="15.75" hidden="1" customHeight="1">
      <c r="A1228" s="133" t="s">
        <v>7</v>
      </c>
      <c r="B1228" s="133" t="s">
        <v>254</v>
      </c>
      <c r="C1228" s="133" t="s">
        <v>1944</v>
      </c>
      <c r="D1228" s="133" t="s">
        <v>477</v>
      </c>
      <c r="E1228" s="158">
        <v>1</v>
      </c>
      <c r="F1228" s="158">
        <v>0</v>
      </c>
      <c r="G1228" s="158">
        <v>0</v>
      </c>
      <c r="H1228" s="133" t="s">
        <v>479</v>
      </c>
      <c r="I1228" s="133" t="s">
        <v>479</v>
      </c>
      <c r="J1228" s="158">
        <v>0</v>
      </c>
      <c r="K1228" s="159" t="str">
        <f ca="1">IFERROR(__xludf.DUMMYFUNCTION("GOOGLETRANSLATE(H1228,""th"",""en"")"),"Null")</f>
        <v>Null</v>
      </c>
    </row>
    <row r="1229" spans="1:11" ht="15.75" hidden="1" customHeight="1">
      <c r="A1229" s="133" t="s">
        <v>7</v>
      </c>
      <c r="B1229" s="133" t="s">
        <v>254</v>
      </c>
      <c r="C1229" s="133" t="s">
        <v>253</v>
      </c>
      <c r="D1229" s="133" t="s">
        <v>1796</v>
      </c>
      <c r="E1229" s="158">
        <v>14</v>
      </c>
      <c r="F1229" s="158">
        <v>0</v>
      </c>
      <c r="G1229" s="158">
        <v>0</v>
      </c>
      <c r="H1229" s="133" t="s">
        <v>479</v>
      </c>
      <c r="I1229" s="133" t="s">
        <v>479</v>
      </c>
      <c r="J1229" s="158">
        <v>1</v>
      </c>
      <c r="K1229" s="159" t="str">
        <f ca="1">IFERROR(__xludf.DUMMYFUNCTION("GOOGLETRANSLATE(H1229,""th"",""en"")"),"Null")</f>
        <v>Null</v>
      </c>
    </row>
    <row r="1230" spans="1:11" ht="15.75" hidden="1" customHeight="1">
      <c r="A1230" s="133" t="s">
        <v>7</v>
      </c>
      <c r="B1230" s="133" t="s">
        <v>254</v>
      </c>
      <c r="C1230" s="133" t="s">
        <v>1945</v>
      </c>
      <c r="D1230" s="133" t="s">
        <v>477</v>
      </c>
      <c r="E1230" s="158">
        <v>10</v>
      </c>
      <c r="F1230" s="158">
        <v>0</v>
      </c>
      <c r="G1230" s="158">
        <v>0</v>
      </c>
      <c r="H1230" s="133" t="s">
        <v>479</v>
      </c>
      <c r="I1230" s="133" t="s">
        <v>479</v>
      </c>
      <c r="J1230" s="158">
        <v>0</v>
      </c>
      <c r="K1230" s="159" t="str">
        <f ca="1">IFERROR(__xludf.DUMMYFUNCTION("GOOGLETRANSLATE(H1230,""th"",""en"")"),"Null")</f>
        <v>Null</v>
      </c>
    </row>
    <row r="1231" spans="1:11" ht="15.75" hidden="1" customHeight="1">
      <c r="A1231" s="133" t="s">
        <v>7</v>
      </c>
      <c r="B1231" s="133" t="s">
        <v>254</v>
      </c>
      <c r="C1231" s="133" t="s">
        <v>1946</v>
      </c>
      <c r="D1231" s="133" t="s">
        <v>477</v>
      </c>
      <c r="E1231" s="158">
        <v>200</v>
      </c>
      <c r="F1231" s="158">
        <v>0</v>
      </c>
      <c r="G1231" s="158">
        <v>0</v>
      </c>
      <c r="H1231" s="133" t="s">
        <v>479</v>
      </c>
      <c r="I1231" s="133" t="s">
        <v>479</v>
      </c>
      <c r="J1231" s="158">
        <v>0</v>
      </c>
      <c r="K1231" s="159" t="str">
        <f ca="1">IFERROR(__xludf.DUMMYFUNCTION("GOOGLETRANSLATE(H1231,""th"",""en"")"),"Null")</f>
        <v>Null</v>
      </c>
    </row>
    <row r="1232" spans="1:11" ht="15.75" hidden="1" customHeight="1">
      <c r="A1232" s="133" t="s">
        <v>7</v>
      </c>
      <c r="B1232" s="133" t="s">
        <v>254</v>
      </c>
      <c r="C1232" s="133" t="s">
        <v>1947</v>
      </c>
      <c r="D1232" s="133" t="s">
        <v>481</v>
      </c>
      <c r="E1232" s="158">
        <v>13</v>
      </c>
      <c r="F1232" s="158">
        <v>24</v>
      </c>
      <c r="G1232" s="158">
        <v>2</v>
      </c>
      <c r="H1232" s="133" t="s">
        <v>479</v>
      </c>
      <c r="I1232" s="133" t="s">
        <v>479</v>
      </c>
      <c r="J1232" s="158">
        <v>1</v>
      </c>
      <c r="K1232" s="159" t="str">
        <f ca="1">IFERROR(__xludf.DUMMYFUNCTION("GOOGLETRANSLATE(H1232,""th"",""en"")"),"Null")</f>
        <v>Null</v>
      </c>
    </row>
    <row r="1233" spans="1:11" ht="15.75" hidden="1" customHeight="1">
      <c r="A1233" s="133" t="s">
        <v>7</v>
      </c>
      <c r="B1233" s="133" t="s">
        <v>254</v>
      </c>
      <c r="C1233" s="133" t="s">
        <v>1948</v>
      </c>
      <c r="D1233" s="133" t="s">
        <v>477</v>
      </c>
      <c r="E1233" s="158">
        <v>3</v>
      </c>
      <c r="F1233" s="158">
        <v>0</v>
      </c>
      <c r="G1233" s="158">
        <v>0</v>
      </c>
      <c r="H1233" s="133" t="s">
        <v>479</v>
      </c>
      <c r="I1233" s="133" t="s">
        <v>479</v>
      </c>
      <c r="J1233" s="158">
        <v>1</v>
      </c>
      <c r="K1233" s="159" t="str">
        <f ca="1">IFERROR(__xludf.DUMMYFUNCTION("GOOGLETRANSLATE(H1233,""th"",""en"")"),"Null")</f>
        <v>Null</v>
      </c>
    </row>
    <row r="1234" spans="1:11" ht="15.75" hidden="1" customHeight="1">
      <c r="A1234" s="133" t="s">
        <v>7</v>
      </c>
      <c r="B1234" s="133" t="s">
        <v>254</v>
      </c>
      <c r="C1234" s="133" t="s">
        <v>1949</v>
      </c>
      <c r="D1234" s="133" t="s">
        <v>477</v>
      </c>
      <c r="E1234" s="158">
        <v>2</v>
      </c>
      <c r="F1234" s="158">
        <v>0</v>
      </c>
      <c r="G1234" s="158">
        <v>0</v>
      </c>
      <c r="H1234" s="133" t="s">
        <v>479</v>
      </c>
      <c r="I1234" s="133" t="s">
        <v>479</v>
      </c>
      <c r="J1234" s="158">
        <v>0</v>
      </c>
      <c r="K1234" s="159" t="str">
        <f ca="1">IFERROR(__xludf.DUMMYFUNCTION("GOOGLETRANSLATE(H1234,""th"",""en"")"),"Null")</f>
        <v>Null</v>
      </c>
    </row>
    <row r="1235" spans="1:11" ht="15.75" hidden="1" customHeight="1">
      <c r="A1235" s="133" t="s">
        <v>7</v>
      </c>
      <c r="B1235" s="133" t="s">
        <v>254</v>
      </c>
      <c r="C1235" s="133" t="s">
        <v>1950</v>
      </c>
      <c r="D1235" s="133" t="s">
        <v>538</v>
      </c>
      <c r="E1235" s="158">
        <v>8</v>
      </c>
      <c r="F1235" s="158">
        <v>23</v>
      </c>
      <c r="G1235" s="158">
        <v>3</v>
      </c>
      <c r="H1235" s="133" t="s">
        <v>479</v>
      </c>
      <c r="I1235" s="133" t="s">
        <v>479</v>
      </c>
      <c r="J1235" s="158">
        <v>1</v>
      </c>
      <c r="K1235" s="159" t="str">
        <f ca="1">IFERROR(__xludf.DUMMYFUNCTION("GOOGLETRANSLATE(H1235,""th"",""en"")"),"Null")</f>
        <v>Null</v>
      </c>
    </row>
    <row r="1236" spans="1:11" ht="15.75" hidden="1" customHeight="1">
      <c r="A1236" s="133" t="s">
        <v>7</v>
      </c>
      <c r="B1236" s="133" t="s">
        <v>254</v>
      </c>
      <c r="C1236" s="133" t="s">
        <v>1951</v>
      </c>
      <c r="D1236" s="133" t="s">
        <v>484</v>
      </c>
      <c r="E1236" s="158">
        <v>4</v>
      </c>
      <c r="F1236" s="158">
        <v>10</v>
      </c>
      <c r="G1236" s="158">
        <v>0</v>
      </c>
      <c r="H1236" s="133" t="s">
        <v>479</v>
      </c>
      <c r="I1236" s="133" t="s">
        <v>479</v>
      </c>
      <c r="J1236" s="158">
        <v>1</v>
      </c>
      <c r="K1236" s="159" t="str">
        <f ca="1">IFERROR(__xludf.DUMMYFUNCTION("GOOGLETRANSLATE(H1236,""th"",""en"")"),"Null")</f>
        <v>Null</v>
      </c>
    </row>
    <row r="1237" spans="1:11" ht="15.75" hidden="1" customHeight="1">
      <c r="A1237" s="133" t="s">
        <v>7</v>
      </c>
      <c r="B1237" s="133" t="s">
        <v>249</v>
      </c>
      <c r="C1237" s="133" t="s">
        <v>250</v>
      </c>
      <c r="D1237" s="133" t="s">
        <v>477</v>
      </c>
      <c r="E1237" s="158">
        <v>8</v>
      </c>
      <c r="F1237" s="158">
        <v>0</v>
      </c>
      <c r="G1237" s="158">
        <v>0</v>
      </c>
      <c r="H1237" s="133" t="s">
        <v>479</v>
      </c>
      <c r="I1237" s="133" t="s">
        <v>479</v>
      </c>
      <c r="J1237" s="158">
        <v>0</v>
      </c>
      <c r="K1237" s="159" t="str">
        <f ca="1">IFERROR(__xludf.DUMMYFUNCTION("GOOGLETRANSLATE(H1237,""th"",""en"")"),"Null")</f>
        <v>Null</v>
      </c>
    </row>
    <row r="1238" spans="1:11" ht="15.75" hidden="1" customHeight="1">
      <c r="A1238" s="133" t="s">
        <v>7</v>
      </c>
      <c r="B1238" s="133" t="s">
        <v>249</v>
      </c>
      <c r="C1238" s="133" t="s">
        <v>1952</v>
      </c>
      <c r="D1238" s="133" t="s">
        <v>477</v>
      </c>
      <c r="E1238" s="158">
        <v>200</v>
      </c>
      <c r="F1238" s="158">
        <v>0</v>
      </c>
      <c r="G1238" s="158">
        <v>0</v>
      </c>
      <c r="H1238" s="133" t="s">
        <v>479</v>
      </c>
      <c r="I1238" s="133" t="s">
        <v>479</v>
      </c>
      <c r="J1238" s="158">
        <v>0</v>
      </c>
      <c r="K1238" s="159" t="str">
        <f ca="1">IFERROR(__xludf.DUMMYFUNCTION("GOOGLETRANSLATE(H1238,""th"",""en"")"),"Null")</f>
        <v>Null</v>
      </c>
    </row>
    <row r="1239" spans="1:11" ht="15.75" hidden="1" customHeight="1">
      <c r="A1239" s="133" t="s">
        <v>7</v>
      </c>
      <c r="B1239" s="133" t="s">
        <v>326</v>
      </c>
      <c r="C1239" s="133" t="s">
        <v>292</v>
      </c>
      <c r="D1239" s="133" t="s">
        <v>484</v>
      </c>
      <c r="E1239" s="158">
        <v>4</v>
      </c>
      <c r="F1239" s="158">
        <v>10</v>
      </c>
      <c r="G1239" s="158">
        <v>0</v>
      </c>
      <c r="H1239" s="133" t="s">
        <v>1953</v>
      </c>
      <c r="I1239" s="133" t="s">
        <v>479</v>
      </c>
      <c r="J1239" s="158">
        <v>0</v>
      </c>
      <c r="K1239" s="159" t="str">
        <f ca="1">IFERROR(__xludf.DUMMYFUNCTION("GOOGLETRANSLATE(H1239,""th"",""en"")"),"Sequence")</f>
        <v>Sequence</v>
      </c>
    </row>
    <row r="1240" spans="1:11" ht="15.75" hidden="1" customHeight="1">
      <c r="A1240" s="133" t="s">
        <v>7</v>
      </c>
      <c r="B1240" s="133" t="s">
        <v>326</v>
      </c>
      <c r="C1240" s="133" t="s">
        <v>1954</v>
      </c>
      <c r="D1240" s="133" t="s">
        <v>477</v>
      </c>
      <c r="E1240" s="158">
        <v>30</v>
      </c>
      <c r="F1240" s="158">
        <v>0</v>
      </c>
      <c r="G1240" s="158">
        <v>0</v>
      </c>
      <c r="H1240" s="133" t="s">
        <v>1955</v>
      </c>
      <c r="I1240" s="133" t="s">
        <v>548</v>
      </c>
      <c r="J1240" s="158">
        <v>0</v>
      </c>
      <c r="K1240" s="159" t="str">
        <f ca="1">IFERROR(__xludf.DUMMYFUNCTION("GOOGLETRANSLATE(H1240,""th"",""en"")"),"Product Code")</f>
        <v>Product Code</v>
      </c>
    </row>
    <row r="1241" spans="1:11" ht="15.75" hidden="1" customHeight="1">
      <c r="A1241" s="133" t="s">
        <v>7</v>
      </c>
      <c r="B1241" s="133" t="s">
        <v>326</v>
      </c>
      <c r="C1241" s="133" t="s">
        <v>1956</v>
      </c>
      <c r="D1241" s="133" t="s">
        <v>477</v>
      </c>
      <c r="E1241" s="158">
        <v>30</v>
      </c>
      <c r="F1241" s="158">
        <v>0</v>
      </c>
      <c r="G1241" s="158">
        <v>0</v>
      </c>
      <c r="H1241" s="133" t="s">
        <v>1957</v>
      </c>
      <c r="I1241" s="133" t="s">
        <v>548</v>
      </c>
      <c r="J1241" s="158">
        <v>0</v>
      </c>
      <c r="K1241" s="159" t="str">
        <f ca="1">IFERROR(__xludf.DUMMYFUNCTION("GOOGLETRANSLATE(H1241,""th"",""en"")"),"Thai product brand")</f>
        <v>Thai product brand</v>
      </c>
    </row>
    <row r="1242" spans="1:11" ht="15.75" hidden="1" customHeight="1">
      <c r="A1242" s="133" t="s">
        <v>7</v>
      </c>
      <c r="B1242" s="133" t="s">
        <v>326</v>
      </c>
      <c r="C1242" s="133" t="s">
        <v>1958</v>
      </c>
      <c r="D1242" s="133" t="s">
        <v>477</v>
      </c>
      <c r="E1242" s="158">
        <v>30</v>
      </c>
      <c r="F1242" s="158">
        <v>0</v>
      </c>
      <c r="G1242" s="158">
        <v>0</v>
      </c>
      <c r="H1242" s="133" t="s">
        <v>1959</v>
      </c>
      <c r="I1242" s="133" t="s">
        <v>548</v>
      </c>
      <c r="J1242" s="158">
        <v>0</v>
      </c>
      <c r="K1242" s="159" t="str">
        <f ca="1">IFERROR(__xludf.DUMMYFUNCTION("GOOGLETRANSLATE(H1242,""th"",""en"")"),"English brand brand")</f>
        <v>English brand brand</v>
      </c>
    </row>
    <row r="1243" spans="1:11" ht="15.75" hidden="1" customHeight="1">
      <c r="A1243" s="133" t="s">
        <v>7</v>
      </c>
      <c r="B1243" s="133" t="s">
        <v>326</v>
      </c>
      <c r="C1243" s="133" t="s">
        <v>1960</v>
      </c>
      <c r="D1243" s="133" t="s">
        <v>477</v>
      </c>
      <c r="E1243" s="158">
        <v>100</v>
      </c>
      <c r="F1243" s="158">
        <v>0</v>
      </c>
      <c r="G1243" s="158">
        <v>0</v>
      </c>
      <c r="H1243" s="133" t="s">
        <v>1961</v>
      </c>
      <c r="I1243" s="133" t="s">
        <v>548</v>
      </c>
      <c r="J1243" s="158">
        <v>0</v>
      </c>
      <c r="K1243" s="159" t="str">
        <f ca="1">IFERROR(__xludf.DUMMYFUNCTION("GOOGLETRANSLATE(H1243,""th"",""en"")"),"Cancel: Tell the picture name of Brand.")</f>
        <v>Cancel: Tell the picture name of Brand.</v>
      </c>
    </row>
    <row r="1244" spans="1:11" ht="15.75" hidden="1" customHeight="1">
      <c r="A1244" s="133" t="s">
        <v>7</v>
      </c>
      <c r="B1244" s="133" t="s">
        <v>326</v>
      </c>
      <c r="C1244" s="133" t="s">
        <v>1962</v>
      </c>
      <c r="D1244" s="133" t="s">
        <v>477</v>
      </c>
      <c r="E1244" s="158">
        <v>3</v>
      </c>
      <c r="F1244" s="158">
        <v>0</v>
      </c>
      <c r="G1244" s="158">
        <v>0</v>
      </c>
      <c r="H1244" s="133" t="s">
        <v>1963</v>
      </c>
      <c r="I1244" s="133" t="s">
        <v>596</v>
      </c>
      <c r="J1244" s="158">
        <v>0</v>
      </c>
      <c r="K1244" s="159" t="str">
        <f ca="1">IFERROR(__xludf.DUMMYFUNCTION("GOOGLETRANSLATE(H1244,""th"",""en"")"),"Disclaimer: Brand that is a promotion (y = yes, n = no)")</f>
        <v>Disclaimer: Brand that is a promotion (y = yes, n = no)</v>
      </c>
    </row>
    <row r="1245" spans="1:11" ht="15.75" hidden="1" customHeight="1">
      <c r="A1245" s="133" t="s">
        <v>7</v>
      </c>
      <c r="B1245" s="133" t="s">
        <v>326</v>
      </c>
      <c r="C1245" s="133" t="s">
        <v>523</v>
      </c>
      <c r="D1245" s="133" t="s">
        <v>477</v>
      </c>
      <c r="E1245" s="158">
        <v>8</v>
      </c>
      <c r="F1245" s="158">
        <v>0</v>
      </c>
      <c r="G1245" s="158">
        <v>0</v>
      </c>
      <c r="H1245" s="133" t="s">
        <v>834</v>
      </c>
      <c r="I1245" s="133" t="s">
        <v>548</v>
      </c>
      <c r="J1245" s="158">
        <v>0</v>
      </c>
      <c r="K1245" s="159" t="str">
        <f ca="1">IFERROR(__xludf.DUMMYFUNCTION("GOOGLETRANSLATE(H1245,""th"",""en"")"),"Information Creator ID")</f>
        <v>Information Creator ID</v>
      </c>
    </row>
    <row r="1246" spans="1:11" ht="15.75" hidden="1" customHeight="1">
      <c r="A1246" s="133" t="s">
        <v>7</v>
      </c>
      <c r="B1246" s="133" t="s">
        <v>326</v>
      </c>
      <c r="C1246" s="133" t="s">
        <v>669</v>
      </c>
      <c r="D1246" s="133" t="s">
        <v>800</v>
      </c>
      <c r="E1246" s="158">
        <v>8</v>
      </c>
      <c r="F1246" s="158">
        <v>27</v>
      </c>
      <c r="G1246" s="158">
        <v>7</v>
      </c>
      <c r="H1246" s="133" t="s">
        <v>835</v>
      </c>
      <c r="I1246" s="133" t="s">
        <v>801</v>
      </c>
      <c r="J1246" s="158">
        <v>0</v>
      </c>
      <c r="K1246" s="159" t="str">
        <f ca="1">IFERROR(__xludf.DUMMYFUNCTION("GOOGLETRANSLATE(H1246,""th"",""en"")"),"Date created")</f>
        <v>Date created</v>
      </c>
    </row>
    <row r="1247" spans="1:11" ht="15.75" hidden="1" customHeight="1">
      <c r="A1247" s="133" t="s">
        <v>7</v>
      </c>
      <c r="B1247" s="133" t="s">
        <v>326</v>
      </c>
      <c r="C1247" s="133" t="s">
        <v>670</v>
      </c>
      <c r="D1247" s="133" t="s">
        <v>477</v>
      </c>
      <c r="E1247" s="158">
        <v>8</v>
      </c>
      <c r="F1247" s="158">
        <v>0</v>
      </c>
      <c r="G1247" s="158">
        <v>0</v>
      </c>
      <c r="H1247" s="133" t="s">
        <v>836</v>
      </c>
      <c r="I1247" s="133" t="s">
        <v>548</v>
      </c>
      <c r="J1247" s="158">
        <v>0</v>
      </c>
      <c r="K1247" s="159" t="str">
        <f ca="1">IFERROR(__xludf.DUMMYFUNCTION("GOOGLETRANSLATE(H1247,""th"",""en"")"),"Latest data editor")</f>
        <v>Latest data editor</v>
      </c>
    </row>
    <row r="1248" spans="1:11" ht="15.75" hidden="1" customHeight="1">
      <c r="A1248" s="133" t="s">
        <v>7</v>
      </c>
      <c r="B1248" s="133" t="s">
        <v>326</v>
      </c>
      <c r="C1248" s="133" t="s">
        <v>215</v>
      </c>
      <c r="D1248" s="133" t="s">
        <v>800</v>
      </c>
      <c r="E1248" s="158">
        <v>8</v>
      </c>
      <c r="F1248" s="158">
        <v>27</v>
      </c>
      <c r="G1248" s="158">
        <v>7</v>
      </c>
      <c r="H1248" s="133" t="s">
        <v>837</v>
      </c>
      <c r="I1248" s="133" t="s">
        <v>801</v>
      </c>
      <c r="J1248" s="158">
        <v>0</v>
      </c>
      <c r="K1248" s="159" t="str">
        <f ca="1">IFERROR(__xludf.DUMMYFUNCTION("GOOGLETRANSLATE(H1248,""th"",""en"")"),"Last editing date")</f>
        <v>Last editing date</v>
      </c>
    </row>
    <row r="1249" spans="1:11" ht="15.75" hidden="1" customHeight="1">
      <c r="A1249" s="133" t="s">
        <v>7</v>
      </c>
      <c r="B1249" s="133" t="s">
        <v>326</v>
      </c>
      <c r="C1249" s="133" t="s">
        <v>1964</v>
      </c>
      <c r="D1249" s="133" t="s">
        <v>477</v>
      </c>
      <c r="E1249" s="158">
        <v>3</v>
      </c>
      <c r="F1249" s="158">
        <v>0</v>
      </c>
      <c r="G1249" s="158">
        <v>0</v>
      </c>
      <c r="H1249" s="133" t="s">
        <v>1965</v>
      </c>
      <c r="I1249" s="133" t="s">
        <v>596</v>
      </c>
      <c r="J1249" s="158">
        <v>0</v>
      </c>
      <c r="K1249" s="159" t="str">
        <f ca="1">IFERROR(__xludf.DUMMYFUNCTION("GOOGLETRANSLATE(H1249,""th"",""en"")"),"Ownbrand (Housebrand) [yes = as owned products, no = not as owned products]")</f>
        <v>Ownbrand (Housebrand) [yes = as owned products, no = not as owned products]</v>
      </c>
    </row>
    <row r="1250" spans="1:11" ht="15.75" hidden="1" customHeight="1">
      <c r="A1250" s="133" t="s">
        <v>7</v>
      </c>
      <c r="B1250" s="133" t="s">
        <v>326</v>
      </c>
      <c r="C1250" s="133" t="s">
        <v>1966</v>
      </c>
      <c r="D1250" s="133" t="s">
        <v>477</v>
      </c>
      <c r="E1250" s="158">
        <v>5</v>
      </c>
      <c r="F1250" s="158">
        <v>0</v>
      </c>
      <c r="G1250" s="158">
        <v>0</v>
      </c>
      <c r="H1250" s="133" t="s">
        <v>1967</v>
      </c>
      <c r="I1250" s="133" t="s">
        <v>548</v>
      </c>
      <c r="J1250" s="158">
        <v>0</v>
      </c>
      <c r="K1250" s="159" t="str">
        <f ca="1">IFERROR(__xludf.DUMMYFUNCTION("GOOGLETRANSLATE(H1250,""th"",""en"")"),"OD product code")</f>
        <v>OD product code</v>
      </c>
    </row>
    <row r="1251" spans="1:11" ht="15.75" hidden="1" customHeight="1">
      <c r="A1251" s="133" t="s">
        <v>7</v>
      </c>
      <c r="B1251" s="133" t="s">
        <v>326</v>
      </c>
      <c r="C1251" s="133" t="s">
        <v>1968</v>
      </c>
      <c r="D1251" s="133" t="s">
        <v>484</v>
      </c>
      <c r="E1251" s="158">
        <v>4</v>
      </c>
      <c r="F1251" s="158">
        <v>10</v>
      </c>
      <c r="G1251" s="158">
        <v>0</v>
      </c>
      <c r="H1251" s="133" t="s">
        <v>1969</v>
      </c>
      <c r="I1251" s="133" t="s">
        <v>615</v>
      </c>
      <c r="J1251" s="158">
        <v>0</v>
      </c>
      <c r="K1251" s="159" t="str">
        <f ca="1">IFERROR(__xludf.DUMMYFUNCTION("GOOGLETRANSLATE(H1251,""th"",""en"")"),"Keep the information reference: the brand code (old from the ORP system)")</f>
        <v>Keep the information reference: the brand code (old from the ORP system)</v>
      </c>
    </row>
    <row r="1252" spans="1:11" ht="15.75" hidden="1" customHeight="1">
      <c r="A1252" s="133" t="s">
        <v>7</v>
      </c>
      <c r="B1252" s="133" t="s">
        <v>326</v>
      </c>
      <c r="C1252" s="133" t="s">
        <v>811</v>
      </c>
      <c r="D1252" s="133" t="s">
        <v>477</v>
      </c>
      <c r="E1252" s="158">
        <v>10</v>
      </c>
      <c r="F1252" s="158">
        <v>0</v>
      </c>
      <c r="G1252" s="158">
        <v>0</v>
      </c>
      <c r="H1252" s="133" t="s">
        <v>1970</v>
      </c>
      <c r="I1252" s="133" t="s">
        <v>813</v>
      </c>
      <c r="J1252" s="158">
        <v>0</v>
      </c>
      <c r="K1252" s="159" t="str">
        <f ca="1">IFERROR(__xludf.DUMMYFUNCTION("GOOGLETRANSLATE(H1252,""th"",""en"")"),"Brand status [Active, Inactive, Delete]")</f>
        <v>Brand status [Active, Inactive, Delete]</v>
      </c>
    </row>
    <row r="1253" spans="1:11" ht="15.75" hidden="1" customHeight="1">
      <c r="A1253" s="133" t="s">
        <v>7</v>
      </c>
      <c r="B1253" s="133" t="s">
        <v>326</v>
      </c>
      <c r="C1253" s="133" t="s">
        <v>814</v>
      </c>
      <c r="D1253" s="133" t="s">
        <v>477</v>
      </c>
      <c r="E1253" s="158">
        <v>100</v>
      </c>
      <c r="F1253" s="158">
        <v>0</v>
      </c>
      <c r="G1253" s="158">
        <v>0</v>
      </c>
      <c r="H1253" s="133" t="s">
        <v>815</v>
      </c>
      <c r="I1253" s="133" t="s">
        <v>548</v>
      </c>
      <c r="J1253" s="158">
        <v>0</v>
      </c>
      <c r="K1253" s="159" t="str">
        <f ca="1">IFERROR(__xludf.DUMMYFUNCTION("GOOGLETRANSLATE(H1253,""th"",""en"")"),"Information Creator Name")</f>
        <v>Information Creator Name</v>
      </c>
    </row>
    <row r="1254" spans="1:11" ht="15.75" hidden="1" customHeight="1">
      <c r="A1254" s="133" t="s">
        <v>7</v>
      </c>
      <c r="B1254" s="133" t="s">
        <v>326</v>
      </c>
      <c r="C1254" s="133" t="s">
        <v>816</v>
      </c>
      <c r="D1254" s="133" t="s">
        <v>477</v>
      </c>
      <c r="E1254" s="158">
        <v>100</v>
      </c>
      <c r="F1254" s="158">
        <v>0</v>
      </c>
      <c r="G1254" s="158">
        <v>0</v>
      </c>
      <c r="H1254" s="133" t="s">
        <v>817</v>
      </c>
      <c r="I1254" s="133" t="s">
        <v>548</v>
      </c>
      <c r="J1254" s="158">
        <v>0</v>
      </c>
      <c r="K1254" s="159" t="str">
        <f ca="1">IFERROR(__xludf.DUMMYFUNCTION("GOOGLETRANSLATE(H1254,""th"",""en"")"),"Latest information")</f>
        <v>Latest information</v>
      </c>
    </row>
    <row r="1255" spans="1:11" ht="15.75" hidden="1" customHeight="1">
      <c r="A1255" s="133" t="s">
        <v>7</v>
      </c>
      <c r="B1255" s="133" t="s">
        <v>328</v>
      </c>
      <c r="C1255" s="133" t="s">
        <v>325</v>
      </c>
      <c r="D1255" s="133" t="s">
        <v>484</v>
      </c>
      <c r="E1255" s="158">
        <v>4</v>
      </c>
      <c r="F1255" s="158">
        <v>10</v>
      </c>
      <c r="G1255" s="158">
        <v>0</v>
      </c>
      <c r="H1255" s="133" t="s">
        <v>1971</v>
      </c>
      <c r="I1255" s="133" t="s">
        <v>479</v>
      </c>
      <c r="J1255" s="158">
        <v>0</v>
      </c>
      <c r="K1255" s="159" t="str">
        <f ca="1">IFERROR(__xludf.DUMMYFUNCTION("GOOGLETRANSLATE(H1255,""th"",""en"")"),"Log number")</f>
        <v>Log number</v>
      </c>
    </row>
    <row r="1256" spans="1:11" ht="15.75" hidden="1" customHeight="1">
      <c r="A1256" s="133" t="s">
        <v>7</v>
      </c>
      <c r="B1256" s="133" t="s">
        <v>328</v>
      </c>
      <c r="C1256" s="133" t="s">
        <v>335</v>
      </c>
      <c r="D1256" s="133" t="s">
        <v>477</v>
      </c>
      <c r="E1256" s="158">
        <v>7</v>
      </c>
      <c r="F1256" s="158">
        <v>0</v>
      </c>
      <c r="G1256" s="158">
        <v>0</v>
      </c>
      <c r="H1256" s="133" t="s">
        <v>1972</v>
      </c>
      <c r="I1256" s="133" t="s">
        <v>548</v>
      </c>
      <c r="J1256" s="158">
        <v>0</v>
      </c>
      <c r="K1256" s="159" t="str">
        <f ca="1">IFERROR(__xludf.DUMMYFUNCTION("GOOGLETRANSLATE(H1256,""th"",""en"")"),"Product code of the OFM")</f>
        <v>Product code of the OFM</v>
      </c>
    </row>
    <row r="1257" spans="1:11" ht="15.75" hidden="1" customHeight="1">
      <c r="A1257" s="133" t="s">
        <v>7</v>
      </c>
      <c r="B1257" s="133" t="s">
        <v>328</v>
      </c>
      <c r="C1257" s="133" t="s">
        <v>1583</v>
      </c>
      <c r="D1257" s="133" t="s">
        <v>477</v>
      </c>
      <c r="E1257" s="158">
        <v>30</v>
      </c>
      <c r="F1257" s="158">
        <v>0</v>
      </c>
      <c r="G1257" s="158">
        <v>0</v>
      </c>
      <c r="H1257" s="133" t="s">
        <v>1973</v>
      </c>
      <c r="I1257" s="133" t="s">
        <v>548</v>
      </c>
      <c r="J1257" s="158">
        <v>0</v>
      </c>
      <c r="K1257" s="159" t="str">
        <f ca="1">IFERROR(__xludf.DUMMYFUNCTION("GOOGLETRANSLATE(H1257,""th"",""en"")"),"Catalog Type code (from PIM)")</f>
        <v>Catalog Type code (from PIM)</v>
      </c>
    </row>
    <row r="1258" spans="1:11" ht="15.75" hidden="1" customHeight="1">
      <c r="A1258" s="133" t="s">
        <v>7</v>
      </c>
      <c r="B1258" s="133" t="s">
        <v>328</v>
      </c>
      <c r="C1258" s="133" t="s">
        <v>1761</v>
      </c>
      <c r="D1258" s="133" t="s">
        <v>1974</v>
      </c>
      <c r="E1258" s="158">
        <v>3</v>
      </c>
      <c r="F1258" s="158">
        <v>10</v>
      </c>
      <c r="G1258" s="158">
        <v>0</v>
      </c>
      <c r="H1258" s="133" t="s">
        <v>1975</v>
      </c>
      <c r="I1258" s="133" t="s">
        <v>548</v>
      </c>
      <c r="J1258" s="158">
        <v>0</v>
      </c>
      <c r="K1258" s="159" t="str">
        <f ca="1">IFERROR(__xludf.DUMMYFUNCTION("GOOGLETRANSLATE(H1258,""th"",""en"")"),"Start date")</f>
        <v>Start date</v>
      </c>
    </row>
    <row r="1259" spans="1:11" ht="15.75" hidden="1" customHeight="1">
      <c r="A1259" s="133" t="s">
        <v>7</v>
      </c>
      <c r="B1259" s="133" t="s">
        <v>328</v>
      </c>
      <c r="C1259" s="133" t="s">
        <v>1762</v>
      </c>
      <c r="D1259" s="133" t="s">
        <v>1974</v>
      </c>
      <c r="E1259" s="158">
        <v>3</v>
      </c>
      <c r="F1259" s="158">
        <v>10</v>
      </c>
      <c r="G1259" s="158">
        <v>0</v>
      </c>
      <c r="H1259" s="133" t="s">
        <v>1976</v>
      </c>
      <c r="I1259" s="133" t="s">
        <v>548</v>
      </c>
      <c r="J1259" s="158">
        <v>0</v>
      </c>
      <c r="K1259" s="159" t="str">
        <f ca="1">IFERROR(__xludf.DUMMYFUNCTION("GOOGLETRANSLATE(H1259,""th"",""en"")"),"End date")</f>
        <v>End date</v>
      </c>
    </row>
    <row r="1260" spans="1:11" ht="15.75" hidden="1" customHeight="1">
      <c r="A1260" s="133" t="s">
        <v>7</v>
      </c>
      <c r="B1260" s="133" t="s">
        <v>328</v>
      </c>
      <c r="C1260" s="133" t="s">
        <v>1977</v>
      </c>
      <c r="D1260" s="133" t="s">
        <v>477</v>
      </c>
      <c r="E1260" s="158">
        <v>150</v>
      </c>
      <c r="F1260" s="158">
        <v>0</v>
      </c>
      <c r="G1260" s="158">
        <v>0</v>
      </c>
      <c r="H1260" s="133" t="s">
        <v>1978</v>
      </c>
      <c r="I1260" s="133" t="s">
        <v>548</v>
      </c>
      <c r="J1260" s="158">
        <v>0</v>
      </c>
      <c r="K1260" s="159" t="str">
        <f ca="1">IFERROR(__xludf.DUMMYFUNCTION("GOOGLETRANSLATE(H1260,""th"",""en"")"),"Page number")</f>
        <v>Page number</v>
      </c>
    </row>
    <row r="1261" spans="1:11" ht="15.75" hidden="1" customHeight="1">
      <c r="A1261" s="133" t="s">
        <v>7</v>
      </c>
      <c r="B1261" s="133" t="s">
        <v>328</v>
      </c>
      <c r="C1261" s="133" t="s">
        <v>1979</v>
      </c>
      <c r="D1261" s="133" t="s">
        <v>477</v>
      </c>
      <c r="E1261" s="158">
        <v>3</v>
      </c>
      <c r="F1261" s="158">
        <v>0</v>
      </c>
      <c r="G1261" s="158">
        <v>0</v>
      </c>
      <c r="H1261" s="133" t="s">
        <v>1979</v>
      </c>
      <c r="I1261" s="133" t="s">
        <v>596</v>
      </c>
      <c r="J1261" s="158">
        <v>0</v>
      </c>
      <c r="K1261" s="159" t="str">
        <f ca="1">IFERROR(__xludf.DUMMYFUNCTION("GOOGLETRANSLATE(H1261,""th"",""en"")"),"IspureCat")</f>
        <v>IspureCat</v>
      </c>
    </row>
    <row r="1262" spans="1:11" ht="15.75" hidden="1" customHeight="1">
      <c r="A1262" s="133" t="s">
        <v>7</v>
      </c>
      <c r="B1262" s="133" t="s">
        <v>328</v>
      </c>
      <c r="C1262" s="133" t="s">
        <v>811</v>
      </c>
      <c r="D1262" s="133" t="s">
        <v>477</v>
      </c>
      <c r="E1262" s="158">
        <v>8</v>
      </c>
      <c r="F1262" s="158">
        <v>0</v>
      </c>
      <c r="G1262" s="158">
        <v>0</v>
      </c>
      <c r="H1262" s="133" t="s">
        <v>1980</v>
      </c>
      <c r="I1262" s="133" t="s">
        <v>813</v>
      </c>
      <c r="J1262" s="158">
        <v>0</v>
      </c>
      <c r="K1262" s="159" t="str">
        <f ca="1">IFERROR(__xludf.DUMMYFUNCTION("GOOGLETRANSLATE(H1262,""th"",""en"")"),"Status [Active, Delete]")</f>
        <v>Status [Active, Delete]</v>
      </c>
    </row>
    <row r="1263" spans="1:11" ht="15.75" hidden="1" customHeight="1">
      <c r="A1263" s="133" t="s">
        <v>7</v>
      </c>
      <c r="B1263" s="133" t="s">
        <v>328</v>
      </c>
      <c r="C1263" s="133" t="s">
        <v>669</v>
      </c>
      <c r="D1263" s="133" t="s">
        <v>800</v>
      </c>
      <c r="E1263" s="158">
        <v>8</v>
      </c>
      <c r="F1263" s="158">
        <v>27</v>
      </c>
      <c r="G1263" s="158">
        <v>7</v>
      </c>
      <c r="H1263" s="133" t="s">
        <v>835</v>
      </c>
      <c r="I1263" s="133" t="s">
        <v>548</v>
      </c>
      <c r="J1263" s="158">
        <v>0</v>
      </c>
      <c r="K1263" s="159" t="str">
        <f ca="1">IFERROR(__xludf.DUMMYFUNCTION("GOOGLETRANSLATE(H1263,""th"",""en"")"),"Date created")</f>
        <v>Date created</v>
      </c>
    </row>
    <row r="1264" spans="1:11" ht="15.75" hidden="1" customHeight="1">
      <c r="A1264" s="133" t="s">
        <v>7</v>
      </c>
      <c r="B1264" s="133" t="s">
        <v>328</v>
      </c>
      <c r="C1264" s="133" t="s">
        <v>523</v>
      </c>
      <c r="D1264" s="133" t="s">
        <v>477</v>
      </c>
      <c r="E1264" s="158">
        <v>8</v>
      </c>
      <c r="F1264" s="158">
        <v>0</v>
      </c>
      <c r="G1264" s="158">
        <v>0</v>
      </c>
      <c r="H1264" s="133" t="s">
        <v>1981</v>
      </c>
      <c r="I1264" s="133" t="s">
        <v>548</v>
      </c>
      <c r="J1264" s="158">
        <v>0</v>
      </c>
      <c r="K1264" s="159" t="str">
        <f ca="1">IFERROR(__xludf.DUMMYFUNCTION("GOOGLETRANSLATE(H1264,""th"",""en"")"),"Employee code that generates data")</f>
        <v>Employee code that generates data</v>
      </c>
    </row>
    <row r="1265" spans="1:11" ht="15.75" hidden="1" customHeight="1">
      <c r="A1265" s="133" t="s">
        <v>7</v>
      </c>
      <c r="B1265" s="133" t="s">
        <v>328</v>
      </c>
      <c r="C1265" s="133" t="s">
        <v>215</v>
      </c>
      <c r="D1265" s="133" t="s">
        <v>800</v>
      </c>
      <c r="E1265" s="158">
        <v>8</v>
      </c>
      <c r="F1265" s="158">
        <v>27</v>
      </c>
      <c r="G1265" s="158">
        <v>7</v>
      </c>
      <c r="H1265" s="133" t="s">
        <v>1982</v>
      </c>
      <c r="I1265" s="133" t="s">
        <v>548</v>
      </c>
      <c r="J1265" s="158">
        <v>0</v>
      </c>
      <c r="K1265" s="159" t="str">
        <f ca="1">IFERROR(__xludf.DUMMYFUNCTION("GOOGLETRANSLATE(H1265,""th"",""en"")"),"Data editing date")</f>
        <v>Data editing date</v>
      </c>
    </row>
    <row r="1266" spans="1:11" ht="15.75" hidden="1" customHeight="1">
      <c r="A1266" s="133" t="s">
        <v>7</v>
      </c>
      <c r="B1266" s="133" t="s">
        <v>328</v>
      </c>
      <c r="C1266" s="133" t="s">
        <v>670</v>
      </c>
      <c r="D1266" s="133" t="s">
        <v>477</v>
      </c>
      <c r="E1266" s="158">
        <v>8</v>
      </c>
      <c r="F1266" s="158">
        <v>0</v>
      </c>
      <c r="G1266" s="158">
        <v>0</v>
      </c>
      <c r="H1266" s="133" t="s">
        <v>1983</v>
      </c>
      <c r="I1266" s="133" t="s">
        <v>548</v>
      </c>
      <c r="J1266" s="158">
        <v>0</v>
      </c>
      <c r="K1266" s="159" t="str">
        <f ca="1">IFERROR(__xludf.DUMMYFUNCTION("GOOGLETRANSLATE(H1266,""th"",""en"")"),"Employee code that edit data")</f>
        <v>Employee code that edit data</v>
      </c>
    </row>
    <row r="1267" spans="1:11" ht="15.75" hidden="1" customHeight="1">
      <c r="A1267" s="133" t="s">
        <v>7</v>
      </c>
      <c r="B1267" s="133" t="s">
        <v>328</v>
      </c>
      <c r="C1267" s="133" t="s">
        <v>814</v>
      </c>
      <c r="D1267" s="133" t="s">
        <v>477</v>
      </c>
      <c r="E1267" s="158">
        <v>100</v>
      </c>
      <c r="F1267" s="158">
        <v>0</v>
      </c>
      <c r="G1267" s="158">
        <v>0</v>
      </c>
      <c r="H1267" s="133" t="s">
        <v>815</v>
      </c>
      <c r="I1267" s="133" t="s">
        <v>548</v>
      </c>
      <c r="J1267" s="158">
        <v>0</v>
      </c>
      <c r="K1267" s="159" t="str">
        <f ca="1">IFERROR(__xludf.DUMMYFUNCTION("GOOGLETRANSLATE(H1267,""th"",""en"")"),"Information Creator Name")</f>
        <v>Information Creator Name</v>
      </c>
    </row>
    <row r="1268" spans="1:11" ht="15.75" hidden="1" customHeight="1">
      <c r="A1268" s="133" t="s">
        <v>7</v>
      </c>
      <c r="B1268" s="133" t="s">
        <v>328</v>
      </c>
      <c r="C1268" s="133" t="s">
        <v>816</v>
      </c>
      <c r="D1268" s="133" t="s">
        <v>477</v>
      </c>
      <c r="E1268" s="158">
        <v>100</v>
      </c>
      <c r="F1268" s="158">
        <v>0</v>
      </c>
      <c r="G1268" s="158">
        <v>0</v>
      </c>
      <c r="H1268" s="133" t="s">
        <v>1984</v>
      </c>
      <c r="I1268" s="133" t="s">
        <v>548</v>
      </c>
      <c r="J1268" s="158">
        <v>0</v>
      </c>
      <c r="K1268" s="159" t="str">
        <f ca="1">IFERROR(__xludf.DUMMYFUNCTION("GOOGLETRANSLATE(H1268,""th"",""en"")"),"Information")</f>
        <v>Information</v>
      </c>
    </row>
    <row r="1269" spans="1:11" ht="15.75" hidden="1" customHeight="1">
      <c r="A1269" s="133" t="s">
        <v>7</v>
      </c>
      <c r="B1269" s="133" t="s">
        <v>328</v>
      </c>
      <c r="C1269" s="133" t="s">
        <v>1985</v>
      </c>
      <c r="D1269" s="133" t="s">
        <v>477</v>
      </c>
      <c r="E1269" s="158">
        <v>30</v>
      </c>
      <c r="F1269" s="158">
        <v>0</v>
      </c>
      <c r="G1269" s="158">
        <v>0</v>
      </c>
      <c r="H1269" s="133" t="s">
        <v>1986</v>
      </c>
      <c r="I1269" s="133" t="s">
        <v>548</v>
      </c>
      <c r="J1269" s="158">
        <v>0</v>
      </c>
      <c r="K1269" s="159" t="str">
        <f ca="1">IFERROR(__xludf.DUMMYFUNCTION("GOOGLETRANSLATE(H1269,""th"",""en"")"),"Catalog's Code (comes from PIM)")</f>
        <v>Catalog's Code (comes from PIM)</v>
      </c>
    </row>
    <row r="1270" spans="1:11" ht="15.75" hidden="1" customHeight="1">
      <c r="A1270" s="133" t="s">
        <v>7</v>
      </c>
      <c r="B1270" s="133" t="s">
        <v>328</v>
      </c>
      <c r="C1270" s="133" t="s">
        <v>1987</v>
      </c>
      <c r="D1270" s="133" t="s">
        <v>477</v>
      </c>
      <c r="E1270" s="158">
        <v>100</v>
      </c>
      <c r="F1270" s="158">
        <v>0</v>
      </c>
      <c r="G1270" s="158">
        <v>0</v>
      </c>
      <c r="H1270" s="133" t="s">
        <v>1988</v>
      </c>
      <c r="I1270" s="133" t="s">
        <v>548</v>
      </c>
      <c r="J1270" s="158">
        <v>0</v>
      </c>
      <c r="K1270" s="159" t="str">
        <f ca="1">IFERROR(__xludf.DUMMYFUNCTION("GOOGLETRANSLATE(H1270,""th"",""en"")"),"Catalog's name")</f>
        <v>Catalog's name</v>
      </c>
    </row>
    <row r="1271" spans="1:11" ht="15.75" hidden="1" customHeight="1">
      <c r="A1271" s="133" t="s">
        <v>7</v>
      </c>
      <c r="B1271" s="133" t="s">
        <v>328</v>
      </c>
      <c r="C1271" s="133" t="s">
        <v>164</v>
      </c>
      <c r="D1271" s="133" t="s">
        <v>477</v>
      </c>
      <c r="E1271" s="158">
        <v>255</v>
      </c>
      <c r="F1271" s="158">
        <v>0</v>
      </c>
      <c r="G1271" s="158">
        <v>0</v>
      </c>
      <c r="H1271" s="133" t="s">
        <v>1931</v>
      </c>
      <c r="I1271" s="133" t="s">
        <v>548</v>
      </c>
      <c r="J1271" s="158">
        <v>0</v>
      </c>
      <c r="K1271" s="159" t="str">
        <f ca="1">IFERROR(__xludf.DUMMYFUNCTION("GOOGLETRANSLATE(H1271,""th"",""en"")"),"Additional notes")</f>
        <v>Additional notes</v>
      </c>
    </row>
    <row r="1272" spans="1:11" ht="15.75" hidden="1" customHeight="1">
      <c r="A1272" s="133" t="s">
        <v>7</v>
      </c>
      <c r="B1272" s="133" t="s">
        <v>329</v>
      </c>
      <c r="C1272" s="133" t="s">
        <v>1989</v>
      </c>
      <c r="D1272" s="133" t="s">
        <v>477</v>
      </c>
      <c r="E1272" s="158">
        <v>7</v>
      </c>
      <c r="F1272" s="158">
        <v>0</v>
      </c>
      <c r="G1272" s="158">
        <v>0</v>
      </c>
      <c r="H1272" s="133" t="s">
        <v>1990</v>
      </c>
      <c r="I1272" s="133" t="s">
        <v>548</v>
      </c>
      <c r="J1272" s="158">
        <v>0</v>
      </c>
      <c r="K1272" s="159" t="str">
        <f ca="1">IFERROR(__xludf.DUMMYFUNCTION("GOOGLETRANSLATE(H1272,""th"",""en"")"),"Product code (OFM)")</f>
        <v>Product code (OFM)</v>
      </c>
    </row>
    <row r="1273" spans="1:11" ht="15.75" hidden="1" customHeight="1">
      <c r="A1273" s="133" t="s">
        <v>7</v>
      </c>
      <c r="B1273" s="133" t="s">
        <v>329</v>
      </c>
      <c r="C1273" s="133" t="s">
        <v>1991</v>
      </c>
      <c r="D1273" s="133" t="s">
        <v>484</v>
      </c>
      <c r="E1273" s="158">
        <v>4</v>
      </c>
      <c r="F1273" s="158">
        <v>10</v>
      </c>
      <c r="G1273" s="158">
        <v>0</v>
      </c>
      <c r="H1273" s="133" t="s">
        <v>1992</v>
      </c>
      <c r="I1273" s="133" t="s">
        <v>615</v>
      </c>
      <c r="J1273" s="158">
        <v>0</v>
      </c>
      <c r="K1273" s="159" t="str">
        <f ca="1">IFERROR(__xludf.DUMMYFUNCTION("GOOGLETRANSLATE(H1273,""th"",""en"")"),"Order channel code")</f>
        <v>Order channel code</v>
      </c>
    </row>
    <row r="1274" spans="1:11" ht="15.75" hidden="1" customHeight="1">
      <c r="A1274" s="133" t="s">
        <v>7</v>
      </c>
      <c r="B1274" s="133" t="s">
        <v>329</v>
      </c>
      <c r="C1274" s="133" t="s">
        <v>1993</v>
      </c>
      <c r="D1274" s="133" t="s">
        <v>477</v>
      </c>
      <c r="E1274" s="158">
        <v>50</v>
      </c>
      <c r="F1274" s="158">
        <v>0</v>
      </c>
      <c r="G1274" s="158">
        <v>0</v>
      </c>
      <c r="H1274" s="133" t="s">
        <v>1994</v>
      </c>
      <c r="I1274" s="133" t="s">
        <v>548</v>
      </c>
      <c r="J1274" s="158">
        <v>1</v>
      </c>
      <c r="K1274" s="159" t="str">
        <f ca="1">IFERROR(__xludf.DUMMYFUNCTION("GOOGLETRANSLATE(H1274,""th"",""en"")"),"Product code from other systems")</f>
        <v>Product code from other systems</v>
      </c>
    </row>
    <row r="1275" spans="1:11" ht="15.75" hidden="1" customHeight="1">
      <c r="A1275" s="133" t="s">
        <v>7</v>
      </c>
      <c r="B1275" s="133" t="s">
        <v>329</v>
      </c>
      <c r="C1275" s="133" t="s">
        <v>523</v>
      </c>
      <c r="D1275" s="133" t="s">
        <v>477</v>
      </c>
      <c r="E1275" s="158">
        <v>10</v>
      </c>
      <c r="F1275" s="158">
        <v>0</v>
      </c>
      <c r="G1275" s="158">
        <v>0</v>
      </c>
      <c r="H1275" s="133" t="s">
        <v>1393</v>
      </c>
      <c r="I1275" s="133" t="s">
        <v>548</v>
      </c>
      <c r="J1275" s="158">
        <v>0</v>
      </c>
      <c r="K1275" s="159" t="str">
        <f ca="1">IFERROR(__xludf.DUMMYFUNCTION("GOOGLETRANSLATE(H1275,""th"",""en"")"),"Those codes")</f>
        <v>Those codes</v>
      </c>
    </row>
    <row r="1276" spans="1:11" ht="15.75" hidden="1" customHeight="1">
      <c r="A1276" s="133" t="s">
        <v>7</v>
      </c>
      <c r="B1276" s="133" t="s">
        <v>329</v>
      </c>
      <c r="C1276" s="133" t="s">
        <v>814</v>
      </c>
      <c r="D1276" s="133" t="s">
        <v>477</v>
      </c>
      <c r="E1276" s="158">
        <v>100</v>
      </c>
      <c r="F1276" s="158">
        <v>0</v>
      </c>
      <c r="G1276" s="158">
        <v>0</v>
      </c>
      <c r="H1276" s="133" t="s">
        <v>1392</v>
      </c>
      <c r="I1276" s="133" t="s">
        <v>548</v>
      </c>
      <c r="J1276" s="158">
        <v>0</v>
      </c>
      <c r="K1276" s="159" t="str">
        <f ca="1">IFERROR(__xludf.DUMMYFUNCTION("GOOGLETRANSLATE(H1276,""th"",""en"")"),"Named")</f>
        <v>Named</v>
      </c>
    </row>
    <row r="1277" spans="1:11" ht="15.75" hidden="1" customHeight="1">
      <c r="A1277" s="133" t="s">
        <v>7</v>
      </c>
      <c r="B1277" s="133" t="s">
        <v>329</v>
      </c>
      <c r="C1277" s="133" t="s">
        <v>669</v>
      </c>
      <c r="D1277" s="133" t="s">
        <v>800</v>
      </c>
      <c r="E1277" s="158">
        <v>8</v>
      </c>
      <c r="F1277" s="158">
        <v>27</v>
      </c>
      <c r="G1277" s="158">
        <v>7</v>
      </c>
      <c r="H1277" s="133" t="s">
        <v>1283</v>
      </c>
      <c r="I1277" s="133" t="s">
        <v>801</v>
      </c>
      <c r="J1277" s="158">
        <v>0</v>
      </c>
      <c r="K1277" s="159" t="str">
        <f ca="1">IFERROR(__xludf.DUMMYFUNCTION("GOOGLETRANSLATE(H1277,""th"",""en"")"),"Date and time created")</f>
        <v>Date and time created</v>
      </c>
    </row>
    <row r="1278" spans="1:11" ht="15.75" hidden="1" customHeight="1">
      <c r="A1278" s="133" t="s">
        <v>7</v>
      </c>
      <c r="B1278" s="133" t="s">
        <v>329</v>
      </c>
      <c r="C1278" s="133" t="s">
        <v>670</v>
      </c>
      <c r="D1278" s="133" t="s">
        <v>477</v>
      </c>
      <c r="E1278" s="158">
        <v>10</v>
      </c>
      <c r="F1278" s="158">
        <v>0</v>
      </c>
      <c r="G1278" s="158">
        <v>0</v>
      </c>
      <c r="H1278" s="133" t="s">
        <v>1995</v>
      </c>
      <c r="I1278" s="133" t="s">
        <v>548</v>
      </c>
      <c r="J1278" s="158">
        <v>0</v>
      </c>
      <c r="K1278" s="159" t="str">
        <f ca="1">IFERROR(__xludf.DUMMYFUNCTION("GOOGLETRANSLATE(H1278,""th"",""en"")"),"Fixed code")</f>
        <v>Fixed code</v>
      </c>
    </row>
    <row r="1279" spans="1:11" ht="15.75" hidden="1" customHeight="1">
      <c r="A1279" s="133" t="s">
        <v>7</v>
      </c>
      <c r="B1279" s="133" t="s">
        <v>329</v>
      </c>
      <c r="C1279" s="133" t="s">
        <v>816</v>
      </c>
      <c r="D1279" s="133" t="s">
        <v>477</v>
      </c>
      <c r="E1279" s="158">
        <v>100</v>
      </c>
      <c r="F1279" s="158">
        <v>0</v>
      </c>
      <c r="G1279" s="158">
        <v>0</v>
      </c>
      <c r="H1279" s="133" t="s">
        <v>1996</v>
      </c>
      <c r="I1279" s="133" t="s">
        <v>548</v>
      </c>
      <c r="J1279" s="158">
        <v>0</v>
      </c>
      <c r="K1279" s="159" t="str">
        <f ca="1">IFERROR(__xludf.DUMMYFUNCTION("GOOGLETRANSLATE(H1279,""th"",""en"")"),"The name of the editor")</f>
        <v>The name of the editor</v>
      </c>
    </row>
    <row r="1280" spans="1:11" ht="15.75" hidden="1" customHeight="1">
      <c r="A1280" s="133" t="s">
        <v>7</v>
      </c>
      <c r="B1280" s="133" t="s">
        <v>329</v>
      </c>
      <c r="C1280" s="133" t="s">
        <v>215</v>
      </c>
      <c r="D1280" s="133" t="s">
        <v>800</v>
      </c>
      <c r="E1280" s="158">
        <v>8</v>
      </c>
      <c r="F1280" s="158">
        <v>27</v>
      </c>
      <c r="G1280" s="158">
        <v>7</v>
      </c>
      <c r="H1280" s="133" t="s">
        <v>1286</v>
      </c>
      <c r="I1280" s="133" t="s">
        <v>801</v>
      </c>
      <c r="J1280" s="158">
        <v>0</v>
      </c>
      <c r="K1280" s="159" t="str">
        <f ca="1">IFERROR(__xludf.DUMMYFUNCTION("GOOGLETRANSLATE(H1280,""th"",""en"")"),"Edit date and time")</f>
        <v>Edit date and time</v>
      </c>
    </row>
    <row r="1281" spans="1:11" ht="15.75" hidden="1" customHeight="1">
      <c r="A1281" s="133" t="s">
        <v>7</v>
      </c>
      <c r="B1281" s="133" t="s">
        <v>332</v>
      </c>
      <c r="C1281" s="133" t="s">
        <v>2032</v>
      </c>
      <c r="D1281" s="133" t="s">
        <v>477</v>
      </c>
      <c r="E1281" s="158">
        <v>20</v>
      </c>
      <c r="F1281" s="158">
        <v>0</v>
      </c>
      <c r="G1281" s="158">
        <v>0</v>
      </c>
      <c r="H1281" s="133" t="s">
        <v>2033</v>
      </c>
      <c r="I1281" s="133" t="s">
        <v>548</v>
      </c>
      <c r="J1281" s="277">
        <v>1</v>
      </c>
      <c r="K1281" s="159" t="str">
        <f ca="1">IFERROR(__xludf.DUMMYFUNCTION("GOOGLETRANSLATE(H1299,""th"",""en"")"),"Barcode Inner Box")</f>
        <v>Barcode Inner Box</v>
      </c>
    </row>
    <row r="1282" spans="1:11" ht="15.75" hidden="1" customHeight="1">
      <c r="A1282" s="133" t="s">
        <v>7</v>
      </c>
      <c r="B1282" s="133" t="s">
        <v>332</v>
      </c>
      <c r="C1282" s="133" t="s">
        <v>2044</v>
      </c>
      <c r="D1282" s="133" t="s">
        <v>477</v>
      </c>
      <c r="E1282" s="158">
        <v>20</v>
      </c>
      <c r="F1282" s="158">
        <v>0</v>
      </c>
      <c r="G1282" s="158">
        <v>0</v>
      </c>
      <c r="H1282" s="133" t="s">
        <v>2045</v>
      </c>
      <c r="I1282" s="133" t="s">
        <v>548</v>
      </c>
      <c r="J1282" s="158">
        <v>0</v>
      </c>
      <c r="K1282" s="159" t="str">
        <f ca="1">IFERROR(__xludf.DUMMYFUNCTION("GOOGLETRANSLATE(H1305,""th"",""en"")"),"Barcode Outer Box")</f>
        <v>Barcode Outer Box</v>
      </c>
    </row>
    <row r="1283" spans="1:11" ht="15.75" hidden="1" customHeight="1">
      <c r="A1283" s="133" t="s">
        <v>7</v>
      </c>
      <c r="B1283" s="133" t="s">
        <v>332</v>
      </c>
      <c r="C1283" s="133" t="s">
        <v>2020</v>
      </c>
      <c r="D1283" s="133" t="s">
        <v>477</v>
      </c>
      <c r="E1283" s="158">
        <v>20</v>
      </c>
      <c r="F1283" s="158">
        <v>0</v>
      </c>
      <c r="G1283" s="158">
        <v>0</v>
      </c>
      <c r="H1283" s="133" t="s">
        <v>2021</v>
      </c>
      <c r="I1283" s="133" t="s">
        <v>548</v>
      </c>
      <c r="J1283" s="158">
        <v>0</v>
      </c>
      <c r="K1283" s="159" t="str">
        <f ca="1">IFERROR(__xludf.DUMMYFUNCTION("GOOGLETRANSLATE(H1293,""th"",""en"")"),"Barcode products per piece")</f>
        <v>Barcode products per piece</v>
      </c>
    </row>
    <row r="1284" spans="1:11" ht="15.75" hidden="1" customHeight="1">
      <c r="A1284" s="133" t="s">
        <v>7</v>
      </c>
      <c r="B1284" s="133" t="s">
        <v>332</v>
      </c>
      <c r="C1284" s="133" t="s">
        <v>523</v>
      </c>
      <c r="D1284" s="133" t="s">
        <v>477</v>
      </c>
      <c r="E1284" s="158">
        <v>8</v>
      </c>
      <c r="F1284" s="158">
        <v>0</v>
      </c>
      <c r="G1284" s="158">
        <v>0</v>
      </c>
      <c r="H1284" s="133" t="s">
        <v>2046</v>
      </c>
      <c r="I1284" s="133" t="s">
        <v>548</v>
      </c>
      <c r="J1284" s="158">
        <v>0</v>
      </c>
      <c r="K1284" s="159" t="str">
        <f ca="1">IFERROR(__xludf.DUMMYFUNCTION("GOOGLETRANSLATE(H1306,""th"",""en"")"),"Product Creator")</f>
        <v>Product Creator</v>
      </c>
    </row>
    <row r="1285" spans="1:11" ht="15.75" hidden="1" customHeight="1">
      <c r="A1285" s="133" t="s">
        <v>7</v>
      </c>
      <c r="B1285" s="133" t="s">
        <v>332</v>
      </c>
      <c r="C1285" s="133" t="s">
        <v>814</v>
      </c>
      <c r="D1285" s="133" t="s">
        <v>477</v>
      </c>
      <c r="E1285" s="158">
        <v>100</v>
      </c>
      <c r="F1285" s="158">
        <v>0</v>
      </c>
      <c r="G1285" s="158">
        <v>0</v>
      </c>
      <c r="H1285" s="133" t="s">
        <v>815</v>
      </c>
      <c r="I1285" s="133" t="s">
        <v>548</v>
      </c>
      <c r="J1285" s="158">
        <v>0</v>
      </c>
      <c r="K1285" s="159" t="str">
        <f ca="1">IFERROR(__xludf.DUMMYFUNCTION("GOOGLETRANSLATE(H1315,""th"",""en"")"),"Information Creator Name")</f>
        <v>Information Creator Name</v>
      </c>
    </row>
    <row r="1286" spans="1:11" ht="15.75" hidden="1" customHeight="1">
      <c r="A1286" s="133" t="s">
        <v>7</v>
      </c>
      <c r="B1286" s="133" t="s">
        <v>332</v>
      </c>
      <c r="C1286" s="133" t="s">
        <v>669</v>
      </c>
      <c r="D1286" s="133" t="s">
        <v>800</v>
      </c>
      <c r="E1286" s="158">
        <v>8</v>
      </c>
      <c r="F1286" s="158">
        <v>27</v>
      </c>
      <c r="G1286" s="158">
        <v>7</v>
      </c>
      <c r="H1286" s="133" t="s">
        <v>2047</v>
      </c>
      <c r="I1286" s="133" t="s">
        <v>801</v>
      </c>
      <c r="J1286" s="158">
        <v>0</v>
      </c>
      <c r="K1286" s="159" t="str">
        <f ca="1">IFERROR(__xludf.DUMMYFUNCTION("GOOGLETRANSLATE(H1307,""th"",""en"")"),"Date of creating products")</f>
        <v>Date of creating products</v>
      </c>
    </row>
    <row r="1287" spans="1:11" ht="15.75" hidden="1" customHeight="1">
      <c r="A1287" s="133" t="s">
        <v>7</v>
      </c>
      <c r="B1287" s="133" t="s">
        <v>332</v>
      </c>
      <c r="C1287" s="133" t="s">
        <v>2050</v>
      </c>
      <c r="D1287" s="133" t="s">
        <v>481</v>
      </c>
      <c r="E1287" s="158">
        <v>9</v>
      </c>
      <c r="F1287" s="158">
        <v>12</v>
      </c>
      <c r="G1287" s="158">
        <v>6</v>
      </c>
      <c r="H1287" s="133" t="s">
        <v>2051</v>
      </c>
      <c r="I1287" s="133" t="s">
        <v>615</v>
      </c>
      <c r="J1287" s="158">
        <v>0</v>
      </c>
      <c r="K1287" s="159" t="str">
        <f ca="1">IFERROR(__xludf.DUMMYFUNCTION("GOOGLETRANSLATE(H1310,""th"",""en"")"),"Product volume (1 piece)")</f>
        <v>Product volume (1 piece)</v>
      </c>
    </row>
    <row r="1288" spans="1:11" ht="15.75" hidden="1" customHeight="1">
      <c r="A1288" s="133" t="s">
        <v>7</v>
      </c>
      <c r="B1288" s="133" t="s">
        <v>332</v>
      </c>
      <c r="C1288" s="133" t="s">
        <v>2028</v>
      </c>
      <c r="D1288" s="133" t="s">
        <v>484</v>
      </c>
      <c r="E1288" s="158">
        <v>4</v>
      </c>
      <c r="F1288" s="158">
        <v>10</v>
      </c>
      <c r="G1288" s="158">
        <v>0</v>
      </c>
      <c r="H1288" s="133" t="s">
        <v>2029</v>
      </c>
      <c r="I1288" s="133" t="s">
        <v>615</v>
      </c>
      <c r="J1288" s="158">
        <v>0</v>
      </c>
      <c r="K1288" s="159" t="str">
        <f ca="1">IFERROR(__xludf.DUMMYFUNCTION("GOOGLETRANSLATE(H1297,""th"",""en"")"),"Inner Box Height (Unit is MM)")</f>
        <v>Inner Box Height (Unit is MM)</v>
      </c>
    </row>
    <row r="1289" spans="1:11" ht="15.75" hidden="1" customHeight="1">
      <c r="A1289" s="133" t="s">
        <v>7</v>
      </c>
      <c r="B1289" s="133" t="s">
        <v>332</v>
      </c>
      <c r="C1289" s="133" t="s">
        <v>2040</v>
      </c>
      <c r="D1289" s="133" t="s">
        <v>484</v>
      </c>
      <c r="E1289" s="158">
        <v>4</v>
      </c>
      <c r="F1289" s="158">
        <v>10</v>
      </c>
      <c r="G1289" s="158">
        <v>0</v>
      </c>
      <c r="H1289" s="133" t="s">
        <v>2041</v>
      </c>
      <c r="I1289" s="133" t="s">
        <v>615</v>
      </c>
      <c r="J1289" s="158">
        <v>0</v>
      </c>
      <c r="K1289" s="159" t="str">
        <f ca="1">IFERROR(__xludf.DUMMYFUNCTION("GOOGLETRANSLATE(H1303,""th"",""en"")"),"Height Outer Box (Unit is MM)")</f>
        <v>Height Outer Box (Unit is MM)</v>
      </c>
    </row>
    <row r="1290" spans="1:11" ht="15.75" hidden="1" customHeight="1">
      <c r="A1290" s="133" t="s">
        <v>7</v>
      </c>
      <c r="B1290" s="133" t="s">
        <v>332</v>
      </c>
      <c r="C1290" s="133" t="s">
        <v>2016</v>
      </c>
      <c r="D1290" s="133" t="s">
        <v>484</v>
      </c>
      <c r="E1290" s="158">
        <v>4</v>
      </c>
      <c r="F1290" s="158">
        <v>10</v>
      </c>
      <c r="G1290" s="158">
        <v>0</v>
      </c>
      <c r="H1290" s="133" t="s">
        <v>2017</v>
      </c>
      <c r="I1290" s="133" t="s">
        <v>615</v>
      </c>
      <c r="J1290" s="158">
        <v>0</v>
      </c>
      <c r="K1290" s="159" t="str">
        <f ca="1">IFERROR(__xludf.DUMMYFUNCTION("GOOGLETRANSLATE(H1291,""th"",""en"")"),"Product height per piece (unit is MM)")</f>
        <v>Product height per piece (unit is MM)</v>
      </c>
    </row>
    <row r="1291" spans="1:11" ht="15.75" hidden="1" customHeight="1">
      <c r="A1291" s="133" t="s">
        <v>7</v>
      </c>
      <c r="B1291" s="133" t="s">
        <v>332</v>
      </c>
      <c r="C1291" s="133" t="s">
        <v>2022</v>
      </c>
      <c r="D1291" s="133" t="s">
        <v>477</v>
      </c>
      <c r="E1291" s="158">
        <v>3</v>
      </c>
      <c r="F1291" s="158">
        <v>0</v>
      </c>
      <c r="G1291" s="158">
        <v>0</v>
      </c>
      <c r="H1291" s="133" t="s">
        <v>2023</v>
      </c>
      <c r="I1291" s="133" t="s">
        <v>2011</v>
      </c>
      <c r="J1291" s="158">
        <v>0</v>
      </c>
      <c r="K1291" s="159" t="str">
        <f ca="1">IFERROR(__xludf.DUMMYFUNCTION("GOOGLETRANSLATE(H1294,""th"",""en"")"),"Calculate the INNER BOX (YES: Apply the size of the product. / NO: Not applied)")</f>
        <v>Calculate the INNER BOX (YES: Apply the size of the product. / NO: Not applied)</v>
      </c>
    </row>
    <row r="1292" spans="1:11" ht="15.75" hidden="1" customHeight="1">
      <c r="A1292" s="133" t="s">
        <v>7</v>
      </c>
      <c r="B1292" s="133" t="s">
        <v>332</v>
      </c>
      <c r="C1292" s="133" t="s">
        <v>2034</v>
      </c>
      <c r="D1292" s="133" t="s">
        <v>477</v>
      </c>
      <c r="E1292" s="158">
        <v>3</v>
      </c>
      <c r="F1292" s="158">
        <v>0</v>
      </c>
      <c r="G1292" s="158">
        <v>0</v>
      </c>
      <c r="H1292" s="133" t="s">
        <v>2035</v>
      </c>
      <c r="I1292" s="133" t="s">
        <v>2011</v>
      </c>
      <c r="J1292" s="158">
        <v>0</v>
      </c>
      <c r="K1292" s="159" t="str">
        <f ca="1">IFERROR(__xludf.DUMMYFUNCTION("GOOGLETRANSLATE(H1300,""th"",""en"")"),"Calculate the Outer Box (YES: Use the product size information to / No: Not applied)")</f>
        <v>Calculate the Outer Box (YES: Use the product size information to / No: Not applied)</v>
      </c>
    </row>
    <row r="1293" spans="1:11" ht="15.75" hidden="1" customHeight="1">
      <c r="A1293" s="133" t="s">
        <v>7</v>
      </c>
      <c r="B1293" s="133" t="s">
        <v>332</v>
      </c>
      <c r="C1293" s="133" t="s">
        <v>2009</v>
      </c>
      <c r="D1293" s="133" t="s">
        <v>477</v>
      </c>
      <c r="E1293" s="158">
        <v>3</v>
      </c>
      <c r="F1293" s="158">
        <v>0</v>
      </c>
      <c r="G1293" s="158">
        <v>0</v>
      </c>
      <c r="H1293" s="133" t="s">
        <v>2010</v>
      </c>
      <c r="I1293" s="133" t="s">
        <v>2011</v>
      </c>
      <c r="J1293" s="158">
        <v>0</v>
      </c>
      <c r="K1293" s="159" t="str">
        <f ca="1">IFERROR(__xludf.DUMMYFUNCTION("GOOGLETRANSLATE(H1288,""th"",""en"")"),"Calculate the freight per piece (yes: bring the product size data to / no: not applied)")</f>
        <v>Calculate the freight per piece (yes: bring the product size data to / no: not applied)</v>
      </c>
    </row>
    <row r="1294" spans="1:11" ht="15.75" hidden="1" customHeight="1">
      <c r="A1294" s="133" t="s">
        <v>7</v>
      </c>
      <c r="B1294" s="133" t="s">
        <v>332</v>
      </c>
      <c r="C1294" s="133" t="s">
        <v>2058</v>
      </c>
      <c r="D1294" s="133" t="s">
        <v>477</v>
      </c>
      <c r="E1294" s="158">
        <v>3</v>
      </c>
      <c r="F1294" s="158">
        <v>0</v>
      </c>
      <c r="G1294" s="158">
        <v>0</v>
      </c>
      <c r="H1294" s="133" t="s">
        <v>2059</v>
      </c>
      <c r="I1294" s="133" t="s">
        <v>596</v>
      </c>
      <c r="J1294" s="158">
        <v>0</v>
      </c>
      <c r="K1294" s="159" t="str">
        <f ca="1">IFERROR(__xludf.DUMMYFUNCTION("GOOGLETRANSLATE(H1314,""th"",""en"")"),"Data confirmation of recording and editing the product Dimension")</f>
        <v>Data confirmation of recording and editing the product Dimension</v>
      </c>
    </row>
    <row r="1295" spans="1:11" ht="15.75" hidden="1" customHeight="1">
      <c r="A1295" s="133" t="s">
        <v>7</v>
      </c>
      <c r="B1295" s="133" t="s">
        <v>332</v>
      </c>
      <c r="C1295" s="133" t="s">
        <v>2026</v>
      </c>
      <c r="D1295" s="133" t="s">
        <v>484</v>
      </c>
      <c r="E1295" s="158">
        <v>4</v>
      </c>
      <c r="F1295" s="158">
        <v>10</v>
      </c>
      <c r="G1295" s="158">
        <v>0</v>
      </c>
      <c r="H1295" s="133" t="s">
        <v>2027</v>
      </c>
      <c r="I1295" s="133" t="s">
        <v>615</v>
      </c>
      <c r="J1295" s="158">
        <v>0</v>
      </c>
      <c r="K1295" s="159" t="str">
        <f ca="1">IFERROR(__xludf.DUMMYFUNCTION("GOOGLETRANSLATE(H1296,""th"",""en"")"),"Inner BOX length (unit is MM)")</f>
        <v>Inner BOX length (unit is MM)</v>
      </c>
    </row>
    <row r="1296" spans="1:11" ht="15.75" hidden="1" customHeight="1">
      <c r="A1296" s="133" t="s">
        <v>7</v>
      </c>
      <c r="B1296" s="133" t="s">
        <v>332</v>
      </c>
      <c r="C1296" s="133" t="s">
        <v>2038</v>
      </c>
      <c r="D1296" s="133" t="s">
        <v>484</v>
      </c>
      <c r="E1296" s="158">
        <v>4</v>
      </c>
      <c r="F1296" s="158">
        <v>10</v>
      </c>
      <c r="G1296" s="158">
        <v>0</v>
      </c>
      <c r="H1296" s="133" t="s">
        <v>2039</v>
      </c>
      <c r="I1296" s="133" t="s">
        <v>615</v>
      </c>
      <c r="J1296" s="158">
        <v>0</v>
      </c>
      <c r="K1296" s="159" t="str">
        <f ca="1">IFERROR(__xludf.DUMMYFUNCTION("GOOGLETRANSLATE(H1302,""th"",""en"")"),"Length Outer Box (Unit is MM)")</f>
        <v>Length Outer Box (Unit is MM)</v>
      </c>
    </row>
    <row r="1297" spans="1:11" ht="15.75" hidden="1" customHeight="1">
      <c r="A1297" s="133" t="s">
        <v>7</v>
      </c>
      <c r="B1297" s="133" t="s">
        <v>332</v>
      </c>
      <c r="C1297" s="133" t="s">
        <v>2014</v>
      </c>
      <c r="D1297" s="133" t="s">
        <v>484</v>
      </c>
      <c r="E1297" s="158">
        <v>4</v>
      </c>
      <c r="F1297" s="158">
        <v>10</v>
      </c>
      <c r="G1297" s="158">
        <v>0</v>
      </c>
      <c r="H1297" s="133" t="s">
        <v>2015</v>
      </c>
      <c r="I1297" s="133" t="s">
        <v>615</v>
      </c>
      <c r="J1297" s="158">
        <v>0</v>
      </c>
      <c r="K1297" s="159" t="str">
        <f ca="1">IFERROR(__xludf.DUMMYFUNCTION("GOOGLETRANSLATE(H1290,""th"",""en"")"),"Product length per piece (unit is MM)")</f>
        <v>Product length per piece (unit is MM)</v>
      </c>
    </row>
    <row r="1298" spans="1:11" ht="15.75" hidden="1" customHeight="1">
      <c r="A1298" s="133" t="s">
        <v>7</v>
      </c>
      <c r="B1298" s="133" t="s">
        <v>332</v>
      </c>
      <c r="C1298" s="133" t="s">
        <v>253</v>
      </c>
      <c r="D1298" s="133" t="s">
        <v>477</v>
      </c>
      <c r="E1298" s="158">
        <v>7</v>
      </c>
      <c r="F1298" s="158">
        <v>0</v>
      </c>
      <c r="G1298" s="158">
        <v>0</v>
      </c>
      <c r="H1298" s="133" t="s">
        <v>1130</v>
      </c>
      <c r="I1298" s="133" t="s">
        <v>548</v>
      </c>
      <c r="J1298" s="158">
        <v>0</v>
      </c>
      <c r="K1298" s="159" t="str">
        <f ca="1">IFERROR(__xludf.DUMMYFUNCTION("GOOGLETRANSLATE(H1281,""th"",""en"")"),"Product code")</f>
        <v>Product code</v>
      </c>
    </row>
    <row r="1299" spans="1:11" ht="15.75" hidden="1" customHeight="1">
      <c r="A1299" s="133" t="s">
        <v>7</v>
      </c>
      <c r="B1299" s="133" t="s">
        <v>332</v>
      </c>
      <c r="C1299" s="133" t="s">
        <v>1999</v>
      </c>
      <c r="D1299" s="133" t="s">
        <v>477</v>
      </c>
      <c r="E1299" s="158">
        <v>15</v>
      </c>
      <c r="F1299" s="158">
        <v>0</v>
      </c>
      <c r="G1299" s="158">
        <v>0</v>
      </c>
      <c r="H1299" s="133" t="s">
        <v>2000</v>
      </c>
      <c r="I1299" s="133" t="s">
        <v>548</v>
      </c>
      <c r="J1299" s="158">
        <v>0</v>
      </c>
      <c r="K1299" s="159" t="str">
        <f ca="1">IFERROR(__xludf.DUMMYFUNCTION("GOOGLETRANSLATE(H1283,""th"",""en"")"),"Uom Inner Box Unit")</f>
        <v>Uom Inner Box Unit</v>
      </c>
    </row>
    <row r="1300" spans="1:11" ht="15.75" hidden="1" customHeight="1">
      <c r="A1300" s="133" t="s">
        <v>7</v>
      </c>
      <c r="B1300" s="133" t="s">
        <v>332</v>
      </c>
      <c r="C1300" s="133" t="s">
        <v>2001</v>
      </c>
      <c r="D1300" s="133" t="s">
        <v>477</v>
      </c>
      <c r="E1300" s="158">
        <v>15</v>
      </c>
      <c r="F1300" s="158">
        <v>0</v>
      </c>
      <c r="G1300" s="158">
        <v>0</v>
      </c>
      <c r="H1300" s="133" t="s">
        <v>2002</v>
      </c>
      <c r="I1300" s="133" t="s">
        <v>548</v>
      </c>
      <c r="J1300" s="158">
        <v>0</v>
      </c>
      <c r="K1300" s="159" t="str">
        <f ca="1">IFERROR(__xludf.DUMMYFUNCTION("GOOGLETRANSLATE(H1284,""th"",""en"")"),"UOm Outer Box Unit")</f>
        <v>UOm Outer Box Unit</v>
      </c>
    </row>
    <row r="1301" spans="1:11" ht="15.75" hidden="1" customHeight="1">
      <c r="A1301" s="133" t="s">
        <v>7</v>
      </c>
      <c r="B1301" s="133" t="s">
        <v>332</v>
      </c>
      <c r="C1301" s="133" t="s">
        <v>1997</v>
      </c>
      <c r="D1301" s="133" t="s">
        <v>477</v>
      </c>
      <c r="E1301" s="158">
        <v>15</v>
      </c>
      <c r="F1301" s="158">
        <v>0</v>
      </c>
      <c r="G1301" s="158">
        <v>0</v>
      </c>
      <c r="H1301" s="133" t="s">
        <v>1998</v>
      </c>
      <c r="I1301" s="133" t="s">
        <v>548</v>
      </c>
      <c r="J1301" s="158">
        <v>0</v>
      </c>
      <c r="K1301" s="159" t="str">
        <f ca="1">IFERROR(__xludf.DUMMYFUNCTION("GOOGLETRANSLATE(H1282,""th"",""en"")"),"UOM product per piece (Must be equal to the sales unit)")</f>
        <v>UOM product per piece (Must be equal to the sales unit)</v>
      </c>
    </row>
    <row r="1302" spans="1:11" ht="15.75" hidden="1" customHeight="1">
      <c r="A1302" s="133" t="s">
        <v>7</v>
      </c>
      <c r="B1302" s="133" t="s">
        <v>332</v>
      </c>
      <c r="C1302" s="133" t="s">
        <v>2054</v>
      </c>
      <c r="D1302" s="133" t="s">
        <v>477</v>
      </c>
      <c r="E1302" s="158">
        <v>3</v>
      </c>
      <c r="F1302" s="158">
        <v>0</v>
      </c>
      <c r="G1302" s="158">
        <v>0</v>
      </c>
      <c r="H1302" s="133" t="s">
        <v>2055</v>
      </c>
      <c r="I1302" s="133" t="s">
        <v>548</v>
      </c>
      <c r="J1302" s="158">
        <v>0</v>
      </c>
      <c r="K1302" s="159" t="str">
        <f ca="1">IFERROR(__xludf.DUMMYFUNCTION("GOOGLETRANSLATE(H1312,""th"",""en"")"),"English unit, Inner Box")</f>
        <v>English unit, Inner Box</v>
      </c>
    </row>
    <row r="1303" spans="1:11" ht="15.75" hidden="1" customHeight="1">
      <c r="A1303" s="133" t="s">
        <v>7</v>
      </c>
      <c r="B1303" s="133" t="s">
        <v>332</v>
      </c>
      <c r="C1303" s="133" t="s">
        <v>2056</v>
      </c>
      <c r="D1303" s="133" t="s">
        <v>477</v>
      </c>
      <c r="E1303" s="158">
        <v>3</v>
      </c>
      <c r="F1303" s="158">
        <v>0</v>
      </c>
      <c r="G1303" s="158">
        <v>0</v>
      </c>
      <c r="H1303" s="133" t="s">
        <v>2057</v>
      </c>
      <c r="I1303" s="133" t="s">
        <v>548</v>
      </c>
      <c r="J1303" s="158">
        <v>0</v>
      </c>
      <c r="K1303" s="159" t="str">
        <f ca="1">IFERROR(__xludf.DUMMYFUNCTION("GOOGLETRANSLATE(H1313,""th"",""en"")"),"Simplified English Unit of Product Outer Box Unit")</f>
        <v>Simplified English Unit of Product Outer Box Unit</v>
      </c>
    </row>
    <row r="1304" spans="1:11" ht="15.75" hidden="1" customHeight="1">
      <c r="A1304" s="133" t="s">
        <v>7</v>
      </c>
      <c r="B1304" s="133" t="s">
        <v>332</v>
      </c>
      <c r="C1304" s="133" t="s">
        <v>2052</v>
      </c>
      <c r="D1304" s="133" t="s">
        <v>477</v>
      </c>
      <c r="E1304" s="158">
        <v>3</v>
      </c>
      <c r="F1304" s="158">
        <v>0</v>
      </c>
      <c r="G1304" s="158">
        <v>0</v>
      </c>
      <c r="H1304" s="133" t="s">
        <v>2053</v>
      </c>
      <c r="I1304" s="133" t="s">
        <v>548</v>
      </c>
      <c r="J1304" s="158">
        <v>0</v>
      </c>
      <c r="K1304" s="159" t="str">
        <f ca="1">IFERROR(__xludf.DUMMYFUNCTION("GOOGLETRANSLATE(H1311,""th"",""en"")"),"Brief English language unit per piece")</f>
        <v>Brief English language unit per piece</v>
      </c>
    </row>
    <row r="1305" spans="1:11" ht="15.75" hidden="1" customHeight="1">
      <c r="A1305" s="133" t="s">
        <v>7</v>
      </c>
      <c r="B1305" s="133" t="s">
        <v>332</v>
      </c>
      <c r="C1305" s="133" t="s">
        <v>2005</v>
      </c>
      <c r="D1305" s="133" t="s">
        <v>484</v>
      </c>
      <c r="E1305" s="158">
        <v>4</v>
      </c>
      <c r="F1305" s="158">
        <v>10</v>
      </c>
      <c r="G1305" s="158">
        <v>0</v>
      </c>
      <c r="H1305" s="133" t="s">
        <v>2006</v>
      </c>
      <c r="I1305" s="133" t="s">
        <v>615</v>
      </c>
      <c r="J1305" s="158">
        <v>0</v>
      </c>
      <c r="K1305" s="159" t="str">
        <f ca="1">IFERROR(__xludf.DUMMYFUNCTION("GOOGLETRANSLATE(H1286,""th"",""en"")"),"Uom Inner Box")</f>
        <v>Uom Inner Box</v>
      </c>
    </row>
    <row r="1306" spans="1:11" ht="15.75" hidden="1" customHeight="1">
      <c r="A1306" s="133" t="s">
        <v>7</v>
      </c>
      <c r="B1306" s="133" t="s">
        <v>332</v>
      </c>
      <c r="C1306" s="133" t="s">
        <v>2007</v>
      </c>
      <c r="D1306" s="133" t="s">
        <v>484</v>
      </c>
      <c r="E1306" s="158">
        <v>4</v>
      </c>
      <c r="F1306" s="158">
        <v>10</v>
      </c>
      <c r="G1306" s="158">
        <v>0</v>
      </c>
      <c r="H1306" s="133" t="s">
        <v>2008</v>
      </c>
      <c r="I1306" s="133" t="s">
        <v>615</v>
      </c>
      <c r="J1306" s="158">
        <v>0</v>
      </c>
      <c r="K1306" s="159" t="str">
        <f ca="1">IFERROR(__xludf.DUMMYFUNCTION("GOOGLETRANSLATE(H1287,""th"",""en"")"),"Uom Outer Box")</f>
        <v>Uom Outer Box</v>
      </c>
    </row>
    <row r="1307" spans="1:11" ht="15.75" hidden="1" customHeight="1">
      <c r="A1307" s="133" t="s">
        <v>7</v>
      </c>
      <c r="B1307" s="133" t="s">
        <v>332</v>
      </c>
      <c r="C1307" s="133" t="s">
        <v>2003</v>
      </c>
      <c r="D1307" s="133" t="s">
        <v>484</v>
      </c>
      <c r="E1307" s="158">
        <v>4</v>
      </c>
      <c r="F1307" s="158">
        <v>10</v>
      </c>
      <c r="G1307" s="158">
        <v>0</v>
      </c>
      <c r="H1307" s="133" t="s">
        <v>2004</v>
      </c>
      <c r="I1307" s="133" t="s">
        <v>615</v>
      </c>
      <c r="J1307" s="158">
        <v>0</v>
      </c>
      <c r="K1307" s="159" t="str">
        <f ca="1">IFERROR(__xludf.DUMMYFUNCTION("GOOGLETRANSLATE(H1285,""th"",""en"")"),"UOM product per piece")</f>
        <v>UOM product per piece</v>
      </c>
    </row>
    <row r="1308" spans="1:11" ht="15.75" hidden="1" customHeight="1">
      <c r="A1308" s="133" t="s">
        <v>7</v>
      </c>
      <c r="B1308" s="133" t="s">
        <v>332</v>
      </c>
      <c r="C1308" s="133" t="s">
        <v>670</v>
      </c>
      <c r="D1308" s="133" t="s">
        <v>477</v>
      </c>
      <c r="E1308" s="158">
        <v>8</v>
      </c>
      <c r="F1308" s="158">
        <v>0</v>
      </c>
      <c r="G1308" s="158">
        <v>0</v>
      </c>
      <c r="H1308" s="133" t="s">
        <v>2048</v>
      </c>
      <c r="I1308" s="133" t="s">
        <v>548</v>
      </c>
      <c r="J1308" s="158">
        <v>0</v>
      </c>
      <c r="K1308" s="159" t="str">
        <f ca="1">IFERROR(__xludf.DUMMYFUNCTION("GOOGLETRANSLATE(H1308,""th"",""en"")"),"Product Information Editor")</f>
        <v>Product Information Editor</v>
      </c>
    </row>
    <row r="1309" spans="1:11" ht="15.75" hidden="1" customHeight="1">
      <c r="A1309" s="133" t="s">
        <v>7</v>
      </c>
      <c r="B1309" s="133" t="s">
        <v>332</v>
      </c>
      <c r="C1309" s="133" t="s">
        <v>816</v>
      </c>
      <c r="D1309" s="133" t="s">
        <v>477</v>
      </c>
      <c r="E1309" s="158">
        <v>100</v>
      </c>
      <c r="F1309" s="158">
        <v>0</v>
      </c>
      <c r="G1309" s="158">
        <v>0</v>
      </c>
      <c r="H1309" s="133" t="s">
        <v>817</v>
      </c>
      <c r="I1309" s="133" t="s">
        <v>548</v>
      </c>
      <c r="J1309" s="158">
        <v>0</v>
      </c>
      <c r="K1309" s="159" t="str">
        <f ca="1">IFERROR(__xludf.DUMMYFUNCTION("GOOGLETRANSLATE(H1316,""th"",""en"")"),"Latest information")</f>
        <v>Latest information</v>
      </c>
    </row>
    <row r="1310" spans="1:11" ht="15.75" hidden="1" customHeight="1">
      <c r="A1310" s="133" t="s">
        <v>7</v>
      </c>
      <c r="B1310" s="133" t="s">
        <v>332</v>
      </c>
      <c r="C1310" s="133" t="s">
        <v>215</v>
      </c>
      <c r="D1310" s="133" t="s">
        <v>800</v>
      </c>
      <c r="E1310" s="158">
        <v>8</v>
      </c>
      <c r="F1310" s="158">
        <v>27</v>
      </c>
      <c r="G1310" s="158">
        <v>7</v>
      </c>
      <c r="H1310" s="133" t="s">
        <v>2049</v>
      </c>
      <c r="I1310" s="133" t="s">
        <v>801</v>
      </c>
      <c r="J1310" s="158">
        <v>0</v>
      </c>
      <c r="K1310" s="159" t="str">
        <f ca="1">IFERROR(__xludf.DUMMYFUNCTION("GOOGLETRANSLATE(H1309,""th"",""en"")"),"Product Editing Date")</f>
        <v>Product Editing Date</v>
      </c>
    </row>
    <row r="1311" spans="1:11" ht="15.75" hidden="1" customHeight="1">
      <c r="A1311" s="133" t="s">
        <v>7</v>
      </c>
      <c r="B1311" s="133" t="s">
        <v>332</v>
      </c>
      <c r="C1311" s="133" t="s">
        <v>2030</v>
      </c>
      <c r="D1311" s="133" t="s">
        <v>484</v>
      </c>
      <c r="E1311" s="158">
        <v>4</v>
      </c>
      <c r="F1311" s="158">
        <v>10</v>
      </c>
      <c r="G1311" s="158">
        <v>0</v>
      </c>
      <c r="H1311" s="133" t="s">
        <v>2031</v>
      </c>
      <c r="I1311" s="133" t="s">
        <v>615</v>
      </c>
      <c r="J1311" s="158">
        <v>0</v>
      </c>
      <c r="K1311" s="159" t="str">
        <f ca="1">IFERROR(__xludf.DUMMYFUNCTION("GOOGLETRANSLATE(H1298,""th"",""en"")"),"Weight Inner Box (Unit is G)")</f>
        <v>Weight Inner Box (Unit is G)</v>
      </c>
    </row>
    <row r="1312" spans="1:11" ht="15.75" hidden="1" customHeight="1">
      <c r="A1312" s="133" t="s">
        <v>7</v>
      </c>
      <c r="B1312" s="133" t="s">
        <v>332</v>
      </c>
      <c r="C1312" s="133" t="s">
        <v>2042</v>
      </c>
      <c r="D1312" s="133" t="s">
        <v>484</v>
      </c>
      <c r="E1312" s="158">
        <v>4</v>
      </c>
      <c r="F1312" s="158">
        <v>10</v>
      </c>
      <c r="G1312" s="158">
        <v>0</v>
      </c>
      <c r="H1312" s="133" t="s">
        <v>2043</v>
      </c>
      <c r="I1312" s="133" t="s">
        <v>615</v>
      </c>
      <c r="J1312" s="158">
        <v>0</v>
      </c>
      <c r="K1312" s="159" t="str">
        <f ca="1">IFERROR(__xludf.DUMMYFUNCTION("GOOGLETRANSLATE(H1304,""th"",""en"")"),"Outer Box weight (unit is g)")</f>
        <v>Outer Box weight (unit is g)</v>
      </c>
    </row>
    <row r="1313" spans="1:11" ht="15.75" hidden="1" customHeight="1">
      <c r="A1313" s="133" t="s">
        <v>7</v>
      </c>
      <c r="B1313" s="133" t="s">
        <v>332</v>
      </c>
      <c r="C1313" s="133" t="s">
        <v>2018</v>
      </c>
      <c r="D1313" s="133" t="s">
        <v>484</v>
      </c>
      <c r="E1313" s="158">
        <v>4</v>
      </c>
      <c r="F1313" s="158">
        <v>10</v>
      </c>
      <c r="G1313" s="158">
        <v>0</v>
      </c>
      <c r="H1313" s="133" t="s">
        <v>2019</v>
      </c>
      <c r="I1313" s="133" t="s">
        <v>615</v>
      </c>
      <c r="J1313" s="158">
        <v>0</v>
      </c>
      <c r="K1313" s="159" t="str">
        <f ca="1">IFERROR(__xludf.DUMMYFUNCTION("GOOGLETRANSLATE(H1292,""th"",""en"")"),"Product weight per piece (unit is g)")</f>
        <v>Product weight per piece (unit is g)</v>
      </c>
    </row>
    <row r="1314" spans="1:11" ht="15.75" hidden="1" customHeight="1">
      <c r="A1314" s="133" t="s">
        <v>7</v>
      </c>
      <c r="B1314" s="133" t="s">
        <v>332</v>
      </c>
      <c r="C1314" s="133" t="s">
        <v>2024</v>
      </c>
      <c r="D1314" s="133" t="s">
        <v>484</v>
      </c>
      <c r="E1314" s="158">
        <v>4</v>
      </c>
      <c r="F1314" s="158">
        <v>10</v>
      </c>
      <c r="G1314" s="158">
        <v>0</v>
      </c>
      <c r="H1314" s="133" t="s">
        <v>2025</v>
      </c>
      <c r="I1314" s="133" t="s">
        <v>615</v>
      </c>
      <c r="J1314" s="158">
        <v>0</v>
      </c>
      <c r="K1314" s="159" t="str">
        <f ca="1">IFERROR(__xludf.DUMMYFUNCTION("GOOGLETRANSLATE(H1295,""th"",""en"")"),"Inner BOX width (unit is MM)")</f>
        <v>Inner BOX width (unit is MM)</v>
      </c>
    </row>
    <row r="1315" spans="1:11" ht="15.75" hidden="1" customHeight="1">
      <c r="A1315" s="133" t="s">
        <v>7</v>
      </c>
      <c r="B1315" s="133" t="s">
        <v>332</v>
      </c>
      <c r="C1315" s="133" t="s">
        <v>2036</v>
      </c>
      <c r="D1315" s="133" t="s">
        <v>484</v>
      </c>
      <c r="E1315" s="158">
        <v>4</v>
      </c>
      <c r="F1315" s="158">
        <v>10</v>
      </c>
      <c r="G1315" s="158">
        <v>0</v>
      </c>
      <c r="H1315" s="133" t="s">
        <v>2037</v>
      </c>
      <c r="I1315" s="133" t="s">
        <v>615</v>
      </c>
      <c r="J1315" s="158">
        <v>0</v>
      </c>
      <c r="K1315" s="159" t="str">
        <f ca="1">IFERROR(__xludf.DUMMYFUNCTION("GOOGLETRANSLATE(H1301,""th"",""en"")"),"Outer Box width (unit is MM)")</f>
        <v>Outer Box width (unit is MM)</v>
      </c>
    </row>
    <row r="1316" spans="1:11" ht="15.75" hidden="1" customHeight="1">
      <c r="A1316" s="133" t="s">
        <v>7</v>
      </c>
      <c r="B1316" s="133" t="s">
        <v>332</v>
      </c>
      <c r="C1316" s="133" t="s">
        <v>2012</v>
      </c>
      <c r="D1316" s="133" t="s">
        <v>484</v>
      </c>
      <c r="E1316" s="158">
        <v>4</v>
      </c>
      <c r="F1316" s="158">
        <v>10</v>
      </c>
      <c r="G1316" s="158">
        <v>0</v>
      </c>
      <c r="H1316" s="133" t="s">
        <v>2013</v>
      </c>
      <c r="I1316" s="133" t="s">
        <v>615</v>
      </c>
      <c r="J1316" s="158">
        <v>0</v>
      </c>
      <c r="K1316" s="159" t="str">
        <f ca="1">IFERROR(__xludf.DUMMYFUNCTION("GOOGLETRANSLATE(H1289,""th"",""en"")"),"Product width per piece (unit is MM)")</f>
        <v>Product width per piece (unit is MM)</v>
      </c>
    </row>
    <row r="1317" spans="1:11" ht="15.75" hidden="1" customHeight="1">
      <c r="A1317" s="133" t="s">
        <v>7</v>
      </c>
      <c r="B1317" s="133" t="s">
        <v>336</v>
      </c>
      <c r="C1317" s="133" t="s">
        <v>2060</v>
      </c>
      <c r="D1317" s="133" t="s">
        <v>477</v>
      </c>
      <c r="E1317" s="158">
        <v>20</v>
      </c>
      <c r="F1317" s="158">
        <v>0</v>
      </c>
      <c r="G1317" s="158">
        <v>0</v>
      </c>
      <c r="H1317" s="133" t="s">
        <v>2061</v>
      </c>
      <c r="I1317" s="133" t="s">
        <v>548</v>
      </c>
      <c r="J1317" s="158">
        <v>0</v>
      </c>
      <c r="K1317" s="159" t="str">
        <f ca="1">IFERROR(__xludf.DUMMYFUNCTION("GOOGLETRANSLATE(H1317,""th"",""en"")"),"Product group code")</f>
        <v>Product group code</v>
      </c>
    </row>
    <row r="1318" spans="1:11" ht="15.75" hidden="1" customHeight="1">
      <c r="A1318" s="133" t="s">
        <v>7</v>
      </c>
      <c r="B1318" s="133" t="s">
        <v>336</v>
      </c>
      <c r="C1318" s="133" t="s">
        <v>1989</v>
      </c>
      <c r="D1318" s="133" t="s">
        <v>477</v>
      </c>
      <c r="E1318" s="158">
        <v>7</v>
      </c>
      <c r="F1318" s="158">
        <v>0</v>
      </c>
      <c r="G1318" s="158">
        <v>0</v>
      </c>
      <c r="H1318" s="133" t="s">
        <v>1990</v>
      </c>
      <c r="I1318" s="133" t="s">
        <v>548</v>
      </c>
      <c r="J1318" s="158">
        <v>0</v>
      </c>
      <c r="K1318" s="159" t="str">
        <f ca="1">IFERROR(__xludf.DUMMYFUNCTION("GOOGLETRANSLATE(H1318,""th"",""en"")"),"Product code (OFM)")</f>
        <v>Product code (OFM)</v>
      </c>
    </row>
    <row r="1319" spans="1:11" ht="15.75" hidden="1" customHeight="1">
      <c r="A1319" s="133" t="s">
        <v>7</v>
      </c>
      <c r="B1319" s="133" t="s">
        <v>336</v>
      </c>
      <c r="C1319" s="133" t="s">
        <v>1993</v>
      </c>
      <c r="D1319" s="133" t="s">
        <v>477</v>
      </c>
      <c r="E1319" s="158">
        <v>20</v>
      </c>
      <c r="F1319" s="158">
        <v>0</v>
      </c>
      <c r="G1319" s="158">
        <v>0</v>
      </c>
      <c r="H1319" s="133" t="s">
        <v>1990</v>
      </c>
      <c r="I1319" s="133" t="s">
        <v>548</v>
      </c>
      <c r="J1319" s="158">
        <v>0</v>
      </c>
      <c r="K1319" s="159" t="str">
        <f ca="1">IFERROR(__xludf.DUMMYFUNCTION("GOOGLETRANSLATE(H1319,""th"",""en"")"),"Product code (OFM)")</f>
        <v>Product code (OFM)</v>
      </c>
    </row>
    <row r="1320" spans="1:11" ht="15.75" hidden="1" customHeight="1">
      <c r="A1320" s="133" t="s">
        <v>7</v>
      </c>
      <c r="B1320" s="133" t="s">
        <v>336</v>
      </c>
      <c r="C1320" s="133" t="s">
        <v>2062</v>
      </c>
      <c r="D1320" s="133" t="s">
        <v>477</v>
      </c>
      <c r="E1320" s="158">
        <v>20</v>
      </c>
      <c r="F1320" s="158">
        <v>0</v>
      </c>
      <c r="G1320" s="158">
        <v>0</v>
      </c>
      <c r="H1320" s="133" t="s">
        <v>2063</v>
      </c>
      <c r="I1320" s="133" t="s">
        <v>548</v>
      </c>
      <c r="J1320" s="158">
        <v>0</v>
      </c>
      <c r="K1320" s="159" t="str">
        <f ca="1">IFERROR(__xludf.DUMMYFUNCTION("GOOGLETRANSLATE(H1320,""th"",""en"")"),"Other product codes")</f>
        <v>Other product codes</v>
      </c>
    </row>
    <row r="1321" spans="1:11" ht="15.75" hidden="1" customHeight="1">
      <c r="A1321" s="133" t="s">
        <v>7</v>
      </c>
      <c r="B1321" s="133" t="s">
        <v>336</v>
      </c>
      <c r="C1321" s="133" t="s">
        <v>523</v>
      </c>
      <c r="D1321" s="133" t="s">
        <v>477</v>
      </c>
      <c r="E1321" s="158">
        <v>10</v>
      </c>
      <c r="F1321" s="158">
        <v>0</v>
      </c>
      <c r="G1321" s="158">
        <v>0</v>
      </c>
      <c r="H1321" s="133" t="s">
        <v>1393</v>
      </c>
      <c r="I1321" s="133" t="s">
        <v>548</v>
      </c>
      <c r="J1321" s="158">
        <v>0</v>
      </c>
      <c r="K1321" s="159" t="str">
        <f ca="1">IFERROR(__xludf.DUMMYFUNCTION("GOOGLETRANSLATE(H1321,""th"",""en"")"),"Those codes")</f>
        <v>Those codes</v>
      </c>
    </row>
    <row r="1322" spans="1:11" ht="15.75" hidden="1" customHeight="1">
      <c r="A1322" s="133" t="s">
        <v>7</v>
      </c>
      <c r="B1322" s="133" t="s">
        <v>336</v>
      </c>
      <c r="C1322" s="133" t="s">
        <v>814</v>
      </c>
      <c r="D1322" s="133" t="s">
        <v>477</v>
      </c>
      <c r="E1322" s="158">
        <v>100</v>
      </c>
      <c r="F1322" s="158">
        <v>0</v>
      </c>
      <c r="G1322" s="158">
        <v>0</v>
      </c>
      <c r="H1322" s="133" t="s">
        <v>1392</v>
      </c>
      <c r="I1322" s="133" t="s">
        <v>548</v>
      </c>
      <c r="J1322" s="158">
        <v>0</v>
      </c>
      <c r="K1322" s="159" t="str">
        <f ca="1">IFERROR(__xludf.DUMMYFUNCTION("GOOGLETRANSLATE(H1322,""th"",""en"")"),"Named")</f>
        <v>Named</v>
      </c>
    </row>
    <row r="1323" spans="1:11" ht="15.75" hidden="1" customHeight="1">
      <c r="A1323" s="133" t="s">
        <v>7</v>
      </c>
      <c r="B1323" s="133" t="s">
        <v>336</v>
      </c>
      <c r="C1323" s="133" t="s">
        <v>669</v>
      </c>
      <c r="D1323" s="133" t="s">
        <v>800</v>
      </c>
      <c r="E1323" s="158">
        <v>8</v>
      </c>
      <c r="F1323" s="158">
        <v>27</v>
      </c>
      <c r="G1323" s="158">
        <v>7</v>
      </c>
      <c r="H1323" s="133" t="s">
        <v>1283</v>
      </c>
      <c r="I1323" s="133" t="s">
        <v>801</v>
      </c>
      <c r="J1323" s="158">
        <v>0</v>
      </c>
      <c r="K1323" s="159" t="str">
        <f ca="1">IFERROR(__xludf.DUMMYFUNCTION("GOOGLETRANSLATE(H1323,""th"",""en"")"),"Date and time created")</f>
        <v>Date and time created</v>
      </c>
    </row>
    <row r="1324" spans="1:11" ht="15.75" hidden="1" customHeight="1">
      <c r="A1324" s="133" t="s">
        <v>7</v>
      </c>
      <c r="B1324" s="133" t="s">
        <v>336</v>
      </c>
      <c r="C1324" s="133" t="s">
        <v>670</v>
      </c>
      <c r="D1324" s="133" t="s">
        <v>477</v>
      </c>
      <c r="E1324" s="158">
        <v>10</v>
      </c>
      <c r="F1324" s="158">
        <v>0</v>
      </c>
      <c r="G1324" s="158">
        <v>0</v>
      </c>
      <c r="H1324" s="133" t="s">
        <v>1995</v>
      </c>
      <c r="I1324" s="133" t="s">
        <v>548</v>
      </c>
      <c r="J1324" s="158">
        <v>0</v>
      </c>
      <c r="K1324" s="159" t="str">
        <f ca="1">IFERROR(__xludf.DUMMYFUNCTION("GOOGLETRANSLATE(H1324,""th"",""en"")"),"Fixed code")</f>
        <v>Fixed code</v>
      </c>
    </row>
    <row r="1325" spans="1:11" ht="15.75" hidden="1" customHeight="1">
      <c r="A1325" s="133" t="s">
        <v>7</v>
      </c>
      <c r="B1325" s="133" t="s">
        <v>336</v>
      </c>
      <c r="C1325" s="133" t="s">
        <v>816</v>
      </c>
      <c r="D1325" s="133" t="s">
        <v>477</v>
      </c>
      <c r="E1325" s="158">
        <v>100</v>
      </c>
      <c r="F1325" s="158">
        <v>0</v>
      </c>
      <c r="G1325" s="158">
        <v>0</v>
      </c>
      <c r="H1325" s="133" t="s">
        <v>1996</v>
      </c>
      <c r="I1325" s="133" t="s">
        <v>548</v>
      </c>
      <c r="J1325" s="158">
        <v>0</v>
      </c>
      <c r="K1325" s="159" t="str">
        <f ca="1">IFERROR(__xludf.DUMMYFUNCTION("GOOGLETRANSLATE(H1325,""th"",""en"")"),"The name of the editor")</f>
        <v>The name of the editor</v>
      </c>
    </row>
    <row r="1326" spans="1:11" ht="15.75" hidden="1" customHeight="1">
      <c r="A1326" s="133" t="s">
        <v>7</v>
      </c>
      <c r="B1326" s="133" t="s">
        <v>336</v>
      </c>
      <c r="C1326" s="133" t="s">
        <v>215</v>
      </c>
      <c r="D1326" s="133" t="s">
        <v>800</v>
      </c>
      <c r="E1326" s="158">
        <v>8</v>
      </c>
      <c r="F1326" s="158">
        <v>27</v>
      </c>
      <c r="G1326" s="158">
        <v>7</v>
      </c>
      <c r="H1326" s="133" t="s">
        <v>1286</v>
      </c>
      <c r="I1326" s="133" t="s">
        <v>801</v>
      </c>
      <c r="J1326" s="158">
        <v>0</v>
      </c>
      <c r="K1326" s="159" t="str">
        <f ca="1">IFERROR(__xludf.DUMMYFUNCTION("GOOGLETRANSLATE(H1326,""th"",""en"")"),"Edit date and time")</f>
        <v>Edit date and time</v>
      </c>
    </row>
    <row r="1327" spans="1:11" ht="15.75" hidden="1" customHeight="1">
      <c r="A1327" s="133" t="s">
        <v>7</v>
      </c>
      <c r="B1327" s="133" t="s">
        <v>390</v>
      </c>
      <c r="C1327" s="133" t="s">
        <v>396</v>
      </c>
      <c r="D1327" s="133" t="s">
        <v>477</v>
      </c>
      <c r="E1327" s="158">
        <v>20</v>
      </c>
      <c r="F1327" s="158">
        <v>0</v>
      </c>
      <c r="G1327" s="158">
        <v>0</v>
      </c>
      <c r="H1327" s="133" t="s">
        <v>479</v>
      </c>
      <c r="I1327" s="133" t="s">
        <v>548</v>
      </c>
      <c r="J1327" s="158">
        <v>0</v>
      </c>
      <c r="K1327" s="159" t="str">
        <f ca="1">IFERROR(__xludf.DUMMYFUNCTION("GOOGLETRANSLATE(H1327,""th"",""en"")"),"Null")</f>
        <v>Null</v>
      </c>
    </row>
    <row r="1328" spans="1:11" ht="15.75" hidden="1" customHeight="1">
      <c r="A1328" s="133" t="s">
        <v>7</v>
      </c>
      <c r="B1328" s="133" t="s">
        <v>390</v>
      </c>
      <c r="C1328" s="133" t="s">
        <v>2064</v>
      </c>
      <c r="D1328" s="133" t="s">
        <v>477</v>
      </c>
      <c r="E1328" s="158">
        <v>100</v>
      </c>
      <c r="F1328" s="158">
        <v>0</v>
      </c>
      <c r="G1328" s="158">
        <v>0</v>
      </c>
      <c r="H1328" s="133" t="s">
        <v>479</v>
      </c>
      <c r="I1328" s="133" t="s">
        <v>548</v>
      </c>
      <c r="J1328" s="158">
        <v>0</v>
      </c>
      <c r="K1328" s="159" t="str">
        <f ca="1">IFERROR(__xludf.DUMMYFUNCTION("GOOGLETRANSLATE(H1328,""th"",""en"")"),"Null")</f>
        <v>Null</v>
      </c>
    </row>
    <row r="1329" spans="1:11" ht="15.75" hidden="1" customHeight="1">
      <c r="A1329" s="133" t="s">
        <v>7</v>
      </c>
      <c r="B1329" s="133" t="s">
        <v>390</v>
      </c>
      <c r="C1329" s="133" t="s">
        <v>2065</v>
      </c>
      <c r="D1329" s="133" t="s">
        <v>484</v>
      </c>
      <c r="E1329" s="158">
        <v>4</v>
      </c>
      <c r="F1329" s="158">
        <v>10</v>
      </c>
      <c r="G1329" s="158">
        <v>0</v>
      </c>
      <c r="H1329" s="133" t="s">
        <v>479</v>
      </c>
      <c r="I1329" s="133" t="s">
        <v>615</v>
      </c>
      <c r="J1329" s="158">
        <v>0</v>
      </c>
      <c r="K1329" s="159" t="str">
        <f ca="1">IFERROR(__xludf.DUMMYFUNCTION("GOOGLETRANSLATE(H1329,""th"",""en"")"),"Null")</f>
        <v>Null</v>
      </c>
    </row>
    <row r="1330" spans="1:11" ht="15.75" hidden="1" customHeight="1">
      <c r="A1330" s="133" t="s">
        <v>7</v>
      </c>
      <c r="B1330" s="133" t="s">
        <v>392</v>
      </c>
      <c r="C1330" s="133" t="s">
        <v>396</v>
      </c>
      <c r="D1330" s="133" t="s">
        <v>477</v>
      </c>
      <c r="E1330" s="158">
        <v>20</v>
      </c>
      <c r="F1330" s="158">
        <v>0</v>
      </c>
      <c r="G1330" s="158">
        <v>0</v>
      </c>
      <c r="H1330" s="133" t="s">
        <v>479</v>
      </c>
      <c r="I1330" s="133" t="s">
        <v>548</v>
      </c>
      <c r="J1330" s="158">
        <v>0</v>
      </c>
      <c r="K1330" s="159" t="str">
        <f ca="1">IFERROR(__xludf.DUMMYFUNCTION("GOOGLETRANSLATE(H1330,""th"",""en"")"),"Null")</f>
        <v>Null</v>
      </c>
    </row>
    <row r="1331" spans="1:11" ht="15.75" hidden="1" customHeight="1">
      <c r="A1331" s="133" t="s">
        <v>7</v>
      </c>
      <c r="B1331" s="133" t="s">
        <v>392</v>
      </c>
      <c r="C1331" s="133" t="s">
        <v>2066</v>
      </c>
      <c r="D1331" s="133" t="s">
        <v>477</v>
      </c>
      <c r="E1331" s="158">
        <v>50</v>
      </c>
      <c r="F1331" s="158">
        <v>0</v>
      </c>
      <c r="G1331" s="158">
        <v>0</v>
      </c>
      <c r="H1331" s="133" t="s">
        <v>479</v>
      </c>
      <c r="I1331" s="133" t="s">
        <v>548</v>
      </c>
      <c r="J1331" s="158">
        <v>0</v>
      </c>
      <c r="K1331" s="159" t="str">
        <f ca="1">IFERROR(__xludf.DUMMYFUNCTION("GOOGLETRANSLATE(H1331,""th"",""en"")"),"Null")</f>
        <v>Null</v>
      </c>
    </row>
    <row r="1332" spans="1:11" ht="15.75" hidden="1" customHeight="1">
      <c r="A1332" s="133" t="s">
        <v>7</v>
      </c>
      <c r="B1332" s="133" t="s">
        <v>392</v>
      </c>
      <c r="C1332" s="133" t="s">
        <v>2067</v>
      </c>
      <c r="D1332" s="133" t="s">
        <v>477</v>
      </c>
      <c r="E1332" s="158">
        <v>50</v>
      </c>
      <c r="F1332" s="158">
        <v>0</v>
      </c>
      <c r="G1332" s="158">
        <v>0</v>
      </c>
      <c r="H1332" s="133" t="s">
        <v>479</v>
      </c>
      <c r="I1332" s="133" t="s">
        <v>548</v>
      </c>
      <c r="J1332" s="158">
        <v>0</v>
      </c>
      <c r="K1332" s="159" t="str">
        <f ca="1">IFERROR(__xludf.DUMMYFUNCTION("GOOGLETRANSLATE(H1332,""th"",""en"")"),"Null")</f>
        <v>Null</v>
      </c>
    </row>
    <row r="1333" spans="1:11" ht="15.75" hidden="1" customHeight="1">
      <c r="A1333" s="133" t="s">
        <v>7</v>
      </c>
      <c r="B1333" s="133" t="s">
        <v>392</v>
      </c>
      <c r="C1333" s="133" t="s">
        <v>2068</v>
      </c>
      <c r="D1333" s="133" t="s">
        <v>477</v>
      </c>
      <c r="E1333" s="158">
        <v>10</v>
      </c>
      <c r="F1333" s="158">
        <v>0</v>
      </c>
      <c r="G1333" s="158">
        <v>0</v>
      </c>
      <c r="H1333" s="133" t="s">
        <v>479</v>
      </c>
      <c r="I1333" s="133" t="s">
        <v>548</v>
      </c>
      <c r="J1333" s="158">
        <v>0</v>
      </c>
      <c r="K1333" s="159" t="str">
        <f ca="1">IFERROR(__xludf.DUMMYFUNCTION("GOOGLETRANSLATE(H1333,""th"",""en"")"),"Null")</f>
        <v>Null</v>
      </c>
    </row>
    <row r="1334" spans="1:11" ht="15.75" hidden="1" customHeight="1">
      <c r="A1334" s="133" t="s">
        <v>7</v>
      </c>
      <c r="B1334" s="133" t="s">
        <v>394</v>
      </c>
      <c r="C1334" s="133" t="s">
        <v>396</v>
      </c>
      <c r="D1334" s="133" t="s">
        <v>477</v>
      </c>
      <c r="E1334" s="158">
        <v>20</v>
      </c>
      <c r="F1334" s="158">
        <v>0</v>
      </c>
      <c r="G1334" s="158">
        <v>0</v>
      </c>
      <c r="H1334" s="133" t="s">
        <v>479</v>
      </c>
      <c r="I1334" s="133" t="s">
        <v>548</v>
      </c>
      <c r="J1334" s="158">
        <v>0</v>
      </c>
      <c r="K1334" s="159" t="str">
        <f ca="1">IFERROR(__xludf.DUMMYFUNCTION("GOOGLETRANSLATE(H1334,""th"",""en"")"),"Null")</f>
        <v>Null</v>
      </c>
    </row>
    <row r="1335" spans="1:11" ht="15.75" hidden="1" customHeight="1">
      <c r="A1335" s="133" t="s">
        <v>7</v>
      </c>
      <c r="B1335" s="133" t="s">
        <v>394</v>
      </c>
      <c r="C1335" s="133" t="s">
        <v>2069</v>
      </c>
      <c r="D1335" s="133" t="s">
        <v>477</v>
      </c>
      <c r="E1335" s="158">
        <v>250</v>
      </c>
      <c r="F1335" s="158">
        <v>0</v>
      </c>
      <c r="G1335" s="158">
        <v>0</v>
      </c>
      <c r="H1335" s="133" t="s">
        <v>479</v>
      </c>
      <c r="I1335" s="133" t="s">
        <v>548</v>
      </c>
      <c r="J1335" s="158">
        <v>0</v>
      </c>
      <c r="K1335" s="159" t="str">
        <f ca="1">IFERROR(__xludf.DUMMYFUNCTION("GOOGLETRANSLATE(H1335,""th"",""en"")"),"Null")</f>
        <v>Null</v>
      </c>
    </row>
    <row r="1336" spans="1:11" ht="15.75" hidden="1" customHeight="1">
      <c r="A1336" s="133" t="s">
        <v>7</v>
      </c>
      <c r="B1336" s="133" t="s">
        <v>394</v>
      </c>
      <c r="C1336" s="133" t="s">
        <v>2070</v>
      </c>
      <c r="D1336" s="133" t="s">
        <v>477</v>
      </c>
      <c r="E1336" s="158">
        <v>-1</v>
      </c>
      <c r="F1336" s="158">
        <v>0</v>
      </c>
      <c r="G1336" s="158">
        <v>0</v>
      </c>
      <c r="H1336" s="133" t="s">
        <v>479</v>
      </c>
      <c r="I1336" s="133" t="s">
        <v>548</v>
      </c>
      <c r="J1336" s="158">
        <v>0</v>
      </c>
      <c r="K1336" s="159" t="str">
        <f ca="1">IFERROR(__xludf.DUMMYFUNCTION("GOOGLETRANSLATE(H1336,""th"",""en"")"),"Null")</f>
        <v>Null</v>
      </c>
    </row>
    <row r="1337" spans="1:11" ht="15.75" hidden="1" customHeight="1">
      <c r="A1337" s="133" t="s">
        <v>7</v>
      </c>
      <c r="B1337" s="133" t="s">
        <v>394</v>
      </c>
      <c r="C1337" s="133" t="s">
        <v>2071</v>
      </c>
      <c r="D1337" s="133" t="s">
        <v>477</v>
      </c>
      <c r="E1337" s="158">
        <v>10</v>
      </c>
      <c r="F1337" s="158">
        <v>0</v>
      </c>
      <c r="G1337" s="158">
        <v>0</v>
      </c>
      <c r="H1337" s="133" t="s">
        <v>479</v>
      </c>
      <c r="I1337" s="133" t="s">
        <v>548</v>
      </c>
      <c r="J1337" s="158">
        <v>0</v>
      </c>
      <c r="K1337" s="159" t="str">
        <f ca="1">IFERROR(__xludf.DUMMYFUNCTION("GOOGLETRANSLATE(H1337,""th"",""en"")"),"Null")</f>
        <v>Null</v>
      </c>
    </row>
    <row r="1338" spans="1:11" ht="15.75" hidden="1" customHeight="1">
      <c r="A1338" s="133" t="s">
        <v>7</v>
      </c>
      <c r="B1338" s="133" t="s">
        <v>394</v>
      </c>
      <c r="C1338" s="133" t="s">
        <v>2072</v>
      </c>
      <c r="D1338" s="133" t="s">
        <v>477</v>
      </c>
      <c r="E1338" s="158">
        <v>20</v>
      </c>
      <c r="F1338" s="158">
        <v>0</v>
      </c>
      <c r="G1338" s="158">
        <v>0</v>
      </c>
      <c r="H1338" s="133" t="s">
        <v>2073</v>
      </c>
      <c r="I1338" s="133" t="s">
        <v>548</v>
      </c>
      <c r="J1338" s="158">
        <v>0</v>
      </c>
      <c r="K1338" s="159" t="str">
        <f ca="1">IFERROR(__xludf.DUMMYFUNCTION("GOOGLETRANSLATE(H1338,""th"",""en"")"),"The type of promotion is PREMIUM = promotion, free discount = promotion, discount, coupon = promotion, coupon")</f>
        <v>The type of promotion is PREMIUM = promotion, free discount = promotion, discount, coupon = promotion, coupon</v>
      </c>
    </row>
    <row r="1339" spans="1:11" ht="15.75" hidden="1" customHeight="1">
      <c r="A1339" s="133" t="s">
        <v>7</v>
      </c>
      <c r="B1339" s="133" t="s">
        <v>394</v>
      </c>
      <c r="C1339" s="133" t="s">
        <v>2074</v>
      </c>
      <c r="D1339" s="133" t="s">
        <v>477</v>
      </c>
      <c r="E1339" s="158">
        <v>20</v>
      </c>
      <c r="F1339" s="158">
        <v>0</v>
      </c>
      <c r="G1339" s="158">
        <v>0</v>
      </c>
      <c r="H1339" s="133" t="s">
        <v>479</v>
      </c>
      <c r="I1339" s="133" t="s">
        <v>548</v>
      </c>
      <c r="J1339" s="158">
        <v>0</v>
      </c>
      <c r="K1339" s="159" t="str">
        <f ca="1">IFERROR(__xludf.DUMMYFUNCTION("GOOGLETRANSLATE(H1339,""th"",""en"")"),"Null")</f>
        <v>Null</v>
      </c>
    </row>
    <row r="1340" spans="1:11" ht="15.75" hidden="1" customHeight="1">
      <c r="A1340" s="133" t="s">
        <v>7</v>
      </c>
      <c r="B1340" s="133" t="s">
        <v>394</v>
      </c>
      <c r="C1340" s="133" t="s">
        <v>2075</v>
      </c>
      <c r="D1340" s="133" t="s">
        <v>477</v>
      </c>
      <c r="E1340" s="158">
        <v>20</v>
      </c>
      <c r="F1340" s="158">
        <v>0</v>
      </c>
      <c r="G1340" s="158">
        <v>0</v>
      </c>
      <c r="H1340" s="133" t="s">
        <v>2076</v>
      </c>
      <c r="I1340" s="133" t="s">
        <v>548</v>
      </c>
      <c r="J1340" s="158">
        <v>0</v>
      </c>
      <c r="K1340" s="159" t="str">
        <f ca="1">IFERROR(__xludf.DUMMYFUNCTION("GOOGLETRANSLATE(H1340,""th"",""en"")"),"Premium ',' Discount '")</f>
        <v>Premium ',' Discount '</v>
      </c>
    </row>
    <row r="1341" spans="1:11" ht="15.75" hidden="1" customHeight="1">
      <c r="A1341" s="133" t="s">
        <v>7</v>
      </c>
      <c r="B1341" s="133" t="s">
        <v>394</v>
      </c>
      <c r="C1341" s="133" t="s">
        <v>2077</v>
      </c>
      <c r="D1341" s="133" t="s">
        <v>477</v>
      </c>
      <c r="E1341" s="158">
        <v>100</v>
      </c>
      <c r="F1341" s="158">
        <v>0</v>
      </c>
      <c r="G1341" s="158">
        <v>0</v>
      </c>
      <c r="H1341" s="133" t="s">
        <v>479</v>
      </c>
      <c r="I1341" s="133" t="s">
        <v>548</v>
      </c>
      <c r="J1341" s="158">
        <v>0</v>
      </c>
      <c r="K1341" s="159" t="str">
        <f ca="1">IFERROR(__xludf.DUMMYFUNCTION("GOOGLETRANSLATE(H1341,""th"",""en"")"),"Null")</f>
        <v>Null</v>
      </c>
    </row>
    <row r="1342" spans="1:11" ht="15.75" hidden="1" customHeight="1">
      <c r="A1342" s="133" t="s">
        <v>7</v>
      </c>
      <c r="B1342" s="133" t="s">
        <v>394</v>
      </c>
      <c r="C1342" s="133" t="s">
        <v>2078</v>
      </c>
      <c r="D1342" s="133" t="s">
        <v>477</v>
      </c>
      <c r="E1342" s="158">
        <v>10</v>
      </c>
      <c r="F1342" s="158">
        <v>0</v>
      </c>
      <c r="G1342" s="158">
        <v>0</v>
      </c>
      <c r="H1342" s="133" t="s">
        <v>479</v>
      </c>
      <c r="I1342" s="133" t="s">
        <v>548</v>
      </c>
      <c r="J1342" s="158">
        <v>0</v>
      </c>
      <c r="K1342" s="159" t="str">
        <f ca="1">IFERROR(__xludf.DUMMYFUNCTION("GOOGLETRANSLATE(H1342,""th"",""en"")"),"Null")</f>
        <v>Null</v>
      </c>
    </row>
    <row r="1343" spans="1:11" ht="15.75" hidden="1" customHeight="1">
      <c r="A1343" s="133" t="s">
        <v>7</v>
      </c>
      <c r="B1343" s="133" t="s">
        <v>394</v>
      </c>
      <c r="C1343" s="133" t="s">
        <v>2079</v>
      </c>
      <c r="D1343" s="133" t="s">
        <v>477</v>
      </c>
      <c r="E1343" s="158">
        <v>10</v>
      </c>
      <c r="F1343" s="158">
        <v>0</v>
      </c>
      <c r="G1343" s="158">
        <v>0</v>
      </c>
      <c r="H1343" s="133" t="s">
        <v>479</v>
      </c>
      <c r="I1343" s="133" t="s">
        <v>548</v>
      </c>
      <c r="J1343" s="158">
        <v>0</v>
      </c>
      <c r="K1343" s="159" t="str">
        <f ca="1">IFERROR(__xludf.DUMMYFUNCTION("GOOGLETRANSLATE(H1343,""th"",""en"")"),"Null")</f>
        <v>Null</v>
      </c>
    </row>
    <row r="1344" spans="1:11" ht="15.75" hidden="1" customHeight="1">
      <c r="A1344" s="133" t="s">
        <v>7</v>
      </c>
      <c r="B1344" s="133" t="s">
        <v>394</v>
      </c>
      <c r="C1344" s="133" t="s">
        <v>1851</v>
      </c>
      <c r="D1344" s="133" t="s">
        <v>496</v>
      </c>
      <c r="E1344" s="158">
        <v>4</v>
      </c>
      <c r="F1344" s="158">
        <v>16</v>
      </c>
      <c r="G1344" s="158">
        <v>0</v>
      </c>
      <c r="H1344" s="133" t="s">
        <v>479</v>
      </c>
      <c r="I1344" s="133" t="s">
        <v>548</v>
      </c>
      <c r="J1344" s="158">
        <v>0</v>
      </c>
      <c r="K1344" s="159" t="str">
        <f ca="1">IFERROR(__xludf.DUMMYFUNCTION("GOOGLETRANSLATE(H1344,""th"",""en"")"),"Null")</f>
        <v>Null</v>
      </c>
    </row>
    <row r="1345" spans="1:11" ht="15.75" hidden="1" customHeight="1">
      <c r="A1345" s="133" t="s">
        <v>7</v>
      </c>
      <c r="B1345" s="133" t="s">
        <v>394</v>
      </c>
      <c r="C1345" s="133" t="s">
        <v>1852</v>
      </c>
      <c r="D1345" s="133" t="s">
        <v>496</v>
      </c>
      <c r="E1345" s="158">
        <v>4</v>
      </c>
      <c r="F1345" s="158">
        <v>16</v>
      </c>
      <c r="G1345" s="158">
        <v>0</v>
      </c>
      <c r="H1345" s="133" t="s">
        <v>479</v>
      </c>
      <c r="I1345" s="133" t="s">
        <v>548</v>
      </c>
      <c r="J1345" s="158">
        <v>0</v>
      </c>
      <c r="K1345" s="159" t="str">
        <f ca="1">IFERROR(__xludf.DUMMYFUNCTION("GOOGLETRANSLATE(H1345,""th"",""en"")"),"Null")</f>
        <v>Null</v>
      </c>
    </row>
    <row r="1346" spans="1:11" ht="15.75" hidden="1" customHeight="1">
      <c r="A1346" s="133" t="s">
        <v>7</v>
      </c>
      <c r="B1346" s="133" t="s">
        <v>394</v>
      </c>
      <c r="C1346" s="133" t="s">
        <v>2080</v>
      </c>
      <c r="D1346" s="133" t="s">
        <v>477</v>
      </c>
      <c r="E1346" s="158">
        <v>3</v>
      </c>
      <c r="F1346" s="158">
        <v>0</v>
      </c>
      <c r="G1346" s="158">
        <v>0</v>
      </c>
      <c r="H1346" s="133" t="s">
        <v>479</v>
      </c>
      <c r="I1346" s="133" t="s">
        <v>596</v>
      </c>
      <c r="J1346" s="158">
        <v>0</v>
      </c>
      <c r="K1346" s="159" t="str">
        <f ca="1">IFERROR(__xludf.DUMMYFUNCTION("GOOGLETRANSLATE(H1346,""th"",""en"")"),"Null")</f>
        <v>Null</v>
      </c>
    </row>
    <row r="1347" spans="1:11" ht="15.75" hidden="1" customHeight="1">
      <c r="A1347" s="133" t="s">
        <v>7</v>
      </c>
      <c r="B1347" s="133" t="s">
        <v>394</v>
      </c>
      <c r="C1347" s="133" t="s">
        <v>2081</v>
      </c>
      <c r="D1347" s="133" t="s">
        <v>477</v>
      </c>
      <c r="E1347" s="158">
        <v>3</v>
      </c>
      <c r="F1347" s="158">
        <v>0</v>
      </c>
      <c r="G1347" s="158">
        <v>0</v>
      </c>
      <c r="H1347" s="133" t="s">
        <v>479</v>
      </c>
      <c r="I1347" s="133" t="s">
        <v>596</v>
      </c>
      <c r="J1347" s="158">
        <v>0</v>
      </c>
      <c r="K1347" s="159" t="str">
        <f ca="1">IFERROR(__xludf.DUMMYFUNCTION("GOOGLETRANSLATE(H1347,""th"",""en"")"),"Null")</f>
        <v>Null</v>
      </c>
    </row>
    <row r="1348" spans="1:11" ht="15.75" hidden="1" customHeight="1">
      <c r="A1348" s="133" t="s">
        <v>7</v>
      </c>
      <c r="B1348" s="133" t="s">
        <v>394</v>
      </c>
      <c r="C1348" s="133" t="s">
        <v>2082</v>
      </c>
      <c r="D1348" s="133" t="s">
        <v>477</v>
      </c>
      <c r="E1348" s="158">
        <v>3</v>
      </c>
      <c r="F1348" s="158">
        <v>0</v>
      </c>
      <c r="G1348" s="158">
        <v>0</v>
      </c>
      <c r="H1348" s="133" t="s">
        <v>479</v>
      </c>
      <c r="I1348" s="133" t="s">
        <v>596</v>
      </c>
      <c r="J1348" s="158">
        <v>0</v>
      </c>
      <c r="K1348" s="159" t="str">
        <f ca="1">IFERROR(__xludf.DUMMYFUNCTION("GOOGLETRANSLATE(H1348,""th"",""en"")"),"Null")</f>
        <v>Null</v>
      </c>
    </row>
    <row r="1349" spans="1:11" ht="15.75" hidden="1" customHeight="1">
      <c r="A1349" s="133" t="s">
        <v>7</v>
      </c>
      <c r="B1349" s="133" t="s">
        <v>394</v>
      </c>
      <c r="C1349" s="133" t="s">
        <v>2083</v>
      </c>
      <c r="D1349" s="133" t="s">
        <v>477</v>
      </c>
      <c r="E1349" s="158">
        <v>10</v>
      </c>
      <c r="F1349" s="158">
        <v>0</v>
      </c>
      <c r="G1349" s="158">
        <v>0</v>
      </c>
      <c r="H1349" s="133" t="s">
        <v>479</v>
      </c>
      <c r="I1349" s="133" t="s">
        <v>548</v>
      </c>
      <c r="J1349" s="158">
        <v>0</v>
      </c>
      <c r="K1349" s="159" t="str">
        <f ca="1">IFERROR(__xludf.DUMMYFUNCTION("GOOGLETRANSLATE(H1349,""th"",""en"")"),"Null")</f>
        <v>Null</v>
      </c>
    </row>
    <row r="1350" spans="1:11" ht="15.75" hidden="1" customHeight="1">
      <c r="A1350" s="133" t="s">
        <v>7</v>
      </c>
      <c r="B1350" s="133" t="s">
        <v>394</v>
      </c>
      <c r="C1350" s="133" t="s">
        <v>2084</v>
      </c>
      <c r="D1350" s="133" t="s">
        <v>484</v>
      </c>
      <c r="E1350" s="158">
        <v>4</v>
      </c>
      <c r="F1350" s="158">
        <v>10</v>
      </c>
      <c r="G1350" s="158">
        <v>0</v>
      </c>
      <c r="H1350" s="133" t="s">
        <v>2085</v>
      </c>
      <c r="I1350" s="133" t="s">
        <v>615</v>
      </c>
      <c r="J1350" s="158">
        <v>0</v>
      </c>
      <c r="K1350" s="159" t="str">
        <f ca="1">IFERROR(__xludf.DUMMYFUNCTION("GOOGLETRANSLATE(H1350,""th"",""en"")"),"The maximum number of times, such as only 100 first privileges")</f>
        <v>The maximum number of times, such as only 100 first privileges</v>
      </c>
    </row>
    <row r="1351" spans="1:11" ht="15.75" hidden="1" customHeight="1">
      <c r="A1351" s="133" t="s">
        <v>7</v>
      </c>
      <c r="B1351" s="133" t="s">
        <v>394</v>
      </c>
      <c r="C1351" s="133" t="s">
        <v>2086</v>
      </c>
      <c r="D1351" s="133" t="s">
        <v>484</v>
      </c>
      <c r="E1351" s="158">
        <v>4</v>
      </c>
      <c r="F1351" s="158">
        <v>10</v>
      </c>
      <c r="G1351" s="158">
        <v>0</v>
      </c>
      <c r="H1351" s="133" t="s">
        <v>2087</v>
      </c>
      <c r="I1351" s="133" t="s">
        <v>615</v>
      </c>
      <c r="J1351" s="158">
        <v>0</v>
      </c>
      <c r="K1351" s="159" t="str">
        <f ca="1">IFERROR(__xludf.DUMMYFUNCTION("GOOGLETRANSLATE(H1351,""th"",""en"")"),"Limited to pro Or using coupons per 1 Account, for example, if designated 2: giveaway pro, get the privilege to pro 2 times in the same customer code, if designated 2: Pro Coupon is entitled to Coupon Code 2 times in the same customer code.")</f>
        <v>Limited to pro Or using coupons per 1 Account, for example, if designated 2: giveaway pro, get the privilege to pro 2 times in the same customer code, if designated 2: Pro Coupon is entitled to Coupon Code 2 times in the same customer code.</v>
      </c>
    </row>
    <row r="1352" spans="1:11" ht="15.75" hidden="1" customHeight="1">
      <c r="A1352" s="133" t="s">
        <v>7</v>
      </c>
      <c r="B1352" s="133" t="s">
        <v>394</v>
      </c>
      <c r="C1352" s="133" t="s">
        <v>2088</v>
      </c>
      <c r="D1352" s="133" t="s">
        <v>484</v>
      </c>
      <c r="E1352" s="158">
        <v>4</v>
      </c>
      <c r="F1352" s="158">
        <v>10</v>
      </c>
      <c r="G1352" s="158">
        <v>0</v>
      </c>
      <c r="H1352" s="133" t="s">
        <v>479</v>
      </c>
      <c r="I1352" s="133" t="s">
        <v>615</v>
      </c>
      <c r="J1352" s="158">
        <v>0</v>
      </c>
      <c r="K1352" s="159" t="str">
        <f ca="1">IFERROR(__xludf.DUMMYFUNCTION("GOOGLETRANSLATE(H1352,""th"",""en"")"),"Null")</f>
        <v>Null</v>
      </c>
    </row>
    <row r="1353" spans="1:11" ht="15.75" hidden="1" customHeight="1">
      <c r="A1353" s="133" t="s">
        <v>7</v>
      </c>
      <c r="B1353" s="133" t="s">
        <v>394</v>
      </c>
      <c r="C1353" s="133" t="s">
        <v>2089</v>
      </c>
      <c r="D1353" s="133" t="s">
        <v>484</v>
      </c>
      <c r="E1353" s="158">
        <v>4</v>
      </c>
      <c r="F1353" s="158">
        <v>10</v>
      </c>
      <c r="G1353" s="158">
        <v>0</v>
      </c>
      <c r="H1353" s="133" t="s">
        <v>479</v>
      </c>
      <c r="I1353" s="133" t="s">
        <v>615</v>
      </c>
      <c r="J1353" s="158">
        <v>0</v>
      </c>
      <c r="K1353" s="159" t="str">
        <f ca="1">IFERROR(__xludf.DUMMYFUNCTION("GOOGLETRANSLATE(H1353,""th"",""en"")"),"Null")</f>
        <v>Null</v>
      </c>
    </row>
    <row r="1354" spans="1:11" ht="15.75" hidden="1" customHeight="1">
      <c r="A1354" s="133" t="s">
        <v>7</v>
      </c>
      <c r="B1354" s="133" t="s">
        <v>394</v>
      </c>
      <c r="C1354" s="133" t="s">
        <v>2090</v>
      </c>
      <c r="D1354" s="133" t="s">
        <v>717</v>
      </c>
      <c r="E1354" s="158">
        <v>5</v>
      </c>
      <c r="F1354" s="158">
        <v>9</v>
      </c>
      <c r="G1354" s="158">
        <v>2</v>
      </c>
      <c r="H1354" s="133" t="s">
        <v>479</v>
      </c>
      <c r="I1354" s="133" t="s">
        <v>615</v>
      </c>
      <c r="J1354" s="158">
        <v>0</v>
      </c>
      <c r="K1354" s="159" t="str">
        <f ca="1">IFERROR(__xludf.DUMMYFUNCTION("GOOGLETRANSLATE(H1354,""th"",""en"")"),"Null")</f>
        <v>Null</v>
      </c>
    </row>
    <row r="1355" spans="1:11" ht="15.75" hidden="1" customHeight="1">
      <c r="A1355" s="133" t="s">
        <v>7</v>
      </c>
      <c r="B1355" s="133" t="s">
        <v>394</v>
      </c>
      <c r="C1355" s="133" t="s">
        <v>2091</v>
      </c>
      <c r="D1355" s="133" t="s">
        <v>477</v>
      </c>
      <c r="E1355" s="158">
        <v>3</v>
      </c>
      <c r="F1355" s="158">
        <v>0</v>
      </c>
      <c r="G1355" s="158">
        <v>0</v>
      </c>
      <c r="H1355" s="133" t="s">
        <v>479</v>
      </c>
      <c r="I1355" s="133" t="s">
        <v>596</v>
      </c>
      <c r="J1355" s="158">
        <v>0</v>
      </c>
      <c r="K1355" s="159" t="str">
        <f ca="1">IFERROR(__xludf.DUMMYFUNCTION("GOOGLETRANSLATE(H1355,""th"",""en"")"),"Null")</f>
        <v>Null</v>
      </c>
    </row>
    <row r="1356" spans="1:11" ht="15.75" hidden="1" customHeight="1">
      <c r="A1356" s="133" t="s">
        <v>7</v>
      </c>
      <c r="B1356" s="133" t="s">
        <v>394</v>
      </c>
      <c r="C1356" s="133" t="s">
        <v>2092</v>
      </c>
      <c r="D1356" s="133" t="s">
        <v>477</v>
      </c>
      <c r="E1356" s="158">
        <v>3</v>
      </c>
      <c r="F1356" s="158">
        <v>0</v>
      </c>
      <c r="G1356" s="158">
        <v>0</v>
      </c>
      <c r="H1356" s="133" t="s">
        <v>479</v>
      </c>
      <c r="I1356" s="133" t="s">
        <v>596</v>
      </c>
      <c r="J1356" s="158">
        <v>0</v>
      </c>
      <c r="K1356" s="159" t="str">
        <f ca="1">IFERROR(__xludf.DUMMYFUNCTION("GOOGLETRANSLATE(H1356,""th"",""en"")"),"Null")</f>
        <v>Null</v>
      </c>
    </row>
    <row r="1357" spans="1:11" ht="15.75" hidden="1" customHeight="1">
      <c r="A1357" s="133" t="s">
        <v>7</v>
      </c>
      <c r="B1357" s="133" t="s">
        <v>394</v>
      </c>
      <c r="C1357" s="133" t="s">
        <v>2093</v>
      </c>
      <c r="D1357" s="133" t="s">
        <v>1631</v>
      </c>
      <c r="E1357" s="158">
        <v>8</v>
      </c>
      <c r="F1357" s="158">
        <v>19</v>
      </c>
      <c r="G1357" s="158">
        <v>0</v>
      </c>
      <c r="H1357" s="133" t="s">
        <v>479</v>
      </c>
      <c r="I1357" s="133" t="s">
        <v>615</v>
      </c>
      <c r="J1357" s="158">
        <v>0</v>
      </c>
      <c r="K1357" s="159" t="str">
        <f ca="1">IFERROR(__xludf.DUMMYFUNCTION("GOOGLETRANSLATE(H1357,""th"",""en"")"),"Null")</f>
        <v>Null</v>
      </c>
    </row>
    <row r="1358" spans="1:11" ht="15.75" hidden="1" customHeight="1">
      <c r="A1358" s="133" t="s">
        <v>7</v>
      </c>
      <c r="B1358" s="133" t="s">
        <v>394</v>
      </c>
      <c r="C1358" s="133" t="s">
        <v>2094</v>
      </c>
      <c r="D1358" s="133" t="s">
        <v>477</v>
      </c>
      <c r="E1358" s="158">
        <v>10</v>
      </c>
      <c r="F1358" s="158">
        <v>0</v>
      </c>
      <c r="G1358" s="158">
        <v>0</v>
      </c>
      <c r="H1358" s="133" t="s">
        <v>479</v>
      </c>
      <c r="I1358" s="133" t="s">
        <v>1644</v>
      </c>
      <c r="J1358" s="158">
        <v>0</v>
      </c>
      <c r="K1358" s="159" t="str">
        <f ca="1">IFERROR(__xludf.DUMMYFUNCTION("GOOGLETRANSLATE(H1358,""th"",""en"")"),"Null")</f>
        <v>Null</v>
      </c>
    </row>
    <row r="1359" spans="1:11" ht="15.75" hidden="1" customHeight="1">
      <c r="A1359" s="133" t="s">
        <v>7</v>
      </c>
      <c r="B1359" s="133" t="s">
        <v>394</v>
      </c>
      <c r="C1359" s="133" t="s">
        <v>2095</v>
      </c>
      <c r="D1359" s="133" t="s">
        <v>477</v>
      </c>
      <c r="E1359" s="158">
        <v>10</v>
      </c>
      <c r="F1359" s="158">
        <v>0</v>
      </c>
      <c r="G1359" s="158">
        <v>0</v>
      </c>
      <c r="H1359" s="133" t="s">
        <v>479</v>
      </c>
      <c r="I1359" s="133" t="s">
        <v>1644</v>
      </c>
      <c r="J1359" s="158">
        <v>0</v>
      </c>
      <c r="K1359" s="159" t="str">
        <f ca="1">IFERROR(__xludf.DUMMYFUNCTION("GOOGLETRANSLATE(H1359,""th"",""en"")"),"Null")</f>
        <v>Null</v>
      </c>
    </row>
    <row r="1360" spans="1:11" ht="15.75" hidden="1" customHeight="1">
      <c r="A1360" s="133" t="s">
        <v>7</v>
      </c>
      <c r="B1360" s="133" t="s">
        <v>394</v>
      </c>
      <c r="C1360" s="133" t="s">
        <v>2096</v>
      </c>
      <c r="D1360" s="133" t="s">
        <v>484</v>
      </c>
      <c r="E1360" s="158">
        <v>4</v>
      </c>
      <c r="F1360" s="158">
        <v>10</v>
      </c>
      <c r="G1360" s="158">
        <v>0</v>
      </c>
      <c r="H1360" s="133" t="s">
        <v>479</v>
      </c>
      <c r="I1360" s="133" t="s">
        <v>615</v>
      </c>
      <c r="J1360" s="158">
        <v>0</v>
      </c>
      <c r="K1360" s="159" t="str">
        <f ca="1">IFERROR(__xludf.DUMMYFUNCTION("GOOGLETRANSLATE(H1360,""th"",""en"")"),"Null")</f>
        <v>Null</v>
      </c>
    </row>
    <row r="1361" spans="1:11" ht="15.75" hidden="1" customHeight="1">
      <c r="A1361" s="133" t="s">
        <v>7</v>
      </c>
      <c r="B1361" s="133" t="s">
        <v>394</v>
      </c>
      <c r="C1361" s="133" t="s">
        <v>2097</v>
      </c>
      <c r="D1361" s="133" t="s">
        <v>481</v>
      </c>
      <c r="E1361" s="158">
        <v>5</v>
      </c>
      <c r="F1361" s="158">
        <v>9</v>
      </c>
      <c r="G1361" s="158">
        <v>2</v>
      </c>
      <c r="H1361" s="133" t="s">
        <v>479</v>
      </c>
      <c r="I1361" s="133" t="s">
        <v>615</v>
      </c>
      <c r="J1361" s="158">
        <v>0</v>
      </c>
      <c r="K1361" s="159" t="str">
        <f ca="1">IFERROR(__xludf.DUMMYFUNCTION("GOOGLETRANSLATE(H1361,""th"",""en"")"),"Null")</f>
        <v>Null</v>
      </c>
    </row>
    <row r="1362" spans="1:11" ht="15.75" hidden="1" customHeight="1">
      <c r="A1362" s="133" t="s">
        <v>7</v>
      </c>
      <c r="B1362" s="133" t="s">
        <v>394</v>
      </c>
      <c r="C1362" s="133" t="s">
        <v>2098</v>
      </c>
      <c r="D1362" s="133" t="s">
        <v>484</v>
      </c>
      <c r="E1362" s="158">
        <v>4</v>
      </c>
      <c r="F1362" s="158">
        <v>10</v>
      </c>
      <c r="G1362" s="158">
        <v>0</v>
      </c>
      <c r="H1362" s="133" t="s">
        <v>2099</v>
      </c>
      <c r="I1362" s="133" t="s">
        <v>615</v>
      </c>
      <c r="J1362" s="158">
        <v>0</v>
      </c>
      <c r="K1362" s="159" t="str">
        <f ca="1">IFERROR(__xludf.DUMMYFUNCTION("GOOGLETRANSLATE(H1362,""th"",""en"")"),"The amount giveaway, such as 1,000 Code")</f>
        <v>The amount giveaway, such as 1,000 Code</v>
      </c>
    </row>
    <row r="1363" spans="1:11" ht="15.75" hidden="1" customHeight="1">
      <c r="A1363" s="133" t="s">
        <v>7</v>
      </c>
      <c r="B1363" s="133" t="s">
        <v>394</v>
      </c>
      <c r="C1363" s="133" t="s">
        <v>2100</v>
      </c>
      <c r="D1363" s="133" t="s">
        <v>484</v>
      </c>
      <c r="E1363" s="158">
        <v>4</v>
      </c>
      <c r="F1363" s="158">
        <v>10</v>
      </c>
      <c r="G1363" s="158">
        <v>0</v>
      </c>
      <c r="H1363" s="133" t="s">
        <v>2101</v>
      </c>
      <c r="I1363" s="133" t="s">
        <v>615</v>
      </c>
      <c r="J1363" s="158">
        <v>0</v>
      </c>
      <c r="K1363" s="159" t="str">
        <f ca="1">IFERROR(__xludf.DUMMYFUNCTION("GOOGLETRANSLATE(H1363,""th"",""en"")"),"How many Code is limited to only 100 first privileges?")</f>
        <v>How many Code is limited to only 100 first privileges?</v>
      </c>
    </row>
    <row r="1364" spans="1:11" ht="15.75" hidden="1" customHeight="1">
      <c r="A1364" s="133" t="s">
        <v>7</v>
      </c>
      <c r="B1364" s="133" t="s">
        <v>394</v>
      </c>
      <c r="C1364" s="133" t="s">
        <v>2102</v>
      </c>
      <c r="D1364" s="133" t="s">
        <v>481</v>
      </c>
      <c r="E1364" s="158">
        <v>5</v>
      </c>
      <c r="F1364" s="158">
        <v>9</v>
      </c>
      <c r="G1364" s="158">
        <v>2</v>
      </c>
      <c r="H1364" s="133" t="s">
        <v>2103</v>
      </c>
      <c r="I1364" s="133" t="s">
        <v>615</v>
      </c>
      <c r="J1364" s="158">
        <v>0</v>
      </c>
      <c r="K1364" s="159" t="str">
        <f ca="1">IFERROR(__xludf.DUMMYFUNCTION("GOOGLETRANSLATE(H1364,""th"",""en"")"),"Limit the discount value in the case of reduction in%, such as 10% discount but not more than 1,000 baht")</f>
        <v>Limit the discount value in the case of reduction in%, such as 10% discount but not more than 1,000 baht</v>
      </c>
    </row>
    <row r="1365" spans="1:11" ht="15.75" hidden="1" customHeight="1">
      <c r="A1365" s="133" t="s">
        <v>7</v>
      </c>
      <c r="B1365" s="133" t="s">
        <v>394</v>
      </c>
      <c r="C1365" s="133" t="s">
        <v>2104</v>
      </c>
      <c r="D1365" s="133" t="s">
        <v>477</v>
      </c>
      <c r="E1365" s="158">
        <v>5</v>
      </c>
      <c r="F1365" s="158">
        <v>0</v>
      </c>
      <c r="G1365" s="158">
        <v>0</v>
      </c>
      <c r="H1365" s="133" t="s">
        <v>479</v>
      </c>
      <c r="I1365" s="133" t="s">
        <v>548</v>
      </c>
      <c r="J1365" s="158">
        <v>0</v>
      </c>
      <c r="K1365" s="159" t="str">
        <f ca="1">IFERROR(__xludf.DUMMYFUNCTION("GOOGLETRANSLATE(H1365,""th"",""en"")"),"Null")</f>
        <v>Null</v>
      </c>
    </row>
    <row r="1366" spans="1:11" ht="15.75" hidden="1" customHeight="1">
      <c r="A1366" s="133" t="s">
        <v>7</v>
      </c>
      <c r="B1366" s="133" t="s">
        <v>394</v>
      </c>
      <c r="C1366" s="133" t="s">
        <v>2105</v>
      </c>
      <c r="D1366" s="133" t="s">
        <v>477</v>
      </c>
      <c r="E1366" s="158">
        <v>15</v>
      </c>
      <c r="F1366" s="158">
        <v>0</v>
      </c>
      <c r="G1366" s="158">
        <v>0</v>
      </c>
      <c r="H1366" s="133" t="s">
        <v>2106</v>
      </c>
      <c r="I1366" s="133" t="s">
        <v>1644</v>
      </c>
      <c r="J1366" s="158">
        <v>0</v>
      </c>
      <c r="K1366" s="159" t="str">
        <f ca="1">IFERROR(__xludf.DUMMYFUNCTION("GOOGLETRANSLATE(H1366,""th"",""en"")"),"Coupon code")</f>
        <v>Coupon code</v>
      </c>
    </row>
    <row r="1367" spans="1:11" ht="15.75" hidden="1" customHeight="1">
      <c r="A1367" s="133" t="s">
        <v>7</v>
      </c>
      <c r="B1367" s="133" t="s">
        <v>394</v>
      </c>
      <c r="C1367" s="133" t="s">
        <v>2107</v>
      </c>
      <c r="D1367" s="133" t="s">
        <v>484</v>
      </c>
      <c r="E1367" s="158">
        <v>4</v>
      </c>
      <c r="F1367" s="158">
        <v>10</v>
      </c>
      <c r="G1367" s="158">
        <v>0</v>
      </c>
      <c r="H1367" s="133" t="s">
        <v>2108</v>
      </c>
      <c r="I1367" s="133" t="s">
        <v>615</v>
      </c>
      <c r="J1367" s="158">
        <v>0</v>
      </c>
      <c r="K1367" s="159" t="str">
        <f ca="1">IFERROR(__xludf.DUMMYFUNCTION("GOOGLETRANSLATE(H1367,""th"",""en"")"),"The total permissions of this Campaign")</f>
        <v>The total permissions of this Campaign</v>
      </c>
    </row>
    <row r="1368" spans="1:11" ht="15.75" hidden="1" customHeight="1">
      <c r="A1368" s="133" t="s">
        <v>7</v>
      </c>
      <c r="B1368" s="133" t="s">
        <v>394</v>
      </c>
      <c r="C1368" s="133" t="s">
        <v>1333</v>
      </c>
      <c r="D1368" s="133" t="s">
        <v>477</v>
      </c>
      <c r="E1368" s="158">
        <v>100</v>
      </c>
      <c r="F1368" s="158">
        <v>0</v>
      </c>
      <c r="G1368" s="158">
        <v>0</v>
      </c>
      <c r="H1368" s="133" t="s">
        <v>1648</v>
      </c>
      <c r="I1368" s="133" t="s">
        <v>548</v>
      </c>
      <c r="J1368" s="158">
        <v>0</v>
      </c>
      <c r="K1368" s="159" t="str">
        <f ca="1">IFERROR(__xludf.DUMMYFUNCTION("GOOGLETRANSLATE(H1368,""th"",""en"")"),"Trial")</f>
        <v>Trial</v>
      </c>
    </row>
    <row r="1369" spans="1:11" ht="15.75" hidden="1" customHeight="1">
      <c r="A1369" s="133" t="s">
        <v>7</v>
      </c>
      <c r="B1369" s="133" t="s">
        <v>394</v>
      </c>
      <c r="C1369" s="133" t="s">
        <v>1334</v>
      </c>
      <c r="D1369" s="133" t="s">
        <v>477</v>
      </c>
      <c r="E1369" s="158">
        <v>8</v>
      </c>
      <c r="F1369" s="158">
        <v>0</v>
      </c>
      <c r="G1369" s="158">
        <v>0</v>
      </c>
      <c r="H1369" s="133" t="s">
        <v>1648</v>
      </c>
      <c r="I1369" s="133" t="s">
        <v>548</v>
      </c>
      <c r="J1369" s="158">
        <v>0</v>
      </c>
      <c r="K1369" s="159" t="str">
        <f ca="1">IFERROR(__xludf.DUMMYFUNCTION("GOOGLETRANSLATE(H1369,""th"",""en"")"),"Trial")</f>
        <v>Trial</v>
      </c>
    </row>
    <row r="1370" spans="1:11" ht="15.75" hidden="1" customHeight="1">
      <c r="A1370" s="133" t="s">
        <v>7</v>
      </c>
      <c r="B1370" s="133" t="s">
        <v>394</v>
      </c>
      <c r="C1370" s="133" t="s">
        <v>184</v>
      </c>
      <c r="D1370" s="133" t="s">
        <v>538</v>
      </c>
      <c r="E1370" s="158">
        <v>8</v>
      </c>
      <c r="F1370" s="158">
        <v>23</v>
      </c>
      <c r="G1370" s="158">
        <v>3</v>
      </c>
      <c r="H1370" s="133" t="s">
        <v>1648</v>
      </c>
      <c r="I1370" s="133" t="s">
        <v>1284</v>
      </c>
      <c r="J1370" s="158">
        <v>0</v>
      </c>
      <c r="K1370" s="159" t="str">
        <f ca="1">IFERROR(__xludf.DUMMYFUNCTION("GOOGLETRANSLATE(H1370,""th"",""en"")"),"Trial")</f>
        <v>Trial</v>
      </c>
    </row>
    <row r="1371" spans="1:11" ht="15.75" hidden="1" customHeight="1">
      <c r="A1371" s="133" t="s">
        <v>7</v>
      </c>
      <c r="B1371" s="133" t="s">
        <v>394</v>
      </c>
      <c r="C1371" s="133" t="s">
        <v>1335</v>
      </c>
      <c r="D1371" s="133" t="s">
        <v>477</v>
      </c>
      <c r="E1371" s="158">
        <v>100</v>
      </c>
      <c r="F1371" s="158">
        <v>0</v>
      </c>
      <c r="G1371" s="158">
        <v>0</v>
      </c>
      <c r="H1371" s="133" t="s">
        <v>1648</v>
      </c>
      <c r="I1371" s="133" t="s">
        <v>548</v>
      </c>
      <c r="J1371" s="158">
        <v>0</v>
      </c>
      <c r="K1371" s="159" t="str">
        <f ca="1">IFERROR(__xludf.DUMMYFUNCTION("GOOGLETRANSLATE(H1371,""th"",""en"")"),"Trial")</f>
        <v>Trial</v>
      </c>
    </row>
    <row r="1372" spans="1:11" ht="15.75" hidden="1" customHeight="1">
      <c r="A1372" s="133" t="s">
        <v>7</v>
      </c>
      <c r="B1372" s="133" t="s">
        <v>394</v>
      </c>
      <c r="C1372" s="133" t="s">
        <v>1336</v>
      </c>
      <c r="D1372" s="133" t="s">
        <v>477</v>
      </c>
      <c r="E1372" s="158">
        <v>8</v>
      </c>
      <c r="F1372" s="158">
        <v>0</v>
      </c>
      <c r="G1372" s="158">
        <v>0</v>
      </c>
      <c r="H1372" s="133" t="s">
        <v>1648</v>
      </c>
      <c r="I1372" s="133" t="s">
        <v>548</v>
      </c>
      <c r="J1372" s="158">
        <v>0</v>
      </c>
      <c r="K1372" s="159" t="str">
        <f ca="1">IFERROR(__xludf.DUMMYFUNCTION("GOOGLETRANSLATE(H1372,""th"",""en"")"),"Trial")</f>
        <v>Trial</v>
      </c>
    </row>
    <row r="1373" spans="1:11" ht="15.75" hidden="1" customHeight="1">
      <c r="A1373" s="133" t="s">
        <v>7</v>
      </c>
      <c r="B1373" s="133" t="s">
        <v>394</v>
      </c>
      <c r="C1373" s="133" t="s">
        <v>175</v>
      </c>
      <c r="D1373" s="133" t="s">
        <v>538</v>
      </c>
      <c r="E1373" s="158">
        <v>8</v>
      </c>
      <c r="F1373" s="158">
        <v>23</v>
      </c>
      <c r="G1373" s="158">
        <v>3</v>
      </c>
      <c r="H1373" s="133" t="s">
        <v>1648</v>
      </c>
      <c r="I1373" s="133" t="s">
        <v>548</v>
      </c>
      <c r="J1373" s="158">
        <v>0</v>
      </c>
      <c r="K1373" s="159" t="str">
        <f ca="1">IFERROR(__xludf.DUMMYFUNCTION("GOOGLETRANSLATE(H1373,""th"",""en"")"),"Trial")</f>
        <v>Trial</v>
      </c>
    </row>
    <row r="1374" spans="1:11" ht="15.75" hidden="1" customHeight="1">
      <c r="A1374" s="133" t="s">
        <v>7</v>
      </c>
      <c r="B1374" s="133" t="s">
        <v>394</v>
      </c>
      <c r="C1374" s="133" t="s">
        <v>2109</v>
      </c>
      <c r="D1374" s="133" t="s">
        <v>477</v>
      </c>
      <c r="E1374" s="158">
        <v>3</v>
      </c>
      <c r="F1374" s="158">
        <v>0</v>
      </c>
      <c r="G1374" s="158">
        <v>0</v>
      </c>
      <c r="H1374" s="133" t="s">
        <v>479</v>
      </c>
      <c r="I1374" s="133" t="s">
        <v>596</v>
      </c>
      <c r="J1374" s="277">
        <v>1</v>
      </c>
      <c r="K1374" s="159" t="str">
        <f ca="1">IFERROR(__xludf.DUMMYFUNCTION("GOOGLETRANSLATE(H1374,""th"",""en"")"),"Null")</f>
        <v>Null</v>
      </c>
    </row>
    <row r="1375" spans="1:11" ht="15.75" hidden="1" customHeight="1">
      <c r="A1375" s="133" t="s">
        <v>7</v>
      </c>
      <c r="B1375" s="133" t="s">
        <v>394</v>
      </c>
      <c r="C1375" s="133" t="s">
        <v>2110</v>
      </c>
      <c r="D1375" s="133" t="s">
        <v>477</v>
      </c>
      <c r="E1375" s="158">
        <v>3</v>
      </c>
      <c r="F1375" s="158">
        <v>0</v>
      </c>
      <c r="G1375" s="158">
        <v>0</v>
      </c>
      <c r="H1375" s="133" t="s">
        <v>479</v>
      </c>
      <c r="I1375" s="133" t="s">
        <v>596</v>
      </c>
      <c r="J1375" s="158">
        <v>0</v>
      </c>
      <c r="K1375" s="159" t="str">
        <f ca="1">IFERROR(__xludf.DUMMYFUNCTION("GOOGLETRANSLATE(H1375,""th"",""en"")"),"Null")</f>
        <v>Null</v>
      </c>
    </row>
    <row r="1376" spans="1:11" ht="15.75" hidden="1" customHeight="1">
      <c r="A1376" s="133" t="s">
        <v>7</v>
      </c>
      <c r="B1376" s="133" t="s">
        <v>394</v>
      </c>
      <c r="C1376" s="133" t="s">
        <v>2111</v>
      </c>
      <c r="D1376" s="133" t="s">
        <v>477</v>
      </c>
      <c r="E1376" s="158">
        <v>3</v>
      </c>
      <c r="F1376" s="158">
        <v>0</v>
      </c>
      <c r="G1376" s="158">
        <v>0</v>
      </c>
      <c r="H1376" s="133" t="s">
        <v>479</v>
      </c>
      <c r="I1376" s="133" t="s">
        <v>596</v>
      </c>
      <c r="J1376" s="158">
        <v>0</v>
      </c>
      <c r="K1376" s="159" t="str">
        <f ca="1">IFERROR(__xludf.DUMMYFUNCTION("GOOGLETRANSLATE(H1376,""th"",""en"")"),"Null")</f>
        <v>Null</v>
      </c>
    </row>
    <row r="1377" spans="1:11" ht="15.75" hidden="1" customHeight="1">
      <c r="A1377" s="133" t="s">
        <v>7</v>
      </c>
      <c r="B1377" s="133" t="s">
        <v>394</v>
      </c>
      <c r="C1377" s="133" t="s">
        <v>1844</v>
      </c>
      <c r="D1377" s="133" t="s">
        <v>477</v>
      </c>
      <c r="E1377" s="158">
        <v>20</v>
      </c>
      <c r="F1377" s="158">
        <v>0</v>
      </c>
      <c r="G1377" s="158">
        <v>0</v>
      </c>
      <c r="H1377" s="133" t="s">
        <v>479</v>
      </c>
      <c r="I1377" s="133" t="s">
        <v>548</v>
      </c>
      <c r="J1377" s="158">
        <v>0</v>
      </c>
      <c r="K1377" s="159" t="str">
        <f ca="1">IFERROR(__xludf.DUMMYFUNCTION("GOOGLETRANSLATE(H1377,""th"",""en"")"),"Null")</f>
        <v>Null</v>
      </c>
    </row>
    <row r="1378" spans="1:11" ht="15.75" hidden="1" customHeight="1">
      <c r="A1378" s="133" t="s">
        <v>7</v>
      </c>
      <c r="B1378" s="133" t="s">
        <v>394</v>
      </c>
      <c r="C1378" s="133" t="s">
        <v>2112</v>
      </c>
      <c r="D1378" s="133" t="s">
        <v>484</v>
      </c>
      <c r="E1378" s="158">
        <v>4</v>
      </c>
      <c r="F1378" s="158">
        <v>10</v>
      </c>
      <c r="G1378" s="158">
        <v>0</v>
      </c>
      <c r="H1378" s="133" t="s">
        <v>2113</v>
      </c>
      <c r="I1378" s="133" t="s">
        <v>615</v>
      </c>
      <c r="J1378" s="158">
        <v>0</v>
      </c>
      <c r="K1378" s="159" t="str">
        <f ca="1">IFERROR(__xludf.DUMMYFUNCTION("GOOGLETRANSLATE(H1378,""th"",""en"")"),"priority of Promotion")</f>
        <v>priority of Promotion</v>
      </c>
    </row>
    <row r="1379" spans="1:11" ht="15.75" hidden="1" customHeight="1">
      <c r="A1379" s="133" t="s">
        <v>7</v>
      </c>
      <c r="B1379" s="133" t="s">
        <v>397</v>
      </c>
      <c r="C1379" s="133" t="s">
        <v>396</v>
      </c>
      <c r="D1379" s="133" t="s">
        <v>477</v>
      </c>
      <c r="E1379" s="158">
        <v>20</v>
      </c>
      <c r="F1379" s="158">
        <v>0</v>
      </c>
      <c r="G1379" s="158">
        <v>0</v>
      </c>
      <c r="H1379" s="133" t="s">
        <v>479</v>
      </c>
      <c r="I1379" s="133" t="s">
        <v>548</v>
      </c>
      <c r="J1379" s="158">
        <v>0</v>
      </c>
      <c r="K1379" s="159" t="str">
        <f ca="1">IFERROR(__xludf.DUMMYFUNCTION("GOOGLETRANSLATE(H1379,""th"",""en"")"),"Null")</f>
        <v>Null</v>
      </c>
    </row>
    <row r="1380" spans="1:11" ht="15.75" hidden="1" customHeight="1">
      <c r="A1380" s="133" t="s">
        <v>7</v>
      </c>
      <c r="B1380" s="133" t="s">
        <v>397</v>
      </c>
      <c r="C1380" s="133" t="s">
        <v>344</v>
      </c>
      <c r="D1380" s="133" t="s">
        <v>484</v>
      </c>
      <c r="E1380" s="158">
        <v>4</v>
      </c>
      <c r="F1380" s="158">
        <v>10</v>
      </c>
      <c r="G1380" s="158">
        <v>0</v>
      </c>
      <c r="H1380" s="133" t="s">
        <v>479</v>
      </c>
      <c r="I1380" s="133" t="s">
        <v>615</v>
      </c>
      <c r="J1380" s="158">
        <v>0</v>
      </c>
      <c r="K1380" s="159" t="str">
        <f ca="1">IFERROR(__xludf.DUMMYFUNCTION("GOOGLETRANSLATE(H1380,""th"",""en"")"),"Null")</f>
        <v>Null</v>
      </c>
    </row>
    <row r="1381" spans="1:11" ht="15.75" hidden="1" customHeight="1">
      <c r="A1381" s="133" t="s">
        <v>7</v>
      </c>
      <c r="B1381" s="133" t="s">
        <v>397</v>
      </c>
      <c r="C1381" s="133" t="s">
        <v>2114</v>
      </c>
      <c r="D1381" s="133" t="s">
        <v>477</v>
      </c>
      <c r="E1381" s="158">
        <v>100</v>
      </c>
      <c r="F1381" s="158">
        <v>0</v>
      </c>
      <c r="G1381" s="158">
        <v>0</v>
      </c>
      <c r="H1381" s="133" t="s">
        <v>479</v>
      </c>
      <c r="I1381" s="133" t="s">
        <v>548</v>
      </c>
      <c r="J1381" s="158">
        <v>0</v>
      </c>
      <c r="K1381" s="159" t="str">
        <f ca="1">IFERROR(__xludf.DUMMYFUNCTION("GOOGLETRANSLATE(H1381,""th"",""en"")"),"Null")</f>
        <v>Null</v>
      </c>
    </row>
    <row r="1382" spans="1:11" ht="15.75" hidden="1" customHeight="1">
      <c r="A1382" s="133" t="s">
        <v>7</v>
      </c>
      <c r="B1382" s="133" t="s">
        <v>399</v>
      </c>
      <c r="C1382" s="133" t="s">
        <v>396</v>
      </c>
      <c r="D1382" s="133" t="s">
        <v>477</v>
      </c>
      <c r="E1382" s="158">
        <v>20</v>
      </c>
      <c r="F1382" s="158">
        <v>0</v>
      </c>
      <c r="G1382" s="158">
        <v>0</v>
      </c>
      <c r="H1382" s="133" t="s">
        <v>479</v>
      </c>
      <c r="I1382" s="133" t="s">
        <v>548</v>
      </c>
      <c r="J1382" s="158">
        <v>0</v>
      </c>
      <c r="K1382" s="159" t="str">
        <f ca="1">IFERROR(__xludf.DUMMYFUNCTION("GOOGLETRANSLATE(H1382,""th"",""en"")"),"Null")</f>
        <v>Null</v>
      </c>
    </row>
    <row r="1383" spans="1:11" ht="15.75" hidden="1" customHeight="1">
      <c r="A1383" s="133" t="s">
        <v>7</v>
      </c>
      <c r="B1383" s="133" t="s">
        <v>399</v>
      </c>
      <c r="C1383" s="133" t="s">
        <v>2115</v>
      </c>
      <c r="D1383" s="133" t="s">
        <v>484</v>
      </c>
      <c r="E1383" s="158">
        <v>4</v>
      </c>
      <c r="F1383" s="158">
        <v>10</v>
      </c>
      <c r="G1383" s="158">
        <v>0</v>
      </c>
      <c r="H1383" s="133" t="s">
        <v>479</v>
      </c>
      <c r="I1383" s="133" t="s">
        <v>479</v>
      </c>
      <c r="J1383" s="158">
        <v>0</v>
      </c>
      <c r="K1383" s="159" t="str">
        <f ca="1">IFERROR(__xludf.DUMMYFUNCTION("GOOGLETRANSLATE(H1383,""th"",""en"")"),"Null")</f>
        <v>Null</v>
      </c>
    </row>
    <row r="1384" spans="1:11" ht="15.75" hidden="1" customHeight="1">
      <c r="A1384" s="133" t="s">
        <v>7</v>
      </c>
      <c r="B1384" s="133" t="s">
        <v>399</v>
      </c>
      <c r="C1384" s="133" t="s">
        <v>2116</v>
      </c>
      <c r="D1384" s="133" t="s">
        <v>477</v>
      </c>
      <c r="E1384" s="158">
        <v>100</v>
      </c>
      <c r="F1384" s="158">
        <v>0</v>
      </c>
      <c r="G1384" s="158">
        <v>0</v>
      </c>
      <c r="H1384" s="133" t="s">
        <v>479</v>
      </c>
      <c r="I1384" s="133" t="s">
        <v>548</v>
      </c>
      <c r="J1384" s="158">
        <v>0</v>
      </c>
      <c r="K1384" s="159" t="str">
        <f ca="1">IFERROR(__xludf.DUMMYFUNCTION("GOOGLETRANSLATE(H1384,""th"",""en"")"),"Null")</f>
        <v>Null</v>
      </c>
    </row>
    <row r="1385" spans="1:11" ht="15.75" hidden="1" customHeight="1">
      <c r="A1385" s="133" t="s">
        <v>7</v>
      </c>
      <c r="B1385" s="133" t="s">
        <v>399</v>
      </c>
      <c r="C1385" s="133" t="s">
        <v>2093</v>
      </c>
      <c r="D1385" s="133" t="s">
        <v>1631</v>
      </c>
      <c r="E1385" s="158">
        <v>8</v>
      </c>
      <c r="F1385" s="158">
        <v>19</v>
      </c>
      <c r="G1385" s="158">
        <v>0</v>
      </c>
      <c r="H1385" s="133" t="s">
        <v>479</v>
      </c>
      <c r="I1385" s="133" t="s">
        <v>615</v>
      </c>
      <c r="J1385" s="158">
        <v>0</v>
      </c>
      <c r="K1385" s="159" t="str">
        <f ca="1">IFERROR(__xludf.DUMMYFUNCTION("GOOGLETRANSLATE(H1385,""th"",""en"")"),"Null")</f>
        <v>Null</v>
      </c>
    </row>
    <row r="1386" spans="1:11" ht="15.75" hidden="1" customHeight="1">
      <c r="A1386" s="133" t="s">
        <v>7</v>
      </c>
      <c r="B1386" s="133" t="s">
        <v>399</v>
      </c>
      <c r="C1386" s="133" t="s">
        <v>2089</v>
      </c>
      <c r="D1386" s="133" t="s">
        <v>484</v>
      </c>
      <c r="E1386" s="158">
        <v>4</v>
      </c>
      <c r="F1386" s="158">
        <v>10</v>
      </c>
      <c r="G1386" s="158">
        <v>0</v>
      </c>
      <c r="H1386" s="133" t="s">
        <v>479</v>
      </c>
      <c r="I1386" s="133" t="s">
        <v>615</v>
      </c>
      <c r="J1386" s="158">
        <v>0</v>
      </c>
      <c r="K1386" s="159" t="str">
        <f ca="1">IFERROR(__xludf.DUMMYFUNCTION("GOOGLETRANSLATE(H1386,""th"",""en"")"),"Null")</f>
        <v>Null</v>
      </c>
    </row>
    <row r="1387" spans="1:11" ht="15.75" hidden="1" customHeight="1">
      <c r="A1387" s="133" t="s">
        <v>7</v>
      </c>
      <c r="B1387" s="133" t="s">
        <v>399</v>
      </c>
      <c r="C1387" s="133" t="s">
        <v>2117</v>
      </c>
      <c r="D1387" s="133" t="s">
        <v>484</v>
      </c>
      <c r="E1387" s="158">
        <v>4</v>
      </c>
      <c r="F1387" s="158">
        <v>10</v>
      </c>
      <c r="G1387" s="158">
        <v>0</v>
      </c>
      <c r="H1387" s="133" t="s">
        <v>479</v>
      </c>
      <c r="I1387" s="133" t="s">
        <v>615</v>
      </c>
      <c r="J1387" s="158">
        <v>0</v>
      </c>
      <c r="K1387" s="159" t="str">
        <f ca="1">IFERROR(__xludf.DUMMYFUNCTION("GOOGLETRANSLATE(H1387,""th"",""en"")"),"Null")</f>
        <v>Null</v>
      </c>
    </row>
    <row r="1388" spans="1:11" ht="15.75" hidden="1" customHeight="1">
      <c r="A1388" s="133" t="s">
        <v>7</v>
      </c>
      <c r="B1388" s="133" t="s">
        <v>399</v>
      </c>
      <c r="C1388" s="133" t="s">
        <v>2090</v>
      </c>
      <c r="D1388" s="133" t="s">
        <v>717</v>
      </c>
      <c r="E1388" s="158">
        <v>5</v>
      </c>
      <c r="F1388" s="158">
        <v>9</v>
      </c>
      <c r="G1388" s="158">
        <v>2</v>
      </c>
      <c r="H1388" s="133" t="s">
        <v>479</v>
      </c>
      <c r="I1388" s="133" t="s">
        <v>1223</v>
      </c>
      <c r="J1388" s="158">
        <v>0</v>
      </c>
      <c r="K1388" s="159" t="str">
        <f ca="1">IFERROR(__xludf.DUMMYFUNCTION("GOOGLETRANSLATE(H1388,""th"",""en"")"),"Null")</f>
        <v>Null</v>
      </c>
    </row>
    <row r="1389" spans="1:11" ht="15.75" hidden="1" customHeight="1">
      <c r="A1389" s="133" t="s">
        <v>7</v>
      </c>
      <c r="B1389" s="133" t="s">
        <v>399</v>
      </c>
      <c r="C1389" s="133" t="s">
        <v>2118</v>
      </c>
      <c r="D1389" s="133" t="s">
        <v>717</v>
      </c>
      <c r="E1389" s="158">
        <v>5</v>
      </c>
      <c r="F1389" s="158">
        <v>9</v>
      </c>
      <c r="G1389" s="158">
        <v>2</v>
      </c>
      <c r="H1389" s="133" t="s">
        <v>479</v>
      </c>
      <c r="I1389" s="133" t="s">
        <v>1223</v>
      </c>
      <c r="J1389" s="158">
        <v>0</v>
      </c>
      <c r="K1389" s="159" t="str">
        <f ca="1">IFERROR(__xludf.DUMMYFUNCTION("GOOGLETRANSLATE(H1389,""th"",""en"")"),"Null")</f>
        <v>Null</v>
      </c>
    </row>
    <row r="1390" spans="1:11" ht="15.75" hidden="1" customHeight="1">
      <c r="A1390" s="133" t="s">
        <v>7</v>
      </c>
      <c r="B1390" s="133" t="s">
        <v>399</v>
      </c>
      <c r="C1390" s="133" t="s">
        <v>1333</v>
      </c>
      <c r="D1390" s="133" t="s">
        <v>477</v>
      </c>
      <c r="E1390" s="158">
        <v>100</v>
      </c>
      <c r="F1390" s="158">
        <v>0</v>
      </c>
      <c r="G1390" s="158">
        <v>0</v>
      </c>
      <c r="H1390" s="133" t="s">
        <v>479</v>
      </c>
      <c r="I1390" s="133" t="s">
        <v>548</v>
      </c>
      <c r="J1390" s="158">
        <v>0</v>
      </c>
      <c r="K1390" s="159" t="str">
        <f ca="1">IFERROR(__xludf.DUMMYFUNCTION("GOOGLETRANSLATE(H1390,""th"",""en"")"),"Null")</f>
        <v>Null</v>
      </c>
    </row>
    <row r="1391" spans="1:11" ht="15.75" hidden="1" customHeight="1">
      <c r="A1391" s="133" t="s">
        <v>7</v>
      </c>
      <c r="B1391" s="133" t="s">
        <v>399</v>
      </c>
      <c r="C1391" s="133" t="s">
        <v>1334</v>
      </c>
      <c r="D1391" s="133" t="s">
        <v>477</v>
      </c>
      <c r="E1391" s="158">
        <v>8</v>
      </c>
      <c r="F1391" s="158">
        <v>0</v>
      </c>
      <c r="G1391" s="158">
        <v>0</v>
      </c>
      <c r="H1391" s="133" t="s">
        <v>479</v>
      </c>
      <c r="I1391" s="133" t="s">
        <v>548</v>
      </c>
      <c r="J1391" s="158">
        <v>0</v>
      </c>
      <c r="K1391" s="159" t="str">
        <f ca="1">IFERROR(__xludf.DUMMYFUNCTION("GOOGLETRANSLATE(H1391,""th"",""en"")"),"Null")</f>
        <v>Null</v>
      </c>
    </row>
    <row r="1392" spans="1:11" ht="15.75" hidden="1" customHeight="1">
      <c r="A1392" s="133" t="s">
        <v>7</v>
      </c>
      <c r="B1392" s="133" t="s">
        <v>399</v>
      </c>
      <c r="C1392" s="133" t="s">
        <v>184</v>
      </c>
      <c r="D1392" s="133" t="s">
        <v>538</v>
      </c>
      <c r="E1392" s="158">
        <v>8</v>
      </c>
      <c r="F1392" s="158">
        <v>23</v>
      </c>
      <c r="G1392" s="158">
        <v>3</v>
      </c>
      <c r="H1392" s="133" t="s">
        <v>479</v>
      </c>
      <c r="I1392" s="133" t="s">
        <v>1284</v>
      </c>
      <c r="J1392" s="158">
        <v>0</v>
      </c>
      <c r="K1392" s="159" t="str">
        <f ca="1">IFERROR(__xludf.DUMMYFUNCTION("GOOGLETRANSLATE(H1392,""th"",""en"")"),"Null")</f>
        <v>Null</v>
      </c>
    </row>
    <row r="1393" spans="1:11" ht="15.75" hidden="1" customHeight="1">
      <c r="A1393" s="133" t="s">
        <v>7</v>
      </c>
      <c r="B1393" s="133" t="s">
        <v>399</v>
      </c>
      <c r="C1393" s="133" t="s">
        <v>1335</v>
      </c>
      <c r="D1393" s="133" t="s">
        <v>477</v>
      </c>
      <c r="E1393" s="158">
        <v>100</v>
      </c>
      <c r="F1393" s="158">
        <v>0</v>
      </c>
      <c r="G1393" s="158">
        <v>0</v>
      </c>
      <c r="H1393" s="133" t="s">
        <v>479</v>
      </c>
      <c r="I1393" s="133" t="s">
        <v>548</v>
      </c>
      <c r="J1393" s="158">
        <v>0</v>
      </c>
      <c r="K1393" s="159" t="str">
        <f ca="1">IFERROR(__xludf.DUMMYFUNCTION("GOOGLETRANSLATE(H1393,""th"",""en"")"),"Null")</f>
        <v>Null</v>
      </c>
    </row>
    <row r="1394" spans="1:11" ht="15.75" hidden="1" customHeight="1">
      <c r="A1394" s="133" t="s">
        <v>7</v>
      </c>
      <c r="B1394" s="133" t="s">
        <v>399</v>
      </c>
      <c r="C1394" s="133" t="s">
        <v>1336</v>
      </c>
      <c r="D1394" s="133" t="s">
        <v>477</v>
      </c>
      <c r="E1394" s="158">
        <v>8</v>
      </c>
      <c r="F1394" s="158">
        <v>0</v>
      </c>
      <c r="G1394" s="158">
        <v>0</v>
      </c>
      <c r="H1394" s="133" t="s">
        <v>479</v>
      </c>
      <c r="I1394" s="133" t="s">
        <v>548</v>
      </c>
      <c r="J1394" s="158">
        <v>0</v>
      </c>
      <c r="K1394" s="159" t="str">
        <f ca="1">IFERROR(__xludf.DUMMYFUNCTION("GOOGLETRANSLATE(H1394,""th"",""en"")"),"Null")</f>
        <v>Null</v>
      </c>
    </row>
    <row r="1395" spans="1:11" ht="15.75" hidden="1" customHeight="1">
      <c r="A1395" s="133" t="s">
        <v>7</v>
      </c>
      <c r="B1395" s="133" t="s">
        <v>399</v>
      </c>
      <c r="C1395" s="133" t="s">
        <v>175</v>
      </c>
      <c r="D1395" s="133" t="s">
        <v>538</v>
      </c>
      <c r="E1395" s="158">
        <v>8</v>
      </c>
      <c r="F1395" s="158">
        <v>23</v>
      </c>
      <c r="G1395" s="158">
        <v>3</v>
      </c>
      <c r="H1395" s="133" t="s">
        <v>479</v>
      </c>
      <c r="I1395" s="133" t="s">
        <v>1284</v>
      </c>
      <c r="J1395" s="158">
        <v>0</v>
      </c>
      <c r="K1395" s="159" t="str">
        <f ca="1">IFERROR(__xludf.DUMMYFUNCTION("GOOGLETRANSLATE(H1395,""th"",""en"")"),"Null")</f>
        <v>Null</v>
      </c>
    </row>
    <row r="1396" spans="1:11" ht="15.75" hidden="1" customHeight="1">
      <c r="A1396" s="133" t="s">
        <v>7</v>
      </c>
      <c r="B1396" s="133" t="s">
        <v>399</v>
      </c>
      <c r="C1396" s="133" t="s">
        <v>2119</v>
      </c>
      <c r="D1396" s="133" t="s">
        <v>481</v>
      </c>
      <c r="E1396" s="158">
        <v>5</v>
      </c>
      <c r="F1396" s="158">
        <v>9</v>
      </c>
      <c r="G1396" s="158">
        <v>2</v>
      </c>
      <c r="H1396" s="133" t="s">
        <v>2120</v>
      </c>
      <c r="I1396" s="133" t="s">
        <v>615</v>
      </c>
      <c r="J1396" s="158">
        <v>0</v>
      </c>
      <c r="K1396" s="159" t="str">
        <f ca="1">IFERROR(__xludf.DUMMYFUNCTION("GOOGLETRANSLATE(H1396,""th"",""en"")"),"discount")</f>
        <v>discount</v>
      </c>
    </row>
    <row r="1397" spans="1:11" ht="15.75" hidden="1" customHeight="1">
      <c r="A1397" s="133" t="s">
        <v>7</v>
      </c>
      <c r="B1397" s="133" t="s">
        <v>401</v>
      </c>
      <c r="C1397" s="133" t="s">
        <v>396</v>
      </c>
      <c r="D1397" s="133" t="s">
        <v>477</v>
      </c>
      <c r="E1397" s="158">
        <v>20</v>
      </c>
      <c r="F1397" s="158">
        <v>0</v>
      </c>
      <c r="G1397" s="158">
        <v>0</v>
      </c>
      <c r="H1397" s="133" t="s">
        <v>479</v>
      </c>
      <c r="I1397" s="133" t="s">
        <v>548</v>
      </c>
      <c r="J1397" s="158">
        <v>0</v>
      </c>
      <c r="K1397" s="159" t="str">
        <f ca="1">IFERROR(__xludf.DUMMYFUNCTION("GOOGLETRANSLATE(H1397,""th"",""en"")"),"Null")</f>
        <v>Null</v>
      </c>
    </row>
    <row r="1398" spans="1:11" ht="15.75" hidden="1" customHeight="1">
      <c r="A1398" s="133" t="s">
        <v>7</v>
      </c>
      <c r="B1398" s="133" t="s">
        <v>401</v>
      </c>
      <c r="C1398" s="133" t="s">
        <v>1421</v>
      </c>
      <c r="D1398" s="133" t="s">
        <v>1631</v>
      </c>
      <c r="E1398" s="158">
        <v>8</v>
      </c>
      <c r="F1398" s="158">
        <v>19</v>
      </c>
      <c r="G1398" s="158">
        <v>0</v>
      </c>
      <c r="H1398" s="133" t="s">
        <v>479</v>
      </c>
      <c r="I1398" s="133" t="s">
        <v>479</v>
      </c>
      <c r="J1398" s="158">
        <v>0</v>
      </c>
      <c r="K1398" s="159" t="str">
        <f ca="1">IFERROR(__xludf.DUMMYFUNCTION("GOOGLETRANSLATE(H1398,""th"",""en"")"),"Null")</f>
        <v>Null</v>
      </c>
    </row>
    <row r="1399" spans="1:11" ht="15.75" hidden="1" customHeight="1">
      <c r="A1399" s="133" t="s">
        <v>7</v>
      </c>
      <c r="B1399" s="133" t="s">
        <v>401</v>
      </c>
      <c r="C1399" s="133" t="s">
        <v>2105</v>
      </c>
      <c r="D1399" s="133" t="s">
        <v>477</v>
      </c>
      <c r="E1399" s="158">
        <v>15</v>
      </c>
      <c r="F1399" s="158">
        <v>0</v>
      </c>
      <c r="G1399" s="158">
        <v>0</v>
      </c>
      <c r="H1399" s="133" t="s">
        <v>479</v>
      </c>
      <c r="I1399" s="133" t="s">
        <v>548</v>
      </c>
      <c r="J1399" s="158">
        <v>0</v>
      </c>
      <c r="K1399" s="159" t="str">
        <f ca="1">IFERROR(__xludf.DUMMYFUNCTION("GOOGLETRANSLATE(H1399,""th"",""en"")"),"Null")</f>
        <v>Null</v>
      </c>
    </row>
    <row r="1400" spans="1:11" ht="15.75" hidden="1" customHeight="1">
      <c r="A1400" s="133" t="s">
        <v>7</v>
      </c>
      <c r="B1400" s="133" t="s">
        <v>401</v>
      </c>
      <c r="C1400" s="133" t="s">
        <v>2096</v>
      </c>
      <c r="D1400" s="133" t="s">
        <v>484</v>
      </c>
      <c r="E1400" s="158">
        <v>4</v>
      </c>
      <c r="F1400" s="158">
        <v>10</v>
      </c>
      <c r="G1400" s="158">
        <v>0</v>
      </c>
      <c r="H1400" s="133" t="s">
        <v>479</v>
      </c>
      <c r="I1400" s="133" t="s">
        <v>615</v>
      </c>
      <c r="J1400" s="158">
        <v>0</v>
      </c>
      <c r="K1400" s="159" t="str">
        <f ca="1">IFERROR(__xludf.DUMMYFUNCTION("GOOGLETRANSLATE(H1400,""th"",""en"")"),"Null")</f>
        <v>Null</v>
      </c>
    </row>
    <row r="1401" spans="1:11" ht="15.75" hidden="1" customHeight="1">
      <c r="A1401" s="133" t="s">
        <v>7</v>
      </c>
      <c r="B1401" s="133" t="s">
        <v>401</v>
      </c>
      <c r="C1401" s="133" t="s">
        <v>2097</v>
      </c>
      <c r="D1401" s="133" t="s">
        <v>481</v>
      </c>
      <c r="E1401" s="158">
        <v>5</v>
      </c>
      <c r="F1401" s="158">
        <v>9</v>
      </c>
      <c r="G1401" s="158">
        <v>2</v>
      </c>
      <c r="H1401" s="133" t="s">
        <v>479</v>
      </c>
      <c r="I1401" s="133" t="s">
        <v>615</v>
      </c>
      <c r="J1401" s="158">
        <v>0</v>
      </c>
      <c r="K1401" s="159" t="str">
        <f ca="1">IFERROR(__xludf.DUMMYFUNCTION("GOOGLETRANSLATE(H1401,""th"",""en"")"),"Null")</f>
        <v>Null</v>
      </c>
    </row>
    <row r="1402" spans="1:11" ht="15.75" hidden="1" customHeight="1">
      <c r="A1402" s="133" t="s">
        <v>7</v>
      </c>
      <c r="B1402" s="133" t="s">
        <v>401</v>
      </c>
      <c r="C1402" s="133" t="s">
        <v>2121</v>
      </c>
      <c r="D1402" s="133" t="s">
        <v>477</v>
      </c>
      <c r="E1402" s="158">
        <v>10</v>
      </c>
      <c r="F1402" s="158">
        <v>0</v>
      </c>
      <c r="G1402" s="158">
        <v>0</v>
      </c>
      <c r="H1402" s="133" t="s">
        <v>479</v>
      </c>
      <c r="I1402" s="133" t="s">
        <v>548</v>
      </c>
      <c r="J1402" s="158">
        <v>0</v>
      </c>
      <c r="K1402" s="159" t="str">
        <f ca="1">IFERROR(__xludf.DUMMYFUNCTION("GOOGLETRANSLATE(H1402,""th"",""en"")"),"Null")</f>
        <v>Null</v>
      </c>
    </row>
    <row r="1403" spans="1:11" ht="15.75" hidden="1" customHeight="1">
      <c r="A1403" s="133" t="s">
        <v>7</v>
      </c>
      <c r="B1403" s="133" t="s">
        <v>401</v>
      </c>
      <c r="C1403" s="133" t="s">
        <v>2122</v>
      </c>
      <c r="D1403" s="133" t="s">
        <v>477</v>
      </c>
      <c r="E1403" s="158">
        <v>20</v>
      </c>
      <c r="F1403" s="158">
        <v>0</v>
      </c>
      <c r="G1403" s="158">
        <v>0</v>
      </c>
      <c r="H1403" s="133" t="s">
        <v>479</v>
      </c>
      <c r="I1403" s="133" t="s">
        <v>1644</v>
      </c>
      <c r="J1403" s="158">
        <v>0</v>
      </c>
      <c r="K1403" s="159" t="str">
        <f ca="1">IFERROR(__xludf.DUMMYFUNCTION("GOOGLETRANSLATE(H1403,""th"",""en"")"),"Null")</f>
        <v>Null</v>
      </c>
    </row>
    <row r="1404" spans="1:11" ht="15.75" hidden="1" customHeight="1">
      <c r="A1404" s="133" t="s">
        <v>7</v>
      </c>
      <c r="B1404" s="133" t="s">
        <v>401</v>
      </c>
      <c r="C1404" s="133" t="s">
        <v>2123</v>
      </c>
      <c r="D1404" s="133" t="s">
        <v>477</v>
      </c>
      <c r="E1404" s="158">
        <v>15</v>
      </c>
      <c r="F1404" s="158">
        <v>0</v>
      </c>
      <c r="G1404" s="158">
        <v>0</v>
      </c>
      <c r="H1404" s="133" t="s">
        <v>479</v>
      </c>
      <c r="I1404" s="133" t="s">
        <v>548</v>
      </c>
      <c r="J1404" s="158">
        <v>0</v>
      </c>
      <c r="K1404" s="159" t="str">
        <f ca="1">IFERROR(__xludf.DUMMYFUNCTION("GOOGLETRANSLATE(H1404,""th"",""en"")"),"Null")</f>
        <v>Null</v>
      </c>
    </row>
    <row r="1405" spans="1:11" ht="15.75" hidden="1" customHeight="1">
      <c r="A1405" s="133" t="s">
        <v>7</v>
      </c>
      <c r="B1405" s="133" t="s">
        <v>401</v>
      </c>
      <c r="C1405" s="133" t="s">
        <v>1333</v>
      </c>
      <c r="D1405" s="133" t="s">
        <v>477</v>
      </c>
      <c r="E1405" s="158">
        <v>100</v>
      </c>
      <c r="F1405" s="158">
        <v>0</v>
      </c>
      <c r="G1405" s="158">
        <v>0</v>
      </c>
      <c r="H1405" s="133" t="s">
        <v>479</v>
      </c>
      <c r="I1405" s="133" t="s">
        <v>548</v>
      </c>
      <c r="J1405" s="158">
        <v>0</v>
      </c>
      <c r="K1405" s="159" t="str">
        <f ca="1">IFERROR(__xludf.DUMMYFUNCTION("GOOGLETRANSLATE(H1405,""th"",""en"")"),"Null")</f>
        <v>Null</v>
      </c>
    </row>
    <row r="1406" spans="1:11" ht="15.75" hidden="1" customHeight="1">
      <c r="A1406" s="133" t="s">
        <v>7</v>
      </c>
      <c r="B1406" s="133" t="s">
        <v>401</v>
      </c>
      <c r="C1406" s="133" t="s">
        <v>1334</v>
      </c>
      <c r="D1406" s="133" t="s">
        <v>477</v>
      </c>
      <c r="E1406" s="158">
        <v>8</v>
      </c>
      <c r="F1406" s="158">
        <v>0</v>
      </c>
      <c r="G1406" s="158">
        <v>0</v>
      </c>
      <c r="H1406" s="133" t="s">
        <v>479</v>
      </c>
      <c r="I1406" s="133" t="s">
        <v>548</v>
      </c>
      <c r="J1406" s="158">
        <v>0</v>
      </c>
      <c r="K1406" s="159" t="str">
        <f ca="1">IFERROR(__xludf.DUMMYFUNCTION("GOOGLETRANSLATE(H1406,""th"",""en"")"),"Null")</f>
        <v>Null</v>
      </c>
    </row>
    <row r="1407" spans="1:11" ht="15.75" hidden="1" customHeight="1">
      <c r="A1407" s="133" t="s">
        <v>7</v>
      </c>
      <c r="B1407" s="133" t="s">
        <v>401</v>
      </c>
      <c r="C1407" s="133" t="s">
        <v>184</v>
      </c>
      <c r="D1407" s="133" t="s">
        <v>496</v>
      </c>
      <c r="E1407" s="158">
        <v>4</v>
      </c>
      <c r="F1407" s="158">
        <v>16</v>
      </c>
      <c r="G1407" s="158">
        <v>0</v>
      </c>
      <c r="H1407" s="133" t="s">
        <v>479</v>
      </c>
      <c r="I1407" s="133" t="s">
        <v>1284</v>
      </c>
      <c r="J1407" s="158">
        <v>0</v>
      </c>
      <c r="K1407" s="159" t="str">
        <f ca="1">IFERROR(__xludf.DUMMYFUNCTION("GOOGLETRANSLATE(H1407,""th"",""en"")"),"Null")</f>
        <v>Null</v>
      </c>
    </row>
    <row r="1408" spans="1:11" ht="15.75" hidden="1" customHeight="1">
      <c r="A1408" s="133" t="s">
        <v>7</v>
      </c>
      <c r="B1408" s="133" t="s">
        <v>401</v>
      </c>
      <c r="C1408" s="133" t="s">
        <v>1335</v>
      </c>
      <c r="D1408" s="133" t="s">
        <v>477</v>
      </c>
      <c r="E1408" s="158">
        <v>100</v>
      </c>
      <c r="F1408" s="158">
        <v>0</v>
      </c>
      <c r="G1408" s="158">
        <v>0</v>
      </c>
      <c r="H1408" s="133" t="s">
        <v>479</v>
      </c>
      <c r="I1408" s="133" t="s">
        <v>548</v>
      </c>
      <c r="J1408" s="158">
        <v>0</v>
      </c>
      <c r="K1408" s="159" t="str">
        <f ca="1">IFERROR(__xludf.DUMMYFUNCTION("GOOGLETRANSLATE(H1408,""th"",""en"")"),"Null")</f>
        <v>Null</v>
      </c>
    </row>
    <row r="1409" spans="1:11" ht="15.75" hidden="1" customHeight="1">
      <c r="A1409" s="133" t="s">
        <v>7</v>
      </c>
      <c r="B1409" s="133" t="s">
        <v>401</v>
      </c>
      <c r="C1409" s="133" t="s">
        <v>1336</v>
      </c>
      <c r="D1409" s="133" t="s">
        <v>477</v>
      </c>
      <c r="E1409" s="158">
        <v>8</v>
      </c>
      <c r="F1409" s="158">
        <v>0</v>
      </c>
      <c r="G1409" s="158">
        <v>0</v>
      </c>
      <c r="H1409" s="133" t="s">
        <v>479</v>
      </c>
      <c r="I1409" s="133" t="s">
        <v>548</v>
      </c>
      <c r="J1409" s="158">
        <v>0</v>
      </c>
      <c r="K1409" s="159" t="str">
        <f ca="1">IFERROR(__xludf.DUMMYFUNCTION("GOOGLETRANSLATE(H1409,""th"",""en"")"),"Null")</f>
        <v>Null</v>
      </c>
    </row>
    <row r="1410" spans="1:11" ht="15.75" hidden="1" customHeight="1">
      <c r="A1410" s="133" t="s">
        <v>7</v>
      </c>
      <c r="B1410" s="133" t="s">
        <v>401</v>
      </c>
      <c r="C1410" s="133" t="s">
        <v>175</v>
      </c>
      <c r="D1410" s="133" t="s">
        <v>496</v>
      </c>
      <c r="E1410" s="158">
        <v>4</v>
      </c>
      <c r="F1410" s="158">
        <v>16</v>
      </c>
      <c r="G1410" s="158">
        <v>0</v>
      </c>
      <c r="H1410" s="133" t="s">
        <v>479</v>
      </c>
      <c r="I1410" s="133" t="s">
        <v>1284</v>
      </c>
      <c r="J1410" s="158">
        <v>0</v>
      </c>
      <c r="K1410" s="159" t="str">
        <f ca="1">IFERROR(__xludf.DUMMYFUNCTION("GOOGLETRANSLATE(H1410,""th"",""en"")"),"Null")</f>
        <v>Null</v>
      </c>
    </row>
    <row r="1411" spans="1:11" ht="15.75" hidden="1" customHeight="1">
      <c r="A1411" s="133" t="s">
        <v>7</v>
      </c>
      <c r="B1411" s="133" t="s">
        <v>403</v>
      </c>
      <c r="C1411" s="133" t="s">
        <v>396</v>
      </c>
      <c r="D1411" s="133" t="s">
        <v>477</v>
      </c>
      <c r="E1411" s="158">
        <v>20</v>
      </c>
      <c r="F1411" s="158">
        <v>0</v>
      </c>
      <c r="G1411" s="158">
        <v>0</v>
      </c>
      <c r="H1411" s="133" t="s">
        <v>2124</v>
      </c>
      <c r="I1411" s="133" t="s">
        <v>548</v>
      </c>
      <c r="J1411" s="158">
        <v>0</v>
      </c>
      <c r="K1411" s="159" t="str">
        <f ca="1">IFERROR(__xludf.DUMMYFUNCTION("GOOGLETRANSLATE(H1411,""th"",""en"")"),"Number Promotion")</f>
        <v>Number Promotion</v>
      </c>
    </row>
    <row r="1412" spans="1:11" ht="15.75" hidden="1" customHeight="1">
      <c r="A1412" s="133" t="s">
        <v>7</v>
      </c>
      <c r="B1412" s="133" t="s">
        <v>403</v>
      </c>
      <c r="C1412" s="133" t="s">
        <v>2125</v>
      </c>
      <c r="D1412" s="133" t="s">
        <v>484</v>
      </c>
      <c r="E1412" s="158">
        <v>4</v>
      </c>
      <c r="F1412" s="158">
        <v>10</v>
      </c>
      <c r="G1412" s="158">
        <v>0</v>
      </c>
      <c r="H1412" s="133" t="s">
        <v>2126</v>
      </c>
      <c r="I1412" s="133" t="s">
        <v>615</v>
      </c>
      <c r="J1412" s="158">
        <v>0</v>
      </c>
      <c r="K1412" s="159" t="str">
        <f ca="1">IFERROR(__xludf.DUMMYFUNCTION("GOOGLETRANSLATE(H1412,""th"",""en"")"),"Credit card code")</f>
        <v>Credit card code</v>
      </c>
    </row>
    <row r="1413" spans="1:11" ht="15.75" hidden="1" customHeight="1">
      <c r="A1413" s="133" t="s">
        <v>7</v>
      </c>
      <c r="B1413" s="133" t="s">
        <v>403</v>
      </c>
      <c r="C1413" s="133" t="s">
        <v>2093</v>
      </c>
      <c r="D1413" s="133" t="s">
        <v>1631</v>
      </c>
      <c r="E1413" s="158">
        <v>8</v>
      </c>
      <c r="F1413" s="158">
        <v>19</v>
      </c>
      <c r="G1413" s="158">
        <v>0</v>
      </c>
      <c r="H1413" s="133" t="s">
        <v>479</v>
      </c>
      <c r="I1413" s="133" t="s">
        <v>615</v>
      </c>
      <c r="J1413" s="158">
        <v>0</v>
      </c>
      <c r="K1413" s="159" t="str">
        <f ca="1">IFERROR(__xludf.DUMMYFUNCTION("GOOGLETRANSLATE(H1413,""th"",""en"")"),"Null")</f>
        <v>Null</v>
      </c>
    </row>
    <row r="1414" spans="1:11" ht="15.75" hidden="1" customHeight="1">
      <c r="A1414" s="133" t="s">
        <v>7</v>
      </c>
      <c r="B1414" s="133" t="s">
        <v>403</v>
      </c>
      <c r="C1414" s="133" t="s">
        <v>2127</v>
      </c>
      <c r="D1414" s="133" t="s">
        <v>477</v>
      </c>
      <c r="E1414" s="158">
        <v>3</v>
      </c>
      <c r="F1414" s="158">
        <v>0</v>
      </c>
      <c r="G1414" s="158">
        <v>0</v>
      </c>
      <c r="H1414" s="133" t="s">
        <v>2128</v>
      </c>
      <c r="I1414" s="133" t="s">
        <v>596</v>
      </c>
      <c r="J1414" s="158">
        <v>0</v>
      </c>
      <c r="K1414" s="159" t="str">
        <f ca="1">IFERROR(__xludf.DUMMYFUNCTION("GOOGLETRANSLATE(H1414,""th"",""en"")"),"Flag Joint Product List Hamper")</f>
        <v>Flag Joint Product List Hamper</v>
      </c>
    </row>
    <row r="1415" spans="1:11" ht="15.75" hidden="1" customHeight="1">
      <c r="A1415" s="133" t="s">
        <v>7</v>
      </c>
      <c r="B1415" s="133" t="s">
        <v>403</v>
      </c>
      <c r="C1415" s="133" t="s">
        <v>2129</v>
      </c>
      <c r="D1415" s="133" t="s">
        <v>477</v>
      </c>
      <c r="E1415" s="158">
        <v>50</v>
      </c>
      <c r="F1415" s="158">
        <v>0</v>
      </c>
      <c r="G1415" s="158">
        <v>0</v>
      </c>
      <c r="H1415" s="133" t="s">
        <v>2130</v>
      </c>
      <c r="I1415" s="133" t="s">
        <v>548</v>
      </c>
      <c r="J1415" s="158">
        <v>0</v>
      </c>
      <c r="K1415" s="159" t="str">
        <f ca="1">IFERROR(__xludf.DUMMYFUNCTION("GOOGLETRANSLATE(H1415,""th"",""en"")"),"Joint credit card name")</f>
        <v>Joint credit card name</v>
      </c>
    </row>
    <row r="1416" spans="1:11" ht="15.75" hidden="1" customHeight="1">
      <c r="A1416" s="133" t="s">
        <v>7</v>
      </c>
      <c r="B1416" s="133" t="s">
        <v>403</v>
      </c>
      <c r="C1416" s="133" t="s">
        <v>2090</v>
      </c>
      <c r="D1416" s="133" t="s">
        <v>481</v>
      </c>
      <c r="E1416" s="158">
        <v>5</v>
      </c>
      <c r="F1416" s="158">
        <v>9</v>
      </c>
      <c r="G1416" s="158">
        <v>2</v>
      </c>
      <c r="H1416" s="133" t="s">
        <v>2131</v>
      </c>
      <c r="I1416" s="133" t="s">
        <v>615</v>
      </c>
      <c r="J1416" s="158">
        <v>0</v>
      </c>
      <c r="K1416" s="159" t="str">
        <f ca="1">IFERROR(__xludf.DUMMYFUNCTION("GOOGLETRANSLATE(H1416,""th"",""en"")"),"Minimum amount (including VAT)")</f>
        <v>Minimum amount (including VAT)</v>
      </c>
    </row>
    <row r="1417" spans="1:11" ht="15.75" hidden="1" customHeight="1">
      <c r="A1417" s="133" t="s">
        <v>7</v>
      </c>
      <c r="B1417" s="133" t="s">
        <v>403</v>
      </c>
      <c r="C1417" s="133" t="s">
        <v>1419</v>
      </c>
      <c r="D1417" s="133" t="s">
        <v>477</v>
      </c>
      <c r="E1417" s="158">
        <v>20</v>
      </c>
      <c r="F1417" s="158">
        <v>0</v>
      </c>
      <c r="G1417" s="158">
        <v>0</v>
      </c>
      <c r="H1417" s="133" t="s">
        <v>2132</v>
      </c>
      <c r="I1417" s="133" t="s">
        <v>813</v>
      </c>
      <c r="J1417" s="158">
        <v>0</v>
      </c>
      <c r="K1417" s="159" t="str">
        <f ca="1">IFERROR(__xludf.DUMMYFUNCTION("GOOGLETRANSLATE(H1417,""th"",""en"")"),"Status (Active, Delete)")</f>
        <v>Status (Active, Delete)</v>
      </c>
    </row>
    <row r="1418" spans="1:11" ht="15.75" hidden="1" customHeight="1">
      <c r="A1418" s="133" t="s">
        <v>7</v>
      </c>
      <c r="B1418" s="133" t="s">
        <v>405</v>
      </c>
      <c r="C1418" s="133" t="s">
        <v>406</v>
      </c>
      <c r="D1418" s="133" t="s">
        <v>484</v>
      </c>
      <c r="E1418" s="158">
        <v>4</v>
      </c>
      <c r="F1418" s="158">
        <v>10</v>
      </c>
      <c r="G1418" s="158">
        <v>0</v>
      </c>
      <c r="H1418" s="133" t="s">
        <v>479</v>
      </c>
      <c r="I1418" s="133" t="s">
        <v>479</v>
      </c>
      <c r="J1418" s="158">
        <v>0</v>
      </c>
      <c r="K1418" s="159" t="str">
        <f ca="1">IFERROR(__xludf.DUMMYFUNCTION("GOOGLETRANSLATE(H1418,""th"",""en"")"),"Null")</f>
        <v>Null</v>
      </c>
    </row>
    <row r="1419" spans="1:11" ht="15.75" hidden="1" customHeight="1">
      <c r="A1419" s="133" t="s">
        <v>7</v>
      </c>
      <c r="B1419" s="133" t="s">
        <v>405</v>
      </c>
      <c r="C1419" s="133" t="s">
        <v>2133</v>
      </c>
      <c r="D1419" s="133" t="s">
        <v>477</v>
      </c>
      <c r="E1419" s="158">
        <v>100</v>
      </c>
      <c r="F1419" s="158">
        <v>0</v>
      </c>
      <c r="G1419" s="158">
        <v>0</v>
      </c>
      <c r="H1419" s="133" t="s">
        <v>479</v>
      </c>
      <c r="I1419" s="133" t="s">
        <v>548</v>
      </c>
      <c r="J1419" s="158">
        <v>0</v>
      </c>
      <c r="K1419" s="159" t="str">
        <f ca="1">IFERROR(__xludf.DUMMYFUNCTION("GOOGLETRANSLATE(H1419,""th"",""en"")"),"Null")</f>
        <v>Null</v>
      </c>
    </row>
    <row r="1420" spans="1:11" ht="15.75" hidden="1" customHeight="1">
      <c r="A1420" s="133" t="s">
        <v>7</v>
      </c>
      <c r="B1420" s="133" t="s">
        <v>405</v>
      </c>
      <c r="C1420" s="133" t="s">
        <v>2134</v>
      </c>
      <c r="D1420" s="133" t="s">
        <v>477</v>
      </c>
      <c r="E1420" s="158">
        <v>20</v>
      </c>
      <c r="F1420" s="158">
        <v>0</v>
      </c>
      <c r="G1420" s="158">
        <v>0</v>
      </c>
      <c r="H1420" s="133" t="s">
        <v>479</v>
      </c>
      <c r="I1420" s="133" t="s">
        <v>813</v>
      </c>
      <c r="J1420" s="158">
        <v>0</v>
      </c>
      <c r="K1420" s="159" t="str">
        <f ca="1">IFERROR(__xludf.DUMMYFUNCTION("GOOGLETRANSLATE(H1420,""th"",""en"")"),"Null")</f>
        <v>Null</v>
      </c>
    </row>
    <row r="1421" spans="1:11" ht="15.75" hidden="1" customHeight="1">
      <c r="A1421" s="133" t="s">
        <v>7</v>
      </c>
      <c r="B1421" s="133" t="s">
        <v>405</v>
      </c>
      <c r="C1421" s="133" t="s">
        <v>2135</v>
      </c>
      <c r="D1421" s="133" t="s">
        <v>477</v>
      </c>
      <c r="E1421" s="158">
        <v>50</v>
      </c>
      <c r="F1421" s="158">
        <v>0</v>
      </c>
      <c r="G1421" s="158">
        <v>0</v>
      </c>
      <c r="H1421" s="133" t="s">
        <v>479</v>
      </c>
      <c r="I1421" s="133" t="s">
        <v>548</v>
      </c>
      <c r="J1421" s="158">
        <v>0</v>
      </c>
      <c r="K1421" s="159" t="str">
        <f ca="1">IFERROR(__xludf.DUMMYFUNCTION("GOOGLETRANSLATE(H1421,""th"",""en"")"),"Null")</f>
        <v>Null</v>
      </c>
    </row>
    <row r="1422" spans="1:11" ht="15.75" hidden="1" customHeight="1">
      <c r="A1422" s="133" t="s">
        <v>7</v>
      </c>
      <c r="B1422" s="133" t="s">
        <v>405</v>
      </c>
      <c r="C1422" s="133" t="s">
        <v>1333</v>
      </c>
      <c r="D1422" s="133" t="s">
        <v>477</v>
      </c>
      <c r="E1422" s="158">
        <v>100</v>
      </c>
      <c r="F1422" s="158">
        <v>0</v>
      </c>
      <c r="G1422" s="158">
        <v>0</v>
      </c>
      <c r="H1422" s="133" t="s">
        <v>479</v>
      </c>
      <c r="I1422" s="133" t="s">
        <v>548</v>
      </c>
      <c r="J1422" s="158">
        <v>0</v>
      </c>
      <c r="K1422" s="159" t="str">
        <f ca="1">IFERROR(__xludf.DUMMYFUNCTION("GOOGLETRANSLATE(H1422,""th"",""en"")"),"Null")</f>
        <v>Null</v>
      </c>
    </row>
    <row r="1423" spans="1:11" ht="15.75" hidden="1" customHeight="1">
      <c r="A1423" s="133" t="s">
        <v>7</v>
      </c>
      <c r="B1423" s="133" t="s">
        <v>405</v>
      </c>
      <c r="C1423" s="133" t="s">
        <v>1334</v>
      </c>
      <c r="D1423" s="133" t="s">
        <v>477</v>
      </c>
      <c r="E1423" s="158">
        <v>8</v>
      </c>
      <c r="F1423" s="158">
        <v>0</v>
      </c>
      <c r="G1423" s="158">
        <v>0</v>
      </c>
      <c r="H1423" s="133" t="s">
        <v>479</v>
      </c>
      <c r="I1423" s="133" t="s">
        <v>548</v>
      </c>
      <c r="J1423" s="158">
        <v>0</v>
      </c>
      <c r="K1423" s="159" t="str">
        <f ca="1">IFERROR(__xludf.DUMMYFUNCTION("GOOGLETRANSLATE(H1423,""th"",""en"")"),"Null")</f>
        <v>Null</v>
      </c>
    </row>
    <row r="1424" spans="1:11" ht="15.75" hidden="1" customHeight="1">
      <c r="A1424" s="133" t="s">
        <v>7</v>
      </c>
      <c r="B1424" s="133" t="s">
        <v>405</v>
      </c>
      <c r="C1424" s="133" t="s">
        <v>184</v>
      </c>
      <c r="D1424" s="133" t="s">
        <v>538</v>
      </c>
      <c r="E1424" s="158">
        <v>8</v>
      </c>
      <c r="F1424" s="158">
        <v>23</v>
      </c>
      <c r="G1424" s="158">
        <v>3</v>
      </c>
      <c r="H1424" s="133" t="s">
        <v>479</v>
      </c>
      <c r="I1424" s="133" t="s">
        <v>479</v>
      </c>
      <c r="J1424" s="158">
        <v>0</v>
      </c>
      <c r="K1424" s="159" t="str">
        <f ca="1">IFERROR(__xludf.DUMMYFUNCTION("GOOGLETRANSLATE(H1424,""th"",""en"")"),"Null")</f>
        <v>Null</v>
      </c>
    </row>
    <row r="1425" spans="1:11" ht="15.75" hidden="1" customHeight="1">
      <c r="A1425" s="133" t="s">
        <v>7</v>
      </c>
      <c r="B1425" s="133" t="s">
        <v>405</v>
      </c>
      <c r="C1425" s="133" t="s">
        <v>1335</v>
      </c>
      <c r="D1425" s="133" t="s">
        <v>477</v>
      </c>
      <c r="E1425" s="158">
        <v>100</v>
      </c>
      <c r="F1425" s="158">
        <v>0</v>
      </c>
      <c r="G1425" s="158">
        <v>0</v>
      </c>
      <c r="H1425" s="133" t="s">
        <v>479</v>
      </c>
      <c r="I1425" s="133" t="s">
        <v>548</v>
      </c>
      <c r="J1425" s="158">
        <v>0</v>
      </c>
      <c r="K1425" s="159" t="str">
        <f ca="1">IFERROR(__xludf.DUMMYFUNCTION("GOOGLETRANSLATE(H1425,""th"",""en"")"),"Null")</f>
        <v>Null</v>
      </c>
    </row>
    <row r="1426" spans="1:11" ht="15.75" hidden="1" customHeight="1">
      <c r="A1426" s="133" t="s">
        <v>7</v>
      </c>
      <c r="B1426" s="133" t="s">
        <v>405</v>
      </c>
      <c r="C1426" s="133" t="s">
        <v>1336</v>
      </c>
      <c r="D1426" s="133" t="s">
        <v>477</v>
      </c>
      <c r="E1426" s="158">
        <v>8</v>
      </c>
      <c r="F1426" s="158">
        <v>0</v>
      </c>
      <c r="G1426" s="158">
        <v>0</v>
      </c>
      <c r="H1426" s="133" t="s">
        <v>479</v>
      </c>
      <c r="I1426" s="133" t="s">
        <v>548</v>
      </c>
      <c r="J1426" s="158">
        <v>0</v>
      </c>
      <c r="K1426" s="159" t="str">
        <f ca="1">IFERROR(__xludf.DUMMYFUNCTION("GOOGLETRANSLATE(H1426,""th"",""en"")"),"Null")</f>
        <v>Null</v>
      </c>
    </row>
    <row r="1427" spans="1:11" ht="15.75" hidden="1" customHeight="1">
      <c r="A1427" s="133" t="s">
        <v>7</v>
      </c>
      <c r="B1427" s="133" t="s">
        <v>405</v>
      </c>
      <c r="C1427" s="133" t="s">
        <v>175</v>
      </c>
      <c r="D1427" s="133" t="s">
        <v>538</v>
      </c>
      <c r="E1427" s="158">
        <v>8</v>
      </c>
      <c r="F1427" s="158">
        <v>23</v>
      </c>
      <c r="G1427" s="158">
        <v>3</v>
      </c>
      <c r="H1427" s="133" t="s">
        <v>479</v>
      </c>
      <c r="I1427" s="133" t="s">
        <v>479</v>
      </c>
      <c r="J1427" s="158">
        <v>0</v>
      </c>
      <c r="K1427" s="159" t="str">
        <f ca="1">IFERROR(__xludf.DUMMYFUNCTION("GOOGLETRANSLATE(H1427,""th"",""en"")"),"Null")</f>
        <v>Null</v>
      </c>
    </row>
    <row r="1428" spans="1:11" ht="15.75" hidden="1" customHeight="1">
      <c r="A1428" s="133" t="s">
        <v>7</v>
      </c>
      <c r="B1428" s="133" t="s">
        <v>407</v>
      </c>
      <c r="C1428" s="133" t="s">
        <v>396</v>
      </c>
      <c r="D1428" s="133" t="s">
        <v>477</v>
      </c>
      <c r="E1428" s="158">
        <v>20</v>
      </c>
      <c r="F1428" s="158">
        <v>0</v>
      </c>
      <c r="G1428" s="158">
        <v>0</v>
      </c>
      <c r="H1428" s="133" t="s">
        <v>479</v>
      </c>
      <c r="I1428" s="133" t="s">
        <v>548</v>
      </c>
      <c r="J1428" s="158">
        <v>0</v>
      </c>
      <c r="K1428" s="159" t="str">
        <f ca="1">IFERROR(__xludf.DUMMYFUNCTION("GOOGLETRANSLATE(H1428,""th"",""en"")"),"Null")</f>
        <v>Null</v>
      </c>
    </row>
    <row r="1429" spans="1:11" ht="15.75" hidden="1" customHeight="1">
      <c r="A1429" s="133" t="s">
        <v>7</v>
      </c>
      <c r="B1429" s="133" t="s">
        <v>407</v>
      </c>
      <c r="C1429" s="133" t="s">
        <v>2093</v>
      </c>
      <c r="D1429" s="133" t="s">
        <v>1631</v>
      </c>
      <c r="E1429" s="158">
        <v>8</v>
      </c>
      <c r="F1429" s="158">
        <v>19</v>
      </c>
      <c r="G1429" s="158">
        <v>0</v>
      </c>
      <c r="H1429" s="133" t="s">
        <v>479</v>
      </c>
      <c r="I1429" s="133" t="s">
        <v>548</v>
      </c>
      <c r="J1429" s="158">
        <v>0</v>
      </c>
      <c r="K1429" s="159" t="str">
        <f ca="1">IFERROR(__xludf.DUMMYFUNCTION("GOOGLETRANSLATE(H1429,""th"",""en"")"),"Null")</f>
        <v>Null</v>
      </c>
    </row>
    <row r="1430" spans="1:11" ht="15.75" hidden="1" customHeight="1">
      <c r="A1430" s="133" t="s">
        <v>7</v>
      </c>
      <c r="B1430" s="133" t="s">
        <v>407</v>
      </c>
      <c r="C1430" s="133" t="s">
        <v>2136</v>
      </c>
      <c r="D1430" s="133" t="s">
        <v>477</v>
      </c>
      <c r="E1430" s="158">
        <v>7</v>
      </c>
      <c r="F1430" s="158">
        <v>0</v>
      </c>
      <c r="G1430" s="158">
        <v>0</v>
      </c>
      <c r="H1430" s="133" t="s">
        <v>479</v>
      </c>
      <c r="I1430" s="133" t="s">
        <v>548</v>
      </c>
      <c r="J1430" s="158">
        <v>0</v>
      </c>
      <c r="K1430" s="159" t="str">
        <f ca="1">IFERROR(__xludf.DUMMYFUNCTION("GOOGLETRANSLATE(H1430,""th"",""en"")"),"Null")</f>
        <v>Null</v>
      </c>
    </row>
    <row r="1431" spans="1:11" ht="15.75" hidden="1" customHeight="1">
      <c r="A1431" s="133" t="s">
        <v>7</v>
      </c>
      <c r="B1431" s="133" t="s">
        <v>407</v>
      </c>
      <c r="C1431" s="133" t="s">
        <v>1826</v>
      </c>
      <c r="D1431" s="133" t="s">
        <v>484</v>
      </c>
      <c r="E1431" s="158">
        <v>4</v>
      </c>
      <c r="F1431" s="158">
        <v>10</v>
      </c>
      <c r="G1431" s="158">
        <v>0</v>
      </c>
      <c r="H1431" s="133" t="s">
        <v>479</v>
      </c>
      <c r="I1431" s="133" t="s">
        <v>615</v>
      </c>
      <c r="J1431" s="158">
        <v>0</v>
      </c>
      <c r="K1431" s="159" t="str">
        <f ca="1">IFERROR(__xludf.DUMMYFUNCTION("GOOGLETRANSLATE(H1431,""th"",""en"")"),"Null")</f>
        <v>Null</v>
      </c>
    </row>
    <row r="1432" spans="1:11" ht="15.75" hidden="1" customHeight="1">
      <c r="A1432" s="133" t="s">
        <v>7</v>
      </c>
      <c r="B1432" s="133" t="s">
        <v>407</v>
      </c>
      <c r="C1432" s="133" t="s">
        <v>2137</v>
      </c>
      <c r="D1432" s="133" t="s">
        <v>484</v>
      </c>
      <c r="E1432" s="158">
        <v>4</v>
      </c>
      <c r="F1432" s="158">
        <v>10</v>
      </c>
      <c r="G1432" s="158">
        <v>0</v>
      </c>
      <c r="H1432" s="133" t="s">
        <v>479</v>
      </c>
      <c r="I1432" s="133" t="s">
        <v>615</v>
      </c>
      <c r="J1432" s="158">
        <v>0</v>
      </c>
      <c r="K1432" s="159" t="str">
        <f ca="1">IFERROR(__xludf.DUMMYFUNCTION("GOOGLETRANSLATE(H1432,""th"",""en"")"),"Null")</f>
        <v>Null</v>
      </c>
    </row>
    <row r="1433" spans="1:11" ht="15.75" hidden="1" customHeight="1">
      <c r="A1433" s="133" t="s">
        <v>7</v>
      </c>
      <c r="B1433" s="133" t="s">
        <v>407</v>
      </c>
      <c r="C1433" s="133" t="s">
        <v>2138</v>
      </c>
      <c r="D1433" s="133" t="s">
        <v>484</v>
      </c>
      <c r="E1433" s="158">
        <v>4</v>
      </c>
      <c r="F1433" s="158">
        <v>10</v>
      </c>
      <c r="G1433" s="158">
        <v>0</v>
      </c>
      <c r="H1433" s="133" t="s">
        <v>479</v>
      </c>
      <c r="I1433" s="133" t="s">
        <v>615</v>
      </c>
      <c r="J1433" s="158">
        <v>0</v>
      </c>
      <c r="K1433" s="159" t="str">
        <f ca="1">IFERROR(__xludf.DUMMYFUNCTION("GOOGLETRANSLATE(H1433,""th"",""en"")"),"Null")</f>
        <v>Null</v>
      </c>
    </row>
    <row r="1434" spans="1:11" ht="15.75" hidden="1" customHeight="1">
      <c r="A1434" s="133" t="s">
        <v>7</v>
      </c>
      <c r="B1434" s="133" t="s">
        <v>409</v>
      </c>
      <c r="C1434" s="133" t="s">
        <v>396</v>
      </c>
      <c r="D1434" s="133" t="s">
        <v>477</v>
      </c>
      <c r="E1434" s="158">
        <v>20</v>
      </c>
      <c r="F1434" s="158">
        <v>0</v>
      </c>
      <c r="G1434" s="158">
        <v>0</v>
      </c>
      <c r="H1434" s="133" t="s">
        <v>479</v>
      </c>
      <c r="I1434" s="133" t="s">
        <v>548</v>
      </c>
      <c r="J1434" s="158">
        <v>0</v>
      </c>
      <c r="K1434" s="159" t="str">
        <f ca="1">IFERROR(__xludf.DUMMYFUNCTION("GOOGLETRANSLATE(H1434,""th"",""en"")"),"Null")</f>
        <v>Null</v>
      </c>
    </row>
    <row r="1435" spans="1:11" ht="15.75" hidden="1" customHeight="1">
      <c r="A1435" s="133" t="s">
        <v>7</v>
      </c>
      <c r="B1435" s="133" t="s">
        <v>409</v>
      </c>
      <c r="C1435" s="133" t="s">
        <v>2115</v>
      </c>
      <c r="D1435" s="133" t="s">
        <v>484</v>
      </c>
      <c r="E1435" s="158">
        <v>4</v>
      </c>
      <c r="F1435" s="158">
        <v>10</v>
      </c>
      <c r="G1435" s="158">
        <v>0</v>
      </c>
      <c r="H1435" s="133" t="s">
        <v>479</v>
      </c>
      <c r="I1435" s="133" t="s">
        <v>615</v>
      </c>
      <c r="J1435" s="158">
        <v>0</v>
      </c>
      <c r="K1435" s="159" t="str">
        <f ca="1">IFERROR(__xludf.DUMMYFUNCTION("GOOGLETRANSLATE(H1435,""th"",""en"")"),"Null")</f>
        <v>Null</v>
      </c>
    </row>
    <row r="1436" spans="1:11" ht="15.75" hidden="1" customHeight="1">
      <c r="A1436" s="133" t="s">
        <v>7</v>
      </c>
      <c r="B1436" s="133" t="s">
        <v>409</v>
      </c>
      <c r="C1436" s="133" t="s">
        <v>2139</v>
      </c>
      <c r="D1436" s="133" t="s">
        <v>477</v>
      </c>
      <c r="E1436" s="158">
        <v>50</v>
      </c>
      <c r="F1436" s="158">
        <v>0</v>
      </c>
      <c r="G1436" s="158">
        <v>0</v>
      </c>
      <c r="H1436" s="133" t="s">
        <v>479</v>
      </c>
      <c r="I1436" s="133" t="s">
        <v>548</v>
      </c>
      <c r="J1436" s="158">
        <v>0</v>
      </c>
      <c r="K1436" s="159" t="str">
        <f ca="1">IFERROR(__xludf.DUMMYFUNCTION("GOOGLETRANSLATE(H1436,""th"",""en"")"),"Null")</f>
        <v>Null</v>
      </c>
    </row>
    <row r="1437" spans="1:11" ht="15.75" hidden="1" customHeight="1">
      <c r="A1437" s="133" t="s">
        <v>7</v>
      </c>
      <c r="B1437" s="133" t="s">
        <v>409</v>
      </c>
      <c r="C1437" s="133" t="s">
        <v>2140</v>
      </c>
      <c r="D1437" s="133" t="s">
        <v>477</v>
      </c>
      <c r="E1437" s="158">
        <v>50</v>
      </c>
      <c r="F1437" s="158">
        <v>0</v>
      </c>
      <c r="G1437" s="158">
        <v>0</v>
      </c>
      <c r="H1437" s="133" t="s">
        <v>479</v>
      </c>
      <c r="I1437" s="133" t="s">
        <v>548</v>
      </c>
      <c r="J1437" s="158">
        <v>0</v>
      </c>
      <c r="K1437" s="159" t="str">
        <f ca="1">IFERROR(__xludf.DUMMYFUNCTION("GOOGLETRANSLATE(H1437,""th"",""en"")"),"Null")</f>
        <v>Null</v>
      </c>
    </row>
    <row r="1438" spans="1:11" ht="15.75" hidden="1" customHeight="1">
      <c r="A1438" s="133" t="s">
        <v>7</v>
      </c>
      <c r="B1438" s="133" t="s">
        <v>409</v>
      </c>
      <c r="C1438" s="133" t="s">
        <v>2141</v>
      </c>
      <c r="D1438" s="133" t="s">
        <v>477</v>
      </c>
      <c r="E1438" s="158">
        <v>50</v>
      </c>
      <c r="F1438" s="158">
        <v>0</v>
      </c>
      <c r="G1438" s="158">
        <v>0</v>
      </c>
      <c r="H1438" s="160"/>
      <c r="I1438" s="133" t="s">
        <v>548</v>
      </c>
      <c r="J1438" s="158">
        <v>0</v>
      </c>
      <c r="K1438" s="159" t="str">
        <f ca="1">IFERROR(__xludf.DUMMYFUNCTION("GOOGLETRANSLATE(H1438,""th"",""en"")"),"#VALUE!")</f>
        <v>#VALUE!</v>
      </c>
    </row>
    <row r="1439" spans="1:11" ht="15.75" hidden="1" customHeight="1">
      <c r="A1439" s="133" t="s">
        <v>7</v>
      </c>
      <c r="B1439" s="133" t="s">
        <v>409</v>
      </c>
      <c r="C1439" s="133" t="s">
        <v>2142</v>
      </c>
      <c r="D1439" s="133" t="s">
        <v>477</v>
      </c>
      <c r="E1439" s="158">
        <v>10</v>
      </c>
      <c r="F1439" s="158">
        <v>0</v>
      </c>
      <c r="G1439" s="158">
        <v>0</v>
      </c>
      <c r="H1439" s="133" t="s">
        <v>479</v>
      </c>
      <c r="I1439" s="133" t="s">
        <v>548</v>
      </c>
      <c r="J1439" s="158">
        <v>0</v>
      </c>
      <c r="K1439" s="159" t="str">
        <f ca="1">IFERROR(__xludf.DUMMYFUNCTION("GOOGLETRANSLATE(H1439,""th"",""en"")"),"Null")</f>
        <v>Null</v>
      </c>
    </row>
    <row r="1440" spans="1:11" ht="15.75" hidden="1" customHeight="1">
      <c r="A1440" s="133" t="s">
        <v>7</v>
      </c>
      <c r="B1440" s="133" t="s">
        <v>411</v>
      </c>
      <c r="C1440" s="133" t="s">
        <v>396</v>
      </c>
      <c r="D1440" s="133" t="s">
        <v>477</v>
      </c>
      <c r="E1440" s="158">
        <v>20</v>
      </c>
      <c r="F1440" s="158">
        <v>0</v>
      </c>
      <c r="G1440" s="158">
        <v>0</v>
      </c>
      <c r="H1440" s="133" t="s">
        <v>479</v>
      </c>
      <c r="I1440" s="133" t="s">
        <v>548</v>
      </c>
      <c r="J1440" s="158">
        <v>0</v>
      </c>
      <c r="K1440" s="159" t="str">
        <f ca="1">IFERROR(__xludf.DUMMYFUNCTION("GOOGLETRANSLATE(H1440,""th"",""en"")"),"Null")</f>
        <v>Null</v>
      </c>
    </row>
    <row r="1441" spans="1:11" ht="15.75" hidden="1" customHeight="1">
      <c r="A1441" s="133" t="s">
        <v>7</v>
      </c>
      <c r="B1441" s="133" t="s">
        <v>411</v>
      </c>
      <c r="C1441" s="133" t="s">
        <v>1394</v>
      </c>
      <c r="D1441" s="133" t="s">
        <v>477</v>
      </c>
      <c r="E1441" s="158">
        <v>7</v>
      </c>
      <c r="F1441" s="158">
        <v>0</v>
      </c>
      <c r="G1441" s="158">
        <v>0</v>
      </c>
      <c r="H1441" s="133" t="s">
        <v>479</v>
      </c>
      <c r="I1441" s="133" t="s">
        <v>548</v>
      </c>
      <c r="J1441" s="158">
        <v>0</v>
      </c>
      <c r="K1441" s="159" t="str">
        <f ca="1">IFERROR(__xludf.DUMMYFUNCTION("GOOGLETRANSLATE(H1441,""th"",""en"")"),"Null")</f>
        <v>Null</v>
      </c>
    </row>
    <row r="1442" spans="1:11" ht="15.75" hidden="1" customHeight="1">
      <c r="A1442" s="133" t="s">
        <v>7</v>
      </c>
      <c r="B1442" s="133" t="s">
        <v>411</v>
      </c>
      <c r="C1442" s="133" t="s">
        <v>1826</v>
      </c>
      <c r="D1442" s="133" t="s">
        <v>484</v>
      </c>
      <c r="E1442" s="158">
        <v>4</v>
      </c>
      <c r="F1442" s="158">
        <v>10</v>
      </c>
      <c r="G1442" s="158">
        <v>0</v>
      </c>
      <c r="H1442" s="133" t="s">
        <v>479</v>
      </c>
      <c r="I1442" s="133" t="s">
        <v>615</v>
      </c>
      <c r="J1442" s="158">
        <v>0</v>
      </c>
      <c r="K1442" s="159" t="str">
        <f ca="1">IFERROR(__xludf.DUMMYFUNCTION("GOOGLETRANSLATE(H1442,""th"",""en"")"),"Null")</f>
        <v>Null</v>
      </c>
    </row>
    <row r="1443" spans="1:11" ht="15.75" hidden="1" customHeight="1">
      <c r="A1443" s="133" t="s">
        <v>7</v>
      </c>
      <c r="B1443" s="133" t="s">
        <v>411</v>
      </c>
      <c r="C1443" s="133" t="s">
        <v>2143</v>
      </c>
      <c r="D1443" s="133" t="s">
        <v>477</v>
      </c>
      <c r="E1443" s="158">
        <v>20</v>
      </c>
      <c r="F1443" s="158">
        <v>0</v>
      </c>
      <c r="G1443" s="158">
        <v>0</v>
      </c>
      <c r="H1443" s="133" t="s">
        <v>479</v>
      </c>
      <c r="I1443" s="133" t="s">
        <v>548</v>
      </c>
      <c r="J1443" s="158">
        <v>0</v>
      </c>
      <c r="K1443" s="159" t="str">
        <f ca="1">IFERROR(__xludf.DUMMYFUNCTION("GOOGLETRANSLATE(H1443,""th"",""en"")"),"Null")</f>
        <v>Null</v>
      </c>
    </row>
    <row r="1444" spans="1:11" ht="15.75" hidden="1" customHeight="1">
      <c r="A1444" s="133" t="s">
        <v>7</v>
      </c>
      <c r="B1444" s="133" t="s">
        <v>411</v>
      </c>
      <c r="C1444" s="133" t="s">
        <v>2119</v>
      </c>
      <c r="D1444" s="133" t="s">
        <v>481</v>
      </c>
      <c r="E1444" s="158">
        <v>5</v>
      </c>
      <c r="F1444" s="158">
        <v>9</v>
      </c>
      <c r="G1444" s="158">
        <v>2</v>
      </c>
      <c r="H1444" s="133" t="s">
        <v>479</v>
      </c>
      <c r="I1444" s="133" t="s">
        <v>615</v>
      </c>
      <c r="J1444" s="158">
        <v>0</v>
      </c>
      <c r="K1444" s="159" t="str">
        <f ca="1">IFERROR(__xludf.DUMMYFUNCTION("GOOGLETRANSLATE(H1444,""th"",""en"")"),"Null")</f>
        <v>Null</v>
      </c>
    </row>
    <row r="1445" spans="1:11" ht="15.75" hidden="1" customHeight="1">
      <c r="A1445" s="133" t="s">
        <v>7</v>
      </c>
      <c r="B1445" s="133" t="s">
        <v>411</v>
      </c>
      <c r="C1445" s="133" t="s">
        <v>2144</v>
      </c>
      <c r="D1445" s="133" t="s">
        <v>484</v>
      </c>
      <c r="E1445" s="158">
        <v>4</v>
      </c>
      <c r="F1445" s="158">
        <v>10</v>
      </c>
      <c r="G1445" s="158">
        <v>0</v>
      </c>
      <c r="H1445" s="133" t="s">
        <v>479</v>
      </c>
      <c r="I1445" s="133" t="s">
        <v>1878</v>
      </c>
      <c r="J1445" s="158">
        <v>0</v>
      </c>
      <c r="K1445" s="159" t="str">
        <f ca="1">IFERROR(__xludf.DUMMYFUNCTION("GOOGLETRANSLATE(H1445,""th"",""en"")"),"Null")</f>
        <v>Null</v>
      </c>
    </row>
    <row r="1446" spans="1:11" ht="15.75" hidden="1" customHeight="1">
      <c r="A1446" s="133" t="s">
        <v>7</v>
      </c>
      <c r="B1446" s="133" t="s">
        <v>411</v>
      </c>
      <c r="C1446" s="133" t="s">
        <v>2145</v>
      </c>
      <c r="D1446" s="133" t="s">
        <v>481</v>
      </c>
      <c r="E1446" s="158">
        <v>5</v>
      </c>
      <c r="F1446" s="158">
        <v>9</v>
      </c>
      <c r="G1446" s="158">
        <v>2</v>
      </c>
      <c r="H1446" s="133" t="s">
        <v>479</v>
      </c>
      <c r="I1446" s="133" t="s">
        <v>615</v>
      </c>
      <c r="J1446" s="158">
        <v>0</v>
      </c>
      <c r="K1446" s="159" t="str">
        <f ca="1">IFERROR(__xludf.DUMMYFUNCTION("GOOGLETRANSLATE(H1446,""th"",""en"")"),"Null")</f>
        <v>Null</v>
      </c>
    </row>
    <row r="1447" spans="1:11" ht="15.75" hidden="1" customHeight="1">
      <c r="A1447" s="133" t="s">
        <v>7</v>
      </c>
      <c r="B1447" s="133" t="s">
        <v>411</v>
      </c>
      <c r="C1447" s="133" t="s">
        <v>2146</v>
      </c>
      <c r="D1447" s="133" t="s">
        <v>477</v>
      </c>
      <c r="E1447" s="158">
        <v>20</v>
      </c>
      <c r="F1447" s="158">
        <v>0</v>
      </c>
      <c r="G1447" s="158">
        <v>0</v>
      </c>
      <c r="H1447" s="133" t="s">
        <v>479</v>
      </c>
      <c r="I1447" s="133" t="s">
        <v>548</v>
      </c>
      <c r="J1447" s="158">
        <v>0</v>
      </c>
      <c r="K1447" s="159" t="str">
        <f ca="1">IFERROR(__xludf.DUMMYFUNCTION("GOOGLETRANSLATE(H1447,""th"",""en"")"),"Null")</f>
        <v>Null</v>
      </c>
    </row>
    <row r="1448" spans="1:11" ht="15.75" hidden="1" customHeight="1">
      <c r="A1448" s="133" t="s">
        <v>7</v>
      </c>
      <c r="B1448" s="133" t="s">
        <v>411</v>
      </c>
      <c r="C1448" s="133" t="s">
        <v>2147</v>
      </c>
      <c r="D1448" s="133" t="s">
        <v>481</v>
      </c>
      <c r="E1448" s="158">
        <v>5</v>
      </c>
      <c r="F1448" s="158">
        <v>9</v>
      </c>
      <c r="G1448" s="158">
        <v>2</v>
      </c>
      <c r="H1448" s="133" t="s">
        <v>479</v>
      </c>
      <c r="I1448" s="133" t="s">
        <v>615</v>
      </c>
      <c r="J1448" s="158">
        <v>0</v>
      </c>
      <c r="K1448" s="159" t="str">
        <f ca="1">IFERROR(__xludf.DUMMYFUNCTION("GOOGLETRANSLATE(H1448,""th"",""en"")"),"Null")</f>
        <v>Null</v>
      </c>
    </row>
    <row r="1449" spans="1:11" ht="15.75" hidden="1" customHeight="1">
      <c r="A1449" s="133" t="s">
        <v>7</v>
      </c>
      <c r="B1449" s="133" t="s">
        <v>411</v>
      </c>
      <c r="C1449" s="133" t="s">
        <v>2148</v>
      </c>
      <c r="D1449" s="133" t="s">
        <v>481</v>
      </c>
      <c r="E1449" s="158">
        <v>5</v>
      </c>
      <c r="F1449" s="158">
        <v>9</v>
      </c>
      <c r="G1449" s="158">
        <v>2</v>
      </c>
      <c r="H1449" s="133" t="s">
        <v>479</v>
      </c>
      <c r="I1449" s="133" t="s">
        <v>615</v>
      </c>
      <c r="J1449" s="158">
        <v>0</v>
      </c>
      <c r="K1449" s="159" t="str">
        <f ca="1">IFERROR(__xludf.DUMMYFUNCTION("GOOGLETRANSLATE(H1449,""th"",""en"")"),"Null")</f>
        <v>Null</v>
      </c>
    </row>
    <row r="1450" spans="1:11" ht="15.75" hidden="1" customHeight="1">
      <c r="A1450" s="133" t="s">
        <v>7</v>
      </c>
      <c r="B1450" s="133" t="s">
        <v>411</v>
      </c>
      <c r="C1450" s="133" t="s">
        <v>1419</v>
      </c>
      <c r="D1450" s="133" t="s">
        <v>477</v>
      </c>
      <c r="E1450" s="158">
        <v>20</v>
      </c>
      <c r="F1450" s="158">
        <v>0</v>
      </c>
      <c r="G1450" s="158">
        <v>0</v>
      </c>
      <c r="H1450" s="133" t="s">
        <v>479</v>
      </c>
      <c r="I1450" s="133" t="s">
        <v>813</v>
      </c>
      <c r="J1450" s="158">
        <v>0</v>
      </c>
      <c r="K1450" s="159" t="str">
        <f ca="1">IFERROR(__xludf.DUMMYFUNCTION("GOOGLETRANSLATE(H1450,""th"",""en"")"),"Null")</f>
        <v>Null</v>
      </c>
    </row>
    <row r="1451" spans="1:11" ht="15.75" hidden="1" customHeight="1">
      <c r="A1451" s="133" t="s">
        <v>7</v>
      </c>
      <c r="B1451" s="133" t="s">
        <v>411</v>
      </c>
      <c r="C1451" s="133" t="s">
        <v>1333</v>
      </c>
      <c r="D1451" s="133" t="s">
        <v>477</v>
      </c>
      <c r="E1451" s="158">
        <v>100</v>
      </c>
      <c r="F1451" s="158">
        <v>0</v>
      </c>
      <c r="G1451" s="158">
        <v>0</v>
      </c>
      <c r="H1451" s="133" t="s">
        <v>479</v>
      </c>
      <c r="I1451" s="133" t="s">
        <v>548</v>
      </c>
      <c r="J1451" s="158">
        <v>0</v>
      </c>
      <c r="K1451" s="159" t="str">
        <f ca="1">IFERROR(__xludf.DUMMYFUNCTION("GOOGLETRANSLATE(H1451,""th"",""en"")"),"Null")</f>
        <v>Null</v>
      </c>
    </row>
    <row r="1452" spans="1:11" ht="15.75" hidden="1" customHeight="1">
      <c r="A1452" s="133" t="s">
        <v>7</v>
      </c>
      <c r="B1452" s="133" t="s">
        <v>411</v>
      </c>
      <c r="C1452" s="133" t="s">
        <v>1334</v>
      </c>
      <c r="D1452" s="133" t="s">
        <v>477</v>
      </c>
      <c r="E1452" s="158">
        <v>8</v>
      </c>
      <c r="F1452" s="158">
        <v>0</v>
      </c>
      <c r="G1452" s="158">
        <v>0</v>
      </c>
      <c r="H1452" s="133" t="s">
        <v>479</v>
      </c>
      <c r="I1452" s="133" t="s">
        <v>548</v>
      </c>
      <c r="J1452" s="158">
        <v>0</v>
      </c>
      <c r="K1452" s="159" t="str">
        <f ca="1">IFERROR(__xludf.DUMMYFUNCTION("GOOGLETRANSLATE(H1452,""th"",""en"")"),"Null")</f>
        <v>Null</v>
      </c>
    </row>
    <row r="1453" spans="1:11" ht="15.75" hidden="1" customHeight="1">
      <c r="A1453" s="133" t="s">
        <v>7</v>
      </c>
      <c r="B1453" s="133" t="s">
        <v>411</v>
      </c>
      <c r="C1453" s="133" t="s">
        <v>184</v>
      </c>
      <c r="D1453" s="133" t="s">
        <v>538</v>
      </c>
      <c r="E1453" s="158">
        <v>8</v>
      </c>
      <c r="F1453" s="158">
        <v>23</v>
      </c>
      <c r="G1453" s="158">
        <v>3</v>
      </c>
      <c r="H1453" s="133" t="s">
        <v>479</v>
      </c>
      <c r="I1453" s="133" t="s">
        <v>2149</v>
      </c>
      <c r="J1453" s="158">
        <v>0</v>
      </c>
      <c r="K1453" s="159" t="str">
        <f ca="1">IFERROR(__xludf.DUMMYFUNCTION("GOOGLETRANSLATE(H1453,""th"",""en"")"),"Null")</f>
        <v>Null</v>
      </c>
    </row>
    <row r="1454" spans="1:11" ht="15.75" hidden="1" customHeight="1">
      <c r="A1454" s="133" t="s">
        <v>7</v>
      </c>
      <c r="B1454" s="133" t="s">
        <v>411</v>
      </c>
      <c r="C1454" s="133" t="s">
        <v>1335</v>
      </c>
      <c r="D1454" s="133" t="s">
        <v>477</v>
      </c>
      <c r="E1454" s="158">
        <v>100</v>
      </c>
      <c r="F1454" s="158">
        <v>0</v>
      </c>
      <c r="G1454" s="158">
        <v>0</v>
      </c>
      <c r="H1454" s="133" t="s">
        <v>479</v>
      </c>
      <c r="I1454" s="133" t="s">
        <v>548</v>
      </c>
      <c r="J1454" s="158">
        <v>0</v>
      </c>
      <c r="K1454" s="159" t="str">
        <f ca="1">IFERROR(__xludf.DUMMYFUNCTION("GOOGLETRANSLATE(H1454,""th"",""en"")"),"Null")</f>
        <v>Null</v>
      </c>
    </row>
    <row r="1455" spans="1:11" ht="15.75" hidden="1" customHeight="1">
      <c r="A1455" s="133" t="s">
        <v>7</v>
      </c>
      <c r="B1455" s="133" t="s">
        <v>411</v>
      </c>
      <c r="C1455" s="133" t="s">
        <v>1336</v>
      </c>
      <c r="D1455" s="133" t="s">
        <v>477</v>
      </c>
      <c r="E1455" s="158">
        <v>8</v>
      </c>
      <c r="F1455" s="158">
        <v>0</v>
      </c>
      <c r="G1455" s="158">
        <v>0</v>
      </c>
      <c r="H1455" s="133" t="s">
        <v>479</v>
      </c>
      <c r="I1455" s="133" t="s">
        <v>548</v>
      </c>
      <c r="J1455" s="158">
        <v>0</v>
      </c>
      <c r="K1455" s="159" t="str">
        <f ca="1">IFERROR(__xludf.DUMMYFUNCTION("GOOGLETRANSLATE(H1455,""th"",""en"")"),"Null")</f>
        <v>Null</v>
      </c>
    </row>
    <row r="1456" spans="1:11" ht="15.75" hidden="1" customHeight="1">
      <c r="A1456" s="133" t="s">
        <v>7</v>
      </c>
      <c r="B1456" s="133" t="s">
        <v>411</v>
      </c>
      <c r="C1456" s="133" t="s">
        <v>175</v>
      </c>
      <c r="D1456" s="133" t="s">
        <v>538</v>
      </c>
      <c r="E1456" s="158">
        <v>8</v>
      </c>
      <c r="F1456" s="158">
        <v>23</v>
      </c>
      <c r="G1456" s="158">
        <v>3</v>
      </c>
      <c r="H1456" s="133" t="s">
        <v>479</v>
      </c>
      <c r="I1456" s="133" t="s">
        <v>2149</v>
      </c>
      <c r="J1456" s="158">
        <v>0</v>
      </c>
      <c r="K1456" s="159" t="str">
        <f ca="1">IFERROR(__xludf.DUMMYFUNCTION("GOOGLETRANSLATE(H1456,""th"",""en"")"),"Null")</f>
        <v>Null</v>
      </c>
    </row>
    <row r="1457" spans="1:11" ht="15.75" hidden="1" customHeight="1">
      <c r="A1457" s="133" t="s">
        <v>7</v>
      </c>
      <c r="B1457" s="133" t="s">
        <v>413</v>
      </c>
      <c r="C1457" s="133" t="s">
        <v>414</v>
      </c>
      <c r="D1457" s="133" t="s">
        <v>477</v>
      </c>
      <c r="E1457" s="158">
        <v>12</v>
      </c>
      <c r="F1457" s="158">
        <v>0</v>
      </c>
      <c r="G1457" s="158">
        <v>0</v>
      </c>
      <c r="H1457" s="133" t="s">
        <v>2150</v>
      </c>
      <c r="I1457" s="133" t="s">
        <v>548</v>
      </c>
      <c r="J1457" s="158">
        <v>0</v>
      </c>
      <c r="K1457" s="159" t="str">
        <f ca="1">IFERROR(__xludf.DUMMYFUNCTION("GOOGLETRANSLATE(H1457,""th"",""en"")"),"Promotion code")</f>
        <v>Promotion code</v>
      </c>
    </row>
    <row r="1458" spans="1:11" ht="15.75" hidden="1" customHeight="1">
      <c r="A1458" s="133" t="s">
        <v>7</v>
      </c>
      <c r="B1458" s="133" t="s">
        <v>413</v>
      </c>
      <c r="C1458" s="133" t="s">
        <v>2151</v>
      </c>
      <c r="D1458" s="133" t="s">
        <v>477</v>
      </c>
      <c r="E1458" s="158">
        <v>50</v>
      </c>
      <c r="F1458" s="158">
        <v>0</v>
      </c>
      <c r="G1458" s="158">
        <v>0</v>
      </c>
      <c r="H1458" s="133" t="s">
        <v>2152</v>
      </c>
      <c r="I1458" s="133" t="s">
        <v>548</v>
      </c>
      <c r="J1458" s="158">
        <v>0</v>
      </c>
      <c r="K1458" s="159" t="str">
        <f ca="1">IFERROR(__xludf.DUMMYFUNCTION("GOOGLETRANSLATE(H1458,""th"",""en"")"),"Promotion name")</f>
        <v>Promotion name</v>
      </c>
    </row>
    <row r="1459" spans="1:11" ht="15.75" hidden="1" customHeight="1">
      <c r="A1459" s="133" t="s">
        <v>7</v>
      </c>
      <c r="B1459" s="133" t="s">
        <v>413</v>
      </c>
      <c r="C1459" s="133" t="s">
        <v>811</v>
      </c>
      <c r="D1459" s="133" t="s">
        <v>477</v>
      </c>
      <c r="E1459" s="158">
        <v>8</v>
      </c>
      <c r="F1459" s="158">
        <v>0</v>
      </c>
      <c r="G1459" s="158">
        <v>0</v>
      </c>
      <c r="H1459" s="133" t="s">
        <v>2153</v>
      </c>
      <c r="I1459" s="133" t="s">
        <v>813</v>
      </c>
      <c r="J1459" s="158">
        <v>0</v>
      </c>
      <c r="K1459" s="159" t="str">
        <f ca="1">IFERROR(__xludf.DUMMYFUNCTION("GOOGLETRANSLATE(H1459,""th"",""en"")"),"Promotion status (Active, inactive)")</f>
        <v>Promotion status (Active, inactive)</v>
      </c>
    </row>
    <row r="1460" spans="1:11" ht="15.75" hidden="1" customHeight="1">
      <c r="A1460" s="133" t="s">
        <v>7</v>
      </c>
      <c r="B1460" s="133" t="s">
        <v>413</v>
      </c>
      <c r="C1460" s="133" t="s">
        <v>1761</v>
      </c>
      <c r="D1460" s="133" t="s">
        <v>1974</v>
      </c>
      <c r="E1460" s="158">
        <v>3</v>
      </c>
      <c r="F1460" s="158">
        <v>10</v>
      </c>
      <c r="G1460" s="158">
        <v>0</v>
      </c>
      <c r="H1460" s="133" t="s">
        <v>2154</v>
      </c>
      <c r="I1460" s="133" t="s">
        <v>1363</v>
      </c>
      <c r="J1460" s="158">
        <v>0</v>
      </c>
      <c r="K1460" s="159" t="str">
        <f ca="1">IFERROR(__xludf.DUMMYFUNCTION("GOOGLETRANSLATE(H1460,""th"",""en"")"),"Start date Promotion")</f>
        <v>Start date Promotion</v>
      </c>
    </row>
    <row r="1461" spans="1:11" ht="15.75" hidden="1" customHeight="1">
      <c r="A1461" s="133" t="s">
        <v>7</v>
      </c>
      <c r="B1461" s="133" t="s">
        <v>413</v>
      </c>
      <c r="C1461" s="133" t="s">
        <v>1762</v>
      </c>
      <c r="D1461" s="133" t="s">
        <v>1974</v>
      </c>
      <c r="E1461" s="158">
        <v>3</v>
      </c>
      <c r="F1461" s="158">
        <v>10</v>
      </c>
      <c r="G1461" s="158">
        <v>0</v>
      </c>
      <c r="H1461" s="133" t="s">
        <v>2155</v>
      </c>
      <c r="I1461" s="133" t="s">
        <v>1363</v>
      </c>
      <c r="J1461" s="158">
        <v>0</v>
      </c>
      <c r="K1461" s="159" t="str">
        <f ca="1">IFERROR(__xludf.DUMMYFUNCTION("GOOGLETRANSLATE(H1461,""th"",""en"")"),"End date Promotion")</f>
        <v>End date Promotion</v>
      </c>
    </row>
    <row r="1462" spans="1:11" ht="15.75" hidden="1" customHeight="1">
      <c r="A1462" s="133" t="s">
        <v>7</v>
      </c>
      <c r="B1462" s="133" t="s">
        <v>413</v>
      </c>
      <c r="C1462" s="133" t="s">
        <v>1729</v>
      </c>
      <c r="D1462" s="133" t="s">
        <v>477</v>
      </c>
      <c r="E1462" s="158">
        <v>255</v>
      </c>
      <c r="F1462" s="158">
        <v>0</v>
      </c>
      <c r="G1462" s="158">
        <v>0</v>
      </c>
      <c r="H1462" s="133" t="s">
        <v>2156</v>
      </c>
      <c r="I1462" s="133" t="s">
        <v>548</v>
      </c>
      <c r="J1462" s="158">
        <v>0</v>
      </c>
      <c r="K1462" s="159" t="str">
        <f ca="1">IFERROR(__xludf.DUMMYFUNCTION("GOOGLETRANSLATE(H1462,""th"",""en"")"),"Promotion details")</f>
        <v>Promotion details</v>
      </c>
    </row>
    <row r="1463" spans="1:11" ht="15.75" hidden="1" customHeight="1">
      <c r="A1463" s="133" t="s">
        <v>7</v>
      </c>
      <c r="B1463" s="133" t="s">
        <v>413</v>
      </c>
      <c r="C1463" s="133" t="s">
        <v>2157</v>
      </c>
      <c r="D1463" s="133" t="s">
        <v>477</v>
      </c>
      <c r="E1463" s="158">
        <v>255</v>
      </c>
      <c r="F1463" s="158">
        <v>0</v>
      </c>
      <c r="G1463" s="158">
        <v>0</v>
      </c>
      <c r="H1463" s="133" t="s">
        <v>2158</v>
      </c>
      <c r="I1463" s="133" t="s">
        <v>2159</v>
      </c>
      <c r="J1463" s="158">
        <v>0</v>
      </c>
      <c r="K1463" s="159" t="str">
        <f ca="1">IFERROR(__xludf.DUMMYFUNCTION("GOOGLETRANSLATE(H1463,""th"",""en"")"),"Channel used for promotions (Allchannel, Store, Nonstore, Franchise, Online, Printing)")</f>
        <v>Channel used for promotions (Allchannel, Store, Nonstore, Franchise, Online, Printing)</v>
      </c>
    </row>
    <row r="1464" spans="1:11" ht="15.75" hidden="1" customHeight="1">
      <c r="A1464" s="133" t="s">
        <v>7</v>
      </c>
      <c r="B1464" s="133" t="s">
        <v>413</v>
      </c>
      <c r="C1464" s="133" t="s">
        <v>164</v>
      </c>
      <c r="D1464" s="133" t="s">
        <v>477</v>
      </c>
      <c r="E1464" s="158">
        <v>255</v>
      </c>
      <c r="F1464" s="158">
        <v>0</v>
      </c>
      <c r="G1464" s="158">
        <v>0</v>
      </c>
      <c r="H1464" s="133" t="s">
        <v>900</v>
      </c>
      <c r="I1464" s="133" t="s">
        <v>548</v>
      </c>
      <c r="J1464" s="158">
        <v>0</v>
      </c>
      <c r="K1464" s="159" t="str">
        <f ca="1">IFERROR(__xludf.DUMMYFUNCTION("GOOGLETRANSLATE(H1464,""th"",""en"")"),"note")</f>
        <v>note</v>
      </c>
    </row>
    <row r="1465" spans="1:11" ht="15.75" hidden="1" customHeight="1">
      <c r="A1465" s="133" t="s">
        <v>7</v>
      </c>
      <c r="B1465" s="133" t="s">
        <v>413</v>
      </c>
      <c r="C1465" s="133" t="s">
        <v>669</v>
      </c>
      <c r="D1465" s="133" t="s">
        <v>496</v>
      </c>
      <c r="E1465" s="158">
        <v>4</v>
      </c>
      <c r="F1465" s="158">
        <v>16</v>
      </c>
      <c r="G1465" s="158">
        <v>0</v>
      </c>
      <c r="H1465" s="133" t="s">
        <v>2160</v>
      </c>
      <c r="I1465" s="133" t="s">
        <v>1363</v>
      </c>
      <c r="J1465" s="158">
        <v>0</v>
      </c>
      <c r="K1465" s="159" t="str">
        <f ca="1">IFERROR(__xludf.DUMMYFUNCTION("GOOGLETRANSLATE(H1465,""th"",""en"")"),"Promotion date")</f>
        <v>Promotion date</v>
      </c>
    </row>
    <row r="1466" spans="1:11" ht="15.75" hidden="1" customHeight="1">
      <c r="A1466" s="133" t="s">
        <v>7</v>
      </c>
      <c r="B1466" s="133" t="s">
        <v>413</v>
      </c>
      <c r="C1466" s="133" t="s">
        <v>523</v>
      </c>
      <c r="D1466" s="133" t="s">
        <v>477</v>
      </c>
      <c r="E1466" s="158">
        <v>7</v>
      </c>
      <c r="F1466" s="158">
        <v>0</v>
      </c>
      <c r="G1466" s="158">
        <v>0</v>
      </c>
      <c r="H1466" s="133" t="s">
        <v>2161</v>
      </c>
      <c r="I1466" s="133" t="s">
        <v>548</v>
      </c>
      <c r="J1466" s="158">
        <v>0</v>
      </c>
      <c r="K1466" s="159" t="str">
        <f ca="1">IFERROR(__xludf.DUMMYFUNCTION("GOOGLETRANSLATE(H1466,""th"",""en"")"),"Creator Promotion")</f>
        <v>Creator Promotion</v>
      </c>
    </row>
    <row r="1467" spans="1:11" ht="15.75" hidden="1" customHeight="1">
      <c r="A1467" s="133" t="s">
        <v>7</v>
      </c>
      <c r="B1467" s="133" t="s">
        <v>413</v>
      </c>
      <c r="C1467" s="133" t="s">
        <v>215</v>
      </c>
      <c r="D1467" s="133" t="s">
        <v>496</v>
      </c>
      <c r="E1467" s="158">
        <v>4</v>
      </c>
      <c r="F1467" s="158">
        <v>16</v>
      </c>
      <c r="G1467" s="158">
        <v>0</v>
      </c>
      <c r="H1467" s="133" t="s">
        <v>2162</v>
      </c>
      <c r="I1467" s="133" t="s">
        <v>1363</v>
      </c>
      <c r="J1467" s="158">
        <v>0</v>
      </c>
      <c r="K1467" s="159" t="str">
        <f ca="1">IFERROR(__xludf.DUMMYFUNCTION("GOOGLETRANSLATE(H1467,""th"",""en"")"),"Promotion date")</f>
        <v>Promotion date</v>
      </c>
    </row>
    <row r="1468" spans="1:11" ht="15.75" hidden="1" customHeight="1">
      <c r="A1468" s="133" t="s">
        <v>7</v>
      </c>
      <c r="B1468" s="133" t="s">
        <v>413</v>
      </c>
      <c r="C1468" s="133" t="s">
        <v>670</v>
      </c>
      <c r="D1468" s="133" t="s">
        <v>477</v>
      </c>
      <c r="E1468" s="158">
        <v>7</v>
      </c>
      <c r="F1468" s="158">
        <v>0</v>
      </c>
      <c r="G1468" s="158">
        <v>0</v>
      </c>
      <c r="H1468" s="133" t="s">
        <v>2163</v>
      </c>
      <c r="I1468" s="133" t="s">
        <v>548</v>
      </c>
      <c r="J1468" s="158">
        <v>0</v>
      </c>
      <c r="K1468" s="159" t="str">
        <f ca="1">IFERROR(__xludf.DUMMYFUNCTION("GOOGLETRANSLATE(H1468,""th"",""en"")"),"Promotion")</f>
        <v>Promotion</v>
      </c>
    </row>
    <row r="1469" spans="1:11" ht="15.75" hidden="1" customHeight="1">
      <c r="A1469" s="133" t="s">
        <v>7</v>
      </c>
      <c r="B1469" s="133" t="s">
        <v>343</v>
      </c>
      <c r="C1469" s="133" t="s">
        <v>344</v>
      </c>
      <c r="D1469" s="133" t="s">
        <v>484</v>
      </c>
      <c r="E1469" s="158">
        <v>4</v>
      </c>
      <c r="F1469" s="158">
        <v>10</v>
      </c>
      <c r="G1469" s="158">
        <v>0</v>
      </c>
      <c r="H1469" s="133" t="s">
        <v>2164</v>
      </c>
      <c r="I1469" s="133" t="s">
        <v>479</v>
      </c>
      <c r="J1469" s="158">
        <v>0</v>
      </c>
      <c r="K1469" s="159" t="str">
        <f ca="1">IFERROR(__xludf.DUMMYFUNCTION("GOOGLETRANSLATE(H1469,""th"",""en"")"),"Order channel ID")</f>
        <v>Order channel ID</v>
      </c>
    </row>
    <row r="1470" spans="1:11" ht="15.75" hidden="1" customHeight="1">
      <c r="A1470" s="133" t="s">
        <v>7</v>
      </c>
      <c r="B1470" s="133" t="s">
        <v>343</v>
      </c>
      <c r="C1470" s="133" t="s">
        <v>2114</v>
      </c>
      <c r="D1470" s="133" t="s">
        <v>477</v>
      </c>
      <c r="E1470" s="158">
        <v>100</v>
      </c>
      <c r="F1470" s="158">
        <v>0</v>
      </c>
      <c r="G1470" s="158">
        <v>0</v>
      </c>
      <c r="H1470" s="133" t="s">
        <v>2165</v>
      </c>
      <c r="I1470" s="133" t="s">
        <v>548</v>
      </c>
      <c r="J1470" s="158">
        <v>0</v>
      </c>
      <c r="K1470" s="159" t="str">
        <f ca="1">IFERROR(__xludf.DUMMYFUNCTION("GOOGLETRANSLATE(H1470,""th"",""en"")"),"Channel name, order")</f>
        <v>Channel name, order</v>
      </c>
    </row>
    <row r="1471" spans="1:11" ht="15.75" hidden="1" customHeight="1">
      <c r="A1471" s="133" t="s">
        <v>7</v>
      </c>
      <c r="B1471" s="133" t="s">
        <v>343</v>
      </c>
      <c r="C1471" s="133" t="s">
        <v>2166</v>
      </c>
      <c r="D1471" s="133" t="s">
        <v>477</v>
      </c>
      <c r="E1471" s="158">
        <v>10</v>
      </c>
      <c r="F1471" s="158">
        <v>0</v>
      </c>
      <c r="G1471" s="158">
        <v>0</v>
      </c>
      <c r="H1471" s="133" t="s">
        <v>2167</v>
      </c>
      <c r="I1471" s="133" t="s">
        <v>548</v>
      </c>
      <c r="J1471" s="158">
        <v>0</v>
      </c>
      <c r="K1471" s="159" t="str">
        <f ca="1">IFERROR(__xludf.DUMMYFUNCTION("GOOGLETRANSLATE(H1471,""th"",""en"")"),"Order channel status")</f>
        <v>Order channel status</v>
      </c>
    </row>
    <row r="1472" spans="1:11" ht="15.75" hidden="1" customHeight="1">
      <c r="A1472" s="133" t="s">
        <v>7</v>
      </c>
      <c r="B1472" s="133" t="s">
        <v>343</v>
      </c>
      <c r="C1472" s="133" t="s">
        <v>1333</v>
      </c>
      <c r="D1472" s="133" t="s">
        <v>477</v>
      </c>
      <c r="E1472" s="158">
        <v>100</v>
      </c>
      <c r="F1472" s="158">
        <v>0</v>
      </c>
      <c r="G1472" s="158">
        <v>0</v>
      </c>
      <c r="H1472" s="133" t="s">
        <v>1392</v>
      </c>
      <c r="I1472" s="133" t="s">
        <v>548</v>
      </c>
      <c r="J1472" s="158">
        <v>0</v>
      </c>
      <c r="K1472" s="159" t="str">
        <f ca="1">IFERROR(__xludf.DUMMYFUNCTION("GOOGLETRANSLATE(H1472,""th"",""en"")"),"Named")</f>
        <v>Named</v>
      </c>
    </row>
    <row r="1473" spans="1:12" ht="15.75" hidden="1" customHeight="1">
      <c r="A1473" s="133" t="s">
        <v>7</v>
      </c>
      <c r="B1473" s="133" t="s">
        <v>343</v>
      </c>
      <c r="C1473" s="133" t="s">
        <v>1334</v>
      </c>
      <c r="D1473" s="133" t="s">
        <v>477</v>
      </c>
      <c r="E1473" s="158">
        <v>8</v>
      </c>
      <c r="F1473" s="158">
        <v>0</v>
      </c>
      <c r="G1473" s="158">
        <v>0</v>
      </c>
      <c r="H1473" s="133" t="s">
        <v>1393</v>
      </c>
      <c r="I1473" s="133" t="s">
        <v>548</v>
      </c>
      <c r="J1473" s="158">
        <v>0</v>
      </c>
      <c r="K1473" s="159" t="str">
        <f ca="1">IFERROR(__xludf.DUMMYFUNCTION("GOOGLETRANSLATE(H1473,""th"",""en"")"),"Those codes")</f>
        <v>Those codes</v>
      </c>
    </row>
    <row r="1474" spans="1:12" ht="15.75" hidden="1" customHeight="1">
      <c r="A1474" s="133" t="s">
        <v>7</v>
      </c>
      <c r="B1474" s="133" t="s">
        <v>343</v>
      </c>
      <c r="C1474" s="133" t="s">
        <v>184</v>
      </c>
      <c r="D1474" s="279" t="s">
        <v>477</v>
      </c>
      <c r="E1474" s="158">
        <v>8</v>
      </c>
      <c r="F1474" s="158">
        <v>27</v>
      </c>
      <c r="G1474" s="158">
        <v>7</v>
      </c>
      <c r="H1474" s="133" t="s">
        <v>735</v>
      </c>
      <c r="I1474" s="133" t="s">
        <v>1284</v>
      </c>
      <c r="J1474" s="158">
        <v>0</v>
      </c>
      <c r="K1474" s="159" t="str">
        <f ca="1">IFERROR(__xludf.DUMMYFUNCTION("GOOGLETRANSLATE(H1474,""th"",""en"")"),"Date created")</f>
        <v>Date created</v>
      </c>
      <c r="L1474" s="228" t="s">
        <v>800</v>
      </c>
    </row>
    <row r="1475" spans="1:12" ht="15.75" hidden="1" customHeight="1">
      <c r="A1475" s="133" t="s">
        <v>7</v>
      </c>
      <c r="B1475" s="133" t="s">
        <v>343</v>
      </c>
      <c r="C1475" s="133" t="s">
        <v>1335</v>
      </c>
      <c r="D1475" s="133" t="s">
        <v>477</v>
      </c>
      <c r="E1475" s="158">
        <v>100</v>
      </c>
      <c r="F1475" s="158">
        <v>0</v>
      </c>
      <c r="G1475" s="158">
        <v>0</v>
      </c>
      <c r="H1475" s="133" t="s">
        <v>1996</v>
      </c>
      <c r="I1475" s="133" t="s">
        <v>548</v>
      </c>
      <c r="J1475" s="158">
        <v>0</v>
      </c>
      <c r="K1475" s="159" t="str">
        <f ca="1">IFERROR(__xludf.DUMMYFUNCTION("GOOGLETRANSLATE(H1475,""th"",""en"")"),"The name of the editor")</f>
        <v>The name of the editor</v>
      </c>
      <c r="L1475" s="228"/>
    </row>
    <row r="1476" spans="1:12" ht="15.75" hidden="1" customHeight="1">
      <c r="A1476" s="133" t="s">
        <v>7</v>
      </c>
      <c r="B1476" s="133" t="s">
        <v>343</v>
      </c>
      <c r="C1476" s="133" t="s">
        <v>1336</v>
      </c>
      <c r="D1476" s="133" t="s">
        <v>477</v>
      </c>
      <c r="E1476" s="158">
        <v>8</v>
      </c>
      <c r="F1476" s="158">
        <v>0</v>
      </c>
      <c r="G1476" s="158">
        <v>0</v>
      </c>
      <c r="H1476" s="133" t="s">
        <v>1995</v>
      </c>
      <c r="I1476" s="133" t="s">
        <v>548</v>
      </c>
      <c r="J1476" s="158">
        <v>0</v>
      </c>
      <c r="K1476" s="159" t="str">
        <f ca="1">IFERROR(__xludf.DUMMYFUNCTION("GOOGLETRANSLATE(H1476,""th"",""en"")"),"Fixed code")</f>
        <v>Fixed code</v>
      </c>
    </row>
    <row r="1477" spans="1:12" ht="15.75" hidden="1" customHeight="1">
      <c r="A1477" s="133" t="s">
        <v>7</v>
      </c>
      <c r="B1477" s="133" t="s">
        <v>343</v>
      </c>
      <c r="C1477" s="133" t="s">
        <v>175</v>
      </c>
      <c r="D1477" s="279" t="s">
        <v>477</v>
      </c>
      <c r="E1477" s="158">
        <v>8</v>
      </c>
      <c r="F1477" s="158">
        <v>27</v>
      </c>
      <c r="G1477" s="158">
        <v>7</v>
      </c>
      <c r="H1477" s="133" t="s">
        <v>803</v>
      </c>
      <c r="I1477" s="133" t="s">
        <v>801</v>
      </c>
      <c r="J1477" s="158">
        <v>0</v>
      </c>
      <c r="K1477" s="159" t="str">
        <f ca="1">IFERROR(__xludf.DUMMYFUNCTION("GOOGLETRANSLATE(H1477,""th"",""en"")"),"Edit date")</f>
        <v>Edit date</v>
      </c>
      <c r="L1477" s="228" t="s">
        <v>800</v>
      </c>
    </row>
    <row r="1478" spans="1:12" ht="15.75" hidden="1" customHeight="1">
      <c r="A1478" s="133" t="s">
        <v>7</v>
      </c>
      <c r="B1478" s="133" t="s">
        <v>343</v>
      </c>
      <c r="C1478" s="133" t="s">
        <v>2168</v>
      </c>
      <c r="D1478" s="133" t="s">
        <v>477</v>
      </c>
      <c r="E1478" s="158">
        <v>50</v>
      </c>
      <c r="F1478" s="158">
        <v>0</v>
      </c>
      <c r="G1478" s="158">
        <v>0</v>
      </c>
      <c r="H1478" s="133" t="s">
        <v>2169</v>
      </c>
      <c r="I1478" s="133" t="s">
        <v>2170</v>
      </c>
      <c r="J1478" s="158">
        <v>0</v>
      </c>
      <c r="K1478" s="159" t="str">
        <f ca="1">IFERROR(__xludf.DUMMYFUNCTION("GOOGLETRANSLATE(H1478,""th"",""en"")"),"Group of orders [Online, Offline]")</f>
        <v>Group of orders [Online, Offline]</v>
      </c>
    </row>
    <row r="1479" spans="1:12" ht="15.75" hidden="1" customHeight="1">
      <c r="A1479" s="133" t="s">
        <v>7</v>
      </c>
      <c r="B1479" s="133" t="s">
        <v>343</v>
      </c>
      <c r="C1479" s="133" t="s">
        <v>2171</v>
      </c>
      <c r="D1479" s="133" t="s">
        <v>484</v>
      </c>
      <c r="E1479" s="158">
        <v>4</v>
      </c>
      <c r="F1479" s="158">
        <v>10</v>
      </c>
      <c r="G1479" s="158">
        <v>0</v>
      </c>
      <c r="H1479" s="133" t="s">
        <v>479</v>
      </c>
      <c r="I1479" s="133" t="s">
        <v>615</v>
      </c>
      <c r="J1479" s="158">
        <v>0</v>
      </c>
      <c r="K1479" s="159" t="str">
        <f ca="1">IFERROR(__xludf.DUMMYFUNCTION("GOOGLETRANSLATE(H1479,""th"",""en"")"),"Null")</f>
        <v>Null</v>
      </c>
    </row>
    <row r="1480" spans="1:12" ht="15.75" hidden="1" customHeight="1">
      <c r="A1480" s="133" t="s">
        <v>7</v>
      </c>
      <c r="B1480" s="133" t="s">
        <v>348</v>
      </c>
      <c r="C1480" s="133" t="s">
        <v>350</v>
      </c>
      <c r="D1480" s="133" t="s">
        <v>484</v>
      </c>
      <c r="E1480" s="158">
        <v>4</v>
      </c>
      <c r="F1480" s="158">
        <v>10</v>
      </c>
      <c r="G1480" s="158">
        <v>0</v>
      </c>
      <c r="H1480" s="160"/>
      <c r="I1480" s="133" t="s">
        <v>479</v>
      </c>
      <c r="J1480" s="158">
        <v>0</v>
      </c>
      <c r="K1480" s="159" t="str">
        <f ca="1">IFERROR(__xludf.DUMMYFUNCTION("GOOGLETRANSLATE(H1480,""th"",""en"")"),"#VALUE!")</f>
        <v>#VALUE!</v>
      </c>
    </row>
    <row r="1481" spans="1:12" ht="15.75" hidden="1" customHeight="1">
      <c r="A1481" s="133" t="s">
        <v>7</v>
      </c>
      <c r="B1481" s="133" t="s">
        <v>348</v>
      </c>
      <c r="C1481" s="133" t="s">
        <v>2172</v>
      </c>
      <c r="D1481" s="133" t="s">
        <v>477</v>
      </c>
      <c r="E1481" s="158">
        <v>250</v>
      </c>
      <c r="F1481" s="158">
        <v>0</v>
      </c>
      <c r="G1481" s="158">
        <v>0</v>
      </c>
      <c r="H1481" s="133" t="s">
        <v>1648</v>
      </c>
      <c r="I1481" s="133" t="s">
        <v>548</v>
      </c>
      <c r="J1481" s="158">
        <v>0</v>
      </c>
      <c r="K1481" s="159" t="str">
        <f ca="1">IFERROR(__xludf.DUMMYFUNCTION("GOOGLETRANSLATE(H1481,""th"",""en"")"),"Trial")</f>
        <v>Trial</v>
      </c>
    </row>
    <row r="1482" spans="1:12" ht="15.75" hidden="1" customHeight="1">
      <c r="A1482" s="133" t="s">
        <v>7</v>
      </c>
      <c r="B1482" s="133" t="s">
        <v>348</v>
      </c>
      <c r="C1482" s="133" t="s">
        <v>2173</v>
      </c>
      <c r="D1482" s="133" t="s">
        <v>477</v>
      </c>
      <c r="E1482" s="158">
        <v>10</v>
      </c>
      <c r="F1482" s="158">
        <v>0</v>
      </c>
      <c r="G1482" s="158">
        <v>0</v>
      </c>
      <c r="H1482" s="133" t="s">
        <v>479</v>
      </c>
      <c r="I1482" s="133" t="s">
        <v>548</v>
      </c>
      <c r="J1482" s="158">
        <v>0</v>
      </c>
      <c r="K1482" s="159" t="str">
        <f ca="1">IFERROR(__xludf.DUMMYFUNCTION("GOOGLETRANSLATE(H1482,""th"",""en"")"),"Null")</f>
        <v>Null</v>
      </c>
    </row>
    <row r="1483" spans="1:12" ht="15.75" hidden="1" customHeight="1">
      <c r="A1483" s="133" t="s">
        <v>7</v>
      </c>
      <c r="B1483" s="133" t="s">
        <v>348</v>
      </c>
      <c r="C1483" s="133" t="s">
        <v>344</v>
      </c>
      <c r="D1483" s="133" t="s">
        <v>484</v>
      </c>
      <c r="E1483" s="158">
        <v>4</v>
      </c>
      <c r="F1483" s="158">
        <v>10</v>
      </c>
      <c r="G1483" s="158">
        <v>0</v>
      </c>
      <c r="H1483" s="133" t="s">
        <v>479</v>
      </c>
      <c r="I1483" s="133" t="s">
        <v>615</v>
      </c>
      <c r="J1483" s="158">
        <v>0</v>
      </c>
      <c r="K1483" s="159" t="str">
        <f ca="1">IFERROR(__xludf.DUMMYFUNCTION("GOOGLETRANSLATE(H1483,""th"",""en"")"),"Null")</f>
        <v>Null</v>
      </c>
    </row>
    <row r="1484" spans="1:12" ht="15.75" hidden="1" customHeight="1">
      <c r="A1484" s="133" t="s">
        <v>7</v>
      </c>
      <c r="B1484" s="133" t="s">
        <v>348</v>
      </c>
      <c r="C1484" s="133" t="s">
        <v>1333</v>
      </c>
      <c r="D1484" s="133" t="s">
        <v>477</v>
      </c>
      <c r="E1484" s="158">
        <v>100</v>
      </c>
      <c r="F1484" s="158">
        <v>0</v>
      </c>
      <c r="G1484" s="158">
        <v>0</v>
      </c>
      <c r="H1484" s="133" t="s">
        <v>1648</v>
      </c>
      <c r="I1484" s="133" t="s">
        <v>548</v>
      </c>
      <c r="J1484" s="158">
        <v>0</v>
      </c>
      <c r="K1484" s="159" t="str">
        <f ca="1">IFERROR(__xludf.DUMMYFUNCTION("GOOGLETRANSLATE(H1484,""th"",""en"")"),"Trial")</f>
        <v>Trial</v>
      </c>
    </row>
    <row r="1485" spans="1:12" ht="15.75" hidden="1" customHeight="1">
      <c r="A1485" s="133" t="s">
        <v>7</v>
      </c>
      <c r="B1485" s="133" t="s">
        <v>348</v>
      </c>
      <c r="C1485" s="133" t="s">
        <v>1334</v>
      </c>
      <c r="D1485" s="133" t="s">
        <v>477</v>
      </c>
      <c r="E1485" s="158">
        <v>8</v>
      </c>
      <c r="F1485" s="158">
        <v>0</v>
      </c>
      <c r="G1485" s="158">
        <v>0</v>
      </c>
      <c r="H1485" s="133" t="s">
        <v>1648</v>
      </c>
      <c r="I1485" s="133" t="s">
        <v>548</v>
      </c>
      <c r="J1485" s="158">
        <v>0</v>
      </c>
      <c r="K1485" s="159" t="str">
        <f ca="1">IFERROR(__xludf.DUMMYFUNCTION("GOOGLETRANSLATE(H1485,""th"",""en"")"),"Trial")</f>
        <v>Trial</v>
      </c>
    </row>
    <row r="1486" spans="1:12" ht="15.75" hidden="1" customHeight="1">
      <c r="A1486" s="133" t="s">
        <v>7</v>
      </c>
      <c r="B1486" s="133" t="s">
        <v>348</v>
      </c>
      <c r="C1486" s="133" t="s">
        <v>184</v>
      </c>
      <c r="D1486" s="133" t="s">
        <v>538</v>
      </c>
      <c r="E1486" s="158">
        <v>8</v>
      </c>
      <c r="F1486" s="158">
        <v>23</v>
      </c>
      <c r="G1486" s="158">
        <v>3</v>
      </c>
      <c r="H1486" s="133" t="s">
        <v>1648</v>
      </c>
      <c r="I1486" s="133" t="s">
        <v>1284</v>
      </c>
      <c r="J1486" s="158">
        <v>0</v>
      </c>
      <c r="K1486" s="159" t="str">
        <f ca="1">IFERROR(__xludf.DUMMYFUNCTION("GOOGLETRANSLATE(H1486,""th"",""en"")"),"Trial")</f>
        <v>Trial</v>
      </c>
    </row>
    <row r="1487" spans="1:12" ht="15.75" hidden="1" customHeight="1">
      <c r="A1487" s="133" t="s">
        <v>7</v>
      </c>
      <c r="B1487" s="133" t="s">
        <v>348</v>
      </c>
      <c r="C1487" s="133" t="s">
        <v>1335</v>
      </c>
      <c r="D1487" s="133" t="s">
        <v>477</v>
      </c>
      <c r="E1487" s="158">
        <v>100</v>
      </c>
      <c r="F1487" s="158">
        <v>0</v>
      </c>
      <c r="G1487" s="158">
        <v>0</v>
      </c>
      <c r="H1487" s="133" t="s">
        <v>1648</v>
      </c>
      <c r="I1487" s="133" t="s">
        <v>548</v>
      </c>
      <c r="J1487" s="158">
        <v>0</v>
      </c>
      <c r="K1487" s="159" t="str">
        <f ca="1">IFERROR(__xludf.DUMMYFUNCTION("GOOGLETRANSLATE(H1487,""th"",""en"")"),"Trial")</f>
        <v>Trial</v>
      </c>
    </row>
    <row r="1488" spans="1:12" ht="15.75" hidden="1" customHeight="1">
      <c r="A1488" s="133" t="s">
        <v>7</v>
      </c>
      <c r="B1488" s="133" t="s">
        <v>348</v>
      </c>
      <c r="C1488" s="133" t="s">
        <v>1336</v>
      </c>
      <c r="D1488" s="133" t="s">
        <v>477</v>
      </c>
      <c r="E1488" s="158">
        <v>8</v>
      </c>
      <c r="F1488" s="158">
        <v>0</v>
      </c>
      <c r="G1488" s="158">
        <v>0</v>
      </c>
      <c r="H1488" s="133" t="s">
        <v>1648</v>
      </c>
      <c r="I1488" s="133" t="s">
        <v>548</v>
      </c>
      <c r="J1488" s="158">
        <v>0</v>
      </c>
      <c r="K1488" s="159" t="str">
        <f ca="1">IFERROR(__xludf.DUMMYFUNCTION("GOOGLETRANSLATE(H1488,""th"",""en"")"),"Trial")</f>
        <v>Trial</v>
      </c>
    </row>
    <row r="1489" spans="1:11" ht="15.75" hidden="1" customHeight="1">
      <c r="A1489" s="133" t="s">
        <v>7</v>
      </c>
      <c r="B1489" s="133" t="s">
        <v>348</v>
      </c>
      <c r="C1489" s="133" t="s">
        <v>175</v>
      </c>
      <c r="D1489" s="133" t="s">
        <v>538</v>
      </c>
      <c r="E1489" s="158">
        <v>8</v>
      </c>
      <c r="F1489" s="158">
        <v>23</v>
      </c>
      <c r="G1489" s="158">
        <v>3</v>
      </c>
      <c r="H1489" s="133" t="s">
        <v>1648</v>
      </c>
      <c r="I1489" s="133" t="s">
        <v>1284</v>
      </c>
      <c r="J1489" s="158">
        <v>0</v>
      </c>
      <c r="K1489" s="159" t="str">
        <f ca="1">IFERROR(__xludf.DUMMYFUNCTION("GOOGLETRANSLATE(H1489,""th"",""en"")"),"Trial")</f>
        <v>Trial</v>
      </c>
    </row>
    <row r="1490" spans="1:11" ht="15.75" hidden="1" customHeight="1">
      <c r="A1490" s="133" t="s">
        <v>7</v>
      </c>
      <c r="B1490" s="133" t="s">
        <v>348</v>
      </c>
      <c r="C1490" s="133" t="s">
        <v>2174</v>
      </c>
      <c r="D1490" s="133" t="s">
        <v>484</v>
      </c>
      <c r="E1490" s="158">
        <v>4</v>
      </c>
      <c r="F1490" s="158">
        <v>10</v>
      </c>
      <c r="G1490" s="158">
        <v>0</v>
      </c>
      <c r="H1490" s="133" t="s">
        <v>479</v>
      </c>
      <c r="I1490" s="133" t="s">
        <v>615</v>
      </c>
      <c r="J1490" s="158">
        <v>0</v>
      </c>
      <c r="K1490" s="159" t="str">
        <f ca="1">IFERROR(__xludf.DUMMYFUNCTION("GOOGLETRANSLATE(H1490,""th"",""en"")"),"Null")</f>
        <v>Null</v>
      </c>
    </row>
    <row r="1491" spans="1:11" ht="15.75" hidden="1" customHeight="1">
      <c r="A1491" s="133" t="s">
        <v>7</v>
      </c>
      <c r="B1491" s="133" t="s">
        <v>351</v>
      </c>
      <c r="C1491" s="133" t="s">
        <v>292</v>
      </c>
      <c r="D1491" s="133" t="s">
        <v>484</v>
      </c>
      <c r="E1491" s="158">
        <v>4</v>
      </c>
      <c r="F1491" s="158">
        <v>10</v>
      </c>
      <c r="G1491" s="158">
        <v>0</v>
      </c>
      <c r="H1491" s="133" t="s">
        <v>1422</v>
      </c>
      <c r="I1491" s="133" t="s">
        <v>479</v>
      </c>
      <c r="J1491" s="158">
        <v>0</v>
      </c>
      <c r="K1491" s="159" t="str">
        <f ca="1">IFERROR(__xludf.DUMMYFUNCTION("GOOGLETRANSLATE(H1491,""th"",""en"")"),"number")</f>
        <v>number</v>
      </c>
    </row>
    <row r="1492" spans="1:11" ht="15.75" hidden="1" customHeight="1">
      <c r="A1492" s="133" t="s">
        <v>7</v>
      </c>
      <c r="B1492" s="133" t="s">
        <v>351</v>
      </c>
      <c r="C1492" s="133" t="s">
        <v>2175</v>
      </c>
      <c r="D1492" s="133" t="s">
        <v>477</v>
      </c>
      <c r="E1492" s="158">
        <v>30</v>
      </c>
      <c r="F1492" s="158">
        <v>0</v>
      </c>
      <c r="G1492" s="158">
        <v>0</v>
      </c>
      <c r="H1492" s="133" t="s">
        <v>2176</v>
      </c>
      <c r="I1492" s="133" t="s">
        <v>548</v>
      </c>
      <c r="J1492" s="158">
        <v>0</v>
      </c>
      <c r="K1492" s="159" t="str">
        <f ca="1">IFERROR(__xludf.DUMMYFUNCTION("GOOGLETRANSLATE(H1492,""th"",""en"")"),"Thai product model name")</f>
        <v>Thai product model name</v>
      </c>
    </row>
    <row r="1493" spans="1:11" ht="15.75" hidden="1" customHeight="1">
      <c r="A1493" s="133" t="s">
        <v>7</v>
      </c>
      <c r="B1493" s="133" t="s">
        <v>351</v>
      </c>
      <c r="C1493" s="133" t="s">
        <v>2177</v>
      </c>
      <c r="D1493" s="133" t="s">
        <v>477</v>
      </c>
      <c r="E1493" s="158">
        <v>30</v>
      </c>
      <c r="F1493" s="158">
        <v>0</v>
      </c>
      <c r="G1493" s="158">
        <v>0</v>
      </c>
      <c r="H1493" s="133" t="s">
        <v>2178</v>
      </c>
      <c r="I1493" s="133" t="s">
        <v>548</v>
      </c>
      <c r="J1493" s="158">
        <v>0</v>
      </c>
      <c r="K1493" s="159" t="str">
        <f ca="1">IFERROR(__xludf.DUMMYFUNCTION("GOOGLETRANSLATE(H1493,""th"",""en"")"),"English product model name")</f>
        <v>English product model name</v>
      </c>
    </row>
    <row r="1494" spans="1:11" ht="15.75" hidden="1" customHeight="1">
      <c r="A1494" s="133" t="s">
        <v>7</v>
      </c>
      <c r="B1494" s="133" t="s">
        <v>351</v>
      </c>
      <c r="C1494" s="133" t="s">
        <v>523</v>
      </c>
      <c r="D1494" s="133" t="s">
        <v>477</v>
      </c>
      <c r="E1494" s="158">
        <v>8</v>
      </c>
      <c r="F1494" s="158">
        <v>0</v>
      </c>
      <c r="G1494" s="158">
        <v>0</v>
      </c>
      <c r="H1494" s="133" t="s">
        <v>834</v>
      </c>
      <c r="I1494" s="133" t="s">
        <v>548</v>
      </c>
      <c r="J1494" s="158">
        <v>0</v>
      </c>
      <c r="K1494" s="159" t="str">
        <f ca="1">IFERROR(__xludf.DUMMYFUNCTION("GOOGLETRANSLATE(H1494,""th"",""en"")"),"Information Creator ID")</f>
        <v>Information Creator ID</v>
      </c>
    </row>
    <row r="1495" spans="1:11" ht="15.75" hidden="1" customHeight="1">
      <c r="A1495" s="133" t="s">
        <v>7</v>
      </c>
      <c r="B1495" s="133" t="s">
        <v>351</v>
      </c>
      <c r="C1495" s="133" t="s">
        <v>669</v>
      </c>
      <c r="D1495" s="133" t="s">
        <v>800</v>
      </c>
      <c r="E1495" s="158">
        <v>8</v>
      </c>
      <c r="F1495" s="158">
        <v>27</v>
      </c>
      <c r="G1495" s="158">
        <v>7</v>
      </c>
      <c r="H1495" s="133" t="s">
        <v>835</v>
      </c>
      <c r="I1495" s="133" t="s">
        <v>801</v>
      </c>
      <c r="J1495" s="158">
        <v>0</v>
      </c>
      <c r="K1495" s="159" t="str">
        <f ca="1">IFERROR(__xludf.DUMMYFUNCTION("GOOGLETRANSLATE(H1495,""th"",""en"")"),"Date created")</f>
        <v>Date created</v>
      </c>
    </row>
    <row r="1496" spans="1:11" ht="15.75" hidden="1" customHeight="1">
      <c r="A1496" s="133" t="s">
        <v>7</v>
      </c>
      <c r="B1496" s="133" t="s">
        <v>351</v>
      </c>
      <c r="C1496" s="133" t="s">
        <v>670</v>
      </c>
      <c r="D1496" s="133" t="s">
        <v>477</v>
      </c>
      <c r="E1496" s="158">
        <v>8</v>
      </c>
      <c r="F1496" s="158">
        <v>0</v>
      </c>
      <c r="G1496" s="158">
        <v>0</v>
      </c>
      <c r="H1496" s="133" t="s">
        <v>836</v>
      </c>
      <c r="I1496" s="133" t="s">
        <v>548</v>
      </c>
      <c r="J1496" s="158">
        <v>0</v>
      </c>
      <c r="K1496" s="159" t="str">
        <f ca="1">IFERROR(__xludf.DUMMYFUNCTION("GOOGLETRANSLATE(H1496,""th"",""en"")"),"Latest data editor")</f>
        <v>Latest data editor</v>
      </c>
    </row>
    <row r="1497" spans="1:11" ht="15.75" hidden="1" customHeight="1">
      <c r="A1497" s="133" t="s">
        <v>7</v>
      </c>
      <c r="B1497" s="133" t="s">
        <v>351</v>
      </c>
      <c r="C1497" s="133" t="s">
        <v>215</v>
      </c>
      <c r="D1497" s="133" t="s">
        <v>800</v>
      </c>
      <c r="E1497" s="158">
        <v>8</v>
      </c>
      <c r="F1497" s="158">
        <v>27</v>
      </c>
      <c r="G1497" s="158">
        <v>7</v>
      </c>
      <c r="H1497" s="133" t="s">
        <v>837</v>
      </c>
      <c r="I1497" s="133" t="s">
        <v>801</v>
      </c>
      <c r="J1497" s="158">
        <v>0</v>
      </c>
      <c r="K1497" s="159" t="str">
        <f ca="1">IFERROR(__xludf.DUMMYFUNCTION("GOOGLETRANSLATE(H1497,""th"",""en"")"),"Last editing date")</f>
        <v>Last editing date</v>
      </c>
    </row>
    <row r="1498" spans="1:11" ht="15.75" hidden="1" customHeight="1">
      <c r="A1498" s="133" t="s">
        <v>7</v>
      </c>
      <c r="B1498" s="133" t="s">
        <v>351</v>
      </c>
      <c r="C1498" s="133" t="s">
        <v>2179</v>
      </c>
      <c r="D1498" s="133" t="s">
        <v>484</v>
      </c>
      <c r="E1498" s="158">
        <v>4</v>
      </c>
      <c r="F1498" s="158">
        <v>10</v>
      </c>
      <c r="G1498" s="158">
        <v>0</v>
      </c>
      <c r="H1498" s="133" t="s">
        <v>2180</v>
      </c>
      <c r="I1498" s="133" t="s">
        <v>615</v>
      </c>
      <c r="J1498" s="158">
        <v>0</v>
      </c>
      <c r="K1498" s="159" t="str">
        <f ca="1">IFERROR(__xludf.DUMMYFUNCTION("GOOGLETRANSLATE(H1498,""th"",""en"")"),"Keep data for reference: Product model code (Old from the ORP system)")</f>
        <v>Keep data for reference: Product model code (Old from the ORP system)</v>
      </c>
    </row>
    <row r="1499" spans="1:11" ht="15.75" hidden="1" customHeight="1">
      <c r="A1499" s="133" t="s">
        <v>7</v>
      </c>
      <c r="B1499" s="133" t="s">
        <v>351</v>
      </c>
      <c r="C1499" s="133" t="s">
        <v>811</v>
      </c>
      <c r="D1499" s="133" t="s">
        <v>477</v>
      </c>
      <c r="E1499" s="158">
        <v>10</v>
      </c>
      <c r="F1499" s="158">
        <v>0</v>
      </c>
      <c r="G1499" s="158">
        <v>0</v>
      </c>
      <c r="H1499" s="133" t="s">
        <v>2181</v>
      </c>
      <c r="I1499" s="133" t="s">
        <v>813</v>
      </c>
      <c r="J1499" s="158">
        <v>0</v>
      </c>
      <c r="K1499" s="159" t="str">
        <f ca="1">IFERROR(__xludf.DUMMYFUNCTION("GOOGLETRANSLATE(H1499,""th"",""en"")"),"Status Model [Active, Inactive, Delete]")</f>
        <v>Status Model [Active, Inactive, Delete]</v>
      </c>
    </row>
    <row r="1500" spans="1:11" ht="15.75" hidden="1" customHeight="1">
      <c r="A1500" s="133" t="s">
        <v>7</v>
      </c>
      <c r="B1500" s="133" t="s">
        <v>351</v>
      </c>
      <c r="C1500" s="133" t="s">
        <v>814</v>
      </c>
      <c r="D1500" s="133" t="s">
        <v>477</v>
      </c>
      <c r="E1500" s="158">
        <v>100</v>
      </c>
      <c r="F1500" s="158">
        <v>0</v>
      </c>
      <c r="G1500" s="158">
        <v>0</v>
      </c>
      <c r="H1500" s="133" t="s">
        <v>815</v>
      </c>
      <c r="I1500" s="133" t="s">
        <v>548</v>
      </c>
      <c r="J1500" s="158">
        <v>0</v>
      </c>
      <c r="K1500" s="159" t="str">
        <f ca="1">IFERROR(__xludf.DUMMYFUNCTION("GOOGLETRANSLATE(H1500,""th"",""en"")"),"Information Creator Name")</f>
        <v>Information Creator Name</v>
      </c>
    </row>
    <row r="1501" spans="1:11" ht="15.75" hidden="1" customHeight="1">
      <c r="A1501" s="133" t="s">
        <v>7</v>
      </c>
      <c r="B1501" s="133" t="s">
        <v>351</v>
      </c>
      <c r="C1501" s="133" t="s">
        <v>816</v>
      </c>
      <c r="D1501" s="133" t="s">
        <v>477</v>
      </c>
      <c r="E1501" s="158">
        <v>100</v>
      </c>
      <c r="F1501" s="158">
        <v>0</v>
      </c>
      <c r="G1501" s="158">
        <v>0</v>
      </c>
      <c r="H1501" s="133" t="s">
        <v>817</v>
      </c>
      <c r="I1501" s="133" t="s">
        <v>548</v>
      </c>
      <c r="J1501" s="158">
        <v>0</v>
      </c>
      <c r="K1501" s="159" t="str">
        <f ca="1">IFERROR(__xludf.DUMMYFUNCTION("GOOGLETRANSLATE(H1501,""th"",""en"")"),"Latest information")</f>
        <v>Latest information</v>
      </c>
    </row>
    <row r="1502" spans="1:11" ht="15.75" hidden="1" customHeight="1">
      <c r="A1502" s="133" t="s">
        <v>7</v>
      </c>
      <c r="B1502" s="133" t="s">
        <v>351</v>
      </c>
      <c r="C1502" s="133" t="s">
        <v>2182</v>
      </c>
      <c r="D1502" s="133" t="s">
        <v>477</v>
      </c>
      <c r="E1502" s="158">
        <v>30</v>
      </c>
      <c r="F1502" s="158">
        <v>0</v>
      </c>
      <c r="G1502" s="158">
        <v>0</v>
      </c>
      <c r="H1502" s="133" t="s">
        <v>2183</v>
      </c>
      <c r="I1502" s="133" t="s">
        <v>548</v>
      </c>
      <c r="J1502" s="158">
        <v>0</v>
      </c>
      <c r="K1502" s="159" t="str">
        <f ca="1">IFERROR(__xludf.DUMMYFUNCTION("GOOGLETRANSLATE(H1502,""th"",""en"")"),"Product version code (from PIM)")</f>
        <v>Product version code (from PIM)</v>
      </c>
    </row>
    <row r="1503" spans="1:11" ht="15.75" hidden="1" customHeight="1">
      <c r="A1503" s="133" t="s">
        <v>7</v>
      </c>
      <c r="B1503" s="133" t="s">
        <v>353</v>
      </c>
      <c r="C1503" s="133" t="s">
        <v>2184</v>
      </c>
      <c r="D1503" s="133" t="s">
        <v>484</v>
      </c>
      <c r="E1503" s="158">
        <v>4</v>
      </c>
      <c r="F1503" s="158">
        <v>10</v>
      </c>
      <c r="G1503" s="158">
        <v>0</v>
      </c>
      <c r="H1503" s="160"/>
      <c r="I1503" s="133" t="s">
        <v>479</v>
      </c>
      <c r="J1503" s="158">
        <v>0</v>
      </c>
      <c r="K1503" s="159" t="str">
        <f ca="1">IFERROR(__xludf.DUMMYFUNCTION("GOOGLETRANSLATE(H1503,""th"",""en"")"),"#VALUE!")</f>
        <v>#VALUE!</v>
      </c>
    </row>
    <row r="1504" spans="1:11" ht="15.75" hidden="1" customHeight="1">
      <c r="A1504" s="133" t="s">
        <v>7</v>
      </c>
      <c r="B1504" s="133" t="s">
        <v>353</v>
      </c>
      <c r="C1504" s="133" t="s">
        <v>174</v>
      </c>
      <c r="D1504" s="133" t="s">
        <v>477</v>
      </c>
      <c r="E1504" s="158">
        <v>8</v>
      </c>
      <c r="F1504" s="158">
        <v>0</v>
      </c>
      <c r="G1504" s="158">
        <v>0</v>
      </c>
      <c r="H1504" s="160"/>
      <c r="I1504" s="133" t="s">
        <v>548</v>
      </c>
      <c r="J1504" s="158">
        <v>0</v>
      </c>
      <c r="K1504" s="159" t="str">
        <f ca="1">IFERROR(__xludf.DUMMYFUNCTION("GOOGLETRANSLATE(H1504,""th"",""en"")"),"#VALUE!")</f>
        <v>#VALUE!</v>
      </c>
    </row>
    <row r="1505" spans="1:11" ht="15.75" hidden="1" customHeight="1">
      <c r="A1505" s="133" t="s">
        <v>7</v>
      </c>
      <c r="B1505" s="133" t="s">
        <v>353</v>
      </c>
      <c r="C1505" s="133" t="s">
        <v>2185</v>
      </c>
      <c r="D1505" s="133" t="s">
        <v>477</v>
      </c>
      <c r="E1505" s="158">
        <v>55</v>
      </c>
      <c r="F1505" s="158">
        <v>0</v>
      </c>
      <c r="G1505" s="158">
        <v>0</v>
      </c>
      <c r="H1505" s="133" t="s">
        <v>1648</v>
      </c>
      <c r="I1505" s="133" t="s">
        <v>548</v>
      </c>
      <c r="J1505" s="158">
        <v>0</v>
      </c>
      <c r="K1505" s="159" t="str">
        <f ca="1">IFERROR(__xludf.DUMMYFUNCTION("GOOGLETRANSLATE(H1505,""th"",""en"")"),"Trial")</f>
        <v>Trial</v>
      </c>
    </row>
    <row r="1506" spans="1:11" ht="15.75" hidden="1" customHeight="1">
      <c r="A1506" s="133" t="s">
        <v>7</v>
      </c>
      <c r="B1506" s="133" t="s">
        <v>353</v>
      </c>
      <c r="C1506" s="133" t="s">
        <v>2186</v>
      </c>
      <c r="D1506" s="133" t="s">
        <v>477</v>
      </c>
      <c r="E1506" s="158">
        <v>10</v>
      </c>
      <c r="F1506" s="158">
        <v>0</v>
      </c>
      <c r="G1506" s="158">
        <v>0</v>
      </c>
      <c r="H1506" s="133" t="s">
        <v>1648</v>
      </c>
      <c r="I1506" s="133" t="s">
        <v>548</v>
      </c>
      <c r="J1506" s="158">
        <v>0</v>
      </c>
      <c r="K1506" s="159" t="str">
        <f ca="1">IFERROR(__xludf.DUMMYFUNCTION("GOOGLETRANSLATE(H1506,""th"",""en"")"),"Trial")</f>
        <v>Trial</v>
      </c>
    </row>
    <row r="1507" spans="1:11" ht="15.75" hidden="1" customHeight="1">
      <c r="A1507" s="133" t="s">
        <v>7</v>
      </c>
      <c r="B1507" s="133" t="s">
        <v>353</v>
      </c>
      <c r="C1507" s="133" t="s">
        <v>2187</v>
      </c>
      <c r="D1507" s="133" t="s">
        <v>477</v>
      </c>
      <c r="E1507" s="158">
        <v>55</v>
      </c>
      <c r="F1507" s="158">
        <v>0</v>
      </c>
      <c r="G1507" s="158">
        <v>0</v>
      </c>
      <c r="H1507" s="133" t="s">
        <v>1648</v>
      </c>
      <c r="I1507" s="133" t="s">
        <v>548</v>
      </c>
      <c r="J1507" s="158">
        <v>0</v>
      </c>
      <c r="K1507" s="159" t="str">
        <f ca="1">IFERROR(__xludf.DUMMYFUNCTION("GOOGLETRANSLATE(H1507,""th"",""en"")"),"Trial")</f>
        <v>Trial</v>
      </c>
    </row>
    <row r="1508" spans="1:11" ht="15.75" hidden="1" customHeight="1">
      <c r="A1508" s="133" t="s">
        <v>7</v>
      </c>
      <c r="B1508" s="133" t="s">
        <v>353</v>
      </c>
      <c r="C1508" s="133" t="s">
        <v>2188</v>
      </c>
      <c r="D1508" s="133" t="s">
        <v>477</v>
      </c>
      <c r="E1508" s="158">
        <v>110</v>
      </c>
      <c r="F1508" s="158">
        <v>0</v>
      </c>
      <c r="G1508" s="158">
        <v>0</v>
      </c>
      <c r="H1508" s="133" t="s">
        <v>1648</v>
      </c>
      <c r="I1508" s="133" t="s">
        <v>548</v>
      </c>
      <c r="J1508" s="158">
        <v>0</v>
      </c>
      <c r="K1508" s="159" t="str">
        <f ca="1">IFERROR(__xludf.DUMMYFUNCTION("GOOGLETRANSLATE(H1508,""th"",""en"")"),"Trial")</f>
        <v>Trial</v>
      </c>
    </row>
    <row r="1509" spans="1:11" ht="15.75" hidden="1" customHeight="1">
      <c r="A1509" s="133" t="s">
        <v>7</v>
      </c>
      <c r="B1509" s="133" t="s">
        <v>353</v>
      </c>
      <c r="C1509" s="133" t="s">
        <v>2189</v>
      </c>
      <c r="D1509" s="133" t="s">
        <v>477</v>
      </c>
      <c r="E1509" s="158">
        <v>55</v>
      </c>
      <c r="F1509" s="158">
        <v>0</v>
      </c>
      <c r="G1509" s="158">
        <v>0</v>
      </c>
      <c r="H1509" s="133" t="s">
        <v>1648</v>
      </c>
      <c r="I1509" s="133" t="s">
        <v>548</v>
      </c>
      <c r="J1509" s="158">
        <v>0</v>
      </c>
      <c r="K1509" s="159" t="str">
        <f ca="1">IFERROR(__xludf.DUMMYFUNCTION("GOOGLETRANSLATE(H1509,""th"",""en"")"),"Trial")</f>
        <v>Trial</v>
      </c>
    </row>
    <row r="1510" spans="1:11" ht="15.75" hidden="1" customHeight="1">
      <c r="A1510" s="133" t="s">
        <v>7</v>
      </c>
      <c r="B1510" s="133" t="s">
        <v>353</v>
      </c>
      <c r="C1510" s="133" t="s">
        <v>2190</v>
      </c>
      <c r="D1510" s="133" t="s">
        <v>477</v>
      </c>
      <c r="E1510" s="158">
        <v>55</v>
      </c>
      <c r="F1510" s="158">
        <v>0</v>
      </c>
      <c r="G1510" s="158">
        <v>0</v>
      </c>
      <c r="H1510" s="133" t="s">
        <v>1648</v>
      </c>
      <c r="I1510" s="133" t="s">
        <v>548</v>
      </c>
      <c r="J1510" s="158">
        <v>0</v>
      </c>
      <c r="K1510" s="159" t="str">
        <f ca="1">IFERROR(__xludf.DUMMYFUNCTION("GOOGLETRANSLATE(H1510,""th"",""en"")"),"Trial")</f>
        <v>Trial</v>
      </c>
    </row>
    <row r="1511" spans="1:11" ht="15.75" hidden="1" customHeight="1">
      <c r="A1511" s="133" t="s">
        <v>7</v>
      </c>
      <c r="B1511" s="133" t="s">
        <v>353</v>
      </c>
      <c r="C1511" s="133" t="s">
        <v>2191</v>
      </c>
      <c r="D1511" s="133" t="s">
        <v>477</v>
      </c>
      <c r="E1511" s="158">
        <v>35</v>
      </c>
      <c r="F1511" s="158">
        <v>0</v>
      </c>
      <c r="G1511" s="158">
        <v>0</v>
      </c>
      <c r="H1511" s="133" t="s">
        <v>479</v>
      </c>
      <c r="I1511" s="133" t="s">
        <v>548</v>
      </c>
      <c r="J1511" s="158">
        <v>0</v>
      </c>
      <c r="K1511" s="159" t="str">
        <f ca="1">IFERROR(__xludf.DUMMYFUNCTION("GOOGLETRANSLATE(H1511,""th"",""en"")"),"Null")</f>
        <v>Null</v>
      </c>
    </row>
    <row r="1512" spans="1:11" ht="15.75" hidden="1" customHeight="1">
      <c r="A1512" s="133" t="s">
        <v>7</v>
      </c>
      <c r="B1512" s="133" t="s">
        <v>353</v>
      </c>
      <c r="C1512" s="133" t="s">
        <v>2192</v>
      </c>
      <c r="D1512" s="133" t="s">
        <v>477</v>
      </c>
      <c r="E1512" s="158">
        <v>20</v>
      </c>
      <c r="F1512" s="158">
        <v>0</v>
      </c>
      <c r="G1512" s="158">
        <v>0</v>
      </c>
      <c r="H1512" s="133" t="s">
        <v>1648</v>
      </c>
      <c r="I1512" s="133" t="s">
        <v>548</v>
      </c>
      <c r="J1512" s="158">
        <v>0</v>
      </c>
      <c r="K1512" s="159" t="str">
        <f ca="1">IFERROR(__xludf.DUMMYFUNCTION("GOOGLETRANSLATE(H1512,""th"",""en"")"),"Trial")</f>
        <v>Trial</v>
      </c>
    </row>
    <row r="1513" spans="1:11" ht="15.75" hidden="1" customHeight="1">
      <c r="A1513" s="133" t="s">
        <v>7</v>
      </c>
      <c r="B1513" s="133" t="s">
        <v>353</v>
      </c>
      <c r="C1513" s="133" t="s">
        <v>2193</v>
      </c>
      <c r="D1513" s="133" t="s">
        <v>477</v>
      </c>
      <c r="E1513" s="158">
        <v>10</v>
      </c>
      <c r="F1513" s="158">
        <v>0</v>
      </c>
      <c r="G1513" s="158">
        <v>0</v>
      </c>
      <c r="H1513" s="133" t="s">
        <v>479</v>
      </c>
      <c r="I1513" s="133" t="s">
        <v>548</v>
      </c>
      <c r="J1513" s="277">
        <v>1</v>
      </c>
      <c r="K1513" s="159" t="str">
        <f ca="1">IFERROR(__xludf.DUMMYFUNCTION("GOOGLETRANSLATE(H1513,""th"",""en"")"),"Null")</f>
        <v>Null</v>
      </c>
    </row>
    <row r="1514" spans="1:11" ht="15.75" hidden="1" customHeight="1">
      <c r="A1514" s="133" t="s">
        <v>7</v>
      </c>
      <c r="B1514" s="133" t="s">
        <v>353</v>
      </c>
      <c r="C1514" s="133" t="s">
        <v>2194</v>
      </c>
      <c r="D1514" s="133" t="s">
        <v>484</v>
      </c>
      <c r="E1514" s="158">
        <v>4</v>
      </c>
      <c r="F1514" s="158">
        <v>10</v>
      </c>
      <c r="G1514" s="158">
        <v>0</v>
      </c>
      <c r="H1514" s="133" t="s">
        <v>1648</v>
      </c>
      <c r="I1514" s="133" t="s">
        <v>615</v>
      </c>
      <c r="J1514" s="158">
        <v>0</v>
      </c>
      <c r="K1514" s="159" t="str">
        <f ca="1">IFERROR(__xludf.DUMMYFUNCTION("GOOGLETRANSLATE(H1514,""th"",""en"")"),"Trial")</f>
        <v>Trial</v>
      </c>
    </row>
    <row r="1515" spans="1:11" ht="15.75" hidden="1" customHeight="1">
      <c r="A1515" s="133" t="s">
        <v>7</v>
      </c>
      <c r="B1515" s="133" t="s">
        <v>353</v>
      </c>
      <c r="C1515" s="133" t="s">
        <v>2195</v>
      </c>
      <c r="D1515" s="133" t="s">
        <v>477</v>
      </c>
      <c r="E1515" s="158">
        <v>75</v>
      </c>
      <c r="F1515" s="158">
        <v>0</v>
      </c>
      <c r="G1515" s="158">
        <v>0</v>
      </c>
      <c r="H1515" s="133" t="s">
        <v>1648</v>
      </c>
      <c r="I1515" s="133" t="s">
        <v>548</v>
      </c>
      <c r="J1515" s="158">
        <v>0</v>
      </c>
      <c r="K1515" s="159" t="str">
        <f ca="1">IFERROR(__xludf.DUMMYFUNCTION("GOOGLETRANSLATE(H1515,""th"",""en"")"),"Trial")</f>
        <v>Trial</v>
      </c>
    </row>
    <row r="1516" spans="1:11" ht="15.75" hidden="1" customHeight="1">
      <c r="A1516" s="133" t="s">
        <v>7</v>
      </c>
      <c r="B1516" s="133" t="s">
        <v>353</v>
      </c>
      <c r="C1516" s="133" t="s">
        <v>2196</v>
      </c>
      <c r="D1516" s="133" t="s">
        <v>477</v>
      </c>
      <c r="E1516" s="158">
        <v>10</v>
      </c>
      <c r="F1516" s="158">
        <v>0</v>
      </c>
      <c r="G1516" s="158">
        <v>0</v>
      </c>
      <c r="H1516" s="133" t="s">
        <v>479</v>
      </c>
      <c r="I1516" s="133" t="s">
        <v>548</v>
      </c>
      <c r="J1516" s="158">
        <v>0</v>
      </c>
      <c r="K1516" s="159" t="str">
        <f ca="1">IFERROR(__xludf.DUMMYFUNCTION("GOOGLETRANSLATE(H1516,""th"",""en"")"),"Null")</f>
        <v>Null</v>
      </c>
    </row>
    <row r="1517" spans="1:11" ht="15.75" hidden="1" customHeight="1">
      <c r="A1517" s="133" t="s">
        <v>7</v>
      </c>
      <c r="B1517" s="133" t="s">
        <v>353</v>
      </c>
      <c r="C1517" s="133" t="s">
        <v>2197</v>
      </c>
      <c r="D1517" s="133" t="s">
        <v>477</v>
      </c>
      <c r="E1517" s="158">
        <v>10</v>
      </c>
      <c r="F1517" s="158">
        <v>0</v>
      </c>
      <c r="G1517" s="158">
        <v>0</v>
      </c>
      <c r="H1517" s="133" t="s">
        <v>479</v>
      </c>
      <c r="I1517" s="133" t="s">
        <v>548</v>
      </c>
      <c r="J1517" s="158">
        <v>0</v>
      </c>
      <c r="K1517" s="159" t="str">
        <f ca="1">IFERROR(__xludf.DUMMYFUNCTION("GOOGLETRANSLATE(H1517,""th"",""en"")"),"Null")</f>
        <v>Null</v>
      </c>
    </row>
    <row r="1518" spans="1:11" ht="15.75" hidden="1" customHeight="1">
      <c r="A1518" s="133" t="s">
        <v>7</v>
      </c>
      <c r="B1518" s="133" t="s">
        <v>353</v>
      </c>
      <c r="C1518" s="133" t="s">
        <v>2198</v>
      </c>
      <c r="D1518" s="133" t="s">
        <v>484</v>
      </c>
      <c r="E1518" s="158">
        <v>4</v>
      </c>
      <c r="F1518" s="158">
        <v>10</v>
      </c>
      <c r="G1518" s="158">
        <v>0</v>
      </c>
      <c r="H1518" s="133" t="s">
        <v>1648</v>
      </c>
      <c r="I1518" s="133" t="s">
        <v>615</v>
      </c>
      <c r="J1518" s="158">
        <v>0</v>
      </c>
      <c r="K1518" s="159" t="str">
        <f ca="1">IFERROR(__xludf.DUMMYFUNCTION("GOOGLETRANSLATE(H1518,""th"",""en"")"),"Trial")</f>
        <v>Trial</v>
      </c>
    </row>
    <row r="1519" spans="1:11" ht="15.75" hidden="1" customHeight="1">
      <c r="A1519" s="133" t="s">
        <v>7</v>
      </c>
      <c r="B1519" s="133" t="s">
        <v>353</v>
      </c>
      <c r="C1519" s="133" t="s">
        <v>2199</v>
      </c>
      <c r="D1519" s="133" t="s">
        <v>477</v>
      </c>
      <c r="E1519" s="158">
        <v>100</v>
      </c>
      <c r="F1519" s="158">
        <v>0</v>
      </c>
      <c r="G1519" s="158">
        <v>0</v>
      </c>
      <c r="H1519" s="133" t="s">
        <v>1648</v>
      </c>
      <c r="I1519" s="133" t="s">
        <v>548</v>
      </c>
      <c r="J1519" s="158">
        <v>0</v>
      </c>
      <c r="K1519" s="159" t="str">
        <f ca="1">IFERROR(__xludf.DUMMYFUNCTION("GOOGLETRANSLATE(H1519,""th"",""en"")"),"Trial")</f>
        <v>Trial</v>
      </c>
    </row>
    <row r="1520" spans="1:11" ht="15.75" hidden="1" customHeight="1">
      <c r="A1520" s="133" t="s">
        <v>7</v>
      </c>
      <c r="B1520" s="133" t="s">
        <v>353</v>
      </c>
      <c r="C1520" s="133" t="s">
        <v>2200</v>
      </c>
      <c r="D1520" s="133" t="s">
        <v>477</v>
      </c>
      <c r="E1520" s="158">
        <v>35</v>
      </c>
      <c r="F1520" s="158">
        <v>0</v>
      </c>
      <c r="G1520" s="158">
        <v>0</v>
      </c>
      <c r="H1520" s="133" t="s">
        <v>1648</v>
      </c>
      <c r="I1520" s="133" t="s">
        <v>548</v>
      </c>
      <c r="J1520" s="158">
        <v>0</v>
      </c>
      <c r="K1520" s="159" t="str">
        <f ca="1">IFERROR(__xludf.DUMMYFUNCTION("GOOGLETRANSLATE(H1520,""th"",""en"")"),"Trial")</f>
        <v>Trial</v>
      </c>
    </row>
    <row r="1521" spans="1:11" ht="15.75" hidden="1" customHeight="1">
      <c r="A1521" s="133" t="s">
        <v>7</v>
      </c>
      <c r="B1521" s="133" t="s">
        <v>353</v>
      </c>
      <c r="C1521" s="133" t="s">
        <v>2201</v>
      </c>
      <c r="D1521" s="133" t="s">
        <v>477</v>
      </c>
      <c r="E1521" s="158">
        <v>35</v>
      </c>
      <c r="F1521" s="158">
        <v>0</v>
      </c>
      <c r="G1521" s="158">
        <v>0</v>
      </c>
      <c r="H1521" s="133" t="s">
        <v>1648</v>
      </c>
      <c r="I1521" s="133" t="s">
        <v>548</v>
      </c>
      <c r="J1521" s="158">
        <v>0</v>
      </c>
      <c r="K1521" s="159" t="str">
        <f ca="1">IFERROR(__xludf.DUMMYFUNCTION("GOOGLETRANSLATE(H1521,""th"",""en"")"),"Trial")</f>
        <v>Trial</v>
      </c>
    </row>
    <row r="1522" spans="1:11" ht="15.75" hidden="1" customHeight="1">
      <c r="A1522" s="133" t="s">
        <v>7</v>
      </c>
      <c r="B1522" s="133" t="s">
        <v>353</v>
      </c>
      <c r="C1522" s="133" t="s">
        <v>2202</v>
      </c>
      <c r="D1522" s="133" t="s">
        <v>477</v>
      </c>
      <c r="E1522" s="158">
        <v>50</v>
      </c>
      <c r="F1522" s="158">
        <v>0</v>
      </c>
      <c r="G1522" s="158">
        <v>0</v>
      </c>
      <c r="H1522" s="133" t="s">
        <v>1648</v>
      </c>
      <c r="I1522" s="133" t="s">
        <v>548</v>
      </c>
      <c r="J1522" s="158">
        <v>0</v>
      </c>
      <c r="K1522" s="159" t="str">
        <f ca="1">IFERROR(__xludf.DUMMYFUNCTION("GOOGLETRANSLATE(H1522,""th"",""en"")"),"Trial")</f>
        <v>Trial</v>
      </c>
    </row>
    <row r="1523" spans="1:11" ht="15.75" hidden="1" customHeight="1">
      <c r="A1523" s="133" t="s">
        <v>7</v>
      </c>
      <c r="B1523" s="133" t="s">
        <v>353</v>
      </c>
      <c r="C1523" s="133" t="s">
        <v>2203</v>
      </c>
      <c r="D1523" s="133" t="s">
        <v>477</v>
      </c>
      <c r="E1523" s="158">
        <v>50</v>
      </c>
      <c r="F1523" s="158">
        <v>0</v>
      </c>
      <c r="G1523" s="158">
        <v>0</v>
      </c>
      <c r="H1523" s="133" t="s">
        <v>1648</v>
      </c>
      <c r="I1523" s="133" t="s">
        <v>548</v>
      </c>
      <c r="J1523" s="158">
        <v>0</v>
      </c>
      <c r="K1523" s="159" t="str">
        <f ca="1">IFERROR(__xludf.DUMMYFUNCTION("GOOGLETRANSLATE(H1523,""th"",""en"")"),"Trial")</f>
        <v>Trial</v>
      </c>
    </row>
    <row r="1524" spans="1:11" ht="15.75" hidden="1" customHeight="1">
      <c r="A1524" s="133" t="s">
        <v>7</v>
      </c>
      <c r="B1524" s="133" t="s">
        <v>353</v>
      </c>
      <c r="C1524" s="133" t="s">
        <v>2204</v>
      </c>
      <c r="D1524" s="133" t="s">
        <v>477</v>
      </c>
      <c r="E1524" s="158">
        <v>50</v>
      </c>
      <c r="F1524" s="158">
        <v>0</v>
      </c>
      <c r="G1524" s="158">
        <v>0</v>
      </c>
      <c r="H1524" s="133" t="s">
        <v>1648</v>
      </c>
      <c r="I1524" s="133" t="s">
        <v>548</v>
      </c>
      <c r="J1524" s="158">
        <v>0</v>
      </c>
      <c r="K1524" s="159" t="str">
        <f ca="1">IFERROR(__xludf.DUMMYFUNCTION("GOOGLETRANSLATE(H1524,""th"",""en"")"),"Trial")</f>
        <v>Trial</v>
      </c>
    </row>
    <row r="1525" spans="1:11" ht="15.75" hidden="1" customHeight="1">
      <c r="A1525" s="133" t="s">
        <v>7</v>
      </c>
      <c r="B1525" s="133" t="s">
        <v>353</v>
      </c>
      <c r="C1525" s="133" t="s">
        <v>2205</v>
      </c>
      <c r="D1525" s="133" t="s">
        <v>477</v>
      </c>
      <c r="E1525" s="158">
        <v>50</v>
      </c>
      <c r="F1525" s="158">
        <v>0</v>
      </c>
      <c r="G1525" s="158">
        <v>0</v>
      </c>
      <c r="H1525" s="133" t="s">
        <v>1648</v>
      </c>
      <c r="I1525" s="133" t="s">
        <v>548</v>
      </c>
      <c r="J1525" s="158">
        <v>0</v>
      </c>
      <c r="K1525" s="159" t="str">
        <f ca="1">IFERROR(__xludf.DUMMYFUNCTION("GOOGLETRANSLATE(H1525,""th"",""en"")"),"Trial")</f>
        <v>Trial</v>
      </c>
    </row>
    <row r="1526" spans="1:11" ht="15.75" hidden="1" customHeight="1">
      <c r="A1526" s="133" t="s">
        <v>7</v>
      </c>
      <c r="B1526" s="133" t="s">
        <v>353</v>
      </c>
      <c r="C1526" s="133" t="s">
        <v>2206</v>
      </c>
      <c r="D1526" s="133" t="s">
        <v>477</v>
      </c>
      <c r="E1526" s="158">
        <v>20</v>
      </c>
      <c r="F1526" s="158">
        <v>0</v>
      </c>
      <c r="G1526" s="158">
        <v>0</v>
      </c>
      <c r="H1526" s="133" t="s">
        <v>1648</v>
      </c>
      <c r="I1526" s="133" t="s">
        <v>548</v>
      </c>
      <c r="J1526" s="158">
        <v>0</v>
      </c>
      <c r="K1526" s="159" t="str">
        <f ca="1">IFERROR(__xludf.DUMMYFUNCTION("GOOGLETRANSLATE(H1526,""th"",""en"")"),"Trial")</f>
        <v>Trial</v>
      </c>
    </row>
    <row r="1527" spans="1:11" ht="15.75" hidden="1" customHeight="1">
      <c r="A1527" s="133" t="s">
        <v>7</v>
      </c>
      <c r="B1527" s="133" t="s">
        <v>353</v>
      </c>
      <c r="C1527" s="133" t="s">
        <v>2207</v>
      </c>
      <c r="D1527" s="133" t="s">
        <v>477</v>
      </c>
      <c r="E1527" s="158">
        <v>50</v>
      </c>
      <c r="F1527" s="158">
        <v>0</v>
      </c>
      <c r="G1527" s="158">
        <v>0</v>
      </c>
      <c r="H1527" s="133" t="s">
        <v>1648</v>
      </c>
      <c r="I1527" s="133" t="s">
        <v>548</v>
      </c>
      <c r="J1527" s="158">
        <v>0</v>
      </c>
      <c r="K1527" s="159" t="str">
        <f ca="1">IFERROR(__xludf.DUMMYFUNCTION("GOOGLETRANSLATE(H1527,""th"",""en"")"),"Trial")</f>
        <v>Trial</v>
      </c>
    </row>
    <row r="1528" spans="1:11" ht="15.75" hidden="1" customHeight="1">
      <c r="A1528" s="133" t="s">
        <v>7</v>
      </c>
      <c r="B1528" s="133" t="s">
        <v>353</v>
      </c>
      <c r="C1528" s="133" t="s">
        <v>2208</v>
      </c>
      <c r="D1528" s="133" t="s">
        <v>477</v>
      </c>
      <c r="E1528" s="158">
        <v>5</v>
      </c>
      <c r="F1528" s="158">
        <v>0</v>
      </c>
      <c r="G1528" s="158">
        <v>0</v>
      </c>
      <c r="H1528" s="133" t="s">
        <v>1648</v>
      </c>
      <c r="I1528" s="133" t="s">
        <v>548</v>
      </c>
      <c r="J1528" s="158">
        <v>0</v>
      </c>
      <c r="K1528" s="159" t="str">
        <f ca="1">IFERROR(__xludf.DUMMYFUNCTION("GOOGLETRANSLATE(H1528,""th"",""en"")"),"Trial")</f>
        <v>Trial</v>
      </c>
    </row>
    <row r="1529" spans="1:11" ht="15.75" hidden="1" customHeight="1">
      <c r="A1529" s="133" t="s">
        <v>7</v>
      </c>
      <c r="B1529" s="133" t="s">
        <v>353</v>
      </c>
      <c r="C1529" s="133" t="s">
        <v>2209</v>
      </c>
      <c r="D1529" s="133" t="s">
        <v>477</v>
      </c>
      <c r="E1529" s="158">
        <v>7</v>
      </c>
      <c r="F1529" s="158">
        <v>0</v>
      </c>
      <c r="G1529" s="158">
        <v>0</v>
      </c>
      <c r="H1529" s="133" t="s">
        <v>479</v>
      </c>
      <c r="I1529" s="133" t="s">
        <v>548</v>
      </c>
      <c r="J1529" s="158">
        <v>0</v>
      </c>
      <c r="K1529" s="159" t="str">
        <f ca="1">IFERROR(__xludf.DUMMYFUNCTION("GOOGLETRANSLATE(H1529,""th"",""en"")"),"Null")</f>
        <v>Null</v>
      </c>
    </row>
    <row r="1530" spans="1:11" ht="15.75" hidden="1" customHeight="1">
      <c r="A1530" s="133" t="s">
        <v>7</v>
      </c>
      <c r="B1530" s="133" t="s">
        <v>353</v>
      </c>
      <c r="C1530" s="133" t="s">
        <v>2210</v>
      </c>
      <c r="D1530" s="133" t="s">
        <v>477</v>
      </c>
      <c r="E1530" s="158">
        <v>50</v>
      </c>
      <c r="F1530" s="158">
        <v>0</v>
      </c>
      <c r="G1530" s="158">
        <v>0</v>
      </c>
      <c r="H1530" s="133" t="s">
        <v>1648</v>
      </c>
      <c r="I1530" s="133" t="s">
        <v>548</v>
      </c>
      <c r="J1530" s="158">
        <v>0</v>
      </c>
      <c r="K1530" s="159" t="str">
        <f ca="1">IFERROR(__xludf.DUMMYFUNCTION("GOOGLETRANSLATE(H1530,""th"",""en"")"),"Trial")</f>
        <v>Trial</v>
      </c>
    </row>
    <row r="1531" spans="1:11" ht="15.75" hidden="1" customHeight="1">
      <c r="A1531" s="133" t="s">
        <v>7</v>
      </c>
      <c r="B1531" s="133" t="s">
        <v>353</v>
      </c>
      <c r="C1531" s="133" t="s">
        <v>2211</v>
      </c>
      <c r="D1531" s="133" t="s">
        <v>477</v>
      </c>
      <c r="E1531" s="158">
        <v>4</v>
      </c>
      <c r="F1531" s="158">
        <v>0</v>
      </c>
      <c r="G1531" s="158">
        <v>0</v>
      </c>
      <c r="H1531" s="133" t="s">
        <v>1648</v>
      </c>
      <c r="I1531" s="133" t="s">
        <v>548</v>
      </c>
      <c r="J1531" s="277">
        <v>1</v>
      </c>
      <c r="K1531" s="159" t="str">
        <f ca="1">IFERROR(__xludf.DUMMYFUNCTION("GOOGLETRANSLATE(H1531,""th"",""en"")"),"Trial")</f>
        <v>Trial</v>
      </c>
    </row>
    <row r="1532" spans="1:11" ht="15.75" hidden="1" customHeight="1">
      <c r="A1532" s="133" t="s">
        <v>7</v>
      </c>
      <c r="B1532" s="133" t="s">
        <v>353</v>
      </c>
      <c r="C1532" s="133" t="s">
        <v>2212</v>
      </c>
      <c r="D1532" s="133" t="s">
        <v>477</v>
      </c>
      <c r="E1532" s="158">
        <v>20</v>
      </c>
      <c r="F1532" s="158">
        <v>0</v>
      </c>
      <c r="G1532" s="158">
        <v>0</v>
      </c>
      <c r="H1532" s="133" t="s">
        <v>1648</v>
      </c>
      <c r="I1532" s="133" t="s">
        <v>479</v>
      </c>
      <c r="J1532" s="277">
        <v>1</v>
      </c>
      <c r="K1532" s="159" t="str">
        <f ca="1">IFERROR(__xludf.DUMMYFUNCTION("GOOGLETRANSLATE(H1532,""th"",""en"")"),"Trial")</f>
        <v>Trial</v>
      </c>
    </row>
    <row r="1533" spans="1:11" ht="15.75" hidden="1" customHeight="1">
      <c r="A1533" s="133" t="s">
        <v>7</v>
      </c>
      <c r="B1533" s="133" t="s">
        <v>353</v>
      </c>
      <c r="C1533" s="133" t="s">
        <v>2213</v>
      </c>
      <c r="D1533" s="133" t="s">
        <v>477</v>
      </c>
      <c r="E1533" s="158">
        <v>20</v>
      </c>
      <c r="F1533" s="158">
        <v>0</v>
      </c>
      <c r="G1533" s="158">
        <v>0</v>
      </c>
      <c r="H1533" s="133" t="s">
        <v>1648</v>
      </c>
      <c r="I1533" s="133" t="s">
        <v>548</v>
      </c>
      <c r="J1533" s="277">
        <v>1</v>
      </c>
      <c r="K1533" s="159" t="str">
        <f ca="1">IFERROR(__xludf.DUMMYFUNCTION("GOOGLETRANSLATE(H1533,""th"",""en"")"),"Trial")</f>
        <v>Trial</v>
      </c>
    </row>
    <row r="1534" spans="1:11" ht="15.75" hidden="1" customHeight="1">
      <c r="A1534" s="133" t="s">
        <v>7</v>
      </c>
      <c r="B1534" s="133" t="s">
        <v>353</v>
      </c>
      <c r="C1534" s="133" t="s">
        <v>2214</v>
      </c>
      <c r="D1534" s="133" t="s">
        <v>477</v>
      </c>
      <c r="E1534" s="158">
        <v>100</v>
      </c>
      <c r="F1534" s="158">
        <v>0</v>
      </c>
      <c r="G1534" s="158">
        <v>0</v>
      </c>
      <c r="H1534" s="133" t="s">
        <v>479</v>
      </c>
      <c r="I1534" s="133" t="s">
        <v>548</v>
      </c>
      <c r="J1534" s="158">
        <v>0</v>
      </c>
      <c r="K1534" s="159" t="str">
        <f ca="1">IFERROR(__xludf.DUMMYFUNCTION("GOOGLETRANSLATE(H1534,""th"",""en"")"),"Null")</f>
        <v>Null</v>
      </c>
    </row>
    <row r="1535" spans="1:11" ht="15.75" hidden="1" customHeight="1">
      <c r="A1535" s="133" t="s">
        <v>7</v>
      </c>
      <c r="B1535" s="133" t="s">
        <v>353</v>
      </c>
      <c r="C1535" s="133" t="s">
        <v>2215</v>
      </c>
      <c r="D1535" s="133" t="s">
        <v>477</v>
      </c>
      <c r="E1535" s="158">
        <v>3</v>
      </c>
      <c r="F1535" s="158">
        <v>0</v>
      </c>
      <c r="G1535" s="158">
        <v>0</v>
      </c>
      <c r="H1535" s="133" t="s">
        <v>1648</v>
      </c>
      <c r="I1535" s="133" t="s">
        <v>596</v>
      </c>
      <c r="J1535" s="158">
        <v>0</v>
      </c>
      <c r="K1535" s="159" t="str">
        <f ca="1">IFERROR(__xludf.DUMMYFUNCTION("GOOGLETRANSLATE(H1535,""th"",""en"")"),"Trial")</f>
        <v>Trial</v>
      </c>
    </row>
    <row r="1536" spans="1:11" ht="15.75" hidden="1" customHeight="1">
      <c r="A1536" s="133" t="s">
        <v>7</v>
      </c>
      <c r="B1536" s="133" t="s">
        <v>353</v>
      </c>
      <c r="C1536" s="133" t="s">
        <v>2216</v>
      </c>
      <c r="D1536" s="133" t="s">
        <v>477</v>
      </c>
      <c r="E1536" s="158">
        <v>3</v>
      </c>
      <c r="F1536" s="158">
        <v>0</v>
      </c>
      <c r="G1536" s="158">
        <v>0</v>
      </c>
      <c r="H1536" s="133" t="s">
        <v>1648</v>
      </c>
      <c r="I1536" s="133" t="s">
        <v>596</v>
      </c>
      <c r="J1536" s="158">
        <v>0</v>
      </c>
      <c r="K1536" s="159" t="str">
        <f ca="1">IFERROR(__xludf.DUMMYFUNCTION("GOOGLETRANSLATE(H1536,""th"",""en"")"),"Trial")</f>
        <v>Trial</v>
      </c>
    </row>
    <row r="1537" spans="1:11" ht="15.75" hidden="1" customHeight="1">
      <c r="A1537" s="133" t="s">
        <v>7</v>
      </c>
      <c r="B1537" s="133" t="s">
        <v>353</v>
      </c>
      <c r="C1537" s="133" t="s">
        <v>2217</v>
      </c>
      <c r="D1537" s="133" t="s">
        <v>477</v>
      </c>
      <c r="E1537" s="158">
        <v>3</v>
      </c>
      <c r="F1537" s="158">
        <v>0</v>
      </c>
      <c r="G1537" s="158">
        <v>0</v>
      </c>
      <c r="H1537" s="133" t="s">
        <v>1648</v>
      </c>
      <c r="I1537" s="133" t="s">
        <v>596</v>
      </c>
      <c r="J1537" s="158">
        <v>0</v>
      </c>
      <c r="K1537" s="159" t="str">
        <f ca="1">IFERROR(__xludf.DUMMYFUNCTION("GOOGLETRANSLATE(H1537,""th"",""en"")"),"Trial")</f>
        <v>Trial</v>
      </c>
    </row>
    <row r="1538" spans="1:11" ht="15.75" hidden="1" customHeight="1">
      <c r="A1538" s="133" t="s">
        <v>7</v>
      </c>
      <c r="B1538" s="133" t="s">
        <v>353</v>
      </c>
      <c r="C1538" s="133" t="s">
        <v>2218</v>
      </c>
      <c r="D1538" s="133" t="s">
        <v>477</v>
      </c>
      <c r="E1538" s="158">
        <v>3</v>
      </c>
      <c r="F1538" s="158">
        <v>0</v>
      </c>
      <c r="G1538" s="158">
        <v>0</v>
      </c>
      <c r="H1538" s="133" t="s">
        <v>1648</v>
      </c>
      <c r="I1538" s="133" t="s">
        <v>596</v>
      </c>
      <c r="J1538" s="158">
        <v>0</v>
      </c>
      <c r="K1538" s="159" t="str">
        <f ca="1">IFERROR(__xludf.DUMMYFUNCTION("GOOGLETRANSLATE(H1538,""th"",""en"")"),"Trial")</f>
        <v>Trial</v>
      </c>
    </row>
    <row r="1539" spans="1:11" ht="15.75" hidden="1" customHeight="1">
      <c r="A1539" s="133" t="s">
        <v>7</v>
      </c>
      <c r="B1539" s="133" t="s">
        <v>353</v>
      </c>
      <c r="C1539" s="133" t="s">
        <v>2219</v>
      </c>
      <c r="D1539" s="133" t="s">
        <v>477</v>
      </c>
      <c r="E1539" s="158">
        <v>3</v>
      </c>
      <c r="F1539" s="158">
        <v>0</v>
      </c>
      <c r="G1539" s="158">
        <v>0</v>
      </c>
      <c r="H1539" s="133" t="s">
        <v>1648</v>
      </c>
      <c r="I1539" s="133" t="s">
        <v>596</v>
      </c>
      <c r="J1539" s="158">
        <v>0</v>
      </c>
      <c r="K1539" s="159" t="str">
        <f ca="1">IFERROR(__xludf.DUMMYFUNCTION("GOOGLETRANSLATE(H1539,""th"",""en"")"),"Trial")</f>
        <v>Trial</v>
      </c>
    </row>
    <row r="1540" spans="1:11" ht="15.75" hidden="1" customHeight="1">
      <c r="A1540" s="133" t="s">
        <v>7</v>
      </c>
      <c r="B1540" s="133" t="s">
        <v>353</v>
      </c>
      <c r="C1540" s="133" t="s">
        <v>2220</v>
      </c>
      <c r="D1540" s="133" t="s">
        <v>477</v>
      </c>
      <c r="E1540" s="158">
        <v>3</v>
      </c>
      <c r="F1540" s="158">
        <v>0</v>
      </c>
      <c r="G1540" s="158">
        <v>0</v>
      </c>
      <c r="H1540" s="133" t="s">
        <v>1648</v>
      </c>
      <c r="I1540" s="133" t="s">
        <v>596</v>
      </c>
      <c r="J1540" s="158">
        <v>0</v>
      </c>
      <c r="K1540" s="159" t="str">
        <f ca="1">IFERROR(__xludf.DUMMYFUNCTION("GOOGLETRANSLATE(H1540,""th"",""en"")"),"Trial")</f>
        <v>Trial</v>
      </c>
    </row>
    <row r="1541" spans="1:11" ht="15.75" hidden="1" customHeight="1">
      <c r="A1541" s="133" t="s">
        <v>7</v>
      </c>
      <c r="B1541" s="133" t="s">
        <v>353</v>
      </c>
      <c r="C1541" s="133" t="s">
        <v>2221</v>
      </c>
      <c r="D1541" s="133" t="s">
        <v>477</v>
      </c>
      <c r="E1541" s="158">
        <v>3</v>
      </c>
      <c r="F1541" s="158">
        <v>0</v>
      </c>
      <c r="G1541" s="158">
        <v>0</v>
      </c>
      <c r="H1541" s="133" t="s">
        <v>1648</v>
      </c>
      <c r="I1541" s="133" t="s">
        <v>596</v>
      </c>
      <c r="J1541" s="158">
        <v>0</v>
      </c>
      <c r="K1541" s="159" t="str">
        <f ca="1">IFERROR(__xludf.DUMMYFUNCTION("GOOGLETRANSLATE(H1541,""th"",""en"")"),"Trial")</f>
        <v>Trial</v>
      </c>
    </row>
    <row r="1542" spans="1:11" ht="15.75" hidden="1" customHeight="1">
      <c r="A1542" s="133" t="s">
        <v>7</v>
      </c>
      <c r="B1542" s="133" t="s">
        <v>353</v>
      </c>
      <c r="C1542" s="133" t="s">
        <v>2222</v>
      </c>
      <c r="D1542" s="133" t="s">
        <v>477</v>
      </c>
      <c r="E1542" s="158">
        <v>3</v>
      </c>
      <c r="F1542" s="158">
        <v>0</v>
      </c>
      <c r="G1542" s="158">
        <v>0</v>
      </c>
      <c r="H1542" s="133" t="s">
        <v>1648</v>
      </c>
      <c r="I1542" s="133" t="s">
        <v>596</v>
      </c>
      <c r="J1542" s="158">
        <v>0</v>
      </c>
      <c r="K1542" s="159" t="str">
        <f ca="1">IFERROR(__xludf.DUMMYFUNCTION("GOOGLETRANSLATE(H1542,""th"",""en"")"),"Trial")</f>
        <v>Trial</v>
      </c>
    </row>
    <row r="1543" spans="1:11" ht="15.75" hidden="1" customHeight="1">
      <c r="A1543" s="133" t="s">
        <v>7</v>
      </c>
      <c r="B1543" s="133" t="s">
        <v>353</v>
      </c>
      <c r="C1543" s="133" t="s">
        <v>2223</v>
      </c>
      <c r="D1543" s="133" t="s">
        <v>477</v>
      </c>
      <c r="E1543" s="158">
        <v>10</v>
      </c>
      <c r="F1543" s="158">
        <v>0</v>
      </c>
      <c r="G1543" s="158">
        <v>0</v>
      </c>
      <c r="H1543" s="133" t="s">
        <v>1648</v>
      </c>
      <c r="I1543" s="133" t="s">
        <v>548</v>
      </c>
      <c r="J1543" s="158">
        <v>0</v>
      </c>
      <c r="K1543" s="159" t="str">
        <f ca="1">IFERROR(__xludf.DUMMYFUNCTION("GOOGLETRANSLATE(H1543,""th"",""en"")"),"Trial")</f>
        <v>Trial</v>
      </c>
    </row>
    <row r="1544" spans="1:11" ht="15.75" hidden="1" customHeight="1">
      <c r="A1544" s="133" t="s">
        <v>7</v>
      </c>
      <c r="B1544" s="133" t="s">
        <v>353</v>
      </c>
      <c r="C1544" s="133" t="s">
        <v>2224</v>
      </c>
      <c r="D1544" s="133" t="s">
        <v>477</v>
      </c>
      <c r="E1544" s="158">
        <v>120</v>
      </c>
      <c r="F1544" s="158">
        <v>0</v>
      </c>
      <c r="G1544" s="158">
        <v>0</v>
      </c>
      <c r="H1544" s="133" t="s">
        <v>1648</v>
      </c>
      <c r="I1544" s="133" t="s">
        <v>548</v>
      </c>
      <c r="J1544" s="158">
        <v>1</v>
      </c>
      <c r="K1544" s="159" t="str">
        <f ca="1">IFERROR(__xludf.DUMMYFUNCTION("GOOGLETRANSLATE(H1544,""th"",""en"")"),"Trial")</f>
        <v>Trial</v>
      </c>
    </row>
    <row r="1545" spans="1:11" ht="15.75" hidden="1" customHeight="1">
      <c r="A1545" s="133" t="s">
        <v>7</v>
      </c>
      <c r="B1545" s="133" t="s">
        <v>353</v>
      </c>
      <c r="C1545" s="133" t="s">
        <v>2225</v>
      </c>
      <c r="D1545" s="133" t="s">
        <v>481</v>
      </c>
      <c r="E1545" s="158">
        <v>9</v>
      </c>
      <c r="F1545" s="158">
        <v>11</v>
      </c>
      <c r="G1545" s="158">
        <v>8</v>
      </c>
      <c r="H1545" s="133" t="s">
        <v>1648</v>
      </c>
      <c r="I1545" s="133" t="s">
        <v>615</v>
      </c>
      <c r="J1545" s="158">
        <v>0</v>
      </c>
      <c r="K1545" s="159" t="str">
        <f ca="1">IFERROR(__xludf.DUMMYFUNCTION("GOOGLETRANSLATE(H1545,""th"",""en"")"),"Trial")</f>
        <v>Trial</v>
      </c>
    </row>
    <row r="1546" spans="1:11" ht="15.75" hidden="1" customHeight="1">
      <c r="A1546" s="133" t="s">
        <v>7</v>
      </c>
      <c r="B1546" s="133" t="s">
        <v>353</v>
      </c>
      <c r="C1546" s="133" t="s">
        <v>2226</v>
      </c>
      <c r="D1546" s="133" t="s">
        <v>481</v>
      </c>
      <c r="E1546" s="158">
        <v>9</v>
      </c>
      <c r="F1546" s="158">
        <v>11</v>
      </c>
      <c r="G1546" s="158">
        <v>8</v>
      </c>
      <c r="H1546" s="133" t="s">
        <v>1648</v>
      </c>
      <c r="I1546" s="133" t="s">
        <v>615</v>
      </c>
      <c r="J1546" s="158">
        <v>0</v>
      </c>
      <c r="K1546" s="159" t="str">
        <f ca="1">IFERROR(__xludf.DUMMYFUNCTION("GOOGLETRANSLATE(H1546,""th"",""en"")"),"Trial")</f>
        <v>Trial</v>
      </c>
    </row>
    <row r="1547" spans="1:11" ht="15.75" hidden="1" customHeight="1">
      <c r="A1547" s="133" t="s">
        <v>7</v>
      </c>
      <c r="B1547" s="133" t="s">
        <v>353</v>
      </c>
      <c r="C1547" s="133" t="s">
        <v>1412</v>
      </c>
      <c r="D1547" s="133" t="s">
        <v>1413</v>
      </c>
      <c r="E1547" s="158">
        <v>8</v>
      </c>
      <c r="F1547" s="158">
        <v>0</v>
      </c>
      <c r="G1547" s="158">
        <v>0</v>
      </c>
      <c r="H1547" s="133" t="s">
        <v>1648</v>
      </c>
      <c r="I1547" s="133" t="s">
        <v>479</v>
      </c>
      <c r="J1547" s="277">
        <v>1</v>
      </c>
      <c r="K1547" s="159" t="str">
        <f ca="1">IFERROR(__xludf.DUMMYFUNCTION("GOOGLETRANSLATE(H1547,""th"",""en"")"),"Trial")</f>
        <v>Trial</v>
      </c>
    </row>
    <row r="1548" spans="1:11" ht="15.75" hidden="1" customHeight="1">
      <c r="A1548" s="133" t="s">
        <v>7</v>
      </c>
      <c r="B1548" s="133" t="s">
        <v>353</v>
      </c>
      <c r="C1548" s="133" t="s">
        <v>1332</v>
      </c>
      <c r="D1548" s="133" t="s">
        <v>477</v>
      </c>
      <c r="E1548" s="158">
        <v>3</v>
      </c>
      <c r="F1548" s="158">
        <v>0</v>
      </c>
      <c r="G1548" s="158">
        <v>0</v>
      </c>
      <c r="H1548" s="160"/>
      <c r="I1548" s="133" t="s">
        <v>596</v>
      </c>
      <c r="J1548" s="158">
        <v>0</v>
      </c>
      <c r="K1548" s="159" t="str">
        <f ca="1">IFERROR(__xludf.DUMMYFUNCTION("GOOGLETRANSLATE(H1548,""th"",""en"")"),"#VALUE!")</f>
        <v>#VALUE!</v>
      </c>
    </row>
    <row r="1549" spans="1:11" ht="15.75" hidden="1" customHeight="1">
      <c r="A1549" s="133" t="s">
        <v>7</v>
      </c>
      <c r="B1549" s="133" t="s">
        <v>353</v>
      </c>
      <c r="C1549" s="133" t="s">
        <v>1333</v>
      </c>
      <c r="D1549" s="133" t="s">
        <v>477</v>
      </c>
      <c r="E1549" s="158">
        <v>100</v>
      </c>
      <c r="F1549" s="158">
        <v>0</v>
      </c>
      <c r="G1549" s="158">
        <v>0</v>
      </c>
      <c r="H1549" s="133" t="s">
        <v>1648</v>
      </c>
      <c r="I1549" s="133" t="s">
        <v>548</v>
      </c>
      <c r="J1549" s="158">
        <v>0</v>
      </c>
      <c r="K1549" s="159" t="str">
        <f ca="1">IFERROR(__xludf.DUMMYFUNCTION("GOOGLETRANSLATE(H1549,""th"",""en"")"),"Trial")</f>
        <v>Trial</v>
      </c>
    </row>
    <row r="1550" spans="1:11" ht="15.75" hidden="1" customHeight="1">
      <c r="A1550" s="133" t="s">
        <v>7</v>
      </c>
      <c r="B1550" s="133" t="s">
        <v>353</v>
      </c>
      <c r="C1550" s="133" t="s">
        <v>1334</v>
      </c>
      <c r="D1550" s="133" t="s">
        <v>477</v>
      </c>
      <c r="E1550" s="158">
        <v>8</v>
      </c>
      <c r="F1550" s="158">
        <v>0</v>
      </c>
      <c r="G1550" s="158">
        <v>0</v>
      </c>
      <c r="H1550" s="133" t="s">
        <v>1648</v>
      </c>
      <c r="I1550" s="133" t="s">
        <v>548</v>
      </c>
      <c r="J1550" s="158">
        <v>0</v>
      </c>
      <c r="K1550" s="159" t="str">
        <f ca="1">IFERROR(__xludf.DUMMYFUNCTION("GOOGLETRANSLATE(H1550,""th"",""en"")"),"Trial")</f>
        <v>Trial</v>
      </c>
    </row>
    <row r="1551" spans="1:11" ht="15.75" hidden="1" customHeight="1">
      <c r="A1551" s="133" t="s">
        <v>7</v>
      </c>
      <c r="B1551" s="133" t="s">
        <v>353</v>
      </c>
      <c r="C1551" s="133" t="s">
        <v>184</v>
      </c>
      <c r="D1551" s="133" t="s">
        <v>538</v>
      </c>
      <c r="E1551" s="158">
        <v>8</v>
      </c>
      <c r="F1551" s="158">
        <v>23</v>
      </c>
      <c r="G1551" s="158">
        <v>3</v>
      </c>
      <c r="H1551" s="133" t="s">
        <v>1648</v>
      </c>
      <c r="I1551" s="133" t="s">
        <v>1284</v>
      </c>
      <c r="J1551" s="158">
        <v>0</v>
      </c>
      <c r="K1551" s="159" t="str">
        <f ca="1">IFERROR(__xludf.DUMMYFUNCTION("GOOGLETRANSLATE(H1551,""th"",""en"")"),"Trial")</f>
        <v>Trial</v>
      </c>
    </row>
    <row r="1552" spans="1:11" ht="15.75" hidden="1" customHeight="1">
      <c r="A1552" s="133" t="s">
        <v>7</v>
      </c>
      <c r="B1552" s="133" t="s">
        <v>353</v>
      </c>
      <c r="C1552" s="133" t="s">
        <v>1335</v>
      </c>
      <c r="D1552" s="133" t="s">
        <v>477</v>
      </c>
      <c r="E1552" s="158">
        <v>100</v>
      </c>
      <c r="F1552" s="158">
        <v>0</v>
      </c>
      <c r="G1552" s="158">
        <v>0</v>
      </c>
      <c r="H1552" s="133" t="s">
        <v>1648</v>
      </c>
      <c r="I1552" s="133" t="s">
        <v>548</v>
      </c>
      <c r="J1552" s="158">
        <v>0</v>
      </c>
      <c r="K1552" s="159" t="str">
        <f ca="1">IFERROR(__xludf.DUMMYFUNCTION("GOOGLETRANSLATE(H1552,""th"",""en"")"),"Trial")</f>
        <v>Trial</v>
      </c>
    </row>
    <row r="1553" spans="1:11" ht="15.75" hidden="1" customHeight="1">
      <c r="A1553" s="133" t="s">
        <v>7</v>
      </c>
      <c r="B1553" s="133" t="s">
        <v>353</v>
      </c>
      <c r="C1553" s="133" t="s">
        <v>1336</v>
      </c>
      <c r="D1553" s="133" t="s">
        <v>477</v>
      </c>
      <c r="E1553" s="158">
        <v>8</v>
      </c>
      <c r="F1553" s="158">
        <v>0</v>
      </c>
      <c r="G1553" s="158">
        <v>0</v>
      </c>
      <c r="H1553" s="133" t="s">
        <v>1648</v>
      </c>
      <c r="I1553" s="133" t="s">
        <v>548</v>
      </c>
      <c r="J1553" s="158">
        <v>0</v>
      </c>
      <c r="K1553" s="159" t="str">
        <f ca="1">IFERROR(__xludf.DUMMYFUNCTION("GOOGLETRANSLATE(H1553,""th"",""en"")"),"Trial")</f>
        <v>Trial</v>
      </c>
    </row>
    <row r="1554" spans="1:11" ht="15.75" hidden="1" customHeight="1">
      <c r="A1554" s="133" t="s">
        <v>7</v>
      </c>
      <c r="B1554" s="133" t="s">
        <v>353</v>
      </c>
      <c r="C1554" s="133" t="s">
        <v>175</v>
      </c>
      <c r="D1554" s="133" t="s">
        <v>538</v>
      </c>
      <c r="E1554" s="158">
        <v>8</v>
      </c>
      <c r="F1554" s="158">
        <v>23</v>
      </c>
      <c r="G1554" s="158">
        <v>3</v>
      </c>
      <c r="H1554" s="133" t="s">
        <v>1648</v>
      </c>
      <c r="I1554" s="133" t="s">
        <v>1284</v>
      </c>
      <c r="J1554" s="158">
        <v>0</v>
      </c>
      <c r="K1554" s="159" t="str">
        <f ca="1">IFERROR(__xludf.DUMMYFUNCTION("GOOGLETRANSLATE(H1554,""th"",""en"")"),"Trial")</f>
        <v>Trial</v>
      </c>
    </row>
    <row r="1555" spans="1:11" ht="15.75" hidden="1" customHeight="1">
      <c r="A1555" s="133" t="s">
        <v>7</v>
      </c>
      <c r="B1555" s="133" t="s">
        <v>346</v>
      </c>
      <c r="C1555" s="133" t="s">
        <v>164</v>
      </c>
      <c r="D1555" s="133" t="s">
        <v>477</v>
      </c>
      <c r="E1555" s="158">
        <v>100</v>
      </c>
      <c r="F1555" s="158">
        <v>0</v>
      </c>
      <c r="G1555" s="158">
        <v>0</v>
      </c>
      <c r="H1555" s="133" t="s">
        <v>900</v>
      </c>
      <c r="I1555" s="133" t="s">
        <v>479</v>
      </c>
      <c r="J1555" s="158">
        <v>1</v>
      </c>
      <c r="K1555" s="159" t="str">
        <f ca="1">IFERROR(__xludf.DUMMYFUNCTION("GOOGLETRANSLATE(H1555,""th"",""en"")"),"note")</f>
        <v>note</v>
      </c>
    </row>
    <row r="1556" spans="1:11" ht="15.75" hidden="1" customHeight="1">
      <c r="A1556" s="133" t="s">
        <v>7</v>
      </c>
      <c r="B1556" s="133" t="s">
        <v>346</v>
      </c>
      <c r="C1556" s="133" t="s">
        <v>811</v>
      </c>
      <c r="D1556" s="133" t="s">
        <v>491</v>
      </c>
      <c r="E1556" s="158">
        <v>1</v>
      </c>
      <c r="F1556" s="158">
        <v>0</v>
      </c>
      <c r="G1556" s="158">
        <v>0</v>
      </c>
      <c r="H1556" s="133" t="s">
        <v>2227</v>
      </c>
      <c r="I1556" s="133" t="s">
        <v>479</v>
      </c>
      <c r="J1556" s="158">
        <v>1</v>
      </c>
      <c r="K1556" s="159" t="str">
        <f ca="1">IFERROR(__xludf.DUMMYFUNCTION("GOOGLETRANSLATE(H1556,""th"",""en"")"),"Status of Note (y = use, n = not used)")</f>
        <v>Status of Note (y = use, n = not used)</v>
      </c>
    </row>
    <row r="1557" spans="1:11" ht="15.75" hidden="1" customHeight="1">
      <c r="A1557" s="133" t="s">
        <v>7</v>
      </c>
      <c r="B1557" s="133" t="s">
        <v>346</v>
      </c>
      <c r="C1557" s="133" t="s">
        <v>1620</v>
      </c>
      <c r="D1557" s="133" t="s">
        <v>477</v>
      </c>
      <c r="E1557" s="158">
        <v>7</v>
      </c>
      <c r="F1557" s="158">
        <v>0</v>
      </c>
      <c r="G1557" s="158">
        <v>0</v>
      </c>
      <c r="H1557" s="133" t="s">
        <v>734</v>
      </c>
      <c r="I1557" s="133" t="s">
        <v>479</v>
      </c>
      <c r="J1557" s="158">
        <v>1</v>
      </c>
      <c r="K1557" s="159" t="str">
        <f ca="1">IFERROR(__xludf.DUMMYFUNCTION("GOOGLETRANSLATE(H1557,""th"",""en"")"),"Creator name")</f>
        <v>Creator name</v>
      </c>
    </row>
    <row r="1558" spans="1:11" ht="15.75" hidden="1" customHeight="1">
      <c r="A1558" s="133" t="s">
        <v>7</v>
      </c>
      <c r="B1558" s="133" t="s">
        <v>346</v>
      </c>
      <c r="C1558" s="133" t="s">
        <v>310</v>
      </c>
      <c r="D1558" s="133" t="s">
        <v>496</v>
      </c>
      <c r="E1558" s="158">
        <v>4</v>
      </c>
      <c r="F1558" s="158">
        <v>16</v>
      </c>
      <c r="G1558" s="158">
        <v>0</v>
      </c>
      <c r="H1558" s="133" t="s">
        <v>735</v>
      </c>
      <c r="I1558" s="133" t="s">
        <v>479</v>
      </c>
      <c r="J1558" s="158">
        <v>1</v>
      </c>
      <c r="K1558" s="159" t="str">
        <f ca="1">IFERROR(__xludf.DUMMYFUNCTION("GOOGLETRANSLATE(H1558,""th"",""en"")"),"Date created")</f>
        <v>Date created</v>
      </c>
    </row>
    <row r="1559" spans="1:11" ht="15.75" hidden="1" customHeight="1">
      <c r="A1559" s="133" t="s">
        <v>7</v>
      </c>
      <c r="B1559" s="133" t="s">
        <v>346</v>
      </c>
      <c r="C1559" s="133" t="s">
        <v>1552</v>
      </c>
      <c r="D1559" s="133" t="s">
        <v>477</v>
      </c>
      <c r="E1559" s="158">
        <v>7</v>
      </c>
      <c r="F1559" s="158">
        <v>0</v>
      </c>
      <c r="G1559" s="158">
        <v>0</v>
      </c>
      <c r="H1559" s="133" t="s">
        <v>871</v>
      </c>
      <c r="I1559" s="133" t="s">
        <v>479</v>
      </c>
      <c r="J1559" s="158">
        <v>1</v>
      </c>
      <c r="K1559" s="159" t="str">
        <f ca="1">IFERROR(__xludf.DUMMYFUNCTION("GOOGLETRANSLATE(H1559,""th"",""en"")"),"Last edited name")</f>
        <v>Last edited name</v>
      </c>
    </row>
    <row r="1560" spans="1:11" ht="15.75" hidden="1" customHeight="1">
      <c r="A1560" s="133" t="s">
        <v>7</v>
      </c>
      <c r="B1560" s="133" t="s">
        <v>346</v>
      </c>
      <c r="C1560" s="133" t="s">
        <v>2228</v>
      </c>
      <c r="D1560" s="133" t="s">
        <v>496</v>
      </c>
      <c r="E1560" s="158">
        <v>4</v>
      </c>
      <c r="F1560" s="158">
        <v>16</v>
      </c>
      <c r="G1560" s="158">
        <v>0</v>
      </c>
      <c r="H1560" s="133" t="s">
        <v>872</v>
      </c>
      <c r="I1560" s="133" t="s">
        <v>479</v>
      </c>
      <c r="J1560" s="158">
        <v>1</v>
      </c>
      <c r="K1560" s="159" t="str">
        <f ca="1">IFERROR(__xludf.DUMMYFUNCTION("GOOGLETRANSLATE(H1560,""th"",""en"")"),"Last modified date")</f>
        <v>Last modified date</v>
      </c>
    </row>
    <row r="1561" spans="1:11" ht="15.75" hidden="1" customHeight="1">
      <c r="A1561" s="133" t="s">
        <v>7</v>
      </c>
      <c r="B1561" s="133" t="s">
        <v>356</v>
      </c>
      <c r="C1561" s="133" t="s">
        <v>357</v>
      </c>
      <c r="D1561" s="133" t="s">
        <v>484</v>
      </c>
      <c r="E1561" s="158">
        <v>4</v>
      </c>
      <c r="F1561" s="158">
        <v>10</v>
      </c>
      <c r="G1561" s="158">
        <v>0</v>
      </c>
      <c r="H1561" s="133" t="s">
        <v>479</v>
      </c>
      <c r="I1561" s="133" t="s">
        <v>479</v>
      </c>
      <c r="J1561" s="158">
        <v>0</v>
      </c>
      <c r="K1561" s="159" t="str">
        <f ca="1">IFERROR(__xludf.DUMMYFUNCTION("GOOGLETRANSLATE(H1561,""th"",""en"")"),"Null")</f>
        <v>Null</v>
      </c>
    </row>
    <row r="1562" spans="1:11" ht="15.75" hidden="1" customHeight="1">
      <c r="A1562" s="133" t="s">
        <v>7</v>
      </c>
      <c r="B1562" s="133" t="s">
        <v>356</v>
      </c>
      <c r="C1562" s="133" t="s">
        <v>1871</v>
      </c>
      <c r="D1562" s="133" t="s">
        <v>477</v>
      </c>
      <c r="E1562" s="158">
        <v>100</v>
      </c>
      <c r="F1562" s="158">
        <v>0</v>
      </c>
      <c r="G1562" s="158">
        <v>0</v>
      </c>
      <c r="H1562" s="133" t="s">
        <v>479</v>
      </c>
      <c r="I1562" s="133" t="s">
        <v>548</v>
      </c>
      <c r="J1562" s="158">
        <v>0</v>
      </c>
      <c r="K1562" s="159" t="str">
        <f ca="1">IFERROR(__xludf.DUMMYFUNCTION("GOOGLETRANSLATE(H1562,""th"",""en"")"),"Null")</f>
        <v>Null</v>
      </c>
    </row>
    <row r="1563" spans="1:11" ht="15.75" hidden="1" customHeight="1">
      <c r="A1563" s="133" t="s">
        <v>7</v>
      </c>
      <c r="B1563" s="133" t="s">
        <v>356</v>
      </c>
      <c r="C1563" s="133" t="s">
        <v>2229</v>
      </c>
      <c r="D1563" s="133" t="s">
        <v>477</v>
      </c>
      <c r="E1563" s="158">
        <v>10</v>
      </c>
      <c r="F1563" s="158">
        <v>0</v>
      </c>
      <c r="G1563" s="158">
        <v>0</v>
      </c>
      <c r="H1563" s="133" t="s">
        <v>479</v>
      </c>
      <c r="I1563" s="133" t="s">
        <v>548</v>
      </c>
      <c r="J1563" s="158">
        <v>0</v>
      </c>
      <c r="K1563" s="159" t="str">
        <f ca="1">IFERROR(__xludf.DUMMYFUNCTION("GOOGLETRANSLATE(H1563,""th"",""en"")"),"Null")</f>
        <v>Null</v>
      </c>
    </row>
    <row r="1564" spans="1:11" ht="15.75" hidden="1" customHeight="1">
      <c r="A1564" s="133" t="s">
        <v>7</v>
      </c>
      <c r="B1564" s="133" t="s">
        <v>356</v>
      </c>
      <c r="C1564" s="133" t="s">
        <v>344</v>
      </c>
      <c r="D1564" s="133" t="s">
        <v>484</v>
      </c>
      <c r="E1564" s="158">
        <v>4</v>
      </c>
      <c r="F1564" s="158">
        <v>10</v>
      </c>
      <c r="G1564" s="158">
        <v>0</v>
      </c>
      <c r="H1564" s="133" t="s">
        <v>479</v>
      </c>
      <c r="I1564" s="133" t="s">
        <v>615</v>
      </c>
      <c r="J1564" s="158">
        <v>0</v>
      </c>
      <c r="K1564" s="159" t="str">
        <f ca="1">IFERROR(__xludf.DUMMYFUNCTION("GOOGLETRANSLATE(H1564,""th"",""en"")"),"Null")</f>
        <v>Null</v>
      </c>
    </row>
    <row r="1565" spans="1:11" ht="15.75" hidden="1" customHeight="1">
      <c r="A1565" s="133" t="s">
        <v>7</v>
      </c>
      <c r="B1565" s="133" t="s">
        <v>356</v>
      </c>
      <c r="C1565" s="133" t="s">
        <v>359</v>
      </c>
      <c r="D1565" s="133" t="s">
        <v>477</v>
      </c>
      <c r="E1565" s="158">
        <v>5</v>
      </c>
      <c r="F1565" s="158">
        <v>0</v>
      </c>
      <c r="G1565" s="158">
        <v>0</v>
      </c>
      <c r="H1565" s="133" t="s">
        <v>479</v>
      </c>
      <c r="I1565" s="133" t="s">
        <v>548</v>
      </c>
      <c r="J1565" s="158">
        <v>0</v>
      </c>
      <c r="K1565" s="159" t="str">
        <f ca="1">IFERROR(__xludf.DUMMYFUNCTION("GOOGLETRANSLATE(H1565,""th"",""en"")"),"Null")</f>
        <v>Null</v>
      </c>
    </row>
    <row r="1566" spans="1:11" ht="15.75" hidden="1" customHeight="1">
      <c r="A1566" s="133" t="s">
        <v>7</v>
      </c>
      <c r="B1566" s="133" t="s">
        <v>356</v>
      </c>
      <c r="C1566" s="133" t="s">
        <v>2230</v>
      </c>
      <c r="D1566" s="133" t="s">
        <v>477</v>
      </c>
      <c r="E1566" s="158">
        <v>3</v>
      </c>
      <c r="F1566" s="158">
        <v>0</v>
      </c>
      <c r="G1566" s="158">
        <v>0</v>
      </c>
      <c r="H1566" s="133" t="s">
        <v>2231</v>
      </c>
      <c r="I1566" s="133" t="s">
        <v>596</v>
      </c>
      <c r="J1566" s="158">
        <v>0</v>
      </c>
      <c r="K1566" s="159" t="str">
        <f ca="1">IFERROR(__xludf.DUMMYFUNCTION("GOOGLETRANSLATE(H1566,""th"",""en"")"),"Determine whether this branch can issue RCP documents (yes / no)")</f>
        <v>Determine whether this branch can issue RCP documents (yes / no)</v>
      </c>
    </row>
    <row r="1567" spans="1:11" ht="15.75" hidden="1" customHeight="1">
      <c r="A1567" s="133" t="s">
        <v>7</v>
      </c>
      <c r="B1567" s="133" t="s">
        <v>356</v>
      </c>
      <c r="C1567" s="133" t="s">
        <v>2232</v>
      </c>
      <c r="D1567" s="133" t="s">
        <v>477</v>
      </c>
      <c r="E1567" s="158">
        <v>3</v>
      </c>
      <c r="F1567" s="158">
        <v>0</v>
      </c>
      <c r="G1567" s="158">
        <v>0</v>
      </c>
      <c r="H1567" s="133" t="s">
        <v>2233</v>
      </c>
      <c r="I1567" s="133" t="s">
        <v>596</v>
      </c>
      <c r="J1567" s="158">
        <v>0</v>
      </c>
      <c r="K1567" s="159" t="str">
        <f ca="1">IFERROR(__xludf.DUMMYFUNCTION("GOOGLETRANSLATE(H1567,""th"",""en"")"),"Determine whether this branch can sell credits (yes / no)")</f>
        <v>Determine whether this branch can sell credits (yes / no)</v>
      </c>
    </row>
    <row r="1568" spans="1:11" ht="15.75" hidden="1" customHeight="1">
      <c r="A1568" s="133" t="s">
        <v>7</v>
      </c>
      <c r="B1568" s="133" t="s">
        <v>356</v>
      </c>
      <c r="C1568" s="133" t="s">
        <v>2234</v>
      </c>
      <c r="D1568" s="133" t="s">
        <v>477</v>
      </c>
      <c r="E1568" s="158">
        <v>3</v>
      </c>
      <c r="F1568" s="158">
        <v>0</v>
      </c>
      <c r="G1568" s="158">
        <v>0</v>
      </c>
      <c r="H1568" s="133" t="s">
        <v>2235</v>
      </c>
      <c r="I1568" s="133" t="s">
        <v>596</v>
      </c>
      <c r="J1568" s="158">
        <v>0</v>
      </c>
      <c r="K1568" s="159" t="str">
        <f ca="1">IFERROR(__xludf.DUMMYFUNCTION("GOOGLETRANSLATE(H1568,""th"",""en"")"),"If SALE_CREDIT_FLAG = 'Yes' is if allowed to sell Credit, this field will tell you to go to see. tbaccount.sale_credit_store_flag as well?")</f>
        <v>If SALE_CREDIT_FLAG = 'Yes' is if allowed to sell Credit, this field will tell you to go to see. tbaccount.sale_credit_store_flag as well?</v>
      </c>
    </row>
    <row r="1569" spans="1:11" ht="15.75" hidden="1" customHeight="1">
      <c r="A1569" s="133" t="s">
        <v>7</v>
      </c>
      <c r="B1569" s="133" t="s">
        <v>356</v>
      </c>
      <c r="C1569" s="133" t="s">
        <v>2236</v>
      </c>
      <c r="D1569" s="133" t="s">
        <v>477</v>
      </c>
      <c r="E1569" s="158">
        <v>3</v>
      </c>
      <c r="F1569" s="158">
        <v>0</v>
      </c>
      <c r="G1569" s="158">
        <v>0</v>
      </c>
      <c r="H1569" s="133" t="s">
        <v>2237</v>
      </c>
      <c r="I1569" s="133" t="s">
        <v>596</v>
      </c>
      <c r="J1569" s="158">
        <v>0</v>
      </c>
      <c r="K1569" s="159" t="str">
        <f ca="1">IFERROR(__xludf.DUMMYFUNCTION("GOOGLETRANSLATE(H1569,""th"",""en"")"),"Determine whether this branch can edit the number 1 when opening the order (Yes / No) * Can only solve the Personal customer.")</f>
        <v>Determine whether this branch can edit the number 1 when opening the order (Yes / No) * Can only solve the Personal customer.</v>
      </c>
    </row>
    <row r="1570" spans="1:11" ht="15.75" hidden="1" customHeight="1">
      <c r="A1570" s="133" t="s">
        <v>7</v>
      </c>
      <c r="B1570" s="133" t="s">
        <v>356</v>
      </c>
      <c r="C1570" s="133" t="s">
        <v>2238</v>
      </c>
      <c r="D1570" s="133" t="s">
        <v>477</v>
      </c>
      <c r="E1570" s="158">
        <v>3</v>
      </c>
      <c r="F1570" s="158">
        <v>0</v>
      </c>
      <c r="G1570" s="158">
        <v>0</v>
      </c>
      <c r="H1570" s="133" t="s">
        <v>2239</v>
      </c>
      <c r="I1570" s="133" t="s">
        <v>596</v>
      </c>
      <c r="J1570" s="158">
        <v>0</v>
      </c>
      <c r="K1570" s="159" t="str">
        <f ca="1">IFERROR(__xludf.DUMMYFUNCTION("GOOGLETRANSLATE(H1570,""th"",""en"")"),"Determine whether this branch can fix the shipping address when opening the order (yes / no) * can be solved only for Personal, Corporate (Cash) customers")</f>
        <v>Determine whether this branch can fix the shipping address when opening the order (yes / no) * can be solved only for Personal, Corporate (Cash) customers</v>
      </c>
    </row>
    <row r="1571" spans="1:11" ht="15.75" hidden="1" customHeight="1">
      <c r="A1571" s="133" t="s">
        <v>7</v>
      </c>
      <c r="B1571" s="133" t="s">
        <v>356</v>
      </c>
      <c r="C1571" s="133" t="s">
        <v>1333</v>
      </c>
      <c r="D1571" s="133" t="s">
        <v>477</v>
      </c>
      <c r="E1571" s="158">
        <v>100</v>
      </c>
      <c r="F1571" s="158">
        <v>0</v>
      </c>
      <c r="G1571" s="158">
        <v>0</v>
      </c>
      <c r="H1571" s="133" t="s">
        <v>479</v>
      </c>
      <c r="I1571" s="133" t="s">
        <v>548</v>
      </c>
      <c r="J1571" s="158">
        <v>0</v>
      </c>
      <c r="K1571" s="159" t="str">
        <f ca="1">IFERROR(__xludf.DUMMYFUNCTION("GOOGLETRANSLATE(H1571,""th"",""en"")"),"Null")</f>
        <v>Null</v>
      </c>
    </row>
    <row r="1572" spans="1:11" ht="15.75" hidden="1" customHeight="1">
      <c r="A1572" s="133" t="s">
        <v>7</v>
      </c>
      <c r="B1572" s="133" t="s">
        <v>356</v>
      </c>
      <c r="C1572" s="133" t="s">
        <v>1334</v>
      </c>
      <c r="D1572" s="133" t="s">
        <v>477</v>
      </c>
      <c r="E1572" s="158">
        <v>8</v>
      </c>
      <c r="F1572" s="158">
        <v>0</v>
      </c>
      <c r="G1572" s="158">
        <v>0</v>
      </c>
      <c r="H1572" s="133" t="s">
        <v>479</v>
      </c>
      <c r="I1572" s="133" t="s">
        <v>548</v>
      </c>
      <c r="J1572" s="158">
        <v>0</v>
      </c>
      <c r="K1572" s="159" t="str">
        <f ca="1">IFERROR(__xludf.DUMMYFUNCTION("GOOGLETRANSLATE(H1572,""th"",""en"")"),"Null")</f>
        <v>Null</v>
      </c>
    </row>
    <row r="1573" spans="1:11" ht="15.75" hidden="1" customHeight="1">
      <c r="A1573" s="133" t="s">
        <v>7</v>
      </c>
      <c r="B1573" s="133" t="s">
        <v>356</v>
      </c>
      <c r="C1573" s="133" t="s">
        <v>184</v>
      </c>
      <c r="D1573" s="133" t="s">
        <v>538</v>
      </c>
      <c r="E1573" s="158">
        <v>8</v>
      </c>
      <c r="F1573" s="158">
        <v>23</v>
      </c>
      <c r="G1573" s="158">
        <v>3</v>
      </c>
      <c r="H1573" s="133" t="s">
        <v>479</v>
      </c>
      <c r="I1573" s="133" t="s">
        <v>1284</v>
      </c>
      <c r="J1573" s="158">
        <v>0</v>
      </c>
      <c r="K1573" s="159" t="str">
        <f ca="1">IFERROR(__xludf.DUMMYFUNCTION("GOOGLETRANSLATE(H1573,""th"",""en"")"),"Null")</f>
        <v>Null</v>
      </c>
    </row>
    <row r="1574" spans="1:11" ht="15.75" hidden="1" customHeight="1">
      <c r="A1574" s="133" t="s">
        <v>7</v>
      </c>
      <c r="B1574" s="133" t="s">
        <v>356</v>
      </c>
      <c r="C1574" s="133" t="s">
        <v>1335</v>
      </c>
      <c r="D1574" s="133" t="s">
        <v>477</v>
      </c>
      <c r="E1574" s="158">
        <v>100</v>
      </c>
      <c r="F1574" s="158">
        <v>0</v>
      </c>
      <c r="G1574" s="158">
        <v>0</v>
      </c>
      <c r="H1574" s="133" t="s">
        <v>479</v>
      </c>
      <c r="I1574" s="133" t="s">
        <v>548</v>
      </c>
      <c r="J1574" s="158">
        <v>0</v>
      </c>
      <c r="K1574" s="159" t="str">
        <f ca="1">IFERROR(__xludf.DUMMYFUNCTION("GOOGLETRANSLATE(H1574,""th"",""en"")"),"Null")</f>
        <v>Null</v>
      </c>
    </row>
    <row r="1575" spans="1:11" ht="15.75" hidden="1" customHeight="1">
      <c r="A1575" s="133" t="s">
        <v>7</v>
      </c>
      <c r="B1575" s="133" t="s">
        <v>356</v>
      </c>
      <c r="C1575" s="133" t="s">
        <v>1336</v>
      </c>
      <c r="D1575" s="133" t="s">
        <v>477</v>
      </c>
      <c r="E1575" s="158">
        <v>8</v>
      </c>
      <c r="F1575" s="158">
        <v>0</v>
      </c>
      <c r="G1575" s="158">
        <v>0</v>
      </c>
      <c r="H1575" s="133" t="s">
        <v>479</v>
      </c>
      <c r="I1575" s="133" t="s">
        <v>548</v>
      </c>
      <c r="J1575" s="158">
        <v>0</v>
      </c>
      <c r="K1575" s="159" t="str">
        <f ca="1">IFERROR(__xludf.DUMMYFUNCTION("GOOGLETRANSLATE(H1575,""th"",""en"")"),"Null")</f>
        <v>Null</v>
      </c>
    </row>
    <row r="1576" spans="1:11" ht="15.75" hidden="1" customHeight="1">
      <c r="A1576" s="133" t="s">
        <v>7</v>
      </c>
      <c r="B1576" s="133" t="s">
        <v>356</v>
      </c>
      <c r="C1576" s="133" t="s">
        <v>175</v>
      </c>
      <c r="D1576" s="133" t="s">
        <v>538</v>
      </c>
      <c r="E1576" s="158">
        <v>8</v>
      </c>
      <c r="F1576" s="158">
        <v>23</v>
      </c>
      <c r="G1576" s="158">
        <v>3</v>
      </c>
      <c r="H1576" s="133" t="s">
        <v>479</v>
      </c>
      <c r="I1576" s="133" t="s">
        <v>548</v>
      </c>
      <c r="J1576" s="158">
        <v>0</v>
      </c>
      <c r="K1576" s="159" t="str">
        <f ca="1">IFERROR(__xludf.DUMMYFUNCTION("GOOGLETRANSLATE(H1576,""th"",""en"")"),"Null")</f>
        <v>Null</v>
      </c>
    </row>
    <row r="1577" spans="1:11" ht="15.75" hidden="1" customHeight="1">
      <c r="A1577" s="133" t="s">
        <v>7</v>
      </c>
      <c r="B1577" s="133" t="s">
        <v>356</v>
      </c>
      <c r="C1577" s="133" t="s">
        <v>2240</v>
      </c>
      <c r="D1577" s="133" t="s">
        <v>477</v>
      </c>
      <c r="E1577" s="158">
        <v>25</v>
      </c>
      <c r="F1577" s="158">
        <v>0</v>
      </c>
      <c r="G1577" s="158">
        <v>0</v>
      </c>
      <c r="H1577" s="133" t="s">
        <v>479</v>
      </c>
      <c r="I1577" s="133" t="s">
        <v>548</v>
      </c>
      <c r="J1577" s="158">
        <v>0</v>
      </c>
      <c r="K1577" s="159" t="str">
        <f ca="1">IFERROR(__xludf.DUMMYFUNCTION("GOOGLETRANSLATE(H1577,""th"",""en"")"),"Null")</f>
        <v>Null</v>
      </c>
    </row>
    <row r="1578" spans="1:11" ht="15.75" hidden="1" customHeight="1">
      <c r="A1578" s="133" t="s">
        <v>7</v>
      </c>
      <c r="B1578" s="133" t="s">
        <v>51</v>
      </c>
      <c r="C1578" s="133" t="s">
        <v>359</v>
      </c>
      <c r="D1578" s="133" t="s">
        <v>477</v>
      </c>
      <c r="E1578" s="158">
        <v>10</v>
      </c>
      <c r="F1578" s="158">
        <v>0</v>
      </c>
      <c r="G1578" s="158">
        <v>0</v>
      </c>
      <c r="H1578" s="133" t="s">
        <v>479</v>
      </c>
      <c r="I1578" s="133" t="s">
        <v>479</v>
      </c>
      <c r="J1578" s="158">
        <v>0</v>
      </c>
      <c r="K1578" s="159" t="str">
        <f ca="1">IFERROR(__xludf.DUMMYFUNCTION("GOOGLETRANSLATE(H1578,""th"",""en"")"),"Null")</f>
        <v>Null</v>
      </c>
    </row>
    <row r="1579" spans="1:11" ht="15.75" hidden="1" customHeight="1">
      <c r="A1579" s="133" t="s">
        <v>7</v>
      </c>
      <c r="B1579" s="133" t="s">
        <v>51</v>
      </c>
      <c r="C1579" s="133" t="s">
        <v>2241</v>
      </c>
      <c r="D1579" s="133" t="s">
        <v>477</v>
      </c>
      <c r="E1579" s="158">
        <v>50</v>
      </c>
      <c r="F1579" s="158">
        <v>0</v>
      </c>
      <c r="G1579" s="158">
        <v>0</v>
      </c>
      <c r="H1579" s="133" t="s">
        <v>479</v>
      </c>
      <c r="I1579" s="133" t="s">
        <v>548</v>
      </c>
      <c r="J1579" s="158">
        <v>0</v>
      </c>
      <c r="K1579" s="159" t="str">
        <f ca="1">IFERROR(__xludf.DUMMYFUNCTION("GOOGLETRANSLATE(H1579,""th"",""en"")"),"Null")</f>
        <v>Null</v>
      </c>
    </row>
    <row r="1580" spans="1:11" ht="15.75" hidden="1" customHeight="1">
      <c r="A1580" s="133" t="s">
        <v>7</v>
      </c>
      <c r="B1580" s="133" t="s">
        <v>51</v>
      </c>
      <c r="C1580" s="133" t="s">
        <v>2242</v>
      </c>
      <c r="D1580" s="133" t="s">
        <v>477</v>
      </c>
      <c r="E1580" s="158">
        <v>10</v>
      </c>
      <c r="F1580" s="158">
        <v>0</v>
      </c>
      <c r="G1580" s="158">
        <v>0</v>
      </c>
      <c r="H1580" s="133" t="s">
        <v>479</v>
      </c>
      <c r="I1580" s="133" t="s">
        <v>548</v>
      </c>
      <c r="J1580" s="158">
        <v>0</v>
      </c>
      <c r="K1580" s="159" t="str">
        <f ca="1">IFERROR(__xludf.DUMMYFUNCTION("GOOGLETRANSLATE(H1580,""th"",""en"")"),"Null")</f>
        <v>Null</v>
      </c>
    </row>
    <row r="1581" spans="1:11" ht="15.75" hidden="1" customHeight="1">
      <c r="A1581" s="133" t="s">
        <v>7</v>
      </c>
      <c r="B1581" s="133" t="s">
        <v>51</v>
      </c>
      <c r="C1581" s="133" t="s">
        <v>2243</v>
      </c>
      <c r="D1581" s="133" t="s">
        <v>477</v>
      </c>
      <c r="E1581" s="158">
        <v>55</v>
      </c>
      <c r="F1581" s="158">
        <v>0</v>
      </c>
      <c r="G1581" s="158">
        <v>0</v>
      </c>
      <c r="H1581" s="133" t="s">
        <v>479</v>
      </c>
      <c r="I1581" s="133" t="s">
        <v>548</v>
      </c>
      <c r="J1581" s="158">
        <v>0</v>
      </c>
      <c r="K1581" s="159" t="str">
        <f ca="1">IFERROR(__xludf.DUMMYFUNCTION("GOOGLETRANSLATE(H1581,""th"",""en"")"),"Null")</f>
        <v>Null</v>
      </c>
    </row>
    <row r="1582" spans="1:11" ht="15.75" hidden="1" customHeight="1">
      <c r="A1582" s="133" t="s">
        <v>7</v>
      </c>
      <c r="B1582" s="133" t="s">
        <v>51</v>
      </c>
      <c r="C1582" s="133" t="s">
        <v>2244</v>
      </c>
      <c r="D1582" s="133" t="s">
        <v>477</v>
      </c>
      <c r="E1582" s="158">
        <v>110</v>
      </c>
      <c r="F1582" s="158">
        <v>0</v>
      </c>
      <c r="G1582" s="158">
        <v>0</v>
      </c>
      <c r="H1582" s="133" t="s">
        <v>479</v>
      </c>
      <c r="I1582" s="133" t="s">
        <v>548</v>
      </c>
      <c r="J1582" s="158">
        <v>0</v>
      </c>
      <c r="K1582" s="159" t="str">
        <f ca="1">IFERROR(__xludf.DUMMYFUNCTION("GOOGLETRANSLATE(H1582,""th"",""en"")"),"Null")</f>
        <v>Null</v>
      </c>
    </row>
    <row r="1583" spans="1:11" ht="15.75" hidden="1" customHeight="1">
      <c r="A1583" s="133" t="s">
        <v>7</v>
      </c>
      <c r="B1583" s="133" t="s">
        <v>51</v>
      </c>
      <c r="C1583" s="133" t="s">
        <v>2245</v>
      </c>
      <c r="D1583" s="133" t="s">
        <v>477</v>
      </c>
      <c r="E1583" s="158">
        <v>55</v>
      </c>
      <c r="F1583" s="158">
        <v>0</v>
      </c>
      <c r="G1583" s="158">
        <v>0</v>
      </c>
      <c r="H1583" s="133" t="s">
        <v>479</v>
      </c>
      <c r="I1583" s="133" t="s">
        <v>548</v>
      </c>
      <c r="J1583" s="158">
        <v>0</v>
      </c>
      <c r="K1583" s="159" t="str">
        <f ca="1">IFERROR(__xludf.DUMMYFUNCTION("GOOGLETRANSLATE(H1583,""th"",""en"")"),"Null")</f>
        <v>Null</v>
      </c>
    </row>
    <row r="1584" spans="1:11" ht="15.75" hidden="1" customHeight="1">
      <c r="A1584" s="133" t="s">
        <v>7</v>
      </c>
      <c r="B1584" s="133" t="s">
        <v>51</v>
      </c>
      <c r="C1584" s="133" t="s">
        <v>2246</v>
      </c>
      <c r="D1584" s="133" t="s">
        <v>477</v>
      </c>
      <c r="E1584" s="158">
        <v>55</v>
      </c>
      <c r="F1584" s="158">
        <v>0</v>
      </c>
      <c r="G1584" s="158">
        <v>0</v>
      </c>
      <c r="H1584" s="133" t="s">
        <v>479</v>
      </c>
      <c r="I1584" s="133" t="s">
        <v>548</v>
      </c>
      <c r="J1584" s="158">
        <v>0</v>
      </c>
      <c r="K1584" s="159" t="str">
        <f ca="1">IFERROR(__xludf.DUMMYFUNCTION("GOOGLETRANSLATE(H1584,""th"",""en"")"),"Null")</f>
        <v>Null</v>
      </c>
    </row>
    <row r="1585" spans="1:11" ht="15.75" hidden="1" customHeight="1">
      <c r="A1585" s="133" t="s">
        <v>7</v>
      </c>
      <c r="B1585" s="133" t="s">
        <v>51</v>
      </c>
      <c r="C1585" s="133" t="s">
        <v>2247</v>
      </c>
      <c r="D1585" s="133" t="s">
        <v>477</v>
      </c>
      <c r="E1585" s="158">
        <v>50</v>
      </c>
      <c r="F1585" s="158">
        <v>0</v>
      </c>
      <c r="G1585" s="158">
        <v>0</v>
      </c>
      <c r="H1585" s="133" t="s">
        <v>479</v>
      </c>
      <c r="I1585" s="133" t="s">
        <v>548</v>
      </c>
      <c r="J1585" s="158">
        <v>0</v>
      </c>
      <c r="K1585" s="159" t="str">
        <f ca="1">IFERROR(__xludf.DUMMYFUNCTION("GOOGLETRANSLATE(H1585,""th"",""en"")"),"Null")</f>
        <v>Null</v>
      </c>
    </row>
    <row r="1586" spans="1:11" ht="15.75" hidden="1" customHeight="1">
      <c r="A1586" s="133" t="s">
        <v>7</v>
      </c>
      <c r="B1586" s="133" t="s">
        <v>51</v>
      </c>
      <c r="C1586" s="133" t="s">
        <v>2248</v>
      </c>
      <c r="D1586" s="133" t="s">
        <v>477</v>
      </c>
      <c r="E1586" s="158">
        <v>50</v>
      </c>
      <c r="F1586" s="158">
        <v>0</v>
      </c>
      <c r="G1586" s="158">
        <v>0</v>
      </c>
      <c r="H1586" s="133" t="s">
        <v>479</v>
      </c>
      <c r="I1586" s="133" t="s">
        <v>548</v>
      </c>
      <c r="J1586" s="158">
        <v>0</v>
      </c>
      <c r="K1586" s="159" t="str">
        <f ca="1">IFERROR(__xludf.DUMMYFUNCTION("GOOGLETRANSLATE(H1586,""th"",""en"")"),"Null")</f>
        <v>Null</v>
      </c>
    </row>
    <row r="1587" spans="1:11" ht="15.75" hidden="1" customHeight="1">
      <c r="A1587" s="133" t="s">
        <v>7</v>
      </c>
      <c r="B1587" s="133" t="s">
        <v>51</v>
      </c>
      <c r="C1587" s="133" t="s">
        <v>2249</v>
      </c>
      <c r="D1587" s="133" t="s">
        <v>477</v>
      </c>
      <c r="E1587" s="158">
        <v>20</v>
      </c>
      <c r="F1587" s="158">
        <v>0</v>
      </c>
      <c r="G1587" s="158">
        <v>0</v>
      </c>
      <c r="H1587" s="133" t="s">
        <v>479</v>
      </c>
      <c r="I1587" s="133" t="s">
        <v>548</v>
      </c>
      <c r="J1587" s="158">
        <v>0</v>
      </c>
      <c r="K1587" s="159" t="str">
        <f ca="1">IFERROR(__xludf.DUMMYFUNCTION("GOOGLETRANSLATE(H1587,""th"",""en"")"),"Null")</f>
        <v>Null</v>
      </c>
    </row>
    <row r="1588" spans="1:11" ht="15.75" hidden="1" customHeight="1">
      <c r="A1588" s="133" t="s">
        <v>7</v>
      </c>
      <c r="B1588" s="133" t="s">
        <v>51</v>
      </c>
      <c r="C1588" s="133" t="s">
        <v>2250</v>
      </c>
      <c r="D1588" s="133" t="s">
        <v>477</v>
      </c>
      <c r="E1588" s="158">
        <v>5</v>
      </c>
      <c r="F1588" s="158">
        <v>0</v>
      </c>
      <c r="G1588" s="158">
        <v>0</v>
      </c>
      <c r="H1588" s="133" t="s">
        <v>479</v>
      </c>
      <c r="I1588" s="133" t="s">
        <v>548</v>
      </c>
      <c r="J1588" s="158">
        <v>0</v>
      </c>
      <c r="K1588" s="159" t="str">
        <f ca="1">IFERROR(__xludf.DUMMYFUNCTION("GOOGLETRANSLATE(H1588,""th"",""en"")"),"Null")</f>
        <v>Null</v>
      </c>
    </row>
    <row r="1589" spans="1:11" ht="15.75" hidden="1" customHeight="1">
      <c r="A1589" s="133" t="s">
        <v>7</v>
      </c>
      <c r="B1589" s="133" t="s">
        <v>51</v>
      </c>
      <c r="C1589" s="133" t="s">
        <v>2209</v>
      </c>
      <c r="D1589" s="133" t="s">
        <v>477</v>
      </c>
      <c r="E1589" s="158">
        <v>7</v>
      </c>
      <c r="F1589" s="158">
        <v>0</v>
      </c>
      <c r="G1589" s="158">
        <v>0</v>
      </c>
      <c r="H1589" s="133" t="s">
        <v>479</v>
      </c>
      <c r="I1589" s="133" t="s">
        <v>548</v>
      </c>
      <c r="J1589" s="158">
        <v>0</v>
      </c>
      <c r="K1589" s="159" t="str">
        <f ca="1">IFERROR(__xludf.DUMMYFUNCTION("GOOGLETRANSLATE(H1589,""th"",""en"")"),"Null")</f>
        <v>Null</v>
      </c>
    </row>
    <row r="1590" spans="1:11" ht="15.75" hidden="1" customHeight="1">
      <c r="A1590" s="133" t="s">
        <v>7</v>
      </c>
      <c r="B1590" s="133" t="s">
        <v>51</v>
      </c>
      <c r="C1590" s="133" t="s">
        <v>2251</v>
      </c>
      <c r="D1590" s="133" t="s">
        <v>477</v>
      </c>
      <c r="E1590" s="158">
        <v>3</v>
      </c>
      <c r="F1590" s="158">
        <v>0</v>
      </c>
      <c r="G1590" s="158">
        <v>0</v>
      </c>
      <c r="H1590" s="133" t="s">
        <v>1648</v>
      </c>
      <c r="I1590" s="133" t="s">
        <v>548</v>
      </c>
      <c r="J1590" s="158">
        <v>0</v>
      </c>
      <c r="K1590" s="159" t="str">
        <f ca="1">IFERROR(__xludf.DUMMYFUNCTION("GOOGLETRANSLATE(H1590,""th"",""en"")"),"Trial")</f>
        <v>Trial</v>
      </c>
    </row>
    <row r="1591" spans="1:11" ht="15.75" hidden="1" customHeight="1">
      <c r="A1591" s="133" t="s">
        <v>7</v>
      </c>
      <c r="B1591" s="133" t="s">
        <v>51</v>
      </c>
      <c r="C1591" s="133" t="s">
        <v>1391</v>
      </c>
      <c r="D1591" s="133" t="s">
        <v>477</v>
      </c>
      <c r="E1591" s="158">
        <v>100</v>
      </c>
      <c r="F1591" s="158">
        <v>0</v>
      </c>
      <c r="G1591" s="158">
        <v>0</v>
      </c>
      <c r="H1591" s="133" t="s">
        <v>479</v>
      </c>
      <c r="I1591" s="133" t="s">
        <v>548</v>
      </c>
      <c r="J1591" s="158">
        <v>0</v>
      </c>
      <c r="K1591" s="159" t="str">
        <f ca="1">IFERROR(__xludf.DUMMYFUNCTION("GOOGLETRANSLATE(H1591,""th"",""en"")"),"Null")</f>
        <v>Null</v>
      </c>
    </row>
    <row r="1592" spans="1:11" ht="15.75" hidden="1" customHeight="1">
      <c r="A1592" s="133" t="s">
        <v>7</v>
      </c>
      <c r="B1592" s="133" t="s">
        <v>51</v>
      </c>
      <c r="C1592" s="133" t="s">
        <v>2252</v>
      </c>
      <c r="D1592" s="133" t="s">
        <v>477</v>
      </c>
      <c r="E1592" s="158">
        <v>50</v>
      </c>
      <c r="F1592" s="158">
        <v>0</v>
      </c>
      <c r="G1592" s="158">
        <v>0</v>
      </c>
      <c r="H1592" s="133" t="s">
        <v>479</v>
      </c>
      <c r="I1592" s="133" t="s">
        <v>548</v>
      </c>
      <c r="J1592" s="158">
        <v>0</v>
      </c>
      <c r="K1592" s="159" t="str">
        <f ca="1">IFERROR(__xludf.DUMMYFUNCTION("GOOGLETRANSLATE(H1592,""th"",""en"")"),"Null")</f>
        <v>Null</v>
      </c>
    </row>
    <row r="1593" spans="1:11" ht="15.75" hidden="1" customHeight="1">
      <c r="A1593" s="133" t="s">
        <v>7</v>
      </c>
      <c r="B1593" s="133" t="s">
        <v>51</v>
      </c>
      <c r="C1593" s="133" t="s">
        <v>2253</v>
      </c>
      <c r="D1593" s="133" t="s">
        <v>477</v>
      </c>
      <c r="E1593" s="158">
        <v>50</v>
      </c>
      <c r="F1593" s="158">
        <v>0</v>
      </c>
      <c r="G1593" s="158">
        <v>0</v>
      </c>
      <c r="H1593" s="133" t="s">
        <v>479</v>
      </c>
      <c r="I1593" s="133" t="s">
        <v>548</v>
      </c>
      <c r="J1593" s="158">
        <v>0</v>
      </c>
      <c r="K1593" s="159" t="str">
        <f ca="1">IFERROR(__xludf.DUMMYFUNCTION("GOOGLETRANSLATE(H1593,""th"",""en"")"),"Null")</f>
        <v>Null</v>
      </c>
    </row>
    <row r="1594" spans="1:11" ht="15.75" hidden="1" customHeight="1">
      <c r="A1594" s="133" t="s">
        <v>7</v>
      </c>
      <c r="B1594" s="133" t="s">
        <v>51</v>
      </c>
      <c r="C1594" s="133" t="s">
        <v>2254</v>
      </c>
      <c r="D1594" s="133" t="s">
        <v>477</v>
      </c>
      <c r="E1594" s="158">
        <v>200</v>
      </c>
      <c r="F1594" s="158">
        <v>0</v>
      </c>
      <c r="G1594" s="158">
        <v>0</v>
      </c>
      <c r="H1594" s="133" t="s">
        <v>479</v>
      </c>
      <c r="I1594" s="133" t="s">
        <v>548</v>
      </c>
      <c r="J1594" s="158">
        <v>0</v>
      </c>
      <c r="K1594" s="159" t="str">
        <f ca="1">IFERROR(__xludf.DUMMYFUNCTION("GOOGLETRANSLATE(H1594,""th"",""en"")"),"Null")</f>
        <v>Null</v>
      </c>
    </row>
    <row r="1595" spans="1:11" ht="15.75" hidden="1" customHeight="1">
      <c r="A1595" s="133" t="s">
        <v>7</v>
      </c>
      <c r="B1595" s="133" t="s">
        <v>51</v>
      </c>
      <c r="C1595" s="133" t="s">
        <v>2255</v>
      </c>
      <c r="D1595" s="133" t="s">
        <v>477</v>
      </c>
      <c r="E1595" s="158">
        <v>100</v>
      </c>
      <c r="F1595" s="158">
        <v>0</v>
      </c>
      <c r="G1595" s="158">
        <v>0</v>
      </c>
      <c r="H1595" s="133" t="s">
        <v>479</v>
      </c>
      <c r="I1595" s="133" t="s">
        <v>548</v>
      </c>
      <c r="J1595" s="158">
        <v>0</v>
      </c>
      <c r="K1595" s="159" t="str">
        <f ca="1">IFERROR(__xludf.DUMMYFUNCTION("GOOGLETRANSLATE(H1595,""th"",""en"")"),"Null")</f>
        <v>Null</v>
      </c>
    </row>
    <row r="1596" spans="1:11" ht="15.75" hidden="1" customHeight="1">
      <c r="A1596" s="133" t="s">
        <v>7</v>
      </c>
      <c r="B1596" s="133" t="s">
        <v>51</v>
      </c>
      <c r="C1596" s="133" t="s">
        <v>2256</v>
      </c>
      <c r="D1596" s="133" t="s">
        <v>481</v>
      </c>
      <c r="E1596" s="158">
        <v>9</v>
      </c>
      <c r="F1596" s="158">
        <v>11</v>
      </c>
      <c r="G1596" s="158">
        <v>8</v>
      </c>
      <c r="H1596" s="133" t="s">
        <v>479</v>
      </c>
      <c r="I1596" s="133" t="s">
        <v>615</v>
      </c>
      <c r="J1596" s="158">
        <v>0</v>
      </c>
      <c r="K1596" s="159" t="str">
        <f ca="1">IFERROR(__xludf.DUMMYFUNCTION("GOOGLETRANSLATE(H1596,""th"",""en"")"),"Null")</f>
        <v>Null</v>
      </c>
    </row>
    <row r="1597" spans="1:11" ht="15.75" hidden="1" customHeight="1">
      <c r="A1597" s="133" t="s">
        <v>7</v>
      </c>
      <c r="B1597" s="133" t="s">
        <v>51</v>
      </c>
      <c r="C1597" s="133" t="s">
        <v>2257</v>
      </c>
      <c r="D1597" s="133" t="s">
        <v>481</v>
      </c>
      <c r="E1597" s="158">
        <v>9</v>
      </c>
      <c r="F1597" s="158">
        <v>11</v>
      </c>
      <c r="G1597" s="158">
        <v>8</v>
      </c>
      <c r="H1597" s="133" t="s">
        <v>479</v>
      </c>
      <c r="I1597" s="133" t="s">
        <v>615</v>
      </c>
      <c r="J1597" s="158">
        <v>0</v>
      </c>
      <c r="K1597" s="159" t="str">
        <f ca="1">IFERROR(__xludf.DUMMYFUNCTION("GOOGLETRANSLATE(H1597,""th"",""en"")"),"Null")</f>
        <v>Null</v>
      </c>
    </row>
    <row r="1598" spans="1:11" ht="15.75" hidden="1" customHeight="1">
      <c r="A1598" s="133" t="s">
        <v>7</v>
      </c>
      <c r="B1598" s="133" t="s">
        <v>51</v>
      </c>
      <c r="C1598" s="133" t="s">
        <v>2258</v>
      </c>
      <c r="D1598" s="133" t="s">
        <v>477</v>
      </c>
      <c r="E1598" s="158">
        <v>100</v>
      </c>
      <c r="F1598" s="158">
        <v>0</v>
      </c>
      <c r="G1598" s="158">
        <v>0</v>
      </c>
      <c r="H1598" s="133" t="s">
        <v>479</v>
      </c>
      <c r="I1598" s="133" t="s">
        <v>548</v>
      </c>
      <c r="J1598" s="158">
        <v>0</v>
      </c>
      <c r="K1598" s="159" t="str">
        <f ca="1">IFERROR(__xludf.DUMMYFUNCTION("GOOGLETRANSLATE(H1598,""th"",""en"")"),"Null")</f>
        <v>Null</v>
      </c>
    </row>
    <row r="1599" spans="1:11" ht="15.75" hidden="1" customHeight="1">
      <c r="A1599" s="133" t="s">
        <v>7</v>
      </c>
      <c r="B1599" s="133" t="s">
        <v>51</v>
      </c>
      <c r="C1599" s="133" t="s">
        <v>2259</v>
      </c>
      <c r="D1599" s="133" t="s">
        <v>477</v>
      </c>
      <c r="E1599" s="158">
        <v>100</v>
      </c>
      <c r="F1599" s="158">
        <v>0</v>
      </c>
      <c r="G1599" s="158">
        <v>0</v>
      </c>
      <c r="H1599" s="133" t="s">
        <v>479</v>
      </c>
      <c r="I1599" s="133" t="s">
        <v>548</v>
      </c>
      <c r="J1599" s="158">
        <v>0</v>
      </c>
      <c r="K1599" s="159" t="str">
        <f ca="1">IFERROR(__xludf.DUMMYFUNCTION("GOOGLETRANSLATE(H1599,""th"",""en"")"),"Null")</f>
        <v>Null</v>
      </c>
    </row>
    <row r="1600" spans="1:11" ht="15.75" hidden="1" customHeight="1">
      <c r="A1600" s="133" t="s">
        <v>7</v>
      </c>
      <c r="B1600" s="133" t="s">
        <v>51</v>
      </c>
      <c r="C1600" s="133" t="s">
        <v>2260</v>
      </c>
      <c r="D1600" s="133" t="s">
        <v>477</v>
      </c>
      <c r="E1600" s="158">
        <v>500</v>
      </c>
      <c r="F1600" s="158">
        <v>0</v>
      </c>
      <c r="G1600" s="158">
        <v>0</v>
      </c>
      <c r="H1600" s="133" t="s">
        <v>479</v>
      </c>
      <c r="I1600" s="133" t="s">
        <v>548</v>
      </c>
      <c r="J1600" s="158">
        <v>0</v>
      </c>
      <c r="K1600" s="159" t="str">
        <f ca="1">IFERROR(__xludf.DUMMYFUNCTION("GOOGLETRANSLATE(H1600,""th"",""en"")"),"Null")</f>
        <v>Null</v>
      </c>
    </row>
    <row r="1601" spans="1:11" ht="15.75" hidden="1" customHeight="1">
      <c r="A1601" s="133" t="s">
        <v>7</v>
      </c>
      <c r="B1601" s="133" t="s">
        <v>51</v>
      </c>
      <c r="C1601" s="133" t="s">
        <v>2261</v>
      </c>
      <c r="D1601" s="133" t="s">
        <v>477</v>
      </c>
      <c r="E1601" s="158">
        <v>3</v>
      </c>
      <c r="F1601" s="158">
        <v>0</v>
      </c>
      <c r="G1601" s="158">
        <v>0</v>
      </c>
      <c r="H1601" s="133" t="s">
        <v>479</v>
      </c>
      <c r="I1601" s="133" t="s">
        <v>596</v>
      </c>
      <c r="J1601" s="158">
        <v>0</v>
      </c>
      <c r="K1601" s="159" t="str">
        <f ca="1">IFERROR(__xludf.DUMMYFUNCTION("GOOGLETRANSLATE(H1601,""th"",""en"")"),"Null")</f>
        <v>Null</v>
      </c>
    </row>
    <row r="1602" spans="1:11" ht="15.75" hidden="1" customHeight="1">
      <c r="A1602" s="133" t="s">
        <v>7</v>
      </c>
      <c r="B1602" s="133" t="s">
        <v>51</v>
      </c>
      <c r="C1602" s="133" t="s">
        <v>2262</v>
      </c>
      <c r="D1602" s="133" t="s">
        <v>477</v>
      </c>
      <c r="E1602" s="158">
        <v>7</v>
      </c>
      <c r="F1602" s="158">
        <v>0</v>
      </c>
      <c r="G1602" s="158">
        <v>0</v>
      </c>
      <c r="H1602" s="133" t="s">
        <v>1648</v>
      </c>
      <c r="I1602" s="133" t="s">
        <v>548</v>
      </c>
      <c r="J1602" s="158">
        <v>0</v>
      </c>
      <c r="K1602" s="159" t="str">
        <f ca="1">IFERROR(__xludf.DUMMYFUNCTION("GOOGLETRANSLATE(H1602,""th"",""en"")"),"Trial")</f>
        <v>Trial</v>
      </c>
    </row>
    <row r="1603" spans="1:11" ht="15.75" hidden="1" customHeight="1">
      <c r="A1603" s="133" t="s">
        <v>7</v>
      </c>
      <c r="B1603" s="133" t="s">
        <v>51</v>
      </c>
      <c r="C1603" s="133" t="s">
        <v>1333</v>
      </c>
      <c r="D1603" s="133" t="s">
        <v>477</v>
      </c>
      <c r="E1603" s="158">
        <v>100</v>
      </c>
      <c r="F1603" s="158">
        <v>0</v>
      </c>
      <c r="G1603" s="158">
        <v>0</v>
      </c>
      <c r="H1603" s="133" t="s">
        <v>1648</v>
      </c>
      <c r="I1603" s="133" t="s">
        <v>548</v>
      </c>
      <c r="J1603" s="158">
        <v>0</v>
      </c>
      <c r="K1603" s="159" t="str">
        <f ca="1">IFERROR(__xludf.DUMMYFUNCTION("GOOGLETRANSLATE(H1603,""th"",""en"")"),"Trial")</f>
        <v>Trial</v>
      </c>
    </row>
    <row r="1604" spans="1:11" ht="15.75" hidden="1" customHeight="1">
      <c r="A1604" s="133" t="s">
        <v>7</v>
      </c>
      <c r="B1604" s="133" t="s">
        <v>51</v>
      </c>
      <c r="C1604" s="133" t="s">
        <v>1334</v>
      </c>
      <c r="D1604" s="133" t="s">
        <v>477</v>
      </c>
      <c r="E1604" s="158">
        <v>8</v>
      </c>
      <c r="F1604" s="158">
        <v>0</v>
      </c>
      <c r="G1604" s="158">
        <v>0</v>
      </c>
      <c r="H1604" s="133" t="s">
        <v>1648</v>
      </c>
      <c r="I1604" s="133" t="s">
        <v>548</v>
      </c>
      <c r="J1604" s="158">
        <v>0</v>
      </c>
      <c r="K1604" s="159" t="str">
        <f ca="1">IFERROR(__xludf.DUMMYFUNCTION("GOOGLETRANSLATE(H1604,""th"",""en"")"),"Trial")</f>
        <v>Trial</v>
      </c>
    </row>
    <row r="1605" spans="1:11" ht="15.75" hidden="1" customHeight="1">
      <c r="A1605" s="133" t="s">
        <v>7</v>
      </c>
      <c r="B1605" s="133" t="s">
        <v>51</v>
      </c>
      <c r="C1605" s="133" t="s">
        <v>184</v>
      </c>
      <c r="D1605" s="133" t="s">
        <v>538</v>
      </c>
      <c r="E1605" s="158">
        <v>8</v>
      </c>
      <c r="F1605" s="158">
        <v>23</v>
      </c>
      <c r="G1605" s="158">
        <v>3</v>
      </c>
      <c r="H1605" s="133" t="s">
        <v>1648</v>
      </c>
      <c r="I1605" s="133" t="s">
        <v>1284</v>
      </c>
      <c r="J1605" s="158">
        <v>0</v>
      </c>
      <c r="K1605" s="159" t="str">
        <f ca="1">IFERROR(__xludf.DUMMYFUNCTION("GOOGLETRANSLATE(H1605,""th"",""en"")"),"Trial")</f>
        <v>Trial</v>
      </c>
    </row>
    <row r="1606" spans="1:11" ht="15.75" hidden="1" customHeight="1">
      <c r="A1606" s="133" t="s">
        <v>7</v>
      </c>
      <c r="B1606" s="133" t="s">
        <v>51</v>
      </c>
      <c r="C1606" s="133" t="s">
        <v>1335</v>
      </c>
      <c r="D1606" s="133" t="s">
        <v>477</v>
      </c>
      <c r="E1606" s="158">
        <v>100</v>
      </c>
      <c r="F1606" s="158">
        <v>0</v>
      </c>
      <c r="G1606" s="158">
        <v>0</v>
      </c>
      <c r="H1606" s="133" t="s">
        <v>1648</v>
      </c>
      <c r="I1606" s="133" t="s">
        <v>548</v>
      </c>
      <c r="J1606" s="158">
        <v>0</v>
      </c>
      <c r="K1606" s="159" t="str">
        <f ca="1">IFERROR(__xludf.DUMMYFUNCTION("GOOGLETRANSLATE(H1606,""th"",""en"")"),"Trial")</f>
        <v>Trial</v>
      </c>
    </row>
    <row r="1607" spans="1:11" ht="15.75" hidden="1" customHeight="1">
      <c r="A1607" s="133" t="s">
        <v>7</v>
      </c>
      <c r="B1607" s="133" t="s">
        <v>51</v>
      </c>
      <c r="C1607" s="133" t="s">
        <v>1336</v>
      </c>
      <c r="D1607" s="133" t="s">
        <v>477</v>
      </c>
      <c r="E1607" s="158">
        <v>8</v>
      </c>
      <c r="F1607" s="158">
        <v>0</v>
      </c>
      <c r="G1607" s="158">
        <v>0</v>
      </c>
      <c r="H1607" s="133" t="s">
        <v>1648</v>
      </c>
      <c r="I1607" s="133" t="s">
        <v>548</v>
      </c>
      <c r="J1607" s="158">
        <v>0</v>
      </c>
      <c r="K1607" s="159" t="str">
        <f ca="1">IFERROR(__xludf.DUMMYFUNCTION("GOOGLETRANSLATE(H1607,""th"",""en"")"),"Trial")</f>
        <v>Trial</v>
      </c>
    </row>
    <row r="1608" spans="1:11" ht="15.75" hidden="1" customHeight="1">
      <c r="A1608" s="133" t="s">
        <v>7</v>
      </c>
      <c r="B1608" s="133" t="s">
        <v>51</v>
      </c>
      <c r="C1608" s="133" t="s">
        <v>175</v>
      </c>
      <c r="D1608" s="133" t="s">
        <v>538</v>
      </c>
      <c r="E1608" s="158">
        <v>8</v>
      </c>
      <c r="F1608" s="158">
        <v>23</v>
      </c>
      <c r="G1608" s="158">
        <v>3</v>
      </c>
      <c r="H1608" s="133" t="s">
        <v>1648</v>
      </c>
      <c r="I1608" s="133" t="s">
        <v>1284</v>
      </c>
      <c r="J1608" s="158">
        <v>0</v>
      </c>
      <c r="K1608" s="159" t="str">
        <f ca="1">IFERROR(__xludf.DUMMYFUNCTION("GOOGLETRANSLATE(H1608,""th"",""en"")"),"Trial")</f>
        <v>Trial</v>
      </c>
    </row>
    <row r="1609" spans="1:11" ht="15.75" hidden="1" customHeight="1">
      <c r="A1609" s="133" t="s">
        <v>7</v>
      </c>
      <c r="B1609" s="133" t="s">
        <v>51</v>
      </c>
      <c r="C1609" s="133" t="s">
        <v>2263</v>
      </c>
      <c r="D1609" s="133" t="s">
        <v>477</v>
      </c>
      <c r="E1609" s="158">
        <v>20</v>
      </c>
      <c r="F1609" s="158">
        <v>0</v>
      </c>
      <c r="G1609" s="158">
        <v>0</v>
      </c>
      <c r="H1609" s="160"/>
      <c r="I1609" s="133" t="s">
        <v>548</v>
      </c>
      <c r="J1609" s="158">
        <v>0</v>
      </c>
      <c r="K1609" s="159" t="str">
        <f ca="1">IFERROR(__xludf.DUMMYFUNCTION("GOOGLETRANSLATE(H1609,""th"",""en"")"),"#VALUE!")</f>
        <v>#VALUE!</v>
      </c>
    </row>
    <row r="1610" spans="1:11" ht="15.75" hidden="1" customHeight="1">
      <c r="A1610" s="133" t="s">
        <v>7</v>
      </c>
      <c r="B1610" s="133" t="s">
        <v>51</v>
      </c>
      <c r="C1610" s="133" t="s">
        <v>2264</v>
      </c>
      <c r="D1610" s="133" t="s">
        <v>477</v>
      </c>
      <c r="E1610" s="158">
        <v>55</v>
      </c>
      <c r="F1610" s="158">
        <v>0</v>
      </c>
      <c r="G1610" s="158">
        <v>0</v>
      </c>
      <c r="H1610" s="160"/>
      <c r="I1610" s="133" t="s">
        <v>548</v>
      </c>
      <c r="J1610" s="158">
        <v>0</v>
      </c>
      <c r="K1610" s="159" t="str">
        <f ca="1">IFERROR(__xludf.DUMMYFUNCTION("GOOGLETRANSLATE(H1610,""th"",""en"")"),"#VALUE!")</f>
        <v>#VALUE!</v>
      </c>
    </row>
    <row r="1611" spans="1:11" ht="15.75" hidden="1" customHeight="1">
      <c r="A1611" s="133" t="s">
        <v>7</v>
      </c>
      <c r="B1611" s="133" t="s">
        <v>51</v>
      </c>
      <c r="C1611" s="133" t="s">
        <v>2265</v>
      </c>
      <c r="D1611" s="133" t="s">
        <v>477</v>
      </c>
      <c r="E1611" s="158">
        <v>20</v>
      </c>
      <c r="F1611" s="158">
        <v>0</v>
      </c>
      <c r="G1611" s="158">
        <v>0</v>
      </c>
      <c r="H1611" s="133" t="s">
        <v>2266</v>
      </c>
      <c r="I1611" s="133" t="s">
        <v>548</v>
      </c>
      <c r="J1611" s="158">
        <v>0</v>
      </c>
      <c r="K1611" s="159" t="str">
        <f ca="1">IFERROR(__xludf.DUMMYFUNCTION("GOOGLETRANSLATE(H1611,""th"",""en"")"),"Branch code in Oracle")</f>
        <v>Branch code in Oracle</v>
      </c>
    </row>
    <row r="1612" spans="1:11" ht="15.75" hidden="1" customHeight="1">
      <c r="A1612" s="133" t="s">
        <v>7</v>
      </c>
      <c r="B1612" s="133" t="s">
        <v>51</v>
      </c>
      <c r="C1612" s="133" t="s">
        <v>2267</v>
      </c>
      <c r="D1612" s="133" t="s">
        <v>477</v>
      </c>
      <c r="E1612" s="158">
        <v>50</v>
      </c>
      <c r="F1612" s="158">
        <v>0</v>
      </c>
      <c r="G1612" s="158">
        <v>0</v>
      </c>
      <c r="H1612" s="133" t="s">
        <v>479</v>
      </c>
      <c r="I1612" s="133" t="s">
        <v>548</v>
      </c>
      <c r="J1612" s="158">
        <v>0</v>
      </c>
      <c r="K1612" s="159" t="str">
        <f ca="1">IFERROR(__xludf.DUMMYFUNCTION("GOOGLETRANSLATE(H1612,""th"",""en"")"),"Null")</f>
        <v>Null</v>
      </c>
    </row>
    <row r="1613" spans="1:11" ht="15.75" hidden="1" customHeight="1">
      <c r="A1613" s="133" t="s">
        <v>7</v>
      </c>
      <c r="B1613" s="133" t="s">
        <v>51</v>
      </c>
      <c r="C1613" s="133" t="s">
        <v>2268</v>
      </c>
      <c r="D1613" s="133" t="s">
        <v>477</v>
      </c>
      <c r="E1613" s="158">
        <v>50</v>
      </c>
      <c r="F1613" s="158">
        <v>0</v>
      </c>
      <c r="G1613" s="158">
        <v>0</v>
      </c>
      <c r="H1613" s="133" t="s">
        <v>479</v>
      </c>
      <c r="I1613" s="133" t="s">
        <v>548</v>
      </c>
      <c r="J1613" s="158">
        <v>0</v>
      </c>
      <c r="K1613" s="159" t="str">
        <f ca="1">IFERROR(__xludf.DUMMYFUNCTION("GOOGLETRANSLATE(H1613,""th"",""en"")"),"Null")</f>
        <v>Null</v>
      </c>
    </row>
    <row r="1614" spans="1:11" ht="15.75" hidden="1" customHeight="1">
      <c r="A1614" s="133" t="s">
        <v>7</v>
      </c>
      <c r="B1614" s="133" t="s">
        <v>51</v>
      </c>
      <c r="C1614" s="133" t="s">
        <v>2269</v>
      </c>
      <c r="D1614" s="133" t="s">
        <v>477</v>
      </c>
      <c r="E1614" s="158">
        <v>50</v>
      </c>
      <c r="F1614" s="158">
        <v>0</v>
      </c>
      <c r="G1614" s="158">
        <v>0</v>
      </c>
      <c r="H1614" s="133" t="s">
        <v>479</v>
      </c>
      <c r="I1614" s="133" t="s">
        <v>548</v>
      </c>
      <c r="J1614" s="158">
        <v>0</v>
      </c>
      <c r="K1614" s="159" t="str">
        <f ca="1">IFERROR(__xludf.DUMMYFUNCTION("GOOGLETRANSLATE(H1614,""th"",""en"")"),"Null")</f>
        <v>Null</v>
      </c>
    </row>
    <row r="1615" spans="1:11" ht="15.75" hidden="1" customHeight="1">
      <c r="A1615" s="133" t="s">
        <v>7</v>
      </c>
      <c r="B1615" s="133" t="s">
        <v>51</v>
      </c>
      <c r="C1615" s="133" t="s">
        <v>2270</v>
      </c>
      <c r="D1615" s="133" t="s">
        <v>477</v>
      </c>
      <c r="E1615" s="158">
        <v>10</v>
      </c>
      <c r="F1615" s="158">
        <v>0</v>
      </c>
      <c r="G1615" s="158">
        <v>0</v>
      </c>
      <c r="H1615" s="133" t="s">
        <v>479</v>
      </c>
      <c r="I1615" s="133" t="s">
        <v>548</v>
      </c>
      <c r="J1615" s="158">
        <v>0</v>
      </c>
      <c r="K1615" s="159" t="str">
        <f ca="1">IFERROR(__xludf.DUMMYFUNCTION("GOOGLETRANSLATE(H1615,""th"",""en"")"),"Null")</f>
        <v>Null</v>
      </c>
    </row>
    <row r="1616" spans="1:11" ht="15.75" hidden="1" customHeight="1">
      <c r="A1616" s="133" t="s">
        <v>7</v>
      </c>
      <c r="B1616" s="133" t="s">
        <v>51</v>
      </c>
      <c r="C1616" s="133" t="s">
        <v>2271</v>
      </c>
      <c r="D1616" s="133" t="s">
        <v>477</v>
      </c>
      <c r="E1616" s="158">
        <v>100</v>
      </c>
      <c r="F1616" s="158">
        <v>0</v>
      </c>
      <c r="G1616" s="158">
        <v>0</v>
      </c>
      <c r="H1616" s="133" t="s">
        <v>2272</v>
      </c>
      <c r="I1616" s="133" t="s">
        <v>548</v>
      </c>
      <c r="J1616" s="158">
        <v>0</v>
      </c>
      <c r="K1616" s="159" t="str">
        <f ca="1">IFERROR(__xludf.DUMMYFUNCTION("GOOGLETRANSLATE(H1616,""th"",""en"")"),"Email Branch")</f>
        <v>Email Branch</v>
      </c>
    </row>
    <row r="1617" spans="1:11" ht="15.75" hidden="1" customHeight="1">
      <c r="A1617" s="133" t="s">
        <v>7</v>
      </c>
      <c r="B1617" s="133" t="s">
        <v>360</v>
      </c>
      <c r="C1617" s="133" t="s">
        <v>2273</v>
      </c>
      <c r="D1617" s="133" t="s">
        <v>477</v>
      </c>
      <c r="E1617" s="158">
        <v>3</v>
      </c>
      <c r="F1617" s="158">
        <v>0</v>
      </c>
      <c r="G1617" s="158">
        <v>0</v>
      </c>
      <c r="H1617" s="133" t="s">
        <v>1648</v>
      </c>
      <c r="I1617" s="133" t="s">
        <v>548</v>
      </c>
      <c r="J1617" s="158">
        <v>0</v>
      </c>
      <c r="K1617" s="159" t="str">
        <f ca="1">IFERROR(__xludf.DUMMYFUNCTION("GOOGLETRANSLATE(H1617,""th"",""en"")"),"Trial")</f>
        <v>Trial</v>
      </c>
    </row>
    <row r="1618" spans="1:11" ht="15.75" hidden="1" customHeight="1">
      <c r="A1618" s="133" t="s">
        <v>7</v>
      </c>
      <c r="B1618" s="133" t="s">
        <v>360</v>
      </c>
      <c r="C1618" s="133" t="s">
        <v>2274</v>
      </c>
      <c r="D1618" s="133" t="s">
        <v>477</v>
      </c>
      <c r="E1618" s="158">
        <v>10</v>
      </c>
      <c r="F1618" s="158">
        <v>0</v>
      </c>
      <c r="G1618" s="158">
        <v>0</v>
      </c>
      <c r="H1618" s="133" t="s">
        <v>1648</v>
      </c>
      <c r="I1618" s="133" t="s">
        <v>548</v>
      </c>
      <c r="J1618" s="158">
        <v>0</v>
      </c>
      <c r="K1618" s="159" t="str">
        <f ca="1">IFERROR(__xludf.DUMMYFUNCTION("GOOGLETRANSLATE(H1618,""th"",""en"")"),"Trial")</f>
        <v>Trial</v>
      </c>
    </row>
    <row r="1619" spans="1:11" ht="15.75" hidden="1" customHeight="1">
      <c r="A1619" s="133" t="s">
        <v>7</v>
      </c>
      <c r="B1619" s="133" t="s">
        <v>360</v>
      </c>
      <c r="C1619" s="133" t="s">
        <v>2275</v>
      </c>
      <c r="D1619" s="133" t="s">
        <v>477</v>
      </c>
      <c r="E1619" s="158">
        <v>40</v>
      </c>
      <c r="F1619" s="158">
        <v>0</v>
      </c>
      <c r="G1619" s="158">
        <v>0</v>
      </c>
      <c r="H1619" s="133" t="s">
        <v>1648</v>
      </c>
      <c r="I1619" s="133" t="s">
        <v>548</v>
      </c>
      <c r="J1619" s="158">
        <v>0</v>
      </c>
      <c r="K1619" s="159" t="str">
        <f ca="1">IFERROR(__xludf.DUMMYFUNCTION("GOOGLETRANSLATE(H1619,""th"",""en"")"),"Trial")</f>
        <v>Trial</v>
      </c>
    </row>
    <row r="1620" spans="1:11" ht="15.75" hidden="1" customHeight="1">
      <c r="A1620" s="133" t="s">
        <v>7</v>
      </c>
      <c r="B1620" s="133" t="s">
        <v>360</v>
      </c>
      <c r="C1620" s="133" t="s">
        <v>2276</v>
      </c>
      <c r="D1620" s="133" t="s">
        <v>477</v>
      </c>
      <c r="E1620" s="158">
        <v>20</v>
      </c>
      <c r="F1620" s="158">
        <v>0</v>
      </c>
      <c r="G1620" s="158">
        <v>0</v>
      </c>
      <c r="H1620" s="133" t="s">
        <v>1648</v>
      </c>
      <c r="I1620" s="133" t="s">
        <v>548</v>
      </c>
      <c r="J1620" s="158">
        <v>0</v>
      </c>
      <c r="K1620" s="159" t="str">
        <f ca="1">IFERROR(__xludf.DUMMYFUNCTION("GOOGLETRANSLATE(H1620,""th"",""en"")"),"Trial")</f>
        <v>Trial</v>
      </c>
    </row>
    <row r="1621" spans="1:11" ht="15.75" hidden="1" customHeight="1">
      <c r="A1621" s="133" t="s">
        <v>7</v>
      </c>
      <c r="B1621" s="133" t="s">
        <v>360</v>
      </c>
      <c r="C1621" s="133" t="s">
        <v>1333</v>
      </c>
      <c r="D1621" s="133" t="s">
        <v>477</v>
      </c>
      <c r="E1621" s="158">
        <v>100</v>
      </c>
      <c r="F1621" s="158">
        <v>0</v>
      </c>
      <c r="G1621" s="158">
        <v>0</v>
      </c>
      <c r="H1621" s="133" t="s">
        <v>1648</v>
      </c>
      <c r="I1621" s="133" t="s">
        <v>548</v>
      </c>
      <c r="J1621" s="158">
        <v>0</v>
      </c>
      <c r="K1621" s="159" t="str">
        <f ca="1">IFERROR(__xludf.DUMMYFUNCTION("GOOGLETRANSLATE(H1621,""th"",""en"")"),"Trial")</f>
        <v>Trial</v>
      </c>
    </row>
    <row r="1622" spans="1:11" ht="15.75" hidden="1" customHeight="1">
      <c r="A1622" s="133" t="s">
        <v>7</v>
      </c>
      <c r="B1622" s="133" t="s">
        <v>360</v>
      </c>
      <c r="C1622" s="133" t="s">
        <v>1334</v>
      </c>
      <c r="D1622" s="133" t="s">
        <v>477</v>
      </c>
      <c r="E1622" s="158">
        <v>8</v>
      </c>
      <c r="F1622" s="158">
        <v>0</v>
      </c>
      <c r="G1622" s="158">
        <v>0</v>
      </c>
      <c r="H1622" s="133" t="s">
        <v>1648</v>
      </c>
      <c r="I1622" s="133" t="s">
        <v>548</v>
      </c>
      <c r="J1622" s="158">
        <v>0</v>
      </c>
      <c r="K1622" s="159" t="str">
        <f ca="1">IFERROR(__xludf.DUMMYFUNCTION("GOOGLETRANSLATE(H1622,""th"",""en"")"),"Trial")</f>
        <v>Trial</v>
      </c>
    </row>
    <row r="1623" spans="1:11" ht="15.75" hidden="1" customHeight="1">
      <c r="A1623" s="133" t="s">
        <v>7</v>
      </c>
      <c r="B1623" s="133" t="s">
        <v>360</v>
      </c>
      <c r="C1623" s="133" t="s">
        <v>184</v>
      </c>
      <c r="D1623" s="133" t="s">
        <v>538</v>
      </c>
      <c r="E1623" s="158">
        <v>8</v>
      </c>
      <c r="F1623" s="158">
        <v>23</v>
      </c>
      <c r="G1623" s="158">
        <v>3</v>
      </c>
      <c r="H1623" s="133" t="s">
        <v>1648</v>
      </c>
      <c r="I1623" s="133" t="s">
        <v>1284</v>
      </c>
      <c r="J1623" s="158">
        <v>0</v>
      </c>
      <c r="K1623" s="159" t="str">
        <f ca="1">IFERROR(__xludf.DUMMYFUNCTION("GOOGLETRANSLATE(H1623,""th"",""en"")"),"Trial")</f>
        <v>Trial</v>
      </c>
    </row>
    <row r="1624" spans="1:11" ht="15.75" hidden="1" customHeight="1">
      <c r="A1624" s="133" t="s">
        <v>7</v>
      </c>
      <c r="B1624" s="133" t="s">
        <v>360</v>
      </c>
      <c r="C1624" s="133" t="s">
        <v>1335</v>
      </c>
      <c r="D1624" s="133" t="s">
        <v>477</v>
      </c>
      <c r="E1624" s="158">
        <v>100</v>
      </c>
      <c r="F1624" s="158">
        <v>0</v>
      </c>
      <c r="G1624" s="158">
        <v>0</v>
      </c>
      <c r="H1624" s="133" t="s">
        <v>1648</v>
      </c>
      <c r="I1624" s="133" t="s">
        <v>548</v>
      </c>
      <c r="J1624" s="158">
        <v>0</v>
      </c>
      <c r="K1624" s="159" t="str">
        <f ca="1">IFERROR(__xludf.DUMMYFUNCTION("GOOGLETRANSLATE(H1624,""th"",""en"")"),"Trial")</f>
        <v>Trial</v>
      </c>
    </row>
    <row r="1625" spans="1:11" ht="15.75" hidden="1" customHeight="1">
      <c r="A1625" s="133" t="s">
        <v>7</v>
      </c>
      <c r="B1625" s="133" t="s">
        <v>360</v>
      </c>
      <c r="C1625" s="133" t="s">
        <v>1336</v>
      </c>
      <c r="D1625" s="133" t="s">
        <v>477</v>
      </c>
      <c r="E1625" s="158">
        <v>8</v>
      </c>
      <c r="F1625" s="158">
        <v>0</v>
      </c>
      <c r="G1625" s="158">
        <v>0</v>
      </c>
      <c r="H1625" s="133" t="s">
        <v>1648</v>
      </c>
      <c r="I1625" s="133" t="s">
        <v>548</v>
      </c>
      <c r="J1625" s="158">
        <v>0</v>
      </c>
      <c r="K1625" s="159" t="str">
        <f ca="1">IFERROR(__xludf.DUMMYFUNCTION("GOOGLETRANSLATE(H1625,""th"",""en"")"),"Trial")</f>
        <v>Trial</v>
      </c>
    </row>
    <row r="1626" spans="1:11" ht="15.75" hidden="1" customHeight="1">
      <c r="A1626" s="133" t="s">
        <v>7</v>
      </c>
      <c r="B1626" s="133" t="s">
        <v>360</v>
      </c>
      <c r="C1626" s="133" t="s">
        <v>175</v>
      </c>
      <c r="D1626" s="133" t="s">
        <v>538</v>
      </c>
      <c r="E1626" s="158">
        <v>8</v>
      </c>
      <c r="F1626" s="158">
        <v>23</v>
      </c>
      <c r="G1626" s="158">
        <v>3</v>
      </c>
      <c r="H1626" s="133" t="s">
        <v>1648</v>
      </c>
      <c r="I1626" s="133" t="s">
        <v>1284</v>
      </c>
      <c r="J1626" s="158">
        <v>0</v>
      </c>
      <c r="K1626" s="159" t="str">
        <f ca="1">IFERROR(__xludf.DUMMYFUNCTION("GOOGLETRANSLATE(H1626,""th"",""en"")"),"Trial")</f>
        <v>Trial</v>
      </c>
    </row>
    <row r="1627" spans="1:11" ht="15.75" hidden="1" customHeight="1">
      <c r="A1627" s="133" t="s">
        <v>7</v>
      </c>
      <c r="B1627" s="133" t="s">
        <v>362</v>
      </c>
      <c r="C1627" s="133" t="s">
        <v>364</v>
      </c>
      <c r="D1627" s="133" t="s">
        <v>477</v>
      </c>
      <c r="E1627" s="158">
        <v>10</v>
      </c>
      <c r="F1627" s="158">
        <v>0</v>
      </c>
      <c r="G1627" s="158">
        <v>0</v>
      </c>
      <c r="H1627" s="133" t="s">
        <v>479</v>
      </c>
      <c r="I1627" s="133" t="s">
        <v>479</v>
      </c>
      <c r="J1627" s="158">
        <v>0</v>
      </c>
      <c r="K1627" s="159" t="str">
        <f ca="1">IFERROR(__xludf.DUMMYFUNCTION("GOOGLETRANSLATE(H1627,""th"",""en"")"),"Null")</f>
        <v>Null</v>
      </c>
    </row>
    <row r="1628" spans="1:11" ht="15.75" hidden="1" customHeight="1">
      <c r="A1628" s="133" t="s">
        <v>7</v>
      </c>
      <c r="B1628" s="133" t="s">
        <v>362</v>
      </c>
      <c r="C1628" s="133" t="s">
        <v>2277</v>
      </c>
      <c r="D1628" s="133" t="s">
        <v>477</v>
      </c>
      <c r="E1628" s="158">
        <v>50</v>
      </c>
      <c r="F1628" s="158">
        <v>0</v>
      </c>
      <c r="G1628" s="158">
        <v>0</v>
      </c>
      <c r="H1628" s="133" t="s">
        <v>479</v>
      </c>
      <c r="I1628" s="133" t="s">
        <v>479</v>
      </c>
      <c r="J1628" s="158">
        <v>0</v>
      </c>
      <c r="K1628" s="159" t="str">
        <f ca="1">IFERROR(__xludf.DUMMYFUNCTION("GOOGLETRANSLATE(H1628,""th"",""en"")"),"Null")</f>
        <v>Null</v>
      </c>
    </row>
    <row r="1629" spans="1:11" ht="15.75" hidden="1" customHeight="1">
      <c r="A1629" s="133" t="s">
        <v>7</v>
      </c>
      <c r="B1629" s="133" t="s">
        <v>362</v>
      </c>
      <c r="C1629" s="133" t="s">
        <v>2278</v>
      </c>
      <c r="D1629" s="133" t="s">
        <v>477</v>
      </c>
      <c r="E1629" s="158">
        <v>3</v>
      </c>
      <c r="F1629" s="158">
        <v>0</v>
      </c>
      <c r="G1629" s="158">
        <v>0</v>
      </c>
      <c r="H1629" s="133" t="s">
        <v>479</v>
      </c>
      <c r="I1629" s="133" t="s">
        <v>479</v>
      </c>
      <c r="J1629" s="158">
        <v>0</v>
      </c>
      <c r="K1629" s="159" t="str">
        <f ca="1">IFERROR(__xludf.DUMMYFUNCTION("GOOGLETRANSLATE(H1629,""th"",""en"")"),"Null")</f>
        <v>Null</v>
      </c>
    </row>
    <row r="1630" spans="1:11" ht="15.75" hidden="1" customHeight="1">
      <c r="A1630" s="133" t="s">
        <v>7</v>
      </c>
      <c r="B1630" s="133" t="s">
        <v>362</v>
      </c>
      <c r="C1630" s="133" t="s">
        <v>2279</v>
      </c>
      <c r="D1630" s="133" t="s">
        <v>477</v>
      </c>
      <c r="E1630" s="158">
        <v>10</v>
      </c>
      <c r="F1630" s="158">
        <v>0</v>
      </c>
      <c r="G1630" s="158">
        <v>0</v>
      </c>
      <c r="H1630" s="133" t="s">
        <v>479</v>
      </c>
      <c r="I1630" s="133" t="s">
        <v>479</v>
      </c>
      <c r="J1630" s="158">
        <v>0</v>
      </c>
      <c r="K1630" s="159" t="str">
        <f ca="1">IFERROR(__xludf.DUMMYFUNCTION("GOOGLETRANSLATE(H1630,""th"",""en"")"),"Null")</f>
        <v>Null</v>
      </c>
    </row>
    <row r="1631" spans="1:11" ht="15.75" hidden="1" customHeight="1">
      <c r="A1631" s="133" t="s">
        <v>7</v>
      </c>
      <c r="B1631" s="133" t="s">
        <v>362</v>
      </c>
      <c r="C1631" s="133" t="s">
        <v>669</v>
      </c>
      <c r="D1631" s="133" t="s">
        <v>538</v>
      </c>
      <c r="E1631" s="158">
        <v>8</v>
      </c>
      <c r="F1631" s="158">
        <v>23</v>
      </c>
      <c r="G1631" s="158">
        <v>3</v>
      </c>
      <c r="H1631" s="133" t="s">
        <v>479</v>
      </c>
      <c r="I1631" s="133" t="s">
        <v>479</v>
      </c>
      <c r="J1631" s="158">
        <v>0</v>
      </c>
      <c r="K1631" s="159" t="str">
        <f ca="1">IFERROR(__xludf.DUMMYFUNCTION("GOOGLETRANSLATE(H1631,""th"",""en"")"),"Null")</f>
        <v>Null</v>
      </c>
    </row>
    <row r="1632" spans="1:11" ht="15.75" hidden="1" customHeight="1">
      <c r="A1632" s="133" t="s">
        <v>7</v>
      </c>
      <c r="B1632" s="133" t="s">
        <v>362</v>
      </c>
      <c r="C1632" s="133" t="s">
        <v>523</v>
      </c>
      <c r="D1632" s="133" t="s">
        <v>477</v>
      </c>
      <c r="E1632" s="158">
        <v>8</v>
      </c>
      <c r="F1632" s="158">
        <v>0</v>
      </c>
      <c r="G1632" s="158">
        <v>0</v>
      </c>
      <c r="H1632" s="133" t="s">
        <v>479</v>
      </c>
      <c r="I1632" s="133" t="s">
        <v>479</v>
      </c>
      <c r="J1632" s="158">
        <v>0</v>
      </c>
      <c r="K1632" s="159" t="str">
        <f ca="1">IFERROR(__xludf.DUMMYFUNCTION("GOOGLETRANSLATE(H1632,""th"",""en"")"),"Null")</f>
        <v>Null</v>
      </c>
    </row>
    <row r="1633" spans="1:11" ht="15.75" hidden="1" customHeight="1">
      <c r="A1633" s="133" t="s">
        <v>7</v>
      </c>
      <c r="B1633" s="133" t="s">
        <v>362</v>
      </c>
      <c r="C1633" s="133" t="s">
        <v>215</v>
      </c>
      <c r="D1633" s="133" t="s">
        <v>538</v>
      </c>
      <c r="E1633" s="158">
        <v>8</v>
      </c>
      <c r="F1633" s="158">
        <v>23</v>
      </c>
      <c r="G1633" s="158">
        <v>3</v>
      </c>
      <c r="H1633" s="133" t="s">
        <v>479</v>
      </c>
      <c r="I1633" s="133" t="s">
        <v>479</v>
      </c>
      <c r="J1633" s="158">
        <v>0</v>
      </c>
      <c r="K1633" s="159" t="str">
        <f ca="1">IFERROR(__xludf.DUMMYFUNCTION("GOOGLETRANSLATE(H1633,""th"",""en"")"),"Null")</f>
        <v>Null</v>
      </c>
    </row>
    <row r="1634" spans="1:11" ht="15.75" hidden="1" customHeight="1">
      <c r="A1634" s="133" t="s">
        <v>7</v>
      </c>
      <c r="B1634" s="133" t="s">
        <v>362</v>
      </c>
      <c r="C1634" s="133" t="s">
        <v>670</v>
      </c>
      <c r="D1634" s="133" t="s">
        <v>477</v>
      </c>
      <c r="E1634" s="158">
        <v>8</v>
      </c>
      <c r="F1634" s="158">
        <v>0</v>
      </c>
      <c r="G1634" s="158">
        <v>0</v>
      </c>
      <c r="H1634" s="133" t="s">
        <v>479</v>
      </c>
      <c r="I1634" s="133" t="s">
        <v>479</v>
      </c>
      <c r="J1634" s="158">
        <v>0</v>
      </c>
      <c r="K1634" s="159" t="str">
        <f ca="1">IFERROR(__xludf.DUMMYFUNCTION("GOOGLETRANSLATE(H1634,""th"",""en"")"),"Null")</f>
        <v>Null</v>
      </c>
    </row>
    <row r="1635" spans="1:11" ht="15.75" hidden="1" customHeight="1">
      <c r="A1635" s="133" t="s">
        <v>7</v>
      </c>
      <c r="B1635" s="133" t="s">
        <v>365</v>
      </c>
      <c r="C1635" s="133" t="s">
        <v>2280</v>
      </c>
      <c r="D1635" s="133" t="s">
        <v>477</v>
      </c>
      <c r="E1635" s="158">
        <v>2</v>
      </c>
      <c r="F1635" s="158">
        <v>0</v>
      </c>
      <c r="G1635" s="158">
        <v>0</v>
      </c>
      <c r="H1635" s="133" t="s">
        <v>479</v>
      </c>
      <c r="I1635" s="133" t="s">
        <v>479</v>
      </c>
      <c r="J1635" s="158">
        <v>1</v>
      </c>
      <c r="K1635" s="159" t="str">
        <f ca="1">IFERROR(__xludf.DUMMYFUNCTION("GOOGLETRANSLATE(H1635,""th"",""en"")"),"Null")</f>
        <v>Null</v>
      </c>
    </row>
    <row r="1636" spans="1:11" ht="15.75" hidden="1" customHeight="1">
      <c r="A1636" s="133" t="s">
        <v>7</v>
      </c>
      <c r="B1636" s="133" t="s">
        <v>365</v>
      </c>
      <c r="C1636" s="133" t="s">
        <v>2281</v>
      </c>
      <c r="D1636" s="133" t="s">
        <v>477</v>
      </c>
      <c r="E1636" s="158">
        <v>5</v>
      </c>
      <c r="F1636" s="158">
        <v>0</v>
      </c>
      <c r="G1636" s="158">
        <v>0</v>
      </c>
      <c r="H1636" s="133" t="s">
        <v>479</v>
      </c>
      <c r="I1636" s="133" t="s">
        <v>479</v>
      </c>
      <c r="J1636" s="158">
        <v>1</v>
      </c>
      <c r="K1636" s="159" t="str">
        <f ca="1">IFERROR(__xludf.DUMMYFUNCTION("GOOGLETRANSLATE(H1636,""th"",""en"")"),"Null")</f>
        <v>Null</v>
      </c>
    </row>
    <row r="1637" spans="1:11" ht="15.75" hidden="1" customHeight="1">
      <c r="A1637" s="133" t="s">
        <v>7</v>
      </c>
      <c r="B1637" s="133" t="s">
        <v>365</v>
      </c>
      <c r="C1637" s="133" t="s">
        <v>2282</v>
      </c>
      <c r="D1637" s="133" t="s">
        <v>477</v>
      </c>
      <c r="E1637" s="158">
        <v>5</v>
      </c>
      <c r="F1637" s="158">
        <v>0</v>
      </c>
      <c r="G1637" s="158">
        <v>0</v>
      </c>
      <c r="H1637" s="133" t="s">
        <v>479</v>
      </c>
      <c r="I1637" s="133" t="s">
        <v>479</v>
      </c>
      <c r="J1637" s="158">
        <v>1</v>
      </c>
      <c r="K1637" s="159" t="str">
        <f ca="1">IFERROR(__xludf.DUMMYFUNCTION("GOOGLETRANSLATE(H1637,""th"",""en"")"),"Null")</f>
        <v>Null</v>
      </c>
    </row>
    <row r="1638" spans="1:11" ht="15.75" hidden="1" customHeight="1">
      <c r="A1638" s="133" t="s">
        <v>7</v>
      </c>
      <c r="B1638" s="133" t="s">
        <v>365</v>
      </c>
      <c r="C1638" s="133" t="s">
        <v>2283</v>
      </c>
      <c r="D1638" s="133" t="s">
        <v>477</v>
      </c>
      <c r="E1638" s="158">
        <v>100</v>
      </c>
      <c r="F1638" s="158">
        <v>0</v>
      </c>
      <c r="G1638" s="158">
        <v>0</v>
      </c>
      <c r="H1638" s="133" t="s">
        <v>479</v>
      </c>
      <c r="I1638" s="133" t="s">
        <v>479</v>
      </c>
      <c r="J1638" s="158">
        <v>1</v>
      </c>
      <c r="K1638" s="159" t="str">
        <f ca="1">IFERROR(__xludf.DUMMYFUNCTION("GOOGLETRANSLATE(H1638,""th"",""en"")"),"Null")</f>
        <v>Null</v>
      </c>
    </row>
    <row r="1639" spans="1:11" ht="15.75" hidden="1" customHeight="1">
      <c r="A1639" s="133" t="s">
        <v>7</v>
      </c>
      <c r="B1639" s="133" t="s">
        <v>366</v>
      </c>
      <c r="C1639" s="133" t="s">
        <v>2284</v>
      </c>
      <c r="D1639" s="133" t="s">
        <v>477</v>
      </c>
      <c r="E1639" s="158">
        <v>6</v>
      </c>
      <c r="F1639" s="158">
        <v>0</v>
      </c>
      <c r="G1639" s="158">
        <v>0</v>
      </c>
      <c r="H1639" s="133" t="s">
        <v>2285</v>
      </c>
      <c r="I1639" s="133" t="s">
        <v>548</v>
      </c>
      <c r="J1639" s="158">
        <v>0</v>
      </c>
      <c r="K1639" s="159" t="str">
        <f ca="1">IFERROR(__xludf.DUMMYFUNCTION("GOOGLETRANSLATE(H1639,""th"",""en"")"),"Vendor code")</f>
        <v>Vendor code</v>
      </c>
    </row>
    <row r="1640" spans="1:11" ht="15.75" hidden="1" customHeight="1">
      <c r="A1640" s="133" t="s">
        <v>7</v>
      </c>
      <c r="B1640" s="133" t="s">
        <v>366</v>
      </c>
      <c r="C1640" s="133" t="s">
        <v>2286</v>
      </c>
      <c r="D1640" s="133" t="s">
        <v>477</v>
      </c>
      <c r="E1640" s="158">
        <v>5</v>
      </c>
      <c r="F1640" s="158">
        <v>0</v>
      </c>
      <c r="G1640" s="158">
        <v>0</v>
      </c>
      <c r="H1640" s="133" t="s">
        <v>2287</v>
      </c>
      <c r="I1640" s="133" t="s">
        <v>548</v>
      </c>
      <c r="J1640" s="158">
        <v>0</v>
      </c>
      <c r="K1640" s="159" t="str">
        <f ca="1">IFERROR(__xludf.DUMMYFUNCTION("GOOGLETRANSLATE(H1640,""th"",""en"")"),"Sales channel code")</f>
        <v>Sales channel code</v>
      </c>
    </row>
    <row r="1641" spans="1:11" ht="15.75" hidden="1" customHeight="1">
      <c r="A1641" s="133" t="s">
        <v>7</v>
      </c>
      <c r="B1641" s="133" t="s">
        <v>366</v>
      </c>
      <c r="C1641" s="133" t="s">
        <v>669</v>
      </c>
      <c r="D1641" s="133" t="s">
        <v>496</v>
      </c>
      <c r="E1641" s="158">
        <v>4</v>
      </c>
      <c r="F1641" s="158">
        <v>16</v>
      </c>
      <c r="G1641" s="158">
        <v>0</v>
      </c>
      <c r="H1641" s="133" t="s">
        <v>835</v>
      </c>
      <c r="I1641" s="133" t="s">
        <v>548</v>
      </c>
      <c r="J1641" s="158">
        <v>0</v>
      </c>
      <c r="K1641" s="159" t="str">
        <f ca="1">IFERROR(__xludf.DUMMYFUNCTION("GOOGLETRANSLATE(H1641,""th"",""en"")"),"Date created")</f>
        <v>Date created</v>
      </c>
    </row>
    <row r="1642" spans="1:11" ht="15.75" hidden="1" customHeight="1">
      <c r="A1642" s="133" t="s">
        <v>7</v>
      </c>
      <c r="B1642" s="133" t="s">
        <v>366</v>
      </c>
      <c r="C1642" s="133" t="s">
        <v>523</v>
      </c>
      <c r="D1642" s="133" t="s">
        <v>477</v>
      </c>
      <c r="E1642" s="158">
        <v>7</v>
      </c>
      <c r="F1642" s="158">
        <v>0</v>
      </c>
      <c r="G1642" s="158">
        <v>0</v>
      </c>
      <c r="H1642" s="133" t="s">
        <v>2288</v>
      </c>
      <c r="I1642" s="133" t="s">
        <v>548</v>
      </c>
      <c r="J1642" s="158">
        <v>0</v>
      </c>
      <c r="K1642" s="159" t="str">
        <f ca="1">IFERROR(__xludf.DUMMYFUNCTION("GOOGLETRANSLATE(H1642,""th"",""en"")"),"Information creator")</f>
        <v>Information creator</v>
      </c>
    </row>
    <row r="1643" spans="1:11" ht="15.75" hidden="1" customHeight="1">
      <c r="A1643" s="133" t="s">
        <v>7</v>
      </c>
      <c r="B1643" s="133" t="s">
        <v>368</v>
      </c>
      <c r="C1643" s="133" t="s">
        <v>369</v>
      </c>
      <c r="D1643" s="133" t="s">
        <v>477</v>
      </c>
      <c r="E1643" s="158">
        <v>2</v>
      </c>
      <c r="F1643" s="158">
        <v>0</v>
      </c>
      <c r="G1643" s="158">
        <v>0</v>
      </c>
      <c r="H1643" s="133" t="s">
        <v>2289</v>
      </c>
      <c r="I1643" s="133" t="s">
        <v>548</v>
      </c>
      <c r="J1643" s="158">
        <v>0</v>
      </c>
      <c r="K1643" s="159" t="str">
        <f ca="1">IFERROR(__xludf.DUMMYFUNCTION("GOOGLETRANSLATE(H1643,""th"",""en"")"),"Warehouse code")</f>
        <v>Warehouse code</v>
      </c>
    </row>
    <row r="1644" spans="1:11" ht="15.75" hidden="1" customHeight="1">
      <c r="A1644" s="133" t="s">
        <v>7</v>
      </c>
      <c r="B1644" s="133" t="s">
        <v>368</v>
      </c>
      <c r="C1644" s="133" t="s">
        <v>2290</v>
      </c>
      <c r="D1644" s="133" t="s">
        <v>477</v>
      </c>
      <c r="E1644" s="158">
        <v>30</v>
      </c>
      <c r="F1644" s="158">
        <v>0</v>
      </c>
      <c r="G1644" s="158">
        <v>0</v>
      </c>
      <c r="H1644" s="133" t="s">
        <v>2291</v>
      </c>
      <c r="I1644" s="133" t="s">
        <v>548</v>
      </c>
      <c r="J1644" s="158">
        <v>0</v>
      </c>
      <c r="K1644" s="159" t="str">
        <f ca="1">IFERROR(__xludf.DUMMYFUNCTION("GOOGLETRANSLATE(H1644,""th"",""en"")"),"Name of the warehouse")</f>
        <v>Name of the warehouse</v>
      </c>
    </row>
    <row r="1645" spans="1:11" ht="15.75" hidden="1" customHeight="1">
      <c r="A1645" s="133" t="s">
        <v>7</v>
      </c>
      <c r="B1645" s="133" t="s">
        <v>368</v>
      </c>
      <c r="C1645" s="133" t="s">
        <v>2292</v>
      </c>
      <c r="D1645" s="133" t="s">
        <v>477</v>
      </c>
      <c r="E1645" s="158">
        <v>55</v>
      </c>
      <c r="F1645" s="158">
        <v>0</v>
      </c>
      <c r="G1645" s="158">
        <v>0</v>
      </c>
      <c r="H1645" s="133" t="s">
        <v>2293</v>
      </c>
      <c r="I1645" s="133" t="s">
        <v>548</v>
      </c>
      <c r="J1645" s="158">
        <v>0</v>
      </c>
      <c r="K1645" s="159" t="str">
        <f ca="1">IFERROR(__xludf.DUMMYFUNCTION("GOOGLETRANSLATE(H1645,""th"",""en"")"),"No. 1")</f>
        <v>No. 1</v>
      </c>
    </row>
    <row r="1646" spans="1:11" ht="15.75" hidden="1" customHeight="1">
      <c r="A1646" s="133" t="s">
        <v>7</v>
      </c>
      <c r="B1646" s="133" t="s">
        <v>368</v>
      </c>
      <c r="C1646" s="133" t="s">
        <v>2294</v>
      </c>
      <c r="D1646" s="133" t="s">
        <v>477</v>
      </c>
      <c r="E1646" s="158">
        <v>55</v>
      </c>
      <c r="F1646" s="158">
        <v>0</v>
      </c>
      <c r="G1646" s="158">
        <v>0</v>
      </c>
      <c r="H1646" s="133" t="s">
        <v>2295</v>
      </c>
      <c r="I1646" s="133" t="s">
        <v>548</v>
      </c>
      <c r="J1646" s="158">
        <v>0</v>
      </c>
      <c r="K1646" s="159" t="str">
        <f ca="1">IFERROR(__xludf.DUMMYFUNCTION("GOOGLETRANSLATE(H1646,""th"",""en"")"),"No. 2")</f>
        <v>No. 2</v>
      </c>
    </row>
    <row r="1647" spans="1:11" ht="15.75" hidden="1" customHeight="1">
      <c r="A1647" s="133" t="s">
        <v>7</v>
      </c>
      <c r="B1647" s="133" t="s">
        <v>368</v>
      </c>
      <c r="C1647" s="133" t="s">
        <v>2296</v>
      </c>
      <c r="D1647" s="133" t="s">
        <v>477</v>
      </c>
      <c r="E1647" s="158">
        <v>55</v>
      </c>
      <c r="F1647" s="158">
        <v>0</v>
      </c>
      <c r="G1647" s="158">
        <v>0</v>
      </c>
      <c r="H1647" s="133" t="s">
        <v>2297</v>
      </c>
      <c r="I1647" s="133" t="s">
        <v>548</v>
      </c>
      <c r="J1647" s="158">
        <v>0</v>
      </c>
      <c r="K1647" s="159" t="str">
        <f ca="1">IFERROR(__xludf.DUMMYFUNCTION("GOOGLETRANSLATE(H1647,""th"",""en"")"),"No. 3")</f>
        <v>No. 3</v>
      </c>
    </row>
    <row r="1648" spans="1:11" ht="15.75" hidden="1" customHeight="1">
      <c r="A1648" s="133" t="s">
        <v>7</v>
      </c>
      <c r="B1648" s="133" t="s">
        <v>368</v>
      </c>
      <c r="C1648" s="133" t="s">
        <v>2298</v>
      </c>
      <c r="D1648" s="133" t="s">
        <v>477</v>
      </c>
      <c r="E1648" s="158">
        <v>55</v>
      </c>
      <c r="F1648" s="158">
        <v>0</v>
      </c>
      <c r="G1648" s="158">
        <v>0</v>
      </c>
      <c r="H1648" s="133" t="s">
        <v>2299</v>
      </c>
      <c r="I1648" s="133" t="s">
        <v>548</v>
      </c>
      <c r="J1648" s="158">
        <v>0</v>
      </c>
      <c r="K1648" s="159" t="str">
        <f ca="1">IFERROR(__xludf.DUMMYFUNCTION("GOOGLETRANSLATE(H1648,""th"",""en"")"),"No. 4")</f>
        <v>No. 4</v>
      </c>
    </row>
    <row r="1649" spans="1:14" ht="15.75" hidden="1" customHeight="1">
      <c r="A1649" s="133" t="s">
        <v>7</v>
      </c>
      <c r="B1649" s="133" t="s">
        <v>368</v>
      </c>
      <c r="C1649" s="133" t="s">
        <v>523</v>
      </c>
      <c r="D1649" s="133" t="s">
        <v>477</v>
      </c>
      <c r="E1649" s="158">
        <v>8</v>
      </c>
      <c r="F1649" s="158">
        <v>0</v>
      </c>
      <c r="G1649" s="158">
        <v>0</v>
      </c>
      <c r="H1649" s="133" t="s">
        <v>479</v>
      </c>
      <c r="I1649" s="133" t="s">
        <v>548</v>
      </c>
      <c r="J1649" s="158">
        <v>0</v>
      </c>
      <c r="K1649" s="159" t="str">
        <f ca="1">IFERROR(__xludf.DUMMYFUNCTION("GOOGLETRANSLATE(H1649,""th"",""en"")"),"Null")</f>
        <v>Null</v>
      </c>
    </row>
    <row r="1650" spans="1:14" ht="15.75" hidden="1" customHeight="1">
      <c r="A1650" s="133" t="s">
        <v>7</v>
      </c>
      <c r="B1650" s="133" t="s">
        <v>368</v>
      </c>
      <c r="C1650" s="133" t="s">
        <v>669</v>
      </c>
      <c r="D1650" s="133" t="s">
        <v>538</v>
      </c>
      <c r="E1650" s="158">
        <v>8</v>
      </c>
      <c r="F1650" s="158">
        <v>23</v>
      </c>
      <c r="G1650" s="158">
        <v>3</v>
      </c>
      <c r="H1650" s="133" t="s">
        <v>479</v>
      </c>
      <c r="I1650" s="133" t="s">
        <v>1284</v>
      </c>
      <c r="J1650" s="158">
        <v>0</v>
      </c>
      <c r="K1650" s="159" t="str">
        <f ca="1">IFERROR(__xludf.DUMMYFUNCTION("GOOGLETRANSLATE(H1650,""th"",""en"")"),"Null")</f>
        <v>Null</v>
      </c>
    </row>
    <row r="1651" spans="1:14" ht="15.75" hidden="1" customHeight="1">
      <c r="A1651" s="133" t="s">
        <v>7</v>
      </c>
      <c r="B1651" s="133" t="s">
        <v>368</v>
      </c>
      <c r="C1651" s="133" t="s">
        <v>2300</v>
      </c>
      <c r="D1651" s="133" t="s">
        <v>477</v>
      </c>
      <c r="E1651" s="158">
        <v>50</v>
      </c>
      <c r="F1651" s="158">
        <v>0</v>
      </c>
      <c r="G1651" s="158">
        <v>0</v>
      </c>
      <c r="H1651" s="133" t="s">
        <v>1687</v>
      </c>
      <c r="I1651" s="133" t="s">
        <v>548</v>
      </c>
      <c r="J1651" s="158">
        <v>0</v>
      </c>
      <c r="K1651" s="159" t="str">
        <f ca="1">IFERROR(__xludf.DUMMYFUNCTION("GOOGLETRANSLATE(H1651,""th"",""en"")"),"alley")</f>
        <v>alley</v>
      </c>
    </row>
    <row r="1652" spans="1:14" ht="15.75" hidden="1" customHeight="1">
      <c r="A1652" s="133" t="s">
        <v>7</v>
      </c>
      <c r="B1652" s="133" t="s">
        <v>368</v>
      </c>
      <c r="C1652" s="133" t="s">
        <v>2301</v>
      </c>
      <c r="D1652" s="133" t="s">
        <v>477</v>
      </c>
      <c r="E1652" s="158">
        <v>50</v>
      </c>
      <c r="F1652" s="158">
        <v>0</v>
      </c>
      <c r="G1652" s="158">
        <v>0</v>
      </c>
      <c r="H1652" s="133" t="s">
        <v>1689</v>
      </c>
      <c r="I1652" s="133" t="s">
        <v>548</v>
      </c>
      <c r="J1652" s="158">
        <v>0</v>
      </c>
      <c r="K1652" s="159" t="str">
        <f ca="1">IFERROR(__xludf.DUMMYFUNCTION("GOOGLETRANSLATE(H1652,""th"",""en"")"),"road")</f>
        <v>road</v>
      </c>
    </row>
    <row r="1653" spans="1:14" ht="15.75" hidden="1" customHeight="1">
      <c r="A1653" s="133" t="s">
        <v>7</v>
      </c>
      <c r="B1653" s="133" t="s">
        <v>368</v>
      </c>
      <c r="C1653" s="133" t="s">
        <v>2302</v>
      </c>
      <c r="D1653" s="133" t="s">
        <v>477</v>
      </c>
      <c r="E1653" s="158">
        <v>50</v>
      </c>
      <c r="F1653" s="158">
        <v>0</v>
      </c>
      <c r="G1653" s="158">
        <v>0</v>
      </c>
      <c r="H1653" s="133" t="s">
        <v>2303</v>
      </c>
      <c r="I1653" s="133" t="s">
        <v>548</v>
      </c>
      <c r="J1653" s="158">
        <v>0</v>
      </c>
      <c r="K1653" s="159" t="str">
        <f ca="1">IFERROR(__xludf.DUMMYFUNCTION("GOOGLETRANSLATE(H1653,""th"",""en"")"),"District / District")</f>
        <v>District / District</v>
      </c>
    </row>
    <row r="1654" spans="1:14" ht="15.75" hidden="1" customHeight="1">
      <c r="A1654" s="133" t="s">
        <v>7</v>
      </c>
      <c r="B1654" s="133" t="s">
        <v>368</v>
      </c>
      <c r="C1654" s="133" t="s">
        <v>2304</v>
      </c>
      <c r="D1654" s="133" t="s">
        <v>477</v>
      </c>
      <c r="E1654" s="158">
        <v>50</v>
      </c>
      <c r="F1654" s="158">
        <v>0</v>
      </c>
      <c r="G1654" s="158">
        <v>0</v>
      </c>
      <c r="H1654" s="133" t="s">
        <v>2305</v>
      </c>
      <c r="I1654" s="133" t="s">
        <v>548</v>
      </c>
      <c r="J1654" s="158">
        <v>0</v>
      </c>
      <c r="K1654" s="159" t="str">
        <f ca="1">IFERROR(__xludf.DUMMYFUNCTION("GOOGLETRANSLATE(H1654,""th"",""en"")"),"District / District")</f>
        <v>District / District</v>
      </c>
    </row>
    <row r="1655" spans="1:14" ht="15.75" hidden="1" customHeight="1">
      <c r="A1655" s="133" t="s">
        <v>7</v>
      </c>
      <c r="B1655" s="133" t="s">
        <v>368</v>
      </c>
      <c r="C1655" s="133" t="s">
        <v>2306</v>
      </c>
      <c r="D1655" s="133" t="s">
        <v>477</v>
      </c>
      <c r="E1655" s="158">
        <v>50</v>
      </c>
      <c r="F1655" s="158">
        <v>0</v>
      </c>
      <c r="G1655" s="158">
        <v>0</v>
      </c>
      <c r="H1655" s="133" t="s">
        <v>2307</v>
      </c>
      <c r="I1655" s="133" t="s">
        <v>548</v>
      </c>
      <c r="J1655" s="158">
        <v>0</v>
      </c>
      <c r="K1655" s="159" t="str">
        <f ca="1">IFERROR(__xludf.DUMMYFUNCTION("GOOGLETRANSLATE(H1655,""th"",""en"")"),"province")</f>
        <v>province</v>
      </c>
    </row>
    <row r="1656" spans="1:14" ht="15.75" hidden="1" customHeight="1">
      <c r="A1656" s="133" t="s">
        <v>7</v>
      </c>
      <c r="B1656" s="133" t="s">
        <v>368</v>
      </c>
      <c r="C1656" s="133" t="s">
        <v>2308</v>
      </c>
      <c r="D1656" s="133" t="s">
        <v>477</v>
      </c>
      <c r="E1656" s="158">
        <v>5</v>
      </c>
      <c r="F1656" s="158">
        <v>0</v>
      </c>
      <c r="G1656" s="158">
        <v>0</v>
      </c>
      <c r="H1656" s="133" t="s">
        <v>934</v>
      </c>
      <c r="I1656" s="133" t="s">
        <v>548</v>
      </c>
      <c r="J1656" s="158">
        <v>0</v>
      </c>
      <c r="K1656" s="159" t="str">
        <f ca="1">IFERROR(__xludf.DUMMYFUNCTION("GOOGLETRANSLATE(H1656,""th"",""en"")"),"ZIP code")</f>
        <v>ZIP code</v>
      </c>
    </row>
    <row r="1657" spans="1:14" ht="15.75" hidden="1" customHeight="1">
      <c r="A1657" s="133" t="s">
        <v>7</v>
      </c>
      <c r="B1657" s="133" t="s">
        <v>368</v>
      </c>
      <c r="C1657" s="133" t="s">
        <v>2309</v>
      </c>
      <c r="D1657" s="133" t="s">
        <v>477</v>
      </c>
      <c r="E1657" s="158">
        <v>50</v>
      </c>
      <c r="F1657" s="158">
        <v>0</v>
      </c>
      <c r="G1657" s="158">
        <v>0</v>
      </c>
      <c r="H1657" s="133" t="s">
        <v>2310</v>
      </c>
      <c r="I1657" s="133" t="s">
        <v>548</v>
      </c>
      <c r="J1657" s="158">
        <v>0</v>
      </c>
      <c r="K1657" s="159" t="str">
        <f ca="1">IFERROR(__xludf.DUMMYFUNCTION("GOOGLETRANSLATE(H1657,""th"",""en"")"),"Contact")</f>
        <v>Contact</v>
      </c>
    </row>
    <row r="1658" spans="1:14" ht="15.75" hidden="1" customHeight="1">
      <c r="A1658" s="133" t="s">
        <v>7</v>
      </c>
      <c r="B1658" s="133" t="s">
        <v>368</v>
      </c>
      <c r="C1658" s="133" t="s">
        <v>2311</v>
      </c>
      <c r="D1658" s="133" t="s">
        <v>477</v>
      </c>
      <c r="E1658" s="158">
        <v>10</v>
      </c>
      <c r="F1658" s="158">
        <v>0</v>
      </c>
      <c r="G1658" s="158">
        <v>0</v>
      </c>
      <c r="H1658" s="133" t="s">
        <v>2312</v>
      </c>
      <c r="I1658" s="133" t="s">
        <v>548</v>
      </c>
      <c r="J1658" s="158">
        <v>0</v>
      </c>
      <c r="K1658" s="159" t="str">
        <f ca="1">IFERROR(__xludf.DUMMYFUNCTION("GOOGLETRANSLATE(H1658,""th"",""en"")"),"telephone number")</f>
        <v>telephone number</v>
      </c>
    </row>
    <row r="1659" spans="1:14" ht="15.75" hidden="1" customHeight="1">
      <c r="A1659" s="133" t="s">
        <v>7</v>
      </c>
      <c r="B1659" s="133" t="s">
        <v>368</v>
      </c>
      <c r="C1659" s="133" t="s">
        <v>2313</v>
      </c>
      <c r="D1659" s="133" t="s">
        <v>477</v>
      </c>
      <c r="E1659" s="158">
        <v>10</v>
      </c>
      <c r="F1659" s="158">
        <v>0</v>
      </c>
      <c r="G1659" s="158">
        <v>0</v>
      </c>
      <c r="H1659" s="133" t="s">
        <v>2314</v>
      </c>
      <c r="I1659" s="133" t="s">
        <v>548</v>
      </c>
      <c r="J1659" s="158">
        <v>0</v>
      </c>
      <c r="K1659" s="159" t="str">
        <f ca="1">IFERROR(__xludf.DUMMYFUNCTION("GOOGLETRANSLATE(H1659,""th"",""en"")"),"Fax number")</f>
        <v>Fax number</v>
      </c>
    </row>
    <row r="1660" spans="1:14" ht="15.75" hidden="1" customHeight="1">
      <c r="A1660" s="133" t="s">
        <v>7</v>
      </c>
      <c r="B1660" s="133" t="s">
        <v>368</v>
      </c>
      <c r="C1660" s="133" t="s">
        <v>2315</v>
      </c>
      <c r="D1660" s="133" t="s">
        <v>477</v>
      </c>
      <c r="E1660" s="158">
        <v>3</v>
      </c>
      <c r="F1660" s="158">
        <v>0</v>
      </c>
      <c r="G1660" s="158">
        <v>0</v>
      </c>
      <c r="H1660" s="133" t="s">
        <v>479</v>
      </c>
      <c r="I1660" s="133" t="s">
        <v>596</v>
      </c>
      <c r="J1660" s="158">
        <v>0</v>
      </c>
      <c r="K1660" s="159" t="str">
        <f ca="1">IFERROR(__xludf.DUMMYFUNCTION("GOOGLETRANSLATE(H1660,""th"",""en"")"),"Null")</f>
        <v>Null</v>
      </c>
    </row>
    <row r="1661" spans="1:14" ht="15.75" hidden="1" customHeight="1">
      <c r="A1661" s="133" t="s">
        <v>7</v>
      </c>
      <c r="B1661" s="133" t="s">
        <v>368</v>
      </c>
      <c r="C1661" s="133" t="s">
        <v>811</v>
      </c>
      <c r="D1661" s="133" t="s">
        <v>477</v>
      </c>
      <c r="E1661" s="158">
        <v>10</v>
      </c>
      <c r="F1661" s="158">
        <v>0</v>
      </c>
      <c r="G1661" s="158">
        <v>0</v>
      </c>
      <c r="H1661" s="133" t="s">
        <v>2316</v>
      </c>
      <c r="I1661" s="133" t="s">
        <v>813</v>
      </c>
      <c r="J1661" s="158">
        <v>0</v>
      </c>
      <c r="K1661" s="159" t="str">
        <f ca="1">IFERROR(__xludf.DUMMYFUNCTION("GOOGLETRANSLATE(H1661,""th"",""en"")"),"Usage status (Active, Delete)")</f>
        <v>Usage status (Active, Delete)</v>
      </c>
    </row>
    <row r="1662" spans="1:14" ht="15.75" hidden="1" customHeight="1">
      <c r="A1662" s="161" t="s">
        <v>7</v>
      </c>
      <c r="B1662" s="161" t="s">
        <v>421</v>
      </c>
      <c r="C1662" s="161" t="s">
        <v>2317</v>
      </c>
      <c r="D1662" s="161" t="s">
        <v>477</v>
      </c>
      <c r="E1662" s="162">
        <v>5</v>
      </c>
      <c r="F1662" s="162">
        <v>0</v>
      </c>
      <c r="G1662" s="162">
        <v>0</v>
      </c>
      <c r="H1662" s="161"/>
      <c r="I1662" s="161"/>
      <c r="J1662" s="162">
        <v>0</v>
      </c>
      <c r="K1662" s="163"/>
      <c r="L1662" s="164" t="s">
        <v>2318</v>
      </c>
      <c r="M1662" s="165"/>
      <c r="N1662" s="165"/>
    </row>
    <row r="1663" spans="1:14" ht="15.75" hidden="1" customHeight="1">
      <c r="A1663" s="133" t="s">
        <v>7</v>
      </c>
      <c r="B1663" s="133" t="s">
        <v>421</v>
      </c>
      <c r="C1663" s="133" t="s">
        <v>2319</v>
      </c>
      <c r="D1663" s="133" t="s">
        <v>477</v>
      </c>
      <c r="E1663" s="158">
        <v>12</v>
      </c>
      <c r="F1663" s="158">
        <v>0</v>
      </c>
      <c r="G1663" s="158">
        <v>0</v>
      </c>
      <c r="H1663" s="133" t="s">
        <v>1213</v>
      </c>
      <c r="I1663" s="133" t="s">
        <v>479</v>
      </c>
      <c r="J1663" s="158">
        <v>0</v>
      </c>
      <c r="K1663" s="159" t="str">
        <f ca="1">IFERROR(__xludf.DUMMYFUNCTION("GOOGLETRANSLATE(H1663,""th"",""en"")"),"Purchase order number (PO)")</f>
        <v>Purchase order number (PO)</v>
      </c>
    </row>
    <row r="1664" spans="1:14" ht="15.75" hidden="1" customHeight="1">
      <c r="A1664" s="133" t="s">
        <v>7</v>
      </c>
      <c r="B1664" s="133" t="s">
        <v>421</v>
      </c>
      <c r="C1664" s="133" t="s">
        <v>292</v>
      </c>
      <c r="D1664" s="133" t="s">
        <v>484</v>
      </c>
      <c r="E1664" s="158">
        <v>4</v>
      </c>
      <c r="F1664" s="158">
        <v>10</v>
      </c>
      <c r="G1664" s="158">
        <v>0</v>
      </c>
      <c r="H1664" s="133" t="s">
        <v>2320</v>
      </c>
      <c r="I1664" s="133" t="s">
        <v>479</v>
      </c>
      <c r="J1664" s="158">
        <v>0</v>
      </c>
      <c r="K1664" s="159" t="str">
        <f ca="1">IFERROR(__xludf.DUMMYFUNCTION("GOOGLETRANSLATE(H1664,""th"",""en"")"),"The order of the product in the PO leaves")</f>
        <v>The order of the product in the PO leaves</v>
      </c>
    </row>
    <row r="1665" spans="1:11" ht="15.75" hidden="1" customHeight="1">
      <c r="A1665" s="133" t="s">
        <v>7</v>
      </c>
      <c r="B1665" s="133" t="s">
        <v>421</v>
      </c>
      <c r="C1665" s="133" t="s">
        <v>253</v>
      </c>
      <c r="D1665" s="133" t="s">
        <v>477</v>
      </c>
      <c r="E1665" s="158">
        <v>7</v>
      </c>
      <c r="F1665" s="158">
        <v>0</v>
      </c>
      <c r="G1665" s="158">
        <v>0</v>
      </c>
      <c r="H1665" s="133" t="s">
        <v>1130</v>
      </c>
      <c r="I1665" s="133" t="s">
        <v>479</v>
      </c>
      <c r="J1665" s="158">
        <v>1</v>
      </c>
      <c r="K1665" s="159" t="str">
        <f ca="1">IFERROR(__xludf.DUMMYFUNCTION("GOOGLETRANSLATE(H1665,""th"",""en"")"),"Product code")</f>
        <v>Product code</v>
      </c>
    </row>
    <row r="1666" spans="1:11" ht="15.75" hidden="1" customHeight="1">
      <c r="A1666" s="133" t="s">
        <v>7</v>
      </c>
      <c r="B1666" s="133" t="s">
        <v>421</v>
      </c>
      <c r="C1666" s="133" t="s">
        <v>2321</v>
      </c>
      <c r="D1666" s="133" t="s">
        <v>477</v>
      </c>
      <c r="E1666" s="158">
        <v>55</v>
      </c>
      <c r="F1666" s="158">
        <v>0</v>
      </c>
      <c r="G1666" s="158">
        <v>0</v>
      </c>
      <c r="H1666" s="133" t="s">
        <v>1132</v>
      </c>
      <c r="I1666" s="133" t="s">
        <v>479</v>
      </c>
      <c r="J1666" s="158">
        <v>1</v>
      </c>
      <c r="K1666" s="159" t="str">
        <f ca="1">IFERROR(__xludf.DUMMYFUNCTION("GOOGLETRANSLATE(H1666,""th"",""en"")"),"Product name")</f>
        <v>Product name</v>
      </c>
    </row>
    <row r="1667" spans="1:11" ht="15.75" hidden="1" customHeight="1">
      <c r="A1667" s="133" t="s">
        <v>7</v>
      </c>
      <c r="B1667" s="133" t="s">
        <v>421</v>
      </c>
      <c r="C1667" s="133" t="s">
        <v>1133</v>
      </c>
      <c r="D1667" s="133" t="s">
        <v>477</v>
      </c>
      <c r="E1667" s="158">
        <v>7</v>
      </c>
      <c r="F1667" s="158">
        <v>0</v>
      </c>
      <c r="G1667" s="158">
        <v>0</v>
      </c>
      <c r="H1667" s="133" t="s">
        <v>2322</v>
      </c>
      <c r="I1667" s="133" t="s">
        <v>479</v>
      </c>
      <c r="J1667" s="158">
        <v>1</v>
      </c>
      <c r="K1667" s="159" t="str">
        <f ca="1">IFERROR(__xludf.DUMMYFUNCTION("GOOGLETRANSLATE(H1667,""th"",""en"")"),"Location ID when doing PO (but may not be a location that accepts goods Because of receiving the product in the system, the new Query Location is again because it may move the product to another location.")</f>
        <v>Location ID when doing PO (but may not be a location that accepts goods Because of receiving the product in the system, the new Query Location is again because it may move the product to another location.</v>
      </c>
    </row>
    <row r="1668" spans="1:11" ht="15.75" hidden="1" customHeight="1">
      <c r="A1668" s="133" t="s">
        <v>7</v>
      </c>
      <c r="B1668" s="133" t="s">
        <v>421</v>
      </c>
      <c r="C1668" s="133" t="s">
        <v>2323</v>
      </c>
      <c r="D1668" s="133" t="s">
        <v>481</v>
      </c>
      <c r="E1668" s="158">
        <v>9</v>
      </c>
      <c r="F1668" s="158">
        <v>11</v>
      </c>
      <c r="G1668" s="158">
        <v>2</v>
      </c>
      <c r="H1668" s="133" t="s">
        <v>2324</v>
      </c>
      <c r="I1668" s="133" t="s">
        <v>479</v>
      </c>
      <c r="J1668" s="158">
        <v>1</v>
      </c>
      <c r="K1668" s="159" t="str">
        <f ca="1">IFERROR(__xludf.DUMMYFUNCTION("GOOGLETRANSLATE(H1668,""th"",""en"")"),"Number of products ordered in the PO page")</f>
        <v>Number of products ordered in the PO page</v>
      </c>
    </row>
    <row r="1669" spans="1:11" ht="15.75" hidden="1" customHeight="1">
      <c r="A1669" s="133" t="s">
        <v>7</v>
      </c>
      <c r="B1669" s="133" t="s">
        <v>421</v>
      </c>
      <c r="C1669" s="133" t="s">
        <v>2325</v>
      </c>
      <c r="D1669" s="133" t="s">
        <v>481</v>
      </c>
      <c r="E1669" s="158">
        <v>9</v>
      </c>
      <c r="F1669" s="158">
        <v>11</v>
      </c>
      <c r="G1669" s="158">
        <v>2</v>
      </c>
      <c r="H1669" s="133" t="s">
        <v>2326</v>
      </c>
      <c r="I1669" s="133" t="s">
        <v>479</v>
      </c>
      <c r="J1669" s="158">
        <v>1</v>
      </c>
      <c r="K1669" s="159" t="str">
        <f ca="1">IFERROR(__xludf.DUMMYFUNCTION("GOOGLETRANSLATE(H1669,""th"",""en"")"),"The amount received")</f>
        <v>The amount received</v>
      </c>
    </row>
    <row r="1670" spans="1:11" ht="15.75" hidden="1" customHeight="1">
      <c r="A1670" s="133" t="s">
        <v>7</v>
      </c>
      <c r="B1670" s="133" t="s">
        <v>421</v>
      </c>
      <c r="C1670" s="133" t="s">
        <v>1137</v>
      </c>
      <c r="D1670" s="133" t="s">
        <v>481</v>
      </c>
      <c r="E1670" s="158">
        <v>9</v>
      </c>
      <c r="F1670" s="158">
        <v>11</v>
      </c>
      <c r="G1670" s="158">
        <v>2</v>
      </c>
      <c r="H1670" s="133" t="s">
        <v>2327</v>
      </c>
      <c r="I1670" s="133" t="s">
        <v>479</v>
      </c>
      <c r="J1670" s="158">
        <v>1</v>
      </c>
      <c r="K1670" s="159" t="str">
        <f ca="1">IFERROR(__xludf.DUMMYFUNCTION("GOOGLETRANSLATE(H1670,""th"",""en"")"),"Unit price on the PO page")</f>
        <v>Unit price on the PO page</v>
      </c>
    </row>
    <row r="1671" spans="1:11" ht="15.75" hidden="1" customHeight="1">
      <c r="A1671" s="133" t="s">
        <v>7</v>
      </c>
      <c r="B1671" s="133" t="s">
        <v>421</v>
      </c>
      <c r="C1671" s="133" t="s">
        <v>1190</v>
      </c>
      <c r="D1671" s="133" t="s">
        <v>477</v>
      </c>
      <c r="E1671" s="158">
        <v>7</v>
      </c>
      <c r="F1671" s="158">
        <v>0</v>
      </c>
      <c r="G1671" s="158">
        <v>0</v>
      </c>
      <c r="H1671" s="133" t="s">
        <v>2328</v>
      </c>
      <c r="I1671" s="133" t="s">
        <v>479</v>
      </c>
      <c r="J1671" s="158">
        <v>1</v>
      </c>
      <c r="K1671" s="159" t="str">
        <f ca="1">IFERROR(__xludf.DUMMYFUNCTION("GOOGLETRANSLATE(H1671,""th"",""en"")"),"Unit on the PO page")</f>
        <v>Unit on the PO page</v>
      </c>
    </row>
    <row r="1672" spans="1:11" ht="15.75" hidden="1" customHeight="1">
      <c r="A1672" s="133" t="s">
        <v>7</v>
      </c>
      <c r="B1672" s="133" t="s">
        <v>421</v>
      </c>
      <c r="C1672" s="133" t="s">
        <v>1141</v>
      </c>
      <c r="D1672" s="133" t="s">
        <v>477</v>
      </c>
      <c r="E1672" s="158">
        <v>7</v>
      </c>
      <c r="F1672" s="158">
        <v>0</v>
      </c>
      <c r="G1672" s="158">
        <v>0</v>
      </c>
      <c r="H1672" s="133" t="s">
        <v>1142</v>
      </c>
      <c r="I1672" s="133" t="s">
        <v>479</v>
      </c>
      <c r="J1672" s="158">
        <v>1</v>
      </c>
      <c r="K1672" s="159" t="str">
        <f ca="1">IFERROR(__xludf.DUMMYFUNCTION("GOOGLETRANSLATE(H1672,""th"",""en"")"),"Standard product unit")</f>
        <v>Standard product unit</v>
      </c>
    </row>
    <row r="1673" spans="1:11" ht="15.75" hidden="1" customHeight="1">
      <c r="A1673" s="133" t="s">
        <v>7</v>
      </c>
      <c r="B1673" s="133" t="s">
        <v>421</v>
      </c>
      <c r="C1673" s="133" t="s">
        <v>1143</v>
      </c>
      <c r="D1673" s="133" t="s">
        <v>484</v>
      </c>
      <c r="E1673" s="158">
        <v>4</v>
      </c>
      <c r="F1673" s="158">
        <v>10</v>
      </c>
      <c r="G1673" s="158">
        <v>0</v>
      </c>
      <c r="H1673" s="133" t="s">
        <v>1192</v>
      </c>
      <c r="I1673" s="133" t="s">
        <v>479</v>
      </c>
      <c r="J1673" s="158">
        <v>1</v>
      </c>
      <c r="K1673" s="159" t="str">
        <f ca="1">IFERROR(__xludf.DUMMYFUNCTION("GOOGLETRANSLATE(H1673,""th"",""en"")"),"Ratio of the standard unit with the order unit")</f>
        <v>Ratio of the standard unit with the order unit</v>
      </c>
    </row>
    <row r="1674" spans="1:11" ht="15.75" hidden="1" customHeight="1">
      <c r="A1674" s="133" t="s">
        <v>7</v>
      </c>
      <c r="B1674" s="133" t="s">
        <v>421</v>
      </c>
      <c r="C1674" s="133" t="s">
        <v>1145</v>
      </c>
      <c r="D1674" s="133" t="s">
        <v>481</v>
      </c>
      <c r="E1674" s="158">
        <v>9</v>
      </c>
      <c r="F1674" s="158">
        <v>11</v>
      </c>
      <c r="G1674" s="158">
        <v>2</v>
      </c>
      <c r="H1674" s="133" t="s">
        <v>1193</v>
      </c>
      <c r="I1674" s="133" t="s">
        <v>479</v>
      </c>
      <c r="J1674" s="158">
        <v>1</v>
      </c>
      <c r="K1674" s="159" t="str">
        <f ca="1">IFERROR(__xludf.DUMMYFUNCTION("GOOGLETRANSLATE(H1674,""th"",""en"")"),"Number of products ordered In the standard unit")</f>
        <v>Number of products ordered In the standard unit</v>
      </c>
    </row>
    <row r="1675" spans="1:11" ht="15.75" hidden="1" customHeight="1">
      <c r="A1675" s="133" t="s">
        <v>7</v>
      </c>
      <c r="B1675" s="133" t="s">
        <v>421</v>
      </c>
      <c r="C1675" s="133" t="s">
        <v>1194</v>
      </c>
      <c r="D1675" s="133" t="s">
        <v>481</v>
      </c>
      <c r="E1675" s="158">
        <v>5</v>
      </c>
      <c r="F1675" s="158">
        <v>6</v>
      </c>
      <c r="G1675" s="158">
        <v>4</v>
      </c>
      <c r="H1675" s="133" t="s">
        <v>2329</v>
      </c>
      <c r="I1675" s="133" t="s">
        <v>479</v>
      </c>
      <c r="J1675" s="158">
        <v>1</v>
      </c>
      <c r="K1675" s="159" t="str">
        <f ca="1">IFERROR(__xludf.DUMMYFUNCTION("GOOGLETRANSLATE(H1675,""th"",""en"")"),"Discounts of each product line")</f>
        <v>Discounts of each product line</v>
      </c>
    </row>
    <row r="1676" spans="1:11" ht="15.75" hidden="1" customHeight="1">
      <c r="A1676" s="133" t="s">
        <v>7</v>
      </c>
      <c r="B1676" s="133" t="s">
        <v>421</v>
      </c>
      <c r="C1676" s="133" t="s">
        <v>1195</v>
      </c>
      <c r="D1676" s="133" t="s">
        <v>481</v>
      </c>
      <c r="E1676" s="158">
        <v>9</v>
      </c>
      <c r="F1676" s="158">
        <v>11</v>
      </c>
      <c r="G1676" s="158">
        <v>2</v>
      </c>
      <c r="H1676" s="133" t="s">
        <v>2330</v>
      </c>
      <c r="I1676" s="133" t="s">
        <v>479</v>
      </c>
      <c r="J1676" s="158">
        <v>1</v>
      </c>
      <c r="K1676" s="159" t="str">
        <f ca="1">IFERROR(__xludf.DUMMYFUNCTION("GOOGLETRANSLATE(H1676,""th"",""en"")"),"Reduced value of each product line")</f>
        <v>Reduced value of each product line</v>
      </c>
    </row>
    <row r="1677" spans="1:11" ht="15.75" hidden="1" customHeight="1">
      <c r="A1677" s="133" t="s">
        <v>7</v>
      </c>
      <c r="B1677" s="133" t="s">
        <v>421</v>
      </c>
      <c r="C1677" s="133" t="s">
        <v>1196</v>
      </c>
      <c r="D1677" s="133" t="s">
        <v>481</v>
      </c>
      <c r="E1677" s="158">
        <v>9</v>
      </c>
      <c r="F1677" s="158">
        <v>11</v>
      </c>
      <c r="G1677" s="158">
        <v>2</v>
      </c>
      <c r="H1677" s="133" t="s">
        <v>2331</v>
      </c>
      <c r="I1677" s="133" t="s">
        <v>479</v>
      </c>
      <c r="J1677" s="158">
        <v>1</v>
      </c>
      <c r="K1677" s="159" t="str">
        <f ca="1">IFERROR(__xludf.DUMMYFUNCTION("GOOGLETRANSLATE(H1677,""th"",""en"")"),"Total amount after deducting each line discount")</f>
        <v>Total amount after deducting each line discount</v>
      </c>
    </row>
    <row r="1678" spans="1:11" ht="15.75" hidden="1" customHeight="1">
      <c r="A1678" s="133" t="s">
        <v>7</v>
      </c>
      <c r="B1678" s="133" t="s">
        <v>421</v>
      </c>
      <c r="C1678" s="133" t="s">
        <v>663</v>
      </c>
      <c r="D1678" s="133" t="s">
        <v>481</v>
      </c>
      <c r="E1678" s="158">
        <v>9</v>
      </c>
      <c r="F1678" s="158">
        <v>11</v>
      </c>
      <c r="G1678" s="158">
        <v>2</v>
      </c>
      <c r="H1678" s="133" t="s">
        <v>960</v>
      </c>
      <c r="I1678" s="133" t="s">
        <v>479</v>
      </c>
      <c r="J1678" s="158">
        <v>1</v>
      </c>
      <c r="K1678" s="159" t="str">
        <f ca="1">IFERROR(__xludf.DUMMYFUNCTION("GOOGLETRANSLATE(H1678,""th"",""en"")"),"Quit")</f>
        <v>Quit</v>
      </c>
    </row>
    <row r="1679" spans="1:11" ht="15.75" hidden="1" customHeight="1">
      <c r="A1679" s="133" t="s">
        <v>7</v>
      </c>
      <c r="B1679" s="133" t="s">
        <v>421</v>
      </c>
      <c r="C1679" s="133" t="s">
        <v>811</v>
      </c>
      <c r="D1679" s="133" t="s">
        <v>477</v>
      </c>
      <c r="E1679" s="158">
        <v>1</v>
      </c>
      <c r="F1679" s="158">
        <v>0</v>
      </c>
      <c r="G1679" s="158">
        <v>0</v>
      </c>
      <c r="H1679" s="133" t="s">
        <v>960</v>
      </c>
      <c r="I1679" s="133" t="s">
        <v>479</v>
      </c>
      <c r="J1679" s="158">
        <v>1</v>
      </c>
      <c r="K1679" s="159" t="str">
        <f ca="1">IFERROR(__xludf.DUMMYFUNCTION("GOOGLETRANSLATE(H1679,""th"",""en"")"),"Quit")</f>
        <v>Quit</v>
      </c>
    </row>
    <row r="1680" spans="1:11" ht="15.75" hidden="1" customHeight="1">
      <c r="A1680" s="133" t="s">
        <v>7</v>
      </c>
      <c r="B1680" s="133" t="s">
        <v>421</v>
      </c>
      <c r="C1680" s="133" t="s">
        <v>1214</v>
      </c>
      <c r="D1680" s="133" t="s">
        <v>477</v>
      </c>
      <c r="E1680" s="158">
        <v>6</v>
      </c>
      <c r="F1680" s="158">
        <v>0</v>
      </c>
      <c r="G1680" s="158">
        <v>0</v>
      </c>
      <c r="H1680" s="133" t="s">
        <v>1215</v>
      </c>
      <c r="I1680" s="133" t="s">
        <v>479</v>
      </c>
      <c r="J1680" s="158">
        <v>1</v>
      </c>
      <c r="K1680" s="159" t="str">
        <f ca="1">IFERROR(__xludf.DUMMYFUNCTION("GOOGLETRANSLATE(H1680,""th"",""en"")"),"Supplier / Vendor code")</f>
        <v>Supplier / Vendor code</v>
      </c>
    </row>
    <row r="1681" spans="1:11" ht="15.75" hidden="1" customHeight="1">
      <c r="A1681" s="133" t="s">
        <v>7</v>
      </c>
      <c r="B1681" s="133" t="s">
        <v>421</v>
      </c>
      <c r="C1681" s="133" t="s">
        <v>558</v>
      </c>
      <c r="D1681" s="133" t="s">
        <v>496</v>
      </c>
      <c r="E1681" s="158">
        <v>4</v>
      </c>
      <c r="F1681" s="158">
        <v>16</v>
      </c>
      <c r="G1681" s="158">
        <v>0</v>
      </c>
      <c r="H1681" s="133" t="s">
        <v>960</v>
      </c>
      <c r="I1681" s="133" t="s">
        <v>479</v>
      </c>
      <c r="J1681" s="158">
        <v>1</v>
      </c>
      <c r="K1681" s="159" t="str">
        <f ca="1">IFERROR(__xludf.DUMMYFUNCTION("GOOGLETRANSLATE(H1681,""th"",""en"")"),"Quit")</f>
        <v>Quit</v>
      </c>
    </row>
    <row r="1682" spans="1:11" ht="15.75" hidden="1" customHeight="1">
      <c r="A1682" s="133" t="s">
        <v>7</v>
      </c>
      <c r="B1682" s="133" t="s">
        <v>421</v>
      </c>
      <c r="C1682" s="133" t="s">
        <v>523</v>
      </c>
      <c r="D1682" s="133" t="s">
        <v>477</v>
      </c>
      <c r="E1682" s="158">
        <v>8</v>
      </c>
      <c r="F1682" s="158">
        <v>0</v>
      </c>
      <c r="G1682" s="158">
        <v>0</v>
      </c>
      <c r="H1682" s="133" t="s">
        <v>2332</v>
      </c>
      <c r="I1682" s="133" t="s">
        <v>479</v>
      </c>
      <c r="J1682" s="158">
        <v>1</v>
      </c>
      <c r="K1682" s="159" t="str">
        <f ca="1">IFERROR(__xludf.DUMMYFUNCTION("GOOGLETRANSLATE(H1682,""th"",""en"")"),"Po Leaf Creator ID")</f>
        <v>Po Leaf Creator ID</v>
      </c>
    </row>
    <row r="1683" spans="1:11" ht="15.75" hidden="1" customHeight="1">
      <c r="A1683" s="133" t="s">
        <v>7</v>
      </c>
      <c r="B1683" s="133" t="s">
        <v>421</v>
      </c>
      <c r="C1683" s="133" t="s">
        <v>669</v>
      </c>
      <c r="D1683" s="133" t="s">
        <v>496</v>
      </c>
      <c r="E1683" s="158">
        <v>4</v>
      </c>
      <c r="F1683" s="158">
        <v>16</v>
      </c>
      <c r="G1683" s="158">
        <v>0</v>
      </c>
      <c r="H1683" s="133" t="s">
        <v>2333</v>
      </c>
      <c r="I1683" s="133" t="s">
        <v>479</v>
      </c>
      <c r="J1683" s="158">
        <v>1</v>
      </c>
      <c r="K1683" s="159" t="str">
        <f ca="1">IFERROR(__xludf.DUMMYFUNCTION("GOOGLETRANSLATE(H1683,""th"",""en"")"),"Date created Po")</f>
        <v>Date created Po</v>
      </c>
    </row>
    <row r="1684" spans="1:11" ht="15.75" hidden="1" customHeight="1">
      <c r="A1684" s="133" t="s">
        <v>7</v>
      </c>
      <c r="B1684" s="133" t="s">
        <v>421</v>
      </c>
      <c r="C1684" s="133" t="s">
        <v>670</v>
      </c>
      <c r="D1684" s="133" t="s">
        <v>477</v>
      </c>
      <c r="E1684" s="158">
        <v>8</v>
      </c>
      <c r="F1684" s="158">
        <v>0</v>
      </c>
      <c r="G1684" s="158">
        <v>0</v>
      </c>
      <c r="H1684" s="133" t="s">
        <v>2334</v>
      </c>
      <c r="I1684" s="133" t="s">
        <v>479</v>
      </c>
      <c r="J1684" s="158">
        <v>1</v>
      </c>
      <c r="K1684" s="159" t="str">
        <f ca="1">IFERROR(__xludf.DUMMYFUNCTION("GOOGLETRANSLATE(H1684,""th"",""en"")"),"Latest Po Leaf")</f>
        <v>Latest Po Leaf</v>
      </c>
    </row>
    <row r="1685" spans="1:11" ht="15.75" hidden="1" customHeight="1">
      <c r="A1685" s="133" t="s">
        <v>7</v>
      </c>
      <c r="B1685" s="133" t="s">
        <v>421</v>
      </c>
      <c r="C1685" s="133" t="s">
        <v>215</v>
      </c>
      <c r="D1685" s="133" t="s">
        <v>496</v>
      </c>
      <c r="E1685" s="158">
        <v>4</v>
      </c>
      <c r="F1685" s="158">
        <v>16</v>
      </c>
      <c r="G1685" s="158">
        <v>0</v>
      </c>
      <c r="H1685" s="133" t="s">
        <v>2335</v>
      </c>
      <c r="I1685" s="133" t="s">
        <v>479</v>
      </c>
      <c r="J1685" s="158">
        <v>1</v>
      </c>
      <c r="K1685" s="159" t="str">
        <f ca="1">IFERROR(__xludf.DUMMYFUNCTION("GOOGLETRANSLATE(H1685,""th"",""en"")"),"Last edit date")</f>
        <v>Last edit date</v>
      </c>
    </row>
    <row r="1686" spans="1:11" ht="15.75" hidden="1" customHeight="1">
      <c r="A1686" s="133" t="s">
        <v>7</v>
      </c>
      <c r="B1686" s="133" t="s">
        <v>421</v>
      </c>
      <c r="C1686" s="133" t="s">
        <v>2336</v>
      </c>
      <c r="D1686" s="133" t="s">
        <v>491</v>
      </c>
      <c r="E1686" s="158">
        <v>1</v>
      </c>
      <c r="F1686" s="158">
        <v>0</v>
      </c>
      <c r="G1686" s="158">
        <v>0</v>
      </c>
      <c r="H1686" s="133" t="s">
        <v>2337</v>
      </c>
      <c r="I1686" s="133" t="s">
        <v>479</v>
      </c>
      <c r="J1686" s="158">
        <v>1</v>
      </c>
      <c r="K1686" s="159" t="str">
        <f ca="1">IFERROR(__xludf.DUMMYFUNCTION("GOOGLETRANSLATE(H1686,""th"",""en"")"),"This product is the product that vendor comes or not.")</f>
        <v>This product is the product that vendor comes or not.</v>
      </c>
    </row>
    <row r="1687" spans="1:11" ht="15.75" hidden="1" customHeight="1">
      <c r="A1687" s="133" t="s">
        <v>7</v>
      </c>
      <c r="B1687" s="133" t="s">
        <v>421</v>
      </c>
      <c r="C1687" s="133" t="s">
        <v>2338</v>
      </c>
      <c r="D1687" s="133" t="s">
        <v>496</v>
      </c>
      <c r="E1687" s="158">
        <v>4</v>
      </c>
      <c r="F1687" s="158">
        <v>16</v>
      </c>
      <c r="G1687" s="158">
        <v>0</v>
      </c>
      <c r="H1687" s="133" t="s">
        <v>2339</v>
      </c>
      <c r="I1687" s="133" t="s">
        <v>479</v>
      </c>
      <c r="J1687" s="158">
        <v>1</v>
      </c>
      <c r="K1687" s="159" t="str">
        <f ca="1">IFERROR(__xludf.DUMMYFUNCTION("GOOGLETRANSLATE(H1687,""th"",""en"")"),"First product receipt Of this product code")</f>
        <v>First product receipt Of this product code</v>
      </c>
    </row>
    <row r="1688" spans="1:11" ht="15.75" hidden="1" customHeight="1">
      <c r="A1688" s="133" t="s">
        <v>7</v>
      </c>
      <c r="B1688" s="133" t="s">
        <v>421</v>
      </c>
      <c r="C1688" s="133" t="s">
        <v>2340</v>
      </c>
      <c r="D1688" s="133" t="s">
        <v>496</v>
      </c>
      <c r="E1688" s="158">
        <v>4</v>
      </c>
      <c r="F1688" s="158">
        <v>16</v>
      </c>
      <c r="G1688" s="158">
        <v>0</v>
      </c>
      <c r="H1688" s="133" t="s">
        <v>2341</v>
      </c>
      <c r="I1688" s="133" t="s">
        <v>479</v>
      </c>
      <c r="J1688" s="158">
        <v>1</v>
      </c>
      <c r="K1688" s="159" t="str">
        <f ca="1">IFERROR(__xludf.DUMMYFUNCTION("GOOGLETRANSLATE(H1688,""th"",""en"")"),"Last product receipt Of this product code")</f>
        <v>Last product receipt Of this product code</v>
      </c>
    </row>
    <row r="1689" spans="1:11" ht="15.75" hidden="1" customHeight="1">
      <c r="A1689" s="133" t="s">
        <v>7</v>
      </c>
      <c r="B1689" s="133" t="s">
        <v>421</v>
      </c>
      <c r="C1689" s="133" t="s">
        <v>2342</v>
      </c>
      <c r="D1689" s="133" t="s">
        <v>481</v>
      </c>
      <c r="E1689" s="158">
        <v>9</v>
      </c>
      <c r="F1689" s="158">
        <v>11</v>
      </c>
      <c r="G1689" s="158">
        <v>2</v>
      </c>
      <c r="H1689" s="133" t="s">
        <v>2343</v>
      </c>
      <c r="I1689" s="133" t="s">
        <v>479</v>
      </c>
      <c r="J1689" s="158">
        <v>1</v>
      </c>
      <c r="K1689" s="159" t="str">
        <f ca="1">IFERROR(__xludf.DUMMYFUNCTION("GOOGLETRANSLATE(H1689,""th"",""en"")"),"Unit price after deduction - Unitprice - (Unitprice * Discrate / 100))")</f>
        <v>Unit price after deduction - Unitprice - (Unitprice * Discrate / 100))</v>
      </c>
    </row>
    <row r="1690" spans="1:11" ht="15.75" hidden="1" customHeight="1">
      <c r="A1690" s="133" t="s">
        <v>7</v>
      </c>
      <c r="B1690" s="133" t="s">
        <v>421</v>
      </c>
      <c r="C1690" s="133" t="s">
        <v>2344</v>
      </c>
      <c r="D1690" s="133" t="s">
        <v>477</v>
      </c>
      <c r="E1690" s="158">
        <v>500</v>
      </c>
      <c r="F1690" s="158">
        <v>0</v>
      </c>
      <c r="G1690" s="158">
        <v>0</v>
      </c>
      <c r="H1690" s="133" t="s">
        <v>900</v>
      </c>
      <c r="I1690" s="133" t="s">
        <v>548</v>
      </c>
      <c r="J1690" s="158">
        <v>0</v>
      </c>
      <c r="K1690" s="159" t="str">
        <f ca="1">IFERROR(__xludf.DUMMYFUNCTION("GOOGLETRANSLATE(H1690,""th"",""en"")"),"note")</f>
        <v>note</v>
      </c>
    </row>
    <row r="1691" spans="1:11" ht="15.75" hidden="1" customHeight="1">
      <c r="A1691" s="133" t="s">
        <v>7</v>
      </c>
      <c r="B1691" s="133" t="s">
        <v>421</v>
      </c>
      <c r="C1691" s="133" t="s">
        <v>2345</v>
      </c>
      <c r="D1691" s="133" t="s">
        <v>477</v>
      </c>
      <c r="E1691" s="158">
        <v>3</v>
      </c>
      <c r="F1691" s="158">
        <v>0</v>
      </c>
      <c r="G1691" s="158">
        <v>0</v>
      </c>
      <c r="H1691" s="133" t="s">
        <v>2346</v>
      </c>
      <c r="I1691" s="133" t="s">
        <v>596</v>
      </c>
      <c r="J1691" s="158">
        <v>0</v>
      </c>
      <c r="K1691" s="159" t="str">
        <f ca="1">IFERROR(__xludf.DUMMYFUNCTION("GOOGLETRANSLATE(H1691,""th"",""en"")"),"Consignment products")</f>
        <v>Consignment products</v>
      </c>
    </row>
    <row r="1692" spans="1:11" ht="15.75" hidden="1" customHeight="1">
      <c r="A1692" s="133" t="s">
        <v>7</v>
      </c>
      <c r="B1692" s="133" t="s">
        <v>421</v>
      </c>
      <c r="C1692" s="133" t="s">
        <v>2347</v>
      </c>
      <c r="D1692" s="133" t="s">
        <v>477</v>
      </c>
      <c r="E1692" s="158">
        <v>6</v>
      </c>
      <c r="F1692" s="158">
        <v>0</v>
      </c>
      <c r="G1692" s="158">
        <v>0</v>
      </c>
      <c r="H1692" s="133" t="s">
        <v>2348</v>
      </c>
      <c r="I1692" s="133" t="s">
        <v>548</v>
      </c>
      <c r="J1692" s="158">
        <v>0</v>
      </c>
      <c r="K1692" s="159" t="str">
        <f ca="1">IFERROR(__xludf.DUMMYFUNCTION("GOOGLETRANSLATE(H1692,""th"",""en"")"),"SKU of Officemate Depot")</f>
        <v>SKU of Officemate Depot</v>
      </c>
    </row>
    <row r="1693" spans="1:11" ht="15.75" hidden="1" customHeight="1">
      <c r="A1693" s="133" t="s">
        <v>7</v>
      </c>
      <c r="B1693" s="133" t="s">
        <v>421</v>
      </c>
      <c r="C1693" s="133" t="s">
        <v>2349</v>
      </c>
      <c r="D1693" s="133" t="s">
        <v>477</v>
      </c>
      <c r="E1693" s="158">
        <v>2</v>
      </c>
      <c r="F1693" s="158">
        <v>0</v>
      </c>
      <c r="G1693" s="158">
        <v>0</v>
      </c>
      <c r="H1693" s="133" t="s">
        <v>1255</v>
      </c>
      <c r="I1693" s="133" t="s">
        <v>548</v>
      </c>
      <c r="J1693" s="158">
        <v>0</v>
      </c>
      <c r="K1693" s="159" t="str">
        <f ca="1">IFERROR(__xludf.DUMMYFUNCTION("GOOGLETRANSLATE(H1693,""th"",""en"")"),"Product pickup")</f>
        <v>Product pickup</v>
      </c>
    </row>
    <row r="1694" spans="1:11" ht="15.75" hidden="1" customHeight="1">
      <c r="A1694" s="133" t="s">
        <v>7</v>
      </c>
      <c r="B1694" s="133" t="s">
        <v>421</v>
      </c>
      <c r="C1694" s="133" t="s">
        <v>1206</v>
      </c>
      <c r="D1694" s="133" t="s">
        <v>477</v>
      </c>
      <c r="E1694" s="158">
        <v>3</v>
      </c>
      <c r="F1694" s="158">
        <v>0</v>
      </c>
      <c r="G1694" s="158">
        <v>0</v>
      </c>
      <c r="H1694" s="133" t="s">
        <v>2350</v>
      </c>
      <c r="I1694" s="133" t="s">
        <v>548</v>
      </c>
      <c r="J1694" s="158">
        <v>0</v>
      </c>
      <c r="K1694" s="159" t="str">
        <f ca="1">IFERROR(__xludf.DUMMYFUNCTION("GOOGLETRANSLATE(H1694,""th"",""en"")"),"VAT (YES = think, No = Don't think)")</f>
        <v>VAT (YES = think, No = Don't think)</v>
      </c>
    </row>
    <row r="1695" spans="1:11" ht="15.75" hidden="1" customHeight="1">
      <c r="A1695" s="133" t="s">
        <v>7</v>
      </c>
      <c r="B1695" s="133" t="s">
        <v>421</v>
      </c>
      <c r="C1695" s="133" t="s">
        <v>2351</v>
      </c>
      <c r="D1695" s="133" t="s">
        <v>477</v>
      </c>
      <c r="E1695" s="158">
        <v>3</v>
      </c>
      <c r="F1695" s="158">
        <v>0</v>
      </c>
      <c r="G1695" s="158">
        <v>0</v>
      </c>
      <c r="H1695" s="133" t="s">
        <v>479</v>
      </c>
      <c r="I1695" s="133" t="s">
        <v>596</v>
      </c>
      <c r="J1695" s="158">
        <v>0</v>
      </c>
      <c r="K1695" s="159" t="str">
        <f ca="1">IFERROR(__xludf.DUMMYFUNCTION("GOOGLETRANSLATE(H1695,""th"",""en"")"),"Null")</f>
        <v>Null</v>
      </c>
    </row>
    <row r="1696" spans="1:11" ht="15.75" hidden="1" customHeight="1">
      <c r="A1696" s="133" t="s">
        <v>7</v>
      </c>
      <c r="B1696" s="133" t="s">
        <v>421</v>
      </c>
      <c r="C1696" s="133" t="s">
        <v>1208</v>
      </c>
      <c r="D1696" s="133" t="s">
        <v>484</v>
      </c>
      <c r="E1696" s="158">
        <v>4</v>
      </c>
      <c r="F1696" s="158">
        <v>10</v>
      </c>
      <c r="G1696" s="158">
        <v>0</v>
      </c>
      <c r="H1696" s="133" t="s">
        <v>1209</v>
      </c>
      <c r="I1696" s="133" t="s">
        <v>1210</v>
      </c>
      <c r="J1696" s="158">
        <v>0</v>
      </c>
      <c r="K1696" s="159" t="str">
        <f ca="1">IFERROR(__xludf.DUMMYFUNCTION("GOOGLETRANSLATE(H1696,""th"",""en"")"),"Keep the channelid of the product that needs to be done. Reserve: [99: None Channel, 18: Center, 19: Global]")</f>
        <v>Keep the channelid of the product that needs to be done. Reserve: [99: None Channel, 18: Center, 19: Global]</v>
      </c>
    </row>
    <row r="1697" spans="1:14" ht="15.75" hidden="1" customHeight="1">
      <c r="A1697" s="161" t="s">
        <v>7</v>
      </c>
      <c r="B1697" s="161" t="s">
        <v>424</v>
      </c>
      <c r="C1697" s="161" t="s">
        <v>2317</v>
      </c>
      <c r="D1697" s="161" t="s">
        <v>477</v>
      </c>
      <c r="E1697" s="162">
        <v>5</v>
      </c>
      <c r="F1697" s="162">
        <v>0</v>
      </c>
      <c r="G1697" s="162">
        <v>0</v>
      </c>
      <c r="H1697" s="161"/>
      <c r="I1697" s="161"/>
      <c r="J1697" s="162">
        <v>0</v>
      </c>
      <c r="K1697" s="163"/>
      <c r="L1697" s="164" t="s">
        <v>2318</v>
      </c>
      <c r="M1697" s="165"/>
      <c r="N1697" s="165"/>
    </row>
    <row r="1698" spans="1:14" ht="15.75" hidden="1" customHeight="1">
      <c r="A1698" s="133" t="s">
        <v>7</v>
      </c>
      <c r="B1698" s="133" t="s">
        <v>424</v>
      </c>
      <c r="C1698" s="133" t="s">
        <v>2319</v>
      </c>
      <c r="D1698" s="133" t="s">
        <v>477</v>
      </c>
      <c r="E1698" s="158">
        <v>12</v>
      </c>
      <c r="F1698" s="158">
        <v>0</v>
      </c>
      <c r="G1698" s="158">
        <v>0</v>
      </c>
      <c r="H1698" s="133" t="s">
        <v>1213</v>
      </c>
      <c r="I1698" s="133" t="s">
        <v>479</v>
      </c>
      <c r="J1698" s="158">
        <v>0</v>
      </c>
      <c r="K1698" s="159" t="str">
        <f ca="1">IFERROR(__xludf.DUMMYFUNCTION("GOOGLETRANSLATE(H1698,""th"",""en"")"),"Purchase order number (PO)")</f>
        <v>Purchase order number (PO)</v>
      </c>
    </row>
    <row r="1699" spans="1:14" ht="15.75" hidden="1" customHeight="1">
      <c r="A1699" s="133" t="s">
        <v>7</v>
      </c>
      <c r="B1699" s="133" t="s">
        <v>424</v>
      </c>
      <c r="C1699" s="133" t="s">
        <v>2352</v>
      </c>
      <c r="D1699" s="133" t="s">
        <v>496</v>
      </c>
      <c r="E1699" s="158">
        <v>4</v>
      </c>
      <c r="F1699" s="158">
        <v>16</v>
      </c>
      <c r="G1699" s="158">
        <v>0</v>
      </c>
      <c r="H1699" s="133" t="s">
        <v>2333</v>
      </c>
      <c r="I1699" s="133" t="s">
        <v>479</v>
      </c>
      <c r="J1699" s="158">
        <v>1</v>
      </c>
      <c r="K1699" s="159" t="str">
        <f ca="1">IFERROR(__xludf.DUMMYFUNCTION("GOOGLETRANSLATE(H1699,""th"",""en"")"),"Date created Po")</f>
        <v>Date created Po</v>
      </c>
    </row>
    <row r="1700" spans="1:14" ht="15.75" hidden="1" customHeight="1">
      <c r="A1700" s="133" t="s">
        <v>7</v>
      </c>
      <c r="B1700" s="133" t="s">
        <v>424</v>
      </c>
      <c r="C1700" s="133" t="s">
        <v>811</v>
      </c>
      <c r="D1700" s="133" t="s">
        <v>491</v>
      </c>
      <c r="E1700" s="158">
        <v>1</v>
      </c>
      <c r="F1700" s="158">
        <v>0</v>
      </c>
      <c r="G1700" s="158">
        <v>0</v>
      </c>
      <c r="H1700" s="133" t="s">
        <v>2353</v>
      </c>
      <c r="I1700" s="133" t="s">
        <v>479</v>
      </c>
      <c r="J1700" s="158">
        <v>1</v>
      </c>
      <c r="K1700" s="159" t="str">
        <f ca="1">IFERROR(__xludf.DUMMYFUNCTION("GOOGLETRANSLATE(H1700,""th"",""en"")"),"Po status [n = Expire from Incomplete, E = Expire from Fax, P = Print, F = Fax, i = Incomplete, A = Active, C = Complete, D = DELETE]")</f>
        <v>Po status [n = Expire from Incomplete, E = Expire from Fax, P = Print, F = Fax, i = Incomplete, A = Active, C = Complete, D = DELETE]</v>
      </c>
    </row>
    <row r="1701" spans="1:14" ht="15.75" hidden="1" customHeight="1">
      <c r="A1701" s="133" t="s">
        <v>7</v>
      </c>
      <c r="B1701" s="133" t="s">
        <v>424</v>
      </c>
      <c r="C1701" s="133" t="s">
        <v>1249</v>
      </c>
      <c r="D1701" s="133" t="s">
        <v>491</v>
      </c>
      <c r="E1701" s="158">
        <v>1</v>
      </c>
      <c r="F1701" s="158">
        <v>0</v>
      </c>
      <c r="G1701" s="158">
        <v>0</v>
      </c>
      <c r="H1701" s="133" t="s">
        <v>1250</v>
      </c>
      <c r="I1701" s="133" t="s">
        <v>548</v>
      </c>
      <c r="J1701" s="158">
        <v>1</v>
      </c>
      <c r="K1701" s="159" t="str">
        <f ca="1">IFERROR(__xludf.DUMMYFUNCTION("GOOGLETRANSLATE(H1701,""th"",""en"")"),"&lt;Will stop using&gt; PO categories for use in calculating costs to the purchase order with the product receipt as close as possible. 1/2/3. Now put it in 4")</f>
        <v>&lt;Will stop using&gt; PO categories for use in calculating costs to the purchase order with the product receipt as close as possible. 1/2/3. Now put it in 4</v>
      </c>
    </row>
    <row r="1702" spans="1:14" ht="15.75" hidden="1" customHeight="1">
      <c r="A1702" s="133" t="s">
        <v>7</v>
      </c>
      <c r="B1702" s="133" t="s">
        <v>424</v>
      </c>
      <c r="C1702" s="133" t="s">
        <v>1214</v>
      </c>
      <c r="D1702" s="133" t="s">
        <v>477</v>
      </c>
      <c r="E1702" s="158">
        <v>6</v>
      </c>
      <c r="F1702" s="158">
        <v>0</v>
      </c>
      <c r="G1702" s="158">
        <v>0</v>
      </c>
      <c r="H1702" s="133" t="s">
        <v>1215</v>
      </c>
      <c r="I1702" s="133" t="s">
        <v>479</v>
      </c>
      <c r="J1702" s="158">
        <v>1</v>
      </c>
      <c r="K1702" s="159" t="str">
        <f ca="1">IFERROR(__xludf.DUMMYFUNCTION("GOOGLETRANSLATE(H1702,""th"",""en"")"),"Supplier / Vendor code")</f>
        <v>Supplier / Vendor code</v>
      </c>
    </row>
    <row r="1703" spans="1:14" ht="15.75" hidden="1" customHeight="1">
      <c r="A1703" s="133" t="s">
        <v>7</v>
      </c>
      <c r="B1703" s="133" t="s">
        <v>424</v>
      </c>
      <c r="C1703" s="133" t="s">
        <v>2354</v>
      </c>
      <c r="D1703" s="133" t="s">
        <v>477</v>
      </c>
      <c r="E1703" s="158">
        <v>100</v>
      </c>
      <c r="F1703" s="158">
        <v>0</v>
      </c>
      <c r="G1703" s="158">
        <v>0</v>
      </c>
      <c r="H1703" s="133" t="s">
        <v>1252</v>
      </c>
      <c r="I1703" s="133" t="s">
        <v>479</v>
      </c>
      <c r="J1703" s="158">
        <v>1</v>
      </c>
      <c r="K1703" s="159" t="str">
        <f ca="1">IFERROR(__xludf.DUMMYFUNCTION("GOOGLETRANSLATE(H1703,""th"",""en"")"),"Name Supplier / Vendor")</f>
        <v>Name Supplier / Vendor</v>
      </c>
    </row>
    <row r="1704" spans="1:14" ht="15.75" hidden="1" customHeight="1">
      <c r="A1704" s="133" t="s">
        <v>7</v>
      </c>
      <c r="B1704" s="133" t="s">
        <v>424</v>
      </c>
      <c r="C1704" s="133" t="s">
        <v>2355</v>
      </c>
      <c r="D1704" s="133" t="s">
        <v>477</v>
      </c>
      <c r="E1704" s="158">
        <v>100</v>
      </c>
      <c r="F1704" s="158">
        <v>0</v>
      </c>
      <c r="G1704" s="158">
        <v>0</v>
      </c>
      <c r="H1704" s="133" t="s">
        <v>2356</v>
      </c>
      <c r="I1704" s="133" t="s">
        <v>479</v>
      </c>
      <c r="J1704" s="158">
        <v>1</v>
      </c>
      <c r="K1704" s="159" t="str">
        <f ca="1">IFERROR(__xludf.DUMMYFUNCTION("GOOGLETRANSLATE(H1704,""th"",""en"")"),"Address Vendor Tax Invoice Line 1")</f>
        <v>Address Vendor Tax Invoice Line 1</v>
      </c>
    </row>
    <row r="1705" spans="1:14" ht="15.75" hidden="1" customHeight="1">
      <c r="A1705" s="133" t="s">
        <v>7</v>
      </c>
      <c r="B1705" s="133" t="s">
        <v>424</v>
      </c>
      <c r="C1705" s="133" t="s">
        <v>2357</v>
      </c>
      <c r="D1705" s="133" t="s">
        <v>477</v>
      </c>
      <c r="E1705" s="158">
        <v>40</v>
      </c>
      <c r="F1705" s="158">
        <v>0</v>
      </c>
      <c r="G1705" s="158">
        <v>0</v>
      </c>
      <c r="H1705" s="133" t="s">
        <v>2358</v>
      </c>
      <c r="I1705" s="133" t="s">
        <v>479</v>
      </c>
      <c r="J1705" s="158">
        <v>1</v>
      </c>
      <c r="K1705" s="159" t="str">
        <f ca="1">IFERROR(__xludf.DUMMYFUNCTION("GOOGLETRANSLATE(H1705,""th"",""en"")"),"Address Vendor Tax Invoice Line 2")</f>
        <v>Address Vendor Tax Invoice Line 2</v>
      </c>
    </row>
    <row r="1706" spans="1:14" ht="15.75" hidden="1" customHeight="1">
      <c r="A1706" s="133" t="s">
        <v>7</v>
      </c>
      <c r="B1706" s="133" t="s">
        <v>424</v>
      </c>
      <c r="C1706" s="133" t="s">
        <v>2359</v>
      </c>
      <c r="D1706" s="133" t="s">
        <v>477</v>
      </c>
      <c r="E1706" s="158">
        <v>40</v>
      </c>
      <c r="F1706" s="158">
        <v>0</v>
      </c>
      <c r="G1706" s="158">
        <v>0</v>
      </c>
      <c r="H1706" s="133" t="s">
        <v>2360</v>
      </c>
      <c r="I1706" s="133" t="s">
        <v>479</v>
      </c>
      <c r="J1706" s="158">
        <v>1</v>
      </c>
      <c r="K1706" s="159" t="str">
        <f ca="1">IFERROR(__xludf.DUMMYFUNCTION("GOOGLETRANSLATE(H1706,""th"",""en"")"),"Address Vendor Tax Invoice Line 3")</f>
        <v>Address Vendor Tax Invoice Line 3</v>
      </c>
    </row>
    <row r="1707" spans="1:14" ht="15.75" hidden="1" customHeight="1">
      <c r="A1707" s="133" t="s">
        <v>7</v>
      </c>
      <c r="B1707" s="133" t="s">
        <v>424</v>
      </c>
      <c r="C1707" s="133" t="s">
        <v>2361</v>
      </c>
      <c r="D1707" s="133" t="s">
        <v>477</v>
      </c>
      <c r="E1707" s="158">
        <v>40</v>
      </c>
      <c r="F1707" s="158">
        <v>0</v>
      </c>
      <c r="G1707" s="158">
        <v>0</v>
      </c>
      <c r="H1707" s="133" t="s">
        <v>2362</v>
      </c>
      <c r="I1707" s="133" t="s">
        <v>479</v>
      </c>
      <c r="J1707" s="158">
        <v>1</v>
      </c>
      <c r="K1707" s="159" t="str">
        <f ca="1">IFERROR(__xludf.DUMMYFUNCTION("GOOGLETRANSLATE(H1707,""th"",""en"")"),"Address Vendor Tax Invoice Line 4")</f>
        <v>Address Vendor Tax Invoice Line 4</v>
      </c>
    </row>
    <row r="1708" spans="1:14" ht="15.75" hidden="1" customHeight="1">
      <c r="A1708" s="133" t="s">
        <v>7</v>
      </c>
      <c r="B1708" s="133" t="s">
        <v>424</v>
      </c>
      <c r="C1708" s="133" t="s">
        <v>2363</v>
      </c>
      <c r="D1708" s="133" t="s">
        <v>477</v>
      </c>
      <c r="E1708" s="158">
        <v>40</v>
      </c>
      <c r="F1708" s="158">
        <v>0</v>
      </c>
      <c r="G1708" s="158">
        <v>0</v>
      </c>
      <c r="H1708" s="133" t="s">
        <v>2364</v>
      </c>
      <c r="I1708" s="133" t="s">
        <v>479</v>
      </c>
      <c r="J1708" s="158">
        <v>1</v>
      </c>
      <c r="K1708" s="159" t="str">
        <f ca="1">IFERROR(__xludf.DUMMYFUNCTION("GOOGLETRANSLATE(H1708,""th"",""en"")"),"Vendor tax invoice address line 5")</f>
        <v>Vendor tax invoice address line 5</v>
      </c>
    </row>
    <row r="1709" spans="1:14" ht="15.75" hidden="1" customHeight="1">
      <c r="A1709" s="133" t="s">
        <v>7</v>
      </c>
      <c r="B1709" s="133" t="s">
        <v>424</v>
      </c>
      <c r="C1709" s="133" t="s">
        <v>2365</v>
      </c>
      <c r="D1709" s="133" t="s">
        <v>477</v>
      </c>
      <c r="E1709" s="158">
        <v>50</v>
      </c>
      <c r="F1709" s="158">
        <v>0</v>
      </c>
      <c r="G1709" s="158">
        <v>0</v>
      </c>
      <c r="H1709" s="133" t="s">
        <v>2366</v>
      </c>
      <c r="I1709" s="133" t="s">
        <v>479</v>
      </c>
      <c r="J1709" s="158">
        <v>1</v>
      </c>
      <c r="K1709" s="159" t="str">
        <f ca="1">IFERROR(__xludf.DUMMYFUNCTION("GOOGLETRANSLATE(H1709,""th"",""en"")"),"Place to give Vendor to the delivery of &lt;Default will be the warehouse&gt; Line 1")</f>
        <v>Place to give Vendor to the delivery of &lt;Default will be the warehouse&gt; Line 1</v>
      </c>
    </row>
    <row r="1710" spans="1:14" ht="15.75" hidden="1" customHeight="1">
      <c r="A1710" s="133" t="s">
        <v>7</v>
      </c>
      <c r="B1710" s="133" t="s">
        <v>424</v>
      </c>
      <c r="C1710" s="133" t="s">
        <v>2367</v>
      </c>
      <c r="D1710" s="133" t="s">
        <v>477</v>
      </c>
      <c r="E1710" s="158">
        <v>50</v>
      </c>
      <c r="F1710" s="158">
        <v>0</v>
      </c>
      <c r="G1710" s="158">
        <v>0</v>
      </c>
      <c r="H1710" s="133" t="s">
        <v>2368</v>
      </c>
      <c r="I1710" s="133" t="s">
        <v>479</v>
      </c>
      <c r="J1710" s="158">
        <v>1</v>
      </c>
      <c r="K1710" s="159" t="str">
        <f ca="1">IFERROR(__xludf.DUMMYFUNCTION("GOOGLETRANSLATE(H1710,""th"",""en"")"),"The place that will give Vendor to the delivery of the &lt;default will be the warehouse&gt; Line 2.")</f>
        <v>The place that will give Vendor to the delivery of the &lt;default will be the warehouse&gt; Line 2.</v>
      </c>
    </row>
    <row r="1711" spans="1:14" ht="15.75" hidden="1" customHeight="1">
      <c r="A1711" s="133" t="s">
        <v>7</v>
      </c>
      <c r="B1711" s="133" t="s">
        <v>424</v>
      </c>
      <c r="C1711" s="133" t="s">
        <v>2369</v>
      </c>
      <c r="D1711" s="133" t="s">
        <v>477</v>
      </c>
      <c r="E1711" s="158">
        <v>50</v>
      </c>
      <c r="F1711" s="158">
        <v>0</v>
      </c>
      <c r="G1711" s="158">
        <v>0</v>
      </c>
      <c r="H1711" s="133" t="s">
        <v>2370</v>
      </c>
      <c r="I1711" s="133" t="s">
        <v>479</v>
      </c>
      <c r="J1711" s="158">
        <v>1</v>
      </c>
      <c r="K1711" s="159" t="str">
        <f ca="1">IFERROR(__xludf.DUMMYFUNCTION("GOOGLETRANSLATE(H1711,""th"",""en"")"),"The place that will give Vendor to the delivery of the &lt;default will be the warehouse&gt; line 3.")</f>
        <v>The place that will give Vendor to the delivery of the &lt;default will be the warehouse&gt; line 3.</v>
      </c>
    </row>
    <row r="1712" spans="1:14" ht="15.75" hidden="1" customHeight="1">
      <c r="A1712" s="133" t="s">
        <v>7</v>
      </c>
      <c r="B1712" s="133" t="s">
        <v>424</v>
      </c>
      <c r="C1712" s="133" t="s">
        <v>558</v>
      </c>
      <c r="D1712" s="133" t="s">
        <v>496</v>
      </c>
      <c r="E1712" s="158">
        <v>4</v>
      </c>
      <c r="F1712" s="158">
        <v>16</v>
      </c>
      <c r="G1712" s="158">
        <v>0</v>
      </c>
      <c r="H1712" s="133" t="s">
        <v>2371</v>
      </c>
      <c r="I1712" s="133" t="s">
        <v>479</v>
      </c>
      <c r="J1712" s="158">
        <v>1</v>
      </c>
      <c r="K1712" s="159" t="str">
        <f ca="1">IFERROR(__xludf.DUMMYFUNCTION("GOOGLETRANSLATE(H1712,""th"",""en"")"),"The date of this PO receives the latest product.")</f>
        <v>The date of this PO receives the latest product.</v>
      </c>
    </row>
    <row r="1713" spans="1:11" ht="15.75" hidden="1" customHeight="1">
      <c r="A1713" s="133" t="s">
        <v>7</v>
      </c>
      <c r="B1713" s="133" t="s">
        <v>424</v>
      </c>
      <c r="C1713" s="133" t="s">
        <v>708</v>
      </c>
      <c r="D1713" s="133" t="s">
        <v>477</v>
      </c>
      <c r="E1713" s="158">
        <v>3</v>
      </c>
      <c r="F1713" s="158">
        <v>0</v>
      </c>
      <c r="G1713" s="158">
        <v>0</v>
      </c>
      <c r="H1713" s="133" t="s">
        <v>1253</v>
      </c>
      <c r="I1713" s="133" t="s">
        <v>479</v>
      </c>
      <c r="J1713" s="158">
        <v>1</v>
      </c>
      <c r="K1713" s="159" t="str">
        <f ca="1">IFERROR(__xludf.DUMMYFUNCTION("GOOGLETRANSLATE(H1713,""th"",""en"")"),"Payment type code")</f>
        <v>Payment type code</v>
      </c>
    </row>
    <row r="1714" spans="1:11" ht="15.75" hidden="1" customHeight="1">
      <c r="A1714" s="133" t="s">
        <v>7</v>
      </c>
      <c r="B1714" s="133" t="s">
        <v>424</v>
      </c>
      <c r="C1714" s="133" t="s">
        <v>2372</v>
      </c>
      <c r="D1714" s="133" t="s">
        <v>477</v>
      </c>
      <c r="E1714" s="158">
        <v>50</v>
      </c>
      <c r="F1714" s="158">
        <v>0</v>
      </c>
      <c r="G1714" s="158">
        <v>0</v>
      </c>
      <c r="H1714" s="133" t="s">
        <v>2373</v>
      </c>
      <c r="I1714" s="133" t="s">
        <v>479</v>
      </c>
      <c r="J1714" s="158">
        <v>1</v>
      </c>
      <c r="K1714" s="159" t="str">
        <f ca="1">IFERROR(__xludf.DUMMYFUNCTION("GOOGLETRANSLATE(H1714,""th"",""en"")"),"The name of the person we ordered as well")</f>
        <v>The name of the person we ordered as well</v>
      </c>
    </row>
    <row r="1715" spans="1:11" ht="15.75" hidden="1" customHeight="1">
      <c r="A1715" s="133" t="s">
        <v>7</v>
      </c>
      <c r="B1715" s="133" t="s">
        <v>424</v>
      </c>
      <c r="C1715" s="133" t="s">
        <v>1230</v>
      </c>
      <c r="D1715" s="133" t="s">
        <v>481</v>
      </c>
      <c r="E1715" s="158">
        <v>5</v>
      </c>
      <c r="F1715" s="158">
        <v>6</v>
      </c>
      <c r="G1715" s="158">
        <v>4</v>
      </c>
      <c r="H1715" s="133" t="s">
        <v>1231</v>
      </c>
      <c r="I1715" s="133" t="s">
        <v>479</v>
      </c>
      <c r="J1715" s="158">
        <v>1</v>
      </c>
      <c r="K1715" s="159" t="str">
        <f ca="1">IFERROR(__xludf.DUMMYFUNCTION("GOOGLETRANSLATE(H1715,""th"",""en"")"),"Discount Rate at Bill 1")</f>
        <v>Discount Rate at Bill 1</v>
      </c>
    </row>
    <row r="1716" spans="1:11" ht="15.75" hidden="1" customHeight="1">
      <c r="A1716" s="133" t="s">
        <v>7</v>
      </c>
      <c r="B1716" s="133" t="s">
        <v>424</v>
      </c>
      <c r="C1716" s="133" t="s">
        <v>1232</v>
      </c>
      <c r="D1716" s="133" t="s">
        <v>481</v>
      </c>
      <c r="E1716" s="158">
        <v>9</v>
      </c>
      <c r="F1716" s="158">
        <v>11</v>
      </c>
      <c r="G1716" s="158">
        <v>2</v>
      </c>
      <c r="H1716" s="133" t="s">
        <v>1233</v>
      </c>
      <c r="I1716" s="133" t="s">
        <v>479</v>
      </c>
      <c r="J1716" s="158">
        <v>1</v>
      </c>
      <c r="K1716" s="159" t="str">
        <f ca="1">IFERROR(__xludf.DUMMYFUNCTION("GOOGLETRANSLATE(H1716,""th"",""en"")"),"Discounted amount from Discount Rate 1")</f>
        <v>Discounted amount from Discount Rate 1</v>
      </c>
    </row>
    <row r="1717" spans="1:11" ht="15.75" hidden="1" customHeight="1">
      <c r="A1717" s="133" t="s">
        <v>7</v>
      </c>
      <c r="B1717" s="133" t="s">
        <v>424</v>
      </c>
      <c r="C1717" s="133" t="s">
        <v>1234</v>
      </c>
      <c r="D1717" s="133" t="s">
        <v>481</v>
      </c>
      <c r="E1717" s="158">
        <v>5</v>
      </c>
      <c r="F1717" s="158">
        <v>6</v>
      </c>
      <c r="G1717" s="158">
        <v>4</v>
      </c>
      <c r="H1717" s="133" t="s">
        <v>1235</v>
      </c>
      <c r="I1717" s="133" t="s">
        <v>479</v>
      </c>
      <c r="J1717" s="158">
        <v>1</v>
      </c>
      <c r="K1717" s="159" t="str">
        <f ca="1">IFERROR(__xludf.DUMMYFUNCTION("GOOGLETRANSLATE(H1717,""th"",""en"")"),"Discount Rate at Bill 2")</f>
        <v>Discount Rate at Bill 2</v>
      </c>
    </row>
    <row r="1718" spans="1:11" ht="15.75" hidden="1" customHeight="1">
      <c r="A1718" s="133" t="s">
        <v>7</v>
      </c>
      <c r="B1718" s="133" t="s">
        <v>424</v>
      </c>
      <c r="C1718" s="133" t="s">
        <v>1236</v>
      </c>
      <c r="D1718" s="133" t="s">
        <v>481</v>
      </c>
      <c r="E1718" s="158">
        <v>9</v>
      </c>
      <c r="F1718" s="158">
        <v>11</v>
      </c>
      <c r="G1718" s="158">
        <v>2</v>
      </c>
      <c r="H1718" s="133" t="s">
        <v>1237</v>
      </c>
      <c r="I1718" s="133" t="s">
        <v>479</v>
      </c>
      <c r="J1718" s="158">
        <v>1</v>
      </c>
      <c r="K1718" s="159" t="str">
        <f ca="1">IFERROR(__xludf.DUMMYFUNCTION("GOOGLETRANSLATE(H1718,""th"",""en"")"),"Discounted amount from Discount Rate 2")</f>
        <v>Discounted amount from Discount Rate 2</v>
      </c>
    </row>
    <row r="1719" spans="1:11" ht="15.75" hidden="1" customHeight="1">
      <c r="A1719" s="133" t="s">
        <v>7</v>
      </c>
      <c r="B1719" s="133" t="s">
        <v>424</v>
      </c>
      <c r="C1719" s="133" t="s">
        <v>1238</v>
      </c>
      <c r="D1719" s="133" t="s">
        <v>481</v>
      </c>
      <c r="E1719" s="158">
        <v>5</v>
      </c>
      <c r="F1719" s="158">
        <v>6</v>
      </c>
      <c r="G1719" s="158">
        <v>4</v>
      </c>
      <c r="H1719" s="133" t="s">
        <v>1239</v>
      </c>
      <c r="I1719" s="133" t="s">
        <v>479</v>
      </c>
      <c r="J1719" s="158">
        <v>1</v>
      </c>
      <c r="K1719" s="159" t="str">
        <f ca="1">IFERROR(__xludf.DUMMYFUNCTION("GOOGLETRANSLATE(H1719,""th"",""en"")"),"Discount Rate at Bill 3")</f>
        <v>Discount Rate at Bill 3</v>
      </c>
    </row>
    <row r="1720" spans="1:11" ht="15.75" hidden="1" customHeight="1">
      <c r="A1720" s="133" t="s">
        <v>7</v>
      </c>
      <c r="B1720" s="133" t="s">
        <v>424</v>
      </c>
      <c r="C1720" s="133" t="s">
        <v>1240</v>
      </c>
      <c r="D1720" s="133" t="s">
        <v>481</v>
      </c>
      <c r="E1720" s="158">
        <v>9</v>
      </c>
      <c r="F1720" s="158">
        <v>11</v>
      </c>
      <c r="G1720" s="158">
        <v>2</v>
      </c>
      <c r="H1720" s="133" t="s">
        <v>1241</v>
      </c>
      <c r="I1720" s="133" t="s">
        <v>479</v>
      </c>
      <c r="J1720" s="158">
        <v>1</v>
      </c>
      <c r="K1720" s="159" t="str">
        <f ca="1">IFERROR(__xludf.DUMMYFUNCTION("GOOGLETRANSLATE(H1720,""th"",""en"")"),"Discounted amount from Discount Rate 3")</f>
        <v>Discounted amount from Discount Rate 3</v>
      </c>
    </row>
    <row r="1721" spans="1:11" ht="15.75" hidden="1" customHeight="1">
      <c r="A1721" s="133" t="s">
        <v>7</v>
      </c>
      <c r="B1721" s="133" t="s">
        <v>424</v>
      </c>
      <c r="C1721" s="133" t="s">
        <v>1196</v>
      </c>
      <c r="D1721" s="133" t="s">
        <v>481</v>
      </c>
      <c r="E1721" s="158">
        <v>9</v>
      </c>
      <c r="F1721" s="158">
        <v>11</v>
      </c>
      <c r="G1721" s="158">
        <v>2</v>
      </c>
      <c r="H1721" s="133" t="s">
        <v>1242</v>
      </c>
      <c r="I1721" s="133" t="s">
        <v>479</v>
      </c>
      <c r="J1721" s="158">
        <v>1</v>
      </c>
      <c r="K1721" s="159" t="str">
        <f ca="1">IFERROR(__xludf.DUMMYFUNCTION("GOOGLETRANSLATE(H1721,""th"",""en"")"),"Total amount that has not been deducted Discount 1,2,3 at the end of the bill")</f>
        <v>Total amount that has not been deducted Discount 1,2,3 at the end of the bill</v>
      </c>
    </row>
    <row r="1722" spans="1:11" ht="15.75" hidden="1" customHeight="1">
      <c r="A1722" s="133" t="s">
        <v>7</v>
      </c>
      <c r="B1722" s="133" t="s">
        <v>424</v>
      </c>
      <c r="C1722" s="133" t="s">
        <v>1243</v>
      </c>
      <c r="D1722" s="133" t="s">
        <v>481</v>
      </c>
      <c r="E1722" s="158">
        <v>9</v>
      </c>
      <c r="F1722" s="158">
        <v>11</v>
      </c>
      <c r="G1722" s="158">
        <v>2</v>
      </c>
      <c r="H1722" s="133" t="s">
        <v>1244</v>
      </c>
      <c r="I1722" s="133" t="s">
        <v>479</v>
      </c>
      <c r="J1722" s="158">
        <v>1</v>
      </c>
      <c r="K1722" s="159" t="str">
        <f ca="1">IFERROR(__xludf.DUMMYFUNCTION("GOOGLETRANSLATE(H1722,""th"",""en"")"),"The total amount that deducts Discount at the end of the bill 1,2,3 before VAT")</f>
        <v>The total amount that deducts Discount at the end of the bill 1,2,3 before VAT</v>
      </c>
    </row>
    <row r="1723" spans="1:11" ht="15.75" hidden="1" customHeight="1">
      <c r="A1723" s="133" t="s">
        <v>7</v>
      </c>
      <c r="B1723" s="133" t="s">
        <v>424</v>
      </c>
      <c r="C1723" s="133" t="s">
        <v>663</v>
      </c>
      <c r="D1723" s="133" t="s">
        <v>481</v>
      </c>
      <c r="E1723" s="158">
        <v>9</v>
      </c>
      <c r="F1723" s="158">
        <v>11</v>
      </c>
      <c r="G1723" s="158">
        <v>2</v>
      </c>
      <c r="H1723" s="133" t="s">
        <v>2374</v>
      </c>
      <c r="I1723" s="133" t="s">
        <v>479</v>
      </c>
      <c r="J1723" s="158">
        <v>1</v>
      </c>
      <c r="K1723" s="159" t="str">
        <f ca="1">IFERROR(__xludf.DUMMYFUNCTION("GOOGLETRANSLATE(H1723,""th"",""en"")"),"VAT value of PO documents")</f>
        <v>VAT value of PO documents</v>
      </c>
    </row>
    <row r="1724" spans="1:11" ht="15.75" hidden="1" customHeight="1">
      <c r="A1724" s="133" t="s">
        <v>7</v>
      </c>
      <c r="B1724" s="133" t="s">
        <v>424</v>
      </c>
      <c r="C1724" s="133" t="s">
        <v>1246</v>
      </c>
      <c r="D1724" s="133" t="s">
        <v>481</v>
      </c>
      <c r="E1724" s="158">
        <v>5</v>
      </c>
      <c r="F1724" s="158">
        <v>4</v>
      </c>
      <c r="G1724" s="158">
        <v>2</v>
      </c>
      <c r="H1724" s="133" t="s">
        <v>1247</v>
      </c>
      <c r="I1724" s="133" t="s">
        <v>479</v>
      </c>
      <c r="J1724" s="158">
        <v>1</v>
      </c>
      <c r="K1724" s="159" t="str">
        <f ca="1">IFERROR(__xludf.DUMMYFUNCTION("GOOGLETRANSLATE(H1724,""th"",""en"")"),"Vat Rate")</f>
        <v>Vat Rate</v>
      </c>
    </row>
    <row r="1725" spans="1:11" ht="15.75" hidden="1" customHeight="1">
      <c r="A1725" s="133" t="s">
        <v>7</v>
      </c>
      <c r="B1725" s="133" t="s">
        <v>424</v>
      </c>
      <c r="C1725" s="133" t="s">
        <v>164</v>
      </c>
      <c r="D1725" s="133" t="s">
        <v>477</v>
      </c>
      <c r="E1725" s="158">
        <v>60</v>
      </c>
      <c r="F1725" s="158">
        <v>0</v>
      </c>
      <c r="G1725" s="158">
        <v>0</v>
      </c>
      <c r="H1725" s="133" t="s">
        <v>2375</v>
      </c>
      <c r="I1725" s="133" t="s">
        <v>479</v>
      </c>
      <c r="J1725" s="158">
        <v>1</v>
      </c>
      <c r="K1725" s="159" t="str">
        <f ca="1">IFERROR(__xludf.DUMMYFUNCTION("GOOGLETRANSLATE(H1725,""th"",""en"")"),"Remark of this PO leaves")</f>
        <v>Remark of this PO leaves</v>
      </c>
    </row>
    <row r="1726" spans="1:11" ht="15.75" hidden="1" customHeight="1">
      <c r="A1726" s="133" t="s">
        <v>7</v>
      </c>
      <c r="B1726" s="133" t="s">
        <v>424</v>
      </c>
      <c r="C1726" s="133" t="s">
        <v>523</v>
      </c>
      <c r="D1726" s="133" t="s">
        <v>477</v>
      </c>
      <c r="E1726" s="158">
        <v>8</v>
      </c>
      <c r="F1726" s="158">
        <v>0</v>
      </c>
      <c r="G1726" s="158">
        <v>0</v>
      </c>
      <c r="H1726" s="133" t="s">
        <v>2332</v>
      </c>
      <c r="I1726" s="133" t="s">
        <v>479</v>
      </c>
      <c r="J1726" s="158">
        <v>1</v>
      </c>
      <c r="K1726" s="159" t="str">
        <f ca="1">IFERROR(__xludf.DUMMYFUNCTION("GOOGLETRANSLATE(H1726,""th"",""en"")"),"Po Leaf Creator ID")</f>
        <v>Po Leaf Creator ID</v>
      </c>
    </row>
    <row r="1727" spans="1:11" ht="15.75" hidden="1" customHeight="1">
      <c r="A1727" s="133" t="s">
        <v>7</v>
      </c>
      <c r="B1727" s="133" t="s">
        <v>424</v>
      </c>
      <c r="C1727" s="133" t="s">
        <v>669</v>
      </c>
      <c r="D1727" s="133" t="s">
        <v>496</v>
      </c>
      <c r="E1727" s="158">
        <v>4</v>
      </c>
      <c r="F1727" s="158">
        <v>16</v>
      </c>
      <c r="G1727" s="158">
        <v>0</v>
      </c>
      <c r="H1727" s="133" t="s">
        <v>2333</v>
      </c>
      <c r="I1727" s="133" t="s">
        <v>479</v>
      </c>
      <c r="J1727" s="158">
        <v>1</v>
      </c>
      <c r="K1727" s="159" t="str">
        <f ca="1">IFERROR(__xludf.DUMMYFUNCTION("GOOGLETRANSLATE(H1727,""th"",""en"")"),"Date created Po")</f>
        <v>Date created Po</v>
      </c>
    </row>
    <row r="1728" spans="1:11" ht="15.75" hidden="1" customHeight="1">
      <c r="A1728" s="133" t="s">
        <v>7</v>
      </c>
      <c r="B1728" s="133" t="s">
        <v>424</v>
      </c>
      <c r="C1728" s="133" t="s">
        <v>670</v>
      </c>
      <c r="D1728" s="133" t="s">
        <v>477</v>
      </c>
      <c r="E1728" s="158">
        <v>8</v>
      </c>
      <c r="F1728" s="158">
        <v>0</v>
      </c>
      <c r="G1728" s="158">
        <v>0</v>
      </c>
      <c r="H1728" s="133" t="s">
        <v>2334</v>
      </c>
      <c r="I1728" s="133" t="s">
        <v>479</v>
      </c>
      <c r="J1728" s="158">
        <v>1</v>
      </c>
      <c r="K1728" s="159" t="str">
        <f ca="1">IFERROR(__xludf.DUMMYFUNCTION("GOOGLETRANSLATE(H1728,""th"",""en"")"),"Latest Po Leaf")</f>
        <v>Latest Po Leaf</v>
      </c>
    </row>
    <row r="1729" spans="1:11" ht="15.75" hidden="1" customHeight="1">
      <c r="A1729" s="133" t="s">
        <v>7</v>
      </c>
      <c r="B1729" s="133" t="s">
        <v>424</v>
      </c>
      <c r="C1729" s="133" t="s">
        <v>215</v>
      </c>
      <c r="D1729" s="133" t="s">
        <v>496</v>
      </c>
      <c r="E1729" s="158">
        <v>4</v>
      </c>
      <c r="F1729" s="158">
        <v>16</v>
      </c>
      <c r="G1729" s="158">
        <v>0</v>
      </c>
      <c r="H1729" s="133" t="s">
        <v>2376</v>
      </c>
      <c r="I1729" s="133" t="s">
        <v>479</v>
      </c>
      <c r="J1729" s="158">
        <v>1</v>
      </c>
      <c r="K1729" s="159" t="str">
        <f ca="1">IFERROR(__xludf.DUMMYFUNCTION("GOOGLETRANSLATE(H1729,""th"",""en"")"),"Last edit date")</f>
        <v>Last edit date</v>
      </c>
    </row>
    <row r="1730" spans="1:11" ht="15.75" hidden="1" customHeight="1">
      <c r="A1730" s="133" t="s">
        <v>7</v>
      </c>
      <c r="B1730" s="133" t="s">
        <v>424</v>
      </c>
      <c r="C1730" s="133" t="s">
        <v>2377</v>
      </c>
      <c r="D1730" s="133" t="s">
        <v>477</v>
      </c>
      <c r="E1730" s="158">
        <v>50</v>
      </c>
      <c r="F1730" s="158">
        <v>0</v>
      </c>
      <c r="G1730" s="158">
        <v>0</v>
      </c>
      <c r="H1730" s="133" t="s">
        <v>2378</v>
      </c>
      <c r="I1730" s="133" t="s">
        <v>479</v>
      </c>
      <c r="J1730" s="158">
        <v>1</v>
      </c>
      <c r="K1730" s="159" t="str">
        <f ca="1">IFERROR(__xludf.DUMMYFUNCTION("GOOGLETRANSLATE(H1730,""th"",""en"")"),"Phone number, who we ordered as well")</f>
        <v>Phone number, who we ordered as well</v>
      </c>
    </row>
    <row r="1731" spans="1:11" ht="15.75" hidden="1" customHeight="1">
      <c r="A1731" s="133" t="s">
        <v>7</v>
      </c>
      <c r="B1731" s="133" t="s">
        <v>424</v>
      </c>
      <c r="C1731" s="133" t="s">
        <v>2379</v>
      </c>
      <c r="D1731" s="133" t="s">
        <v>477</v>
      </c>
      <c r="E1731" s="158">
        <v>50</v>
      </c>
      <c r="F1731" s="158">
        <v>0</v>
      </c>
      <c r="G1731" s="158">
        <v>0</v>
      </c>
      <c r="H1731" s="133" t="s">
        <v>2380</v>
      </c>
      <c r="I1731" s="133" t="s">
        <v>479</v>
      </c>
      <c r="J1731" s="158">
        <v>1</v>
      </c>
      <c r="K1731" s="159" t="str">
        <f ca="1">IFERROR(__xludf.DUMMYFUNCTION("GOOGLETRANSLATE(H1731,""th"",""en"")"),"Fax number, who we ordered as well")</f>
        <v>Fax number, who we ordered as well</v>
      </c>
    </row>
    <row r="1732" spans="1:11" ht="15.75" hidden="1" customHeight="1">
      <c r="A1732" s="133" t="s">
        <v>7</v>
      </c>
      <c r="B1732" s="133" t="s">
        <v>424</v>
      </c>
      <c r="C1732" s="133" t="s">
        <v>2381</v>
      </c>
      <c r="D1732" s="133" t="s">
        <v>477</v>
      </c>
      <c r="E1732" s="158">
        <v>3</v>
      </c>
      <c r="F1732" s="158">
        <v>0</v>
      </c>
      <c r="G1732" s="158">
        <v>0</v>
      </c>
      <c r="H1732" s="133" t="s">
        <v>2382</v>
      </c>
      <c r="I1732" s="133" t="s">
        <v>479</v>
      </c>
      <c r="J1732" s="158">
        <v>1</v>
      </c>
      <c r="K1732" s="159" t="str">
        <f ca="1">IFERROR(__xludf.DUMMYFUNCTION("GOOGLETRANSLATE(H1732,""th"",""en"")"),"This order creation code (006: Auto Gen, 007: Purchase Vendor Stock)")</f>
        <v>This order creation code (006: Auto Gen, 007: Purchase Vendor Stock)</v>
      </c>
    </row>
    <row r="1733" spans="1:11" ht="15.75" hidden="1" customHeight="1">
      <c r="A1733" s="133" t="s">
        <v>7</v>
      </c>
      <c r="B1733" s="133" t="s">
        <v>424</v>
      </c>
      <c r="C1733" s="133" t="s">
        <v>2383</v>
      </c>
      <c r="D1733" s="133" t="s">
        <v>477</v>
      </c>
      <c r="E1733" s="158">
        <v>60</v>
      </c>
      <c r="F1733" s="158">
        <v>0</v>
      </c>
      <c r="G1733" s="158">
        <v>0</v>
      </c>
      <c r="H1733" s="133" t="s">
        <v>2384</v>
      </c>
      <c r="I1733" s="133" t="s">
        <v>479</v>
      </c>
      <c r="J1733" s="158">
        <v>1</v>
      </c>
      <c r="K1733" s="159" t="str">
        <f ca="1">IFERROR(__xludf.DUMMYFUNCTION("GOOGLETRANSLATE(H1733,""th"",""en"")"),"Meaning from the creation of the order")</f>
        <v>Meaning from the creation of the order</v>
      </c>
    </row>
    <row r="1734" spans="1:11" ht="15.75" hidden="1" customHeight="1">
      <c r="A1734" s="133" t="s">
        <v>7</v>
      </c>
      <c r="B1734" s="133" t="s">
        <v>424</v>
      </c>
      <c r="C1734" s="133" t="s">
        <v>2385</v>
      </c>
      <c r="D1734" s="133" t="s">
        <v>978</v>
      </c>
      <c r="E1734" s="158">
        <v>2</v>
      </c>
      <c r="F1734" s="158">
        <v>5</v>
      </c>
      <c r="G1734" s="158">
        <v>0</v>
      </c>
      <c r="H1734" s="133" t="s">
        <v>2386</v>
      </c>
      <c r="I1734" s="133" t="s">
        <v>479</v>
      </c>
      <c r="J1734" s="158">
        <v>1</v>
      </c>
      <c r="K1734" s="159" t="str">
        <f ca="1">IFERROR(__xludf.DUMMYFUNCTION("GOOGLETRANSLATE(H1734,""th"",""en"")"),"The contact sequence that we ordered in PO")</f>
        <v>The contact sequence that we ordered in PO</v>
      </c>
    </row>
    <row r="1735" spans="1:11" ht="15.75" hidden="1" customHeight="1">
      <c r="A1735" s="133" t="s">
        <v>7</v>
      </c>
      <c r="B1735" s="133" t="s">
        <v>424</v>
      </c>
      <c r="C1735" s="133" t="s">
        <v>2387</v>
      </c>
      <c r="D1735" s="133" t="s">
        <v>491</v>
      </c>
      <c r="E1735" s="158">
        <v>1</v>
      </c>
      <c r="F1735" s="158">
        <v>0</v>
      </c>
      <c r="G1735" s="158">
        <v>0</v>
      </c>
      <c r="H1735" s="133" t="s">
        <v>2388</v>
      </c>
      <c r="I1735" s="133" t="s">
        <v>479</v>
      </c>
      <c r="J1735" s="158">
        <v>1</v>
      </c>
      <c r="K1735" s="159" t="str">
        <f ca="1">IFERROR(__xludf.DUMMYFUNCTION("GOOGLETRANSLATE(H1735,""th"",""en"")"),"Status that the warehouse acknowledge this order? P = Warehouse, print this purchase order out, null is not yet accepted, e = ?? **** (The new PO system will be canceled)")</f>
        <v>Status that the warehouse acknowledge this order? P = Warehouse, print this purchase order out, null is not yet accepted, e = ?? **** (The new PO system will be canceled)</v>
      </c>
    </row>
    <row r="1736" spans="1:11" ht="15.75" hidden="1" customHeight="1">
      <c r="A1736" s="133" t="s">
        <v>7</v>
      </c>
      <c r="B1736" s="133" t="s">
        <v>424</v>
      </c>
      <c r="C1736" s="133" t="s">
        <v>2389</v>
      </c>
      <c r="D1736" s="133" t="s">
        <v>978</v>
      </c>
      <c r="E1736" s="158">
        <v>2</v>
      </c>
      <c r="F1736" s="158">
        <v>5</v>
      </c>
      <c r="G1736" s="158">
        <v>0</v>
      </c>
      <c r="H1736" s="133" t="s">
        <v>2390</v>
      </c>
      <c r="I1736" s="133" t="s">
        <v>479</v>
      </c>
      <c r="J1736" s="158">
        <v>1</v>
      </c>
      <c r="K1736" s="159" t="str">
        <f ca="1">IFERROR(__xludf.DUMMYFUNCTION("GOOGLETRANSLATE(H1736,""th"",""en"")"),"Number of receipts Receiving this product of Po")</f>
        <v>Number of receipts Receiving this product of Po</v>
      </c>
    </row>
    <row r="1737" spans="1:11" ht="15.75" hidden="1" customHeight="1">
      <c r="A1737" s="133" t="s">
        <v>7</v>
      </c>
      <c r="B1737" s="133" t="s">
        <v>424</v>
      </c>
      <c r="C1737" s="133" t="s">
        <v>814</v>
      </c>
      <c r="D1737" s="133" t="s">
        <v>477</v>
      </c>
      <c r="E1737" s="158">
        <v>40</v>
      </c>
      <c r="F1737" s="158">
        <v>0</v>
      </c>
      <c r="G1737" s="158">
        <v>0</v>
      </c>
      <c r="H1737" s="133" t="s">
        <v>2391</v>
      </c>
      <c r="I1737" s="133" t="s">
        <v>479</v>
      </c>
      <c r="J1737" s="158">
        <v>1</v>
      </c>
      <c r="K1737" s="159" t="str">
        <f ca="1">IFERROR(__xludf.DUMMYFUNCTION("GOOGLETRANSLATE(H1737,""th"",""en"")"),"Purchase name")</f>
        <v>Purchase name</v>
      </c>
    </row>
    <row r="1738" spans="1:11" ht="15.75" hidden="1" customHeight="1">
      <c r="A1738" s="133" t="s">
        <v>7</v>
      </c>
      <c r="B1738" s="133" t="s">
        <v>424</v>
      </c>
      <c r="C1738" s="133" t="s">
        <v>2392</v>
      </c>
      <c r="D1738" s="133" t="s">
        <v>477</v>
      </c>
      <c r="E1738" s="158">
        <v>255</v>
      </c>
      <c r="F1738" s="158">
        <v>0</v>
      </c>
      <c r="G1738" s="158">
        <v>0</v>
      </c>
      <c r="H1738" s="133" t="s">
        <v>2393</v>
      </c>
      <c r="I1738" s="133" t="s">
        <v>479</v>
      </c>
      <c r="J1738" s="158">
        <v>1</v>
      </c>
      <c r="K1738" s="159" t="str">
        <f ca="1">IFERROR(__xludf.DUMMYFUNCTION("GOOGLETRANSLATE(H1738,""th"",""en"")"),"REMARK inside to allow Approve Po")</f>
        <v>REMARK inside to allow Approve Po</v>
      </c>
    </row>
    <row r="1739" spans="1:11" ht="15.75" hidden="1" customHeight="1">
      <c r="A1739" s="133" t="s">
        <v>7</v>
      </c>
      <c r="B1739" s="133" t="s">
        <v>424</v>
      </c>
      <c r="C1739" s="133" t="s">
        <v>2394</v>
      </c>
      <c r="D1739" s="133" t="s">
        <v>496</v>
      </c>
      <c r="E1739" s="158">
        <v>4</v>
      </c>
      <c r="F1739" s="158">
        <v>16</v>
      </c>
      <c r="G1739" s="158">
        <v>0</v>
      </c>
      <c r="H1739" s="133" t="s">
        <v>2395</v>
      </c>
      <c r="I1739" s="133" t="s">
        <v>479</v>
      </c>
      <c r="J1739" s="158">
        <v>1</v>
      </c>
      <c r="K1739" s="159" t="str">
        <f ca="1">IFERROR(__xludf.DUMMYFUNCTION("GOOGLETRANSLATE(H1739,""th"",""en"")"),"The date you want the product to be sent.")</f>
        <v>The date you want the product to be sent.</v>
      </c>
    </row>
    <row r="1740" spans="1:11" ht="15.75" hidden="1" customHeight="1">
      <c r="A1740" s="133" t="s">
        <v>7</v>
      </c>
      <c r="B1740" s="133" t="s">
        <v>424</v>
      </c>
      <c r="C1740" s="133" t="s">
        <v>2396</v>
      </c>
      <c r="D1740" s="133" t="s">
        <v>477</v>
      </c>
      <c r="E1740" s="158">
        <v>200</v>
      </c>
      <c r="F1740" s="158">
        <v>0</v>
      </c>
      <c r="G1740" s="158">
        <v>0</v>
      </c>
      <c r="H1740" s="133" t="s">
        <v>479</v>
      </c>
      <c r="I1740" s="133" t="s">
        <v>479</v>
      </c>
      <c r="J1740" s="158">
        <v>1</v>
      </c>
      <c r="K1740" s="159" t="str">
        <f ca="1">IFERROR(__xludf.DUMMYFUNCTION("GOOGLETRANSLATE(H1740,""th"",""en"")"),"Null")</f>
        <v>Null</v>
      </c>
    </row>
    <row r="1741" spans="1:11" ht="15.75" hidden="1" customHeight="1">
      <c r="A1741" s="133" t="s">
        <v>7</v>
      </c>
      <c r="B1741" s="133" t="s">
        <v>424</v>
      </c>
      <c r="C1741" s="133" t="s">
        <v>2397</v>
      </c>
      <c r="D1741" s="133" t="s">
        <v>477</v>
      </c>
      <c r="E1741" s="158">
        <v>200</v>
      </c>
      <c r="F1741" s="158">
        <v>0</v>
      </c>
      <c r="G1741" s="158">
        <v>0</v>
      </c>
      <c r="H1741" s="133" t="s">
        <v>479</v>
      </c>
      <c r="I1741" s="133" t="s">
        <v>479</v>
      </c>
      <c r="J1741" s="158">
        <v>1</v>
      </c>
      <c r="K1741" s="159" t="str">
        <f ca="1">IFERROR(__xludf.DUMMYFUNCTION("GOOGLETRANSLATE(H1741,""th"",""en"")"),"Null")</f>
        <v>Null</v>
      </c>
    </row>
    <row r="1742" spans="1:11" ht="15.75" hidden="1" customHeight="1">
      <c r="A1742" s="133" t="s">
        <v>7</v>
      </c>
      <c r="B1742" s="133" t="s">
        <v>424</v>
      </c>
      <c r="C1742" s="133" t="s">
        <v>2398</v>
      </c>
      <c r="D1742" s="133" t="s">
        <v>477</v>
      </c>
      <c r="E1742" s="158">
        <v>200</v>
      </c>
      <c r="F1742" s="158">
        <v>0</v>
      </c>
      <c r="G1742" s="158">
        <v>0</v>
      </c>
      <c r="H1742" s="133" t="s">
        <v>479</v>
      </c>
      <c r="I1742" s="133" t="s">
        <v>479</v>
      </c>
      <c r="J1742" s="158">
        <v>1</v>
      </c>
      <c r="K1742" s="159" t="str">
        <f ca="1">IFERROR(__xludf.DUMMYFUNCTION("GOOGLETRANSLATE(H1742,""th"",""en"")"),"Null")</f>
        <v>Null</v>
      </c>
    </row>
    <row r="1743" spans="1:11" ht="15.75" hidden="1" customHeight="1">
      <c r="A1743" s="133" t="s">
        <v>7</v>
      </c>
      <c r="B1743" s="133" t="s">
        <v>424</v>
      </c>
      <c r="C1743" s="133" t="s">
        <v>2399</v>
      </c>
      <c r="D1743" s="133" t="s">
        <v>491</v>
      </c>
      <c r="E1743" s="158">
        <v>2</v>
      </c>
      <c r="F1743" s="158">
        <v>0</v>
      </c>
      <c r="G1743" s="158">
        <v>0</v>
      </c>
      <c r="H1743" s="133" t="s">
        <v>2400</v>
      </c>
      <c r="I1743" s="133" t="s">
        <v>2401</v>
      </c>
      <c r="J1743" s="158">
        <v>0</v>
      </c>
      <c r="K1743" s="159" t="str">
        <f ca="1">IFERROR(__xludf.DUMMYFUNCTION("GOOGLETRANSLATE(H1743,""th"",""en"")"),"Payment format code")</f>
        <v>Payment format code</v>
      </c>
    </row>
    <row r="1744" spans="1:11" ht="15.75" hidden="1" customHeight="1">
      <c r="A1744" s="133" t="s">
        <v>7</v>
      </c>
      <c r="B1744" s="133" t="s">
        <v>424</v>
      </c>
      <c r="C1744" s="133" t="s">
        <v>1061</v>
      </c>
      <c r="D1744" s="133" t="s">
        <v>477</v>
      </c>
      <c r="E1744" s="158">
        <v>200</v>
      </c>
      <c r="F1744" s="158">
        <v>0</v>
      </c>
      <c r="G1744" s="158">
        <v>0</v>
      </c>
      <c r="H1744" s="133" t="s">
        <v>479</v>
      </c>
      <c r="I1744" s="133" t="s">
        <v>548</v>
      </c>
      <c r="J1744" s="158">
        <v>0</v>
      </c>
      <c r="K1744" s="159" t="str">
        <f ca="1">IFERROR(__xludf.DUMMYFUNCTION("GOOGLETRANSLATE(H1744,""th"",""en"")"),"Null")</f>
        <v>Null</v>
      </c>
    </row>
    <row r="1745" spans="1:14" ht="15.75" hidden="1" customHeight="1">
      <c r="A1745" s="133" t="s">
        <v>7</v>
      </c>
      <c r="B1745" s="133" t="s">
        <v>424</v>
      </c>
      <c r="C1745" s="133" t="s">
        <v>2402</v>
      </c>
      <c r="D1745" s="133" t="s">
        <v>496</v>
      </c>
      <c r="E1745" s="158">
        <v>4</v>
      </c>
      <c r="F1745" s="158">
        <v>16</v>
      </c>
      <c r="G1745" s="158">
        <v>0</v>
      </c>
      <c r="H1745" s="133" t="s">
        <v>479</v>
      </c>
      <c r="I1745" s="133" t="s">
        <v>1363</v>
      </c>
      <c r="J1745" s="158">
        <v>0</v>
      </c>
      <c r="K1745" s="159" t="str">
        <f ca="1">IFERROR(__xludf.DUMMYFUNCTION("GOOGLETRANSLATE(H1745,""th"",""en"")"),"Null")</f>
        <v>Null</v>
      </c>
    </row>
    <row r="1746" spans="1:14" ht="15.75" hidden="1" customHeight="1">
      <c r="A1746" s="133" t="s">
        <v>7</v>
      </c>
      <c r="B1746" s="133" t="s">
        <v>424</v>
      </c>
      <c r="C1746" s="133" t="s">
        <v>2403</v>
      </c>
      <c r="D1746" s="133" t="s">
        <v>477</v>
      </c>
      <c r="E1746" s="158">
        <v>7</v>
      </c>
      <c r="F1746" s="158">
        <v>0</v>
      </c>
      <c r="G1746" s="158">
        <v>0</v>
      </c>
      <c r="H1746" s="133" t="s">
        <v>479</v>
      </c>
      <c r="I1746" s="133" t="s">
        <v>2404</v>
      </c>
      <c r="J1746" s="158">
        <v>0</v>
      </c>
      <c r="K1746" s="159" t="str">
        <f ca="1">IFERROR(__xludf.DUMMYFUNCTION("GOOGLETRANSLATE(H1746,""th"",""en"")"),"Null")</f>
        <v>Null</v>
      </c>
    </row>
    <row r="1747" spans="1:14" ht="15.75" hidden="1" customHeight="1">
      <c r="A1747" s="133" t="s">
        <v>7</v>
      </c>
      <c r="B1747" s="133" t="s">
        <v>424</v>
      </c>
      <c r="C1747" s="133" t="s">
        <v>1265</v>
      </c>
      <c r="D1747" s="133" t="s">
        <v>481</v>
      </c>
      <c r="E1747" s="158">
        <v>9</v>
      </c>
      <c r="F1747" s="158">
        <v>11</v>
      </c>
      <c r="G1747" s="158">
        <v>2</v>
      </c>
      <c r="H1747" s="133" t="s">
        <v>1266</v>
      </c>
      <c r="I1747" s="133" t="s">
        <v>615</v>
      </c>
      <c r="J1747" s="158">
        <v>0</v>
      </c>
      <c r="K1747" s="159" t="str">
        <f ca="1">IFERROR(__xludf.DUMMYFUNCTION("GOOGLETRANSLATE(H1747,""th"",""en"")"),"Net Amount of Vat Product (VAT)")</f>
        <v>Net Amount of Vat Product (VAT)</v>
      </c>
    </row>
    <row r="1748" spans="1:14" ht="15.75" hidden="1" customHeight="1">
      <c r="A1748" s="133" t="s">
        <v>7</v>
      </c>
      <c r="B1748" s="133" t="s">
        <v>424</v>
      </c>
      <c r="C1748" s="133" t="s">
        <v>1267</v>
      </c>
      <c r="D1748" s="133" t="s">
        <v>481</v>
      </c>
      <c r="E1748" s="158">
        <v>9</v>
      </c>
      <c r="F1748" s="158">
        <v>11</v>
      </c>
      <c r="G1748" s="158">
        <v>2</v>
      </c>
      <c r="H1748" s="133" t="s">
        <v>1268</v>
      </c>
      <c r="I1748" s="133" t="s">
        <v>615</v>
      </c>
      <c r="J1748" s="158">
        <v>0</v>
      </c>
      <c r="K1748" s="159" t="str">
        <f ca="1">IFERROR(__xludf.DUMMYFUNCTION("GOOGLETRANSLATE(H1748,""th"",""en"")"),"Net Amount of Non Vat Product (Except VAT)")</f>
        <v>Net Amount of Non Vat Product (Except VAT)</v>
      </c>
    </row>
    <row r="1749" spans="1:14" ht="15.75" hidden="1" customHeight="1">
      <c r="A1749" s="133" t="s">
        <v>7</v>
      </c>
      <c r="B1749" s="133" t="s">
        <v>424</v>
      </c>
      <c r="C1749" s="133" t="s">
        <v>2405</v>
      </c>
      <c r="D1749" s="133" t="s">
        <v>477</v>
      </c>
      <c r="E1749" s="158">
        <v>3</v>
      </c>
      <c r="F1749" s="158">
        <v>0</v>
      </c>
      <c r="G1749" s="158">
        <v>0</v>
      </c>
      <c r="H1749" s="133" t="s">
        <v>479</v>
      </c>
      <c r="I1749" s="133" t="s">
        <v>596</v>
      </c>
      <c r="J1749" s="158">
        <v>0</v>
      </c>
      <c r="K1749" s="159" t="str">
        <f ca="1">IFERROR(__xludf.DUMMYFUNCTION("GOOGLETRANSLATE(H1749,""th"",""en"")"),"Null")</f>
        <v>Null</v>
      </c>
    </row>
    <row r="1750" spans="1:14" ht="15.75" hidden="1" customHeight="1">
      <c r="A1750" s="133" t="s">
        <v>7</v>
      </c>
      <c r="B1750" s="133" t="s">
        <v>424</v>
      </c>
      <c r="C1750" s="133" t="s">
        <v>2406</v>
      </c>
      <c r="D1750" s="133" t="s">
        <v>496</v>
      </c>
      <c r="E1750" s="158">
        <v>4</v>
      </c>
      <c r="F1750" s="158">
        <v>16</v>
      </c>
      <c r="G1750" s="158">
        <v>0</v>
      </c>
      <c r="H1750" s="133" t="s">
        <v>479</v>
      </c>
      <c r="I1750" s="133" t="s">
        <v>548</v>
      </c>
      <c r="J1750" s="158">
        <v>0</v>
      </c>
      <c r="K1750" s="159" t="str">
        <f ca="1">IFERROR(__xludf.DUMMYFUNCTION("GOOGLETRANSLATE(H1750,""th"",""en"")"),"Null")</f>
        <v>Null</v>
      </c>
    </row>
    <row r="1751" spans="1:14" ht="15.75" hidden="1" customHeight="1">
      <c r="A1751" s="133" t="s">
        <v>7</v>
      </c>
      <c r="B1751" s="133" t="s">
        <v>424</v>
      </c>
      <c r="C1751" s="133" t="s">
        <v>2407</v>
      </c>
      <c r="D1751" s="133" t="s">
        <v>477</v>
      </c>
      <c r="E1751" s="158">
        <v>3</v>
      </c>
      <c r="F1751" s="158">
        <v>0</v>
      </c>
      <c r="G1751" s="158">
        <v>0</v>
      </c>
      <c r="H1751" s="133" t="s">
        <v>479</v>
      </c>
      <c r="I1751" s="133" t="s">
        <v>596</v>
      </c>
      <c r="J1751" s="158">
        <v>0</v>
      </c>
      <c r="K1751" s="159" t="str">
        <f ca="1">IFERROR(__xludf.DUMMYFUNCTION("GOOGLETRANSLATE(H1751,""th"",""en"")"),"Null")</f>
        <v>Null</v>
      </c>
    </row>
    <row r="1752" spans="1:14" ht="15.75" hidden="1" customHeight="1">
      <c r="A1752" s="133" t="s">
        <v>7</v>
      </c>
      <c r="B1752" s="133" t="s">
        <v>424</v>
      </c>
      <c r="C1752" s="133" t="s">
        <v>2408</v>
      </c>
      <c r="D1752" s="133" t="s">
        <v>477</v>
      </c>
      <c r="E1752" s="158">
        <v>3</v>
      </c>
      <c r="F1752" s="158">
        <v>0</v>
      </c>
      <c r="G1752" s="158">
        <v>0</v>
      </c>
      <c r="H1752" s="133" t="s">
        <v>479</v>
      </c>
      <c r="I1752" s="133" t="s">
        <v>596</v>
      </c>
      <c r="J1752" s="158">
        <v>0</v>
      </c>
      <c r="K1752" s="159" t="str">
        <f ca="1">IFERROR(__xludf.DUMMYFUNCTION("GOOGLETRANSLATE(H1752,""th"",""en"")"),"Null")</f>
        <v>Null</v>
      </c>
    </row>
    <row r="1753" spans="1:14" ht="15.75" hidden="1" customHeight="1">
      <c r="A1753" s="133" t="s">
        <v>7</v>
      </c>
      <c r="B1753" s="133" t="s">
        <v>424</v>
      </c>
      <c r="C1753" s="133" t="s">
        <v>2409</v>
      </c>
      <c r="D1753" s="133" t="s">
        <v>477</v>
      </c>
      <c r="E1753" s="158">
        <v>20</v>
      </c>
      <c r="F1753" s="158">
        <v>0</v>
      </c>
      <c r="G1753" s="158">
        <v>0</v>
      </c>
      <c r="H1753" s="133" t="s">
        <v>479</v>
      </c>
      <c r="I1753" s="133" t="s">
        <v>548</v>
      </c>
      <c r="J1753" s="158">
        <v>0</v>
      </c>
      <c r="K1753" s="159" t="str">
        <f ca="1">IFERROR(__xludf.DUMMYFUNCTION("GOOGLETRANSLATE(H1753,""th"",""en"")"),"Null")</f>
        <v>Null</v>
      </c>
    </row>
    <row r="1754" spans="1:14" ht="15.75" hidden="1" customHeight="1">
      <c r="A1754" s="161" t="s">
        <v>7</v>
      </c>
      <c r="B1754" s="161" t="s">
        <v>433</v>
      </c>
      <c r="C1754" s="161" t="s">
        <v>2317</v>
      </c>
      <c r="D1754" s="161" t="s">
        <v>477</v>
      </c>
      <c r="E1754" s="162">
        <v>5</v>
      </c>
      <c r="F1754" s="162">
        <v>0</v>
      </c>
      <c r="G1754" s="162">
        <v>0</v>
      </c>
      <c r="H1754" s="161"/>
      <c r="I1754" s="161"/>
      <c r="J1754" s="162">
        <v>0</v>
      </c>
      <c r="K1754" s="163"/>
      <c r="L1754" s="164" t="s">
        <v>2318</v>
      </c>
      <c r="M1754" s="165"/>
      <c r="N1754" s="165"/>
    </row>
    <row r="1755" spans="1:14" ht="15.75" hidden="1" customHeight="1">
      <c r="A1755" s="133" t="s">
        <v>7</v>
      </c>
      <c r="B1755" s="133" t="s">
        <v>433</v>
      </c>
      <c r="C1755" s="133" t="s">
        <v>2410</v>
      </c>
      <c r="D1755" s="133" t="s">
        <v>477</v>
      </c>
      <c r="E1755" s="158">
        <v>12</v>
      </c>
      <c r="F1755" s="158">
        <v>0</v>
      </c>
      <c r="G1755" s="158">
        <v>0</v>
      </c>
      <c r="H1755" s="133" t="s">
        <v>2411</v>
      </c>
      <c r="I1755" s="133" t="s">
        <v>479</v>
      </c>
      <c r="J1755" s="158">
        <v>0</v>
      </c>
      <c r="K1755" s="159" t="str">
        <f ca="1">IFERROR(__xludf.DUMMYFUNCTION("GOOGLETRANSLATE(H1755,""th"",""en"")"),"Invoice number")</f>
        <v>Invoice number</v>
      </c>
    </row>
    <row r="1756" spans="1:14" ht="15.75" hidden="1" customHeight="1">
      <c r="A1756" s="133" t="s">
        <v>7</v>
      </c>
      <c r="B1756" s="133" t="s">
        <v>433</v>
      </c>
      <c r="C1756" s="133" t="s">
        <v>292</v>
      </c>
      <c r="D1756" s="133" t="s">
        <v>484</v>
      </c>
      <c r="E1756" s="158">
        <v>4</v>
      </c>
      <c r="F1756" s="158">
        <v>10</v>
      </c>
      <c r="G1756" s="158">
        <v>0</v>
      </c>
      <c r="H1756" s="133" t="s">
        <v>2412</v>
      </c>
      <c r="I1756" s="133" t="s">
        <v>479</v>
      </c>
      <c r="J1756" s="158">
        <v>0</v>
      </c>
      <c r="K1756" s="159" t="str">
        <f ca="1">IFERROR(__xludf.DUMMYFUNCTION("GOOGLETRANSLATE(H1756,""th"",""en"")"),"No. (Product code sequence in the DL (Delivery Note)")</f>
        <v>No. (Product code sequence in the DL (Delivery Note)</v>
      </c>
    </row>
    <row r="1757" spans="1:14" ht="15.75" hidden="1" customHeight="1">
      <c r="A1757" s="133" t="s">
        <v>7</v>
      </c>
      <c r="B1757" s="133" t="s">
        <v>433</v>
      </c>
      <c r="C1757" s="133" t="s">
        <v>253</v>
      </c>
      <c r="D1757" s="133" t="s">
        <v>477</v>
      </c>
      <c r="E1757" s="158">
        <v>7</v>
      </c>
      <c r="F1757" s="158">
        <v>0</v>
      </c>
      <c r="G1757" s="158">
        <v>0</v>
      </c>
      <c r="H1757" s="133" t="s">
        <v>1130</v>
      </c>
      <c r="I1757" s="133" t="s">
        <v>479</v>
      </c>
      <c r="J1757" s="158">
        <v>1</v>
      </c>
      <c r="K1757" s="159" t="str">
        <f ca="1">IFERROR(__xludf.DUMMYFUNCTION("GOOGLETRANSLATE(H1757,""th"",""en"")"),"Product code")</f>
        <v>Product code</v>
      </c>
    </row>
    <row r="1758" spans="1:14" ht="15.75" hidden="1" customHeight="1">
      <c r="A1758" s="133" t="s">
        <v>7</v>
      </c>
      <c r="B1758" s="133" t="s">
        <v>433</v>
      </c>
      <c r="C1758" s="133" t="s">
        <v>2413</v>
      </c>
      <c r="D1758" s="133" t="s">
        <v>477</v>
      </c>
      <c r="E1758" s="158">
        <v>1</v>
      </c>
      <c r="F1758" s="158">
        <v>0</v>
      </c>
      <c r="G1758" s="158">
        <v>0</v>
      </c>
      <c r="H1758" s="133" t="s">
        <v>960</v>
      </c>
      <c r="I1758" s="133" t="s">
        <v>479</v>
      </c>
      <c r="J1758" s="158">
        <v>1</v>
      </c>
      <c r="K1758" s="159" t="str">
        <f ca="1">IFERROR(__xludf.DUMMYFUNCTION("GOOGLETRANSLATE(H1758,""th"",""en"")"),"Quit")</f>
        <v>Quit</v>
      </c>
    </row>
    <row r="1759" spans="1:14" ht="15.75" hidden="1" customHeight="1">
      <c r="A1759" s="133" t="s">
        <v>7</v>
      </c>
      <c r="B1759" s="133" t="s">
        <v>433</v>
      </c>
      <c r="C1759" s="133" t="s">
        <v>2321</v>
      </c>
      <c r="D1759" s="133" t="s">
        <v>477</v>
      </c>
      <c r="E1759" s="158">
        <v>55</v>
      </c>
      <c r="F1759" s="158">
        <v>0</v>
      </c>
      <c r="G1759" s="158">
        <v>0</v>
      </c>
      <c r="H1759" s="133" t="s">
        <v>1132</v>
      </c>
      <c r="I1759" s="133" t="s">
        <v>479</v>
      </c>
      <c r="J1759" s="158">
        <v>1</v>
      </c>
      <c r="K1759" s="159" t="str">
        <f ca="1">IFERROR(__xludf.DUMMYFUNCTION("GOOGLETRANSLATE(H1759,""th"",""en"")"),"Product name")</f>
        <v>Product name</v>
      </c>
    </row>
    <row r="1760" spans="1:14" ht="15.75" hidden="1" customHeight="1">
      <c r="A1760" s="133" t="s">
        <v>7</v>
      </c>
      <c r="B1760" s="133" t="s">
        <v>433</v>
      </c>
      <c r="C1760" s="133" t="s">
        <v>1133</v>
      </c>
      <c r="D1760" s="133" t="s">
        <v>477</v>
      </c>
      <c r="E1760" s="158">
        <v>7</v>
      </c>
      <c r="F1760" s="158">
        <v>0</v>
      </c>
      <c r="G1760" s="158">
        <v>0</v>
      </c>
      <c r="H1760" s="133" t="s">
        <v>2414</v>
      </c>
      <c r="I1760" s="133" t="s">
        <v>479</v>
      </c>
      <c r="J1760" s="158">
        <v>1</v>
      </c>
      <c r="K1760" s="159" t="str">
        <f ca="1">IFERROR(__xludf.DUMMYFUNCTION("GOOGLETRANSLATE(H1760,""th"",""en"")"),"Product Storage Code")</f>
        <v>Product Storage Code</v>
      </c>
    </row>
    <row r="1761" spans="1:11" ht="15.75" hidden="1" customHeight="1">
      <c r="A1761" s="133" t="s">
        <v>7</v>
      </c>
      <c r="B1761" s="133" t="s">
        <v>433</v>
      </c>
      <c r="C1761" s="133" t="s">
        <v>2415</v>
      </c>
      <c r="D1761" s="133" t="s">
        <v>481</v>
      </c>
      <c r="E1761" s="158">
        <v>9</v>
      </c>
      <c r="F1761" s="158">
        <v>11</v>
      </c>
      <c r="G1761" s="158">
        <v>2</v>
      </c>
      <c r="H1761" s="133" t="s">
        <v>2416</v>
      </c>
      <c r="I1761" s="133" t="s">
        <v>479</v>
      </c>
      <c r="J1761" s="158">
        <v>1</v>
      </c>
      <c r="K1761" s="159" t="str">
        <f ca="1">IFERROR(__xludf.DUMMYFUNCTION("GOOGLETRANSLATE(H1761,""th"",""en"")"),"Product number")</f>
        <v>Product number</v>
      </c>
    </row>
    <row r="1762" spans="1:11" ht="15.75" hidden="1" customHeight="1">
      <c r="A1762" s="133" t="s">
        <v>7</v>
      </c>
      <c r="B1762" s="133" t="s">
        <v>433</v>
      </c>
      <c r="C1762" s="133" t="s">
        <v>1137</v>
      </c>
      <c r="D1762" s="133" t="s">
        <v>481</v>
      </c>
      <c r="E1762" s="158">
        <v>9</v>
      </c>
      <c r="F1762" s="158">
        <v>11</v>
      </c>
      <c r="G1762" s="158">
        <v>2</v>
      </c>
      <c r="H1762" s="133" t="s">
        <v>2417</v>
      </c>
      <c r="I1762" s="133" t="s">
        <v>479</v>
      </c>
      <c r="J1762" s="158">
        <v>1</v>
      </c>
      <c r="K1762" s="159" t="str">
        <f ca="1">IFERROR(__xludf.DUMMYFUNCTION("GOOGLETRANSLATE(H1762,""th"",""en"")"),"Unit")</f>
        <v>Unit</v>
      </c>
    </row>
    <row r="1763" spans="1:11" ht="15.75" hidden="1" customHeight="1">
      <c r="A1763" s="133" t="s">
        <v>7</v>
      </c>
      <c r="B1763" s="133" t="s">
        <v>433</v>
      </c>
      <c r="C1763" s="133" t="s">
        <v>2418</v>
      </c>
      <c r="D1763" s="133" t="s">
        <v>481</v>
      </c>
      <c r="E1763" s="158">
        <v>5</v>
      </c>
      <c r="F1763" s="158">
        <v>4</v>
      </c>
      <c r="G1763" s="158">
        <v>2</v>
      </c>
      <c r="H1763" s="133" t="s">
        <v>2419</v>
      </c>
      <c r="I1763" s="133" t="s">
        <v>479</v>
      </c>
      <c r="J1763" s="158">
        <v>1</v>
      </c>
      <c r="K1763" s="159" t="str">
        <f ca="1">IFERROR(__xludf.DUMMYFUNCTION("GOOGLETRANSLATE(H1763,""th"",""en"")"),"The discount rate is%")</f>
        <v>The discount rate is%</v>
      </c>
    </row>
    <row r="1764" spans="1:11" ht="15.75" hidden="1" customHeight="1">
      <c r="A1764" s="133" t="s">
        <v>7</v>
      </c>
      <c r="B1764" s="133" t="s">
        <v>433</v>
      </c>
      <c r="C1764" s="133" t="s">
        <v>1195</v>
      </c>
      <c r="D1764" s="133" t="s">
        <v>481</v>
      </c>
      <c r="E1764" s="158">
        <v>9</v>
      </c>
      <c r="F1764" s="158">
        <v>11</v>
      </c>
      <c r="G1764" s="158">
        <v>2</v>
      </c>
      <c r="H1764" s="133" t="s">
        <v>2420</v>
      </c>
      <c r="I1764" s="133" t="s">
        <v>479</v>
      </c>
      <c r="J1764" s="158">
        <v>1</v>
      </c>
      <c r="K1764" s="159" t="str">
        <f ca="1">IFERROR(__xludf.DUMMYFUNCTION("GOOGLETRANSLATE(H1764,""th"",""en"")"),"Reduced amount (All line Non-unit)")</f>
        <v>Reduced amount (All line Non-unit)</v>
      </c>
    </row>
    <row r="1765" spans="1:11" ht="15.75" hidden="1" customHeight="1">
      <c r="A1765" s="133" t="s">
        <v>7</v>
      </c>
      <c r="B1765" s="133" t="s">
        <v>433</v>
      </c>
      <c r="C1765" s="133" t="s">
        <v>2421</v>
      </c>
      <c r="D1765" s="133" t="s">
        <v>477</v>
      </c>
      <c r="E1765" s="158">
        <v>7</v>
      </c>
      <c r="F1765" s="158">
        <v>0</v>
      </c>
      <c r="G1765" s="158">
        <v>0</v>
      </c>
      <c r="H1765" s="133" t="s">
        <v>1396</v>
      </c>
      <c r="I1765" s="133" t="s">
        <v>479</v>
      </c>
      <c r="J1765" s="158">
        <v>1</v>
      </c>
      <c r="K1765" s="159" t="str">
        <f ca="1">IFERROR(__xludf.DUMMYFUNCTION("GOOGLETRANSLATE(H1765,""th"",""en"")"),"Sales unit")</f>
        <v>Sales unit</v>
      </c>
    </row>
    <row r="1766" spans="1:11" ht="15.75" hidden="1" customHeight="1">
      <c r="A1766" s="133" t="s">
        <v>7</v>
      </c>
      <c r="B1766" s="133" t="s">
        <v>433</v>
      </c>
      <c r="C1766" s="133" t="s">
        <v>1141</v>
      </c>
      <c r="D1766" s="133" t="s">
        <v>477</v>
      </c>
      <c r="E1766" s="158">
        <v>7</v>
      </c>
      <c r="F1766" s="158">
        <v>0</v>
      </c>
      <c r="G1766" s="158">
        <v>0</v>
      </c>
      <c r="H1766" s="133" t="s">
        <v>2422</v>
      </c>
      <c r="I1766" s="133" t="s">
        <v>479</v>
      </c>
      <c r="J1766" s="158">
        <v>1</v>
      </c>
      <c r="K1766" s="159" t="str">
        <f ca="1">IFERROR(__xludf.DUMMYFUNCTION("GOOGLETRANSLATE(H1766,""th"",""en"")"),"Standard unit")</f>
        <v>Standard unit</v>
      </c>
    </row>
    <row r="1767" spans="1:11" ht="15.75" hidden="1" customHeight="1">
      <c r="A1767" s="133" t="s">
        <v>7</v>
      </c>
      <c r="B1767" s="133" t="s">
        <v>433</v>
      </c>
      <c r="C1767" s="133" t="s">
        <v>1143</v>
      </c>
      <c r="D1767" s="133" t="s">
        <v>484</v>
      </c>
      <c r="E1767" s="158">
        <v>4</v>
      </c>
      <c r="F1767" s="158">
        <v>10</v>
      </c>
      <c r="G1767" s="158">
        <v>0</v>
      </c>
      <c r="H1767" s="133" t="s">
        <v>1144</v>
      </c>
      <c r="I1767" s="133" t="s">
        <v>479</v>
      </c>
      <c r="J1767" s="158">
        <v>1</v>
      </c>
      <c r="K1767" s="159" t="str">
        <f ca="1">IFERROR(__xludf.DUMMYFUNCTION("GOOGLETRANSLATE(H1767,""th"",""en"")"),"Unit conversion multiplier")</f>
        <v>Unit conversion multiplier</v>
      </c>
    </row>
    <row r="1768" spans="1:11" ht="15.75" hidden="1" customHeight="1">
      <c r="A1768" s="133" t="s">
        <v>7</v>
      </c>
      <c r="B1768" s="133" t="s">
        <v>433</v>
      </c>
      <c r="C1768" s="133" t="s">
        <v>1145</v>
      </c>
      <c r="D1768" s="133" t="s">
        <v>481</v>
      </c>
      <c r="E1768" s="158">
        <v>9</v>
      </c>
      <c r="F1768" s="158">
        <v>11</v>
      </c>
      <c r="G1768" s="158">
        <v>2</v>
      </c>
      <c r="H1768" s="133" t="s">
        <v>2423</v>
      </c>
      <c r="I1768" s="133" t="s">
        <v>479</v>
      </c>
      <c r="J1768" s="158">
        <v>1</v>
      </c>
      <c r="K1768" s="159" t="str">
        <f ca="1">IFERROR(__xludf.DUMMYFUNCTION("GOOGLETRANSLATE(H1768,""th"",""en"")"),"Product number x Unit conversion multiplier = standard number")</f>
        <v>Product number x Unit conversion multiplier = standard number</v>
      </c>
    </row>
    <row r="1769" spans="1:11" ht="15.75" hidden="1" customHeight="1">
      <c r="A1769" s="133" t="s">
        <v>7</v>
      </c>
      <c r="B1769" s="133" t="s">
        <v>433</v>
      </c>
      <c r="C1769" s="133" t="s">
        <v>1147</v>
      </c>
      <c r="D1769" s="133" t="s">
        <v>481</v>
      </c>
      <c r="E1769" s="158">
        <v>9</v>
      </c>
      <c r="F1769" s="158">
        <v>11</v>
      </c>
      <c r="G1769" s="158">
        <v>2</v>
      </c>
      <c r="H1769" s="133" t="s">
        <v>2424</v>
      </c>
      <c r="I1769" s="133" t="s">
        <v>479</v>
      </c>
      <c r="J1769" s="158">
        <v>1</v>
      </c>
      <c r="K1769" s="159" t="str">
        <f ca="1">IFERROR(__xludf.DUMMYFUNCTION("GOOGLETRANSLATE(H1769,""th"",""en"")"),"The average cost of the product")</f>
        <v>The average cost of the product</v>
      </c>
    </row>
    <row r="1770" spans="1:11" ht="15.75" hidden="1" customHeight="1">
      <c r="A1770" s="133" t="s">
        <v>7</v>
      </c>
      <c r="B1770" s="133" t="s">
        <v>433</v>
      </c>
      <c r="C1770" s="133" t="s">
        <v>811</v>
      </c>
      <c r="D1770" s="133" t="s">
        <v>477</v>
      </c>
      <c r="E1770" s="158">
        <v>1</v>
      </c>
      <c r="F1770" s="158">
        <v>0</v>
      </c>
      <c r="G1770" s="158">
        <v>0</v>
      </c>
      <c r="H1770" s="133" t="s">
        <v>2425</v>
      </c>
      <c r="I1770" s="133" t="s">
        <v>479</v>
      </c>
      <c r="J1770" s="158">
        <v>1</v>
      </c>
      <c r="K1770" s="159" t="str">
        <f ca="1">IFERROR(__xludf.DUMMYFUNCTION("GOOGLETRANSLATE(H1770,""th"",""en"")"),"Disable (the system is running out)")</f>
        <v>Disable (the system is running out)</v>
      </c>
    </row>
    <row r="1771" spans="1:11" ht="15.75" hidden="1" customHeight="1">
      <c r="A1771" s="133" t="s">
        <v>7</v>
      </c>
      <c r="B1771" s="133" t="s">
        <v>433</v>
      </c>
      <c r="C1771" s="133" t="s">
        <v>2426</v>
      </c>
      <c r="D1771" s="133" t="s">
        <v>481</v>
      </c>
      <c r="E1771" s="158">
        <v>9</v>
      </c>
      <c r="F1771" s="158">
        <v>11</v>
      </c>
      <c r="G1771" s="158">
        <v>2</v>
      </c>
      <c r="H1771" s="133" t="s">
        <v>2427</v>
      </c>
      <c r="I1771" s="133" t="s">
        <v>479</v>
      </c>
      <c r="J1771" s="158">
        <v>1</v>
      </c>
      <c r="K1771" s="159" t="str">
        <f ca="1">IFERROR(__xludf.DUMMYFUNCTION("GOOGLETRANSLATE(H1771,""th"",""en"")"),"Number of products")</f>
        <v>Number of products</v>
      </c>
    </row>
    <row r="1772" spans="1:11" ht="15.75" hidden="1" customHeight="1">
      <c r="A1772" s="133" t="s">
        <v>7</v>
      </c>
      <c r="B1772" s="133" t="s">
        <v>433</v>
      </c>
      <c r="C1772" s="133" t="s">
        <v>2428</v>
      </c>
      <c r="D1772" s="133" t="s">
        <v>477</v>
      </c>
      <c r="E1772" s="158">
        <v>7</v>
      </c>
      <c r="F1772" s="158">
        <v>0</v>
      </c>
      <c r="G1772" s="158">
        <v>0</v>
      </c>
      <c r="H1772" s="133" t="s">
        <v>2429</v>
      </c>
      <c r="I1772" s="133" t="s">
        <v>479</v>
      </c>
      <c r="J1772" s="158">
        <v>1</v>
      </c>
      <c r="K1772" s="159" t="str">
        <f ca="1">IFERROR(__xludf.DUMMYFUNCTION("GOOGLETRANSLATE(H1772,""th"",""en"")"),"Quit usage")</f>
        <v>Quit usage</v>
      </c>
    </row>
    <row r="1773" spans="1:11" ht="15.75" hidden="1" customHeight="1">
      <c r="A1773" s="133" t="s">
        <v>7</v>
      </c>
      <c r="B1773" s="133" t="s">
        <v>433</v>
      </c>
      <c r="C1773" s="133" t="s">
        <v>523</v>
      </c>
      <c r="D1773" s="133" t="s">
        <v>477</v>
      </c>
      <c r="E1773" s="158">
        <v>8</v>
      </c>
      <c r="F1773" s="158">
        <v>0</v>
      </c>
      <c r="G1773" s="158">
        <v>0</v>
      </c>
      <c r="H1773" s="133" t="s">
        <v>734</v>
      </c>
      <c r="I1773" s="133" t="s">
        <v>479</v>
      </c>
      <c r="J1773" s="158">
        <v>1</v>
      </c>
      <c r="K1773" s="159" t="str">
        <f ca="1">IFERROR(__xludf.DUMMYFUNCTION("GOOGLETRANSLATE(H1773,""th"",""en"")"),"Creator name")</f>
        <v>Creator name</v>
      </c>
    </row>
    <row r="1774" spans="1:11" ht="15.75" hidden="1" customHeight="1">
      <c r="A1774" s="133" t="s">
        <v>7</v>
      </c>
      <c r="B1774" s="133" t="s">
        <v>433</v>
      </c>
      <c r="C1774" s="133" t="s">
        <v>669</v>
      </c>
      <c r="D1774" s="133" t="s">
        <v>496</v>
      </c>
      <c r="E1774" s="158">
        <v>4</v>
      </c>
      <c r="F1774" s="158">
        <v>16</v>
      </c>
      <c r="G1774" s="158">
        <v>0</v>
      </c>
      <c r="H1774" s="133" t="s">
        <v>735</v>
      </c>
      <c r="I1774" s="133" t="s">
        <v>479</v>
      </c>
      <c r="J1774" s="158">
        <v>1</v>
      </c>
      <c r="K1774" s="159" t="str">
        <f ca="1">IFERROR(__xludf.DUMMYFUNCTION("GOOGLETRANSLATE(H1774,""th"",""en"")"),"Date created")</f>
        <v>Date created</v>
      </c>
    </row>
    <row r="1775" spans="1:11" ht="15.75" hidden="1" customHeight="1">
      <c r="A1775" s="133" t="s">
        <v>7</v>
      </c>
      <c r="B1775" s="133" t="s">
        <v>433</v>
      </c>
      <c r="C1775" s="133" t="s">
        <v>670</v>
      </c>
      <c r="D1775" s="133" t="s">
        <v>477</v>
      </c>
      <c r="E1775" s="158">
        <v>8</v>
      </c>
      <c r="F1775" s="158">
        <v>0</v>
      </c>
      <c r="G1775" s="158">
        <v>0</v>
      </c>
      <c r="H1775" s="133" t="s">
        <v>871</v>
      </c>
      <c r="I1775" s="133" t="s">
        <v>479</v>
      </c>
      <c r="J1775" s="158">
        <v>1</v>
      </c>
      <c r="K1775" s="159" t="str">
        <f ca="1">IFERROR(__xludf.DUMMYFUNCTION("GOOGLETRANSLATE(H1775,""th"",""en"")"),"Last edited name")</f>
        <v>Last edited name</v>
      </c>
    </row>
    <row r="1776" spans="1:11" ht="15.75" hidden="1" customHeight="1">
      <c r="A1776" s="133" t="s">
        <v>7</v>
      </c>
      <c r="B1776" s="133" t="s">
        <v>433</v>
      </c>
      <c r="C1776" s="133" t="s">
        <v>215</v>
      </c>
      <c r="D1776" s="133" t="s">
        <v>496</v>
      </c>
      <c r="E1776" s="158">
        <v>4</v>
      </c>
      <c r="F1776" s="158">
        <v>16</v>
      </c>
      <c r="G1776" s="158">
        <v>0</v>
      </c>
      <c r="H1776" s="133" t="s">
        <v>872</v>
      </c>
      <c r="I1776" s="133" t="s">
        <v>479</v>
      </c>
      <c r="J1776" s="158">
        <v>1</v>
      </c>
      <c r="K1776" s="159" t="str">
        <f ca="1">IFERROR(__xludf.DUMMYFUNCTION("GOOGLETRANSLATE(H1776,""th"",""en"")"),"Last modified date")</f>
        <v>Last modified date</v>
      </c>
    </row>
    <row r="1777" spans="1:11" ht="15.75" hidden="1" customHeight="1">
      <c r="A1777" s="133" t="s">
        <v>7</v>
      </c>
      <c r="B1777" s="133" t="s">
        <v>433</v>
      </c>
      <c r="C1777" s="133" t="s">
        <v>1151</v>
      </c>
      <c r="D1777" s="133" t="s">
        <v>491</v>
      </c>
      <c r="E1777" s="158">
        <v>1</v>
      </c>
      <c r="F1777" s="158">
        <v>0</v>
      </c>
      <c r="G1777" s="158">
        <v>0</v>
      </c>
      <c r="H1777" s="133" t="s">
        <v>2430</v>
      </c>
      <c r="I1777" s="133" t="s">
        <v>479</v>
      </c>
      <c r="J1777" s="158">
        <v>1</v>
      </c>
      <c r="K1777" s="159" t="str">
        <f ca="1">IFERROR(__xludf.DUMMYFUNCTION("GOOGLETRANSLATE(H1777,""th"",""en"")"),"This detail is the sale of the product from the stock product or not. (But so is the sale of all stock products. This value is all)")</f>
        <v>This detail is the sale of the product from the stock product or not. (But so is the sale of all stock products. This value is all)</v>
      </c>
    </row>
    <row r="1778" spans="1:11" ht="15.75" hidden="1" customHeight="1">
      <c r="A1778" s="133" t="s">
        <v>7</v>
      </c>
      <c r="B1778" s="133" t="s">
        <v>433</v>
      </c>
      <c r="C1778" s="133" t="s">
        <v>1153</v>
      </c>
      <c r="D1778" s="133" t="s">
        <v>491</v>
      </c>
      <c r="E1778" s="158">
        <v>1</v>
      </c>
      <c r="F1778" s="158">
        <v>0</v>
      </c>
      <c r="G1778" s="158">
        <v>0</v>
      </c>
      <c r="H1778" s="133" t="s">
        <v>2431</v>
      </c>
      <c r="I1778" s="133" t="s">
        <v>479</v>
      </c>
      <c r="J1778" s="158">
        <v>1</v>
      </c>
      <c r="K1778" s="159" t="str">
        <f ca="1">IFERROR(__xludf.DUMMYFUNCTION("GOOGLETRANSLATE(H1778,""th"",""en"")"),"Set to display on the document, y = show, n = not showing")</f>
        <v>Set to display on the document, y = show, n = not showing</v>
      </c>
    </row>
    <row r="1779" spans="1:11" ht="15.75" hidden="1" customHeight="1">
      <c r="A1779" s="133" t="s">
        <v>7</v>
      </c>
      <c r="B1779" s="133" t="s">
        <v>433</v>
      </c>
      <c r="C1779" s="133" t="s">
        <v>2336</v>
      </c>
      <c r="D1779" s="133" t="s">
        <v>477</v>
      </c>
      <c r="E1779" s="158">
        <v>3</v>
      </c>
      <c r="F1779" s="158">
        <v>0</v>
      </c>
      <c r="G1779" s="158">
        <v>0</v>
      </c>
      <c r="H1779" s="133" t="s">
        <v>2432</v>
      </c>
      <c r="I1779" s="133" t="s">
        <v>479</v>
      </c>
      <c r="J1779" s="158">
        <v>1</v>
      </c>
      <c r="K1779" s="159" t="str">
        <f ca="1">IFERROR(__xludf.DUMMYFUNCTION("GOOGLETRANSLATE(H1779,""th"",""en"")"),"Is a free product [Y, N]")</f>
        <v>Is a free product [Y, N]</v>
      </c>
    </row>
    <row r="1780" spans="1:11" ht="15.75" hidden="1" customHeight="1">
      <c r="A1780" s="133" t="s">
        <v>7</v>
      </c>
      <c r="B1780" s="133" t="s">
        <v>433</v>
      </c>
      <c r="C1780" s="133" t="s">
        <v>2433</v>
      </c>
      <c r="D1780" s="133" t="s">
        <v>477</v>
      </c>
      <c r="E1780" s="158">
        <v>3</v>
      </c>
      <c r="F1780" s="158">
        <v>0</v>
      </c>
      <c r="G1780" s="158">
        <v>0</v>
      </c>
      <c r="H1780" s="133" t="s">
        <v>2434</v>
      </c>
      <c r="I1780" s="133" t="s">
        <v>596</v>
      </c>
      <c r="J1780" s="158">
        <v>0</v>
      </c>
      <c r="K1780" s="159" t="str">
        <f ca="1">IFERROR(__xludf.DUMMYFUNCTION("GOOGLETRANSLATE(H1780,""th"",""en"")"),"Flag of QC status y = yes, n = no, s = star products")</f>
        <v>Flag of QC status y = yes, n = no, s = star products</v>
      </c>
    </row>
    <row r="1781" spans="1:11" ht="15.75" hidden="1" customHeight="1">
      <c r="A1781" s="133" t="s">
        <v>7</v>
      </c>
      <c r="B1781" s="133" t="s">
        <v>433</v>
      </c>
      <c r="C1781" s="133" t="s">
        <v>2435</v>
      </c>
      <c r="D1781" s="133" t="s">
        <v>477</v>
      </c>
      <c r="E1781" s="158">
        <v>3</v>
      </c>
      <c r="F1781" s="158">
        <v>0</v>
      </c>
      <c r="G1781" s="158">
        <v>0</v>
      </c>
      <c r="H1781" s="133" t="s">
        <v>2436</v>
      </c>
      <c r="I1781" s="133" t="s">
        <v>479</v>
      </c>
      <c r="J1781" s="158">
        <v>1</v>
      </c>
      <c r="K1781" s="159" t="str">
        <f ca="1">IFERROR(__xludf.DUMMYFUNCTION("GOOGLETRANSLATE(H1781,""th"",""en"")"),"Best Deal Product Flag (Y: YES, N: NO)")</f>
        <v>Best Deal Product Flag (Y: YES, N: NO)</v>
      </c>
    </row>
    <row r="1782" spans="1:11" ht="15.75" hidden="1" customHeight="1">
      <c r="A1782" s="133" t="s">
        <v>7</v>
      </c>
      <c r="B1782" s="133" t="s">
        <v>433</v>
      </c>
      <c r="C1782" s="133" t="s">
        <v>2437</v>
      </c>
      <c r="D1782" s="133" t="s">
        <v>491</v>
      </c>
      <c r="E1782" s="158">
        <v>1</v>
      </c>
      <c r="F1782" s="158">
        <v>0</v>
      </c>
      <c r="G1782" s="158">
        <v>0</v>
      </c>
      <c r="H1782" s="133" t="s">
        <v>2438</v>
      </c>
      <c r="I1782" s="133" t="s">
        <v>548</v>
      </c>
      <c r="J1782" s="158">
        <v>0</v>
      </c>
      <c r="K1782" s="159" t="str">
        <f ca="1">IFERROR(__xludf.DUMMYFUNCTION("GOOGLETRANSLATE(H1782,""th"",""en"")"),"Product Type (C: Computer, F: Fumiture, O: Office Automation, T: Trendy)")</f>
        <v>Product Type (C: Computer, F: Fumiture, O: Office Automation, T: Trendy)</v>
      </c>
    </row>
    <row r="1783" spans="1:11" ht="15.75" hidden="1" customHeight="1">
      <c r="A1783" s="133" t="s">
        <v>7</v>
      </c>
      <c r="B1783" s="133" t="s">
        <v>433</v>
      </c>
      <c r="C1783" s="133" t="s">
        <v>1206</v>
      </c>
      <c r="D1783" s="133" t="s">
        <v>477</v>
      </c>
      <c r="E1783" s="158">
        <v>3</v>
      </c>
      <c r="F1783" s="158">
        <v>0</v>
      </c>
      <c r="G1783" s="158">
        <v>0</v>
      </c>
      <c r="H1783" s="133" t="s">
        <v>2439</v>
      </c>
      <c r="I1783" s="133" t="s">
        <v>548</v>
      </c>
      <c r="J1783" s="158">
        <v>1</v>
      </c>
      <c r="K1783" s="159" t="str">
        <f ca="1">IFERROR(__xludf.DUMMYFUNCTION("GOOGLETRANSLATE(H1783,""th"",""en"")"),"Vat Flag of Product")</f>
        <v>Vat Flag of Product</v>
      </c>
    </row>
    <row r="1784" spans="1:11" ht="15.75" hidden="1" customHeight="1">
      <c r="A1784" s="133" t="s">
        <v>7</v>
      </c>
      <c r="B1784" s="133" t="s">
        <v>433</v>
      </c>
      <c r="C1784" s="133" t="s">
        <v>663</v>
      </c>
      <c r="D1784" s="133" t="s">
        <v>481</v>
      </c>
      <c r="E1784" s="158">
        <v>5</v>
      </c>
      <c r="F1784" s="158">
        <v>9</v>
      </c>
      <c r="G1784" s="158">
        <v>2</v>
      </c>
      <c r="H1784" s="133" t="s">
        <v>479</v>
      </c>
      <c r="I1784" s="133" t="s">
        <v>615</v>
      </c>
      <c r="J1784" s="158">
        <v>0</v>
      </c>
      <c r="K1784" s="159" t="str">
        <f ca="1">IFERROR(__xludf.DUMMYFUNCTION("GOOGLETRANSLATE(H1784,""th"",""en"")"),"Null")</f>
        <v>Null</v>
      </c>
    </row>
    <row r="1785" spans="1:11" ht="15.75" hidden="1" customHeight="1">
      <c r="A1785" s="133" t="s">
        <v>7</v>
      </c>
      <c r="B1785" s="133" t="s">
        <v>433</v>
      </c>
      <c r="C1785" s="133" t="s">
        <v>2440</v>
      </c>
      <c r="D1785" s="133" t="s">
        <v>481</v>
      </c>
      <c r="E1785" s="158">
        <v>5</v>
      </c>
      <c r="F1785" s="158">
        <v>9</v>
      </c>
      <c r="G1785" s="158">
        <v>2</v>
      </c>
      <c r="H1785" s="133" t="s">
        <v>2441</v>
      </c>
      <c r="I1785" s="133" t="s">
        <v>615</v>
      </c>
      <c r="J1785" s="158">
        <v>0</v>
      </c>
      <c r="K1785" s="159" t="str">
        <f ca="1">IFERROR(__xludf.DUMMYFUNCTION("GOOGLETRANSLATE(H1785,""th"",""en"")"),"Include vat product Price \ t")</f>
        <v>Include vat product Price \ t</v>
      </c>
    </row>
    <row r="1786" spans="1:11" ht="15.75" hidden="1" customHeight="1">
      <c r="A1786" s="133" t="s">
        <v>7</v>
      </c>
      <c r="B1786" s="133" t="s">
        <v>433</v>
      </c>
      <c r="C1786" s="133" t="s">
        <v>2442</v>
      </c>
      <c r="D1786" s="133" t="s">
        <v>481</v>
      </c>
      <c r="E1786" s="158">
        <v>5</v>
      </c>
      <c r="F1786" s="158">
        <v>9</v>
      </c>
      <c r="G1786" s="158">
        <v>2</v>
      </c>
      <c r="H1786" s="133" t="s">
        <v>2443</v>
      </c>
      <c r="I1786" s="133" t="s">
        <v>615</v>
      </c>
      <c r="J1786" s="158">
        <v>0</v>
      </c>
      <c r="K1786" s="159" t="str">
        <f ca="1">IFERROR(__xludf.DUMMYFUNCTION("GOOGLETRANSLATE(H1786,""th"",""en"")"),"Deliver Fee (Item)")</f>
        <v>Deliver Fee (Item)</v>
      </c>
    </row>
    <row r="1787" spans="1:11" ht="15.75" hidden="1" customHeight="1">
      <c r="A1787" s="133" t="s">
        <v>7</v>
      </c>
      <c r="B1787" s="133" t="s">
        <v>433</v>
      </c>
      <c r="C1787" s="133" t="s">
        <v>2444</v>
      </c>
      <c r="D1787" s="133" t="s">
        <v>481</v>
      </c>
      <c r="E1787" s="158">
        <v>5</v>
      </c>
      <c r="F1787" s="158">
        <v>9</v>
      </c>
      <c r="G1787" s="158">
        <v>2</v>
      </c>
      <c r="H1787" s="133" t="s">
        <v>2445</v>
      </c>
      <c r="I1787" s="133" t="s">
        <v>615</v>
      </c>
      <c r="J1787" s="158">
        <v>0</v>
      </c>
      <c r="K1787" s="159" t="str">
        <f ca="1">IFERROR(__xludf.DUMMYFUNCTION("GOOGLETRANSLATE(H1787,""th"",""en"")"),"Collect discounts that are the amount of Voucher By Item")</f>
        <v>Collect discounts that are the amount of Voucher By Item</v>
      </c>
    </row>
    <row r="1788" spans="1:11" ht="15.75" hidden="1" customHeight="1">
      <c r="A1788" s="133" t="s">
        <v>7</v>
      </c>
      <c r="B1788" s="133" t="s">
        <v>433</v>
      </c>
      <c r="C1788" s="133" t="s">
        <v>2446</v>
      </c>
      <c r="D1788" s="133" t="s">
        <v>481</v>
      </c>
      <c r="E1788" s="158">
        <v>5</v>
      </c>
      <c r="F1788" s="158">
        <v>5</v>
      </c>
      <c r="G1788" s="158">
        <v>2</v>
      </c>
      <c r="H1788" s="133" t="s">
        <v>2447</v>
      </c>
      <c r="I1788" s="133" t="s">
        <v>615</v>
      </c>
      <c r="J1788" s="158">
        <v>0</v>
      </c>
      <c r="K1788" s="159" t="str">
        <f ca="1">IFERROR(__xludf.DUMMYFUNCTION("GOOGLETRANSLATE(H1788,""th"",""en"")"),"Collect a discount that is the number of voucher by item.")</f>
        <v>Collect a discount that is the number of voucher by item.</v>
      </c>
    </row>
    <row r="1789" spans="1:11" ht="15.75" hidden="1" customHeight="1">
      <c r="A1789" s="133" t="s">
        <v>7</v>
      </c>
      <c r="B1789" s="133" t="s">
        <v>433</v>
      </c>
      <c r="C1789" s="133" t="s">
        <v>2448</v>
      </c>
      <c r="D1789" s="133" t="s">
        <v>481</v>
      </c>
      <c r="E1789" s="158">
        <v>5</v>
      </c>
      <c r="F1789" s="158">
        <v>9</v>
      </c>
      <c r="G1789" s="158">
        <v>2</v>
      </c>
      <c r="H1789" s="133" t="s">
        <v>2449</v>
      </c>
      <c r="I1789" s="133" t="s">
        <v>615</v>
      </c>
      <c r="J1789" s="158">
        <v>0</v>
      </c>
      <c r="K1789" s="159" t="str">
        <f ca="1">IFERROR(__xludf.DUMMYFUNCTION("GOOGLETRANSLATE(H1789,""th"",""en"")"),"Keep the product price including VAT after deducting discounts.")</f>
        <v>Keep the product price including VAT after deducting discounts.</v>
      </c>
    </row>
    <row r="1790" spans="1:11" ht="15.75" hidden="1" customHeight="1">
      <c r="A1790" s="133" t="s">
        <v>7</v>
      </c>
      <c r="B1790" s="133" t="s">
        <v>433</v>
      </c>
      <c r="C1790" s="133" t="s">
        <v>2450</v>
      </c>
      <c r="D1790" s="133" t="s">
        <v>481</v>
      </c>
      <c r="E1790" s="158">
        <v>5</v>
      </c>
      <c r="F1790" s="158">
        <v>9</v>
      </c>
      <c r="G1790" s="158">
        <v>2</v>
      </c>
      <c r="H1790" s="133" t="s">
        <v>2451</v>
      </c>
      <c r="I1790" s="133" t="s">
        <v>615</v>
      </c>
      <c r="J1790" s="158">
        <v>0</v>
      </c>
      <c r="K1790" s="159" t="str">
        <f ca="1">IFERROR(__xludf.DUMMYFUNCTION("GOOGLETRANSLATE(H1790,""th"",""en"")"),"Product prices include VAT")</f>
        <v>Product prices include VAT</v>
      </c>
    </row>
    <row r="1791" spans="1:11" ht="15.75" hidden="1" customHeight="1">
      <c r="A1791" s="133" t="s">
        <v>7</v>
      </c>
      <c r="B1791" s="133" t="s">
        <v>433</v>
      </c>
      <c r="C1791" s="133" t="s">
        <v>2452</v>
      </c>
      <c r="D1791" s="133" t="s">
        <v>481</v>
      </c>
      <c r="E1791" s="158">
        <v>5</v>
      </c>
      <c r="F1791" s="158">
        <v>9</v>
      </c>
      <c r="G1791" s="158">
        <v>2</v>
      </c>
      <c r="H1791" s="133" t="s">
        <v>479</v>
      </c>
      <c r="I1791" s="133" t="s">
        <v>615</v>
      </c>
      <c r="J1791" s="158">
        <v>0</v>
      </c>
      <c r="K1791" s="159" t="str">
        <f ca="1">IFERROR(__xludf.DUMMYFUNCTION("GOOGLETRANSLATE(H1791,""th"",""en"")"),"Null")</f>
        <v>Null</v>
      </c>
    </row>
    <row r="1792" spans="1:11" ht="15.75" hidden="1" customHeight="1">
      <c r="A1792" s="133" t="s">
        <v>7</v>
      </c>
      <c r="B1792" s="133" t="s">
        <v>433</v>
      </c>
      <c r="C1792" s="133" t="s">
        <v>2453</v>
      </c>
      <c r="D1792" s="133" t="s">
        <v>477</v>
      </c>
      <c r="E1792" s="158">
        <v>3</v>
      </c>
      <c r="F1792" s="158">
        <v>0</v>
      </c>
      <c r="G1792" s="158">
        <v>0</v>
      </c>
      <c r="H1792" s="133" t="s">
        <v>479</v>
      </c>
      <c r="I1792" s="133" t="s">
        <v>2454</v>
      </c>
      <c r="J1792" s="158">
        <v>0</v>
      </c>
      <c r="K1792" s="159" t="str">
        <f ca="1">IFERROR(__xludf.DUMMYFUNCTION("GOOGLETRANSLATE(H1792,""th"",""en"")"),"Null")</f>
        <v>Null</v>
      </c>
    </row>
    <row r="1793" spans="1:14" ht="15.75" hidden="1" customHeight="1">
      <c r="A1793" s="133" t="s">
        <v>7</v>
      </c>
      <c r="B1793" s="133" t="s">
        <v>433</v>
      </c>
      <c r="C1793" s="133" t="s">
        <v>2455</v>
      </c>
      <c r="D1793" s="133" t="s">
        <v>484</v>
      </c>
      <c r="E1793" s="158">
        <v>4</v>
      </c>
      <c r="F1793" s="158">
        <v>10</v>
      </c>
      <c r="G1793" s="158">
        <v>0</v>
      </c>
      <c r="H1793" s="133" t="s">
        <v>2456</v>
      </c>
      <c r="I1793" s="133" t="s">
        <v>615</v>
      </c>
      <c r="J1793" s="158">
        <v>0</v>
      </c>
      <c r="K1793" s="159" t="str">
        <f ca="1">IFERROR(__xludf.DUMMYFUNCTION("GOOGLETRANSLATE(H1793,""th"",""en"")"),"Product arrangement")</f>
        <v>Product arrangement</v>
      </c>
    </row>
    <row r="1794" spans="1:14" ht="15.75" hidden="1" customHeight="1">
      <c r="A1794" s="133" t="s">
        <v>7</v>
      </c>
      <c r="B1794" s="133" t="s">
        <v>433</v>
      </c>
      <c r="C1794" s="133" t="s">
        <v>1208</v>
      </c>
      <c r="D1794" s="133" t="s">
        <v>484</v>
      </c>
      <c r="E1794" s="158">
        <v>4</v>
      </c>
      <c r="F1794" s="158">
        <v>10</v>
      </c>
      <c r="G1794" s="158">
        <v>0</v>
      </c>
      <c r="H1794" s="133" t="s">
        <v>1209</v>
      </c>
      <c r="I1794" s="133" t="s">
        <v>1210</v>
      </c>
      <c r="J1794" s="158">
        <v>0</v>
      </c>
      <c r="K1794" s="159" t="str">
        <f ca="1">IFERROR(__xludf.DUMMYFUNCTION("GOOGLETRANSLATE(H1794,""th"",""en"")"),"Keep the channelid of the product that needs to be done. Reserve: [99: None Channel, 18: Center, 19: Global]")</f>
        <v>Keep the channelid of the product that needs to be done. Reserve: [99: None Channel, 18: Center, 19: Global]</v>
      </c>
    </row>
    <row r="1795" spans="1:14" ht="15.75" hidden="1" customHeight="1">
      <c r="A1795" s="161" t="s">
        <v>7</v>
      </c>
      <c r="B1795" s="161" t="s">
        <v>435</v>
      </c>
      <c r="C1795" s="161" t="s">
        <v>2317</v>
      </c>
      <c r="D1795" s="161" t="s">
        <v>477</v>
      </c>
      <c r="E1795" s="162">
        <v>5</v>
      </c>
      <c r="F1795" s="162">
        <v>0</v>
      </c>
      <c r="G1795" s="162">
        <v>0</v>
      </c>
      <c r="H1795" s="161"/>
      <c r="I1795" s="161"/>
      <c r="J1795" s="162">
        <v>0</v>
      </c>
      <c r="K1795" s="163"/>
      <c r="L1795" s="164" t="s">
        <v>2318</v>
      </c>
      <c r="M1795" s="165"/>
      <c r="N1795" s="165"/>
    </row>
    <row r="1796" spans="1:14" ht="15.75" hidden="1" customHeight="1">
      <c r="A1796" s="133" t="s">
        <v>7</v>
      </c>
      <c r="B1796" s="133" t="s">
        <v>435</v>
      </c>
      <c r="C1796" s="133" t="s">
        <v>2410</v>
      </c>
      <c r="D1796" s="133" t="s">
        <v>477</v>
      </c>
      <c r="E1796" s="158">
        <v>12</v>
      </c>
      <c r="F1796" s="158">
        <v>0</v>
      </c>
      <c r="G1796" s="158">
        <v>0</v>
      </c>
      <c r="H1796" s="133" t="s">
        <v>2411</v>
      </c>
      <c r="I1796" s="133" t="s">
        <v>479</v>
      </c>
      <c r="J1796" s="158">
        <v>0</v>
      </c>
      <c r="K1796" s="159" t="str">
        <f ca="1">IFERROR(__xludf.DUMMYFUNCTION("GOOGLETRANSLATE(H1796,""th"",""en"")"),"Invoice number")</f>
        <v>Invoice number</v>
      </c>
    </row>
    <row r="1797" spans="1:14" ht="15.75" hidden="1" customHeight="1">
      <c r="A1797" s="133" t="s">
        <v>7</v>
      </c>
      <c r="B1797" s="133" t="s">
        <v>435</v>
      </c>
      <c r="C1797" s="133" t="s">
        <v>542</v>
      </c>
      <c r="D1797" s="133" t="s">
        <v>496</v>
      </c>
      <c r="E1797" s="158">
        <v>4</v>
      </c>
      <c r="F1797" s="158">
        <v>16</v>
      </c>
      <c r="G1797" s="158">
        <v>0</v>
      </c>
      <c r="H1797" s="133" t="s">
        <v>2457</v>
      </c>
      <c r="I1797" s="133" t="s">
        <v>479</v>
      </c>
      <c r="J1797" s="158">
        <v>1</v>
      </c>
      <c r="K1797" s="159" t="str">
        <f ca="1">IFERROR(__xludf.DUMMYFUNCTION("GOOGLETRANSLATE(H1797,""th"",""en"")"),"Invoice release date")</f>
        <v>Invoice release date</v>
      </c>
    </row>
    <row r="1798" spans="1:14" ht="15.75" hidden="1" customHeight="1">
      <c r="A1798" s="133" t="s">
        <v>7</v>
      </c>
      <c r="B1798" s="133" t="s">
        <v>435</v>
      </c>
      <c r="C1798" s="133" t="s">
        <v>2458</v>
      </c>
      <c r="D1798" s="133" t="s">
        <v>477</v>
      </c>
      <c r="E1798" s="158">
        <v>8</v>
      </c>
      <c r="F1798" s="158">
        <v>0</v>
      </c>
      <c r="G1798" s="158">
        <v>0</v>
      </c>
      <c r="H1798" s="133" t="s">
        <v>2459</v>
      </c>
      <c r="I1798" s="133" t="s">
        <v>479</v>
      </c>
      <c r="J1798" s="158">
        <v>1</v>
      </c>
      <c r="K1798" s="159" t="str">
        <f ca="1">IFERROR(__xludf.DUMMYFUNCTION("GOOGLETRANSLATE(H1798,""th"",""en"")"),"Invoice leaves")</f>
        <v>Invoice leaves</v>
      </c>
    </row>
    <row r="1799" spans="1:14" ht="15.75" hidden="1" customHeight="1">
      <c r="A1799" s="133" t="s">
        <v>7</v>
      </c>
      <c r="B1799" s="133" t="s">
        <v>435</v>
      </c>
      <c r="C1799" s="133" t="s">
        <v>2460</v>
      </c>
      <c r="D1799" s="133" t="s">
        <v>477</v>
      </c>
      <c r="E1799" s="158">
        <v>20</v>
      </c>
      <c r="F1799" s="158">
        <v>0</v>
      </c>
      <c r="G1799" s="158">
        <v>0</v>
      </c>
      <c r="H1799" s="133" t="s">
        <v>2461</v>
      </c>
      <c r="I1799" s="133" t="s">
        <v>479</v>
      </c>
      <c r="J1799" s="158">
        <v>1</v>
      </c>
      <c r="K1799" s="159" t="str">
        <f ca="1">IFERROR(__xludf.DUMMYFUNCTION("GOOGLETRANSLATE(H1799,""th"",""en"")"),"Order number")</f>
        <v>Order number</v>
      </c>
    </row>
    <row r="1800" spans="1:14" ht="15.75" hidden="1" customHeight="1">
      <c r="A1800" s="133" t="s">
        <v>7</v>
      </c>
      <c r="B1800" s="133" t="s">
        <v>435</v>
      </c>
      <c r="C1800" s="133" t="s">
        <v>811</v>
      </c>
      <c r="D1800" s="133" t="s">
        <v>477</v>
      </c>
      <c r="E1800" s="158">
        <v>50</v>
      </c>
      <c r="F1800" s="158">
        <v>0</v>
      </c>
      <c r="G1800" s="158">
        <v>0</v>
      </c>
      <c r="H1800" s="133" t="s">
        <v>2462</v>
      </c>
      <c r="I1800" s="133" t="s">
        <v>479</v>
      </c>
      <c r="J1800" s="158">
        <v>1</v>
      </c>
      <c r="K1800" s="159" t="str">
        <f ca="1">IFERROR(__xludf.DUMMYFUNCTION("GOOGLETRANSLATE(H1800,""th"",""en"")"),"Document status u = Keep into the cabinet at the accounting department, d = delete, i = group to INV, p = be printed, a = relying on not printed")</f>
        <v>Document status u = Keep into the cabinet at the accounting department, d = delete, i = group to INV, p = be printed, a = relying on not printed</v>
      </c>
    </row>
    <row r="1801" spans="1:14" ht="15.75" hidden="1" customHeight="1">
      <c r="A1801" s="133" t="s">
        <v>7</v>
      </c>
      <c r="B1801" s="133" t="s">
        <v>435</v>
      </c>
      <c r="C1801" s="133" t="s">
        <v>1167</v>
      </c>
      <c r="D1801" s="133" t="s">
        <v>477</v>
      </c>
      <c r="E1801" s="158">
        <v>8</v>
      </c>
      <c r="F1801" s="158">
        <v>0</v>
      </c>
      <c r="G1801" s="158">
        <v>0</v>
      </c>
      <c r="H1801" s="133" t="s">
        <v>1292</v>
      </c>
      <c r="I1801" s="133" t="s">
        <v>479</v>
      </c>
      <c r="J1801" s="158">
        <v>0</v>
      </c>
      <c r="K1801" s="159" t="str">
        <f ca="1">IFERROR(__xludf.DUMMYFUNCTION("GOOGLETRANSLATE(H1801,""th"",""en"")"),"Customer code")</f>
        <v>Customer code</v>
      </c>
    </row>
    <row r="1802" spans="1:14" ht="15.75" hidden="1" customHeight="1">
      <c r="A1802" s="133" t="s">
        <v>7</v>
      </c>
      <c r="B1802" s="133" t="s">
        <v>435</v>
      </c>
      <c r="C1802" s="133" t="s">
        <v>557</v>
      </c>
      <c r="D1802" s="133" t="s">
        <v>477</v>
      </c>
      <c r="E1802" s="158">
        <v>100</v>
      </c>
      <c r="F1802" s="158">
        <v>0</v>
      </c>
      <c r="G1802" s="158">
        <v>0</v>
      </c>
      <c r="H1802" s="133" t="s">
        <v>1563</v>
      </c>
      <c r="I1802" s="133" t="s">
        <v>479</v>
      </c>
      <c r="J1802" s="158">
        <v>1</v>
      </c>
      <c r="K1802" s="159" t="str">
        <f ca="1">IFERROR(__xludf.DUMMYFUNCTION("GOOGLETRANSLATE(H1802,""th"",""en"")"),"Customer name")</f>
        <v>Customer name</v>
      </c>
    </row>
    <row r="1803" spans="1:14" ht="15.75" hidden="1" customHeight="1">
      <c r="A1803" s="133" t="s">
        <v>7</v>
      </c>
      <c r="B1803" s="133" t="s">
        <v>435</v>
      </c>
      <c r="C1803" s="133" t="s">
        <v>2355</v>
      </c>
      <c r="D1803" s="133" t="s">
        <v>477</v>
      </c>
      <c r="E1803" s="158">
        <v>55</v>
      </c>
      <c r="F1803" s="158">
        <v>0</v>
      </c>
      <c r="G1803" s="158">
        <v>0</v>
      </c>
      <c r="H1803" s="133" t="s">
        <v>2463</v>
      </c>
      <c r="I1803" s="133" t="s">
        <v>479</v>
      </c>
      <c r="J1803" s="158">
        <v>1</v>
      </c>
      <c r="K1803" s="159" t="str">
        <f ca="1">IFERROR(__xludf.DUMMYFUNCTION("GOOGLETRANSLATE(H1803,""th"",""en"")"),"Invoice address line 1")</f>
        <v>Invoice address line 1</v>
      </c>
    </row>
    <row r="1804" spans="1:14" ht="15.75" hidden="1" customHeight="1">
      <c r="A1804" s="133" t="s">
        <v>7</v>
      </c>
      <c r="B1804" s="133" t="s">
        <v>435</v>
      </c>
      <c r="C1804" s="133" t="s">
        <v>2357</v>
      </c>
      <c r="D1804" s="133" t="s">
        <v>477</v>
      </c>
      <c r="E1804" s="158">
        <v>110</v>
      </c>
      <c r="F1804" s="158">
        <v>0</v>
      </c>
      <c r="G1804" s="158">
        <v>0</v>
      </c>
      <c r="H1804" s="133" t="s">
        <v>2464</v>
      </c>
      <c r="I1804" s="133" t="s">
        <v>479</v>
      </c>
      <c r="J1804" s="158">
        <v>0</v>
      </c>
      <c r="K1804" s="159" t="str">
        <f ca="1">IFERROR(__xludf.DUMMYFUNCTION("GOOGLETRANSLATE(H1804,""th"",""en"")"),"Address Invoice Line 2")</f>
        <v>Address Invoice Line 2</v>
      </c>
    </row>
    <row r="1805" spans="1:14" ht="15.75" hidden="1" customHeight="1">
      <c r="A1805" s="133" t="s">
        <v>7</v>
      </c>
      <c r="B1805" s="133" t="s">
        <v>435</v>
      </c>
      <c r="C1805" s="133" t="s">
        <v>2359</v>
      </c>
      <c r="D1805" s="133" t="s">
        <v>477</v>
      </c>
      <c r="E1805" s="158">
        <v>55</v>
      </c>
      <c r="F1805" s="158">
        <v>0</v>
      </c>
      <c r="G1805" s="158">
        <v>0</v>
      </c>
      <c r="H1805" s="133" t="s">
        <v>2465</v>
      </c>
      <c r="I1805" s="133" t="s">
        <v>479</v>
      </c>
      <c r="J1805" s="158">
        <v>1</v>
      </c>
      <c r="K1805" s="159" t="str">
        <f ca="1">IFERROR(__xludf.DUMMYFUNCTION("GOOGLETRANSLATE(H1805,""th"",""en"")"),"Address Invoice Line 3")</f>
        <v>Address Invoice Line 3</v>
      </c>
    </row>
    <row r="1806" spans="1:14" ht="15.75" hidden="1" customHeight="1">
      <c r="A1806" s="133" t="s">
        <v>7</v>
      </c>
      <c r="B1806" s="133" t="s">
        <v>435</v>
      </c>
      <c r="C1806" s="133" t="s">
        <v>2361</v>
      </c>
      <c r="D1806" s="133" t="s">
        <v>477</v>
      </c>
      <c r="E1806" s="158">
        <v>55</v>
      </c>
      <c r="F1806" s="158">
        <v>0</v>
      </c>
      <c r="G1806" s="158">
        <v>0</v>
      </c>
      <c r="H1806" s="133" t="s">
        <v>2466</v>
      </c>
      <c r="I1806" s="133" t="s">
        <v>479</v>
      </c>
      <c r="J1806" s="158">
        <v>1</v>
      </c>
      <c r="K1806" s="159" t="str">
        <f ca="1">IFERROR(__xludf.DUMMYFUNCTION("GOOGLETRANSLATE(H1806,""th"",""en"")"),"Address Invoice Line 4")</f>
        <v>Address Invoice Line 4</v>
      </c>
    </row>
    <row r="1807" spans="1:14" ht="15.75" hidden="1" customHeight="1">
      <c r="A1807" s="133" t="s">
        <v>7</v>
      </c>
      <c r="B1807" s="133" t="s">
        <v>435</v>
      </c>
      <c r="C1807" s="133" t="s">
        <v>2363</v>
      </c>
      <c r="D1807" s="133" t="s">
        <v>477</v>
      </c>
      <c r="E1807" s="158">
        <v>55</v>
      </c>
      <c r="F1807" s="158">
        <v>0</v>
      </c>
      <c r="G1807" s="158">
        <v>0</v>
      </c>
      <c r="H1807" s="133" t="s">
        <v>2467</v>
      </c>
      <c r="I1807" s="133" t="s">
        <v>479</v>
      </c>
      <c r="J1807" s="158">
        <v>1</v>
      </c>
      <c r="K1807" s="159" t="str">
        <f ca="1">IFERROR(__xludf.DUMMYFUNCTION("GOOGLETRANSLATE(H1807,""th"",""en"")"),"Address Invoice Line 5")</f>
        <v>Address Invoice Line 5</v>
      </c>
    </row>
    <row r="1808" spans="1:14" ht="15.75" hidden="1" customHeight="1">
      <c r="A1808" s="133" t="s">
        <v>7</v>
      </c>
      <c r="B1808" s="133" t="s">
        <v>435</v>
      </c>
      <c r="C1808" s="133" t="s">
        <v>2365</v>
      </c>
      <c r="D1808" s="133" t="s">
        <v>477</v>
      </c>
      <c r="E1808" s="158">
        <v>55</v>
      </c>
      <c r="F1808" s="158">
        <v>0</v>
      </c>
      <c r="G1808" s="158">
        <v>0</v>
      </c>
      <c r="H1808" s="133" t="s">
        <v>2468</v>
      </c>
      <c r="I1808" s="133" t="s">
        <v>479</v>
      </c>
      <c r="J1808" s="158">
        <v>1</v>
      </c>
      <c r="K1808" s="159" t="str">
        <f ca="1">IFERROR(__xludf.DUMMYFUNCTION("GOOGLETRANSLATE(H1808,""th"",""en"")"),"Address Address Line 1")</f>
        <v>Address Address Line 1</v>
      </c>
    </row>
    <row r="1809" spans="1:11" ht="15.75" hidden="1" customHeight="1">
      <c r="A1809" s="133" t="s">
        <v>7</v>
      </c>
      <c r="B1809" s="133" t="s">
        <v>435</v>
      </c>
      <c r="C1809" s="133" t="s">
        <v>2367</v>
      </c>
      <c r="D1809" s="133" t="s">
        <v>477</v>
      </c>
      <c r="E1809" s="158">
        <v>110</v>
      </c>
      <c r="F1809" s="158">
        <v>0</v>
      </c>
      <c r="G1809" s="158">
        <v>0</v>
      </c>
      <c r="H1809" s="133" t="s">
        <v>2469</v>
      </c>
      <c r="I1809" s="133" t="s">
        <v>479</v>
      </c>
      <c r="J1809" s="158">
        <v>0</v>
      </c>
      <c r="K1809" s="159" t="str">
        <f ca="1">IFERROR(__xludf.DUMMYFUNCTION("GOOGLETRANSLATE(H1809,""th"",""en"")"),"Address Address Line 2")</f>
        <v>Address Address Line 2</v>
      </c>
    </row>
    <row r="1810" spans="1:11" ht="15.75" hidden="1" customHeight="1">
      <c r="A1810" s="133" t="s">
        <v>7</v>
      </c>
      <c r="B1810" s="133" t="s">
        <v>435</v>
      </c>
      <c r="C1810" s="133" t="s">
        <v>2369</v>
      </c>
      <c r="D1810" s="133" t="s">
        <v>477</v>
      </c>
      <c r="E1810" s="158">
        <v>55</v>
      </c>
      <c r="F1810" s="158">
        <v>0</v>
      </c>
      <c r="G1810" s="158">
        <v>0</v>
      </c>
      <c r="H1810" s="133" t="s">
        <v>2470</v>
      </c>
      <c r="I1810" s="133" t="s">
        <v>479</v>
      </c>
      <c r="J1810" s="158">
        <v>1</v>
      </c>
      <c r="K1810" s="159" t="str">
        <f ca="1">IFERROR(__xludf.DUMMYFUNCTION("GOOGLETRANSLATE(H1810,""th"",""en"")"),"Address Address Line 3")</f>
        <v>Address Address Line 3</v>
      </c>
    </row>
    <row r="1811" spans="1:11" ht="15.75" hidden="1" customHeight="1">
      <c r="A1811" s="133" t="s">
        <v>7</v>
      </c>
      <c r="B1811" s="133" t="s">
        <v>435</v>
      </c>
      <c r="C1811" s="133" t="s">
        <v>2471</v>
      </c>
      <c r="D1811" s="133" t="s">
        <v>477</v>
      </c>
      <c r="E1811" s="158">
        <v>55</v>
      </c>
      <c r="F1811" s="158">
        <v>0</v>
      </c>
      <c r="G1811" s="158">
        <v>0</v>
      </c>
      <c r="H1811" s="133" t="s">
        <v>2472</v>
      </c>
      <c r="I1811" s="133" t="s">
        <v>479</v>
      </c>
      <c r="J1811" s="158">
        <v>1</v>
      </c>
      <c r="K1811" s="159" t="str">
        <f ca="1">IFERROR(__xludf.DUMMYFUNCTION("GOOGLETRANSLATE(H1811,""th"",""en"")"),"Address Address Line 4")</f>
        <v>Address Address Line 4</v>
      </c>
    </row>
    <row r="1812" spans="1:11" ht="15.75" hidden="1" customHeight="1">
      <c r="A1812" s="133" t="s">
        <v>7</v>
      </c>
      <c r="B1812" s="133" t="s">
        <v>435</v>
      </c>
      <c r="C1812" s="133" t="s">
        <v>2473</v>
      </c>
      <c r="D1812" s="133" t="s">
        <v>477</v>
      </c>
      <c r="E1812" s="158">
        <v>55</v>
      </c>
      <c r="F1812" s="158">
        <v>0</v>
      </c>
      <c r="G1812" s="158">
        <v>0</v>
      </c>
      <c r="H1812" s="133" t="s">
        <v>2474</v>
      </c>
      <c r="I1812" s="133" t="s">
        <v>479</v>
      </c>
      <c r="J1812" s="158">
        <v>1</v>
      </c>
      <c r="K1812" s="159" t="str">
        <f ca="1">IFERROR(__xludf.DUMMYFUNCTION("GOOGLETRANSLATE(H1812,""th"",""en"")"),"Address Address Line 5")</f>
        <v>Address Address Line 5</v>
      </c>
    </row>
    <row r="1813" spans="1:11" ht="15.75" hidden="1" customHeight="1">
      <c r="A1813" s="133" t="s">
        <v>7</v>
      </c>
      <c r="B1813" s="133" t="s">
        <v>435</v>
      </c>
      <c r="C1813" s="133" t="s">
        <v>2475</v>
      </c>
      <c r="D1813" s="133" t="s">
        <v>477</v>
      </c>
      <c r="E1813" s="158">
        <v>50</v>
      </c>
      <c r="F1813" s="158">
        <v>0</v>
      </c>
      <c r="G1813" s="158">
        <v>0</v>
      </c>
      <c r="H1813" s="133" t="s">
        <v>2476</v>
      </c>
      <c r="I1813" s="133" t="s">
        <v>479</v>
      </c>
      <c r="J1813" s="158">
        <v>1</v>
      </c>
      <c r="K1813" s="159" t="str">
        <f ca="1">IFERROR(__xludf.DUMMYFUNCTION("GOOGLETRANSLATE(H1813,""th"",""en"")"),"Provincial Code Delivery")</f>
        <v>Provincial Code Delivery</v>
      </c>
    </row>
    <row r="1814" spans="1:11" ht="15.75" hidden="1" customHeight="1">
      <c r="A1814" s="133" t="s">
        <v>7</v>
      </c>
      <c r="B1814" s="133" t="s">
        <v>435</v>
      </c>
      <c r="C1814" s="133" t="s">
        <v>2477</v>
      </c>
      <c r="D1814" s="133" t="s">
        <v>477</v>
      </c>
      <c r="E1814" s="158">
        <v>6</v>
      </c>
      <c r="F1814" s="158">
        <v>0</v>
      </c>
      <c r="G1814" s="158">
        <v>0</v>
      </c>
      <c r="H1814" s="133" t="s">
        <v>2478</v>
      </c>
      <c r="I1814" s="133" t="s">
        <v>479</v>
      </c>
      <c r="J1814" s="158">
        <v>1</v>
      </c>
      <c r="K1814" s="159" t="str">
        <f ca="1">IFERROR(__xludf.DUMMYFUNCTION("GOOGLETRANSLATE(H1814,""th"",""en"")"),"Space code")</f>
        <v>Space code</v>
      </c>
    </row>
    <row r="1815" spans="1:11" ht="15.75" hidden="1" customHeight="1">
      <c r="A1815" s="133" t="s">
        <v>7</v>
      </c>
      <c r="B1815" s="133" t="s">
        <v>435</v>
      </c>
      <c r="C1815" s="133" t="s">
        <v>708</v>
      </c>
      <c r="D1815" s="133" t="s">
        <v>477</v>
      </c>
      <c r="E1815" s="158">
        <v>10</v>
      </c>
      <c r="F1815" s="158">
        <v>0</v>
      </c>
      <c r="G1815" s="158">
        <v>0</v>
      </c>
      <c r="H1815" s="133" t="s">
        <v>864</v>
      </c>
      <c r="I1815" s="133" t="s">
        <v>479</v>
      </c>
      <c r="J1815" s="158">
        <v>1</v>
      </c>
      <c r="K1815" s="159" t="str">
        <f ca="1">IFERROR(__xludf.DUMMYFUNCTION("GOOGLETRANSLATE(H1815,""th"",""en"")"),"Payment type code")</f>
        <v>Payment type code</v>
      </c>
    </row>
    <row r="1816" spans="1:11" ht="15.75" hidden="1" customHeight="1">
      <c r="A1816" s="133" t="s">
        <v>7</v>
      </c>
      <c r="B1816" s="133" t="s">
        <v>435</v>
      </c>
      <c r="C1816" s="133" t="s">
        <v>2479</v>
      </c>
      <c r="D1816" s="133" t="s">
        <v>484</v>
      </c>
      <c r="E1816" s="158">
        <v>4</v>
      </c>
      <c r="F1816" s="158">
        <v>10</v>
      </c>
      <c r="G1816" s="158">
        <v>0</v>
      </c>
      <c r="H1816" s="133" t="s">
        <v>2480</v>
      </c>
      <c r="I1816" s="133" t="s">
        <v>479</v>
      </c>
      <c r="J1816" s="158">
        <v>1</v>
      </c>
      <c r="K1816" s="159" t="str">
        <f ca="1">IFERROR(__xludf.DUMMYFUNCTION("GOOGLETRANSLATE(H1816,""th"",""en"")"),"Payment period")</f>
        <v>Payment period</v>
      </c>
    </row>
    <row r="1817" spans="1:11" ht="15.75" hidden="1" customHeight="1">
      <c r="A1817" s="133" t="s">
        <v>7</v>
      </c>
      <c r="B1817" s="133" t="s">
        <v>435</v>
      </c>
      <c r="C1817" s="133" t="s">
        <v>2481</v>
      </c>
      <c r="D1817" s="133" t="s">
        <v>491</v>
      </c>
      <c r="E1817" s="158">
        <v>1</v>
      </c>
      <c r="F1817" s="158">
        <v>0</v>
      </c>
      <c r="G1817" s="158">
        <v>0</v>
      </c>
      <c r="H1817" s="133" t="s">
        <v>2482</v>
      </c>
      <c r="I1817" s="133" t="s">
        <v>479</v>
      </c>
      <c r="J1817" s="158">
        <v>1</v>
      </c>
      <c r="K1817" s="159" t="str">
        <f ca="1">IFERROR(__xludf.DUMMYFUNCTION("GOOGLETRANSLATE(H1817,""th"",""en"")"),"Shipping status to [y = office mail sent, n = office meter does not send the goods]")</f>
        <v>Shipping status to [y = office mail sent, n = office meter does not send the goods]</v>
      </c>
    </row>
    <row r="1818" spans="1:11" ht="15.75" hidden="1" customHeight="1">
      <c r="A1818" s="133" t="s">
        <v>7</v>
      </c>
      <c r="B1818" s="133" t="s">
        <v>435</v>
      </c>
      <c r="C1818" s="133" t="s">
        <v>2418</v>
      </c>
      <c r="D1818" s="133" t="s">
        <v>481</v>
      </c>
      <c r="E1818" s="158">
        <v>5</v>
      </c>
      <c r="F1818" s="158">
        <v>4</v>
      </c>
      <c r="G1818" s="158">
        <v>2</v>
      </c>
      <c r="H1818" s="133" t="s">
        <v>2419</v>
      </c>
      <c r="I1818" s="133" t="s">
        <v>479</v>
      </c>
      <c r="J1818" s="158">
        <v>1</v>
      </c>
      <c r="K1818" s="159" t="str">
        <f ca="1">IFERROR(__xludf.DUMMYFUNCTION("GOOGLETRANSLATE(H1818,""th"",""en"")"),"The discount rate is%")</f>
        <v>The discount rate is%</v>
      </c>
    </row>
    <row r="1819" spans="1:11" ht="15.75" hidden="1" customHeight="1">
      <c r="A1819" s="133" t="s">
        <v>7</v>
      </c>
      <c r="B1819" s="133" t="s">
        <v>435</v>
      </c>
      <c r="C1819" s="133" t="s">
        <v>1195</v>
      </c>
      <c r="D1819" s="133" t="s">
        <v>481</v>
      </c>
      <c r="E1819" s="158">
        <v>9</v>
      </c>
      <c r="F1819" s="158">
        <v>11</v>
      </c>
      <c r="G1819" s="158">
        <v>2</v>
      </c>
      <c r="H1819" s="133" t="s">
        <v>2483</v>
      </c>
      <c r="I1819" s="133" t="s">
        <v>479</v>
      </c>
      <c r="J1819" s="158">
        <v>1</v>
      </c>
      <c r="K1819" s="159" t="str">
        <f ca="1">IFERROR(__xludf.DUMMYFUNCTION("GOOGLETRANSLATE(H1819,""th"",""en"")"),"Discounts of balance including bill")</f>
        <v>Discounts of balance including bill</v>
      </c>
    </row>
    <row r="1820" spans="1:11" ht="15.75" hidden="1" customHeight="1">
      <c r="A1820" s="133" t="s">
        <v>7</v>
      </c>
      <c r="B1820" s="133" t="s">
        <v>435</v>
      </c>
      <c r="C1820" s="133" t="s">
        <v>1196</v>
      </c>
      <c r="D1820" s="133" t="s">
        <v>481</v>
      </c>
      <c r="E1820" s="158">
        <v>9</v>
      </c>
      <c r="F1820" s="158">
        <v>11</v>
      </c>
      <c r="G1820" s="158">
        <v>2</v>
      </c>
      <c r="H1820" s="133" t="s">
        <v>2484</v>
      </c>
      <c r="I1820" s="133" t="s">
        <v>479</v>
      </c>
      <c r="J1820" s="158">
        <v>1</v>
      </c>
      <c r="K1820" s="159" t="str">
        <f ca="1">IFERROR(__xludf.DUMMYFUNCTION("GOOGLETRANSLATE(H1820,""th"",""en"")"),"The amount before deducting the discount before VAT")</f>
        <v>The amount before deducting the discount before VAT</v>
      </c>
    </row>
    <row r="1821" spans="1:11" ht="15.75" hidden="1" customHeight="1">
      <c r="A1821" s="133" t="s">
        <v>7</v>
      </c>
      <c r="B1821" s="133" t="s">
        <v>435</v>
      </c>
      <c r="C1821" s="133" t="s">
        <v>1243</v>
      </c>
      <c r="D1821" s="133" t="s">
        <v>481</v>
      </c>
      <c r="E1821" s="158">
        <v>9</v>
      </c>
      <c r="F1821" s="158">
        <v>11</v>
      </c>
      <c r="G1821" s="158">
        <v>2</v>
      </c>
      <c r="H1821" s="133" t="s">
        <v>2485</v>
      </c>
      <c r="I1821" s="133" t="s">
        <v>479</v>
      </c>
      <c r="J1821" s="158">
        <v>1</v>
      </c>
      <c r="K1821" s="159" t="str">
        <f ca="1">IFERROR(__xludf.DUMMYFUNCTION("GOOGLETRANSLATE(H1821,""th"",""en"")"),"Total amount before VAT")</f>
        <v>Total amount before VAT</v>
      </c>
    </row>
    <row r="1822" spans="1:11" ht="15.75" hidden="1" customHeight="1">
      <c r="A1822" s="133" t="s">
        <v>7</v>
      </c>
      <c r="B1822" s="133" t="s">
        <v>435</v>
      </c>
      <c r="C1822" s="133" t="s">
        <v>663</v>
      </c>
      <c r="D1822" s="133" t="s">
        <v>481</v>
      </c>
      <c r="E1822" s="158">
        <v>9</v>
      </c>
      <c r="F1822" s="158">
        <v>11</v>
      </c>
      <c r="G1822" s="158">
        <v>2</v>
      </c>
      <c r="H1822" s="133" t="s">
        <v>2486</v>
      </c>
      <c r="I1822" s="133" t="s">
        <v>479</v>
      </c>
      <c r="J1822" s="158">
        <v>1</v>
      </c>
      <c r="K1822" s="159" t="str">
        <f ca="1">IFERROR(__xludf.DUMMYFUNCTION("GOOGLETRANSLATE(H1822,""th"",""en"")"),"Vatamt (before deducting in advance) (See the NetVatamt field for the VAT that is deducted in advance)")</f>
        <v>Vatamt (before deducting in advance) (See the NetVatamt field for the VAT that is deducted in advance)</v>
      </c>
    </row>
    <row r="1823" spans="1:11" ht="15.75" hidden="1" customHeight="1">
      <c r="A1823" s="133" t="s">
        <v>7</v>
      </c>
      <c r="B1823" s="133" t="s">
        <v>435</v>
      </c>
      <c r="C1823" s="133" t="s">
        <v>2487</v>
      </c>
      <c r="D1823" s="133" t="s">
        <v>481</v>
      </c>
      <c r="E1823" s="158">
        <v>9</v>
      </c>
      <c r="F1823" s="158">
        <v>11</v>
      </c>
      <c r="G1823" s="158">
        <v>2</v>
      </c>
      <c r="H1823" s="133" t="s">
        <v>2488</v>
      </c>
      <c r="I1823" s="133" t="s">
        <v>479</v>
      </c>
      <c r="J1823" s="158">
        <v>1</v>
      </c>
      <c r="K1823" s="159" t="str">
        <f ca="1">IFERROR(__xludf.DUMMYFUNCTION("GOOGLETRANSLATE(H1823,""th"",""en"")"),"Total refund (Not in use: is provided like SOIVHEAD table so that data lifting is easy)")</f>
        <v>Total refund (Not in use: is provided like SOIVHEAD table so that data lifting is easy)</v>
      </c>
    </row>
    <row r="1824" spans="1:11" ht="15.75" hidden="1" customHeight="1">
      <c r="A1824" s="133" t="s">
        <v>7</v>
      </c>
      <c r="B1824" s="133" t="s">
        <v>435</v>
      </c>
      <c r="C1824" s="133" t="s">
        <v>1246</v>
      </c>
      <c r="D1824" s="133" t="s">
        <v>481</v>
      </c>
      <c r="E1824" s="158">
        <v>5</v>
      </c>
      <c r="F1824" s="158">
        <v>4</v>
      </c>
      <c r="G1824" s="158">
        <v>2</v>
      </c>
      <c r="H1824" s="133" t="s">
        <v>2489</v>
      </c>
      <c r="I1824" s="133" t="s">
        <v>479</v>
      </c>
      <c r="J1824" s="158">
        <v>1</v>
      </c>
      <c r="K1824" s="159" t="str">
        <f ca="1">IFERROR(__xludf.DUMMYFUNCTION("GOOGLETRANSLATE(H1824,""th"",""en"")"),"Tax rate")</f>
        <v>Tax rate</v>
      </c>
    </row>
    <row r="1825" spans="1:11" ht="15.75" hidden="1" customHeight="1">
      <c r="A1825" s="133" t="s">
        <v>7</v>
      </c>
      <c r="B1825" s="133" t="s">
        <v>435</v>
      </c>
      <c r="C1825" s="133" t="s">
        <v>2490</v>
      </c>
      <c r="D1825" s="133" t="s">
        <v>491</v>
      </c>
      <c r="E1825" s="158">
        <v>1</v>
      </c>
      <c r="F1825" s="158">
        <v>0</v>
      </c>
      <c r="G1825" s="158">
        <v>0</v>
      </c>
      <c r="H1825" s="133" t="s">
        <v>2491</v>
      </c>
      <c r="I1825" s="133" t="s">
        <v>479</v>
      </c>
      <c r="J1825" s="158">
        <v>1</v>
      </c>
      <c r="K1825" s="159" t="str">
        <f ca="1">IFERROR(__xludf.DUMMYFUNCTION("GOOGLETRANSLATE(H1825,""th"",""en"")"),"Discount method")</f>
        <v>Discount method</v>
      </c>
    </row>
    <row r="1826" spans="1:11" ht="15.75" hidden="1" customHeight="1">
      <c r="A1826" s="133" t="s">
        <v>7</v>
      </c>
      <c r="B1826" s="133" t="s">
        <v>435</v>
      </c>
      <c r="C1826" s="133" t="s">
        <v>2492</v>
      </c>
      <c r="D1826" s="133" t="s">
        <v>477</v>
      </c>
      <c r="E1826" s="158">
        <v>20</v>
      </c>
      <c r="F1826" s="158">
        <v>0</v>
      </c>
      <c r="G1826" s="158">
        <v>0</v>
      </c>
      <c r="H1826" s="133" t="s">
        <v>2493</v>
      </c>
      <c r="I1826" s="133" t="s">
        <v>479</v>
      </c>
      <c r="J1826" s="158">
        <v>1</v>
      </c>
      <c r="K1826" s="159" t="str">
        <f ca="1">IFERROR(__xludf.DUMMYFUNCTION("GOOGLETRANSLATE(H1826,""th"",""en"")"),"Telesale code")</f>
        <v>Telesale code</v>
      </c>
    </row>
    <row r="1827" spans="1:11" ht="15.75" hidden="1" customHeight="1">
      <c r="A1827" s="133" t="s">
        <v>7</v>
      </c>
      <c r="B1827" s="133" t="s">
        <v>435</v>
      </c>
      <c r="C1827" s="133" t="s">
        <v>2494</v>
      </c>
      <c r="D1827" s="133" t="s">
        <v>477</v>
      </c>
      <c r="E1827" s="158">
        <v>7</v>
      </c>
      <c r="F1827" s="158">
        <v>0</v>
      </c>
      <c r="G1827" s="158">
        <v>0</v>
      </c>
      <c r="H1827" s="133" t="s">
        <v>1338</v>
      </c>
      <c r="I1827" s="133" t="s">
        <v>479</v>
      </c>
      <c r="J1827" s="158">
        <v>1</v>
      </c>
      <c r="K1827" s="159" t="str">
        <f ca="1">IFERROR(__xludf.DUMMYFUNCTION("GOOGLETRANSLATE(H1827,""th"",""en"")"),"SALEREPT Code")</f>
        <v>SALEREPT Code</v>
      </c>
    </row>
    <row r="1828" spans="1:11" ht="15.75" hidden="1" customHeight="1">
      <c r="A1828" s="133" t="s">
        <v>7</v>
      </c>
      <c r="B1828" s="133" t="s">
        <v>435</v>
      </c>
      <c r="C1828" s="133" t="s">
        <v>164</v>
      </c>
      <c r="D1828" s="133" t="s">
        <v>477</v>
      </c>
      <c r="E1828" s="158">
        <v>100</v>
      </c>
      <c r="F1828" s="158">
        <v>0</v>
      </c>
      <c r="G1828" s="158">
        <v>0</v>
      </c>
      <c r="H1828" s="133" t="s">
        <v>900</v>
      </c>
      <c r="I1828" s="133" t="s">
        <v>479</v>
      </c>
      <c r="J1828" s="158">
        <v>1</v>
      </c>
      <c r="K1828" s="159" t="str">
        <f ca="1">IFERROR(__xludf.DUMMYFUNCTION("GOOGLETRANSLATE(H1828,""th"",""en"")"),"note")</f>
        <v>note</v>
      </c>
    </row>
    <row r="1829" spans="1:11" ht="15.75" hidden="1" customHeight="1">
      <c r="A1829" s="133" t="s">
        <v>7</v>
      </c>
      <c r="B1829" s="133" t="s">
        <v>435</v>
      </c>
      <c r="C1829" s="133" t="s">
        <v>2372</v>
      </c>
      <c r="D1829" s="133" t="s">
        <v>477</v>
      </c>
      <c r="E1829" s="158">
        <v>50</v>
      </c>
      <c r="F1829" s="158">
        <v>0</v>
      </c>
      <c r="G1829" s="158">
        <v>0</v>
      </c>
      <c r="H1829" s="133" t="s">
        <v>2310</v>
      </c>
      <c r="I1829" s="133" t="s">
        <v>479</v>
      </c>
      <c r="J1829" s="158">
        <v>1</v>
      </c>
      <c r="K1829" s="159" t="str">
        <f ca="1">IFERROR(__xludf.DUMMYFUNCTION("GOOGLETRANSLATE(H1829,""th"",""en"")"),"Contact")</f>
        <v>Contact</v>
      </c>
    </row>
    <row r="1830" spans="1:11" ht="15.75" hidden="1" customHeight="1">
      <c r="A1830" s="133" t="s">
        <v>7</v>
      </c>
      <c r="B1830" s="133" t="s">
        <v>435</v>
      </c>
      <c r="C1830" s="133" t="s">
        <v>2377</v>
      </c>
      <c r="D1830" s="133" t="s">
        <v>477</v>
      </c>
      <c r="E1830" s="158">
        <v>50</v>
      </c>
      <c r="F1830" s="158">
        <v>0</v>
      </c>
      <c r="G1830" s="158">
        <v>0</v>
      </c>
      <c r="H1830" s="133" t="s">
        <v>2495</v>
      </c>
      <c r="I1830" s="133" t="s">
        <v>479</v>
      </c>
      <c r="J1830" s="158">
        <v>1</v>
      </c>
      <c r="K1830" s="159" t="str">
        <f ca="1">IFERROR(__xludf.DUMMYFUNCTION("GOOGLETRANSLATE(H1830,""th"",""en"")"),"Contact phone number")</f>
        <v>Contact phone number</v>
      </c>
    </row>
    <row r="1831" spans="1:11" ht="15.75" hidden="1" customHeight="1">
      <c r="A1831" s="133" t="s">
        <v>7</v>
      </c>
      <c r="B1831" s="133" t="s">
        <v>435</v>
      </c>
      <c r="C1831" s="133" t="s">
        <v>544</v>
      </c>
      <c r="D1831" s="133" t="s">
        <v>477</v>
      </c>
      <c r="E1831" s="158">
        <v>50</v>
      </c>
      <c r="F1831" s="158">
        <v>0</v>
      </c>
      <c r="G1831" s="158">
        <v>0</v>
      </c>
      <c r="H1831" s="133" t="s">
        <v>2496</v>
      </c>
      <c r="I1831" s="133" t="s">
        <v>479</v>
      </c>
      <c r="J1831" s="158">
        <v>0</v>
      </c>
      <c r="K1831" s="159" t="str">
        <f ca="1">IFERROR(__xludf.DUMMYFUNCTION("GOOGLETRANSLATE(H1831,""th"",""en"")"),"Document reference number")</f>
        <v>Document reference number</v>
      </c>
    </row>
    <row r="1832" spans="1:11" ht="15.75" hidden="1" customHeight="1">
      <c r="A1832" s="133" t="s">
        <v>7</v>
      </c>
      <c r="B1832" s="133" t="s">
        <v>435</v>
      </c>
      <c r="C1832" s="133" t="s">
        <v>2497</v>
      </c>
      <c r="D1832" s="133" t="s">
        <v>477</v>
      </c>
      <c r="E1832" s="158">
        <v>3</v>
      </c>
      <c r="F1832" s="158">
        <v>0</v>
      </c>
      <c r="G1832" s="158">
        <v>0</v>
      </c>
      <c r="H1832" s="133" t="s">
        <v>2498</v>
      </c>
      <c r="I1832" s="133" t="s">
        <v>479</v>
      </c>
      <c r="J1832" s="158">
        <v>1</v>
      </c>
      <c r="K1832" s="159" t="str">
        <f ca="1">IFERROR(__xludf.DUMMYFUNCTION("GOOGLETRANSLATE(H1832,""th"",""en"")"),"Send the item with the PO leaves")</f>
        <v>Send the item with the PO leaves</v>
      </c>
    </row>
    <row r="1833" spans="1:11" ht="15.75" hidden="1" customHeight="1">
      <c r="A1833" s="133" t="s">
        <v>7</v>
      </c>
      <c r="B1833" s="133" t="s">
        <v>435</v>
      </c>
      <c r="C1833" s="133" t="s">
        <v>595</v>
      </c>
      <c r="D1833" s="133" t="s">
        <v>477</v>
      </c>
      <c r="E1833" s="158">
        <v>3</v>
      </c>
      <c r="F1833" s="158">
        <v>0</v>
      </c>
      <c r="G1833" s="158">
        <v>0</v>
      </c>
      <c r="H1833" s="133" t="s">
        <v>2499</v>
      </c>
      <c r="I1833" s="133" t="s">
        <v>479</v>
      </c>
      <c r="J1833" s="158">
        <v>1</v>
      </c>
      <c r="K1833" s="159" t="str">
        <f ca="1">IFERROR(__xludf.DUMMYFUNCTION("GOOGLETRANSLATE(H1833,""th"",""en"")"),"Send the goods with billing")</f>
        <v>Send the goods with billing</v>
      </c>
    </row>
    <row r="1834" spans="1:11" ht="15.75" hidden="1" customHeight="1">
      <c r="A1834" s="133" t="s">
        <v>7</v>
      </c>
      <c r="B1834" s="133" t="s">
        <v>435</v>
      </c>
      <c r="C1834" s="133" t="s">
        <v>2500</v>
      </c>
      <c r="D1834" s="133" t="s">
        <v>477</v>
      </c>
      <c r="E1834" s="158">
        <v>3</v>
      </c>
      <c r="F1834" s="158">
        <v>0</v>
      </c>
      <c r="G1834" s="158">
        <v>0</v>
      </c>
      <c r="H1834" s="133" t="s">
        <v>2501</v>
      </c>
      <c r="I1834" s="133" t="s">
        <v>479</v>
      </c>
      <c r="J1834" s="158">
        <v>1</v>
      </c>
      <c r="K1834" s="159" t="str">
        <f ca="1">IFERROR(__xludf.DUMMYFUNCTION("GOOGLETRANSLATE(H1834,""th"",""en"")"),"The type of document (if it is Inv is the DL, C / N is the DR leaf, but the DR leaf is already active)")</f>
        <v>The type of document (if it is Inv is the DL, C / N is the DR leaf, but the DR leaf is already active)</v>
      </c>
    </row>
    <row r="1835" spans="1:11" ht="15.75" hidden="1" customHeight="1">
      <c r="A1835" s="133" t="s">
        <v>7</v>
      </c>
      <c r="B1835" s="133" t="s">
        <v>435</v>
      </c>
      <c r="C1835" s="133" t="s">
        <v>2502</v>
      </c>
      <c r="D1835" s="133" t="s">
        <v>496</v>
      </c>
      <c r="E1835" s="158">
        <v>4</v>
      </c>
      <c r="F1835" s="158">
        <v>16</v>
      </c>
      <c r="G1835" s="158">
        <v>0</v>
      </c>
      <c r="H1835" s="133" t="s">
        <v>2503</v>
      </c>
      <c r="I1835" s="133" t="s">
        <v>479</v>
      </c>
      <c r="J1835" s="158">
        <v>1</v>
      </c>
      <c r="K1835" s="159" t="str">
        <f ca="1">IFERROR(__xludf.DUMMYFUNCTION("GOOGLETRANSLATE(H1835,""th"",""en"")"),"Product delivery date (First delivery)")</f>
        <v>Product delivery date (First delivery)</v>
      </c>
    </row>
    <row r="1836" spans="1:11" ht="15.75" hidden="1" customHeight="1">
      <c r="A1836" s="133" t="s">
        <v>7</v>
      </c>
      <c r="B1836" s="133" t="s">
        <v>435</v>
      </c>
      <c r="C1836" s="133" t="s">
        <v>1572</v>
      </c>
      <c r="D1836" s="133" t="s">
        <v>496</v>
      </c>
      <c r="E1836" s="158">
        <v>4</v>
      </c>
      <c r="F1836" s="158">
        <v>16</v>
      </c>
      <c r="G1836" s="158">
        <v>0</v>
      </c>
      <c r="H1836" s="133" t="s">
        <v>2504</v>
      </c>
      <c r="I1836" s="133" t="s">
        <v>479</v>
      </c>
      <c r="J1836" s="158">
        <v>1</v>
      </c>
      <c r="K1836" s="159" t="str">
        <f ca="1">IFERROR(__xludf.DUMMYFUNCTION("GOOGLETRANSLATE(H1836,""th"",""en"")"),"The date of the expected customer will pay. According to customer payment terms")</f>
        <v>The date of the expected customer will pay. According to customer payment terms</v>
      </c>
    </row>
    <row r="1837" spans="1:11" ht="15.75" hidden="1" customHeight="1">
      <c r="A1837" s="133" t="s">
        <v>7</v>
      </c>
      <c r="B1837" s="133" t="s">
        <v>435</v>
      </c>
      <c r="C1837" s="133" t="s">
        <v>2505</v>
      </c>
      <c r="D1837" s="133" t="s">
        <v>477</v>
      </c>
      <c r="E1837" s="158">
        <v>8</v>
      </c>
      <c r="F1837" s="158">
        <v>0</v>
      </c>
      <c r="G1837" s="158">
        <v>0</v>
      </c>
      <c r="H1837" s="133" t="s">
        <v>2429</v>
      </c>
      <c r="I1837" s="133" t="s">
        <v>479</v>
      </c>
      <c r="J1837" s="158">
        <v>1</v>
      </c>
      <c r="K1837" s="159" t="str">
        <f ca="1">IFERROR(__xludf.DUMMYFUNCTION("GOOGLETRANSLATE(H1837,""th"",""en"")"),"Quit usage")</f>
        <v>Quit usage</v>
      </c>
    </row>
    <row r="1838" spans="1:11" ht="15.75" hidden="1" customHeight="1">
      <c r="A1838" s="133" t="s">
        <v>7</v>
      </c>
      <c r="B1838" s="133" t="s">
        <v>435</v>
      </c>
      <c r="C1838" s="133" t="s">
        <v>2506</v>
      </c>
      <c r="D1838" s="133" t="s">
        <v>496</v>
      </c>
      <c r="E1838" s="158">
        <v>4</v>
      </c>
      <c r="F1838" s="158">
        <v>16</v>
      </c>
      <c r="G1838" s="158">
        <v>0</v>
      </c>
      <c r="H1838" s="133" t="s">
        <v>2507</v>
      </c>
      <c r="I1838" s="133" t="s">
        <v>479</v>
      </c>
      <c r="J1838" s="158">
        <v>1</v>
      </c>
      <c r="K1838" s="159" t="str">
        <f ca="1">IFERROR(__xludf.DUMMYFUNCTION("GOOGLETRANSLATE(H1838,""th"",""en"")"),"Date of delivery of documents")</f>
        <v>Date of delivery of documents</v>
      </c>
    </row>
    <row r="1839" spans="1:11" ht="15.75" hidden="1" customHeight="1">
      <c r="A1839" s="133" t="s">
        <v>7</v>
      </c>
      <c r="B1839" s="133" t="s">
        <v>435</v>
      </c>
      <c r="C1839" s="133" t="s">
        <v>2508</v>
      </c>
      <c r="D1839" s="133" t="s">
        <v>491</v>
      </c>
      <c r="E1839" s="158">
        <v>1</v>
      </c>
      <c r="F1839" s="158">
        <v>0</v>
      </c>
      <c r="G1839" s="158">
        <v>0</v>
      </c>
      <c r="H1839" s="133" t="s">
        <v>2509</v>
      </c>
      <c r="I1839" s="133" t="s">
        <v>479</v>
      </c>
      <c r="J1839" s="158">
        <v>1</v>
      </c>
      <c r="K1839" s="159" t="str">
        <f ca="1">IFERROR(__xludf.DUMMYFUNCTION("GOOGLETRANSLATE(H1839,""th"",""en"")"),"Delivery status")</f>
        <v>Delivery status</v>
      </c>
    </row>
    <row r="1840" spans="1:11" ht="15.75" hidden="1" customHeight="1">
      <c r="A1840" s="133" t="s">
        <v>7</v>
      </c>
      <c r="B1840" s="133" t="s">
        <v>435</v>
      </c>
      <c r="C1840" s="133" t="s">
        <v>2510</v>
      </c>
      <c r="D1840" s="133" t="s">
        <v>491</v>
      </c>
      <c r="E1840" s="158">
        <v>1</v>
      </c>
      <c r="F1840" s="158">
        <v>0</v>
      </c>
      <c r="G1840" s="158">
        <v>0</v>
      </c>
      <c r="H1840" s="133" t="s">
        <v>960</v>
      </c>
      <c r="I1840" s="133" t="s">
        <v>479</v>
      </c>
      <c r="J1840" s="158">
        <v>1</v>
      </c>
      <c r="K1840" s="159" t="str">
        <f ca="1">IFERROR(__xludf.DUMMYFUNCTION("GOOGLETRANSLATE(H1840,""th"",""en"")"),"Quit")</f>
        <v>Quit</v>
      </c>
    </row>
    <row r="1841" spans="1:11" ht="15.75" hidden="1" customHeight="1">
      <c r="A1841" s="133" t="s">
        <v>7</v>
      </c>
      <c r="B1841" s="133" t="s">
        <v>435</v>
      </c>
      <c r="C1841" s="133" t="s">
        <v>2511</v>
      </c>
      <c r="D1841" s="133" t="s">
        <v>477</v>
      </c>
      <c r="E1841" s="158">
        <v>20</v>
      </c>
      <c r="F1841" s="158">
        <v>0</v>
      </c>
      <c r="G1841" s="158">
        <v>0</v>
      </c>
      <c r="H1841" s="133" t="s">
        <v>2512</v>
      </c>
      <c r="I1841" s="133" t="s">
        <v>479</v>
      </c>
      <c r="J1841" s="158">
        <v>1</v>
      </c>
      <c r="K1841" s="159" t="str">
        <f ca="1">IFERROR(__xludf.DUMMYFUNCTION("GOOGLETRANSLATE(H1841,""th"",""en"")"),"Delivery note")</f>
        <v>Delivery note</v>
      </c>
    </row>
    <row r="1842" spans="1:11" ht="15.75" hidden="1" customHeight="1">
      <c r="A1842" s="133" t="s">
        <v>7</v>
      </c>
      <c r="B1842" s="133" t="s">
        <v>435</v>
      </c>
      <c r="C1842" s="133" t="s">
        <v>2513</v>
      </c>
      <c r="D1842" s="133" t="s">
        <v>481</v>
      </c>
      <c r="E1842" s="158">
        <v>9</v>
      </c>
      <c r="F1842" s="158">
        <v>11</v>
      </c>
      <c r="G1842" s="158">
        <v>2</v>
      </c>
      <c r="H1842" s="133" t="s">
        <v>2514</v>
      </c>
      <c r="I1842" s="133" t="s">
        <v>479</v>
      </c>
      <c r="J1842" s="158">
        <v>1</v>
      </c>
      <c r="K1842" s="159" t="str">
        <f ca="1">IFERROR(__xludf.DUMMYFUNCTION("GOOGLETRANSLATE(H1842,""th"",""en"")"),"Bill balance - now do not use what is equal to Invamt")</f>
        <v>Bill balance - now do not use what is equal to Invamt</v>
      </c>
    </row>
    <row r="1843" spans="1:11" ht="15.75" hidden="1" customHeight="1">
      <c r="A1843" s="133" t="s">
        <v>7</v>
      </c>
      <c r="B1843" s="133" t="s">
        <v>435</v>
      </c>
      <c r="C1843" s="133" t="s">
        <v>2515</v>
      </c>
      <c r="D1843" s="133" t="s">
        <v>477</v>
      </c>
      <c r="E1843" s="158">
        <v>8</v>
      </c>
      <c r="F1843" s="158">
        <v>0</v>
      </c>
      <c r="G1843" s="158">
        <v>0</v>
      </c>
      <c r="H1843" s="133" t="s">
        <v>2516</v>
      </c>
      <c r="I1843" s="133" t="s">
        <v>479</v>
      </c>
      <c r="J1843" s="158">
        <v>1</v>
      </c>
      <c r="K1843" s="159" t="str">
        <f ca="1">IFERROR(__xludf.DUMMYFUNCTION("GOOGLETRANSLATE(H1843,""th"",""en"")"),"Delivery time")</f>
        <v>Delivery time</v>
      </c>
    </row>
    <row r="1844" spans="1:11" ht="15.75" hidden="1" customHeight="1">
      <c r="A1844" s="133" t="s">
        <v>7</v>
      </c>
      <c r="B1844" s="133" t="s">
        <v>435</v>
      </c>
      <c r="C1844" s="133" t="s">
        <v>523</v>
      </c>
      <c r="D1844" s="133" t="s">
        <v>477</v>
      </c>
      <c r="E1844" s="158">
        <v>8</v>
      </c>
      <c r="F1844" s="158">
        <v>0</v>
      </c>
      <c r="G1844" s="158">
        <v>0</v>
      </c>
      <c r="H1844" s="133" t="s">
        <v>734</v>
      </c>
      <c r="I1844" s="133" t="s">
        <v>479</v>
      </c>
      <c r="J1844" s="158">
        <v>1</v>
      </c>
      <c r="K1844" s="159" t="str">
        <f ca="1">IFERROR(__xludf.DUMMYFUNCTION("GOOGLETRANSLATE(H1844,""th"",""en"")"),"Creator name")</f>
        <v>Creator name</v>
      </c>
    </row>
    <row r="1845" spans="1:11" ht="15.75" hidden="1" customHeight="1">
      <c r="A1845" s="133" t="s">
        <v>7</v>
      </c>
      <c r="B1845" s="133" t="s">
        <v>435</v>
      </c>
      <c r="C1845" s="133" t="s">
        <v>669</v>
      </c>
      <c r="D1845" s="133" t="s">
        <v>496</v>
      </c>
      <c r="E1845" s="158">
        <v>4</v>
      </c>
      <c r="F1845" s="158">
        <v>16</v>
      </c>
      <c r="G1845" s="158">
        <v>0</v>
      </c>
      <c r="H1845" s="133" t="s">
        <v>735</v>
      </c>
      <c r="I1845" s="133" t="s">
        <v>479</v>
      </c>
      <c r="J1845" s="158">
        <v>1</v>
      </c>
      <c r="K1845" s="159" t="str">
        <f ca="1">IFERROR(__xludf.DUMMYFUNCTION("GOOGLETRANSLATE(H1845,""th"",""en"")"),"Date created")</f>
        <v>Date created</v>
      </c>
    </row>
    <row r="1846" spans="1:11" ht="15.75" hidden="1" customHeight="1">
      <c r="A1846" s="133" t="s">
        <v>7</v>
      </c>
      <c r="B1846" s="133" t="s">
        <v>435</v>
      </c>
      <c r="C1846" s="133" t="s">
        <v>670</v>
      </c>
      <c r="D1846" s="133" t="s">
        <v>477</v>
      </c>
      <c r="E1846" s="158">
        <v>8</v>
      </c>
      <c r="F1846" s="158">
        <v>0</v>
      </c>
      <c r="G1846" s="158">
        <v>0</v>
      </c>
      <c r="H1846" s="133" t="s">
        <v>871</v>
      </c>
      <c r="I1846" s="133" t="s">
        <v>479</v>
      </c>
      <c r="J1846" s="158">
        <v>1</v>
      </c>
      <c r="K1846" s="159" t="str">
        <f ca="1">IFERROR(__xludf.DUMMYFUNCTION("GOOGLETRANSLATE(H1846,""th"",""en"")"),"Last edited name")</f>
        <v>Last edited name</v>
      </c>
    </row>
    <row r="1847" spans="1:11" ht="15.75" hidden="1" customHeight="1">
      <c r="A1847" s="133" t="s">
        <v>7</v>
      </c>
      <c r="B1847" s="133" t="s">
        <v>435</v>
      </c>
      <c r="C1847" s="133" t="s">
        <v>215</v>
      </c>
      <c r="D1847" s="133" t="s">
        <v>496</v>
      </c>
      <c r="E1847" s="158">
        <v>4</v>
      </c>
      <c r="F1847" s="158">
        <v>16</v>
      </c>
      <c r="G1847" s="158">
        <v>0</v>
      </c>
      <c r="H1847" s="133" t="s">
        <v>872</v>
      </c>
      <c r="I1847" s="133" t="s">
        <v>479</v>
      </c>
      <c r="J1847" s="158">
        <v>1</v>
      </c>
      <c r="K1847" s="159" t="str">
        <f ca="1">IFERROR(__xludf.DUMMYFUNCTION("GOOGLETRANSLATE(H1847,""th"",""en"")"),"Last modified date")</f>
        <v>Last modified date</v>
      </c>
    </row>
    <row r="1848" spans="1:11" ht="15.75" hidden="1" customHeight="1">
      <c r="A1848" s="133" t="s">
        <v>7</v>
      </c>
      <c r="B1848" s="133" t="s">
        <v>435</v>
      </c>
      <c r="C1848" s="133" t="s">
        <v>2517</v>
      </c>
      <c r="D1848" s="133" t="s">
        <v>477</v>
      </c>
      <c r="E1848" s="158">
        <v>50</v>
      </c>
      <c r="F1848" s="158">
        <v>0</v>
      </c>
      <c r="G1848" s="158">
        <v>0</v>
      </c>
      <c r="H1848" s="133" t="s">
        <v>2518</v>
      </c>
      <c r="I1848" s="133" t="s">
        <v>479</v>
      </c>
      <c r="J1848" s="158">
        <v>1</v>
      </c>
      <c r="K1848" s="159" t="str">
        <f ca="1">IFERROR(__xludf.DUMMYFUNCTION("GOOGLETRANSLATE(H1848,""th"",""en"")"),"Telesale name")</f>
        <v>Telesale name</v>
      </c>
    </row>
    <row r="1849" spans="1:11" ht="15.75" hidden="1" customHeight="1">
      <c r="A1849" s="133" t="s">
        <v>7</v>
      </c>
      <c r="B1849" s="133" t="s">
        <v>435</v>
      </c>
      <c r="C1849" s="133" t="s">
        <v>2379</v>
      </c>
      <c r="D1849" s="133" t="s">
        <v>477</v>
      </c>
      <c r="E1849" s="158">
        <v>50</v>
      </c>
      <c r="F1849" s="158">
        <v>0</v>
      </c>
      <c r="G1849" s="158">
        <v>0</v>
      </c>
      <c r="H1849" s="133" t="s">
        <v>2519</v>
      </c>
      <c r="I1849" s="133" t="s">
        <v>479</v>
      </c>
      <c r="J1849" s="158">
        <v>1</v>
      </c>
      <c r="K1849" s="159" t="str">
        <f ca="1">IFERROR(__xludf.DUMMYFUNCTION("GOOGLETRANSLATE(H1849,""th"",""en"")"),"Contact fax number")</f>
        <v>Contact fax number</v>
      </c>
    </row>
    <row r="1850" spans="1:11" ht="15.75" hidden="1" customHeight="1">
      <c r="A1850" s="133" t="s">
        <v>7</v>
      </c>
      <c r="B1850" s="133" t="s">
        <v>435</v>
      </c>
      <c r="C1850" s="133" t="s">
        <v>2520</v>
      </c>
      <c r="D1850" s="133" t="s">
        <v>978</v>
      </c>
      <c r="E1850" s="158">
        <v>2</v>
      </c>
      <c r="F1850" s="158">
        <v>5</v>
      </c>
      <c r="G1850" s="158">
        <v>0</v>
      </c>
      <c r="H1850" s="133" t="s">
        <v>2521</v>
      </c>
      <c r="I1850" s="133" t="s">
        <v>479</v>
      </c>
      <c r="J1850" s="158">
        <v>1</v>
      </c>
      <c r="K1850" s="159" t="str">
        <f ca="1">IFERROR(__xludf.DUMMYFUNCTION("GOOGLETRANSLATE(H1850,""th"",""en"")"),"Contact through the communication channel (DATA is in the TBSOSALECHANNL table)")</f>
        <v>Contact through the communication channel (DATA is in the TBSOSALECHANNL table)</v>
      </c>
    </row>
    <row r="1851" spans="1:11" ht="15.75" hidden="1" customHeight="1">
      <c r="A1851" s="133" t="s">
        <v>7</v>
      </c>
      <c r="B1851" s="133" t="s">
        <v>435</v>
      </c>
      <c r="C1851" s="133" t="s">
        <v>2522</v>
      </c>
      <c r="D1851" s="133" t="s">
        <v>484</v>
      </c>
      <c r="E1851" s="158">
        <v>4</v>
      </c>
      <c r="F1851" s="158">
        <v>10</v>
      </c>
      <c r="G1851" s="158">
        <v>0</v>
      </c>
      <c r="H1851" s="133" t="s">
        <v>2523</v>
      </c>
      <c r="I1851" s="133" t="s">
        <v>479</v>
      </c>
      <c r="J1851" s="158">
        <v>1</v>
      </c>
      <c r="K1851" s="159" t="str">
        <f ca="1">IFERROR(__xludf.DUMMYFUNCTION("GOOGLETRANSLATE(H1851,""th"",""en"")"),"Sequence of delivery")</f>
        <v>Sequence of delivery</v>
      </c>
    </row>
    <row r="1852" spans="1:11" ht="15.75" hidden="1" customHeight="1">
      <c r="A1852" s="133" t="s">
        <v>7</v>
      </c>
      <c r="B1852" s="133" t="s">
        <v>435</v>
      </c>
      <c r="C1852" s="133" t="s">
        <v>2524</v>
      </c>
      <c r="D1852" s="133" t="s">
        <v>978</v>
      </c>
      <c r="E1852" s="158">
        <v>2</v>
      </c>
      <c r="F1852" s="158">
        <v>5</v>
      </c>
      <c r="G1852" s="158">
        <v>0</v>
      </c>
      <c r="H1852" s="133" t="s">
        <v>2525</v>
      </c>
      <c r="I1852" s="133" t="s">
        <v>479</v>
      </c>
      <c r="J1852" s="158">
        <v>1</v>
      </c>
      <c r="K1852" s="159" t="str">
        <f ca="1">IFERROR(__xludf.DUMMYFUNCTION("GOOGLETRANSLATE(H1852,""th"",""en"")"),"Flag delivery [1 = in the office delivery zone, Mate, 2 = outside the office")</f>
        <v>Flag delivery [1 = in the office delivery zone, Mate, 2 = outside the office</v>
      </c>
    </row>
    <row r="1853" spans="1:11" ht="15.75" hidden="1" customHeight="1">
      <c r="A1853" s="133" t="s">
        <v>7</v>
      </c>
      <c r="B1853" s="133" t="s">
        <v>435</v>
      </c>
      <c r="C1853" s="133" t="s">
        <v>2385</v>
      </c>
      <c r="D1853" s="133" t="s">
        <v>484</v>
      </c>
      <c r="E1853" s="158">
        <v>4</v>
      </c>
      <c r="F1853" s="158">
        <v>10</v>
      </c>
      <c r="G1853" s="158">
        <v>0</v>
      </c>
      <c r="H1853" s="133" t="s">
        <v>2526</v>
      </c>
      <c r="I1853" s="133" t="s">
        <v>479</v>
      </c>
      <c r="J1853" s="158">
        <v>1</v>
      </c>
      <c r="K1853" s="159" t="str">
        <f ca="1">IFERROR(__xludf.DUMMYFUNCTION("GOOGLETRANSLATE(H1853,""th"",""en"")"),"Contact")</f>
        <v>Contact</v>
      </c>
    </row>
    <row r="1854" spans="1:11" ht="15.75" hidden="1" customHeight="1">
      <c r="A1854" s="133" t="s">
        <v>7</v>
      </c>
      <c r="B1854" s="133" t="s">
        <v>435</v>
      </c>
      <c r="C1854" s="133" t="s">
        <v>2527</v>
      </c>
      <c r="D1854" s="133" t="s">
        <v>477</v>
      </c>
      <c r="E1854" s="158">
        <v>2</v>
      </c>
      <c r="F1854" s="158">
        <v>0</v>
      </c>
      <c r="G1854" s="158">
        <v>0</v>
      </c>
      <c r="H1854" s="133" t="s">
        <v>2528</v>
      </c>
      <c r="I1854" s="133" t="s">
        <v>479</v>
      </c>
      <c r="J1854" s="158">
        <v>1</v>
      </c>
      <c r="K1854" s="159" t="str">
        <f ca="1">IFERROR(__xludf.DUMMYFUNCTION("GOOGLETRANSLATE(H1854,""th"",""en"")"),"Production model [RE = RETAIL, WH = Whole Sale]")</f>
        <v>Production model [RE = RETAIL, WH = Whole Sale]</v>
      </c>
    </row>
    <row r="1855" spans="1:11" ht="15.75" hidden="1" customHeight="1">
      <c r="A1855" s="133" t="s">
        <v>7</v>
      </c>
      <c r="B1855" s="133" t="s">
        <v>435</v>
      </c>
      <c r="C1855" s="133" t="s">
        <v>2529</v>
      </c>
      <c r="D1855" s="133" t="s">
        <v>978</v>
      </c>
      <c r="E1855" s="158">
        <v>2</v>
      </c>
      <c r="F1855" s="158">
        <v>5</v>
      </c>
      <c r="G1855" s="158">
        <v>0</v>
      </c>
      <c r="H1855" s="133" t="s">
        <v>2530</v>
      </c>
      <c r="I1855" s="133" t="s">
        <v>479</v>
      </c>
      <c r="J1855" s="158">
        <v>1</v>
      </c>
      <c r="K1855" s="159" t="str">
        <f ca="1">IFERROR(__xludf.DUMMYFUNCTION("GOOGLETRANSLATE(H1855,""th"",""en"")"),"Charge ID")</f>
        <v>Charge ID</v>
      </c>
    </row>
    <row r="1856" spans="1:11" ht="15.75" hidden="1" customHeight="1">
      <c r="A1856" s="133" t="s">
        <v>7</v>
      </c>
      <c r="B1856" s="133" t="s">
        <v>435</v>
      </c>
      <c r="C1856" s="133" t="s">
        <v>2531</v>
      </c>
      <c r="D1856" s="133" t="s">
        <v>978</v>
      </c>
      <c r="E1856" s="158">
        <v>2</v>
      </c>
      <c r="F1856" s="158">
        <v>5</v>
      </c>
      <c r="G1856" s="158">
        <v>0</v>
      </c>
      <c r="H1856" s="133" t="s">
        <v>2532</v>
      </c>
      <c r="I1856" s="133" t="s">
        <v>479</v>
      </c>
      <c r="J1856" s="158">
        <v>1</v>
      </c>
      <c r="K1856" s="159" t="str">
        <f ca="1">IFERROR(__xludf.DUMMYFUNCTION("GOOGLETRANSLATE(H1856,""th"",""en"")"),"Option sales")</f>
        <v>Option sales</v>
      </c>
    </row>
    <row r="1857" spans="1:11" ht="15.75" hidden="1" customHeight="1">
      <c r="A1857" s="133" t="s">
        <v>7</v>
      </c>
      <c r="B1857" s="133" t="s">
        <v>435</v>
      </c>
      <c r="C1857" s="133" t="s">
        <v>2533</v>
      </c>
      <c r="D1857" s="133" t="s">
        <v>477</v>
      </c>
      <c r="E1857" s="158">
        <v>2</v>
      </c>
      <c r="F1857" s="158">
        <v>0</v>
      </c>
      <c r="G1857" s="158">
        <v>0</v>
      </c>
      <c r="H1857" s="133" t="s">
        <v>2534</v>
      </c>
      <c r="I1857" s="133" t="s">
        <v>479</v>
      </c>
      <c r="J1857" s="158">
        <v>1</v>
      </c>
      <c r="K1857" s="159" t="str">
        <f ca="1">IFERROR(__xludf.DUMMYFUNCTION("GOOGLETRANSLATE(H1857,""th"",""en"")"),"It is N, because DL will be just invoice selling products (stock cuts).")</f>
        <v>It is N, because DL will be just invoice selling products (stock cuts).</v>
      </c>
    </row>
    <row r="1858" spans="1:11" ht="15.75" hidden="1" customHeight="1">
      <c r="A1858" s="133" t="s">
        <v>7</v>
      </c>
      <c r="B1858" s="133" t="s">
        <v>435</v>
      </c>
      <c r="C1858" s="133" t="s">
        <v>2535</v>
      </c>
      <c r="D1858" s="133" t="s">
        <v>477</v>
      </c>
      <c r="E1858" s="158">
        <v>14</v>
      </c>
      <c r="F1858" s="158">
        <v>0</v>
      </c>
      <c r="G1858" s="158">
        <v>0</v>
      </c>
      <c r="H1858" s="133" t="s">
        <v>2536</v>
      </c>
      <c r="I1858" s="133" t="s">
        <v>479</v>
      </c>
      <c r="J1858" s="158">
        <v>1</v>
      </c>
      <c r="K1858" s="159" t="str">
        <f ca="1">IFERROR(__xludf.DUMMYFUNCTION("GOOGLETRANSLATE(H1858,""th"",""en"")"),"Not in use (Is it like the soivhead table so that data lifting is easy)")</f>
        <v>Not in use (Is it like the soivhead table so that data lifting is easy)</v>
      </c>
    </row>
    <row r="1859" spans="1:11" ht="15.75" hidden="1" customHeight="1">
      <c r="A1859" s="133" t="s">
        <v>7</v>
      </c>
      <c r="B1859" s="133" t="s">
        <v>435</v>
      </c>
      <c r="C1859" s="133" t="s">
        <v>2537</v>
      </c>
      <c r="D1859" s="133" t="s">
        <v>491</v>
      </c>
      <c r="E1859" s="158">
        <v>1</v>
      </c>
      <c r="F1859" s="158">
        <v>0</v>
      </c>
      <c r="G1859" s="158">
        <v>0</v>
      </c>
      <c r="H1859" s="133" t="s">
        <v>2536</v>
      </c>
      <c r="I1859" s="133" t="s">
        <v>479</v>
      </c>
      <c r="J1859" s="158">
        <v>1</v>
      </c>
      <c r="K1859" s="159" t="str">
        <f ca="1">IFERROR(__xludf.DUMMYFUNCTION("GOOGLETRANSLATE(H1859,""th"",""en"")"),"Not in use (Is it like the soivhead table so that data lifting is easy)")</f>
        <v>Not in use (Is it like the soivhead table so that data lifting is easy)</v>
      </c>
    </row>
    <row r="1860" spans="1:11" ht="15.75" hidden="1" customHeight="1">
      <c r="A1860" s="133" t="s">
        <v>7</v>
      </c>
      <c r="B1860" s="133" t="s">
        <v>435</v>
      </c>
      <c r="C1860" s="133" t="s">
        <v>2538</v>
      </c>
      <c r="D1860" s="133" t="s">
        <v>481</v>
      </c>
      <c r="E1860" s="158">
        <v>9</v>
      </c>
      <c r="F1860" s="158">
        <v>11</v>
      </c>
      <c r="G1860" s="158">
        <v>2</v>
      </c>
      <c r="H1860" s="133" t="s">
        <v>2536</v>
      </c>
      <c r="I1860" s="133" t="s">
        <v>479</v>
      </c>
      <c r="J1860" s="158">
        <v>1</v>
      </c>
      <c r="K1860" s="159" t="str">
        <f ca="1">IFERROR(__xludf.DUMMYFUNCTION("GOOGLETRANSLATE(H1860,""th"",""en"")"),"Not in use (Is it like the soivhead table so that data lifting is easy)")</f>
        <v>Not in use (Is it like the soivhead table so that data lifting is easy)</v>
      </c>
    </row>
    <row r="1861" spans="1:11" ht="15.75" hidden="1" customHeight="1">
      <c r="A1861" s="133" t="s">
        <v>7</v>
      </c>
      <c r="B1861" s="133" t="s">
        <v>435</v>
      </c>
      <c r="C1861" s="133" t="s">
        <v>2539</v>
      </c>
      <c r="D1861" s="133" t="s">
        <v>491</v>
      </c>
      <c r="E1861" s="158">
        <v>1</v>
      </c>
      <c r="F1861" s="158">
        <v>0</v>
      </c>
      <c r="G1861" s="158">
        <v>0</v>
      </c>
      <c r="H1861" s="133" t="s">
        <v>960</v>
      </c>
      <c r="I1861" s="133" t="s">
        <v>479</v>
      </c>
      <c r="J1861" s="158">
        <v>1</v>
      </c>
      <c r="K1861" s="159" t="str">
        <f ca="1">IFERROR(__xludf.DUMMYFUNCTION("GOOGLETRANSLATE(H1861,""th"",""en"")"),"Quit")</f>
        <v>Quit</v>
      </c>
    </row>
    <row r="1862" spans="1:11" ht="15.75" hidden="1" customHeight="1">
      <c r="A1862" s="133" t="s">
        <v>7</v>
      </c>
      <c r="B1862" s="133" t="s">
        <v>435</v>
      </c>
      <c r="C1862" s="133" t="s">
        <v>2540</v>
      </c>
      <c r="D1862" s="133" t="s">
        <v>477</v>
      </c>
      <c r="E1862" s="158">
        <v>12</v>
      </c>
      <c r="F1862" s="158">
        <v>0</v>
      </c>
      <c r="G1862" s="158">
        <v>0</v>
      </c>
      <c r="H1862" s="133" t="s">
        <v>960</v>
      </c>
      <c r="I1862" s="133" t="s">
        <v>479</v>
      </c>
      <c r="J1862" s="158">
        <v>1</v>
      </c>
      <c r="K1862" s="159" t="str">
        <f ca="1">IFERROR(__xludf.DUMMYFUNCTION("GOOGLETRANSLATE(H1862,""th"",""en"")"),"Quit")</f>
        <v>Quit</v>
      </c>
    </row>
    <row r="1863" spans="1:11" ht="15.75" hidden="1" customHeight="1">
      <c r="A1863" s="133" t="s">
        <v>7</v>
      </c>
      <c r="B1863" s="133" t="s">
        <v>435</v>
      </c>
      <c r="C1863" s="133" t="s">
        <v>2541</v>
      </c>
      <c r="D1863" s="133" t="s">
        <v>477</v>
      </c>
      <c r="E1863" s="158">
        <v>8</v>
      </c>
      <c r="F1863" s="158">
        <v>0</v>
      </c>
      <c r="G1863" s="158">
        <v>0</v>
      </c>
      <c r="H1863" s="133" t="s">
        <v>2542</v>
      </c>
      <c r="I1863" s="133" t="s">
        <v>479</v>
      </c>
      <c r="J1863" s="158">
        <v>1</v>
      </c>
      <c r="K1863" s="159" t="str">
        <f ca="1">IFERROR(__xludf.DUMMYFUNCTION("GOOGLETRANSLATE(H1863,""th"",""en"")"),"Employee code at the star QC")</f>
        <v>Employee code at the star QC</v>
      </c>
    </row>
    <row r="1864" spans="1:11" ht="15.75" hidden="1" customHeight="1">
      <c r="A1864" s="133" t="s">
        <v>7</v>
      </c>
      <c r="B1864" s="133" t="s">
        <v>435</v>
      </c>
      <c r="C1864" s="133" t="s">
        <v>2543</v>
      </c>
      <c r="D1864" s="133" t="s">
        <v>477</v>
      </c>
      <c r="E1864" s="158">
        <v>8</v>
      </c>
      <c r="F1864" s="158">
        <v>0</v>
      </c>
      <c r="G1864" s="158">
        <v>0</v>
      </c>
      <c r="H1864" s="133" t="s">
        <v>2544</v>
      </c>
      <c r="I1864" s="133" t="s">
        <v>479</v>
      </c>
      <c r="J1864" s="158">
        <v>1</v>
      </c>
      <c r="K1864" s="159" t="str">
        <f ca="1">IFERROR(__xludf.DUMMYFUNCTION("GOOGLETRANSLATE(H1864,""th"",""en"")"),"Employee code at the QC normal product")</f>
        <v>Employee code at the QC normal product</v>
      </c>
    </row>
    <row r="1865" spans="1:11" ht="15.75" hidden="1" customHeight="1">
      <c r="A1865" s="133" t="s">
        <v>7</v>
      </c>
      <c r="B1865" s="133" t="s">
        <v>435</v>
      </c>
      <c r="C1865" s="133" t="s">
        <v>2545</v>
      </c>
      <c r="D1865" s="133" t="s">
        <v>805</v>
      </c>
      <c r="E1865" s="158">
        <v>1</v>
      </c>
      <c r="F1865" s="158">
        <v>3</v>
      </c>
      <c r="G1865" s="158">
        <v>0</v>
      </c>
      <c r="H1865" s="133" t="s">
        <v>2546</v>
      </c>
      <c r="I1865" s="133" t="s">
        <v>479</v>
      </c>
      <c r="J1865" s="158">
        <v>1</v>
      </c>
      <c r="K1865" s="159" t="str">
        <f ca="1">IFERROR(__xludf.DUMMYFUNCTION("GOOGLETRANSLATE(H1865,""th"",""en"")"),"Number of boxes that must be sent to customers")</f>
        <v>Number of boxes that must be sent to customers</v>
      </c>
    </row>
    <row r="1866" spans="1:11" ht="15.75" hidden="1" customHeight="1">
      <c r="A1866" s="133" t="s">
        <v>7</v>
      </c>
      <c r="B1866" s="133" t="s">
        <v>435</v>
      </c>
      <c r="C1866" s="133" t="s">
        <v>2547</v>
      </c>
      <c r="D1866" s="133" t="s">
        <v>805</v>
      </c>
      <c r="E1866" s="158">
        <v>1</v>
      </c>
      <c r="F1866" s="158">
        <v>3</v>
      </c>
      <c r="G1866" s="158">
        <v>0</v>
      </c>
      <c r="H1866" s="133" t="s">
        <v>2548</v>
      </c>
      <c r="I1866" s="133" t="s">
        <v>479</v>
      </c>
      <c r="J1866" s="158">
        <v>1</v>
      </c>
      <c r="K1866" s="159" t="str">
        <f ca="1">IFERROR(__xludf.DUMMYFUNCTION("GOOGLETRANSLATE(H1866,""th"",""en"")"),"Number of bags that must be sent to customers")</f>
        <v>Number of bags that must be sent to customers</v>
      </c>
    </row>
    <row r="1867" spans="1:11" ht="15.75" hidden="1" customHeight="1">
      <c r="A1867" s="133" t="s">
        <v>7</v>
      </c>
      <c r="B1867" s="133" t="s">
        <v>435</v>
      </c>
      <c r="C1867" s="133" t="s">
        <v>2549</v>
      </c>
      <c r="D1867" s="133" t="s">
        <v>477</v>
      </c>
      <c r="E1867" s="158">
        <v>50</v>
      </c>
      <c r="F1867" s="158">
        <v>0</v>
      </c>
      <c r="G1867" s="158">
        <v>0</v>
      </c>
      <c r="H1867" s="133" t="s">
        <v>2550</v>
      </c>
      <c r="I1867" s="133" t="s">
        <v>479</v>
      </c>
      <c r="J1867" s="158">
        <v>1</v>
      </c>
      <c r="K1867" s="159" t="str">
        <f ca="1">IFERROR(__xludf.DUMMYFUNCTION("GOOGLETRANSLATE(H1867,""th"",""en"")"),"Product name")</f>
        <v>Product name</v>
      </c>
    </row>
    <row r="1868" spans="1:11" ht="15.75" hidden="1" customHeight="1">
      <c r="A1868" s="133" t="s">
        <v>7</v>
      </c>
      <c r="B1868" s="133" t="s">
        <v>435</v>
      </c>
      <c r="C1868" s="133" t="s">
        <v>2551</v>
      </c>
      <c r="D1868" s="133" t="s">
        <v>477</v>
      </c>
      <c r="E1868" s="158">
        <v>50</v>
      </c>
      <c r="F1868" s="158">
        <v>0</v>
      </c>
      <c r="G1868" s="158">
        <v>0</v>
      </c>
      <c r="H1868" s="133" t="s">
        <v>2552</v>
      </c>
      <c r="I1868" s="133" t="s">
        <v>479</v>
      </c>
      <c r="J1868" s="158">
        <v>1</v>
      </c>
      <c r="K1868" s="159" t="str">
        <f ca="1">IFERROR(__xludf.DUMMYFUNCTION("GOOGLETRANSLATE(H1868,""th"",""en"")"),"Phone number of the product recipient")</f>
        <v>Phone number of the product recipient</v>
      </c>
    </row>
    <row r="1869" spans="1:11" ht="15.75" hidden="1" customHeight="1">
      <c r="A1869" s="133" t="s">
        <v>7</v>
      </c>
      <c r="B1869" s="133" t="s">
        <v>435</v>
      </c>
      <c r="C1869" s="133" t="s">
        <v>2553</v>
      </c>
      <c r="D1869" s="133" t="s">
        <v>491</v>
      </c>
      <c r="E1869" s="158">
        <v>1</v>
      </c>
      <c r="F1869" s="158">
        <v>0</v>
      </c>
      <c r="G1869" s="158">
        <v>0</v>
      </c>
      <c r="H1869" s="133" t="s">
        <v>2554</v>
      </c>
      <c r="I1869" s="133" t="s">
        <v>479</v>
      </c>
      <c r="J1869" s="158">
        <v>1</v>
      </c>
      <c r="K1869" s="159" t="str">
        <f ca="1">IFERROR(__xludf.DUMMYFUNCTION("GOOGLETRANSLATE(H1869,""th"",""en"")"),"[Y, N, NULL] In So is that there is a certificate so this product is free?")</f>
        <v>[Y, N, NULL] In So is that there is a certificate so this product is free?</v>
      </c>
    </row>
    <row r="1870" spans="1:11" ht="15.75" hidden="1" customHeight="1">
      <c r="A1870" s="133" t="s">
        <v>7</v>
      </c>
      <c r="B1870" s="133" t="s">
        <v>435</v>
      </c>
      <c r="C1870" s="133" t="s">
        <v>2555</v>
      </c>
      <c r="D1870" s="133" t="s">
        <v>477</v>
      </c>
      <c r="E1870" s="158">
        <v>20</v>
      </c>
      <c r="F1870" s="158">
        <v>0</v>
      </c>
      <c r="G1870" s="158">
        <v>0</v>
      </c>
      <c r="H1870" s="133" t="s">
        <v>2556</v>
      </c>
      <c r="I1870" s="133" t="s">
        <v>479</v>
      </c>
      <c r="J1870" s="158">
        <v>1</v>
      </c>
      <c r="K1870" s="159" t="str">
        <f ca="1">IFERROR(__xludf.DUMMYFUNCTION("GOOGLETRANSLATE(H1870,""th"",""en"")"),"Fax number of the product recipient")</f>
        <v>Fax number of the product recipient</v>
      </c>
    </row>
    <row r="1871" spans="1:11" ht="15.75" hidden="1" customHeight="1">
      <c r="A1871" s="133" t="s">
        <v>7</v>
      </c>
      <c r="B1871" s="133" t="s">
        <v>435</v>
      </c>
      <c r="C1871" s="133" t="s">
        <v>2557</v>
      </c>
      <c r="D1871" s="133" t="s">
        <v>484</v>
      </c>
      <c r="E1871" s="158">
        <v>4</v>
      </c>
      <c r="F1871" s="158">
        <v>10</v>
      </c>
      <c r="G1871" s="158">
        <v>0</v>
      </c>
      <c r="H1871" s="133" t="s">
        <v>2548</v>
      </c>
      <c r="I1871" s="133" t="s">
        <v>479</v>
      </c>
      <c r="J1871" s="158">
        <v>1</v>
      </c>
      <c r="K1871" s="159" t="str">
        <f ca="1">IFERROR(__xludf.DUMMYFUNCTION("GOOGLETRANSLATE(H1871,""th"",""en"")"),"Number of bags that must be sent to customers")</f>
        <v>Number of bags that must be sent to customers</v>
      </c>
    </row>
    <row r="1872" spans="1:11" ht="15.75" hidden="1" customHeight="1">
      <c r="A1872" s="133" t="s">
        <v>7</v>
      </c>
      <c r="B1872" s="133" t="s">
        <v>435</v>
      </c>
      <c r="C1872" s="133" t="s">
        <v>2558</v>
      </c>
      <c r="D1872" s="133" t="s">
        <v>484</v>
      </c>
      <c r="E1872" s="158">
        <v>4</v>
      </c>
      <c r="F1872" s="158">
        <v>10</v>
      </c>
      <c r="G1872" s="158">
        <v>0</v>
      </c>
      <c r="H1872" s="133" t="s">
        <v>2548</v>
      </c>
      <c r="I1872" s="133" t="s">
        <v>479</v>
      </c>
      <c r="J1872" s="158">
        <v>1</v>
      </c>
      <c r="K1872" s="159" t="str">
        <f ca="1">IFERROR(__xludf.DUMMYFUNCTION("GOOGLETRANSLATE(H1872,""th"",""en"")"),"Number of bags that must be sent to customers")</f>
        <v>Number of bags that must be sent to customers</v>
      </c>
    </row>
    <row r="1873" spans="1:11" ht="15.75" hidden="1" customHeight="1">
      <c r="A1873" s="133" t="s">
        <v>7</v>
      </c>
      <c r="B1873" s="133" t="s">
        <v>435</v>
      </c>
      <c r="C1873" s="133" t="s">
        <v>2559</v>
      </c>
      <c r="D1873" s="133" t="s">
        <v>484</v>
      </c>
      <c r="E1873" s="158">
        <v>4</v>
      </c>
      <c r="F1873" s="158">
        <v>10</v>
      </c>
      <c r="G1873" s="158">
        <v>0</v>
      </c>
      <c r="H1873" s="133" t="s">
        <v>2546</v>
      </c>
      <c r="I1873" s="133" t="s">
        <v>479</v>
      </c>
      <c r="J1873" s="158">
        <v>1</v>
      </c>
      <c r="K1873" s="159" t="str">
        <f ca="1">IFERROR(__xludf.DUMMYFUNCTION("GOOGLETRANSLATE(H1873,""th"",""en"")"),"Number of boxes that must be sent to customers")</f>
        <v>Number of boxes that must be sent to customers</v>
      </c>
    </row>
    <row r="1874" spans="1:11" ht="15.75" hidden="1" customHeight="1">
      <c r="A1874" s="133" t="s">
        <v>7</v>
      </c>
      <c r="B1874" s="133" t="s">
        <v>435</v>
      </c>
      <c r="C1874" s="133" t="s">
        <v>2560</v>
      </c>
      <c r="D1874" s="133" t="s">
        <v>484</v>
      </c>
      <c r="E1874" s="158">
        <v>4</v>
      </c>
      <c r="F1874" s="158">
        <v>10</v>
      </c>
      <c r="G1874" s="158">
        <v>0</v>
      </c>
      <c r="H1874" s="133" t="s">
        <v>2546</v>
      </c>
      <c r="I1874" s="133" t="s">
        <v>479</v>
      </c>
      <c r="J1874" s="158">
        <v>1</v>
      </c>
      <c r="K1874" s="159" t="str">
        <f ca="1">IFERROR(__xludf.DUMMYFUNCTION("GOOGLETRANSLATE(H1874,""th"",""en"")"),"Number of boxes that must be sent to customers")</f>
        <v>Number of boxes that must be sent to customers</v>
      </c>
    </row>
    <row r="1875" spans="1:11" ht="15.75" hidden="1" customHeight="1">
      <c r="A1875" s="133" t="s">
        <v>7</v>
      </c>
      <c r="B1875" s="133" t="s">
        <v>435</v>
      </c>
      <c r="C1875" s="133" t="s">
        <v>2561</v>
      </c>
      <c r="D1875" s="133" t="s">
        <v>477</v>
      </c>
      <c r="E1875" s="158">
        <v>2</v>
      </c>
      <c r="F1875" s="158">
        <v>0</v>
      </c>
      <c r="G1875" s="158">
        <v>0</v>
      </c>
      <c r="H1875" s="133" t="s">
        <v>2562</v>
      </c>
      <c r="I1875" s="133" t="s">
        <v>479</v>
      </c>
      <c r="J1875" s="158">
        <v>1</v>
      </c>
      <c r="K1875" s="159" t="str">
        <f ca="1">IFERROR(__xludf.DUMMYFUNCTION("GOOGLETRANSLATE(H1875,""th"",""en"")"),"Cancel Type")</f>
        <v>Cancel Type</v>
      </c>
    </row>
    <row r="1876" spans="1:11" ht="15.75" hidden="1" customHeight="1">
      <c r="A1876" s="133" t="s">
        <v>7</v>
      </c>
      <c r="B1876" s="133" t="s">
        <v>435</v>
      </c>
      <c r="C1876" s="133" t="s">
        <v>2563</v>
      </c>
      <c r="D1876" s="133" t="s">
        <v>477</v>
      </c>
      <c r="E1876" s="158">
        <v>200</v>
      </c>
      <c r="F1876" s="158">
        <v>0</v>
      </c>
      <c r="G1876" s="158">
        <v>0</v>
      </c>
      <c r="H1876" s="133" t="s">
        <v>2564</v>
      </c>
      <c r="I1876" s="133" t="s">
        <v>479</v>
      </c>
      <c r="J1876" s="158">
        <v>1</v>
      </c>
      <c r="K1876" s="159" t="str">
        <f ca="1">IFERROR(__xludf.DUMMYFUNCTION("GOOGLETRANSLATE(H1876,""th"",""en"")"),"Cancel Remark")</f>
        <v>Cancel Remark</v>
      </c>
    </row>
    <row r="1877" spans="1:11" ht="15.75" hidden="1" customHeight="1">
      <c r="A1877" s="133" t="s">
        <v>7</v>
      </c>
      <c r="B1877" s="133" t="s">
        <v>435</v>
      </c>
      <c r="C1877" s="133" t="s">
        <v>2565</v>
      </c>
      <c r="D1877" s="133" t="s">
        <v>481</v>
      </c>
      <c r="E1877" s="158">
        <v>5</v>
      </c>
      <c r="F1877" s="158">
        <v>9</v>
      </c>
      <c r="G1877" s="158">
        <v>2</v>
      </c>
      <c r="H1877" s="133" t="s">
        <v>2566</v>
      </c>
      <c r="I1877" s="133" t="s">
        <v>479</v>
      </c>
      <c r="J1877" s="158">
        <v>1</v>
      </c>
      <c r="K1877" s="159" t="str">
        <f ca="1">IFERROR(__xludf.DUMMYFUNCTION("GOOGLETRANSLATE(H1877,""th"",""en"")"),"Total Amount of Best Deal Product")</f>
        <v>Total Amount of Best Deal Product</v>
      </c>
    </row>
    <row r="1878" spans="1:11" ht="15.75" hidden="1" customHeight="1">
      <c r="A1878" s="133" t="s">
        <v>7</v>
      </c>
      <c r="B1878" s="133" t="s">
        <v>435</v>
      </c>
      <c r="C1878" s="133" t="s">
        <v>2567</v>
      </c>
      <c r="D1878" s="133" t="s">
        <v>491</v>
      </c>
      <c r="E1878" s="158">
        <v>1</v>
      </c>
      <c r="F1878" s="158">
        <v>0</v>
      </c>
      <c r="G1878" s="158">
        <v>0</v>
      </c>
      <c r="H1878" s="133" t="s">
        <v>2568</v>
      </c>
      <c r="I1878" s="133" t="s">
        <v>479</v>
      </c>
      <c r="J1878" s="158">
        <v>1</v>
      </c>
      <c r="K1878" s="159" t="str">
        <f ca="1">IFERROR(__xludf.DUMMYFUNCTION("GOOGLETRANSLATE(H1878,""th"",""en"")"),"Unused")</f>
        <v>Unused</v>
      </c>
    </row>
    <row r="1879" spans="1:11" ht="15.75" hidden="1" customHeight="1">
      <c r="A1879" s="133" t="s">
        <v>7</v>
      </c>
      <c r="B1879" s="133" t="s">
        <v>435</v>
      </c>
      <c r="C1879" s="133" t="s">
        <v>2569</v>
      </c>
      <c r="D1879" s="133" t="s">
        <v>491</v>
      </c>
      <c r="E1879" s="158">
        <v>1</v>
      </c>
      <c r="F1879" s="158">
        <v>0</v>
      </c>
      <c r="G1879" s="158">
        <v>0</v>
      </c>
      <c r="H1879" s="133" t="s">
        <v>2570</v>
      </c>
      <c r="I1879" s="133" t="s">
        <v>548</v>
      </c>
      <c r="J1879" s="158">
        <v>0</v>
      </c>
      <c r="K1879" s="159" t="str">
        <f ca="1">IFERROR(__xludf.DUMMYFUNCTION("GOOGLETRANSLATE(H1879,""th"",""en"")"),"Trendy Order Flag (Y / N)")</f>
        <v>Trendy Order Flag (Y / N)</v>
      </c>
    </row>
    <row r="1880" spans="1:11" ht="15.75" hidden="1" customHeight="1">
      <c r="A1880" s="133" t="s">
        <v>7</v>
      </c>
      <c r="B1880" s="133" t="s">
        <v>435</v>
      </c>
      <c r="C1880" s="133" t="s">
        <v>2571</v>
      </c>
      <c r="D1880" s="133" t="s">
        <v>477</v>
      </c>
      <c r="E1880" s="158">
        <v>3</v>
      </c>
      <c r="F1880" s="158">
        <v>0</v>
      </c>
      <c r="G1880" s="158">
        <v>0</v>
      </c>
      <c r="H1880" s="133" t="s">
        <v>2572</v>
      </c>
      <c r="I1880" s="133" t="s">
        <v>548</v>
      </c>
      <c r="J1880" s="158">
        <v>1</v>
      </c>
      <c r="K1880" s="159" t="str">
        <f ca="1">IFERROR(__xludf.DUMMYFUNCTION("GOOGLETRANSLATE(H1880,""th"",""en"")"),"Class Sale Representative")</f>
        <v>Class Sale Representative</v>
      </c>
    </row>
    <row r="1881" spans="1:11" ht="15.75" hidden="1" customHeight="1">
      <c r="A1881" s="133" t="s">
        <v>7</v>
      </c>
      <c r="B1881" s="133" t="s">
        <v>435</v>
      </c>
      <c r="C1881" s="133" t="s">
        <v>1265</v>
      </c>
      <c r="D1881" s="133" t="s">
        <v>481</v>
      </c>
      <c r="E1881" s="158">
        <v>5</v>
      </c>
      <c r="F1881" s="158">
        <v>9</v>
      </c>
      <c r="G1881" s="158">
        <v>2</v>
      </c>
      <c r="H1881" s="133" t="s">
        <v>2573</v>
      </c>
      <c r="I1881" s="133" t="s">
        <v>615</v>
      </c>
      <c r="J1881" s="158">
        <v>0</v>
      </c>
      <c r="K1881" s="159" t="str">
        <f ca="1">IFERROR(__xludf.DUMMYFUNCTION("GOOGLETRANSLATE(H1881,""th"",""en"")"),"Net Amount of Vat Product")</f>
        <v>Net Amount of Vat Product</v>
      </c>
    </row>
    <row r="1882" spans="1:11" ht="15.75" hidden="1" customHeight="1">
      <c r="A1882" s="133" t="s">
        <v>7</v>
      </c>
      <c r="B1882" s="133" t="s">
        <v>435</v>
      </c>
      <c r="C1882" s="133" t="s">
        <v>1267</v>
      </c>
      <c r="D1882" s="133" t="s">
        <v>481</v>
      </c>
      <c r="E1882" s="158">
        <v>5</v>
      </c>
      <c r="F1882" s="158">
        <v>9</v>
      </c>
      <c r="G1882" s="158">
        <v>2</v>
      </c>
      <c r="H1882" s="133" t="s">
        <v>2574</v>
      </c>
      <c r="I1882" s="133" t="s">
        <v>615</v>
      </c>
      <c r="J1882" s="158">
        <v>0</v>
      </c>
      <c r="K1882" s="159" t="str">
        <f ca="1">IFERROR(__xludf.DUMMYFUNCTION("GOOGLETRANSLATE(H1882,""th"",""en"")"),"Net Amount of Non Vat Product")</f>
        <v>Net Amount of Non Vat Product</v>
      </c>
    </row>
    <row r="1883" spans="1:11" ht="15.75" hidden="1" customHeight="1">
      <c r="A1883" s="133" t="s">
        <v>7</v>
      </c>
      <c r="B1883" s="133" t="s">
        <v>435</v>
      </c>
      <c r="C1883" s="133" t="s">
        <v>2442</v>
      </c>
      <c r="D1883" s="133" t="s">
        <v>481</v>
      </c>
      <c r="E1883" s="158">
        <v>5</v>
      </c>
      <c r="F1883" s="158">
        <v>9</v>
      </c>
      <c r="G1883" s="158">
        <v>2</v>
      </c>
      <c r="H1883" s="133" t="s">
        <v>2443</v>
      </c>
      <c r="I1883" s="133" t="s">
        <v>615</v>
      </c>
      <c r="J1883" s="158">
        <v>0</v>
      </c>
      <c r="K1883" s="159" t="str">
        <f ca="1">IFERROR(__xludf.DUMMYFUNCTION("GOOGLETRANSLATE(H1883,""th"",""en"")"),"Deliver Fee (Item)")</f>
        <v>Deliver Fee (Item)</v>
      </c>
    </row>
    <row r="1884" spans="1:11" ht="15.75" hidden="1" customHeight="1">
      <c r="A1884" s="133" t="s">
        <v>7</v>
      </c>
      <c r="B1884" s="133" t="s">
        <v>435</v>
      </c>
      <c r="C1884" s="133" t="s">
        <v>2575</v>
      </c>
      <c r="D1884" s="133" t="s">
        <v>481</v>
      </c>
      <c r="E1884" s="158">
        <v>5</v>
      </c>
      <c r="F1884" s="158">
        <v>9</v>
      </c>
      <c r="G1884" s="158">
        <v>2</v>
      </c>
      <c r="H1884" s="133" t="s">
        <v>2576</v>
      </c>
      <c r="I1884" s="133" t="s">
        <v>615</v>
      </c>
      <c r="J1884" s="158">
        <v>0</v>
      </c>
      <c r="K1884" s="159" t="str">
        <f ca="1">IFERROR(__xludf.DUMMYFUNCTION("GOOGLETRANSLATE(H1884,""th"",""en"")"),"Deliver Fee (Order)")</f>
        <v>Deliver Fee (Order)</v>
      </c>
    </row>
    <row r="1885" spans="1:11" ht="15.75" hidden="1" customHeight="1">
      <c r="A1885" s="133" t="s">
        <v>7</v>
      </c>
      <c r="B1885" s="133" t="s">
        <v>435</v>
      </c>
      <c r="C1885" s="133" t="s">
        <v>2577</v>
      </c>
      <c r="D1885" s="133" t="s">
        <v>477</v>
      </c>
      <c r="E1885" s="158">
        <v>7</v>
      </c>
      <c r="F1885" s="158">
        <v>0</v>
      </c>
      <c r="G1885" s="158">
        <v>0</v>
      </c>
      <c r="H1885" s="133" t="s">
        <v>2578</v>
      </c>
      <c r="I1885" s="133" t="s">
        <v>548</v>
      </c>
      <c r="J1885" s="158">
        <v>1</v>
      </c>
      <c r="K1885" s="159" t="str">
        <f ca="1">IFERROR(__xludf.DUMMYFUNCTION("GOOGLETRANSLATE(H1885,""th"",""en"")"),"Sub Area Code")</f>
        <v>Sub Area Code</v>
      </c>
    </row>
    <row r="1886" spans="1:11" ht="15.75" hidden="1" customHeight="1">
      <c r="A1886" s="133" t="s">
        <v>7</v>
      </c>
      <c r="B1886" s="133" t="s">
        <v>435</v>
      </c>
      <c r="C1886" s="133" t="s">
        <v>2579</v>
      </c>
      <c r="D1886" s="133" t="s">
        <v>481</v>
      </c>
      <c r="E1886" s="158">
        <v>9</v>
      </c>
      <c r="F1886" s="158">
        <v>11</v>
      </c>
      <c r="G1886" s="158">
        <v>2</v>
      </c>
      <c r="H1886" s="133" t="s">
        <v>2580</v>
      </c>
      <c r="I1886" s="133" t="s">
        <v>615</v>
      </c>
      <c r="J1886" s="158">
        <v>0</v>
      </c>
      <c r="K1886" s="159" t="str">
        <f ca="1">IFERROR(__xludf.DUMMYFUNCTION("GOOGLETRANSLATE(H1886,""th"",""en"")"),"Net Amount of Vat")</f>
        <v>Net Amount of Vat</v>
      </c>
    </row>
    <row r="1887" spans="1:11" ht="15.75" hidden="1" customHeight="1">
      <c r="A1887" s="133" t="s">
        <v>7</v>
      </c>
      <c r="B1887" s="133" t="s">
        <v>435</v>
      </c>
      <c r="C1887" s="133" t="s">
        <v>2581</v>
      </c>
      <c r="D1887" s="133" t="s">
        <v>477</v>
      </c>
      <c r="E1887" s="158">
        <v>100</v>
      </c>
      <c r="F1887" s="158">
        <v>0</v>
      </c>
      <c r="G1887" s="158">
        <v>0</v>
      </c>
      <c r="H1887" s="133" t="s">
        <v>479</v>
      </c>
      <c r="I1887" s="133" t="s">
        <v>548</v>
      </c>
      <c r="J1887" s="158">
        <v>1</v>
      </c>
      <c r="K1887" s="159" t="str">
        <f ca="1">IFERROR(__xludf.DUMMYFUNCTION("GOOGLETRANSLATE(H1887,""th"",""en"")"),"Null")</f>
        <v>Null</v>
      </c>
    </row>
    <row r="1888" spans="1:11" ht="15.75" hidden="1" customHeight="1">
      <c r="A1888" s="133" t="s">
        <v>7</v>
      </c>
      <c r="B1888" s="133" t="s">
        <v>435</v>
      </c>
      <c r="C1888" s="133" t="s">
        <v>2582</v>
      </c>
      <c r="D1888" s="133" t="s">
        <v>477</v>
      </c>
      <c r="E1888" s="158">
        <v>20</v>
      </c>
      <c r="F1888" s="158">
        <v>0</v>
      </c>
      <c r="G1888" s="158">
        <v>0</v>
      </c>
      <c r="H1888" s="133" t="s">
        <v>2583</v>
      </c>
      <c r="I1888" s="133" t="s">
        <v>548</v>
      </c>
      <c r="J1888" s="158">
        <v>0</v>
      </c>
      <c r="K1888" s="159" t="str">
        <f ca="1">IFERROR(__xludf.DUMMYFUNCTION("GOOGLETRANSLATE(H1888,""th"",""en"")"),"Weborderid storage")</f>
        <v>Weborderid storage</v>
      </c>
    </row>
    <row r="1889" spans="1:11" ht="15.75" hidden="1" customHeight="1">
      <c r="A1889" s="133" t="s">
        <v>7</v>
      </c>
      <c r="B1889" s="133" t="s">
        <v>435</v>
      </c>
      <c r="C1889" s="133" t="s">
        <v>592</v>
      </c>
      <c r="D1889" s="133" t="s">
        <v>477</v>
      </c>
      <c r="E1889" s="158">
        <v>6</v>
      </c>
      <c r="F1889" s="158">
        <v>0</v>
      </c>
      <c r="G1889" s="158">
        <v>0</v>
      </c>
      <c r="H1889" s="133" t="s">
        <v>479</v>
      </c>
      <c r="I1889" s="133" t="s">
        <v>479</v>
      </c>
      <c r="J1889" s="158">
        <v>1</v>
      </c>
      <c r="K1889" s="159" t="str">
        <f ca="1">IFERROR(__xludf.DUMMYFUNCTION("GOOGLETRANSLATE(H1889,""th"",""en"")"),"Null")</f>
        <v>Null</v>
      </c>
    </row>
    <row r="1890" spans="1:11" ht="15.75" hidden="1" customHeight="1">
      <c r="A1890" s="133" t="s">
        <v>7</v>
      </c>
      <c r="B1890" s="133" t="s">
        <v>435</v>
      </c>
      <c r="C1890" s="133" t="s">
        <v>712</v>
      </c>
      <c r="D1890" s="133" t="s">
        <v>477</v>
      </c>
      <c r="E1890" s="158">
        <v>30</v>
      </c>
      <c r="F1890" s="158">
        <v>0</v>
      </c>
      <c r="G1890" s="158">
        <v>0</v>
      </c>
      <c r="H1890" s="133" t="s">
        <v>479</v>
      </c>
      <c r="I1890" s="133" t="s">
        <v>548</v>
      </c>
      <c r="J1890" s="158">
        <v>0</v>
      </c>
      <c r="K1890" s="159" t="str">
        <f ca="1">IFERROR(__xludf.DUMMYFUNCTION("GOOGLETRANSLATE(H1890,""th"",""en"")"),"Null")</f>
        <v>Null</v>
      </c>
    </row>
    <row r="1891" spans="1:11" ht="15.75" hidden="1" customHeight="1">
      <c r="A1891" s="133" t="s">
        <v>7</v>
      </c>
      <c r="B1891" s="133" t="s">
        <v>435</v>
      </c>
      <c r="C1891" s="133" t="s">
        <v>1741</v>
      </c>
      <c r="D1891" s="133" t="s">
        <v>477</v>
      </c>
      <c r="E1891" s="158">
        <v>50</v>
      </c>
      <c r="F1891" s="158">
        <v>0</v>
      </c>
      <c r="G1891" s="158">
        <v>0</v>
      </c>
      <c r="H1891" s="133" t="s">
        <v>479</v>
      </c>
      <c r="I1891" s="133" t="s">
        <v>548</v>
      </c>
      <c r="J1891" s="158">
        <v>0</v>
      </c>
      <c r="K1891" s="159" t="str">
        <f ca="1">IFERROR(__xludf.DUMMYFUNCTION("GOOGLETRANSLATE(H1891,""th"",""en"")"),"Null")</f>
        <v>Null</v>
      </c>
    </row>
    <row r="1892" spans="1:11" ht="15.75" hidden="1" customHeight="1">
      <c r="A1892" s="133" t="s">
        <v>7</v>
      </c>
      <c r="B1892" s="133" t="s">
        <v>435</v>
      </c>
      <c r="C1892" s="133" t="s">
        <v>594</v>
      </c>
      <c r="D1892" s="133" t="s">
        <v>477</v>
      </c>
      <c r="E1892" s="158">
        <v>4</v>
      </c>
      <c r="F1892" s="158">
        <v>0</v>
      </c>
      <c r="G1892" s="158">
        <v>0</v>
      </c>
      <c r="H1892" s="133" t="s">
        <v>479</v>
      </c>
      <c r="I1892" s="133" t="s">
        <v>548</v>
      </c>
      <c r="J1892" s="158">
        <v>0</v>
      </c>
      <c r="K1892" s="159" t="str">
        <f ca="1">IFERROR(__xludf.DUMMYFUNCTION("GOOGLETRANSLATE(H1892,""th"",""en"")"),"Null")</f>
        <v>Null</v>
      </c>
    </row>
    <row r="1893" spans="1:11" ht="15.75" hidden="1" customHeight="1">
      <c r="A1893" s="133" t="s">
        <v>7</v>
      </c>
      <c r="B1893" s="133" t="s">
        <v>435</v>
      </c>
      <c r="C1893" s="133" t="s">
        <v>2584</v>
      </c>
      <c r="D1893" s="133" t="s">
        <v>481</v>
      </c>
      <c r="E1893" s="158">
        <v>5</v>
      </c>
      <c r="F1893" s="158">
        <v>9</v>
      </c>
      <c r="G1893" s="158">
        <v>2</v>
      </c>
      <c r="H1893" s="133" t="s">
        <v>2585</v>
      </c>
      <c r="I1893" s="133" t="s">
        <v>615</v>
      </c>
      <c r="J1893" s="158">
        <v>0</v>
      </c>
      <c r="K1893" s="159" t="str">
        <f ca="1">IFERROR(__xludf.DUMMYFUNCTION("GOOGLETRANSLATE(H1893,""th"",""en"")"),"Top products including VAT")</f>
        <v>Top products including VAT</v>
      </c>
    </row>
    <row r="1894" spans="1:11" ht="15.75" hidden="1" customHeight="1">
      <c r="A1894" s="133" t="s">
        <v>7</v>
      </c>
      <c r="B1894" s="133" t="s">
        <v>435</v>
      </c>
      <c r="C1894" s="133" t="s">
        <v>2586</v>
      </c>
      <c r="D1894" s="133" t="s">
        <v>481</v>
      </c>
      <c r="E1894" s="158">
        <v>5</v>
      </c>
      <c r="F1894" s="158">
        <v>9</v>
      </c>
      <c r="G1894" s="158">
        <v>2</v>
      </c>
      <c r="H1894" s="133" t="s">
        <v>2587</v>
      </c>
      <c r="I1894" s="133" t="s">
        <v>615</v>
      </c>
      <c r="J1894" s="158">
        <v>0</v>
      </c>
      <c r="K1894" s="159" t="str">
        <f ca="1">IFERROR(__xludf.DUMMYFUNCTION("GOOGLETRANSLATE(H1894,""th"",""en"")"),"Product not including VAT")</f>
        <v>Product not including VAT</v>
      </c>
    </row>
    <row r="1895" spans="1:11" ht="15.75" hidden="1" customHeight="1">
      <c r="A1895" s="133" t="s">
        <v>7</v>
      </c>
      <c r="B1895" s="133" t="s">
        <v>435</v>
      </c>
      <c r="C1895" s="133" t="s">
        <v>228</v>
      </c>
      <c r="D1895" s="133" t="s">
        <v>477</v>
      </c>
      <c r="E1895" s="158">
        <v>20</v>
      </c>
      <c r="F1895" s="158">
        <v>0</v>
      </c>
      <c r="G1895" s="158">
        <v>0</v>
      </c>
      <c r="H1895" s="133" t="s">
        <v>1565</v>
      </c>
      <c r="I1895" s="133" t="s">
        <v>548</v>
      </c>
      <c r="J1895" s="158">
        <v>0</v>
      </c>
      <c r="K1895" s="159" t="str">
        <f ca="1">IFERROR(__xludf.DUMMYFUNCTION("GOOGLETRANSLATE(H1895,""th"",""en"")"),"Voucher number")</f>
        <v>Voucher number</v>
      </c>
    </row>
    <row r="1896" spans="1:11" ht="15.75" hidden="1" customHeight="1">
      <c r="A1896" s="133" t="s">
        <v>7</v>
      </c>
      <c r="B1896" s="133" t="s">
        <v>435</v>
      </c>
      <c r="C1896" s="133" t="s">
        <v>2588</v>
      </c>
      <c r="D1896" s="133" t="s">
        <v>481</v>
      </c>
      <c r="E1896" s="158">
        <v>5</v>
      </c>
      <c r="F1896" s="158">
        <v>9</v>
      </c>
      <c r="G1896" s="158">
        <v>2</v>
      </c>
      <c r="H1896" s="133" t="s">
        <v>2589</v>
      </c>
      <c r="I1896" s="133" t="s">
        <v>615</v>
      </c>
      <c r="J1896" s="158">
        <v>0</v>
      </c>
      <c r="K1896" s="159" t="str">
        <f ca="1">IFERROR(__xludf.DUMMYFUNCTION("GOOGLETRANSLATE(H1896,""th"",""en"")"),"Voucher's balance")</f>
        <v>Voucher's balance</v>
      </c>
    </row>
    <row r="1897" spans="1:11" ht="15.75" hidden="1" customHeight="1">
      <c r="A1897" s="133" t="s">
        <v>7</v>
      </c>
      <c r="B1897" s="133" t="s">
        <v>435</v>
      </c>
      <c r="C1897" s="133" t="s">
        <v>2590</v>
      </c>
      <c r="D1897" s="133" t="s">
        <v>481</v>
      </c>
      <c r="E1897" s="158">
        <v>5</v>
      </c>
      <c r="F1897" s="158">
        <v>5</v>
      </c>
      <c r="G1897" s="158">
        <v>2</v>
      </c>
      <c r="H1897" s="133" t="s">
        <v>2591</v>
      </c>
      <c r="I1897" s="133" t="s">
        <v>615</v>
      </c>
      <c r="J1897" s="158">
        <v>0</v>
      </c>
      <c r="K1897" s="159" t="str">
        <f ca="1">IFERROR(__xludf.DUMMYFUNCTION("GOOGLETRANSLATE(H1897,""th"",""en"")"),"Collect the percentage of voucher")</f>
        <v>Collect the percentage of voucher</v>
      </c>
    </row>
    <row r="1898" spans="1:11" ht="15.75" hidden="1" customHeight="1">
      <c r="A1898" s="133" t="s">
        <v>7</v>
      </c>
      <c r="B1898" s="133" t="s">
        <v>435</v>
      </c>
      <c r="C1898" s="133" t="s">
        <v>2592</v>
      </c>
      <c r="D1898" s="133" t="s">
        <v>481</v>
      </c>
      <c r="E1898" s="158">
        <v>5</v>
      </c>
      <c r="F1898" s="158">
        <v>9</v>
      </c>
      <c r="G1898" s="158">
        <v>2</v>
      </c>
      <c r="H1898" s="133" t="s">
        <v>2593</v>
      </c>
      <c r="I1898" s="133" t="s">
        <v>615</v>
      </c>
      <c r="J1898" s="158">
        <v>0</v>
      </c>
      <c r="K1898" s="159" t="str">
        <f ca="1">IFERROR(__xludf.DUMMYFUNCTION("GOOGLETRANSLATE(H1898,""th"",""en"")"),"All products include VAT")</f>
        <v>All products include VAT</v>
      </c>
    </row>
    <row r="1899" spans="1:11" ht="15.75" hidden="1" customHeight="1">
      <c r="A1899" s="133" t="s">
        <v>7</v>
      </c>
      <c r="B1899" s="133" t="s">
        <v>435</v>
      </c>
      <c r="C1899" s="133" t="s">
        <v>2452</v>
      </c>
      <c r="D1899" s="133" t="s">
        <v>481</v>
      </c>
      <c r="E1899" s="158">
        <v>5</v>
      </c>
      <c r="F1899" s="158">
        <v>9</v>
      </c>
      <c r="G1899" s="158">
        <v>2</v>
      </c>
      <c r="H1899" s="133" t="s">
        <v>2594</v>
      </c>
      <c r="I1899" s="133" t="s">
        <v>615</v>
      </c>
      <c r="J1899" s="158">
        <v>0</v>
      </c>
      <c r="K1899" s="159" t="str">
        <f ca="1">IFERROR(__xludf.DUMMYFUNCTION("GOOGLETRANSLATE(H1899,""th"",""en"")"),"Discounts from Incvat")</f>
        <v>Discounts from Incvat</v>
      </c>
    </row>
    <row r="1900" spans="1:11" ht="15.75" hidden="1" customHeight="1">
      <c r="A1900" s="133" t="s">
        <v>7</v>
      </c>
      <c r="B1900" s="133" t="s">
        <v>435</v>
      </c>
      <c r="C1900" s="133" t="s">
        <v>2595</v>
      </c>
      <c r="D1900" s="133" t="s">
        <v>477</v>
      </c>
      <c r="E1900" s="158">
        <v>20</v>
      </c>
      <c r="F1900" s="158">
        <v>0</v>
      </c>
      <c r="G1900" s="158">
        <v>0</v>
      </c>
      <c r="H1900" s="133" t="s">
        <v>479</v>
      </c>
      <c r="I1900" s="133" t="s">
        <v>2596</v>
      </c>
      <c r="J1900" s="158">
        <v>0</v>
      </c>
      <c r="K1900" s="159" t="str">
        <f ca="1">IFERROR(__xludf.DUMMYFUNCTION("GOOGLETRANSLATE(H1900,""th"",""en"")"),"Null")</f>
        <v>Null</v>
      </c>
    </row>
    <row r="1901" spans="1:11" ht="15.75" hidden="1" customHeight="1">
      <c r="A1901" s="133" t="s">
        <v>7</v>
      </c>
      <c r="B1901" s="133" t="s">
        <v>435</v>
      </c>
      <c r="C1901" s="133" t="s">
        <v>2597</v>
      </c>
      <c r="D1901" s="133" t="s">
        <v>477</v>
      </c>
      <c r="E1901" s="158">
        <v>16</v>
      </c>
      <c r="F1901" s="158">
        <v>0</v>
      </c>
      <c r="G1901" s="158">
        <v>0</v>
      </c>
      <c r="H1901" s="133" t="s">
        <v>2598</v>
      </c>
      <c r="I1901" s="133" t="s">
        <v>548</v>
      </c>
      <c r="J1901" s="277">
        <v>1</v>
      </c>
      <c r="K1901" s="159" t="str">
        <f ca="1">IFERROR(__xludf.DUMMYFUNCTION("GOOGLETRANSLATE(H1901,""th"",""en"")"),"The 1 Card number")</f>
        <v>The 1 Card number</v>
      </c>
    </row>
    <row r="1902" spans="1:11" ht="15.75" hidden="1" customHeight="1">
      <c r="A1902" s="133" t="s">
        <v>7</v>
      </c>
      <c r="B1902" s="133" t="s">
        <v>435</v>
      </c>
      <c r="C1902" s="133" t="s">
        <v>2599</v>
      </c>
      <c r="D1902" s="133" t="s">
        <v>477</v>
      </c>
      <c r="E1902" s="158">
        <v>20</v>
      </c>
      <c r="F1902" s="158">
        <v>0</v>
      </c>
      <c r="G1902" s="158">
        <v>0</v>
      </c>
      <c r="H1902" s="133" t="s">
        <v>479</v>
      </c>
      <c r="I1902" s="133" t="s">
        <v>2600</v>
      </c>
      <c r="J1902" s="158">
        <v>0</v>
      </c>
      <c r="K1902" s="159" t="str">
        <f ca="1">IFERROR(__xludf.DUMMYFUNCTION("GOOGLETRANSLATE(H1902,""th"",""en"")"),"Null")</f>
        <v>Null</v>
      </c>
    </row>
    <row r="1903" spans="1:11" ht="15.75" hidden="1" customHeight="1">
      <c r="A1903" s="133" t="s">
        <v>7</v>
      </c>
      <c r="B1903" s="133" t="s">
        <v>435</v>
      </c>
      <c r="C1903" s="133" t="s">
        <v>2601</v>
      </c>
      <c r="D1903" s="133" t="s">
        <v>477</v>
      </c>
      <c r="E1903" s="158">
        <v>3</v>
      </c>
      <c r="F1903" s="158">
        <v>0</v>
      </c>
      <c r="G1903" s="158">
        <v>0</v>
      </c>
      <c r="H1903" s="133" t="s">
        <v>479</v>
      </c>
      <c r="I1903" s="133" t="s">
        <v>596</v>
      </c>
      <c r="J1903" s="158">
        <v>0</v>
      </c>
      <c r="K1903" s="159" t="str">
        <f ca="1">IFERROR(__xludf.DUMMYFUNCTION("GOOGLETRANSLATE(H1903,""th"",""en"")"),"Null")</f>
        <v>Null</v>
      </c>
    </row>
    <row r="1904" spans="1:11" ht="15.75" hidden="1" customHeight="1">
      <c r="A1904" s="133" t="s">
        <v>7</v>
      </c>
      <c r="B1904" s="133" t="s">
        <v>435</v>
      </c>
      <c r="C1904" s="133" t="s">
        <v>2602</v>
      </c>
      <c r="D1904" s="133" t="s">
        <v>484</v>
      </c>
      <c r="E1904" s="158">
        <v>4</v>
      </c>
      <c r="F1904" s="158">
        <v>10</v>
      </c>
      <c r="G1904" s="158">
        <v>0</v>
      </c>
      <c r="H1904" s="133" t="s">
        <v>479</v>
      </c>
      <c r="I1904" s="133" t="s">
        <v>615</v>
      </c>
      <c r="J1904" s="158">
        <v>0</v>
      </c>
      <c r="K1904" s="159" t="str">
        <f ca="1">IFERROR(__xludf.DUMMYFUNCTION("GOOGLETRANSLATE(H1904,""th"",""en"")"),"Null")</f>
        <v>Null</v>
      </c>
    </row>
    <row r="1905" spans="1:11" ht="15.75" hidden="1" customHeight="1">
      <c r="A1905" s="133" t="s">
        <v>7</v>
      </c>
      <c r="B1905" s="133" t="s">
        <v>435</v>
      </c>
      <c r="C1905" s="133" t="s">
        <v>2603</v>
      </c>
      <c r="D1905" s="133" t="s">
        <v>484</v>
      </c>
      <c r="E1905" s="158">
        <v>4</v>
      </c>
      <c r="F1905" s="158">
        <v>10</v>
      </c>
      <c r="G1905" s="158">
        <v>0</v>
      </c>
      <c r="H1905" s="133" t="s">
        <v>479</v>
      </c>
      <c r="I1905" s="133" t="s">
        <v>615</v>
      </c>
      <c r="J1905" s="158">
        <v>0</v>
      </c>
      <c r="K1905" s="159" t="str">
        <f ca="1">IFERROR(__xludf.DUMMYFUNCTION("GOOGLETRANSLATE(H1905,""th"",""en"")"),"Null")</f>
        <v>Null</v>
      </c>
    </row>
    <row r="1906" spans="1:11" ht="15.75" hidden="1" customHeight="1">
      <c r="A1906" s="133" t="s">
        <v>7</v>
      </c>
      <c r="B1906" s="133" t="s">
        <v>435</v>
      </c>
      <c r="C1906" s="133" t="s">
        <v>2604</v>
      </c>
      <c r="D1906" s="133" t="s">
        <v>484</v>
      </c>
      <c r="E1906" s="158">
        <v>4</v>
      </c>
      <c r="F1906" s="158">
        <v>10</v>
      </c>
      <c r="G1906" s="158">
        <v>0</v>
      </c>
      <c r="H1906" s="133" t="s">
        <v>479</v>
      </c>
      <c r="I1906" s="133" t="s">
        <v>615</v>
      </c>
      <c r="J1906" s="158">
        <v>0</v>
      </c>
      <c r="K1906" s="159" t="str">
        <f ca="1">IFERROR(__xludf.DUMMYFUNCTION("GOOGLETRANSLATE(H1906,""th"",""en"")"),"Null")</f>
        <v>Null</v>
      </c>
    </row>
    <row r="1907" spans="1:11" ht="15.75" hidden="1" customHeight="1">
      <c r="A1907" s="133" t="s">
        <v>7</v>
      </c>
      <c r="B1907" s="133" t="s">
        <v>435</v>
      </c>
      <c r="C1907" s="133" t="s">
        <v>2605</v>
      </c>
      <c r="D1907" s="133" t="s">
        <v>484</v>
      </c>
      <c r="E1907" s="158">
        <v>4</v>
      </c>
      <c r="F1907" s="158">
        <v>10</v>
      </c>
      <c r="G1907" s="158">
        <v>0</v>
      </c>
      <c r="H1907" s="133" t="s">
        <v>479</v>
      </c>
      <c r="I1907" s="133" t="s">
        <v>615</v>
      </c>
      <c r="J1907" s="158">
        <v>0</v>
      </c>
      <c r="K1907" s="159" t="str">
        <f ca="1">IFERROR(__xludf.DUMMYFUNCTION("GOOGLETRANSLATE(H1907,""th"",""en"")"),"Null")</f>
        <v>Null</v>
      </c>
    </row>
    <row r="1908" spans="1:11" ht="15.75" hidden="1" customHeight="1">
      <c r="A1908" s="133" t="s">
        <v>7</v>
      </c>
      <c r="B1908" s="133" t="s">
        <v>435</v>
      </c>
      <c r="C1908" s="133" t="s">
        <v>2606</v>
      </c>
      <c r="D1908" s="133" t="s">
        <v>484</v>
      </c>
      <c r="E1908" s="158">
        <v>4</v>
      </c>
      <c r="F1908" s="158">
        <v>10</v>
      </c>
      <c r="G1908" s="158">
        <v>0</v>
      </c>
      <c r="H1908" s="133" t="s">
        <v>479</v>
      </c>
      <c r="I1908" s="133" t="s">
        <v>615</v>
      </c>
      <c r="J1908" s="158">
        <v>0</v>
      </c>
      <c r="K1908" s="159" t="str">
        <f ca="1">IFERROR(__xludf.DUMMYFUNCTION("GOOGLETRANSLATE(H1908,""th"",""en"")"),"Null")</f>
        <v>Null</v>
      </c>
    </row>
    <row r="1909" spans="1:11" ht="15.75" hidden="1" customHeight="1">
      <c r="A1909" s="133" t="s">
        <v>7</v>
      </c>
      <c r="B1909" s="133" t="s">
        <v>435</v>
      </c>
      <c r="C1909" s="133" t="s">
        <v>2607</v>
      </c>
      <c r="D1909" s="133" t="s">
        <v>484</v>
      </c>
      <c r="E1909" s="158">
        <v>4</v>
      </c>
      <c r="F1909" s="158">
        <v>10</v>
      </c>
      <c r="G1909" s="158">
        <v>0</v>
      </c>
      <c r="H1909" s="133" t="s">
        <v>479</v>
      </c>
      <c r="I1909" s="133" t="s">
        <v>615</v>
      </c>
      <c r="J1909" s="158">
        <v>0</v>
      </c>
      <c r="K1909" s="159" t="str">
        <f ca="1">IFERROR(__xludf.DUMMYFUNCTION("GOOGLETRANSLATE(H1909,""th"",""en"")"),"Null")</f>
        <v>Null</v>
      </c>
    </row>
    <row r="1910" spans="1:11" ht="15.75" hidden="1" customHeight="1">
      <c r="A1910" s="133" t="s">
        <v>7</v>
      </c>
      <c r="B1910" s="133" t="s">
        <v>435</v>
      </c>
      <c r="C1910" s="133" t="s">
        <v>2608</v>
      </c>
      <c r="D1910" s="133" t="s">
        <v>477</v>
      </c>
      <c r="E1910" s="158">
        <v>20</v>
      </c>
      <c r="F1910" s="158">
        <v>0</v>
      </c>
      <c r="G1910" s="158">
        <v>0</v>
      </c>
      <c r="H1910" s="133" t="s">
        <v>2609</v>
      </c>
      <c r="I1910" s="133" t="s">
        <v>2610</v>
      </c>
      <c r="J1910" s="158">
        <v>0</v>
      </c>
      <c r="K1910" s="159" t="str">
        <f ca="1">IFERROR(__xludf.DUMMYFUNCTION("GOOGLETRANSLATE(H1910,""th"",""en"")"),"Product type")</f>
        <v>Product type</v>
      </c>
    </row>
    <row r="1911" spans="1:11" ht="15.75" hidden="1" customHeight="1">
      <c r="A1911" s="133" t="s">
        <v>7</v>
      </c>
      <c r="B1911" s="133" t="s">
        <v>435</v>
      </c>
      <c r="C1911" s="133" t="s">
        <v>2611</v>
      </c>
      <c r="D1911" s="133" t="s">
        <v>477</v>
      </c>
      <c r="E1911" s="158">
        <v>3</v>
      </c>
      <c r="F1911" s="158">
        <v>0</v>
      </c>
      <c r="G1911" s="158">
        <v>0</v>
      </c>
      <c r="H1911" s="133" t="s">
        <v>2612</v>
      </c>
      <c r="I1911" s="133" t="s">
        <v>596</v>
      </c>
      <c r="J1911" s="158">
        <v>0</v>
      </c>
      <c r="K1911" s="159" t="str">
        <f ca="1">IFERROR(__xludf.DUMMYFUNCTION("GOOGLETRANSLATE(H1911,""th"",""en"")"),"Set Flag from Segment Customer (Beyond Diamond, Diamond = YES)")</f>
        <v>Set Flag from Segment Customer (Beyond Diamond, Diamond = YES)</v>
      </c>
    </row>
    <row r="1912" spans="1:11" ht="15.75" hidden="1" customHeight="1">
      <c r="A1912" s="133" t="s">
        <v>7</v>
      </c>
      <c r="B1912" s="133" t="s">
        <v>435</v>
      </c>
      <c r="C1912" s="133" t="s">
        <v>2613</v>
      </c>
      <c r="D1912" s="133" t="s">
        <v>477</v>
      </c>
      <c r="E1912" s="158">
        <v>30</v>
      </c>
      <c r="F1912" s="158">
        <v>0</v>
      </c>
      <c r="G1912" s="158">
        <v>0</v>
      </c>
      <c r="H1912" s="133" t="s">
        <v>2614</v>
      </c>
      <c r="I1912" s="133" t="s">
        <v>548</v>
      </c>
      <c r="J1912" s="158">
        <v>0</v>
      </c>
      <c r="K1912" s="159" t="str">
        <f ca="1">IFERROR(__xludf.DUMMYFUNCTION("GOOGLETRANSLATE(H1912,""th"",""en"")"),"Segment Customer (Beyond Diamond, Diamond, Platinum, Gold, Silver)")</f>
        <v>Segment Customer (Beyond Diamond, Diamond, Platinum, Gold, Silver)</v>
      </c>
    </row>
    <row r="1913" spans="1:11" ht="15.75" hidden="1" customHeight="1">
      <c r="A1913" s="133" t="s">
        <v>7</v>
      </c>
      <c r="B1913" s="133" t="s">
        <v>435</v>
      </c>
      <c r="C1913" s="133" t="s">
        <v>369</v>
      </c>
      <c r="D1913" s="133" t="s">
        <v>477</v>
      </c>
      <c r="E1913" s="158">
        <v>2</v>
      </c>
      <c r="F1913" s="158">
        <v>0</v>
      </c>
      <c r="G1913" s="158">
        <v>0</v>
      </c>
      <c r="H1913" s="133" t="s">
        <v>1184</v>
      </c>
      <c r="I1913" s="133" t="s">
        <v>1185</v>
      </c>
      <c r="J1913" s="158">
        <v>0</v>
      </c>
      <c r="K1913" s="159" t="str">
        <f ca="1">IFERROR(__xludf.DUMMYFUNCTION("GOOGLETRANSLATE(H1913,""th"",""en"")"),"Warehouse (1: Office of the Office (Nong Chok), 3: Bangna Warehouse, 4: Warehouse Virgin, 5: Suwinwong Warehouse)")</f>
        <v>Warehouse (1: Office of the Office (Nong Chok), 3: Bangna Warehouse, 4: Warehouse Virgin, 5: Suwinwong Warehouse)</v>
      </c>
    </row>
    <row r="1914" spans="1:11" ht="15.75" hidden="1" customHeight="1">
      <c r="A1914" s="133" t="s">
        <v>7</v>
      </c>
      <c r="B1914" s="133" t="s">
        <v>435</v>
      </c>
      <c r="C1914" s="133" t="s">
        <v>2615</v>
      </c>
      <c r="D1914" s="133" t="s">
        <v>477</v>
      </c>
      <c r="E1914" s="158">
        <v>20</v>
      </c>
      <c r="F1914" s="158">
        <v>0</v>
      </c>
      <c r="G1914" s="158">
        <v>0</v>
      </c>
      <c r="H1914" s="133" t="s">
        <v>2616</v>
      </c>
      <c r="I1914" s="133" t="s">
        <v>548</v>
      </c>
      <c r="J1914" s="158">
        <v>0</v>
      </c>
      <c r="K1914" s="159" t="str">
        <f ca="1">IFERROR(__xludf.DUMMYFUNCTION("GOOGLETRANSLATE(H1914,""th"",""en"")"),"Cluster Group Code Delivery")</f>
        <v>Cluster Group Code Delivery</v>
      </c>
    </row>
    <row r="1915" spans="1:11" ht="15.75" hidden="1" customHeight="1">
      <c r="A1915" s="133" t="s">
        <v>7</v>
      </c>
      <c r="B1915" s="133" t="s">
        <v>435</v>
      </c>
      <c r="C1915" s="133" t="s">
        <v>2617</v>
      </c>
      <c r="D1915" s="133" t="s">
        <v>477</v>
      </c>
      <c r="E1915" s="158">
        <v>20</v>
      </c>
      <c r="F1915" s="158">
        <v>0</v>
      </c>
      <c r="G1915" s="158">
        <v>0</v>
      </c>
      <c r="H1915" s="133" t="s">
        <v>2618</v>
      </c>
      <c r="I1915" s="133" t="s">
        <v>548</v>
      </c>
      <c r="J1915" s="158">
        <v>0</v>
      </c>
      <c r="K1915" s="159" t="str">
        <f ca="1">IFERROR(__xludf.DUMMYFUNCTION("GOOGLETRANSLATE(H1915,""th"",""en"")"),"Subcluster, subsidode code")</f>
        <v>Subcluster, subsidode code</v>
      </c>
    </row>
    <row r="1916" spans="1:11" ht="15.75" hidden="1" customHeight="1">
      <c r="A1916" s="133" t="s">
        <v>7</v>
      </c>
      <c r="B1916" s="133" t="s">
        <v>435</v>
      </c>
      <c r="C1916" s="133" t="s">
        <v>2619</v>
      </c>
      <c r="D1916" s="133" t="s">
        <v>477</v>
      </c>
      <c r="E1916" s="158">
        <v>20</v>
      </c>
      <c r="F1916" s="158">
        <v>0</v>
      </c>
      <c r="G1916" s="158">
        <v>0</v>
      </c>
      <c r="H1916" s="133" t="s">
        <v>479</v>
      </c>
      <c r="I1916" s="133" t="s">
        <v>548</v>
      </c>
      <c r="J1916" s="158">
        <v>0</v>
      </c>
      <c r="K1916" s="159" t="str">
        <f ca="1">IFERROR(__xludf.DUMMYFUNCTION("GOOGLETRANSLATE(H1916,""th"",""en"")"),"Null")</f>
        <v>Null</v>
      </c>
    </row>
    <row r="1917" spans="1:11" ht="15.75" hidden="1" customHeight="1">
      <c r="A1917" s="133" t="s">
        <v>7</v>
      </c>
      <c r="B1917" s="133" t="s">
        <v>435</v>
      </c>
      <c r="C1917" s="133" t="s">
        <v>2620</v>
      </c>
      <c r="D1917" s="133" t="s">
        <v>477</v>
      </c>
      <c r="E1917" s="158">
        <v>20</v>
      </c>
      <c r="F1917" s="158">
        <v>0</v>
      </c>
      <c r="G1917" s="158">
        <v>0</v>
      </c>
      <c r="H1917" s="133" t="s">
        <v>479</v>
      </c>
      <c r="I1917" s="133" t="s">
        <v>548</v>
      </c>
      <c r="J1917" s="158">
        <v>0</v>
      </c>
      <c r="K1917" s="159" t="str">
        <f ca="1">IFERROR(__xludf.DUMMYFUNCTION("GOOGLETRANSLATE(H1917,""th"",""en"")"),"Null")</f>
        <v>Null</v>
      </c>
    </row>
    <row r="1918" spans="1:11" ht="15.75" hidden="1" customHeight="1">
      <c r="A1918" s="133" t="s">
        <v>7</v>
      </c>
      <c r="B1918" s="133" t="s">
        <v>435</v>
      </c>
      <c r="C1918" s="133" t="s">
        <v>793</v>
      </c>
      <c r="D1918" s="133" t="s">
        <v>477</v>
      </c>
      <c r="E1918" s="158">
        <v>20</v>
      </c>
      <c r="F1918" s="158">
        <v>0</v>
      </c>
      <c r="G1918" s="158">
        <v>0</v>
      </c>
      <c r="H1918" s="133" t="s">
        <v>479</v>
      </c>
      <c r="I1918" s="133" t="s">
        <v>548</v>
      </c>
      <c r="J1918" s="158">
        <v>0</v>
      </c>
      <c r="K1918" s="159" t="str">
        <f ca="1">IFERROR(__xludf.DUMMYFUNCTION("GOOGLETRANSLATE(H1918,""th"",""en"")"),"Null")</f>
        <v>Null</v>
      </c>
    </row>
    <row r="1919" spans="1:11" ht="15.75" hidden="1" customHeight="1">
      <c r="A1919" s="133" t="s">
        <v>7</v>
      </c>
      <c r="B1919" s="133" t="s">
        <v>435</v>
      </c>
      <c r="C1919" s="133" t="s">
        <v>2621</v>
      </c>
      <c r="D1919" s="133" t="s">
        <v>484</v>
      </c>
      <c r="E1919" s="158">
        <v>4</v>
      </c>
      <c r="F1919" s="158">
        <v>10</v>
      </c>
      <c r="G1919" s="158">
        <v>0</v>
      </c>
      <c r="H1919" s="133" t="s">
        <v>479</v>
      </c>
      <c r="I1919" s="133" t="s">
        <v>1223</v>
      </c>
      <c r="J1919" s="158">
        <v>0</v>
      </c>
      <c r="K1919" s="159" t="str">
        <f ca="1">IFERROR(__xludf.DUMMYFUNCTION("GOOGLETRANSLATE(H1919,""th"",""en"")"),"Null")</f>
        <v>Null</v>
      </c>
    </row>
    <row r="1920" spans="1:11" ht="15.75" hidden="1" customHeight="1">
      <c r="A1920" s="133" t="s">
        <v>7</v>
      </c>
      <c r="B1920" s="133" t="s">
        <v>435</v>
      </c>
      <c r="C1920" s="133" t="s">
        <v>2622</v>
      </c>
      <c r="D1920" s="133" t="s">
        <v>481</v>
      </c>
      <c r="E1920" s="158">
        <v>9</v>
      </c>
      <c r="F1920" s="158">
        <v>11</v>
      </c>
      <c r="G1920" s="158">
        <v>2</v>
      </c>
      <c r="H1920" s="133" t="s">
        <v>479</v>
      </c>
      <c r="I1920" s="133" t="s">
        <v>1223</v>
      </c>
      <c r="J1920" s="158">
        <v>0</v>
      </c>
      <c r="K1920" s="159" t="str">
        <f ca="1">IFERROR(__xludf.DUMMYFUNCTION("GOOGLETRANSLATE(H1920,""th"",""en"")"),"Null")</f>
        <v>Null</v>
      </c>
    </row>
    <row r="1921" spans="1:14" ht="15.75" hidden="1" customHeight="1">
      <c r="A1921" s="133" t="s">
        <v>7</v>
      </c>
      <c r="B1921" s="133" t="s">
        <v>435</v>
      </c>
      <c r="C1921" s="133" t="s">
        <v>2623</v>
      </c>
      <c r="D1921" s="133" t="s">
        <v>481</v>
      </c>
      <c r="E1921" s="158">
        <v>9</v>
      </c>
      <c r="F1921" s="158">
        <v>11</v>
      </c>
      <c r="G1921" s="158">
        <v>2</v>
      </c>
      <c r="H1921" s="133" t="s">
        <v>479</v>
      </c>
      <c r="I1921" s="133" t="s">
        <v>1223</v>
      </c>
      <c r="J1921" s="158">
        <v>0</v>
      </c>
      <c r="K1921" s="159" t="str">
        <f ca="1">IFERROR(__xludf.DUMMYFUNCTION("GOOGLETRANSLATE(H1921,""th"",""en"")"),"Null")</f>
        <v>Null</v>
      </c>
    </row>
    <row r="1922" spans="1:14" ht="15.75" hidden="1" customHeight="1">
      <c r="A1922" s="133" t="s">
        <v>7</v>
      </c>
      <c r="B1922" s="133" t="s">
        <v>435</v>
      </c>
      <c r="C1922" s="133" t="s">
        <v>2624</v>
      </c>
      <c r="D1922" s="133" t="s">
        <v>477</v>
      </c>
      <c r="E1922" s="158">
        <v>20</v>
      </c>
      <c r="F1922" s="158">
        <v>0</v>
      </c>
      <c r="G1922" s="158">
        <v>0</v>
      </c>
      <c r="H1922" s="133" t="s">
        <v>479</v>
      </c>
      <c r="I1922" s="133" t="s">
        <v>548</v>
      </c>
      <c r="J1922" s="158">
        <v>0</v>
      </c>
      <c r="K1922" s="159" t="str">
        <f ca="1">IFERROR(__xludf.DUMMYFUNCTION("GOOGLETRANSLATE(H1922,""th"",""en"")"),"Null")</f>
        <v>Null</v>
      </c>
    </row>
    <row r="1923" spans="1:14" ht="15.75" hidden="1" customHeight="1">
      <c r="A1923" s="133" t="s">
        <v>7</v>
      </c>
      <c r="B1923" s="133" t="s">
        <v>435</v>
      </c>
      <c r="C1923" s="133" t="s">
        <v>2625</v>
      </c>
      <c r="D1923" s="133" t="s">
        <v>481</v>
      </c>
      <c r="E1923" s="158">
        <v>5</v>
      </c>
      <c r="F1923" s="158">
        <v>9</v>
      </c>
      <c r="G1923" s="158">
        <v>2</v>
      </c>
      <c r="H1923" s="133" t="s">
        <v>2626</v>
      </c>
      <c r="I1923" s="133" t="s">
        <v>615</v>
      </c>
      <c r="J1923" s="158">
        <v>0</v>
      </c>
      <c r="K1923" s="159" t="str">
        <f ca="1">IFERROR(__xludf.DUMMYFUNCTION("GOOGLETRANSLATE(H1923,""th"",""en"")"),"VAT total shipping")</f>
        <v>VAT total shipping</v>
      </c>
    </row>
    <row r="1924" spans="1:14" ht="15.75" hidden="1" customHeight="1">
      <c r="A1924" s="133" t="s">
        <v>7</v>
      </c>
      <c r="B1924" s="133" t="s">
        <v>435</v>
      </c>
      <c r="C1924" s="133" t="s">
        <v>2627</v>
      </c>
      <c r="D1924" s="133" t="s">
        <v>477</v>
      </c>
      <c r="E1924" s="158">
        <v>20</v>
      </c>
      <c r="F1924" s="158">
        <v>0</v>
      </c>
      <c r="G1924" s="158">
        <v>0</v>
      </c>
      <c r="H1924" s="133" t="s">
        <v>2628</v>
      </c>
      <c r="I1924" s="133" t="s">
        <v>596</v>
      </c>
      <c r="J1924" s="158">
        <v>0</v>
      </c>
      <c r="K1924" s="159" t="str">
        <f ca="1">IFERROR(__xludf.DUMMYFUNCTION("GOOGLETRANSLATE(H1924,""th"",""en"")"),"Use E-Tax [yes, no]")</f>
        <v>Use E-Tax [yes, no]</v>
      </c>
    </row>
    <row r="1925" spans="1:14" ht="15.75" hidden="1" customHeight="1">
      <c r="A1925" s="133" t="s">
        <v>7</v>
      </c>
      <c r="B1925" s="133" t="s">
        <v>435</v>
      </c>
      <c r="C1925" s="133" t="s">
        <v>2629</v>
      </c>
      <c r="D1925" s="133" t="s">
        <v>477</v>
      </c>
      <c r="E1925" s="158">
        <v>20</v>
      </c>
      <c r="F1925" s="158">
        <v>0</v>
      </c>
      <c r="G1925" s="158">
        <v>0</v>
      </c>
      <c r="H1925" s="133" t="s">
        <v>1907</v>
      </c>
      <c r="I1925" s="133" t="s">
        <v>596</v>
      </c>
      <c r="J1925" s="158">
        <v>0</v>
      </c>
      <c r="K1925" s="159" t="str">
        <f ca="1">IFERROR(__xludf.DUMMYFUNCTION("GOOGLETRANSLATE(H1925,""th"",""en"")"),"Want PRINT PAPER E-TAX [YES, NO]")</f>
        <v>Want PRINT PAPER E-TAX [YES, NO]</v>
      </c>
    </row>
    <row r="1926" spans="1:14" ht="15.75" hidden="1" customHeight="1">
      <c r="A1926" s="133" t="s">
        <v>7</v>
      </c>
      <c r="B1926" s="133" t="s">
        <v>435</v>
      </c>
      <c r="C1926" s="133" t="s">
        <v>2630</v>
      </c>
      <c r="D1926" s="133" t="s">
        <v>477</v>
      </c>
      <c r="E1926" s="158">
        <v>256</v>
      </c>
      <c r="F1926" s="158">
        <v>0</v>
      </c>
      <c r="G1926" s="158">
        <v>0</v>
      </c>
      <c r="H1926" s="133" t="s">
        <v>2631</v>
      </c>
      <c r="I1926" s="133" t="s">
        <v>548</v>
      </c>
      <c r="J1926" s="158">
        <v>0</v>
      </c>
      <c r="K1926" s="159" t="str">
        <f ca="1">IFERROR(__xludf.DUMMYFUNCTION("GOOGLETRANSLATE(H1926,""th"",""en"")"),"Email for E-Tax Invoice")</f>
        <v>Email for E-Tax Invoice</v>
      </c>
    </row>
    <row r="1927" spans="1:14" ht="15.75" hidden="1" customHeight="1">
      <c r="A1927" s="161" t="s">
        <v>7</v>
      </c>
      <c r="B1927" s="161" t="s">
        <v>2632</v>
      </c>
      <c r="C1927" s="166" t="s">
        <v>2317</v>
      </c>
      <c r="D1927" s="161" t="s">
        <v>477</v>
      </c>
      <c r="E1927" s="162">
        <v>5</v>
      </c>
      <c r="F1927" s="162">
        <v>0</v>
      </c>
      <c r="G1927" s="162">
        <v>0</v>
      </c>
      <c r="H1927" s="161"/>
      <c r="I1927" s="161"/>
      <c r="J1927" s="285">
        <v>1</v>
      </c>
      <c r="K1927" s="163"/>
      <c r="L1927" s="164" t="s">
        <v>2318</v>
      </c>
      <c r="M1927" s="165"/>
      <c r="N1927" s="165"/>
    </row>
    <row r="1928" spans="1:14" ht="15.75" hidden="1" customHeight="1">
      <c r="A1928" s="133" t="s">
        <v>7</v>
      </c>
      <c r="B1928" s="133" t="s">
        <v>2632</v>
      </c>
      <c r="C1928" s="133" t="s">
        <v>2410</v>
      </c>
      <c r="D1928" s="133" t="s">
        <v>477</v>
      </c>
      <c r="E1928" s="158">
        <v>12</v>
      </c>
      <c r="F1928" s="158">
        <v>0</v>
      </c>
      <c r="G1928" s="158">
        <v>0</v>
      </c>
      <c r="H1928" s="133" t="s">
        <v>2411</v>
      </c>
      <c r="I1928" s="133" t="s">
        <v>479</v>
      </c>
      <c r="J1928" s="158">
        <v>0</v>
      </c>
      <c r="K1928" s="159" t="str">
        <f ca="1">IFERROR(__xludf.DUMMYFUNCTION("GOOGLETRANSLATE(H1928,""th"",""en"")"),"Invoice number")</f>
        <v>Invoice number</v>
      </c>
    </row>
    <row r="1929" spans="1:14" ht="15.75" hidden="1" customHeight="1">
      <c r="A1929" s="133" t="s">
        <v>7</v>
      </c>
      <c r="B1929" s="133" t="s">
        <v>2632</v>
      </c>
      <c r="C1929" s="133" t="s">
        <v>292</v>
      </c>
      <c r="D1929" s="133" t="s">
        <v>484</v>
      </c>
      <c r="E1929" s="158">
        <v>4</v>
      </c>
      <c r="F1929" s="158">
        <v>10</v>
      </c>
      <c r="G1929" s="158">
        <v>0</v>
      </c>
      <c r="H1929" s="133" t="s">
        <v>2633</v>
      </c>
      <c r="I1929" s="133" t="s">
        <v>479</v>
      </c>
      <c r="J1929" s="158">
        <v>0</v>
      </c>
      <c r="K1929" s="159" t="str">
        <f ca="1">IFERROR(__xludf.DUMMYFUNCTION("GOOGLETRANSLATE(H1929,""th"",""en"")"),"Sequence")</f>
        <v>Sequence</v>
      </c>
    </row>
    <row r="1930" spans="1:14" ht="15.75" hidden="1" customHeight="1">
      <c r="A1930" s="133" t="s">
        <v>7</v>
      </c>
      <c r="B1930" s="133" t="s">
        <v>2632</v>
      </c>
      <c r="C1930" s="133" t="s">
        <v>253</v>
      </c>
      <c r="D1930" s="133" t="s">
        <v>477</v>
      </c>
      <c r="E1930" s="158">
        <v>7</v>
      </c>
      <c r="F1930" s="158">
        <v>0</v>
      </c>
      <c r="G1930" s="158">
        <v>0</v>
      </c>
      <c r="H1930" s="133" t="s">
        <v>1130</v>
      </c>
      <c r="I1930" s="133" t="s">
        <v>479</v>
      </c>
      <c r="J1930" s="158">
        <v>1</v>
      </c>
      <c r="K1930" s="159" t="str">
        <f ca="1">IFERROR(__xludf.DUMMYFUNCTION("GOOGLETRANSLATE(H1930,""th"",""en"")"),"Product code")</f>
        <v>Product code</v>
      </c>
    </row>
    <row r="1931" spans="1:14" ht="15.75" hidden="1" customHeight="1">
      <c r="A1931" s="133" t="s">
        <v>7</v>
      </c>
      <c r="B1931" s="133" t="s">
        <v>2632</v>
      </c>
      <c r="C1931" s="133" t="s">
        <v>2413</v>
      </c>
      <c r="D1931" s="133" t="s">
        <v>491</v>
      </c>
      <c r="E1931" s="158">
        <v>1</v>
      </c>
      <c r="F1931" s="158">
        <v>0</v>
      </c>
      <c r="G1931" s="158">
        <v>0</v>
      </c>
      <c r="H1931" s="133" t="s">
        <v>960</v>
      </c>
      <c r="I1931" s="133" t="s">
        <v>479</v>
      </c>
      <c r="J1931" s="158">
        <v>1</v>
      </c>
      <c r="K1931" s="159" t="str">
        <f ca="1">IFERROR(__xludf.DUMMYFUNCTION("GOOGLETRANSLATE(H1931,""th"",""en"")"),"Quit")</f>
        <v>Quit</v>
      </c>
    </row>
    <row r="1932" spans="1:14" ht="15.75" hidden="1" customHeight="1">
      <c r="A1932" s="133" t="s">
        <v>7</v>
      </c>
      <c r="B1932" s="133" t="s">
        <v>2632</v>
      </c>
      <c r="C1932" s="133" t="s">
        <v>2321</v>
      </c>
      <c r="D1932" s="133" t="s">
        <v>477</v>
      </c>
      <c r="E1932" s="158">
        <v>55</v>
      </c>
      <c r="F1932" s="158">
        <v>0</v>
      </c>
      <c r="G1932" s="158">
        <v>0</v>
      </c>
      <c r="H1932" s="133" t="s">
        <v>1132</v>
      </c>
      <c r="I1932" s="133" t="s">
        <v>479</v>
      </c>
      <c r="J1932" s="158">
        <v>1</v>
      </c>
      <c r="K1932" s="159" t="str">
        <f ca="1">IFERROR(__xludf.DUMMYFUNCTION("GOOGLETRANSLATE(H1932,""th"",""en"")"),"Product name")</f>
        <v>Product name</v>
      </c>
    </row>
    <row r="1933" spans="1:14" ht="15.75" hidden="1" customHeight="1">
      <c r="A1933" s="133" t="s">
        <v>7</v>
      </c>
      <c r="B1933" s="133" t="s">
        <v>2632</v>
      </c>
      <c r="C1933" s="133" t="s">
        <v>1133</v>
      </c>
      <c r="D1933" s="133" t="s">
        <v>477</v>
      </c>
      <c r="E1933" s="158">
        <v>7</v>
      </c>
      <c r="F1933" s="158">
        <v>0</v>
      </c>
      <c r="G1933" s="158">
        <v>0</v>
      </c>
      <c r="H1933" s="133" t="s">
        <v>2414</v>
      </c>
      <c r="I1933" s="133" t="s">
        <v>479</v>
      </c>
      <c r="J1933" s="158">
        <v>1</v>
      </c>
      <c r="K1933" s="159" t="str">
        <f ca="1">IFERROR(__xludf.DUMMYFUNCTION("GOOGLETRANSLATE(H1933,""th"",""en"")"),"Product Storage Code")</f>
        <v>Product Storage Code</v>
      </c>
    </row>
    <row r="1934" spans="1:14" ht="15.75" hidden="1" customHeight="1">
      <c r="A1934" s="133" t="s">
        <v>7</v>
      </c>
      <c r="B1934" s="133" t="s">
        <v>2632</v>
      </c>
      <c r="C1934" s="133" t="s">
        <v>2415</v>
      </c>
      <c r="D1934" s="133" t="s">
        <v>481</v>
      </c>
      <c r="E1934" s="158">
        <v>9</v>
      </c>
      <c r="F1934" s="158">
        <v>11</v>
      </c>
      <c r="G1934" s="158">
        <v>2</v>
      </c>
      <c r="H1934" s="133" t="s">
        <v>2416</v>
      </c>
      <c r="I1934" s="133" t="s">
        <v>479</v>
      </c>
      <c r="J1934" s="158">
        <v>1</v>
      </c>
      <c r="K1934" s="159" t="str">
        <f ca="1">IFERROR(__xludf.DUMMYFUNCTION("GOOGLETRANSLATE(H1934,""th"",""en"")"),"Product number")</f>
        <v>Product number</v>
      </c>
    </row>
    <row r="1935" spans="1:14" ht="15.75" hidden="1" customHeight="1">
      <c r="A1935" s="133" t="s">
        <v>7</v>
      </c>
      <c r="B1935" s="133" t="s">
        <v>2632</v>
      </c>
      <c r="C1935" s="133" t="s">
        <v>1137</v>
      </c>
      <c r="D1935" s="133" t="s">
        <v>481</v>
      </c>
      <c r="E1935" s="158">
        <v>9</v>
      </c>
      <c r="F1935" s="158">
        <v>11</v>
      </c>
      <c r="G1935" s="158">
        <v>2</v>
      </c>
      <c r="H1935" s="133" t="s">
        <v>2417</v>
      </c>
      <c r="I1935" s="133" t="s">
        <v>479</v>
      </c>
      <c r="J1935" s="158">
        <v>1</v>
      </c>
      <c r="K1935" s="159" t="str">
        <f ca="1">IFERROR(__xludf.DUMMYFUNCTION("GOOGLETRANSLATE(H1935,""th"",""en"")"),"Unit")</f>
        <v>Unit</v>
      </c>
    </row>
    <row r="1936" spans="1:14" ht="15.75" hidden="1" customHeight="1">
      <c r="A1936" s="133" t="s">
        <v>7</v>
      </c>
      <c r="B1936" s="133" t="s">
        <v>2632</v>
      </c>
      <c r="C1936" s="133" t="s">
        <v>2418</v>
      </c>
      <c r="D1936" s="133" t="s">
        <v>481</v>
      </c>
      <c r="E1936" s="158">
        <v>5</v>
      </c>
      <c r="F1936" s="158">
        <v>4</v>
      </c>
      <c r="G1936" s="158">
        <v>2</v>
      </c>
      <c r="H1936" s="133" t="s">
        <v>2419</v>
      </c>
      <c r="I1936" s="133" t="s">
        <v>479</v>
      </c>
      <c r="J1936" s="158">
        <v>1</v>
      </c>
      <c r="K1936" s="159" t="str">
        <f ca="1">IFERROR(__xludf.DUMMYFUNCTION("GOOGLETRANSLATE(H1936,""th"",""en"")"),"The discount rate is%")</f>
        <v>The discount rate is%</v>
      </c>
    </row>
    <row r="1937" spans="1:11" ht="15.75" hidden="1" customHeight="1">
      <c r="A1937" s="133" t="s">
        <v>7</v>
      </c>
      <c r="B1937" s="133" t="s">
        <v>2632</v>
      </c>
      <c r="C1937" s="133" t="s">
        <v>1195</v>
      </c>
      <c r="D1937" s="133" t="s">
        <v>481</v>
      </c>
      <c r="E1937" s="158">
        <v>9</v>
      </c>
      <c r="F1937" s="158">
        <v>11</v>
      </c>
      <c r="G1937" s="158">
        <v>2</v>
      </c>
      <c r="H1937" s="133" t="s">
        <v>2420</v>
      </c>
      <c r="I1937" s="133" t="s">
        <v>479</v>
      </c>
      <c r="J1937" s="158">
        <v>1</v>
      </c>
      <c r="K1937" s="159" t="str">
        <f ca="1">IFERROR(__xludf.DUMMYFUNCTION("GOOGLETRANSLATE(H1937,""th"",""en"")"),"Reduced amount (All line Non-unit)")</f>
        <v>Reduced amount (All line Non-unit)</v>
      </c>
    </row>
    <row r="1938" spans="1:11" ht="15.75" hidden="1" customHeight="1">
      <c r="A1938" s="133" t="s">
        <v>7</v>
      </c>
      <c r="B1938" s="133" t="s">
        <v>2632</v>
      </c>
      <c r="C1938" s="133" t="s">
        <v>2421</v>
      </c>
      <c r="D1938" s="133" t="s">
        <v>491</v>
      </c>
      <c r="E1938" s="158">
        <v>7</v>
      </c>
      <c r="F1938" s="158">
        <v>0</v>
      </c>
      <c r="G1938" s="158">
        <v>0</v>
      </c>
      <c r="H1938" s="133" t="s">
        <v>1396</v>
      </c>
      <c r="I1938" s="133" t="s">
        <v>479</v>
      </c>
      <c r="J1938" s="158">
        <v>1</v>
      </c>
      <c r="K1938" s="159" t="str">
        <f ca="1">IFERROR(__xludf.DUMMYFUNCTION("GOOGLETRANSLATE(H1938,""th"",""en"")"),"Sales unit")</f>
        <v>Sales unit</v>
      </c>
    </row>
    <row r="1939" spans="1:11" ht="15.75" hidden="1" customHeight="1">
      <c r="A1939" s="133" t="s">
        <v>7</v>
      </c>
      <c r="B1939" s="133" t="s">
        <v>2632</v>
      </c>
      <c r="C1939" s="133" t="s">
        <v>1141</v>
      </c>
      <c r="D1939" s="133" t="s">
        <v>477</v>
      </c>
      <c r="E1939" s="158">
        <v>7</v>
      </c>
      <c r="F1939" s="158">
        <v>0</v>
      </c>
      <c r="G1939" s="158">
        <v>0</v>
      </c>
      <c r="H1939" s="133" t="s">
        <v>2422</v>
      </c>
      <c r="I1939" s="133" t="s">
        <v>479</v>
      </c>
      <c r="J1939" s="158">
        <v>1</v>
      </c>
      <c r="K1939" s="159" t="str">
        <f ca="1">IFERROR(__xludf.DUMMYFUNCTION("GOOGLETRANSLATE(H1939,""th"",""en"")"),"Standard unit")</f>
        <v>Standard unit</v>
      </c>
    </row>
    <row r="1940" spans="1:11" ht="15.75" hidden="1" customHeight="1">
      <c r="A1940" s="133" t="s">
        <v>7</v>
      </c>
      <c r="B1940" s="133" t="s">
        <v>2632</v>
      </c>
      <c r="C1940" s="133" t="s">
        <v>1143</v>
      </c>
      <c r="D1940" s="133" t="s">
        <v>484</v>
      </c>
      <c r="E1940" s="158">
        <v>4</v>
      </c>
      <c r="F1940" s="158">
        <v>10</v>
      </c>
      <c r="G1940" s="158">
        <v>0</v>
      </c>
      <c r="H1940" s="133" t="s">
        <v>1144</v>
      </c>
      <c r="I1940" s="133" t="s">
        <v>479</v>
      </c>
      <c r="J1940" s="158">
        <v>1</v>
      </c>
      <c r="K1940" s="159" t="str">
        <f ca="1">IFERROR(__xludf.DUMMYFUNCTION("GOOGLETRANSLATE(H1940,""th"",""en"")"),"Unit conversion multiplier")</f>
        <v>Unit conversion multiplier</v>
      </c>
    </row>
    <row r="1941" spans="1:11" ht="15.75" hidden="1" customHeight="1">
      <c r="A1941" s="133" t="s">
        <v>7</v>
      </c>
      <c r="B1941" s="133" t="s">
        <v>2632</v>
      </c>
      <c r="C1941" s="133" t="s">
        <v>1145</v>
      </c>
      <c r="D1941" s="133" t="s">
        <v>481</v>
      </c>
      <c r="E1941" s="158">
        <v>9</v>
      </c>
      <c r="F1941" s="158">
        <v>11</v>
      </c>
      <c r="G1941" s="158">
        <v>2</v>
      </c>
      <c r="H1941" s="133" t="s">
        <v>2423</v>
      </c>
      <c r="I1941" s="133" t="s">
        <v>479</v>
      </c>
      <c r="J1941" s="158">
        <v>1</v>
      </c>
      <c r="K1941" s="159" t="str">
        <f ca="1">IFERROR(__xludf.DUMMYFUNCTION("GOOGLETRANSLATE(H1941,""th"",""en"")"),"Product number x Unit conversion multiplier = standard number")</f>
        <v>Product number x Unit conversion multiplier = standard number</v>
      </c>
    </row>
    <row r="1942" spans="1:11" ht="15.75" hidden="1" customHeight="1">
      <c r="A1942" s="133" t="s">
        <v>7</v>
      </c>
      <c r="B1942" s="133" t="s">
        <v>2632</v>
      </c>
      <c r="C1942" s="133" t="s">
        <v>1147</v>
      </c>
      <c r="D1942" s="133" t="s">
        <v>481</v>
      </c>
      <c r="E1942" s="158">
        <v>9</v>
      </c>
      <c r="F1942" s="158">
        <v>11</v>
      </c>
      <c r="G1942" s="158">
        <v>2</v>
      </c>
      <c r="H1942" s="133" t="s">
        <v>2424</v>
      </c>
      <c r="I1942" s="133" t="s">
        <v>479</v>
      </c>
      <c r="J1942" s="158">
        <v>1</v>
      </c>
      <c r="K1942" s="159" t="str">
        <f ca="1">IFERROR(__xludf.DUMMYFUNCTION("GOOGLETRANSLATE(H1942,""th"",""en"")"),"The average cost of the product")</f>
        <v>The average cost of the product</v>
      </c>
    </row>
    <row r="1943" spans="1:11" ht="15.75" hidden="1" customHeight="1">
      <c r="A1943" s="133" t="s">
        <v>7</v>
      </c>
      <c r="B1943" s="133" t="s">
        <v>2632</v>
      </c>
      <c r="C1943" s="133" t="s">
        <v>811</v>
      </c>
      <c r="D1943" s="133" t="s">
        <v>491</v>
      </c>
      <c r="E1943" s="158">
        <v>1</v>
      </c>
      <c r="F1943" s="158">
        <v>0</v>
      </c>
      <c r="G1943" s="158">
        <v>0</v>
      </c>
      <c r="H1943" s="133" t="s">
        <v>2425</v>
      </c>
      <c r="I1943" s="133" t="s">
        <v>479</v>
      </c>
      <c r="J1943" s="158">
        <v>1</v>
      </c>
      <c r="K1943" s="159" t="str">
        <f ca="1">IFERROR(__xludf.DUMMYFUNCTION("GOOGLETRANSLATE(H1943,""th"",""en"")"),"Disable (the system is running out)")</f>
        <v>Disable (the system is running out)</v>
      </c>
    </row>
    <row r="1944" spans="1:11" ht="15.75" hidden="1" customHeight="1">
      <c r="A1944" s="133" t="s">
        <v>7</v>
      </c>
      <c r="B1944" s="133" t="s">
        <v>2632</v>
      </c>
      <c r="C1944" s="167" t="s">
        <v>2426</v>
      </c>
      <c r="D1944" s="133" t="s">
        <v>481</v>
      </c>
      <c r="E1944" s="158">
        <v>9</v>
      </c>
      <c r="F1944" s="158">
        <v>11</v>
      </c>
      <c r="G1944" s="158">
        <v>2</v>
      </c>
      <c r="H1944" s="133" t="s">
        <v>2427</v>
      </c>
      <c r="I1944" s="133" t="s">
        <v>479</v>
      </c>
      <c r="J1944" s="158">
        <v>1</v>
      </c>
      <c r="K1944" s="159" t="str">
        <f ca="1">IFERROR(__xludf.DUMMYFUNCTION("GOOGLETRANSLATE(H1944,""th"",""en"")"),"Number of products")</f>
        <v>Number of products</v>
      </c>
    </row>
    <row r="1945" spans="1:11" ht="15.75" hidden="1" customHeight="1">
      <c r="A1945" s="133" t="s">
        <v>7</v>
      </c>
      <c r="B1945" s="133" t="s">
        <v>2632</v>
      </c>
      <c r="C1945" s="133" t="s">
        <v>2428</v>
      </c>
      <c r="D1945" s="133" t="s">
        <v>477</v>
      </c>
      <c r="E1945" s="158">
        <v>7</v>
      </c>
      <c r="F1945" s="158">
        <v>0</v>
      </c>
      <c r="G1945" s="158">
        <v>0</v>
      </c>
      <c r="H1945" s="133" t="s">
        <v>2429</v>
      </c>
      <c r="I1945" s="133" t="s">
        <v>479</v>
      </c>
      <c r="J1945" s="158">
        <v>1</v>
      </c>
      <c r="K1945" s="159" t="str">
        <f ca="1">IFERROR(__xludf.DUMMYFUNCTION("GOOGLETRANSLATE(H1945,""th"",""en"")"),"Quit usage")</f>
        <v>Quit usage</v>
      </c>
    </row>
    <row r="1946" spans="1:11" ht="15.75" hidden="1" customHeight="1">
      <c r="A1946" s="133" t="s">
        <v>7</v>
      </c>
      <c r="B1946" s="133" t="s">
        <v>2632</v>
      </c>
      <c r="C1946" s="133" t="s">
        <v>523</v>
      </c>
      <c r="D1946" s="133" t="s">
        <v>477</v>
      </c>
      <c r="E1946" s="158">
        <v>8</v>
      </c>
      <c r="F1946" s="158">
        <v>0</v>
      </c>
      <c r="G1946" s="158">
        <v>0</v>
      </c>
      <c r="H1946" s="133" t="s">
        <v>734</v>
      </c>
      <c r="I1946" s="133" t="s">
        <v>479</v>
      </c>
      <c r="J1946" s="158">
        <v>1</v>
      </c>
      <c r="K1946" s="159" t="str">
        <f ca="1">IFERROR(__xludf.DUMMYFUNCTION("GOOGLETRANSLATE(H1946,""th"",""en"")"),"Creator name")</f>
        <v>Creator name</v>
      </c>
    </row>
    <row r="1947" spans="1:11" ht="15.75" hidden="1" customHeight="1">
      <c r="A1947" s="133" t="s">
        <v>7</v>
      </c>
      <c r="B1947" s="133" t="s">
        <v>2632</v>
      </c>
      <c r="C1947" s="133" t="s">
        <v>669</v>
      </c>
      <c r="D1947" s="133" t="s">
        <v>496</v>
      </c>
      <c r="E1947" s="158">
        <v>4</v>
      </c>
      <c r="F1947" s="158">
        <v>16</v>
      </c>
      <c r="G1947" s="158">
        <v>0</v>
      </c>
      <c r="H1947" s="133" t="s">
        <v>735</v>
      </c>
      <c r="I1947" s="133" t="s">
        <v>479</v>
      </c>
      <c r="J1947" s="158">
        <v>1</v>
      </c>
      <c r="K1947" s="159" t="str">
        <f ca="1">IFERROR(__xludf.DUMMYFUNCTION("GOOGLETRANSLATE(H1947,""th"",""en"")"),"Date created")</f>
        <v>Date created</v>
      </c>
    </row>
    <row r="1948" spans="1:11" ht="15.75" hidden="1" customHeight="1">
      <c r="A1948" s="133" t="s">
        <v>7</v>
      </c>
      <c r="B1948" s="133" t="s">
        <v>2632</v>
      </c>
      <c r="C1948" s="133" t="s">
        <v>670</v>
      </c>
      <c r="D1948" s="133" t="s">
        <v>477</v>
      </c>
      <c r="E1948" s="158">
        <v>8</v>
      </c>
      <c r="F1948" s="158">
        <v>0</v>
      </c>
      <c r="G1948" s="158">
        <v>0</v>
      </c>
      <c r="H1948" s="133" t="s">
        <v>871</v>
      </c>
      <c r="I1948" s="133" t="s">
        <v>479</v>
      </c>
      <c r="J1948" s="158">
        <v>1</v>
      </c>
      <c r="K1948" s="159" t="str">
        <f ca="1">IFERROR(__xludf.DUMMYFUNCTION("GOOGLETRANSLATE(H1948,""th"",""en"")"),"Last edited name")</f>
        <v>Last edited name</v>
      </c>
    </row>
    <row r="1949" spans="1:11" ht="15.75" hidden="1" customHeight="1">
      <c r="A1949" s="133" t="s">
        <v>7</v>
      </c>
      <c r="B1949" s="133" t="s">
        <v>2632</v>
      </c>
      <c r="C1949" s="133" t="s">
        <v>215</v>
      </c>
      <c r="D1949" s="133" t="s">
        <v>496</v>
      </c>
      <c r="E1949" s="158">
        <v>4</v>
      </c>
      <c r="F1949" s="158">
        <v>16</v>
      </c>
      <c r="G1949" s="158">
        <v>0</v>
      </c>
      <c r="H1949" s="133" t="s">
        <v>872</v>
      </c>
      <c r="I1949" s="133" t="s">
        <v>479</v>
      </c>
      <c r="J1949" s="158">
        <v>1</v>
      </c>
      <c r="K1949" s="159" t="str">
        <f ca="1">IFERROR(__xludf.DUMMYFUNCTION("GOOGLETRANSLATE(H1949,""th"",""en"")"),"Last modified date")</f>
        <v>Last modified date</v>
      </c>
    </row>
    <row r="1950" spans="1:11" ht="15.75" hidden="1" customHeight="1">
      <c r="A1950" s="133" t="s">
        <v>7</v>
      </c>
      <c r="B1950" s="133" t="s">
        <v>2632</v>
      </c>
      <c r="C1950" s="133" t="s">
        <v>1151</v>
      </c>
      <c r="D1950" s="133" t="s">
        <v>491</v>
      </c>
      <c r="E1950" s="158">
        <v>1</v>
      </c>
      <c r="F1950" s="158">
        <v>0</v>
      </c>
      <c r="G1950" s="158">
        <v>0</v>
      </c>
      <c r="H1950" s="133" t="s">
        <v>2430</v>
      </c>
      <c r="I1950" s="133" t="s">
        <v>479</v>
      </c>
      <c r="J1950" s="158">
        <v>1</v>
      </c>
      <c r="K1950" s="159" t="str">
        <f ca="1">IFERROR(__xludf.DUMMYFUNCTION("GOOGLETRANSLATE(H1950,""th"",""en"")"),"This detail is the sale of the product from the stock product or not. (But so is the sale of all stock products. This value is all)")</f>
        <v>This detail is the sale of the product from the stock product or not. (But so is the sale of all stock products. This value is all)</v>
      </c>
    </row>
    <row r="1951" spans="1:11" ht="15.75" hidden="1" customHeight="1">
      <c r="A1951" s="133" t="s">
        <v>7</v>
      </c>
      <c r="B1951" s="133" t="s">
        <v>2632</v>
      </c>
      <c r="C1951" s="133" t="s">
        <v>1153</v>
      </c>
      <c r="D1951" s="133" t="s">
        <v>491</v>
      </c>
      <c r="E1951" s="158">
        <v>1</v>
      </c>
      <c r="F1951" s="158">
        <v>0</v>
      </c>
      <c r="G1951" s="158">
        <v>0</v>
      </c>
      <c r="H1951" s="133" t="s">
        <v>2634</v>
      </c>
      <c r="I1951" s="133" t="s">
        <v>479</v>
      </c>
      <c r="J1951" s="158">
        <v>1</v>
      </c>
      <c r="K1951" s="159" t="str">
        <f ca="1">IFERROR(__xludf.DUMMYFUNCTION("GOOGLETRANSLATE(H1951,""th"",""en"")"),"Not likely to be used")</f>
        <v>Not likely to be used</v>
      </c>
    </row>
    <row r="1952" spans="1:11" ht="15.75" hidden="1" customHeight="1">
      <c r="A1952" s="133" t="s">
        <v>7</v>
      </c>
      <c r="B1952" s="133" t="s">
        <v>2632</v>
      </c>
      <c r="C1952" s="133" t="s">
        <v>2336</v>
      </c>
      <c r="D1952" s="133" t="s">
        <v>477</v>
      </c>
      <c r="E1952" s="158">
        <v>3</v>
      </c>
      <c r="F1952" s="158">
        <v>0</v>
      </c>
      <c r="G1952" s="158">
        <v>0</v>
      </c>
      <c r="H1952" s="133" t="s">
        <v>2432</v>
      </c>
      <c r="I1952" s="133" t="s">
        <v>479</v>
      </c>
      <c r="J1952" s="158">
        <v>1</v>
      </c>
      <c r="K1952" s="159" t="str">
        <f ca="1">IFERROR(__xludf.DUMMYFUNCTION("GOOGLETRANSLATE(H1952,""th"",""en"")"),"Is a free product [Y, N]")</f>
        <v>Is a free product [Y, N]</v>
      </c>
    </row>
    <row r="1953" spans="1:11" ht="15.75" hidden="1" customHeight="1">
      <c r="A1953" s="133" t="s">
        <v>7</v>
      </c>
      <c r="B1953" s="133" t="s">
        <v>2632</v>
      </c>
      <c r="C1953" s="133" t="s">
        <v>2433</v>
      </c>
      <c r="D1953" s="133" t="s">
        <v>477</v>
      </c>
      <c r="E1953" s="158">
        <v>3</v>
      </c>
      <c r="F1953" s="158">
        <v>0</v>
      </c>
      <c r="G1953" s="158">
        <v>0</v>
      </c>
      <c r="H1953" s="133" t="s">
        <v>2635</v>
      </c>
      <c r="I1953" s="133" t="s">
        <v>479</v>
      </c>
      <c r="J1953" s="158">
        <v>1</v>
      </c>
      <c r="K1953" s="159" t="str">
        <f ca="1">IFERROR(__xludf.DUMMYFUNCTION("GOOGLETRANSLATE(H1953,""th"",""en"")"),"Flag of QC")</f>
        <v>Flag of QC</v>
      </c>
    </row>
    <row r="1954" spans="1:11" ht="15.75" hidden="1" customHeight="1">
      <c r="A1954" s="133" t="s">
        <v>7</v>
      </c>
      <c r="B1954" s="133" t="s">
        <v>2632</v>
      </c>
      <c r="C1954" s="133" t="s">
        <v>2435</v>
      </c>
      <c r="D1954" s="133" t="s">
        <v>477</v>
      </c>
      <c r="E1954" s="158">
        <v>3</v>
      </c>
      <c r="F1954" s="158">
        <v>0</v>
      </c>
      <c r="G1954" s="158">
        <v>0</v>
      </c>
      <c r="H1954" s="133" t="s">
        <v>2436</v>
      </c>
      <c r="I1954" s="133" t="s">
        <v>479</v>
      </c>
      <c r="J1954" s="158">
        <v>1</v>
      </c>
      <c r="K1954" s="159" t="str">
        <f ca="1">IFERROR(__xludf.DUMMYFUNCTION("GOOGLETRANSLATE(H1954,""th"",""en"")"),"Best Deal Product Flag (Y: YES, N: NO)")</f>
        <v>Best Deal Product Flag (Y: YES, N: NO)</v>
      </c>
    </row>
    <row r="1955" spans="1:11" ht="15.75" hidden="1" customHeight="1">
      <c r="A1955" s="133" t="s">
        <v>7</v>
      </c>
      <c r="B1955" s="133" t="s">
        <v>2632</v>
      </c>
      <c r="C1955" s="133" t="s">
        <v>2636</v>
      </c>
      <c r="D1955" s="133" t="s">
        <v>481</v>
      </c>
      <c r="E1955" s="158">
        <v>9</v>
      </c>
      <c r="F1955" s="158">
        <v>11</v>
      </c>
      <c r="G1955" s="158">
        <v>2</v>
      </c>
      <c r="H1955" s="133" t="s">
        <v>2637</v>
      </c>
      <c r="I1955" s="133" t="s">
        <v>479</v>
      </c>
      <c r="J1955" s="158">
        <v>1</v>
      </c>
      <c r="K1955" s="159" t="str">
        <f ca="1">IFERROR(__xludf.DUMMYFUNCTION("GOOGLETRANSLATE(H1955,""th"",""en"")"),"New selling price per unit to delete CN")</f>
        <v>New selling price per unit to delete CN</v>
      </c>
    </row>
    <row r="1956" spans="1:11" ht="15.75" hidden="1" customHeight="1">
      <c r="A1956" s="133" t="s">
        <v>7</v>
      </c>
      <c r="B1956" s="133" t="s">
        <v>2632</v>
      </c>
      <c r="C1956" s="133" t="s">
        <v>2437</v>
      </c>
      <c r="D1956" s="133" t="s">
        <v>477</v>
      </c>
      <c r="E1956" s="158">
        <v>20</v>
      </c>
      <c r="F1956" s="158">
        <v>0</v>
      </c>
      <c r="G1956" s="158">
        <v>0</v>
      </c>
      <c r="H1956" s="133" t="s">
        <v>2438</v>
      </c>
      <c r="I1956" s="133" t="s">
        <v>548</v>
      </c>
      <c r="J1956" s="158">
        <v>1</v>
      </c>
      <c r="K1956" s="159" t="str">
        <f ca="1">IFERROR(__xludf.DUMMYFUNCTION("GOOGLETRANSLATE(H1956,""th"",""en"")"),"Product Type (C: Computer, F: Fumiture, O: Office Automation, T: Trendy)")</f>
        <v>Product Type (C: Computer, F: Fumiture, O: Office Automation, T: Trendy)</v>
      </c>
    </row>
    <row r="1957" spans="1:11" ht="15.75" hidden="1" customHeight="1">
      <c r="A1957" s="133" t="s">
        <v>7</v>
      </c>
      <c r="B1957" s="133" t="s">
        <v>2632</v>
      </c>
      <c r="C1957" s="133" t="s">
        <v>1206</v>
      </c>
      <c r="D1957" s="133" t="s">
        <v>477</v>
      </c>
      <c r="E1957" s="158">
        <v>3</v>
      </c>
      <c r="F1957" s="158">
        <v>0</v>
      </c>
      <c r="G1957" s="158">
        <v>0</v>
      </c>
      <c r="H1957" s="133" t="s">
        <v>479</v>
      </c>
      <c r="I1957" s="133" t="s">
        <v>548</v>
      </c>
      <c r="J1957" s="158">
        <v>1</v>
      </c>
      <c r="K1957" s="159" t="str">
        <f ca="1">IFERROR(__xludf.DUMMYFUNCTION("GOOGLETRANSLATE(H1957,""th"",""en"")"),"Null")</f>
        <v>Null</v>
      </c>
    </row>
    <row r="1958" spans="1:11" ht="15.75" hidden="1" customHeight="1">
      <c r="A1958" s="133" t="s">
        <v>7</v>
      </c>
      <c r="B1958" s="133" t="s">
        <v>2632</v>
      </c>
      <c r="C1958" s="133" t="s">
        <v>663</v>
      </c>
      <c r="D1958" s="133" t="s">
        <v>481</v>
      </c>
      <c r="E1958" s="158">
        <v>5</v>
      </c>
      <c r="F1958" s="158">
        <v>9</v>
      </c>
      <c r="G1958" s="158">
        <v>2</v>
      </c>
      <c r="H1958" s="133" t="s">
        <v>479</v>
      </c>
      <c r="I1958" s="133" t="s">
        <v>615</v>
      </c>
      <c r="J1958" s="158">
        <v>0</v>
      </c>
      <c r="K1958" s="159" t="str">
        <f ca="1">IFERROR(__xludf.DUMMYFUNCTION("GOOGLETRANSLATE(H1958,""th"",""en"")"),"Null")</f>
        <v>Null</v>
      </c>
    </row>
    <row r="1959" spans="1:11" ht="15.75" hidden="1" customHeight="1">
      <c r="A1959" s="133" t="s">
        <v>7</v>
      </c>
      <c r="B1959" s="133" t="s">
        <v>2632</v>
      </c>
      <c r="C1959" s="133" t="s">
        <v>2440</v>
      </c>
      <c r="D1959" s="133" t="s">
        <v>481</v>
      </c>
      <c r="E1959" s="158">
        <v>5</v>
      </c>
      <c r="F1959" s="158">
        <v>9</v>
      </c>
      <c r="G1959" s="158">
        <v>2</v>
      </c>
      <c r="H1959" s="133" t="s">
        <v>479</v>
      </c>
      <c r="I1959" s="133" t="s">
        <v>615</v>
      </c>
      <c r="J1959" s="158">
        <v>0</v>
      </c>
      <c r="K1959" s="159" t="str">
        <f ca="1">IFERROR(__xludf.DUMMYFUNCTION("GOOGLETRANSLATE(H1959,""th"",""en"")"),"Null")</f>
        <v>Null</v>
      </c>
    </row>
    <row r="1960" spans="1:11" ht="15.75" hidden="1" customHeight="1">
      <c r="A1960" s="133" t="s">
        <v>7</v>
      </c>
      <c r="B1960" s="133" t="s">
        <v>2632</v>
      </c>
      <c r="C1960" s="133" t="s">
        <v>2442</v>
      </c>
      <c r="D1960" s="133" t="s">
        <v>481</v>
      </c>
      <c r="E1960" s="158">
        <v>5</v>
      </c>
      <c r="F1960" s="158">
        <v>9</v>
      </c>
      <c r="G1960" s="158">
        <v>2</v>
      </c>
      <c r="H1960" s="133" t="s">
        <v>479</v>
      </c>
      <c r="I1960" s="133" t="s">
        <v>615</v>
      </c>
      <c r="J1960" s="158">
        <v>0</v>
      </c>
      <c r="K1960" s="159" t="str">
        <f ca="1">IFERROR(__xludf.DUMMYFUNCTION("GOOGLETRANSLATE(H1960,""th"",""en"")"),"Null")</f>
        <v>Null</v>
      </c>
    </row>
    <row r="1961" spans="1:11" ht="15.75" hidden="1" customHeight="1">
      <c r="A1961" s="133" t="s">
        <v>7</v>
      </c>
      <c r="B1961" s="133" t="s">
        <v>2632</v>
      </c>
      <c r="C1961" s="133" t="s">
        <v>164</v>
      </c>
      <c r="D1961" s="133" t="s">
        <v>477</v>
      </c>
      <c r="E1961" s="158">
        <v>1000</v>
      </c>
      <c r="F1961" s="158">
        <v>0</v>
      </c>
      <c r="G1961" s="158">
        <v>0</v>
      </c>
      <c r="H1961" s="133" t="s">
        <v>2638</v>
      </c>
      <c r="I1961" s="133" t="s">
        <v>548</v>
      </c>
      <c r="J1961" s="158">
        <v>0</v>
      </c>
      <c r="K1961" s="159" t="str">
        <f ca="1">IFERROR(__xludf.DUMMYFUNCTION("GOOGLETRANSLATE(H1961,""th"",""en"")"),"Keep the note of receiving coupons")</f>
        <v>Keep the note of receiving coupons</v>
      </c>
    </row>
    <row r="1962" spans="1:11" ht="15.75" hidden="1" customHeight="1">
      <c r="A1962" s="133" t="s">
        <v>7</v>
      </c>
      <c r="B1962" s="133" t="s">
        <v>2632</v>
      </c>
      <c r="C1962" s="133" t="s">
        <v>2444</v>
      </c>
      <c r="D1962" s="133" t="s">
        <v>481</v>
      </c>
      <c r="E1962" s="158">
        <v>5</v>
      </c>
      <c r="F1962" s="158">
        <v>9</v>
      </c>
      <c r="G1962" s="158">
        <v>2</v>
      </c>
      <c r="H1962" s="133" t="s">
        <v>2445</v>
      </c>
      <c r="I1962" s="133" t="s">
        <v>615</v>
      </c>
      <c r="J1962" s="158">
        <v>0</v>
      </c>
      <c r="K1962" s="159" t="str">
        <f ca="1">IFERROR(__xludf.DUMMYFUNCTION("GOOGLETRANSLATE(H1962,""th"",""en"")"),"Collect discounts that are the amount of Voucher By Item")</f>
        <v>Collect discounts that are the amount of Voucher By Item</v>
      </c>
    </row>
    <row r="1963" spans="1:11" ht="15.75" hidden="1" customHeight="1">
      <c r="A1963" s="133" t="s">
        <v>7</v>
      </c>
      <c r="B1963" s="133" t="s">
        <v>2632</v>
      </c>
      <c r="C1963" s="133" t="s">
        <v>2446</v>
      </c>
      <c r="D1963" s="133" t="s">
        <v>481</v>
      </c>
      <c r="E1963" s="158">
        <v>5</v>
      </c>
      <c r="F1963" s="158">
        <v>5</v>
      </c>
      <c r="G1963" s="158">
        <v>2</v>
      </c>
      <c r="H1963" s="133" t="s">
        <v>2447</v>
      </c>
      <c r="I1963" s="133" t="s">
        <v>615</v>
      </c>
      <c r="J1963" s="158">
        <v>0</v>
      </c>
      <c r="K1963" s="159" t="str">
        <f ca="1">IFERROR(__xludf.DUMMYFUNCTION("GOOGLETRANSLATE(H1963,""th"",""en"")"),"Collect a discount that is the number of voucher by item.")</f>
        <v>Collect a discount that is the number of voucher by item.</v>
      </c>
    </row>
    <row r="1964" spans="1:11" ht="15.75" hidden="1" customHeight="1">
      <c r="A1964" s="133" t="s">
        <v>7</v>
      </c>
      <c r="B1964" s="133" t="s">
        <v>2632</v>
      </c>
      <c r="C1964" s="133" t="s">
        <v>2448</v>
      </c>
      <c r="D1964" s="133" t="s">
        <v>481</v>
      </c>
      <c r="E1964" s="158">
        <v>5</v>
      </c>
      <c r="F1964" s="158">
        <v>9</v>
      </c>
      <c r="G1964" s="158">
        <v>2</v>
      </c>
      <c r="H1964" s="133" t="s">
        <v>2449</v>
      </c>
      <c r="I1964" s="133" t="s">
        <v>615</v>
      </c>
      <c r="J1964" s="158">
        <v>0</v>
      </c>
      <c r="K1964" s="159" t="str">
        <f ca="1">IFERROR(__xludf.DUMMYFUNCTION("GOOGLETRANSLATE(H1964,""th"",""en"")"),"Keep the product price including VAT after deducting discounts.")</f>
        <v>Keep the product price including VAT after deducting discounts.</v>
      </c>
    </row>
    <row r="1965" spans="1:11" ht="15.75" hidden="1" customHeight="1">
      <c r="A1965" s="133" t="s">
        <v>7</v>
      </c>
      <c r="B1965" s="133" t="s">
        <v>2632</v>
      </c>
      <c r="C1965" s="133" t="s">
        <v>2450</v>
      </c>
      <c r="D1965" s="133" t="s">
        <v>481</v>
      </c>
      <c r="E1965" s="158">
        <v>5</v>
      </c>
      <c r="F1965" s="158">
        <v>9</v>
      </c>
      <c r="G1965" s="158">
        <v>2</v>
      </c>
      <c r="H1965" s="133" t="s">
        <v>2451</v>
      </c>
      <c r="I1965" s="133" t="s">
        <v>615</v>
      </c>
      <c r="J1965" s="158">
        <v>0</v>
      </c>
      <c r="K1965" s="159" t="str">
        <f ca="1">IFERROR(__xludf.DUMMYFUNCTION("GOOGLETRANSLATE(H1965,""th"",""en"")"),"Product prices include VAT")</f>
        <v>Product prices include VAT</v>
      </c>
    </row>
    <row r="1966" spans="1:11" ht="15.75" hidden="1" customHeight="1">
      <c r="A1966" s="133" t="s">
        <v>7</v>
      </c>
      <c r="B1966" s="133" t="s">
        <v>2632</v>
      </c>
      <c r="C1966" s="133" t="s">
        <v>2452</v>
      </c>
      <c r="D1966" s="133" t="s">
        <v>481</v>
      </c>
      <c r="E1966" s="158">
        <v>5</v>
      </c>
      <c r="F1966" s="158">
        <v>9</v>
      </c>
      <c r="G1966" s="158">
        <v>2</v>
      </c>
      <c r="H1966" s="133" t="s">
        <v>479</v>
      </c>
      <c r="I1966" s="133" t="s">
        <v>615</v>
      </c>
      <c r="J1966" s="158">
        <v>0</v>
      </c>
      <c r="K1966" s="159" t="str">
        <f ca="1">IFERROR(__xludf.DUMMYFUNCTION("GOOGLETRANSLATE(H1966,""th"",""en"")"),"Null")</f>
        <v>Null</v>
      </c>
    </row>
    <row r="1967" spans="1:11" ht="15.75" hidden="1" customHeight="1">
      <c r="A1967" s="133" t="s">
        <v>7</v>
      </c>
      <c r="B1967" s="133" t="s">
        <v>2632</v>
      </c>
      <c r="C1967" s="133" t="s">
        <v>2639</v>
      </c>
      <c r="D1967" s="133" t="s">
        <v>481</v>
      </c>
      <c r="E1967" s="158">
        <v>5</v>
      </c>
      <c r="F1967" s="158">
        <v>9</v>
      </c>
      <c r="G1967" s="158">
        <v>2</v>
      </c>
      <c r="H1967" s="133" t="s">
        <v>2640</v>
      </c>
      <c r="I1967" s="133" t="s">
        <v>1223</v>
      </c>
      <c r="J1967" s="158">
        <v>0</v>
      </c>
      <c r="K1967" s="159" t="str">
        <f ca="1">IFERROR(__xludf.DUMMYFUNCTION("GOOGLETRANSLATE(H1967,""th"",""en"")"),"Discount on the Item (discount from VoucherByProduct + discount from PromotionByItem) Tax Total")</f>
        <v>Discount on the Item (discount from VoucherByProduct + discount from PromotionByItem) Tax Total</v>
      </c>
    </row>
    <row r="1968" spans="1:11" ht="15.75" hidden="1" customHeight="1">
      <c r="A1968" s="133" t="s">
        <v>7</v>
      </c>
      <c r="B1968" s="133" t="s">
        <v>2632</v>
      </c>
      <c r="C1968" s="133" t="s">
        <v>2641</v>
      </c>
      <c r="D1968" s="133" t="s">
        <v>481</v>
      </c>
      <c r="E1968" s="158">
        <v>5</v>
      </c>
      <c r="F1968" s="158">
        <v>9</v>
      </c>
      <c r="G1968" s="158">
        <v>2</v>
      </c>
      <c r="H1968" s="133" t="s">
        <v>2642</v>
      </c>
      <c r="I1968" s="133" t="s">
        <v>1223</v>
      </c>
      <c r="J1968" s="158">
        <v>0</v>
      </c>
      <c r="K1968" s="159" t="str">
        <f ca="1">IFERROR(__xludf.DUMMYFUNCTION("GOOGLETRANSLATE(H1968,""th"",""en"")"),"Discount VoucherByProduct Including tax")</f>
        <v>Discount VoucherByProduct Including tax</v>
      </c>
    </row>
    <row r="1969" spans="1:14" ht="15.75" hidden="1" customHeight="1">
      <c r="A1969" s="133" t="s">
        <v>7</v>
      </c>
      <c r="B1969" s="133" t="s">
        <v>2632</v>
      </c>
      <c r="C1969" s="133" t="s">
        <v>2643</v>
      </c>
      <c r="D1969" s="133" t="s">
        <v>481</v>
      </c>
      <c r="E1969" s="158">
        <v>5</v>
      </c>
      <c r="F1969" s="158">
        <v>9</v>
      </c>
      <c r="G1969" s="158">
        <v>2</v>
      </c>
      <c r="H1969" s="133" t="s">
        <v>2644</v>
      </c>
      <c r="I1969" s="133" t="s">
        <v>1223</v>
      </c>
      <c r="J1969" s="158">
        <v>0</v>
      </c>
      <c r="K1969" s="159" t="str">
        <f ca="1">IFERROR(__xludf.DUMMYFUNCTION("GOOGLETRANSLATE(H1969,""th"",""en"")"),"Discount VoucherByProduct does not include taxes.")</f>
        <v>Discount VoucherByProduct does not include taxes.</v>
      </c>
    </row>
    <row r="1970" spans="1:14" ht="15.75" hidden="1" customHeight="1">
      <c r="A1970" s="133" t="s">
        <v>7</v>
      </c>
      <c r="B1970" s="133" t="s">
        <v>2632</v>
      </c>
      <c r="C1970" s="133" t="s">
        <v>2645</v>
      </c>
      <c r="D1970" s="133" t="s">
        <v>481</v>
      </c>
      <c r="E1970" s="158">
        <v>5</v>
      </c>
      <c r="F1970" s="158">
        <v>9</v>
      </c>
      <c r="G1970" s="158">
        <v>2</v>
      </c>
      <c r="H1970" s="133" t="s">
        <v>2646</v>
      </c>
      <c r="I1970" s="133" t="s">
        <v>1223</v>
      </c>
      <c r="J1970" s="158">
        <v>0</v>
      </c>
      <c r="K1970" s="159" t="str">
        <f ca="1">IFERROR(__xludf.DUMMYFUNCTION("GOOGLETRANSLATE(H1970,""th"",""en"")"),"Discounts, promotion, ITEM, including tax")</f>
        <v>Discounts, promotion, ITEM, including tax</v>
      </c>
    </row>
    <row r="1971" spans="1:14" ht="15.75" hidden="1" customHeight="1">
      <c r="A1971" s="133" t="s">
        <v>7</v>
      </c>
      <c r="B1971" s="133" t="s">
        <v>2632</v>
      </c>
      <c r="C1971" s="133" t="s">
        <v>2647</v>
      </c>
      <c r="D1971" s="133" t="s">
        <v>481</v>
      </c>
      <c r="E1971" s="158">
        <v>5</v>
      </c>
      <c r="F1971" s="158">
        <v>9</v>
      </c>
      <c r="G1971" s="158">
        <v>2</v>
      </c>
      <c r="H1971" s="133" t="s">
        <v>2648</v>
      </c>
      <c r="I1971" s="133" t="s">
        <v>1223</v>
      </c>
      <c r="J1971" s="158">
        <v>0</v>
      </c>
      <c r="K1971" s="159" t="str">
        <f ca="1">IFERROR(__xludf.DUMMYFUNCTION("GOOGLETRANSLATE(H1971,""th"",""en"")"),"Discount on the item, excluding tax")</f>
        <v>Discount on the item, excluding tax</v>
      </c>
    </row>
    <row r="1972" spans="1:14" ht="15.75" hidden="1" customHeight="1">
      <c r="A1972" s="133" t="s">
        <v>7</v>
      </c>
      <c r="B1972" s="133" t="s">
        <v>2632</v>
      </c>
      <c r="C1972" s="133" t="s">
        <v>2453</v>
      </c>
      <c r="D1972" s="133" t="s">
        <v>477</v>
      </c>
      <c r="E1972" s="158">
        <v>3</v>
      </c>
      <c r="F1972" s="158">
        <v>0</v>
      </c>
      <c r="G1972" s="158">
        <v>0</v>
      </c>
      <c r="H1972" s="133" t="s">
        <v>479</v>
      </c>
      <c r="I1972" s="133" t="s">
        <v>2454</v>
      </c>
      <c r="J1972" s="158">
        <v>0</v>
      </c>
      <c r="K1972" s="159" t="str">
        <f ca="1">IFERROR(__xludf.DUMMYFUNCTION("GOOGLETRANSLATE(H1972,""th"",""en"")"),"Null")</f>
        <v>Null</v>
      </c>
    </row>
    <row r="1973" spans="1:14" ht="15.75" hidden="1" customHeight="1">
      <c r="A1973" s="133" t="s">
        <v>7</v>
      </c>
      <c r="B1973" s="133" t="s">
        <v>2632</v>
      </c>
      <c r="C1973" s="133" t="s">
        <v>2455</v>
      </c>
      <c r="D1973" s="133" t="s">
        <v>484</v>
      </c>
      <c r="E1973" s="158">
        <v>4</v>
      </c>
      <c r="F1973" s="158">
        <v>10</v>
      </c>
      <c r="G1973" s="158">
        <v>0</v>
      </c>
      <c r="H1973" s="133" t="s">
        <v>2456</v>
      </c>
      <c r="I1973" s="133" t="s">
        <v>615</v>
      </c>
      <c r="J1973" s="158">
        <v>0</v>
      </c>
      <c r="K1973" s="159" t="str">
        <f ca="1">IFERROR(__xludf.DUMMYFUNCTION("GOOGLETRANSLATE(H1973,""th"",""en"")"),"Product arrangement")</f>
        <v>Product arrangement</v>
      </c>
    </row>
    <row r="1974" spans="1:14" ht="15.75" hidden="1" customHeight="1">
      <c r="A1974" s="133" t="s">
        <v>7</v>
      </c>
      <c r="B1974" s="133" t="s">
        <v>2632</v>
      </c>
      <c r="C1974" s="133" t="s">
        <v>2649</v>
      </c>
      <c r="D1974" s="133" t="s">
        <v>484</v>
      </c>
      <c r="E1974" s="158">
        <v>4</v>
      </c>
      <c r="F1974" s="158">
        <v>10</v>
      </c>
      <c r="G1974" s="158">
        <v>0</v>
      </c>
      <c r="H1974" s="133" t="s">
        <v>2650</v>
      </c>
      <c r="I1974" s="133" t="s">
        <v>1210</v>
      </c>
      <c r="J1974" s="158">
        <v>0</v>
      </c>
      <c r="K1974" s="159" t="str">
        <f ca="1">IFERROR(__xludf.DUMMYFUNCTION("GOOGLETRANSLATE(H1974,""th"",""en"")"),"Seqno's product list in Soivdetl documents that are released CN / CJ")</f>
        <v>Seqno's product list in Soivdetl documents that are released CN / CJ</v>
      </c>
    </row>
    <row r="1975" spans="1:14" ht="15.75" hidden="1" customHeight="1">
      <c r="A1975" s="133" t="s">
        <v>7</v>
      </c>
      <c r="B1975" s="133" t="s">
        <v>2632</v>
      </c>
      <c r="C1975" s="133" t="s">
        <v>1208</v>
      </c>
      <c r="D1975" s="133" t="s">
        <v>484</v>
      </c>
      <c r="E1975" s="158">
        <v>4</v>
      </c>
      <c r="F1975" s="158">
        <v>10</v>
      </c>
      <c r="G1975" s="158">
        <v>0</v>
      </c>
      <c r="H1975" s="133" t="s">
        <v>1209</v>
      </c>
      <c r="I1975" s="133" t="s">
        <v>1210</v>
      </c>
      <c r="J1975" s="158">
        <v>0</v>
      </c>
      <c r="K1975" s="159" t="str">
        <f ca="1">IFERROR(__xludf.DUMMYFUNCTION("GOOGLETRANSLATE(H1975,""th"",""en"")"),"Keep the channelid of the product that needs to be done. Reserve: [99: None Channel, 18: Center, 19: Global]")</f>
        <v>Keep the channelid of the product that needs to be done. Reserve: [99: None Channel, 18: Center, 19: Global]</v>
      </c>
    </row>
    <row r="1976" spans="1:14" ht="15.75" hidden="1" customHeight="1">
      <c r="A1976" s="161" t="s">
        <v>7</v>
      </c>
      <c r="B1976" s="161" t="s">
        <v>440</v>
      </c>
      <c r="C1976" s="161" t="s">
        <v>2317</v>
      </c>
      <c r="D1976" s="161" t="s">
        <v>477</v>
      </c>
      <c r="E1976" s="162">
        <v>5</v>
      </c>
      <c r="F1976" s="162">
        <v>0</v>
      </c>
      <c r="G1976" s="162">
        <v>0</v>
      </c>
      <c r="H1976" s="161"/>
      <c r="I1976" s="161"/>
      <c r="J1976" s="285">
        <v>1</v>
      </c>
      <c r="K1976" s="163"/>
      <c r="L1976" s="164" t="s">
        <v>2318</v>
      </c>
      <c r="M1976" s="165"/>
      <c r="N1976" s="165"/>
    </row>
    <row r="1977" spans="1:14" ht="15.75" hidden="1" customHeight="1">
      <c r="A1977" s="133" t="s">
        <v>7</v>
      </c>
      <c r="B1977" s="133" t="s">
        <v>440</v>
      </c>
      <c r="C1977" s="133" t="s">
        <v>2410</v>
      </c>
      <c r="D1977" s="133" t="s">
        <v>477</v>
      </c>
      <c r="E1977" s="158">
        <v>12</v>
      </c>
      <c r="F1977" s="158">
        <v>0</v>
      </c>
      <c r="G1977" s="158">
        <v>0</v>
      </c>
      <c r="H1977" s="133" t="s">
        <v>2411</v>
      </c>
      <c r="I1977" s="133" t="s">
        <v>479</v>
      </c>
      <c r="J1977" s="158">
        <v>0</v>
      </c>
      <c r="K1977" s="159" t="str">
        <f ca="1">IFERROR(__xludf.DUMMYFUNCTION("GOOGLETRANSLATE(H1977,""th"",""en"")"),"Invoice number")</f>
        <v>Invoice number</v>
      </c>
    </row>
    <row r="1978" spans="1:14" ht="15.75" hidden="1" customHeight="1">
      <c r="A1978" s="133" t="s">
        <v>7</v>
      </c>
      <c r="B1978" s="133" t="s">
        <v>440</v>
      </c>
      <c r="C1978" s="133" t="s">
        <v>542</v>
      </c>
      <c r="D1978" s="133" t="s">
        <v>496</v>
      </c>
      <c r="E1978" s="158">
        <v>4</v>
      </c>
      <c r="F1978" s="158">
        <v>16</v>
      </c>
      <c r="G1978" s="158">
        <v>0</v>
      </c>
      <c r="H1978" s="133" t="s">
        <v>2651</v>
      </c>
      <c r="I1978" s="133" t="s">
        <v>479</v>
      </c>
      <c r="J1978" s="158">
        <v>1</v>
      </c>
      <c r="K1978" s="159" t="str">
        <f ca="1">IFERROR(__xludf.DUMMYFUNCTION("GOOGLETRANSLATE(H1978,""th"",""en"")"),"Invoice release date (tdsystem.currdate + real time) (in the case of the last working day we will change the date We will set it as the first day of the next month.")</f>
        <v>Invoice release date (tdsystem.currdate + real time) (in the case of the last working day we will change the date We will set it as the first day of the next month.</v>
      </c>
    </row>
    <row r="1979" spans="1:14" ht="15.75" hidden="1" customHeight="1">
      <c r="A1979" s="133" t="s">
        <v>7</v>
      </c>
      <c r="B1979" s="133" t="s">
        <v>440</v>
      </c>
      <c r="C1979" s="133" t="s">
        <v>2458</v>
      </c>
      <c r="D1979" s="133" t="s">
        <v>477</v>
      </c>
      <c r="E1979" s="158">
        <v>8</v>
      </c>
      <c r="F1979" s="158">
        <v>0</v>
      </c>
      <c r="G1979" s="158">
        <v>0</v>
      </c>
      <c r="H1979" s="133" t="s">
        <v>2459</v>
      </c>
      <c r="I1979" s="133" t="s">
        <v>479</v>
      </c>
      <c r="J1979" s="158">
        <v>1</v>
      </c>
      <c r="K1979" s="159" t="str">
        <f ca="1">IFERROR(__xludf.DUMMYFUNCTION("GOOGLETRANSLATE(H1979,""th"",""en"")"),"Invoice leaves")</f>
        <v>Invoice leaves</v>
      </c>
    </row>
    <row r="1980" spans="1:14" ht="15.75" hidden="1" customHeight="1">
      <c r="A1980" s="133" t="s">
        <v>7</v>
      </c>
      <c r="B1980" s="133" t="s">
        <v>440</v>
      </c>
      <c r="C1980" s="133" t="s">
        <v>2460</v>
      </c>
      <c r="D1980" s="133" t="s">
        <v>477</v>
      </c>
      <c r="E1980" s="158">
        <v>12</v>
      </c>
      <c r="F1980" s="158">
        <v>0</v>
      </c>
      <c r="G1980" s="158">
        <v>0</v>
      </c>
      <c r="H1980" s="133" t="s">
        <v>2652</v>
      </c>
      <c r="I1980" s="133" t="s">
        <v>479</v>
      </c>
      <c r="J1980" s="158">
        <v>1</v>
      </c>
      <c r="K1980" s="159" t="str">
        <f ca="1">IFERROR(__xludf.DUMMYFUNCTION("GOOGLETRANSLATE(H1980,""th"",""en"")"),"The purchase order number (in the case of INV, it will keep the number SO / Case C / N will keep it from invoice (both SI or SS). - Data = DL case means from DL leaves)")</f>
        <v>The purchase order number (in the case of INV, it will keep the number SO / Case C / N will keep it from invoice (both SI or SS). - Data = DL case means from DL leaves)</v>
      </c>
    </row>
    <row r="1981" spans="1:14" ht="15.75" hidden="1" customHeight="1">
      <c r="A1981" s="133" t="s">
        <v>7</v>
      </c>
      <c r="B1981" s="133" t="s">
        <v>440</v>
      </c>
      <c r="C1981" s="133" t="s">
        <v>811</v>
      </c>
      <c r="D1981" s="133" t="s">
        <v>477</v>
      </c>
      <c r="E1981" s="158">
        <v>50</v>
      </c>
      <c r="F1981" s="158">
        <v>0</v>
      </c>
      <c r="G1981" s="158">
        <v>0</v>
      </c>
      <c r="H1981" s="133" t="s">
        <v>2653</v>
      </c>
      <c r="I1981" s="133" t="s">
        <v>479</v>
      </c>
      <c r="J1981" s="158">
        <v>1</v>
      </c>
      <c r="K1981" s="159" t="str">
        <f ca="1">IFERROR(__xludf.DUMMYFUNCTION("GOOGLETRANSLATE(H1981,""th"",""en"")"),"Status of invoice [A = Active (There are only the pre-printed SS), d = delete, p = print, u = transfer to the account, F = will only have an invoice that comes from the old system]")</f>
        <v>Status of invoice [A = Active (There are only the pre-printed SS), d = delete, p = print, u = transfer to the account, F = will only have an invoice that comes from the old system]</v>
      </c>
    </row>
    <row r="1982" spans="1:14" ht="15.75" hidden="1" customHeight="1">
      <c r="A1982" s="133" t="s">
        <v>7</v>
      </c>
      <c r="B1982" s="133" t="s">
        <v>440</v>
      </c>
      <c r="C1982" s="133" t="s">
        <v>1167</v>
      </c>
      <c r="D1982" s="133" t="s">
        <v>477</v>
      </c>
      <c r="E1982" s="158">
        <v>8</v>
      </c>
      <c r="F1982" s="158">
        <v>0</v>
      </c>
      <c r="G1982" s="158">
        <v>0</v>
      </c>
      <c r="H1982" s="133" t="s">
        <v>1292</v>
      </c>
      <c r="I1982" s="133" t="s">
        <v>479</v>
      </c>
      <c r="J1982" s="158">
        <v>0</v>
      </c>
      <c r="K1982" s="159" t="str">
        <f ca="1">IFERROR(__xludf.DUMMYFUNCTION("GOOGLETRANSLATE(H1982,""th"",""en"")"),"Customer code")</f>
        <v>Customer code</v>
      </c>
    </row>
    <row r="1983" spans="1:14" ht="15.75" hidden="1" customHeight="1">
      <c r="A1983" s="133" t="s">
        <v>7</v>
      </c>
      <c r="B1983" s="133" t="s">
        <v>440</v>
      </c>
      <c r="C1983" s="133" t="s">
        <v>557</v>
      </c>
      <c r="D1983" s="133" t="s">
        <v>477</v>
      </c>
      <c r="E1983" s="158">
        <v>100</v>
      </c>
      <c r="F1983" s="158">
        <v>0</v>
      </c>
      <c r="G1983" s="158">
        <v>0</v>
      </c>
      <c r="H1983" s="133" t="s">
        <v>1563</v>
      </c>
      <c r="I1983" s="133" t="s">
        <v>479</v>
      </c>
      <c r="J1983" s="158">
        <v>1</v>
      </c>
      <c r="K1983" s="159" t="str">
        <f ca="1">IFERROR(__xludf.DUMMYFUNCTION("GOOGLETRANSLATE(H1983,""th"",""en"")"),"Customer name")</f>
        <v>Customer name</v>
      </c>
    </row>
    <row r="1984" spans="1:14" ht="15.75" hidden="1" customHeight="1">
      <c r="A1984" s="133" t="s">
        <v>7</v>
      </c>
      <c r="B1984" s="133" t="s">
        <v>440</v>
      </c>
      <c r="C1984" s="133" t="s">
        <v>2355</v>
      </c>
      <c r="D1984" s="133" t="s">
        <v>477</v>
      </c>
      <c r="E1984" s="158">
        <v>55</v>
      </c>
      <c r="F1984" s="158">
        <v>0</v>
      </c>
      <c r="G1984" s="158">
        <v>0</v>
      </c>
      <c r="H1984" s="133" t="s">
        <v>2463</v>
      </c>
      <c r="I1984" s="133" t="s">
        <v>479</v>
      </c>
      <c r="J1984" s="158">
        <v>1</v>
      </c>
      <c r="K1984" s="159" t="str">
        <f ca="1">IFERROR(__xludf.DUMMYFUNCTION("GOOGLETRANSLATE(H1984,""th"",""en"")"),"Invoice address line 1")</f>
        <v>Invoice address line 1</v>
      </c>
    </row>
    <row r="1985" spans="1:11" ht="15.75" hidden="1" customHeight="1">
      <c r="A1985" s="133" t="s">
        <v>7</v>
      </c>
      <c r="B1985" s="133" t="s">
        <v>440</v>
      </c>
      <c r="C1985" s="133" t="s">
        <v>2357</v>
      </c>
      <c r="D1985" s="133" t="s">
        <v>477</v>
      </c>
      <c r="E1985" s="158">
        <v>110</v>
      </c>
      <c r="F1985" s="158">
        <v>0</v>
      </c>
      <c r="G1985" s="158">
        <v>0</v>
      </c>
      <c r="H1985" s="133" t="s">
        <v>2464</v>
      </c>
      <c r="I1985" s="133" t="s">
        <v>479</v>
      </c>
      <c r="J1985" s="158">
        <v>0</v>
      </c>
      <c r="K1985" s="159" t="str">
        <f ca="1">IFERROR(__xludf.DUMMYFUNCTION("GOOGLETRANSLATE(H1985,""th"",""en"")"),"Address Invoice Line 2")</f>
        <v>Address Invoice Line 2</v>
      </c>
    </row>
    <row r="1986" spans="1:11" ht="15.75" hidden="1" customHeight="1">
      <c r="A1986" s="133" t="s">
        <v>7</v>
      </c>
      <c r="B1986" s="133" t="s">
        <v>440</v>
      </c>
      <c r="C1986" s="133" t="s">
        <v>2359</v>
      </c>
      <c r="D1986" s="133" t="s">
        <v>477</v>
      </c>
      <c r="E1986" s="158">
        <v>55</v>
      </c>
      <c r="F1986" s="158">
        <v>0</v>
      </c>
      <c r="G1986" s="158">
        <v>0</v>
      </c>
      <c r="H1986" s="133" t="s">
        <v>2465</v>
      </c>
      <c r="I1986" s="133" t="s">
        <v>479</v>
      </c>
      <c r="J1986" s="158">
        <v>1</v>
      </c>
      <c r="K1986" s="159" t="str">
        <f ca="1">IFERROR(__xludf.DUMMYFUNCTION("GOOGLETRANSLATE(H1986,""th"",""en"")"),"Address Invoice Line 3")</f>
        <v>Address Invoice Line 3</v>
      </c>
    </row>
    <row r="1987" spans="1:11" ht="15.75" hidden="1" customHeight="1">
      <c r="A1987" s="133" t="s">
        <v>7</v>
      </c>
      <c r="B1987" s="133" t="s">
        <v>440</v>
      </c>
      <c r="C1987" s="133" t="s">
        <v>2361</v>
      </c>
      <c r="D1987" s="133" t="s">
        <v>477</v>
      </c>
      <c r="E1987" s="158">
        <v>55</v>
      </c>
      <c r="F1987" s="158">
        <v>0</v>
      </c>
      <c r="G1987" s="158">
        <v>0</v>
      </c>
      <c r="H1987" s="133" t="s">
        <v>479</v>
      </c>
      <c r="I1987" s="133" t="s">
        <v>479</v>
      </c>
      <c r="J1987" s="158">
        <v>1</v>
      </c>
      <c r="K1987" s="159" t="str">
        <f ca="1">IFERROR(__xludf.DUMMYFUNCTION("GOOGLETRANSLATE(H1987,""th"",""en"")"),"Null")</f>
        <v>Null</v>
      </c>
    </row>
    <row r="1988" spans="1:11" ht="15.75" hidden="1" customHeight="1">
      <c r="A1988" s="133" t="s">
        <v>7</v>
      </c>
      <c r="B1988" s="133" t="s">
        <v>440</v>
      </c>
      <c r="C1988" s="133" t="s">
        <v>2363</v>
      </c>
      <c r="D1988" s="133" t="s">
        <v>477</v>
      </c>
      <c r="E1988" s="158">
        <v>55</v>
      </c>
      <c r="F1988" s="158">
        <v>0</v>
      </c>
      <c r="G1988" s="158">
        <v>0</v>
      </c>
      <c r="H1988" s="133" t="s">
        <v>2467</v>
      </c>
      <c r="I1988" s="133" t="s">
        <v>479</v>
      </c>
      <c r="J1988" s="158">
        <v>1</v>
      </c>
      <c r="K1988" s="159" t="str">
        <f ca="1">IFERROR(__xludf.DUMMYFUNCTION("GOOGLETRANSLATE(H1988,""th"",""en"")"),"Address Invoice Line 5")</f>
        <v>Address Invoice Line 5</v>
      </c>
    </row>
    <row r="1989" spans="1:11" ht="15.75" hidden="1" customHeight="1">
      <c r="A1989" s="133" t="s">
        <v>7</v>
      </c>
      <c r="B1989" s="133" t="s">
        <v>440</v>
      </c>
      <c r="C1989" s="133" t="s">
        <v>2365</v>
      </c>
      <c r="D1989" s="133" t="s">
        <v>477</v>
      </c>
      <c r="E1989" s="158">
        <v>55</v>
      </c>
      <c r="F1989" s="158">
        <v>0</v>
      </c>
      <c r="G1989" s="158">
        <v>0</v>
      </c>
      <c r="H1989" s="133" t="s">
        <v>2468</v>
      </c>
      <c r="I1989" s="133" t="s">
        <v>479</v>
      </c>
      <c r="J1989" s="158">
        <v>1</v>
      </c>
      <c r="K1989" s="159" t="str">
        <f ca="1">IFERROR(__xludf.DUMMYFUNCTION("GOOGLETRANSLATE(H1989,""th"",""en"")"),"Address Address Line 1")</f>
        <v>Address Address Line 1</v>
      </c>
    </row>
    <row r="1990" spans="1:11" ht="15.75" hidden="1" customHeight="1">
      <c r="A1990" s="133" t="s">
        <v>7</v>
      </c>
      <c r="B1990" s="133" t="s">
        <v>440</v>
      </c>
      <c r="C1990" s="133" t="s">
        <v>2367</v>
      </c>
      <c r="D1990" s="133" t="s">
        <v>477</v>
      </c>
      <c r="E1990" s="158">
        <v>110</v>
      </c>
      <c r="F1990" s="158">
        <v>0</v>
      </c>
      <c r="G1990" s="158">
        <v>0</v>
      </c>
      <c r="H1990" s="133" t="s">
        <v>2469</v>
      </c>
      <c r="I1990" s="133" t="s">
        <v>479</v>
      </c>
      <c r="J1990" s="158">
        <v>0</v>
      </c>
      <c r="K1990" s="159" t="str">
        <f ca="1">IFERROR(__xludf.DUMMYFUNCTION("GOOGLETRANSLATE(H1990,""th"",""en"")"),"Address Address Line 2")</f>
        <v>Address Address Line 2</v>
      </c>
    </row>
    <row r="1991" spans="1:11" ht="15.75" hidden="1" customHeight="1">
      <c r="A1991" s="133" t="s">
        <v>7</v>
      </c>
      <c r="B1991" s="133" t="s">
        <v>440</v>
      </c>
      <c r="C1991" s="133" t="s">
        <v>2369</v>
      </c>
      <c r="D1991" s="133" t="s">
        <v>477</v>
      </c>
      <c r="E1991" s="158">
        <v>55</v>
      </c>
      <c r="F1991" s="158">
        <v>0</v>
      </c>
      <c r="G1991" s="158">
        <v>0</v>
      </c>
      <c r="H1991" s="133" t="s">
        <v>2470</v>
      </c>
      <c r="I1991" s="133" t="s">
        <v>479</v>
      </c>
      <c r="J1991" s="158">
        <v>1</v>
      </c>
      <c r="K1991" s="159" t="str">
        <f ca="1">IFERROR(__xludf.DUMMYFUNCTION("GOOGLETRANSLATE(H1991,""th"",""en"")"),"Address Address Line 3")</f>
        <v>Address Address Line 3</v>
      </c>
    </row>
    <row r="1992" spans="1:11" ht="15.75" hidden="1" customHeight="1">
      <c r="A1992" s="133" t="s">
        <v>7</v>
      </c>
      <c r="B1992" s="133" t="s">
        <v>440</v>
      </c>
      <c r="C1992" s="133" t="s">
        <v>2471</v>
      </c>
      <c r="D1992" s="133" t="s">
        <v>477</v>
      </c>
      <c r="E1992" s="158">
        <v>55</v>
      </c>
      <c r="F1992" s="158">
        <v>0</v>
      </c>
      <c r="G1992" s="158">
        <v>0</v>
      </c>
      <c r="H1992" s="133" t="s">
        <v>2472</v>
      </c>
      <c r="I1992" s="133" t="s">
        <v>479</v>
      </c>
      <c r="J1992" s="158">
        <v>1</v>
      </c>
      <c r="K1992" s="159" t="str">
        <f ca="1">IFERROR(__xludf.DUMMYFUNCTION("GOOGLETRANSLATE(H1992,""th"",""en"")"),"Address Address Line 4")</f>
        <v>Address Address Line 4</v>
      </c>
    </row>
    <row r="1993" spans="1:11" ht="15.75" hidden="1" customHeight="1">
      <c r="A1993" s="133" t="s">
        <v>7</v>
      </c>
      <c r="B1993" s="133" t="s">
        <v>440</v>
      </c>
      <c r="C1993" s="133" t="s">
        <v>2473</v>
      </c>
      <c r="D1993" s="133" t="s">
        <v>477</v>
      </c>
      <c r="E1993" s="158">
        <v>55</v>
      </c>
      <c r="F1993" s="158">
        <v>0</v>
      </c>
      <c r="G1993" s="158">
        <v>0</v>
      </c>
      <c r="H1993" s="133" t="s">
        <v>2474</v>
      </c>
      <c r="I1993" s="133" t="s">
        <v>479</v>
      </c>
      <c r="J1993" s="158">
        <v>1</v>
      </c>
      <c r="K1993" s="159" t="str">
        <f ca="1">IFERROR(__xludf.DUMMYFUNCTION("GOOGLETRANSLATE(H1993,""th"",""en"")"),"Address Address Line 5")</f>
        <v>Address Address Line 5</v>
      </c>
    </row>
    <row r="1994" spans="1:11" ht="15.75" hidden="1" customHeight="1">
      <c r="A1994" s="133" t="s">
        <v>7</v>
      </c>
      <c r="B1994" s="133" t="s">
        <v>440</v>
      </c>
      <c r="C1994" s="133" t="s">
        <v>2475</v>
      </c>
      <c r="D1994" s="133" t="s">
        <v>477</v>
      </c>
      <c r="E1994" s="158">
        <v>50</v>
      </c>
      <c r="F1994" s="158">
        <v>0</v>
      </c>
      <c r="G1994" s="158">
        <v>0</v>
      </c>
      <c r="H1994" s="133" t="s">
        <v>2476</v>
      </c>
      <c r="I1994" s="133" t="s">
        <v>479</v>
      </c>
      <c r="J1994" s="158">
        <v>1</v>
      </c>
      <c r="K1994" s="159" t="str">
        <f ca="1">IFERROR(__xludf.DUMMYFUNCTION("GOOGLETRANSLATE(H1994,""th"",""en"")"),"Provincial Code Delivery")</f>
        <v>Provincial Code Delivery</v>
      </c>
    </row>
    <row r="1995" spans="1:11" ht="15.75" hidden="1" customHeight="1">
      <c r="A1995" s="133" t="s">
        <v>7</v>
      </c>
      <c r="B1995" s="133" t="s">
        <v>440</v>
      </c>
      <c r="C1995" s="133" t="s">
        <v>2477</v>
      </c>
      <c r="D1995" s="133" t="s">
        <v>477</v>
      </c>
      <c r="E1995" s="158">
        <v>6</v>
      </c>
      <c r="F1995" s="158">
        <v>0</v>
      </c>
      <c r="G1995" s="158">
        <v>0</v>
      </c>
      <c r="H1995" s="133" t="s">
        <v>2654</v>
      </c>
      <c r="I1995" s="133" t="s">
        <v>479</v>
      </c>
      <c r="J1995" s="158">
        <v>1</v>
      </c>
      <c r="K1995" s="159" t="str">
        <f ca="1">IFERROR(__xludf.DUMMYFUNCTION("GOOGLETRANSLATE(H1995,""th"",""en"")"),"Main Zone area")</f>
        <v>Main Zone area</v>
      </c>
    </row>
    <row r="1996" spans="1:11" ht="15.75" hidden="1" customHeight="1">
      <c r="A1996" s="133" t="s">
        <v>7</v>
      </c>
      <c r="B1996" s="133" t="s">
        <v>440</v>
      </c>
      <c r="C1996" s="133" t="s">
        <v>708</v>
      </c>
      <c r="D1996" s="133" t="s">
        <v>477</v>
      </c>
      <c r="E1996" s="158">
        <v>10</v>
      </c>
      <c r="F1996" s="158">
        <v>0</v>
      </c>
      <c r="G1996" s="158">
        <v>0</v>
      </c>
      <c r="H1996" s="133" t="s">
        <v>864</v>
      </c>
      <c r="I1996" s="133" t="s">
        <v>479</v>
      </c>
      <c r="J1996" s="158">
        <v>1</v>
      </c>
      <c r="K1996" s="159" t="str">
        <f ca="1">IFERROR(__xludf.DUMMYFUNCTION("GOOGLETRANSLATE(H1996,""th"",""en"")"),"Payment type code")</f>
        <v>Payment type code</v>
      </c>
    </row>
    <row r="1997" spans="1:11" ht="15.75" hidden="1" customHeight="1">
      <c r="A1997" s="133" t="s">
        <v>7</v>
      </c>
      <c r="B1997" s="133" t="s">
        <v>440</v>
      </c>
      <c r="C1997" s="133" t="s">
        <v>2479</v>
      </c>
      <c r="D1997" s="133" t="s">
        <v>484</v>
      </c>
      <c r="E1997" s="158">
        <v>4</v>
      </c>
      <c r="F1997" s="158">
        <v>10</v>
      </c>
      <c r="G1997" s="158">
        <v>0</v>
      </c>
      <c r="H1997" s="133" t="s">
        <v>2480</v>
      </c>
      <c r="I1997" s="133" t="s">
        <v>479</v>
      </c>
      <c r="J1997" s="158">
        <v>1</v>
      </c>
      <c r="K1997" s="159" t="str">
        <f ca="1">IFERROR(__xludf.DUMMYFUNCTION("GOOGLETRANSLATE(H1997,""th"",""en"")"),"Payment period")</f>
        <v>Payment period</v>
      </c>
    </row>
    <row r="1998" spans="1:11" ht="15.75" hidden="1" customHeight="1">
      <c r="A1998" s="133" t="s">
        <v>7</v>
      </c>
      <c r="B1998" s="133" t="s">
        <v>440</v>
      </c>
      <c r="C1998" s="133" t="s">
        <v>2481</v>
      </c>
      <c r="D1998" s="133" t="s">
        <v>491</v>
      </c>
      <c r="E1998" s="158">
        <v>1</v>
      </c>
      <c r="F1998" s="158">
        <v>0</v>
      </c>
      <c r="G1998" s="158">
        <v>0</v>
      </c>
      <c r="H1998" s="133" t="s">
        <v>2655</v>
      </c>
      <c r="I1998" s="133" t="s">
        <v>479</v>
      </c>
      <c r="J1998" s="158">
        <v>1</v>
      </c>
      <c r="K1998" s="159" t="str">
        <f ca="1">IFERROR(__xludf.DUMMYFUNCTION("GOOGLETRANSLATE(H1998,""th"",""en"")"),"Shipping status to [y = office mail sent to, n = office Mate does not send the goods] Data is still kept, but may not be used.")</f>
        <v>Shipping status to [y = office mail sent to, n = office Mate does not send the goods] Data is still kept, but may not be used.</v>
      </c>
    </row>
    <row r="1999" spans="1:11" ht="15.75" hidden="1" customHeight="1">
      <c r="A1999" s="133" t="s">
        <v>7</v>
      </c>
      <c r="B1999" s="133" t="s">
        <v>440</v>
      </c>
      <c r="C1999" s="133" t="s">
        <v>2418</v>
      </c>
      <c r="D1999" s="133" t="s">
        <v>481</v>
      </c>
      <c r="E1999" s="158">
        <v>5</v>
      </c>
      <c r="F1999" s="158">
        <v>4</v>
      </c>
      <c r="G1999" s="158">
        <v>2</v>
      </c>
      <c r="H1999" s="133" t="s">
        <v>2419</v>
      </c>
      <c r="I1999" s="133" t="s">
        <v>479</v>
      </c>
      <c r="J1999" s="158">
        <v>1</v>
      </c>
      <c r="K1999" s="159" t="str">
        <f ca="1">IFERROR(__xludf.DUMMYFUNCTION("GOOGLETRANSLATE(H1999,""th"",""en"")"),"The discount rate is%")</f>
        <v>The discount rate is%</v>
      </c>
    </row>
    <row r="2000" spans="1:11" ht="15.75" hidden="1" customHeight="1">
      <c r="A2000" s="133" t="s">
        <v>7</v>
      </c>
      <c r="B2000" s="133" t="s">
        <v>440</v>
      </c>
      <c r="C2000" s="133" t="s">
        <v>1195</v>
      </c>
      <c r="D2000" s="133" t="s">
        <v>481</v>
      </c>
      <c r="E2000" s="158">
        <v>9</v>
      </c>
      <c r="F2000" s="158">
        <v>11</v>
      </c>
      <c r="G2000" s="158">
        <v>2</v>
      </c>
      <c r="H2000" s="133" t="s">
        <v>2483</v>
      </c>
      <c r="I2000" s="133" t="s">
        <v>479</v>
      </c>
      <c r="J2000" s="158">
        <v>1</v>
      </c>
      <c r="K2000" s="159" t="str">
        <f ca="1">IFERROR(__xludf.DUMMYFUNCTION("GOOGLETRANSLATE(H2000,""th"",""en"")"),"Discounts of balance including bill")</f>
        <v>Discounts of balance including bill</v>
      </c>
    </row>
    <row r="2001" spans="1:11" ht="15.75" hidden="1" customHeight="1">
      <c r="A2001" s="133" t="s">
        <v>7</v>
      </c>
      <c r="B2001" s="133" t="s">
        <v>440</v>
      </c>
      <c r="C2001" s="133" t="s">
        <v>1196</v>
      </c>
      <c r="D2001" s="133" t="s">
        <v>481</v>
      </c>
      <c r="E2001" s="158">
        <v>9</v>
      </c>
      <c r="F2001" s="158">
        <v>11</v>
      </c>
      <c r="G2001" s="158">
        <v>2</v>
      </c>
      <c r="H2001" s="133" t="s">
        <v>2484</v>
      </c>
      <c r="I2001" s="133" t="s">
        <v>479</v>
      </c>
      <c r="J2001" s="158">
        <v>1</v>
      </c>
      <c r="K2001" s="159" t="str">
        <f ca="1">IFERROR(__xludf.DUMMYFUNCTION("GOOGLETRANSLATE(H2001,""th"",""en"")"),"The amount before deducting the discount before VAT")</f>
        <v>The amount before deducting the discount before VAT</v>
      </c>
    </row>
    <row r="2002" spans="1:11" ht="15.75" hidden="1" customHeight="1">
      <c r="A2002" s="133" t="s">
        <v>7</v>
      </c>
      <c r="B2002" s="133" t="s">
        <v>440</v>
      </c>
      <c r="C2002" s="133" t="s">
        <v>1243</v>
      </c>
      <c r="D2002" s="133" t="s">
        <v>481</v>
      </c>
      <c r="E2002" s="158">
        <v>9</v>
      </c>
      <c r="F2002" s="158">
        <v>11</v>
      </c>
      <c r="G2002" s="158">
        <v>2</v>
      </c>
      <c r="H2002" s="133" t="s">
        <v>2485</v>
      </c>
      <c r="I2002" s="133" t="s">
        <v>479</v>
      </c>
      <c r="J2002" s="158">
        <v>0</v>
      </c>
      <c r="K2002" s="159" t="str">
        <f ca="1">IFERROR(__xludf.DUMMYFUNCTION("GOOGLETRANSLATE(H2002,""th"",""en"")"),"Total amount before VAT")</f>
        <v>Total amount before VAT</v>
      </c>
    </row>
    <row r="2003" spans="1:11" ht="15.75" hidden="1" customHeight="1">
      <c r="A2003" s="133" t="s">
        <v>7</v>
      </c>
      <c r="B2003" s="133" t="s">
        <v>440</v>
      </c>
      <c r="C2003" s="133" t="s">
        <v>663</v>
      </c>
      <c r="D2003" s="133" t="s">
        <v>481</v>
      </c>
      <c r="E2003" s="158">
        <v>9</v>
      </c>
      <c r="F2003" s="158">
        <v>11</v>
      </c>
      <c r="G2003" s="158">
        <v>2</v>
      </c>
      <c r="H2003" s="133" t="s">
        <v>2486</v>
      </c>
      <c r="I2003" s="133" t="s">
        <v>479</v>
      </c>
      <c r="J2003" s="158">
        <v>1</v>
      </c>
      <c r="K2003" s="159" t="str">
        <f ca="1">IFERROR(__xludf.DUMMYFUNCTION("GOOGLETRANSLATE(H2003,""th"",""en"")"),"Vatamt (before deducting in advance) (See the NetVatamt field for the VAT that is deducted in advance)")</f>
        <v>Vatamt (before deducting in advance) (See the NetVatamt field for the VAT that is deducted in advance)</v>
      </c>
    </row>
    <row r="2004" spans="1:11" ht="15.75" hidden="1" customHeight="1">
      <c r="A2004" s="133" t="s">
        <v>7</v>
      </c>
      <c r="B2004" s="133" t="s">
        <v>440</v>
      </c>
      <c r="C2004" s="133" t="s">
        <v>2487</v>
      </c>
      <c r="D2004" s="133" t="s">
        <v>481</v>
      </c>
      <c r="E2004" s="158">
        <v>9</v>
      </c>
      <c r="F2004" s="158">
        <v>11</v>
      </c>
      <c r="G2004" s="158">
        <v>2</v>
      </c>
      <c r="H2004" s="133" t="s">
        <v>2656</v>
      </c>
      <c r="I2004" s="133" t="s">
        <v>479</v>
      </c>
      <c r="J2004" s="158">
        <v>1</v>
      </c>
      <c r="K2004" s="159" t="str">
        <f ca="1">IFERROR(__xludf.DUMMYFUNCTION("GOOGLETRANSLATE(H2004,""th"",""en"")"),"Total refund (CN)")</f>
        <v>Total refund (CN)</v>
      </c>
    </row>
    <row r="2005" spans="1:11" ht="15.75" hidden="1" customHeight="1">
      <c r="A2005" s="133" t="s">
        <v>7</v>
      </c>
      <c r="B2005" s="133" t="s">
        <v>440</v>
      </c>
      <c r="C2005" s="133" t="s">
        <v>1246</v>
      </c>
      <c r="D2005" s="133" t="s">
        <v>481</v>
      </c>
      <c r="E2005" s="158">
        <v>5</v>
      </c>
      <c r="F2005" s="158">
        <v>4</v>
      </c>
      <c r="G2005" s="158">
        <v>2</v>
      </c>
      <c r="H2005" s="133" t="s">
        <v>2489</v>
      </c>
      <c r="I2005" s="133" t="s">
        <v>479</v>
      </c>
      <c r="J2005" s="158">
        <v>1</v>
      </c>
      <c r="K2005" s="159" t="str">
        <f ca="1">IFERROR(__xludf.DUMMYFUNCTION("GOOGLETRANSLATE(H2005,""th"",""en"")"),"Tax rate")</f>
        <v>Tax rate</v>
      </c>
    </row>
    <row r="2006" spans="1:11" ht="15.75" hidden="1" customHeight="1">
      <c r="A2006" s="133" t="s">
        <v>7</v>
      </c>
      <c r="B2006" s="133" t="s">
        <v>440</v>
      </c>
      <c r="C2006" s="133" t="s">
        <v>2490</v>
      </c>
      <c r="D2006" s="133" t="s">
        <v>491</v>
      </c>
      <c r="E2006" s="158">
        <v>1</v>
      </c>
      <c r="F2006" s="158">
        <v>0</v>
      </c>
      <c r="G2006" s="158">
        <v>0</v>
      </c>
      <c r="H2006" s="133" t="s">
        <v>2657</v>
      </c>
      <c r="I2006" s="133" t="s">
        <v>479</v>
      </c>
      <c r="J2006" s="158">
        <v>1</v>
      </c>
      <c r="K2006" s="159" t="str">
        <f ca="1">IFERROR(__xludf.DUMMYFUNCTION("GOOGLETRANSLATE(H2006,""th"",""en"")"),"Not likely to be used, but still keep the DATA")</f>
        <v>Not likely to be used, but still keep the DATA</v>
      </c>
    </row>
    <row r="2007" spans="1:11" ht="15.75" hidden="1" customHeight="1">
      <c r="A2007" s="133" t="s">
        <v>7</v>
      </c>
      <c r="B2007" s="133" t="s">
        <v>440</v>
      </c>
      <c r="C2007" s="133" t="s">
        <v>2492</v>
      </c>
      <c r="D2007" s="133" t="s">
        <v>477</v>
      </c>
      <c r="E2007" s="158">
        <v>20</v>
      </c>
      <c r="F2007" s="158">
        <v>0</v>
      </c>
      <c r="G2007" s="158">
        <v>0</v>
      </c>
      <c r="H2007" s="133" t="s">
        <v>2493</v>
      </c>
      <c r="I2007" s="133" t="s">
        <v>479</v>
      </c>
      <c r="J2007" s="158">
        <v>1</v>
      </c>
      <c r="K2007" s="159" t="str">
        <f ca="1">IFERROR(__xludf.DUMMYFUNCTION("GOOGLETRANSLATE(H2007,""th"",""en"")"),"Telesale code")</f>
        <v>Telesale code</v>
      </c>
    </row>
    <row r="2008" spans="1:11" ht="15.75" hidden="1" customHeight="1">
      <c r="A2008" s="133" t="s">
        <v>7</v>
      </c>
      <c r="B2008" s="133" t="s">
        <v>440</v>
      </c>
      <c r="C2008" s="133" t="s">
        <v>2494</v>
      </c>
      <c r="D2008" s="133" t="s">
        <v>477</v>
      </c>
      <c r="E2008" s="158">
        <v>7</v>
      </c>
      <c r="F2008" s="158">
        <v>0</v>
      </c>
      <c r="G2008" s="158">
        <v>0</v>
      </c>
      <c r="H2008" s="133" t="s">
        <v>1338</v>
      </c>
      <c r="I2008" s="133" t="s">
        <v>479</v>
      </c>
      <c r="J2008" s="158">
        <v>1</v>
      </c>
      <c r="K2008" s="159" t="str">
        <f ca="1">IFERROR(__xludf.DUMMYFUNCTION("GOOGLETRANSLATE(H2008,""th"",""en"")"),"SALEREPT Code")</f>
        <v>SALEREPT Code</v>
      </c>
    </row>
    <row r="2009" spans="1:11" ht="15.75" hidden="1" customHeight="1">
      <c r="A2009" s="133" t="s">
        <v>7</v>
      </c>
      <c r="B2009" s="133" t="s">
        <v>440</v>
      </c>
      <c r="C2009" s="133" t="s">
        <v>2571</v>
      </c>
      <c r="D2009" s="133" t="s">
        <v>477</v>
      </c>
      <c r="E2009" s="158">
        <v>3</v>
      </c>
      <c r="F2009" s="158">
        <v>0</v>
      </c>
      <c r="G2009" s="158">
        <v>0</v>
      </c>
      <c r="H2009" s="133" t="s">
        <v>2658</v>
      </c>
      <c r="I2009" s="133" t="s">
        <v>479</v>
      </c>
      <c r="J2009" s="158">
        <v>1</v>
      </c>
      <c r="K2009" s="159" t="str">
        <f ca="1">IFERROR(__xludf.DUMMYFUNCTION("GOOGLETRANSLATE(H2009,""th"",""en"")"),"Class of customers at that time")</f>
        <v>Class of customers at that time</v>
      </c>
    </row>
    <row r="2010" spans="1:11" ht="15.75" hidden="1" customHeight="1">
      <c r="A2010" s="133" t="s">
        <v>7</v>
      </c>
      <c r="B2010" s="133" t="s">
        <v>440</v>
      </c>
      <c r="C2010" s="133" t="s">
        <v>164</v>
      </c>
      <c r="D2010" s="133" t="s">
        <v>477</v>
      </c>
      <c r="E2010" s="158">
        <v>100</v>
      </c>
      <c r="F2010" s="158">
        <v>0</v>
      </c>
      <c r="G2010" s="158">
        <v>0</v>
      </c>
      <c r="H2010" s="133" t="s">
        <v>900</v>
      </c>
      <c r="I2010" s="133" t="s">
        <v>479</v>
      </c>
      <c r="J2010" s="158">
        <v>1</v>
      </c>
      <c r="K2010" s="159" t="str">
        <f ca="1">IFERROR(__xludf.DUMMYFUNCTION("GOOGLETRANSLATE(H2010,""th"",""en"")"),"note")</f>
        <v>note</v>
      </c>
    </row>
    <row r="2011" spans="1:11" ht="15.75" hidden="1" customHeight="1">
      <c r="A2011" s="133" t="s">
        <v>7</v>
      </c>
      <c r="B2011" s="133" t="s">
        <v>440</v>
      </c>
      <c r="C2011" s="133" t="s">
        <v>2372</v>
      </c>
      <c r="D2011" s="133" t="s">
        <v>477</v>
      </c>
      <c r="E2011" s="158">
        <v>50</v>
      </c>
      <c r="F2011" s="158">
        <v>0</v>
      </c>
      <c r="G2011" s="158">
        <v>0</v>
      </c>
      <c r="H2011" s="133" t="s">
        <v>2310</v>
      </c>
      <c r="I2011" s="133" t="s">
        <v>479</v>
      </c>
      <c r="J2011" s="158">
        <v>1</v>
      </c>
      <c r="K2011" s="159" t="str">
        <f ca="1">IFERROR(__xludf.DUMMYFUNCTION("GOOGLETRANSLATE(H2011,""th"",""en"")"),"Contact")</f>
        <v>Contact</v>
      </c>
    </row>
    <row r="2012" spans="1:11" ht="15.75" hidden="1" customHeight="1">
      <c r="A2012" s="133" t="s">
        <v>7</v>
      </c>
      <c r="B2012" s="133" t="s">
        <v>440</v>
      </c>
      <c r="C2012" s="133" t="s">
        <v>2377</v>
      </c>
      <c r="D2012" s="133" t="s">
        <v>477</v>
      </c>
      <c r="E2012" s="158">
        <v>50</v>
      </c>
      <c r="F2012" s="158">
        <v>0</v>
      </c>
      <c r="G2012" s="158">
        <v>0</v>
      </c>
      <c r="H2012" s="133" t="s">
        <v>2495</v>
      </c>
      <c r="I2012" s="133" t="s">
        <v>479</v>
      </c>
      <c r="J2012" s="158">
        <v>1</v>
      </c>
      <c r="K2012" s="159" t="str">
        <f ca="1">IFERROR(__xludf.DUMMYFUNCTION("GOOGLETRANSLATE(H2012,""th"",""en"")"),"Contact phone number")</f>
        <v>Contact phone number</v>
      </c>
    </row>
    <row r="2013" spans="1:11" ht="15.75" hidden="1" customHeight="1">
      <c r="A2013" s="133" t="s">
        <v>7</v>
      </c>
      <c r="B2013" s="133" t="s">
        <v>440</v>
      </c>
      <c r="C2013" s="133" t="s">
        <v>544</v>
      </c>
      <c r="D2013" s="133" t="s">
        <v>477</v>
      </c>
      <c r="E2013" s="158">
        <v>50</v>
      </c>
      <c r="F2013" s="158">
        <v>0</v>
      </c>
      <c r="G2013" s="158">
        <v>0</v>
      </c>
      <c r="H2013" s="133" t="s">
        <v>2496</v>
      </c>
      <c r="I2013" s="133" t="s">
        <v>479</v>
      </c>
      <c r="J2013" s="158">
        <v>1</v>
      </c>
      <c r="K2013" s="159" t="str">
        <f ca="1">IFERROR(__xludf.DUMMYFUNCTION("GOOGLETRANSLATE(H2013,""th"",""en"")"),"Document reference number")</f>
        <v>Document reference number</v>
      </c>
    </row>
    <row r="2014" spans="1:11" ht="15.75" hidden="1" customHeight="1">
      <c r="A2014" s="133" t="s">
        <v>7</v>
      </c>
      <c r="B2014" s="133" t="s">
        <v>440</v>
      </c>
      <c r="C2014" s="133" t="s">
        <v>2497</v>
      </c>
      <c r="D2014" s="133" t="s">
        <v>477</v>
      </c>
      <c r="E2014" s="158">
        <v>3</v>
      </c>
      <c r="F2014" s="158">
        <v>0</v>
      </c>
      <c r="G2014" s="158">
        <v>0</v>
      </c>
      <c r="H2014" s="133" t="s">
        <v>2498</v>
      </c>
      <c r="I2014" s="133" t="s">
        <v>479</v>
      </c>
      <c r="J2014" s="158">
        <v>1</v>
      </c>
      <c r="K2014" s="159" t="str">
        <f ca="1">IFERROR(__xludf.DUMMYFUNCTION("GOOGLETRANSLATE(H2014,""th"",""en"")"),"Send the item with the PO leaves")</f>
        <v>Send the item with the PO leaves</v>
      </c>
    </row>
    <row r="2015" spans="1:11" ht="15.75" hidden="1" customHeight="1">
      <c r="A2015" s="133" t="s">
        <v>7</v>
      </c>
      <c r="B2015" s="133" t="s">
        <v>440</v>
      </c>
      <c r="C2015" s="133" t="s">
        <v>595</v>
      </c>
      <c r="D2015" s="133" t="s">
        <v>477</v>
      </c>
      <c r="E2015" s="158">
        <v>3</v>
      </c>
      <c r="F2015" s="158">
        <v>0</v>
      </c>
      <c r="G2015" s="158">
        <v>0</v>
      </c>
      <c r="H2015" s="133" t="s">
        <v>2499</v>
      </c>
      <c r="I2015" s="133" t="s">
        <v>479</v>
      </c>
      <c r="J2015" s="158">
        <v>1</v>
      </c>
      <c r="K2015" s="159" t="str">
        <f ca="1">IFERROR(__xludf.DUMMYFUNCTION("GOOGLETRANSLATE(H2015,""th"",""en"")"),"Send the goods with billing")</f>
        <v>Send the goods with billing</v>
      </c>
    </row>
    <row r="2016" spans="1:11" ht="15.75" hidden="1" customHeight="1">
      <c r="A2016" s="133" t="s">
        <v>7</v>
      </c>
      <c r="B2016" s="133" t="s">
        <v>440</v>
      </c>
      <c r="C2016" s="133" t="s">
        <v>2500</v>
      </c>
      <c r="D2016" s="133" t="s">
        <v>477</v>
      </c>
      <c r="E2016" s="158">
        <v>3</v>
      </c>
      <c r="F2016" s="158">
        <v>0</v>
      </c>
      <c r="G2016" s="158">
        <v>0</v>
      </c>
      <c r="H2016" s="133" t="s">
        <v>2659</v>
      </c>
      <c r="I2016" s="133" t="s">
        <v>479</v>
      </c>
      <c r="J2016" s="158">
        <v>1</v>
      </c>
      <c r="K2016" s="159" t="str">
        <f ca="1">IFERROR(__xludf.DUMMYFUNCTION("GOOGLETRANSLATE(H2016,""th"",""en"")"),"Document type (INV, C / N)")</f>
        <v>Document type (INV, C / N)</v>
      </c>
    </row>
    <row r="2017" spans="1:11" ht="15.75" hidden="1" customHeight="1">
      <c r="A2017" s="133" t="s">
        <v>7</v>
      </c>
      <c r="B2017" s="133" t="s">
        <v>440</v>
      </c>
      <c r="C2017" s="133" t="s">
        <v>2502</v>
      </c>
      <c r="D2017" s="133" t="s">
        <v>496</v>
      </c>
      <c r="E2017" s="158">
        <v>4</v>
      </c>
      <c r="F2017" s="158">
        <v>16</v>
      </c>
      <c r="G2017" s="158">
        <v>0</v>
      </c>
      <c r="H2017" s="133" t="s">
        <v>2503</v>
      </c>
      <c r="I2017" s="133" t="s">
        <v>479</v>
      </c>
      <c r="J2017" s="158">
        <v>1</v>
      </c>
      <c r="K2017" s="159" t="str">
        <f ca="1">IFERROR(__xludf.DUMMYFUNCTION("GOOGLETRANSLATE(H2017,""th"",""en"")"),"Product delivery date (First delivery)")</f>
        <v>Product delivery date (First delivery)</v>
      </c>
    </row>
    <row r="2018" spans="1:11" ht="15.75" hidden="1" customHeight="1">
      <c r="A2018" s="133" t="s">
        <v>7</v>
      </c>
      <c r="B2018" s="133" t="s">
        <v>440</v>
      </c>
      <c r="C2018" s="133" t="s">
        <v>1572</v>
      </c>
      <c r="D2018" s="133" t="s">
        <v>496</v>
      </c>
      <c r="E2018" s="158">
        <v>4</v>
      </c>
      <c r="F2018" s="158">
        <v>16</v>
      </c>
      <c r="G2018" s="158">
        <v>0</v>
      </c>
      <c r="H2018" s="133" t="s">
        <v>2504</v>
      </c>
      <c r="I2018" s="133" t="s">
        <v>479</v>
      </c>
      <c r="J2018" s="158">
        <v>1</v>
      </c>
      <c r="K2018" s="159" t="str">
        <f ca="1">IFERROR(__xludf.DUMMYFUNCTION("GOOGLETRANSLATE(H2018,""th"",""en"")"),"The date of the expected customer will pay. According to customer payment terms")</f>
        <v>The date of the expected customer will pay. According to customer payment terms</v>
      </c>
    </row>
    <row r="2019" spans="1:11" ht="15.75" hidden="1" customHeight="1">
      <c r="A2019" s="133" t="s">
        <v>7</v>
      </c>
      <c r="B2019" s="133" t="s">
        <v>440</v>
      </c>
      <c r="C2019" s="133" t="s">
        <v>2505</v>
      </c>
      <c r="D2019" s="133" t="s">
        <v>477</v>
      </c>
      <c r="E2019" s="158">
        <v>8</v>
      </c>
      <c r="F2019" s="158">
        <v>0</v>
      </c>
      <c r="G2019" s="158">
        <v>0</v>
      </c>
      <c r="H2019" s="133" t="s">
        <v>2660</v>
      </c>
      <c r="I2019" s="133" t="s">
        <v>479</v>
      </c>
      <c r="J2019" s="158">
        <v>1</v>
      </c>
      <c r="K2019" s="159" t="str">
        <f ca="1">IFERROR(__xludf.DUMMYFUNCTION("GOOGLETRANSLATE(H2019,""th"",""en"")"),"Car number (will update the system line 1 (work in the procedure Store: SP_DLIAUTO))")</f>
        <v>Car number (will update the system line 1 (work in the procedure Store: SP_DLIAUTO))</v>
      </c>
    </row>
    <row r="2020" spans="1:11" ht="15.75" hidden="1" customHeight="1">
      <c r="A2020" s="133" t="s">
        <v>7</v>
      </c>
      <c r="B2020" s="133" t="s">
        <v>440</v>
      </c>
      <c r="C2020" s="133" t="s">
        <v>2506</v>
      </c>
      <c r="D2020" s="133" t="s">
        <v>496</v>
      </c>
      <c r="E2020" s="158">
        <v>4</v>
      </c>
      <c r="F2020" s="158">
        <v>16</v>
      </c>
      <c r="G2020" s="158">
        <v>0</v>
      </c>
      <c r="H2020" s="133" t="s">
        <v>2507</v>
      </c>
      <c r="I2020" s="133" t="s">
        <v>479</v>
      </c>
      <c r="J2020" s="158">
        <v>1</v>
      </c>
      <c r="K2020" s="159" t="str">
        <f ca="1">IFERROR(__xludf.DUMMYFUNCTION("GOOGLETRANSLATE(H2020,""th"",""en"")"),"Date of delivery of documents")</f>
        <v>Date of delivery of documents</v>
      </c>
    </row>
    <row r="2021" spans="1:11" ht="15.75" hidden="1" customHeight="1">
      <c r="A2021" s="133" t="s">
        <v>7</v>
      </c>
      <c r="B2021" s="133" t="s">
        <v>440</v>
      </c>
      <c r="C2021" s="133" t="s">
        <v>2508</v>
      </c>
      <c r="D2021" s="133" t="s">
        <v>491</v>
      </c>
      <c r="E2021" s="158">
        <v>1</v>
      </c>
      <c r="F2021" s="158">
        <v>0</v>
      </c>
      <c r="G2021" s="158">
        <v>0</v>
      </c>
      <c r="H2021" s="133" t="s">
        <v>2509</v>
      </c>
      <c r="I2021" s="133" t="s">
        <v>479</v>
      </c>
      <c r="J2021" s="158">
        <v>1</v>
      </c>
      <c r="K2021" s="159" t="str">
        <f ca="1">IFERROR(__xludf.DUMMYFUNCTION("GOOGLETRANSLATE(H2021,""th"",""en"")"),"Delivery status")</f>
        <v>Delivery status</v>
      </c>
    </row>
    <row r="2022" spans="1:11" ht="15.75" hidden="1" customHeight="1">
      <c r="A2022" s="133" t="s">
        <v>7</v>
      </c>
      <c r="B2022" s="133" t="s">
        <v>440</v>
      </c>
      <c r="C2022" s="133" t="s">
        <v>2510</v>
      </c>
      <c r="D2022" s="133" t="s">
        <v>491</v>
      </c>
      <c r="E2022" s="158">
        <v>1</v>
      </c>
      <c r="F2022" s="158">
        <v>0</v>
      </c>
      <c r="G2022" s="158">
        <v>0</v>
      </c>
      <c r="H2022" s="133" t="s">
        <v>2661</v>
      </c>
      <c r="I2022" s="133" t="s">
        <v>1878</v>
      </c>
      <c r="J2022" s="158">
        <v>1</v>
      </c>
      <c r="K2022" s="159" t="str">
        <f ca="1">IFERROR(__xludf.DUMMYFUNCTION("GOOGLETRANSLATE(H2022,""th"",""en"")"),"Delivery type Update Episode System Line 1 (Works in Storeprocedure: SP_DLIAUTO: DLITYPE = (SELECT CMCPAYCONDT.DLITYPE FROM SOIVHEAD, CMCPAYCONDT WHERE INVNO = @ Invno and PaymentCode = CPAYmentCode)")</f>
        <v>Delivery type Update Episode System Line 1 (Works in Storeprocedure: SP_DLIAUTO: DLITYPE = (SELECT CMCPAYCONDT.DLITYPE FROM SOIVHEAD, CMCPAYCONDT WHERE INVNO = @ Invno and PaymentCode = CPAYmentCode)</v>
      </c>
    </row>
    <row r="2023" spans="1:11" ht="15.75" hidden="1" customHeight="1">
      <c r="A2023" s="133" t="s">
        <v>7</v>
      </c>
      <c r="B2023" s="133" t="s">
        <v>440</v>
      </c>
      <c r="C2023" s="133" t="s">
        <v>2511</v>
      </c>
      <c r="D2023" s="133" t="s">
        <v>477</v>
      </c>
      <c r="E2023" s="158">
        <v>60</v>
      </c>
      <c r="F2023" s="158">
        <v>0</v>
      </c>
      <c r="G2023" s="158">
        <v>0</v>
      </c>
      <c r="H2023" s="133" t="s">
        <v>2512</v>
      </c>
      <c r="I2023" s="133" t="s">
        <v>479</v>
      </c>
      <c r="J2023" s="158">
        <v>1</v>
      </c>
      <c r="K2023" s="159" t="str">
        <f ca="1">IFERROR(__xludf.DUMMYFUNCTION("GOOGLETRANSLATE(H2023,""th"",""en"")"),"Delivery note")</f>
        <v>Delivery note</v>
      </c>
    </row>
    <row r="2024" spans="1:11" ht="15.75" hidden="1" customHeight="1">
      <c r="A2024" s="133" t="s">
        <v>7</v>
      </c>
      <c r="B2024" s="133" t="s">
        <v>440</v>
      </c>
      <c r="C2024" s="133" t="s">
        <v>2513</v>
      </c>
      <c r="D2024" s="133" t="s">
        <v>481</v>
      </c>
      <c r="E2024" s="158">
        <v>9</v>
      </c>
      <c r="F2024" s="158">
        <v>11</v>
      </c>
      <c r="G2024" s="158">
        <v>2</v>
      </c>
      <c r="H2024" s="133" t="s">
        <v>2514</v>
      </c>
      <c r="I2024" s="133" t="s">
        <v>479</v>
      </c>
      <c r="J2024" s="158">
        <v>1</v>
      </c>
      <c r="K2024" s="159" t="str">
        <f ca="1">IFERROR(__xludf.DUMMYFUNCTION("GOOGLETRANSLATE(H2024,""th"",""en"")"),"Bill balance - now do not use what is equal to Invamt")</f>
        <v>Bill balance - now do not use what is equal to Invamt</v>
      </c>
    </row>
    <row r="2025" spans="1:11" ht="15.75" hidden="1" customHeight="1">
      <c r="A2025" s="133" t="s">
        <v>7</v>
      </c>
      <c r="B2025" s="133" t="s">
        <v>440</v>
      </c>
      <c r="C2025" s="133" t="s">
        <v>2515</v>
      </c>
      <c r="D2025" s="133" t="s">
        <v>477</v>
      </c>
      <c r="E2025" s="158">
        <v>8</v>
      </c>
      <c r="F2025" s="158">
        <v>0</v>
      </c>
      <c r="G2025" s="158">
        <v>0</v>
      </c>
      <c r="H2025" s="133" t="s">
        <v>2516</v>
      </c>
      <c r="I2025" s="133" t="s">
        <v>479</v>
      </c>
      <c r="J2025" s="158">
        <v>1</v>
      </c>
      <c r="K2025" s="159" t="str">
        <f ca="1">IFERROR(__xludf.DUMMYFUNCTION("GOOGLETRANSLATE(H2025,""th"",""en"")"),"Delivery time")</f>
        <v>Delivery time</v>
      </c>
    </row>
    <row r="2026" spans="1:11" ht="15.75" hidden="1" customHeight="1">
      <c r="A2026" s="133" t="s">
        <v>7</v>
      </c>
      <c r="B2026" s="133" t="s">
        <v>440</v>
      </c>
      <c r="C2026" s="133" t="s">
        <v>523</v>
      </c>
      <c r="D2026" s="133" t="s">
        <v>477</v>
      </c>
      <c r="E2026" s="158">
        <v>8</v>
      </c>
      <c r="F2026" s="158">
        <v>0</v>
      </c>
      <c r="G2026" s="158">
        <v>0</v>
      </c>
      <c r="H2026" s="133" t="s">
        <v>734</v>
      </c>
      <c r="I2026" s="133" t="s">
        <v>479</v>
      </c>
      <c r="J2026" s="158">
        <v>1</v>
      </c>
      <c r="K2026" s="159" t="str">
        <f ca="1">IFERROR(__xludf.DUMMYFUNCTION("GOOGLETRANSLATE(H2026,""th"",""en"")"),"Creator name")</f>
        <v>Creator name</v>
      </c>
    </row>
    <row r="2027" spans="1:11" ht="15.75" hidden="1" customHeight="1">
      <c r="A2027" s="133" t="s">
        <v>7</v>
      </c>
      <c r="B2027" s="133" t="s">
        <v>440</v>
      </c>
      <c r="C2027" s="133" t="s">
        <v>669</v>
      </c>
      <c r="D2027" s="133" t="s">
        <v>496</v>
      </c>
      <c r="E2027" s="158">
        <v>4</v>
      </c>
      <c r="F2027" s="158">
        <v>16</v>
      </c>
      <c r="G2027" s="158">
        <v>0</v>
      </c>
      <c r="H2027" s="133" t="s">
        <v>735</v>
      </c>
      <c r="I2027" s="133" t="s">
        <v>479</v>
      </c>
      <c r="J2027" s="158">
        <v>1</v>
      </c>
      <c r="K2027" s="159" t="str">
        <f ca="1">IFERROR(__xludf.DUMMYFUNCTION("GOOGLETRANSLATE(H2027,""th"",""en"")"),"Date created")</f>
        <v>Date created</v>
      </c>
    </row>
    <row r="2028" spans="1:11" ht="15.75" hidden="1" customHeight="1">
      <c r="A2028" s="133" t="s">
        <v>7</v>
      </c>
      <c r="B2028" s="133" t="s">
        <v>440</v>
      </c>
      <c r="C2028" s="133" t="s">
        <v>670</v>
      </c>
      <c r="D2028" s="133" t="s">
        <v>477</v>
      </c>
      <c r="E2028" s="158">
        <v>8</v>
      </c>
      <c r="F2028" s="158">
        <v>0</v>
      </c>
      <c r="G2028" s="158">
        <v>0</v>
      </c>
      <c r="H2028" s="133" t="s">
        <v>871</v>
      </c>
      <c r="I2028" s="133" t="s">
        <v>479</v>
      </c>
      <c r="J2028" s="158">
        <v>1</v>
      </c>
      <c r="K2028" s="159" t="str">
        <f ca="1">IFERROR(__xludf.DUMMYFUNCTION("GOOGLETRANSLATE(H2028,""th"",""en"")"),"Last edited name")</f>
        <v>Last edited name</v>
      </c>
    </row>
    <row r="2029" spans="1:11" ht="15.75" hidden="1" customHeight="1">
      <c r="A2029" s="133" t="s">
        <v>7</v>
      </c>
      <c r="B2029" s="133" t="s">
        <v>440</v>
      </c>
      <c r="C2029" s="133" t="s">
        <v>215</v>
      </c>
      <c r="D2029" s="133" t="s">
        <v>496</v>
      </c>
      <c r="E2029" s="158">
        <v>4</v>
      </c>
      <c r="F2029" s="158">
        <v>16</v>
      </c>
      <c r="G2029" s="158">
        <v>0</v>
      </c>
      <c r="H2029" s="133" t="s">
        <v>872</v>
      </c>
      <c r="I2029" s="133" t="s">
        <v>479</v>
      </c>
      <c r="J2029" s="158">
        <v>1</v>
      </c>
      <c r="K2029" s="159" t="str">
        <f ca="1">IFERROR(__xludf.DUMMYFUNCTION("GOOGLETRANSLATE(H2029,""th"",""en"")"),"Last modified date")</f>
        <v>Last modified date</v>
      </c>
    </row>
    <row r="2030" spans="1:11" ht="15.75" hidden="1" customHeight="1">
      <c r="A2030" s="133" t="s">
        <v>7</v>
      </c>
      <c r="B2030" s="133" t="s">
        <v>440</v>
      </c>
      <c r="C2030" s="133" t="s">
        <v>2517</v>
      </c>
      <c r="D2030" s="133" t="s">
        <v>477</v>
      </c>
      <c r="E2030" s="158">
        <v>50</v>
      </c>
      <c r="F2030" s="158">
        <v>0</v>
      </c>
      <c r="G2030" s="158">
        <v>0</v>
      </c>
      <c r="H2030" s="133" t="s">
        <v>2518</v>
      </c>
      <c r="I2030" s="133" t="s">
        <v>479</v>
      </c>
      <c r="J2030" s="158">
        <v>1</v>
      </c>
      <c r="K2030" s="159" t="str">
        <f ca="1">IFERROR(__xludf.DUMMYFUNCTION("GOOGLETRANSLATE(H2030,""th"",""en"")"),"Telesale name")</f>
        <v>Telesale name</v>
      </c>
    </row>
    <row r="2031" spans="1:11" ht="15.75" hidden="1" customHeight="1">
      <c r="A2031" s="133" t="s">
        <v>7</v>
      </c>
      <c r="B2031" s="133" t="s">
        <v>440</v>
      </c>
      <c r="C2031" s="133" t="s">
        <v>2379</v>
      </c>
      <c r="D2031" s="133" t="s">
        <v>477</v>
      </c>
      <c r="E2031" s="158">
        <v>50</v>
      </c>
      <c r="F2031" s="158">
        <v>0</v>
      </c>
      <c r="G2031" s="158">
        <v>0</v>
      </c>
      <c r="H2031" s="133" t="s">
        <v>2519</v>
      </c>
      <c r="I2031" s="133" t="s">
        <v>479</v>
      </c>
      <c r="J2031" s="158">
        <v>1</v>
      </c>
      <c r="K2031" s="159" t="str">
        <f ca="1">IFERROR(__xludf.DUMMYFUNCTION("GOOGLETRANSLATE(H2031,""th"",""en"")"),"Contact fax number")</f>
        <v>Contact fax number</v>
      </c>
    </row>
    <row r="2032" spans="1:11" ht="15.75" hidden="1" customHeight="1">
      <c r="A2032" s="133" t="s">
        <v>7</v>
      </c>
      <c r="B2032" s="133" t="s">
        <v>440</v>
      </c>
      <c r="C2032" s="133" t="s">
        <v>2520</v>
      </c>
      <c r="D2032" s="133" t="s">
        <v>978</v>
      </c>
      <c r="E2032" s="158">
        <v>2</v>
      </c>
      <c r="F2032" s="158">
        <v>5</v>
      </c>
      <c r="G2032" s="158">
        <v>0</v>
      </c>
      <c r="H2032" s="133" t="s">
        <v>2521</v>
      </c>
      <c r="I2032" s="133" t="s">
        <v>479</v>
      </c>
      <c r="J2032" s="158">
        <v>1</v>
      </c>
      <c r="K2032" s="159" t="str">
        <f ca="1">IFERROR(__xludf.DUMMYFUNCTION("GOOGLETRANSLATE(H2032,""th"",""en"")"),"Contact through the communication channel (DATA is in the TBSOSALECHANNL table)")</f>
        <v>Contact through the communication channel (DATA is in the TBSOSALECHANNL table)</v>
      </c>
    </row>
    <row r="2033" spans="1:11" ht="15.75" hidden="1" customHeight="1">
      <c r="A2033" s="133" t="s">
        <v>7</v>
      </c>
      <c r="B2033" s="133" t="s">
        <v>440</v>
      </c>
      <c r="C2033" s="133" t="s">
        <v>2522</v>
      </c>
      <c r="D2033" s="133" t="s">
        <v>484</v>
      </c>
      <c r="E2033" s="158">
        <v>4</v>
      </c>
      <c r="F2033" s="158">
        <v>10</v>
      </c>
      <c r="G2033" s="158">
        <v>0</v>
      </c>
      <c r="H2033" s="133" t="s">
        <v>2523</v>
      </c>
      <c r="I2033" s="133" t="s">
        <v>479</v>
      </c>
      <c r="J2033" s="158">
        <v>1</v>
      </c>
      <c r="K2033" s="159" t="str">
        <f ca="1">IFERROR(__xludf.DUMMYFUNCTION("GOOGLETRANSLATE(H2033,""th"",""en"")"),"Sequence of delivery")</f>
        <v>Sequence of delivery</v>
      </c>
    </row>
    <row r="2034" spans="1:11" ht="15.75" hidden="1" customHeight="1">
      <c r="A2034" s="133" t="s">
        <v>7</v>
      </c>
      <c r="B2034" s="133" t="s">
        <v>440</v>
      </c>
      <c r="C2034" s="133" t="s">
        <v>2524</v>
      </c>
      <c r="D2034" s="133" t="s">
        <v>978</v>
      </c>
      <c r="E2034" s="158">
        <v>2</v>
      </c>
      <c r="F2034" s="158">
        <v>5</v>
      </c>
      <c r="G2034" s="158">
        <v>0</v>
      </c>
      <c r="H2034" s="133" t="s">
        <v>2657</v>
      </c>
      <c r="I2034" s="133" t="s">
        <v>479</v>
      </c>
      <c r="J2034" s="158">
        <v>1</v>
      </c>
      <c r="K2034" s="159" t="str">
        <f ca="1">IFERROR(__xludf.DUMMYFUNCTION("GOOGLETRANSLATE(H2034,""th"",""en"")"),"Not likely to be used, but still keep the DATA")</f>
        <v>Not likely to be used, but still keep the DATA</v>
      </c>
    </row>
    <row r="2035" spans="1:11" ht="15.75" hidden="1" customHeight="1">
      <c r="A2035" s="133" t="s">
        <v>7</v>
      </c>
      <c r="B2035" s="133" t="s">
        <v>440</v>
      </c>
      <c r="C2035" s="133" t="s">
        <v>2385</v>
      </c>
      <c r="D2035" s="133" t="s">
        <v>484</v>
      </c>
      <c r="E2035" s="158">
        <v>4</v>
      </c>
      <c r="F2035" s="158">
        <v>10</v>
      </c>
      <c r="G2035" s="158">
        <v>0</v>
      </c>
      <c r="H2035" s="133" t="s">
        <v>2526</v>
      </c>
      <c r="I2035" s="133" t="s">
        <v>479</v>
      </c>
      <c r="J2035" s="158">
        <v>1</v>
      </c>
      <c r="K2035" s="159" t="str">
        <f ca="1">IFERROR(__xludf.DUMMYFUNCTION("GOOGLETRANSLATE(H2035,""th"",""en"")"),"Contact")</f>
        <v>Contact</v>
      </c>
    </row>
    <row r="2036" spans="1:11" ht="15.75" hidden="1" customHeight="1">
      <c r="A2036" s="133" t="s">
        <v>7</v>
      </c>
      <c r="B2036" s="133" t="s">
        <v>440</v>
      </c>
      <c r="C2036" s="133" t="s">
        <v>2527</v>
      </c>
      <c r="D2036" s="133" t="s">
        <v>477</v>
      </c>
      <c r="E2036" s="158">
        <v>2</v>
      </c>
      <c r="F2036" s="158">
        <v>0</v>
      </c>
      <c r="G2036" s="158">
        <v>0</v>
      </c>
      <c r="H2036" s="133" t="s">
        <v>2528</v>
      </c>
      <c r="I2036" s="133" t="s">
        <v>479</v>
      </c>
      <c r="J2036" s="158">
        <v>1</v>
      </c>
      <c r="K2036" s="159" t="str">
        <f ca="1">IFERROR(__xludf.DUMMYFUNCTION("GOOGLETRANSLATE(H2036,""th"",""en"")"),"Production model [RE = RETAIL, WH = Whole Sale]")</f>
        <v>Production model [RE = RETAIL, WH = Whole Sale]</v>
      </c>
    </row>
    <row r="2037" spans="1:11" ht="15.75" hidden="1" customHeight="1">
      <c r="A2037" s="133" t="s">
        <v>7</v>
      </c>
      <c r="B2037" s="133" t="s">
        <v>440</v>
      </c>
      <c r="C2037" s="133" t="s">
        <v>2529</v>
      </c>
      <c r="D2037" s="133" t="s">
        <v>978</v>
      </c>
      <c r="E2037" s="158">
        <v>2</v>
      </c>
      <c r="F2037" s="158">
        <v>5</v>
      </c>
      <c r="G2037" s="158">
        <v>0</v>
      </c>
      <c r="H2037" s="133" t="s">
        <v>2429</v>
      </c>
      <c r="I2037" s="133" t="s">
        <v>479</v>
      </c>
      <c r="J2037" s="158">
        <v>1</v>
      </c>
      <c r="K2037" s="159" t="str">
        <f ca="1">IFERROR(__xludf.DUMMYFUNCTION("GOOGLETRANSLATE(H2037,""th"",""en"")"),"Quit usage")</f>
        <v>Quit usage</v>
      </c>
    </row>
    <row r="2038" spans="1:11" ht="15.75" hidden="1" customHeight="1">
      <c r="A2038" s="133" t="s">
        <v>7</v>
      </c>
      <c r="B2038" s="133" t="s">
        <v>440</v>
      </c>
      <c r="C2038" s="133" t="s">
        <v>2531</v>
      </c>
      <c r="D2038" s="133" t="s">
        <v>978</v>
      </c>
      <c r="E2038" s="158">
        <v>2</v>
      </c>
      <c r="F2038" s="158">
        <v>5</v>
      </c>
      <c r="G2038" s="158">
        <v>0</v>
      </c>
      <c r="H2038" s="133" t="s">
        <v>2662</v>
      </c>
      <c r="I2038" s="133" t="s">
        <v>479</v>
      </c>
      <c r="J2038" s="158">
        <v>1</v>
      </c>
      <c r="K2038" s="159" t="str">
        <f ca="1">IFERROR(__xludf.DUMMYFUNCTION("GOOGLETRANSLATE(H2038,""th"",""en"")"),"Stopped")</f>
        <v>Stopped</v>
      </c>
    </row>
    <row r="2039" spans="1:11" ht="15.75" hidden="1" customHeight="1">
      <c r="A2039" s="133" t="s">
        <v>7</v>
      </c>
      <c r="B2039" s="133" t="s">
        <v>440</v>
      </c>
      <c r="C2039" s="133" t="s">
        <v>2533</v>
      </c>
      <c r="D2039" s="133" t="s">
        <v>477</v>
      </c>
      <c r="E2039" s="158">
        <v>2</v>
      </c>
      <c r="F2039" s="158">
        <v>0</v>
      </c>
      <c r="G2039" s="158">
        <v>0</v>
      </c>
      <c r="H2039" s="133" t="s">
        <v>2663</v>
      </c>
      <c r="I2039" s="133" t="s">
        <v>479</v>
      </c>
      <c r="J2039" s="158">
        <v>1</v>
      </c>
      <c r="K2039" s="228" t="str">
        <f ca="1">IFERROR(__xludf.DUMMYFUNCTION("GOOGLETRANSLATE(H2039,""th"",""en"")"),"The document type does not affect the case. Rectype = C / N (This field is only N), the case of Rectype = Inv. If n is INV, sell the product (with cut stock), s is the service invoice, p = prepaid invoice (made to Used to receive in advance only) A = INV:"&amp;" SS that is the Service Inv. Advertising C = INV: SS that is the SERVICE INVICE PRINTING / CARD D = CANCELED INVOICE / CANCEL CREDIT NOTE E = Project. Book Hotel I = Incentive R = Rebate")</f>
        <v>The document type does not affect the case. Rectype = C / N (This field is only N), the case of Rectype = Inv. If n is INV, sell the product (with cut stock), s is the service invoice, p = prepaid invoice (made to Used to receive in advance only) A = INV: SS that is the Service Inv. Advertising C = INV: SS that is the SERVICE INVICE PRINTING / CARD D = CANCELED INVOICE / CANCEL CREDIT NOTE E = Project. Book Hotel I = Incentive R = Rebate</v>
      </c>
    </row>
    <row r="2040" spans="1:11" ht="15.75" hidden="1" customHeight="1">
      <c r="A2040" s="133" t="s">
        <v>7</v>
      </c>
      <c r="B2040" s="133" t="s">
        <v>440</v>
      </c>
      <c r="C2040" s="133" t="s">
        <v>2535</v>
      </c>
      <c r="D2040" s="133" t="s">
        <v>477</v>
      </c>
      <c r="E2040" s="158">
        <v>14</v>
      </c>
      <c r="F2040" s="158">
        <v>0</v>
      </c>
      <c r="G2040" s="158">
        <v>0</v>
      </c>
      <c r="H2040" s="133" t="s">
        <v>2664</v>
      </c>
      <c r="I2040" s="133" t="s">
        <v>479</v>
      </c>
      <c r="J2040" s="158">
        <v>1</v>
      </c>
      <c r="K2040" s="159" t="str">
        <f ca="1">IFERROR(__xludf.DUMMYFUNCTION("GOOGLETRANSLATE(H2040,""th"",""en"")"),"Advance documents If there is no value indicating that there is no advance, if there is if this row has Rectype = Inv and InvType = N / S, this field will store the SS number in advance, this INV / P field will store SI or SS. Cut off in advance")</f>
        <v>Advance documents If there is no value indicating that there is no advance, if there is if this row has Rectype = Inv and InvType = N / S, this field will store the SS number in advance, this INV / P field will store SI or SS. Cut off in advance</v>
      </c>
    </row>
    <row r="2041" spans="1:11" ht="15.75" hidden="1" customHeight="1">
      <c r="A2041" s="133" t="s">
        <v>7</v>
      </c>
      <c r="B2041" s="133" t="s">
        <v>440</v>
      </c>
      <c r="C2041" s="133" t="s">
        <v>2537</v>
      </c>
      <c r="D2041" s="133" t="s">
        <v>491</v>
      </c>
      <c r="E2041" s="158">
        <v>1</v>
      </c>
      <c r="F2041" s="158">
        <v>0</v>
      </c>
      <c r="G2041" s="158">
        <v>0</v>
      </c>
      <c r="H2041" s="133" t="s">
        <v>2665</v>
      </c>
      <c r="I2041" s="133" t="s">
        <v>479</v>
      </c>
      <c r="J2041" s="158">
        <v>1</v>
      </c>
      <c r="K2041" s="159" t="str">
        <f ca="1">IFERROR(__xludf.DUMMYFUNCTION("GOOGLETRANSLATE(H2041,""th"",""en"")"),"If the document does not have ahead of this field, this field is null. If it is Y, it is a cut document. If it is n, shows that it is a pre-received document.")</f>
        <v>If the document does not have ahead of this field, this field is null. If it is Y, it is a cut document. If it is n, shows that it is a pre-received document.</v>
      </c>
    </row>
    <row r="2042" spans="1:11" ht="15.75" hidden="1" customHeight="1">
      <c r="A2042" s="133" t="s">
        <v>7</v>
      </c>
      <c r="B2042" s="133" t="s">
        <v>440</v>
      </c>
      <c r="C2042" s="133" t="s">
        <v>2538</v>
      </c>
      <c r="D2042" s="133" t="s">
        <v>481</v>
      </c>
      <c r="E2042" s="158">
        <v>9</v>
      </c>
      <c r="F2042" s="158">
        <v>11</v>
      </c>
      <c r="G2042" s="158">
        <v>2</v>
      </c>
      <c r="H2042" s="133" t="s">
        <v>2666</v>
      </c>
      <c r="I2042" s="133" t="s">
        <v>479</v>
      </c>
      <c r="J2042" s="158">
        <v>1</v>
      </c>
      <c r="K2042" s="159" t="str">
        <f ca="1">IFERROR(__xludf.DUMMYFUNCTION("GOOGLETRANSLATE(H2042,""th"",""en"")"),"Cutting in advance Will keep the money in advance (before VAT)")</f>
        <v>Cutting in advance Will keep the money in advance (before VAT)</v>
      </c>
    </row>
    <row r="2043" spans="1:11" ht="15.75" hidden="1" customHeight="1">
      <c r="A2043" s="133" t="s">
        <v>7</v>
      </c>
      <c r="B2043" s="133" t="s">
        <v>440</v>
      </c>
      <c r="C2043" s="133" t="s">
        <v>2539</v>
      </c>
      <c r="D2043" s="133" t="s">
        <v>491</v>
      </c>
      <c r="E2043" s="158">
        <v>1</v>
      </c>
      <c r="F2043" s="158">
        <v>0</v>
      </c>
      <c r="G2043" s="158">
        <v>0</v>
      </c>
      <c r="H2043" s="133" t="s">
        <v>960</v>
      </c>
      <c r="I2043" s="133" t="s">
        <v>479</v>
      </c>
      <c r="J2043" s="158">
        <v>1</v>
      </c>
      <c r="K2043" s="159" t="str">
        <f ca="1">IFERROR(__xludf.DUMMYFUNCTION("GOOGLETRANSLATE(H2043,""th"",""en"")"),"Quit")</f>
        <v>Quit</v>
      </c>
    </row>
    <row r="2044" spans="1:11" ht="15.75" hidden="1" customHeight="1">
      <c r="A2044" s="133" t="s">
        <v>7</v>
      </c>
      <c r="B2044" s="133" t="s">
        <v>440</v>
      </c>
      <c r="C2044" s="133" t="s">
        <v>2540</v>
      </c>
      <c r="D2044" s="133" t="s">
        <v>477</v>
      </c>
      <c r="E2044" s="158">
        <v>12</v>
      </c>
      <c r="F2044" s="158">
        <v>0</v>
      </c>
      <c r="G2044" s="158">
        <v>0</v>
      </c>
      <c r="H2044" s="133" t="s">
        <v>960</v>
      </c>
      <c r="I2044" s="133" t="s">
        <v>479</v>
      </c>
      <c r="J2044" s="158">
        <v>1</v>
      </c>
      <c r="K2044" s="159" t="str">
        <f ca="1">IFERROR(__xludf.DUMMYFUNCTION("GOOGLETRANSLATE(H2044,""th"",""en"")"),"Quit")</f>
        <v>Quit</v>
      </c>
    </row>
    <row r="2045" spans="1:11" ht="15.75" hidden="1" customHeight="1">
      <c r="A2045" s="133" t="s">
        <v>7</v>
      </c>
      <c r="B2045" s="133" t="s">
        <v>440</v>
      </c>
      <c r="C2045" s="133" t="s">
        <v>2541</v>
      </c>
      <c r="D2045" s="133" t="s">
        <v>477</v>
      </c>
      <c r="E2045" s="158">
        <v>8</v>
      </c>
      <c r="F2045" s="158">
        <v>0</v>
      </c>
      <c r="G2045" s="158">
        <v>0</v>
      </c>
      <c r="H2045" s="133" t="s">
        <v>2542</v>
      </c>
      <c r="I2045" s="133" t="s">
        <v>479</v>
      </c>
      <c r="J2045" s="158">
        <v>1</v>
      </c>
      <c r="K2045" s="159" t="str">
        <f ca="1">IFERROR(__xludf.DUMMYFUNCTION("GOOGLETRANSLATE(H2045,""th"",""en"")"),"Employee code at the star QC")</f>
        <v>Employee code at the star QC</v>
      </c>
    </row>
    <row r="2046" spans="1:11" ht="15.75" hidden="1" customHeight="1">
      <c r="A2046" s="133" t="s">
        <v>7</v>
      </c>
      <c r="B2046" s="133" t="s">
        <v>440</v>
      </c>
      <c r="C2046" s="133" t="s">
        <v>2543</v>
      </c>
      <c r="D2046" s="133" t="s">
        <v>477</v>
      </c>
      <c r="E2046" s="158">
        <v>8</v>
      </c>
      <c r="F2046" s="158">
        <v>0</v>
      </c>
      <c r="G2046" s="158">
        <v>0</v>
      </c>
      <c r="H2046" s="133" t="s">
        <v>2544</v>
      </c>
      <c r="I2046" s="133" t="s">
        <v>479</v>
      </c>
      <c r="J2046" s="158">
        <v>1</v>
      </c>
      <c r="K2046" s="159" t="str">
        <f ca="1">IFERROR(__xludf.DUMMYFUNCTION("GOOGLETRANSLATE(H2046,""th"",""en"")"),"Employee code at the QC normal product")</f>
        <v>Employee code at the QC normal product</v>
      </c>
    </row>
    <row r="2047" spans="1:11" ht="15.75" hidden="1" customHeight="1">
      <c r="A2047" s="133" t="s">
        <v>7</v>
      </c>
      <c r="B2047" s="133" t="s">
        <v>440</v>
      </c>
      <c r="C2047" s="133" t="s">
        <v>2545</v>
      </c>
      <c r="D2047" s="133" t="s">
        <v>484</v>
      </c>
      <c r="E2047" s="158">
        <v>4</v>
      </c>
      <c r="F2047" s="158">
        <v>10</v>
      </c>
      <c r="G2047" s="158">
        <v>0</v>
      </c>
      <c r="H2047" s="133" t="s">
        <v>2667</v>
      </c>
      <c r="I2047" s="133" t="s">
        <v>479</v>
      </c>
      <c r="J2047" s="158">
        <v>1</v>
      </c>
      <c r="K2047" s="159" t="str">
        <f ca="1">IFERROR(__xludf.DUMMYFUNCTION("GOOGLETRANSLATE(H2047,""th"",""en"")"),"The number of boxes that must be sent to the customer (from the old structure is Box)")</f>
        <v>The number of boxes that must be sent to the customer (from the old structure is Box)</v>
      </c>
    </row>
    <row r="2048" spans="1:11" ht="15.75" hidden="1" customHeight="1">
      <c r="A2048" s="133" t="s">
        <v>7</v>
      </c>
      <c r="B2048" s="133" t="s">
        <v>440</v>
      </c>
      <c r="C2048" s="133" t="s">
        <v>2547</v>
      </c>
      <c r="D2048" s="133" t="s">
        <v>484</v>
      </c>
      <c r="E2048" s="158">
        <v>4</v>
      </c>
      <c r="F2048" s="158">
        <v>10</v>
      </c>
      <c r="G2048" s="158">
        <v>0</v>
      </c>
      <c r="H2048" s="133" t="s">
        <v>2668</v>
      </c>
      <c r="I2048" s="133" t="s">
        <v>479</v>
      </c>
      <c r="J2048" s="158">
        <v>1</v>
      </c>
      <c r="K2048" s="159" t="str">
        <f ca="1">IFERROR(__xludf.DUMMYFUNCTION("GOOGLETRANSLATE(H2048,""th"",""en"")"),"The number of bags that must be sent to the customer (from the old structure is the bag)")</f>
        <v>The number of bags that must be sent to the customer (from the old structure is the bag)</v>
      </c>
    </row>
    <row r="2049" spans="1:11" ht="15.75" hidden="1" customHeight="1">
      <c r="A2049" s="133" t="s">
        <v>7</v>
      </c>
      <c r="B2049" s="133" t="s">
        <v>440</v>
      </c>
      <c r="C2049" s="133" t="s">
        <v>2579</v>
      </c>
      <c r="D2049" s="133" t="s">
        <v>481</v>
      </c>
      <c r="E2049" s="158">
        <v>9</v>
      </c>
      <c r="F2049" s="158">
        <v>11</v>
      </c>
      <c r="G2049" s="158">
        <v>2</v>
      </c>
      <c r="H2049" s="133" t="s">
        <v>2669</v>
      </c>
      <c r="I2049" s="133" t="s">
        <v>479</v>
      </c>
      <c r="J2049" s="158">
        <v>1</v>
      </c>
      <c r="K2049" s="159" t="str">
        <f ca="1">IFERROR(__xludf.DUMMYFUNCTION("GOOGLETRANSLATE(H2049,""th"",""en"")"),"If it is null showing that there is no advance receipt If the value is the amount that is worth Netamt-isnull (Prepaidamt, 0) VAT calculating")</f>
        <v>If it is null showing that there is no advance receipt If the value is the amount that is worth Netamt-isnull (Prepaidamt, 0) VAT calculating</v>
      </c>
    </row>
    <row r="2050" spans="1:11" ht="15.75" hidden="1" customHeight="1">
      <c r="A2050" s="133" t="s">
        <v>7</v>
      </c>
      <c r="B2050" s="133" t="s">
        <v>440</v>
      </c>
      <c r="C2050" s="133" t="s">
        <v>2549</v>
      </c>
      <c r="D2050" s="133" t="s">
        <v>477</v>
      </c>
      <c r="E2050" s="158">
        <v>50</v>
      </c>
      <c r="F2050" s="158">
        <v>0</v>
      </c>
      <c r="G2050" s="158">
        <v>0</v>
      </c>
      <c r="H2050" s="133" t="s">
        <v>2550</v>
      </c>
      <c r="I2050" s="133" t="s">
        <v>479</v>
      </c>
      <c r="J2050" s="158">
        <v>1</v>
      </c>
      <c r="K2050" s="159" t="str">
        <f ca="1">IFERROR(__xludf.DUMMYFUNCTION("GOOGLETRANSLATE(H2050,""th"",""en"")"),"Product name")</f>
        <v>Product name</v>
      </c>
    </row>
    <row r="2051" spans="1:11" ht="15.75" hidden="1" customHeight="1">
      <c r="A2051" s="133" t="s">
        <v>7</v>
      </c>
      <c r="B2051" s="133" t="s">
        <v>440</v>
      </c>
      <c r="C2051" s="133" t="s">
        <v>2551</v>
      </c>
      <c r="D2051" s="133" t="s">
        <v>477</v>
      </c>
      <c r="E2051" s="158">
        <v>50</v>
      </c>
      <c r="F2051" s="158">
        <v>0</v>
      </c>
      <c r="G2051" s="158">
        <v>0</v>
      </c>
      <c r="H2051" s="133" t="s">
        <v>2552</v>
      </c>
      <c r="I2051" s="133" t="s">
        <v>479</v>
      </c>
      <c r="J2051" s="158">
        <v>1</v>
      </c>
      <c r="K2051" s="159" t="str">
        <f ca="1">IFERROR(__xludf.DUMMYFUNCTION("GOOGLETRANSLATE(H2051,""th"",""en"")"),"Phone number of the product recipient")</f>
        <v>Phone number of the product recipient</v>
      </c>
    </row>
    <row r="2052" spans="1:11" ht="15.75" hidden="1" customHeight="1">
      <c r="A2052" s="133" t="s">
        <v>7</v>
      </c>
      <c r="B2052" s="133" t="s">
        <v>440</v>
      </c>
      <c r="C2052" s="133" t="s">
        <v>2553</v>
      </c>
      <c r="D2052" s="133" t="s">
        <v>491</v>
      </c>
      <c r="E2052" s="158">
        <v>1</v>
      </c>
      <c r="F2052" s="158">
        <v>0</v>
      </c>
      <c r="G2052" s="158">
        <v>0</v>
      </c>
      <c r="H2052" s="133" t="s">
        <v>2657</v>
      </c>
      <c r="I2052" s="133" t="s">
        <v>479</v>
      </c>
      <c r="J2052" s="158">
        <v>1</v>
      </c>
      <c r="K2052" s="159" t="str">
        <f ca="1">IFERROR(__xludf.DUMMYFUNCTION("GOOGLETRANSLATE(H2052,""th"",""en"")"),"Not likely to be used, but still keep the DATA")</f>
        <v>Not likely to be used, but still keep the DATA</v>
      </c>
    </row>
    <row r="2053" spans="1:11" ht="15.75" hidden="1" customHeight="1">
      <c r="A2053" s="133" t="s">
        <v>7</v>
      </c>
      <c r="B2053" s="133" t="s">
        <v>440</v>
      </c>
      <c r="C2053" s="133" t="s">
        <v>2555</v>
      </c>
      <c r="D2053" s="133" t="s">
        <v>477</v>
      </c>
      <c r="E2053" s="158">
        <v>20</v>
      </c>
      <c r="F2053" s="158">
        <v>0</v>
      </c>
      <c r="G2053" s="158">
        <v>0</v>
      </c>
      <c r="H2053" s="133" t="s">
        <v>2556</v>
      </c>
      <c r="I2053" s="133" t="s">
        <v>479</v>
      </c>
      <c r="J2053" s="158">
        <v>1</v>
      </c>
      <c r="K2053" s="159" t="str">
        <f ca="1">IFERROR(__xludf.DUMMYFUNCTION("GOOGLETRANSLATE(H2053,""th"",""en"")"),"Fax number of the product recipient")</f>
        <v>Fax number of the product recipient</v>
      </c>
    </row>
    <row r="2054" spans="1:11" ht="15.75" hidden="1" customHeight="1">
      <c r="A2054" s="133" t="s">
        <v>7</v>
      </c>
      <c r="B2054" s="133" t="s">
        <v>440</v>
      </c>
      <c r="C2054" s="133" t="s">
        <v>2581</v>
      </c>
      <c r="D2054" s="133" t="s">
        <v>477</v>
      </c>
      <c r="E2054" s="158">
        <v>100</v>
      </c>
      <c r="F2054" s="158">
        <v>0</v>
      </c>
      <c r="G2054" s="158">
        <v>0</v>
      </c>
      <c r="H2054" s="133" t="s">
        <v>2670</v>
      </c>
      <c r="I2054" s="133" t="s">
        <v>479</v>
      </c>
      <c r="J2054" s="158">
        <v>1</v>
      </c>
      <c r="K2054" s="159" t="str">
        <f ca="1">IFERROR(__xludf.DUMMYFUNCTION("GOOGLETRANSLATE(H2054,""th"",""en"")"),"Note the delivery staff")</f>
        <v>Note the delivery staff</v>
      </c>
    </row>
    <row r="2055" spans="1:11" ht="15.75" hidden="1" customHeight="1">
      <c r="A2055" s="133" t="s">
        <v>7</v>
      </c>
      <c r="B2055" s="133" t="s">
        <v>440</v>
      </c>
      <c r="C2055" s="133" t="s">
        <v>2671</v>
      </c>
      <c r="D2055" s="133" t="s">
        <v>477</v>
      </c>
      <c r="E2055" s="158">
        <v>7</v>
      </c>
      <c r="F2055" s="158">
        <v>0</v>
      </c>
      <c r="G2055" s="158">
        <v>0</v>
      </c>
      <c r="H2055" s="133" t="s">
        <v>2672</v>
      </c>
      <c r="I2055" s="133" t="s">
        <v>479</v>
      </c>
      <c r="J2055" s="158">
        <v>1</v>
      </c>
      <c r="K2055" s="159" t="str">
        <f ca="1">IFERROR(__xludf.DUMMYFUNCTION("GOOGLETRANSLATE(H2055,""th"",""en"")"),"Area code, sub-zone")</f>
        <v>Area code, sub-zone</v>
      </c>
    </row>
    <row r="2056" spans="1:11" ht="15.75" hidden="1" customHeight="1">
      <c r="A2056" s="133" t="s">
        <v>7</v>
      </c>
      <c r="B2056" s="133" t="s">
        <v>440</v>
      </c>
      <c r="C2056" s="133" t="s">
        <v>2557</v>
      </c>
      <c r="D2056" s="133" t="s">
        <v>484</v>
      </c>
      <c r="E2056" s="158">
        <v>4</v>
      </c>
      <c r="F2056" s="158">
        <v>10</v>
      </c>
      <c r="G2056" s="158">
        <v>0</v>
      </c>
      <c r="H2056" s="133" t="s">
        <v>2429</v>
      </c>
      <c r="I2056" s="133" t="s">
        <v>479</v>
      </c>
      <c r="J2056" s="158">
        <v>1</v>
      </c>
      <c r="K2056" s="159" t="str">
        <f ca="1">IFERROR(__xludf.DUMMYFUNCTION("GOOGLETRANSLATE(H2056,""th"",""en"")"),"Quit usage")</f>
        <v>Quit usage</v>
      </c>
    </row>
    <row r="2057" spans="1:11" ht="15.75" hidden="1" customHeight="1">
      <c r="A2057" s="133" t="s">
        <v>7</v>
      </c>
      <c r="B2057" s="133" t="s">
        <v>440</v>
      </c>
      <c r="C2057" s="133" t="s">
        <v>2558</v>
      </c>
      <c r="D2057" s="133" t="s">
        <v>484</v>
      </c>
      <c r="E2057" s="158">
        <v>4</v>
      </c>
      <c r="F2057" s="158">
        <v>10</v>
      </c>
      <c r="G2057" s="158">
        <v>0</v>
      </c>
      <c r="H2057" s="133" t="s">
        <v>2429</v>
      </c>
      <c r="I2057" s="133" t="s">
        <v>479</v>
      </c>
      <c r="J2057" s="158">
        <v>1</v>
      </c>
      <c r="K2057" s="159" t="str">
        <f ca="1">IFERROR(__xludf.DUMMYFUNCTION("GOOGLETRANSLATE(H2057,""th"",""en"")"),"Quit usage")</f>
        <v>Quit usage</v>
      </c>
    </row>
    <row r="2058" spans="1:11" ht="15.75" hidden="1" customHeight="1">
      <c r="A2058" s="133" t="s">
        <v>7</v>
      </c>
      <c r="B2058" s="133" t="s">
        <v>440</v>
      </c>
      <c r="C2058" s="133" t="s">
        <v>2559</v>
      </c>
      <c r="D2058" s="133" t="s">
        <v>484</v>
      </c>
      <c r="E2058" s="158">
        <v>4</v>
      </c>
      <c r="F2058" s="158">
        <v>10</v>
      </c>
      <c r="G2058" s="158">
        <v>0</v>
      </c>
      <c r="H2058" s="133" t="s">
        <v>2429</v>
      </c>
      <c r="I2058" s="133" t="s">
        <v>479</v>
      </c>
      <c r="J2058" s="158">
        <v>1</v>
      </c>
      <c r="K2058" s="159" t="str">
        <f ca="1">IFERROR(__xludf.DUMMYFUNCTION("GOOGLETRANSLATE(H2058,""th"",""en"")"),"Quit usage")</f>
        <v>Quit usage</v>
      </c>
    </row>
    <row r="2059" spans="1:11" ht="15.75" hidden="1" customHeight="1">
      <c r="A2059" s="133" t="s">
        <v>7</v>
      </c>
      <c r="B2059" s="133" t="s">
        <v>440</v>
      </c>
      <c r="C2059" s="133" t="s">
        <v>2560</v>
      </c>
      <c r="D2059" s="133" t="s">
        <v>484</v>
      </c>
      <c r="E2059" s="158">
        <v>4</v>
      </c>
      <c r="F2059" s="158">
        <v>10</v>
      </c>
      <c r="G2059" s="158">
        <v>0</v>
      </c>
      <c r="H2059" s="133" t="s">
        <v>2429</v>
      </c>
      <c r="I2059" s="133" t="s">
        <v>479</v>
      </c>
      <c r="J2059" s="158">
        <v>1</v>
      </c>
      <c r="K2059" s="159" t="str">
        <f ca="1">IFERROR(__xludf.DUMMYFUNCTION("GOOGLETRANSLATE(H2059,""th"",""en"")"),"Quit usage")</f>
        <v>Quit usage</v>
      </c>
    </row>
    <row r="2060" spans="1:11" ht="15.75" hidden="1" customHeight="1">
      <c r="A2060" s="133" t="s">
        <v>7</v>
      </c>
      <c r="B2060" s="133" t="s">
        <v>440</v>
      </c>
      <c r="C2060" s="133" t="s">
        <v>2561</v>
      </c>
      <c r="D2060" s="133" t="s">
        <v>477</v>
      </c>
      <c r="E2060" s="158">
        <v>2</v>
      </c>
      <c r="F2060" s="158">
        <v>0</v>
      </c>
      <c r="G2060" s="158">
        <v>0</v>
      </c>
      <c r="H2060" s="133" t="s">
        <v>2562</v>
      </c>
      <c r="I2060" s="133" t="s">
        <v>479</v>
      </c>
      <c r="J2060" s="158">
        <v>1</v>
      </c>
      <c r="K2060" s="159" t="str">
        <f ca="1">IFERROR(__xludf.DUMMYFUNCTION("GOOGLETRANSLATE(H2060,""th"",""en"")"),"Cancel Type")</f>
        <v>Cancel Type</v>
      </c>
    </row>
    <row r="2061" spans="1:11" ht="15.75" hidden="1" customHeight="1">
      <c r="A2061" s="133" t="s">
        <v>7</v>
      </c>
      <c r="B2061" s="133" t="s">
        <v>440</v>
      </c>
      <c r="C2061" s="133" t="s">
        <v>2563</v>
      </c>
      <c r="D2061" s="133" t="s">
        <v>477</v>
      </c>
      <c r="E2061" s="158">
        <v>200</v>
      </c>
      <c r="F2061" s="158">
        <v>0</v>
      </c>
      <c r="G2061" s="158">
        <v>0</v>
      </c>
      <c r="H2061" s="133" t="s">
        <v>2564</v>
      </c>
      <c r="I2061" s="133" t="s">
        <v>479</v>
      </c>
      <c r="J2061" s="158">
        <v>1</v>
      </c>
      <c r="K2061" s="159" t="str">
        <f ca="1">IFERROR(__xludf.DUMMYFUNCTION("GOOGLETRANSLATE(H2061,""th"",""en"")"),"Cancel Remark")</f>
        <v>Cancel Remark</v>
      </c>
    </row>
    <row r="2062" spans="1:11" ht="15.75" hidden="1" customHeight="1">
      <c r="A2062" s="133" t="s">
        <v>7</v>
      </c>
      <c r="B2062" s="133" t="s">
        <v>440</v>
      </c>
      <c r="C2062" s="133" t="s">
        <v>2565</v>
      </c>
      <c r="D2062" s="133" t="s">
        <v>481</v>
      </c>
      <c r="E2062" s="158">
        <v>5</v>
      </c>
      <c r="F2062" s="158">
        <v>9</v>
      </c>
      <c r="G2062" s="158">
        <v>2</v>
      </c>
      <c r="H2062" s="133" t="s">
        <v>2566</v>
      </c>
      <c r="I2062" s="133" t="s">
        <v>479</v>
      </c>
      <c r="J2062" s="158">
        <v>1</v>
      </c>
      <c r="K2062" s="159" t="str">
        <f ca="1">IFERROR(__xludf.DUMMYFUNCTION("GOOGLETRANSLATE(H2062,""th"",""en"")"),"Total Amount of Best Deal Product")</f>
        <v>Total Amount of Best Deal Product</v>
      </c>
    </row>
    <row r="2063" spans="1:11" ht="15.75" hidden="1" customHeight="1">
      <c r="A2063" s="133" t="s">
        <v>7</v>
      </c>
      <c r="B2063" s="133" t="s">
        <v>440</v>
      </c>
      <c r="C2063" s="133" t="s">
        <v>2567</v>
      </c>
      <c r="D2063" s="133" t="s">
        <v>491</v>
      </c>
      <c r="E2063" s="158">
        <v>1</v>
      </c>
      <c r="F2063" s="158">
        <v>0</v>
      </c>
      <c r="G2063" s="158">
        <v>0</v>
      </c>
      <c r="H2063" s="133" t="s">
        <v>2673</v>
      </c>
      <c r="I2063" s="133" t="s">
        <v>479</v>
      </c>
      <c r="J2063" s="158">
        <v>1</v>
      </c>
      <c r="K2063" s="159" t="str">
        <f ca="1">IFERROR(__xludf.DUMMYFUNCTION("GOOGLETRANSLATE(H2063,""th"",""en"")"),"Skip Invoice Flag (for CN Rebate)")</f>
        <v>Skip Invoice Flag (for CN Rebate)</v>
      </c>
    </row>
    <row r="2064" spans="1:11" ht="15.75" hidden="1" customHeight="1">
      <c r="A2064" s="133" t="s">
        <v>7</v>
      </c>
      <c r="B2064" s="133" t="s">
        <v>440</v>
      </c>
      <c r="C2064" s="133" t="s">
        <v>2674</v>
      </c>
      <c r="D2064" s="133" t="s">
        <v>491</v>
      </c>
      <c r="E2064" s="158">
        <v>1</v>
      </c>
      <c r="F2064" s="158">
        <v>0</v>
      </c>
      <c r="G2064" s="158">
        <v>0</v>
      </c>
      <c r="H2064" s="133" t="s">
        <v>2675</v>
      </c>
      <c r="I2064" s="133" t="s">
        <v>725</v>
      </c>
      <c r="J2064" s="158">
        <v>1</v>
      </c>
      <c r="K2064" s="159" t="str">
        <f ca="1">IFERROR(__xludf.DUMMYFUNCTION("GOOGLETRANSLATE(H2064,""th"",""en"")"),"Generate Bill Flag (Y: YES, N: NO)")</f>
        <v>Generate Bill Flag (Y: YES, N: NO)</v>
      </c>
    </row>
    <row r="2065" spans="1:11" ht="15.75" hidden="1" customHeight="1">
      <c r="A2065" s="133" t="s">
        <v>7</v>
      </c>
      <c r="B2065" s="133" t="s">
        <v>440</v>
      </c>
      <c r="C2065" s="133" t="s">
        <v>665</v>
      </c>
      <c r="D2065" s="133" t="s">
        <v>481</v>
      </c>
      <c r="E2065" s="158">
        <v>9</v>
      </c>
      <c r="F2065" s="158">
        <v>19</v>
      </c>
      <c r="G2065" s="158">
        <v>2</v>
      </c>
      <c r="H2065" s="133" t="s">
        <v>2676</v>
      </c>
      <c r="I2065" s="133" t="s">
        <v>479</v>
      </c>
      <c r="J2065" s="158">
        <v>1</v>
      </c>
      <c r="K2065" s="159" t="str">
        <f ca="1">IFERROR(__xludf.DUMMYFUNCTION("GOOGLETRANSLATE(H2065,""th"",""en"")"),"Setted Amount")</f>
        <v>Setted Amount</v>
      </c>
    </row>
    <row r="2066" spans="1:11" ht="15.75" hidden="1" customHeight="1">
      <c r="A2066" s="133" t="s">
        <v>7</v>
      </c>
      <c r="B2066" s="133" t="s">
        <v>440</v>
      </c>
      <c r="C2066" s="133" t="s">
        <v>2677</v>
      </c>
      <c r="D2066" s="133" t="s">
        <v>491</v>
      </c>
      <c r="E2066" s="158">
        <v>1</v>
      </c>
      <c r="F2066" s="158">
        <v>0</v>
      </c>
      <c r="G2066" s="158">
        <v>0</v>
      </c>
      <c r="H2066" s="133" t="s">
        <v>2678</v>
      </c>
      <c r="I2066" s="133" t="s">
        <v>725</v>
      </c>
      <c r="J2066" s="158">
        <v>1</v>
      </c>
      <c r="K2066" s="159" t="str">
        <f ca="1">IFERROR(__xludf.DUMMYFUNCTION("GOOGLETRANSLATE(H2066,""th"",""en"")"),"Confirm Invoice Status (y = yes, n = no) (for the accounting department in receiving documents)")</f>
        <v>Confirm Invoice Status (y = yes, n = no) (for the accounting department in receiving documents)</v>
      </c>
    </row>
    <row r="2067" spans="1:11" ht="15.75" hidden="1" customHeight="1">
      <c r="A2067" s="133" t="s">
        <v>7</v>
      </c>
      <c r="B2067" s="133" t="s">
        <v>440</v>
      </c>
      <c r="C2067" s="133" t="s">
        <v>2679</v>
      </c>
      <c r="D2067" s="133" t="s">
        <v>491</v>
      </c>
      <c r="E2067" s="158">
        <v>1</v>
      </c>
      <c r="F2067" s="158">
        <v>0</v>
      </c>
      <c r="G2067" s="158">
        <v>0</v>
      </c>
      <c r="H2067" s="133" t="s">
        <v>2680</v>
      </c>
      <c r="I2067" s="133" t="s">
        <v>725</v>
      </c>
      <c r="J2067" s="158">
        <v>1</v>
      </c>
      <c r="K2067" s="159" t="str">
        <f ca="1">IFERROR(__xludf.DUMMYFUNCTION("GOOGLETRANSLATE(H2067,""th"",""en"")"),"Keep the Flag Sale Invoice document that has been settle yet (Y / N).")</f>
        <v>Keep the Flag Sale Invoice document that has been settle yet (Y / N).</v>
      </c>
    </row>
    <row r="2068" spans="1:11" ht="15.75" hidden="1" customHeight="1">
      <c r="A2068" s="133" t="s">
        <v>7</v>
      </c>
      <c r="B2068" s="133" t="s">
        <v>440</v>
      </c>
      <c r="C2068" s="133" t="s">
        <v>2681</v>
      </c>
      <c r="D2068" s="133" t="s">
        <v>491</v>
      </c>
      <c r="E2068" s="158">
        <v>1</v>
      </c>
      <c r="F2068" s="158">
        <v>0</v>
      </c>
      <c r="G2068" s="158">
        <v>0</v>
      </c>
      <c r="H2068" s="133" t="s">
        <v>2682</v>
      </c>
      <c r="I2068" s="133" t="s">
        <v>725</v>
      </c>
      <c r="J2068" s="158">
        <v>0</v>
      </c>
      <c r="K2068" s="159" t="str">
        <f ca="1">IFERROR(__xludf.DUMMYFUNCTION("GOOGLETRANSLATE(H2068,""th"",""en"")"),"Invoice cancellation status (y = cancel Invoice, N = does not cancel Invoice)")</f>
        <v>Invoice cancellation status (y = cancel Invoice, N = does not cancel Invoice)</v>
      </c>
    </row>
    <row r="2069" spans="1:11" ht="15.75" hidden="1" customHeight="1">
      <c r="A2069" s="133" t="s">
        <v>7</v>
      </c>
      <c r="B2069" s="133" t="s">
        <v>440</v>
      </c>
      <c r="C2069" s="133" t="s">
        <v>2683</v>
      </c>
      <c r="D2069" s="133" t="s">
        <v>477</v>
      </c>
      <c r="E2069" s="158">
        <v>12</v>
      </c>
      <c r="F2069" s="158">
        <v>0</v>
      </c>
      <c r="G2069" s="158">
        <v>0</v>
      </c>
      <c r="H2069" s="133" t="s">
        <v>2684</v>
      </c>
      <c r="I2069" s="133" t="s">
        <v>548</v>
      </c>
      <c r="J2069" s="158">
        <v>0</v>
      </c>
      <c r="K2069" s="159" t="str">
        <f ca="1">IFERROR(__xludf.DUMMYFUNCTION("GOOGLETRANSLATE(H2069,""th"",""en"")"),"Keep the INVOICE CJ / SJ with the invoice.")</f>
        <v>Keep the INVOICE CJ / SJ with the invoice.</v>
      </c>
    </row>
    <row r="2070" spans="1:11" ht="15.75" hidden="1" customHeight="1">
      <c r="A2070" s="133" t="s">
        <v>7</v>
      </c>
      <c r="B2070" s="133" t="s">
        <v>440</v>
      </c>
      <c r="C2070" s="133" t="s">
        <v>2685</v>
      </c>
      <c r="D2070" s="133" t="s">
        <v>477</v>
      </c>
      <c r="E2070" s="158">
        <v>20</v>
      </c>
      <c r="F2070" s="158">
        <v>0</v>
      </c>
      <c r="G2070" s="158">
        <v>0</v>
      </c>
      <c r="H2070" s="133" t="s">
        <v>479</v>
      </c>
      <c r="I2070" s="133" t="s">
        <v>548</v>
      </c>
      <c r="J2070" s="158">
        <v>1</v>
      </c>
      <c r="K2070" s="159" t="str">
        <f ca="1">IFERROR(__xludf.DUMMYFUNCTION("GOOGLETRANSLATE(H2070,""th"",""en"")"),"Null")</f>
        <v>Null</v>
      </c>
    </row>
    <row r="2071" spans="1:11" ht="15.75" hidden="1" customHeight="1">
      <c r="A2071" s="133" t="s">
        <v>7</v>
      </c>
      <c r="B2071" s="133" t="s">
        <v>440</v>
      </c>
      <c r="C2071" s="133" t="s">
        <v>2569</v>
      </c>
      <c r="D2071" s="133" t="s">
        <v>477</v>
      </c>
      <c r="E2071" s="158">
        <v>20</v>
      </c>
      <c r="F2071" s="158">
        <v>0</v>
      </c>
      <c r="G2071" s="158">
        <v>0</v>
      </c>
      <c r="H2071" s="133" t="s">
        <v>2570</v>
      </c>
      <c r="I2071" s="133" t="s">
        <v>548</v>
      </c>
      <c r="J2071" s="158">
        <v>0</v>
      </c>
      <c r="K2071" s="159" t="str">
        <f ca="1">IFERROR(__xludf.DUMMYFUNCTION("GOOGLETRANSLATE(H2071,""th"",""en"")"),"Trendy Order Flag (Y / N)")</f>
        <v>Trendy Order Flag (Y / N)</v>
      </c>
    </row>
    <row r="2072" spans="1:11" ht="15.75" hidden="1" customHeight="1">
      <c r="A2072" s="133" t="s">
        <v>7</v>
      </c>
      <c r="B2072" s="133" t="s">
        <v>440</v>
      </c>
      <c r="C2072" s="133" t="s">
        <v>1265</v>
      </c>
      <c r="D2072" s="133" t="s">
        <v>481</v>
      </c>
      <c r="E2072" s="158">
        <v>5</v>
      </c>
      <c r="F2072" s="158">
        <v>9</v>
      </c>
      <c r="G2072" s="158">
        <v>2</v>
      </c>
      <c r="H2072" s="133" t="s">
        <v>2573</v>
      </c>
      <c r="I2072" s="133" t="s">
        <v>615</v>
      </c>
      <c r="J2072" s="158">
        <v>0</v>
      </c>
      <c r="K2072" s="159" t="str">
        <f ca="1">IFERROR(__xludf.DUMMYFUNCTION("GOOGLETRANSLATE(H2072,""th"",""en"")"),"Net Amount of Vat Product")</f>
        <v>Net Amount of Vat Product</v>
      </c>
    </row>
    <row r="2073" spans="1:11" ht="15.75" hidden="1" customHeight="1">
      <c r="A2073" s="133" t="s">
        <v>7</v>
      </c>
      <c r="B2073" s="133" t="s">
        <v>440</v>
      </c>
      <c r="C2073" s="133" t="s">
        <v>1267</v>
      </c>
      <c r="D2073" s="133" t="s">
        <v>481</v>
      </c>
      <c r="E2073" s="158">
        <v>5</v>
      </c>
      <c r="F2073" s="158">
        <v>9</v>
      </c>
      <c r="G2073" s="158">
        <v>2</v>
      </c>
      <c r="H2073" s="133" t="s">
        <v>2574</v>
      </c>
      <c r="I2073" s="133" t="s">
        <v>615</v>
      </c>
      <c r="J2073" s="158">
        <v>0</v>
      </c>
      <c r="K2073" s="159" t="str">
        <f ca="1">IFERROR(__xludf.DUMMYFUNCTION("GOOGLETRANSLATE(H2073,""th"",""en"")"),"Net Amount of Non Vat Product")</f>
        <v>Net Amount of Non Vat Product</v>
      </c>
    </row>
    <row r="2074" spans="1:11" ht="15.75" hidden="1" customHeight="1">
      <c r="A2074" s="133" t="s">
        <v>7</v>
      </c>
      <c r="B2074" s="133" t="s">
        <v>440</v>
      </c>
      <c r="C2074" s="133" t="s">
        <v>2442</v>
      </c>
      <c r="D2074" s="133" t="s">
        <v>481</v>
      </c>
      <c r="E2074" s="158">
        <v>5</v>
      </c>
      <c r="F2074" s="158">
        <v>9</v>
      </c>
      <c r="G2074" s="158">
        <v>2</v>
      </c>
      <c r="H2074" s="133" t="s">
        <v>2443</v>
      </c>
      <c r="I2074" s="133" t="s">
        <v>615</v>
      </c>
      <c r="J2074" s="158">
        <v>0</v>
      </c>
      <c r="K2074" s="159" t="str">
        <f ca="1">IFERROR(__xludf.DUMMYFUNCTION("GOOGLETRANSLATE(H2074,""th"",""en"")"),"Deliver Fee (Item)")</f>
        <v>Deliver Fee (Item)</v>
      </c>
    </row>
    <row r="2075" spans="1:11" ht="15.75" hidden="1" customHeight="1">
      <c r="A2075" s="133" t="s">
        <v>7</v>
      </c>
      <c r="B2075" s="133" t="s">
        <v>440</v>
      </c>
      <c r="C2075" s="133" t="s">
        <v>2575</v>
      </c>
      <c r="D2075" s="133" t="s">
        <v>481</v>
      </c>
      <c r="E2075" s="158">
        <v>5</v>
      </c>
      <c r="F2075" s="158">
        <v>9</v>
      </c>
      <c r="G2075" s="158">
        <v>2</v>
      </c>
      <c r="H2075" s="133" t="s">
        <v>2576</v>
      </c>
      <c r="I2075" s="133" t="s">
        <v>615</v>
      </c>
      <c r="J2075" s="158">
        <v>0</v>
      </c>
      <c r="K2075" s="159" t="str">
        <f ca="1">IFERROR(__xludf.DUMMYFUNCTION("GOOGLETRANSLATE(H2075,""th"",""en"")"),"Deliver Fee (Order)")</f>
        <v>Deliver Fee (Order)</v>
      </c>
    </row>
    <row r="2076" spans="1:11" ht="15.75" hidden="1" customHeight="1">
      <c r="A2076" s="133" t="s">
        <v>7</v>
      </c>
      <c r="B2076" s="133" t="s">
        <v>440</v>
      </c>
      <c r="C2076" s="133" t="s">
        <v>592</v>
      </c>
      <c r="D2076" s="133" t="s">
        <v>477</v>
      </c>
      <c r="E2076" s="158">
        <v>6</v>
      </c>
      <c r="F2076" s="158">
        <v>0</v>
      </c>
      <c r="G2076" s="158">
        <v>0</v>
      </c>
      <c r="H2076" s="133" t="s">
        <v>479</v>
      </c>
      <c r="I2076" s="133" t="s">
        <v>479</v>
      </c>
      <c r="J2076" s="158">
        <v>1</v>
      </c>
      <c r="K2076" s="159" t="str">
        <f ca="1">IFERROR(__xludf.DUMMYFUNCTION("GOOGLETRANSLATE(H2076,""th"",""en"")"),"Null")</f>
        <v>Null</v>
      </c>
    </row>
    <row r="2077" spans="1:11" ht="15.75" hidden="1" customHeight="1">
      <c r="A2077" s="133" t="s">
        <v>7</v>
      </c>
      <c r="B2077" s="133" t="s">
        <v>440</v>
      </c>
      <c r="C2077" s="133" t="s">
        <v>712</v>
      </c>
      <c r="D2077" s="133" t="s">
        <v>477</v>
      </c>
      <c r="E2077" s="158">
        <v>30</v>
      </c>
      <c r="F2077" s="158">
        <v>0</v>
      </c>
      <c r="G2077" s="158">
        <v>0</v>
      </c>
      <c r="H2077" s="133" t="s">
        <v>479</v>
      </c>
      <c r="I2077" s="133" t="s">
        <v>548</v>
      </c>
      <c r="J2077" s="158">
        <v>0</v>
      </c>
      <c r="K2077" s="159" t="str">
        <f ca="1">IFERROR(__xludf.DUMMYFUNCTION("GOOGLETRANSLATE(H2077,""th"",""en"")"),"Null")</f>
        <v>Null</v>
      </c>
    </row>
    <row r="2078" spans="1:11" ht="15.75" hidden="1" customHeight="1">
      <c r="A2078" s="133" t="s">
        <v>7</v>
      </c>
      <c r="B2078" s="133" t="s">
        <v>440</v>
      </c>
      <c r="C2078" s="133" t="s">
        <v>1741</v>
      </c>
      <c r="D2078" s="133" t="s">
        <v>477</v>
      </c>
      <c r="E2078" s="158">
        <v>50</v>
      </c>
      <c r="F2078" s="158">
        <v>0</v>
      </c>
      <c r="G2078" s="158">
        <v>0</v>
      </c>
      <c r="H2078" s="133" t="s">
        <v>479</v>
      </c>
      <c r="I2078" s="133" t="s">
        <v>548</v>
      </c>
      <c r="J2078" s="158">
        <v>0</v>
      </c>
      <c r="K2078" s="159" t="str">
        <f ca="1">IFERROR(__xludf.DUMMYFUNCTION("GOOGLETRANSLATE(H2078,""th"",""en"")"),"Null")</f>
        <v>Null</v>
      </c>
    </row>
    <row r="2079" spans="1:11" ht="15.75" hidden="1" customHeight="1">
      <c r="A2079" s="133" t="s">
        <v>7</v>
      </c>
      <c r="B2079" s="133" t="s">
        <v>440</v>
      </c>
      <c r="C2079" s="133" t="s">
        <v>2686</v>
      </c>
      <c r="D2079" s="133" t="s">
        <v>477</v>
      </c>
      <c r="E2079" s="158">
        <v>3</v>
      </c>
      <c r="F2079" s="158">
        <v>0</v>
      </c>
      <c r="G2079" s="158">
        <v>0</v>
      </c>
      <c r="H2079" s="133" t="s">
        <v>2687</v>
      </c>
      <c r="I2079" s="133" t="s">
        <v>596</v>
      </c>
      <c r="J2079" s="158">
        <v>0</v>
      </c>
      <c r="K2079" s="159" t="str">
        <f ca="1">IFERROR(__xludf.DUMMYFUNCTION("GOOGLETRANSLATE(H2079,""th"",""en"")"),"Keep it that has been created to create a CM job. (NO = Not yet created Job CM, YES = Create CM Jobs)")</f>
        <v>Keep it that has been created to create a CM job. (NO = Not yet created Job CM, YES = Create CM Jobs)</v>
      </c>
    </row>
    <row r="2080" spans="1:11" ht="15.75" hidden="1" customHeight="1">
      <c r="A2080" s="133" t="s">
        <v>7</v>
      </c>
      <c r="B2080" s="133" t="s">
        <v>440</v>
      </c>
      <c r="C2080" s="133" t="s">
        <v>2688</v>
      </c>
      <c r="D2080" s="133" t="s">
        <v>484</v>
      </c>
      <c r="E2080" s="158">
        <v>4</v>
      </c>
      <c r="F2080" s="158">
        <v>10</v>
      </c>
      <c r="G2080" s="158">
        <v>0</v>
      </c>
      <c r="H2080" s="133" t="s">
        <v>479</v>
      </c>
      <c r="I2080" s="133" t="s">
        <v>615</v>
      </c>
      <c r="J2080" s="158">
        <v>0</v>
      </c>
      <c r="K2080" s="159" t="str">
        <f ca="1">IFERROR(__xludf.DUMMYFUNCTION("GOOGLETRANSLATE(H2080,""th"",""en"")"),"Null")</f>
        <v>Null</v>
      </c>
    </row>
    <row r="2081" spans="1:11" ht="15.75" hidden="1" customHeight="1">
      <c r="A2081" s="133" t="s">
        <v>7</v>
      </c>
      <c r="B2081" s="133" t="s">
        <v>440</v>
      </c>
      <c r="C2081" s="133" t="s">
        <v>2689</v>
      </c>
      <c r="D2081" s="133" t="s">
        <v>496</v>
      </c>
      <c r="E2081" s="158">
        <v>4</v>
      </c>
      <c r="F2081" s="158">
        <v>16</v>
      </c>
      <c r="G2081" s="158">
        <v>0</v>
      </c>
      <c r="H2081" s="133" t="s">
        <v>479</v>
      </c>
      <c r="I2081" s="133" t="s">
        <v>1363</v>
      </c>
      <c r="J2081" s="158">
        <v>0</v>
      </c>
      <c r="K2081" s="159" t="str">
        <f ca="1">IFERROR(__xludf.DUMMYFUNCTION("GOOGLETRANSLATE(H2081,""th"",""en"")"),"Null")</f>
        <v>Null</v>
      </c>
    </row>
    <row r="2082" spans="1:11" ht="15.75" hidden="1" customHeight="1">
      <c r="A2082" s="133" t="s">
        <v>7</v>
      </c>
      <c r="B2082" s="133" t="s">
        <v>440</v>
      </c>
      <c r="C2082" s="133" t="s">
        <v>594</v>
      </c>
      <c r="D2082" s="133" t="s">
        <v>477</v>
      </c>
      <c r="E2082" s="158">
        <v>4</v>
      </c>
      <c r="F2082" s="158">
        <v>0</v>
      </c>
      <c r="G2082" s="158">
        <v>0</v>
      </c>
      <c r="H2082" s="133" t="s">
        <v>479</v>
      </c>
      <c r="I2082" s="133" t="s">
        <v>548</v>
      </c>
      <c r="J2082" s="158">
        <v>0</v>
      </c>
      <c r="K2082" s="159" t="str">
        <f ca="1">IFERROR(__xludf.DUMMYFUNCTION("GOOGLETRANSLATE(H2082,""th"",""en"")"),"Null")</f>
        <v>Null</v>
      </c>
    </row>
    <row r="2083" spans="1:11" ht="15.75" hidden="1" customHeight="1">
      <c r="A2083" s="133" t="s">
        <v>7</v>
      </c>
      <c r="B2083" s="133" t="s">
        <v>440</v>
      </c>
      <c r="C2083" s="133" t="s">
        <v>2584</v>
      </c>
      <c r="D2083" s="133" t="s">
        <v>481</v>
      </c>
      <c r="E2083" s="158">
        <v>5</v>
      </c>
      <c r="F2083" s="158">
        <v>9</v>
      </c>
      <c r="G2083" s="158">
        <v>2</v>
      </c>
      <c r="H2083" s="133" t="s">
        <v>2585</v>
      </c>
      <c r="I2083" s="133" t="s">
        <v>615</v>
      </c>
      <c r="J2083" s="158">
        <v>0</v>
      </c>
      <c r="K2083" s="159" t="str">
        <f ca="1">IFERROR(__xludf.DUMMYFUNCTION("GOOGLETRANSLATE(H2083,""th"",""en"")"),"Top products including VAT")</f>
        <v>Top products including VAT</v>
      </c>
    </row>
    <row r="2084" spans="1:11" ht="15.75" hidden="1" customHeight="1">
      <c r="A2084" s="133" t="s">
        <v>7</v>
      </c>
      <c r="B2084" s="133" t="s">
        <v>440</v>
      </c>
      <c r="C2084" s="133" t="s">
        <v>2586</v>
      </c>
      <c r="D2084" s="133" t="s">
        <v>481</v>
      </c>
      <c r="E2084" s="158">
        <v>5</v>
      </c>
      <c r="F2084" s="158">
        <v>9</v>
      </c>
      <c r="G2084" s="158">
        <v>2</v>
      </c>
      <c r="H2084" s="133" t="s">
        <v>2587</v>
      </c>
      <c r="I2084" s="133" t="s">
        <v>615</v>
      </c>
      <c r="J2084" s="158">
        <v>0</v>
      </c>
      <c r="K2084" s="159" t="str">
        <f ca="1">IFERROR(__xludf.DUMMYFUNCTION("GOOGLETRANSLATE(H2084,""th"",""en"")"),"Product not including VAT")</f>
        <v>Product not including VAT</v>
      </c>
    </row>
    <row r="2085" spans="1:11" ht="15.75" hidden="1" customHeight="1">
      <c r="A2085" s="133" t="s">
        <v>7</v>
      </c>
      <c r="B2085" s="133" t="s">
        <v>440</v>
      </c>
      <c r="C2085" s="133" t="s">
        <v>228</v>
      </c>
      <c r="D2085" s="133" t="s">
        <v>477</v>
      </c>
      <c r="E2085" s="158">
        <v>20</v>
      </c>
      <c r="F2085" s="158">
        <v>0</v>
      </c>
      <c r="G2085" s="158">
        <v>0</v>
      </c>
      <c r="H2085" s="133" t="s">
        <v>1565</v>
      </c>
      <c r="I2085" s="133" t="s">
        <v>548</v>
      </c>
      <c r="J2085" s="158">
        <v>0</v>
      </c>
      <c r="K2085" s="159" t="str">
        <f ca="1">IFERROR(__xludf.DUMMYFUNCTION("GOOGLETRANSLATE(H2085,""th"",""en"")"),"Voucher number")</f>
        <v>Voucher number</v>
      </c>
    </row>
    <row r="2086" spans="1:11" ht="15.75" hidden="1" customHeight="1">
      <c r="A2086" s="133" t="s">
        <v>7</v>
      </c>
      <c r="B2086" s="133" t="s">
        <v>440</v>
      </c>
      <c r="C2086" s="133" t="s">
        <v>2588</v>
      </c>
      <c r="D2086" s="133" t="s">
        <v>481</v>
      </c>
      <c r="E2086" s="158">
        <v>5</v>
      </c>
      <c r="F2086" s="158">
        <v>9</v>
      </c>
      <c r="G2086" s="158">
        <v>2</v>
      </c>
      <c r="H2086" s="133" t="s">
        <v>2589</v>
      </c>
      <c r="I2086" s="133" t="s">
        <v>615</v>
      </c>
      <c r="J2086" s="158">
        <v>0</v>
      </c>
      <c r="K2086" s="159" t="str">
        <f ca="1">IFERROR(__xludf.DUMMYFUNCTION("GOOGLETRANSLATE(H2086,""th"",""en"")"),"Voucher's balance")</f>
        <v>Voucher's balance</v>
      </c>
    </row>
    <row r="2087" spans="1:11" ht="15.75" hidden="1" customHeight="1">
      <c r="A2087" s="133" t="s">
        <v>7</v>
      </c>
      <c r="B2087" s="133" t="s">
        <v>440</v>
      </c>
      <c r="C2087" s="133" t="s">
        <v>2590</v>
      </c>
      <c r="D2087" s="133" t="s">
        <v>481</v>
      </c>
      <c r="E2087" s="158">
        <v>5</v>
      </c>
      <c r="F2087" s="158">
        <v>5</v>
      </c>
      <c r="G2087" s="158">
        <v>2</v>
      </c>
      <c r="H2087" s="133" t="s">
        <v>2591</v>
      </c>
      <c r="I2087" s="133" t="s">
        <v>615</v>
      </c>
      <c r="J2087" s="158">
        <v>0</v>
      </c>
      <c r="K2087" s="159" t="str">
        <f ca="1">IFERROR(__xludf.DUMMYFUNCTION("GOOGLETRANSLATE(H2087,""th"",""en"")"),"Collect the percentage of voucher")</f>
        <v>Collect the percentage of voucher</v>
      </c>
    </row>
    <row r="2088" spans="1:11" ht="15.75" hidden="1" customHeight="1">
      <c r="A2088" s="133" t="s">
        <v>7</v>
      </c>
      <c r="B2088" s="133" t="s">
        <v>440</v>
      </c>
      <c r="C2088" s="133" t="s">
        <v>2592</v>
      </c>
      <c r="D2088" s="133" t="s">
        <v>481</v>
      </c>
      <c r="E2088" s="158">
        <v>5</v>
      </c>
      <c r="F2088" s="158">
        <v>9</v>
      </c>
      <c r="G2088" s="158">
        <v>2</v>
      </c>
      <c r="H2088" s="133" t="s">
        <v>2593</v>
      </c>
      <c r="I2088" s="133" t="s">
        <v>615</v>
      </c>
      <c r="J2088" s="158">
        <v>0</v>
      </c>
      <c r="K2088" s="159" t="str">
        <f ca="1">IFERROR(__xludf.DUMMYFUNCTION("GOOGLETRANSLATE(H2088,""th"",""en"")"),"All products include VAT")</f>
        <v>All products include VAT</v>
      </c>
    </row>
    <row r="2089" spans="1:11" ht="15.75" hidden="1" customHeight="1">
      <c r="A2089" s="133" t="s">
        <v>7</v>
      </c>
      <c r="B2089" s="133" t="s">
        <v>440</v>
      </c>
      <c r="C2089" s="133" t="s">
        <v>2452</v>
      </c>
      <c r="D2089" s="133" t="s">
        <v>481</v>
      </c>
      <c r="E2089" s="158">
        <v>5</v>
      </c>
      <c r="F2089" s="158">
        <v>9</v>
      </c>
      <c r="G2089" s="158">
        <v>2</v>
      </c>
      <c r="H2089" s="133" t="s">
        <v>2594</v>
      </c>
      <c r="I2089" s="133" t="s">
        <v>615</v>
      </c>
      <c r="J2089" s="158">
        <v>0</v>
      </c>
      <c r="K2089" s="159" t="str">
        <f ca="1">IFERROR(__xludf.DUMMYFUNCTION("GOOGLETRANSLATE(H2089,""th"",""en"")"),"Discounts from Incvat")</f>
        <v>Discounts from Incvat</v>
      </c>
    </row>
    <row r="2090" spans="1:11" ht="15.75" hidden="1" customHeight="1">
      <c r="A2090" s="133" t="s">
        <v>7</v>
      </c>
      <c r="B2090" s="133" t="s">
        <v>440</v>
      </c>
      <c r="C2090" s="133" t="s">
        <v>2595</v>
      </c>
      <c r="D2090" s="133" t="s">
        <v>477</v>
      </c>
      <c r="E2090" s="158">
        <v>20</v>
      </c>
      <c r="F2090" s="158">
        <v>0</v>
      </c>
      <c r="G2090" s="158">
        <v>0</v>
      </c>
      <c r="H2090" s="133" t="s">
        <v>2690</v>
      </c>
      <c r="I2090" s="133" t="s">
        <v>2596</v>
      </c>
      <c r="J2090" s="158">
        <v>0</v>
      </c>
      <c r="K2090" s="159" t="str">
        <f ca="1">IFERROR(__xludf.DUMMYFUNCTION("GOOGLETRANSLATE(H2090,""th"",""en"")"),"Order's origin (OSYS OFM = Open from OSYS that is an Officemate product, OASYS CCC = Open from OASYS that is the product of CCC, CCC = download from CCC, B2B = download from E-PRO, B2C = download From the OFFICEMATE)")</f>
        <v>Order's origin (OSYS OFM = Open from OSYS that is an Officemate product, OASYS CCC = Open from OASYS that is the product of CCC, CCC = download from CCC, B2B = download from E-PRO, B2C = download From the OFFICEMATE)</v>
      </c>
    </row>
    <row r="2091" spans="1:11" ht="15.75" hidden="1" customHeight="1">
      <c r="A2091" s="133" t="s">
        <v>7</v>
      </c>
      <c r="B2091" s="133" t="s">
        <v>440</v>
      </c>
      <c r="C2091" s="133" t="s">
        <v>2597</v>
      </c>
      <c r="D2091" s="133" t="s">
        <v>477</v>
      </c>
      <c r="E2091" s="158">
        <v>16</v>
      </c>
      <c r="F2091" s="158">
        <v>0</v>
      </c>
      <c r="G2091" s="158">
        <v>0</v>
      </c>
      <c r="H2091" s="133" t="s">
        <v>2691</v>
      </c>
      <c r="I2091" s="133" t="s">
        <v>548</v>
      </c>
      <c r="J2091" s="158">
        <v>0</v>
      </c>
      <c r="K2091" s="159" t="str">
        <f ca="1">IFERROR(__xludf.DUMMYFUNCTION("GOOGLETRANSLATE(H2091,""th"",""en"")"),"The1card card number")</f>
        <v>The1card card number</v>
      </c>
    </row>
    <row r="2092" spans="1:11" ht="15.75" hidden="1" customHeight="1">
      <c r="A2092" s="133" t="s">
        <v>7</v>
      </c>
      <c r="B2092" s="133" t="s">
        <v>440</v>
      </c>
      <c r="C2092" s="133" t="s">
        <v>2692</v>
      </c>
      <c r="D2092" s="133" t="s">
        <v>477</v>
      </c>
      <c r="E2092" s="158">
        <v>300</v>
      </c>
      <c r="F2092" s="158">
        <v>0</v>
      </c>
      <c r="G2092" s="158">
        <v>0</v>
      </c>
      <c r="H2092" s="133" t="s">
        <v>2693</v>
      </c>
      <c r="I2092" s="133" t="s">
        <v>548</v>
      </c>
      <c r="J2092" s="158">
        <v>0</v>
      </c>
      <c r="K2092" s="159" t="str">
        <f ca="1">IFERROR(__xludf.DUMMYFUNCTION("GOOGLETRANSLATE(H2092,""th"",""en"")"),"Messages attached to gifts")</f>
        <v>Messages attached to gifts</v>
      </c>
    </row>
    <row r="2093" spans="1:11" ht="15.75" hidden="1" customHeight="1">
      <c r="A2093" s="133" t="s">
        <v>7</v>
      </c>
      <c r="B2093" s="133" t="s">
        <v>440</v>
      </c>
      <c r="C2093" s="133" t="s">
        <v>2694</v>
      </c>
      <c r="D2093" s="133" t="s">
        <v>477</v>
      </c>
      <c r="E2093" s="158">
        <v>2000</v>
      </c>
      <c r="F2093" s="158">
        <v>0</v>
      </c>
      <c r="G2093" s="158">
        <v>0</v>
      </c>
      <c r="H2093" s="133" t="s">
        <v>2156</v>
      </c>
      <c r="I2093" s="133" t="s">
        <v>548</v>
      </c>
      <c r="J2093" s="158">
        <v>0</v>
      </c>
      <c r="K2093" s="159" t="str">
        <f ca="1">IFERROR(__xludf.DUMMYFUNCTION("GOOGLETRANSLATE(H2093,""th"",""en"")"),"Promotion details")</f>
        <v>Promotion details</v>
      </c>
    </row>
    <row r="2094" spans="1:11" ht="15.75" hidden="1" customHeight="1">
      <c r="A2094" s="133" t="s">
        <v>7</v>
      </c>
      <c r="B2094" s="133" t="s">
        <v>440</v>
      </c>
      <c r="C2094" s="133" t="s">
        <v>2695</v>
      </c>
      <c r="D2094" s="133" t="s">
        <v>477</v>
      </c>
      <c r="E2094" s="158">
        <v>2000</v>
      </c>
      <c r="F2094" s="158">
        <v>0</v>
      </c>
      <c r="G2094" s="158">
        <v>0</v>
      </c>
      <c r="H2094" s="133" t="s">
        <v>2696</v>
      </c>
      <c r="I2094" s="133" t="s">
        <v>548</v>
      </c>
      <c r="J2094" s="158">
        <v>0</v>
      </c>
      <c r="K2094" s="159" t="str">
        <f ca="1">IFERROR(__xludf.DUMMYFUNCTION("GOOGLETRANSLATE(H2094,""th"",""en"")"),"Group Voucher code")</f>
        <v>Group Voucher code</v>
      </c>
    </row>
    <row r="2095" spans="1:11" ht="15.75" hidden="1" customHeight="1">
      <c r="A2095" s="133" t="s">
        <v>7</v>
      </c>
      <c r="B2095" s="133" t="s">
        <v>440</v>
      </c>
      <c r="C2095" s="133" t="s">
        <v>2697</v>
      </c>
      <c r="D2095" s="133" t="s">
        <v>481</v>
      </c>
      <c r="E2095" s="158">
        <v>5</v>
      </c>
      <c r="F2095" s="158">
        <v>9</v>
      </c>
      <c r="G2095" s="158">
        <v>2</v>
      </c>
      <c r="H2095" s="133" t="s">
        <v>2698</v>
      </c>
      <c r="I2095" s="133" t="s">
        <v>1223</v>
      </c>
      <c r="J2095" s="158">
        <v>0</v>
      </c>
      <c r="K2095" s="159" t="str">
        <f ca="1">IFERROR(__xludf.DUMMYFUNCTION("GOOGLETRANSLATE(H2095,""th"",""en"")"),"Discounts obtained from promotions (Discount byorder + Discounts from Central Creditcard)")</f>
        <v>Discounts obtained from promotions (Discount byorder + Discounts from Central Creditcard)</v>
      </c>
    </row>
    <row r="2096" spans="1:11" ht="15.75" hidden="1" customHeight="1">
      <c r="A2096" s="133" t="s">
        <v>7</v>
      </c>
      <c r="B2096" s="133" t="s">
        <v>440</v>
      </c>
      <c r="C2096" s="133" t="s">
        <v>2699</v>
      </c>
      <c r="D2096" s="133" t="s">
        <v>481</v>
      </c>
      <c r="E2096" s="158">
        <v>5</v>
      </c>
      <c r="F2096" s="158">
        <v>9</v>
      </c>
      <c r="G2096" s="158">
        <v>2</v>
      </c>
      <c r="H2096" s="133" t="s">
        <v>2700</v>
      </c>
      <c r="I2096" s="133" t="s">
        <v>1223</v>
      </c>
      <c r="J2096" s="158">
        <v>0</v>
      </c>
      <c r="K2096" s="159" t="str">
        <f ca="1">IFERROR(__xludf.DUMMYFUNCTION("GOOGLETRANSLATE(H2096,""th"",""en"")"),"Discounts obtained from promotions (Discount byorder + Discounts from Central Creditcard) Exvat")</f>
        <v>Discounts obtained from promotions (Discount byorder + Discounts from Central Creditcard) Exvat</v>
      </c>
    </row>
    <row r="2097" spans="1:11" ht="15.75" hidden="1" customHeight="1">
      <c r="A2097" s="133" t="s">
        <v>7</v>
      </c>
      <c r="B2097" s="133" t="s">
        <v>440</v>
      </c>
      <c r="C2097" s="133" t="s">
        <v>2701</v>
      </c>
      <c r="D2097" s="133" t="s">
        <v>481</v>
      </c>
      <c r="E2097" s="158">
        <v>5</v>
      </c>
      <c r="F2097" s="158">
        <v>9</v>
      </c>
      <c r="G2097" s="158">
        <v>2</v>
      </c>
      <c r="H2097" s="133" t="s">
        <v>2702</v>
      </c>
      <c r="I2097" s="133" t="s">
        <v>1223</v>
      </c>
      <c r="J2097" s="158">
        <v>0</v>
      </c>
      <c r="K2097" s="159" t="str">
        <f ca="1">IFERROR(__xludf.DUMMYFUNCTION("GOOGLETRANSLATE(H2097,""th"",""en"")"),"Discounts obtained from BYORDER Voucher")</f>
        <v>Discounts obtained from BYORDER Voucher</v>
      </c>
    </row>
    <row r="2098" spans="1:11" ht="15.75" hidden="1" customHeight="1">
      <c r="A2098" s="133" t="s">
        <v>7</v>
      </c>
      <c r="B2098" s="133" t="s">
        <v>440</v>
      </c>
      <c r="C2098" s="133" t="s">
        <v>2703</v>
      </c>
      <c r="D2098" s="133" t="s">
        <v>481</v>
      </c>
      <c r="E2098" s="158">
        <v>5</v>
      </c>
      <c r="F2098" s="158">
        <v>9</v>
      </c>
      <c r="G2098" s="158">
        <v>2</v>
      </c>
      <c r="H2098" s="133" t="s">
        <v>2704</v>
      </c>
      <c r="I2098" s="133" t="s">
        <v>1223</v>
      </c>
      <c r="J2098" s="158">
        <v>0</v>
      </c>
      <c r="K2098" s="159" t="str">
        <f ca="1">IFERROR(__xludf.DUMMYFUNCTION("GOOGLETRANSLATE(H2098,""th"",""en"")"),"Discounts obtained from the Byorder Exvat type voucher")</f>
        <v>Discounts obtained from the Byorder Exvat type voucher</v>
      </c>
    </row>
    <row r="2099" spans="1:11" ht="15.75" hidden="1" customHeight="1">
      <c r="A2099" s="133" t="s">
        <v>7</v>
      </c>
      <c r="B2099" s="133" t="s">
        <v>440</v>
      </c>
      <c r="C2099" s="133" t="s">
        <v>2705</v>
      </c>
      <c r="D2099" s="133" t="s">
        <v>481</v>
      </c>
      <c r="E2099" s="158">
        <v>5</v>
      </c>
      <c r="F2099" s="158">
        <v>9</v>
      </c>
      <c r="G2099" s="158">
        <v>2</v>
      </c>
      <c r="H2099" s="133" t="s">
        <v>2706</v>
      </c>
      <c r="I2099" s="133" t="s">
        <v>1223</v>
      </c>
      <c r="J2099" s="158">
        <v>0</v>
      </c>
      <c r="K2099" s="159" t="str">
        <f ca="1">IFERROR(__xludf.DUMMYFUNCTION("GOOGLETRANSLATE(H2099,""th"",""en"")"),"All discounts (discount byorder + byitem discounts) include taxes.")</f>
        <v>All discounts (discount byorder + byitem discounts) include taxes.</v>
      </c>
    </row>
    <row r="2100" spans="1:11" ht="15.75" hidden="1" customHeight="1">
      <c r="A2100" s="133" t="s">
        <v>7</v>
      </c>
      <c r="B2100" s="133" t="s">
        <v>440</v>
      </c>
      <c r="C2100" s="133" t="s">
        <v>2707</v>
      </c>
      <c r="D2100" s="133" t="s">
        <v>481</v>
      </c>
      <c r="E2100" s="158">
        <v>5</v>
      </c>
      <c r="F2100" s="158">
        <v>9</v>
      </c>
      <c r="G2100" s="158">
        <v>2</v>
      </c>
      <c r="H2100" s="133" t="s">
        <v>2708</v>
      </c>
      <c r="I2100" s="133" t="s">
        <v>1223</v>
      </c>
      <c r="J2100" s="158">
        <v>0</v>
      </c>
      <c r="K2100" s="159" t="str">
        <f ca="1">IFERROR(__xludf.DUMMYFUNCTION("GOOGLETRANSLATE(H2100,""th"",""en"")"),"Discount type cashvoucher in the amount of baht")</f>
        <v>Discount type cashvoucher in the amount of baht</v>
      </c>
    </row>
    <row r="2101" spans="1:11" ht="15.75" hidden="1" customHeight="1">
      <c r="A2101" s="133" t="s">
        <v>7</v>
      </c>
      <c r="B2101" s="133" t="s">
        <v>440</v>
      </c>
      <c r="C2101" s="133" t="s">
        <v>2709</v>
      </c>
      <c r="D2101" s="133" t="s">
        <v>477</v>
      </c>
      <c r="E2101" s="158">
        <v>40</v>
      </c>
      <c r="F2101" s="158">
        <v>0</v>
      </c>
      <c r="G2101" s="158">
        <v>0</v>
      </c>
      <c r="H2101" s="133" t="s">
        <v>2710</v>
      </c>
      <c r="I2101" s="133" t="s">
        <v>1223</v>
      </c>
      <c r="J2101" s="158">
        <v>0</v>
      </c>
      <c r="K2101" s="159" t="str">
        <f ca="1">IFERROR(__xludf.DUMMYFUNCTION("GOOGLETRANSLATE(H2101,""th"",""en"")"),"Voucher type")</f>
        <v>Voucher type</v>
      </c>
    </row>
    <row r="2102" spans="1:11" ht="15.75" hidden="1" customHeight="1">
      <c r="A2102" s="133" t="s">
        <v>7</v>
      </c>
      <c r="B2102" s="133" t="s">
        <v>440</v>
      </c>
      <c r="C2102" s="133" t="s">
        <v>2711</v>
      </c>
      <c r="D2102" s="133" t="s">
        <v>481</v>
      </c>
      <c r="E2102" s="158">
        <v>5</v>
      </c>
      <c r="F2102" s="158">
        <v>9</v>
      </c>
      <c r="G2102" s="158">
        <v>2</v>
      </c>
      <c r="H2102" s="133" t="s">
        <v>2712</v>
      </c>
      <c r="I2102" s="133" t="s">
        <v>1223</v>
      </c>
      <c r="J2102" s="158">
        <v>0</v>
      </c>
      <c r="K2102" s="159" t="str">
        <f ca="1">IFERROR(__xludf.DUMMYFUNCTION("GOOGLETRANSLATE(H2102,""th"",""en"")"),"For credit card payment (now is Central Credit Card)")</f>
        <v>For credit card payment (now is Central Credit Card)</v>
      </c>
    </row>
    <row r="2103" spans="1:11" ht="15.75" hidden="1" customHeight="1">
      <c r="A2103" s="133" t="s">
        <v>7</v>
      </c>
      <c r="B2103" s="133" t="s">
        <v>440</v>
      </c>
      <c r="C2103" s="133" t="s">
        <v>2713</v>
      </c>
      <c r="D2103" s="133" t="s">
        <v>481</v>
      </c>
      <c r="E2103" s="158">
        <v>5</v>
      </c>
      <c r="F2103" s="158">
        <v>9</v>
      </c>
      <c r="G2103" s="158">
        <v>2</v>
      </c>
      <c r="H2103" s="133" t="s">
        <v>2714</v>
      </c>
      <c r="I2103" s="133" t="s">
        <v>1223</v>
      </c>
      <c r="J2103" s="158">
        <v>0</v>
      </c>
      <c r="K2103" s="159" t="str">
        <f ca="1">IFERROR(__xludf.DUMMYFUNCTION("GOOGLETRANSLATE(H2103,""th"",""en"")"),"Discount for credit card payment (now is Central Credit Card) (EXVAT)")</f>
        <v>Discount for credit card payment (now is Central Credit Card) (EXVAT)</v>
      </c>
    </row>
    <row r="2104" spans="1:11" ht="15.75" hidden="1" customHeight="1">
      <c r="A2104" s="133" t="s">
        <v>7</v>
      </c>
      <c r="B2104" s="133" t="s">
        <v>440</v>
      </c>
      <c r="C2104" s="133" t="s">
        <v>2715</v>
      </c>
      <c r="D2104" s="133" t="s">
        <v>481</v>
      </c>
      <c r="E2104" s="158">
        <v>5</v>
      </c>
      <c r="F2104" s="158">
        <v>9</v>
      </c>
      <c r="G2104" s="158">
        <v>2</v>
      </c>
      <c r="H2104" s="133" t="s">
        <v>2716</v>
      </c>
      <c r="I2104" s="133" t="s">
        <v>1223</v>
      </c>
      <c r="J2104" s="158">
        <v>0</v>
      </c>
      <c r="K2104" s="159" t="str">
        <f ca="1">IFERROR(__xludf.DUMMYFUNCTION("GOOGLETRANSLATE(H2104,""th"",""en"")"),"All discounts of voucher byproduct")</f>
        <v>All discounts of voucher byproduct</v>
      </c>
    </row>
    <row r="2105" spans="1:11" ht="15.75" hidden="1" customHeight="1">
      <c r="A2105" s="133" t="s">
        <v>7</v>
      </c>
      <c r="B2105" s="133" t="s">
        <v>440</v>
      </c>
      <c r="C2105" s="133" t="s">
        <v>2717</v>
      </c>
      <c r="D2105" s="133" t="s">
        <v>481</v>
      </c>
      <c r="E2105" s="158">
        <v>5</v>
      </c>
      <c r="F2105" s="158">
        <v>9</v>
      </c>
      <c r="G2105" s="158">
        <v>2</v>
      </c>
      <c r="H2105" s="133" t="s">
        <v>2718</v>
      </c>
      <c r="I2105" s="133" t="s">
        <v>1223</v>
      </c>
      <c r="J2105" s="158">
        <v>0</v>
      </c>
      <c r="K2105" s="159" t="str">
        <f ca="1">IFERROR(__xludf.DUMMYFUNCTION("GOOGLETRANSLATE(H2105,""th"",""en"")"),"All discounts of Voucher Byproduct (EXVAT)")</f>
        <v>All discounts of Voucher Byproduct (EXVAT)</v>
      </c>
    </row>
    <row r="2106" spans="1:11" ht="15.75" hidden="1" customHeight="1">
      <c r="A2106" s="133" t="s">
        <v>7</v>
      </c>
      <c r="B2106" s="133" t="s">
        <v>440</v>
      </c>
      <c r="C2106" s="133" t="s">
        <v>2719</v>
      </c>
      <c r="D2106" s="133" t="s">
        <v>481</v>
      </c>
      <c r="E2106" s="158">
        <v>5</v>
      </c>
      <c r="F2106" s="158">
        <v>9</v>
      </c>
      <c r="G2106" s="158">
        <v>2</v>
      </c>
      <c r="H2106" s="133" t="s">
        <v>2720</v>
      </c>
      <c r="I2106" s="133" t="s">
        <v>1223</v>
      </c>
      <c r="J2106" s="158">
        <v>0</v>
      </c>
      <c r="K2106" s="159" t="str">
        <f ca="1">IFERROR(__xludf.DUMMYFUNCTION("GOOGLETRANSLATE(H2106,""th"",""en"")"),"All discount prices for promotion byitem")</f>
        <v>All discount prices for promotion byitem</v>
      </c>
    </row>
    <row r="2107" spans="1:11" ht="15.75" hidden="1" customHeight="1">
      <c r="A2107" s="133" t="s">
        <v>7</v>
      </c>
      <c r="B2107" s="133" t="s">
        <v>440</v>
      </c>
      <c r="C2107" s="133" t="s">
        <v>2721</v>
      </c>
      <c r="D2107" s="133" t="s">
        <v>481</v>
      </c>
      <c r="E2107" s="158">
        <v>5</v>
      </c>
      <c r="F2107" s="158">
        <v>9</v>
      </c>
      <c r="G2107" s="158">
        <v>2</v>
      </c>
      <c r="H2107" s="133" t="s">
        <v>2722</v>
      </c>
      <c r="I2107" s="133" t="s">
        <v>1223</v>
      </c>
      <c r="J2107" s="158">
        <v>0</v>
      </c>
      <c r="K2107" s="159" t="str">
        <f ca="1">IFERROR(__xludf.DUMMYFUNCTION("GOOGLETRANSLATE(H2107,""th"",""en"")"),"All discounts for the BYITEM (EXVAT)")</f>
        <v>All discounts for the BYITEM (EXVAT)</v>
      </c>
    </row>
    <row r="2108" spans="1:11" ht="15.75" hidden="1" customHeight="1">
      <c r="A2108" s="133" t="s">
        <v>7</v>
      </c>
      <c r="B2108" s="133" t="s">
        <v>440</v>
      </c>
      <c r="C2108" s="133" t="s">
        <v>2723</v>
      </c>
      <c r="D2108" s="133" t="s">
        <v>477</v>
      </c>
      <c r="E2108" s="158">
        <v>12</v>
      </c>
      <c r="F2108" s="158">
        <v>0</v>
      </c>
      <c r="G2108" s="158">
        <v>0</v>
      </c>
      <c r="H2108" s="133" t="s">
        <v>2724</v>
      </c>
      <c r="I2108" s="133" t="s">
        <v>548</v>
      </c>
      <c r="J2108" s="158">
        <v>0</v>
      </c>
      <c r="K2108" s="159" t="str">
        <f ca="1">IFERROR(__xludf.DUMMYFUNCTION("GOOGLETRANSLATE(H2108,""th"",""en"")"),"Full tax invoice number")</f>
        <v>Full tax invoice number</v>
      </c>
    </row>
    <row r="2109" spans="1:11" ht="15.75" hidden="1" customHeight="1">
      <c r="A2109" s="133" t="s">
        <v>7</v>
      </c>
      <c r="B2109" s="133" t="s">
        <v>440</v>
      </c>
      <c r="C2109" s="133" t="s">
        <v>1070</v>
      </c>
      <c r="D2109" s="133" t="s">
        <v>477</v>
      </c>
      <c r="E2109" s="158">
        <v>100</v>
      </c>
      <c r="F2109" s="158">
        <v>0</v>
      </c>
      <c r="G2109" s="158">
        <v>0</v>
      </c>
      <c r="H2109" s="133" t="s">
        <v>2725</v>
      </c>
      <c r="I2109" s="133" t="s">
        <v>548</v>
      </c>
      <c r="J2109" s="158">
        <v>0</v>
      </c>
      <c r="K2109" s="159" t="str">
        <f ca="1">IFERROR(__xludf.DUMMYFUNCTION("GOOGLETRANSLATE(H2109,""th"",""en"")"),"Branch")</f>
        <v>Branch</v>
      </c>
    </row>
    <row r="2110" spans="1:11" ht="15.75" hidden="1" customHeight="1">
      <c r="A2110" s="133" t="s">
        <v>7</v>
      </c>
      <c r="B2110" s="133" t="s">
        <v>440</v>
      </c>
      <c r="C2110" s="133" t="s">
        <v>2726</v>
      </c>
      <c r="D2110" s="133" t="s">
        <v>477</v>
      </c>
      <c r="E2110" s="158">
        <v>15</v>
      </c>
      <c r="F2110" s="158">
        <v>0</v>
      </c>
      <c r="G2110" s="158">
        <v>0</v>
      </c>
      <c r="H2110" s="133" t="s">
        <v>2727</v>
      </c>
      <c r="I2110" s="133" t="s">
        <v>548</v>
      </c>
      <c r="J2110" s="158">
        <v>0</v>
      </c>
      <c r="K2110" s="159" t="str">
        <f ca="1">IFERROR(__xludf.DUMMYFUNCTION("GOOGLETRANSLATE(H2110,""th"",""en"")"),"Tax identification number")</f>
        <v>Tax identification number</v>
      </c>
    </row>
    <row r="2111" spans="1:11" ht="15.75" hidden="1" customHeight="1">
      <c r="A2111" s="133" t="s">
        <v>7</v>
      </c>
      <c r="B2111" s="133" t="s">
        <v>440</v>
      </c>
      <c r="C2111" s="133" t="s">
        <v>2728</v>
      </c>
      <c r="D2111" s="133" t="s">
        <v>496</v>
      </c>
      <c r="E2111" s="158">
        <v>4</v>
      </c>
      <c r="F2111" s="158">
        <v>16</v>
      </c>
      <c r="G2111" s="158">
        <v>0</v>
      </c>
      <c r="H2111" s="133" t="s">
        <v>2729</v>
      </c>
      <c r="I2111" s="133" t="s">
        <v>548</v>
      </c>
      <c r="J2111" s="158">
        <v>0</v>
      </c>
      <c r="K2111" s="159" t="str">
        <f ca="1">IFERROR(__xludf.DUMMYFUNCTION("GOOGLETRANSLATE(H2111,""th"",""en"")"),"Full Tax Date and Time")</f>
        <v>Full Tax Date and Time</v>
      </c>
    </row>
    <row r="2112" spans="1:11" ht="15.75" hidden="1" customHeight="1">
      <c r="A2112" s="133" t="s">
        <v>7</v>
      </c>
      <c r="B2112" s="133" t="s">
        <v>440</v>
      </c>
      <c r="C2112" s="133" t="s">
        <v>2730</v>
      </c>
      <c r="D2112" s="133" t="s">
        <v>477</v>
      </c>
      <c r="E2112" s="158">
        <v>12</v>
      </c>
      <c r="F2112" s="158">
        <v>0</v>
      </c>
      <c r="G2112" s="158">
        <v>0</v>
      </c>
      <c r="H2112" s="133" t="s">
        <v>2731</v>
      </c>
      <c r="I2112" s="133" t="s">
        <v>548</v>
      </c>
      <c r="J2112" s="158">
        <v>0</v>
      </c>
      <c r="K2112" s="159" t="str">
        <f ca="1">IFERROR(__xludf.DUMMYFUNCTION("GOOGLETRANSLATE(H2112,""th"",""en"")"),"The latest document number that is created")</f>
        <v>The latest document number that is created</v>
      </c>
    </row>
    <row r="2113" spans="1:11" ht="15.75" hidden="1" customHeight="1">
      <c r="A2113" s="133" t="s">
        <v>7</v>
      </c>
      <c r="B2113" s="133" t="s">
        <v>440</v>
      </c>
      <c r="C2113" s="133" t="s">
        <v>2732</v>
      </c>
      <c r="D2113" s="133" t="s">
        <v>481</v>
      </c>
      <c r="E2113" s="158">
        <v>5</v>
      </c>
      <c r="F2113" s="158">
        <v>9</v>
      </c>
      <c r="G2113" s="158">
        <v>2</v>
      </c>
      <c r="H2113" s="133" t="s">
        <v>2733</v>
      </c>
      <c r="I2113" s="133" t="s">
        <v>615</v>
      </c>
      <c r="J2113" s="158">
        <v>0</v>
      </c>
      <c r="K2113" s="159" t="str">
        <f ca="1">IFERROR(__xludf.DUMMYFUNCTION("GOOGLETRANSLATE(H2113,""th"",""en"")"),"The amount to be paid after deduction")</f>
        <v>The amount to be paid after deduction</v>
      </c>
    </row>
    <row r="2114" spans="1:11" ht="15.75" hidden="1" customHeight="1">
      <c r="A2114" s="133" t="s">
        <v>7</v>
      </c>
      <c r="B2114" s="133" t="s">
        <v>440</v>
      </c>
      <c r="C2114" s="133" t="s">
        <v>2734</v>
      </c>
      <c r="D2114" s="133" t="s">
        <v>484</v>
      </c>
      <c r="E2114" s="158">
        <v>4</v>
      </c>
      <c r="F2114" s="158">
        <v>10</v>
      </c>
      <c r="G2114" s="158">
        <v>0</v>
      </c>
      <c r="H2114" s="133" t="s">
        <v>2735</v>
      </c>
      <c r="I2114" s="133" t="s">
        <v>615</v>
      </c>
      <c r="J2114" s="158">
        <v>0</v>
      </c>
      <c r="K2114" s="159" t="str">
        <f ca="1">IFERROR(__xludf.DUMMYFUNCTION("GOOGLETRANSLATE(H2114,""th"",""en"")"),"Number")</f>
        <v>Number</v>
      </c>
    </row>
    <row r="2115" spans="1:11" ht="15.75" hidden="1" customHeight="1">
      <c r="A2115" s="133" t="s">
        <v>7</v>
      </c>
      <c r="B2115" s="133" t="s">
        <v>440</v>
      </c>
      <c r="C2115" s="133" t="s">
        <v>654</v>
      </c>
      <c r="D2115" s="133" t="s">
        <v>481</v>
      </c>
      <c r="E2115" s="158">
        <v>5</v>
      </c>
      <c r="F2115" s="158">
        <v>9</v>
      </c>
      <c r="G2115" s="158">
        <v>2</v>
      </c>
      <c r="H2115" s="133" t="s">
        <v>655</v>
      </c>
      <c r="I2115" s="133" t="s">
        <v>615</v>
      </c>
      <c r="J2115" s="158">
        <v>0</v>
      </c>
      <c r="K2115" s="159" t="str">
        <f ca="1">IFERROR(__xludf.DUMMYFUNCTION("GOOGLETRANSLATE(H2115,""th"",""en"")"),"Value of points")</f>
        <v>Value of points</v>
      </c>
    </row>
    <row r="2116" spans="1:11" ht="15.75" hidden="1" customHeight="1">
      <c r="A2116" s="133" t="s">
        <v>7</v>
      </c>
      <c r="B2116" s="133" t="s">
        <v>440</v>
      </c>
      <c r="C2116" s="133" t="s">
        <v>2736</v>
      </c>
      <c r="D2116" s="133" t="s">
        <v>477</v>
      </c>
      <c r="E2116" s="158">
        <v>100</v>
      </c>
      <c r="F2116" s="158">
        <v>0</v>
      </c>
      <c r="G2116" s="158">
        <v>0</v>
      </c>
      <c r="H2116" s="133" t="s">
        <v>2737</v>
      </c>
      <c r="I2116" s="133" t="s">
        <v>548</v>
      </c>
      <c r="J2116" s="158">
        <v>0</v>
      </c>
      <c r="K2116" s="159" t="str">
        <f ca="1">IFERROR(__xludf.DUMMYFUNCTION("GOOGLETRANSLATE(H2116,""th"",""en"")"),"Reference number in the cutting of the 1 Card")</f>
        <v>Reference number in the cutting of the 1 Card</v>
      </c>
    </row>
    <row r="2117" spans="1:11" ht="15.75" hidden="1" customHeight="1">
      <c r="A2117" s="133" t="s">
        <v>7</v>
      </c>
      <c r="B2117" s="133" t="s">
        <v>440</v>
      </c>
      <c r="C2117" s="133" t="s">
        <v>2738</v>
      </c>
      <c r="D2117" s="133" t="s">
        <v>477</v>
      </c>
      <c r="E2117" s="158">
        <v>16</v>
      </c>
      <c r="F2117" s="158">
        <v>0</v>
      </c>
      <c r="G2117" s="158">
        <v>0</v>
      </c>
      <c r="H2117" s="133" t="s">
        <v>2739</v>
      </c>
      <c r="I2117" s="133" t="s">
        <v>548</v>
      </c>
      <c r="J2117" s="158">
        <v>0</v>
      </c>
      <c r="K2117" s="159" t="str">
        <f ca="1">IFERROR(__xludf.DUMMYFUNCTION("GOOGLETRANSLATE(H2117,""th"",""en"")"),"Keep the No. 1 Card at Redeem")</f>
        <v>Keep the No. 1 Card at Redeem</v>
      </c>
    </row>
    <row r="2118" spans="1:11" ht="15.75" hidden="1" customHeight="1">
      <c r="A2118" s="133" t="s">
        <v>7</v>
      </c>
      <c r="B2118" s="133" t="s">
        <v>440</v>
      </c>
      <c r="C2118" s="133" t="s">
        <v>2740</v>
      </c>
      <c r="D2118" s="133" t="s">
        <v>477</v>
      </c>
      <c r="E2118" s="158">
        <v>20</v>
      </c>
      <c r="F2118" s="158">
        <v>0</v>
      </c>
      <c r="G2118" s="158">
        <v>0</v>
      </c>
      <c r="H2118" s="133" t="s">
        <v>479</v>
      </c>
      <c r="I2118" s="133" t="s">
        <v>2600</v>
      </c>
      <c r="J2118" s="158">
        <v>0</v>
      </c>
      <c r="K2118" s="159" t="str">
        <f ca="1">IFERROR(__xludf.DUMMYFUNCTION("GOOGLETRANSLATE(H2118,""th"",""en"")"),"Null")</f>
        <v>Null</v>
      </c>
    </row>
    <row r="2119" spans="1:11" ht="15.75" hidden="1" customHeight="1">
      <c r="A2119" s="133" t="s">
        <v>7</v>
      </c>
      <c r="B2119" s="133" t="s">
        <v>440</v>
      </c>
      <c r="C2119" s="133" t="s">
        <v>2601</v>
      </c>
      <c r="D2119" s="133" t="s">
        <v>477</v>
      </c>
      <c r="E2119" s="158">
        <v>3</v>
      </c>
      <c r="F2119" s="158">
        <v>0</v>
      </c>
      <c r="G2119" s="158">
        <v>0</v>
      </c>
      <c r="H2119" s="133" t="s">
        <v>479</v>
      </c>
      <c r="I2119" s="133" t="s">
        <v>596</v>
      </c>
      <c r="J2119" s="158">
        <v>0</v>
      </c>
      <c r="K2119" s="159" t="str">
        <f ca="1">IFERROR(__xludf.DUMMYFUNCTION("GOOGLETRANSLATE(H2119,""th"",""en"")"),"Null")</f>
        <v>Null</v>
      </c>
    </row>
    <row r="2120" spans="1:11" ht="15.75" hidden="1" customHeight="1">
      <c r="A2120" s="133" t="s">
        <v>7</v>
      </c>
      <c r="B2120" s="133" t="s">
        <v>440</v>
      </c>
      <c r="C2120" s="133" t="s">
        <v>2602</v>
      </c>
      <c r="D2120" s="133" t="s">
        <v>484</v>
      </c>
      <c r="E2120" s="158">
        <v>4</v>
      </c>
      <c r="F2120" s="158">
        <v>10</v>
      </c>
      <c r="G2120" s="158">
        <v>0</v>
      </c>
      <c r="H2120" s="133" t="s">
        <v>479</v>
      </c>
      <c r="I2120" s="133" t="s">
        <v>615</v>
      </c>
      <c r="J2120" s="158">
        <v>0</v>
      </c>
      <c r="K2120" s="159" t="str">
        <f ca="1">IFERROR(__xludf.DUMMYFUNCTION("GOOGLETRANSLATE(H2120,""th"",""en"")"),"Null")</f>
        <v>Null</v>
      </c>
    </row>
    <row r="2121" spans="1:11" ht="15.75" hidden="1" customHeight="1">
      <c r="A2121" s="133" t="s">
        <v>7</v>
      </c>
      <c r="B2121" s="133" t="s">
        <v>440</v>
      </c>
      <c r="C2121" s="133" t="s">
        <v>2603</v>
      </c>
      <c r="D2121" s="133" t="s">
        <v>484</v>
      </c>
      <c r="E2121" s="158">
        <v>4</v>
      </c>
      <c r="F2121" s="158">
        <v>10</v>
      </c>
      <c r="G2121" s="158">
        <v>0</v>
      </c>
      <c r="H2121" s="133" t="s">
        <v>479</v>
      </c>
      <c r="I2121" s="133" t="s">
        <v>615</v>
      </c>
      <c r="J2121" s="158">
        <v>0</v>
      </c>
      <c r="K2121" s="159" t="str">
        <f ca="1">IFERROR(__xludf.DUMMYFUNCTION("GOOGLETRANSLATE(H2121,""th"",""en"")"),"Null")</f>
        <v>Null</v>
      </c>
    </row>
    <row r="2122" spans="1:11" ht="15.75" hidden="1" customHeight="1">
      <c r="A2122" s="133" t="s">
        <v>7</v>
      </c>
      <c r="B2122" s="133" t="s">
        <v>440</v>
      </c>
      <c r="C2122" s="133" t="s">
        <v>2604</v>
      </c>
      <c r="D2122" s="133" t="s">
        <v>484</v>
      </c>
      <c r="E2122" s="158">
        <v>4</v>
      </c>
      <c r="F2122" s="158">
        <v>10</v>
      </c>
      <c r="G2122" s="158">
        <v>0</v>
      </c>
      <c r="H2122" s="133" t="s">
        <v>479</v>
      </c>
      <c r="I2122" s="133" t="s">
        <v>615</v>
      </c>
      <c r="J2122" s="158">
        <v>0</v>
      </c>
      <c r="K2122" s="159" t="str">
        <f ca="1">IFERROR(__xludf.DUMMYFUNCTION("GOOGLETRANSLATE(H2122,""th"",""en"")"),"Null")</f>
        <v>Null</v>
      </c>
    </row>
    <row r="2123" spans="1:11" ht="15.75" hidden="1" customHeight="1">
      <c r="A2123" s="133" t="s">
        <v>7</v>
      </c>
      <c r="B2123" s="133" t="s">
        <v>440</v>
      </c>
      <c r="C2123" s="133" t="s">
        <v>2605</v>
      </c>
      <c r="D2123" s="133" t="s">
        <v>484</v>
      </c>
      <c r="E2123" s="158">
        <v>4</v>
      </c>
      <c r="F2123" s="158">
        <v>10</v>
      </c>
      <c r="G2123" s="158">
        <v>0</v>
      </c>
      <c r="H2123" s="133" t="s">
        <v>479</v>
      </c>
      <c r="I2123" s="133" t="s">
        <v>615</v>
      </c>
      <c r="J2123" s="158">
        <v>0</v>
      </c>
      <c r="K2123" s="159" t="str">
        <f ca="1">IFERROR(__xludf.DUMMYFUNCTION("GOOGLETRANSLATE(H2123,""th"",""en"")"),"Null")</f>
        <v>Null</v>
      </c>
    </row>
    <row r="2124" spans="1:11" ht="15.75" hidden="1" customHeight="1">
      <c r="A2124" s="133" t="s">
        <v>7</v>
      </c>
      <c r="B2124" s="133" t="s">
        <v>440</v>
      </c>
      <c r="C2124" s="133" t="s">
        <v>2606</v>
      </c>
      <c r="D2124" s="133" t="s">
        <v>484</v>
      </c>
      <c r="E2124" s="158">
        <v>4</v>
      </c>
      <c r="F2124" s="158">
        <v>10</v>
      </c>
      <c r="G2124" s="158">
        <v>0</v>
      </c>
      <c r="H2124" s="133" t="s">
        <v>479</v>
      </c>
      <c r="I2124" s="133" t="s">
        <v>615</v>
      </c>
      <c r="J2124" s="158">
        <v>0</v>
      </c>
      <c r="K2124" s="159" t="str">
        <f ca="1">IFERROR(__xludf.DUMMYFUNCTION("GOOGLETRANSLATE(H2124,""th"",""en"")"),"Null")</f>
        <v>Null</v>
      </c>
    </row>
    <row r="2125" spans="1:11" ht="15.75" hidden="1" customHeight="1">
      <c r="A2125" s="133" t="s">
        <v>7</v>
      </c>
      <c r="B2125" s="133" t="s">
        <v>440</v>
      </c>
      <c r="C2125" s="133" t="s">
        <v>2607</v>
      </c>
      <c r="D2125" s="133" t="s">
        <v>484</v>
      </c>
      <c r="E2125" s="158">
        <v>4</v>
      </c>
      <c r="F2125" s="158">
        <v>10</v>
      </c>
      <c r="G2125" s="158">
        <v>0</v>
      </c>
      <c r="H2125" s="133" t="s">
        <v>479</v>
      </c>
      <c r="I2125" s="133" t="s">
        <v>615</v>
      </c>
      <c r="J2125" s="158">
        <v>0</v>
      </c>
      <c r="K2125" s="159" t="str">
        <f ca="1">IFERROR(__xludf.DUMMYFUNCTION("GOOGLETRANSLATE(H2125,""th"",""en"")"),"Null")</f>
        <v>Null</v>
      </c>
    </row>
    <row r="2126" spans="1:11" ht="15.75" hidden="1" customHeight="1">
      <c r="A2126" s="133" t="s">
        <v>7</v>
      </c>
      <c r="B2126" s="133" t="s">
        <v>440</v>
      </c>
      <c r="C2126" s="133" t="s">
        <v>2615</v>
      </c>
      <c r="D2126" s="133" t="s">
        <v>477</v>
      </c>
      <c r="E2126" s="158">
        <v>10</v>
      </c>
      <c r="F2126" s="158">
        <v>0</v>
      </c>
      <c r="G2126" s="158">
        <v>0</v>
      </c>
      <c r="H2126" s="133" t="s">
        <v>479</v>
      </c>
      <c r="I2126" s="133" t="s">
        <v>548</v>
      </c>
      <c r="J2126" s="158">
        <v>0</v>
      </c>
      <c r="K2126" s="159" t="str">
        <f ca="1">IFERROR(__xludf.DUMMYFUNCTION("GOOGLETRANSLATE(H2126,""th"",""en"")"),"Null")</f>
        <v>Null</v>
      </c>
    </row>
    <row r="2127" spans="1:11" ht="15.75" hidden="1" customHeight="1">
      <c r="A2127" s="133" t="s">
        <v>7</v>
      </c>
      <c r="B2127" s="133" t="s">
        <v>440</v>
      </c>
      <c r="C2127" s="133" t="s">
        <v>2617</v>
      </c>
      <c r="D2127" s="133" t="s">
        <v>477</v>
      </c>
      <c r="E2127" s="158">
        <v>10</v>
      </c>
      <c r="F2127" s="158">
        <v>0</v>
      </c>
      <c r="G2127" s="158">
        <v>0</v>
      </c>
      <c r="H2127" s="133" t="s">
        <v>479</v>
      </c>
      <c r="I2127" s="133" t="s">
        <v>548</v>
      </c>
      <c r="J2127" s="158">
        <v>0</v>
      </c>
      <c r="K2127" s="159" t="str">
        <f ca="1">IFERROR(__xludf.DUMMYFUNCTION("GOOGLETRANSLATE(H2127,""th"",""en"")"),"Null")</f>
        <v>Null</v>
      </c>
    </row>
    <row r="2128" spans="1:11" ht="15.75" hidden="1" customHeight="1">
      <c r="A2128" s="133" t="s">
        <v>7</v>
      </c>
      <c r="B2128" s="133" t="s">
        <v>440</v>
      </c>
      <c r="C2128" s="133" t="s">
        <v>2608</v>
      </c>
      <c r="D2128" s="133" t="s">
        <v>477</v>
      </c>
      <c r="E2128" s="158">
        <v>20</v>
      </c>
      <c r="F2128" s="158">
        <v>0</v>
      </c>
      <c r="G2128" s="158">
        <v>0</v>
      </c>
      <c r="H2128" s="133" t="s">
        <v>2609</v>
      </c>
      <c r="I2128" s="133" t="s">
        <v>2610</v>
      </c>
      <c r="J2128" s="158">
        <v>0</v>
      </c>
      <c r="K2128" s="159" t="str">
        <f ca="1">IFERROR(__xludf.DUMMYFUNCTION("GOOGLETRANSLATE(H2128,""th"",""en"")"),"Product type")</f>
        <v>Product type</v>
      </c>
    </row>
    <row r="2129" spans="1:11" ht="15.75" hidden="1" customHeight="1">
      <c r="A2129" s="133" t="s">
        <v>7</v>
      </c>
      <c r="B2129" s="133" t="s">
        <v>440</v>
      </c>
      <c r="C2129" s="133" t="s">
        <v>2611</v>
      </c>
      <c r="D2129" s="133" t="s">
        <v>477</v>
      </c>
      <c r="E2129" s="158">
        <v>3</v>
      </c>
      <c r="F2129" s="158">
        <v>0</v>
      </c>
      <c r="G2129" s="158">
        <v>0</v>
      </c>
      <c r="H2129" s="133" t="s">
        <v>2612</v>
      </c>
      <c r="I2129" s="133" t="s">
        <v>596</v>
      </c>
      <c r="J2129" s="158">
        <v>0</v>
      </c>
      <c r="K2129" s="159" t="str">
        <f ca="1">IFERROR(__xludf.DUMMYFUNCTION("GOOGLETRANSLATE(H2129,""th"",""en"")"),"Set Flag from Segment Customer (Beyond Diamond, Diamond = YES)")</f>
        <v>Set Flag from Segment Customer (Beyond Diamond, Diamond = YES)</v>
      </c>
    </row>
    <row r="2130" spans="1:11" ht="15.75" hidden="1" customHeight="1">
      <c r="A2130" s="133" t="s">
        <v>7</v>
      </c>
      <c r="B2130" s="133" t="s">
        <v>440</v>
      </c>
      <c r="C2130" s="133" t="s">
        <v>2613</v>
      </c>
      <c r="D2130" s="133" t="s">
        <v>477</v>
      </c>
      <c r="E2130" s="158">
        <v>30</v>
      </c>
      <c r="F2130" s="158">
        <v>0</v>
      </c>
      <c r="G2130" s="158">
        <v>0</v>
      </c>
      <c r="H2130" s="133" t="s">
        <v>2614</v>
      </c>
      <c r="I2130" s="133" t="s">
        <v>548</v>
      </c>
      <c r="J2130" s="158">
        <v>0</v>
      </c>
      <c r="K2130" s="159" t="str">
        <f ca="1">IFERROR(__xludf.DUMMYFUNCTION("GOOGLETRANSLATE(H2130,""th"",""en"")"),"Segment Customer (Beyond Diamond, Diamond, Platinum, Gold, Silver)")</f>
        <v>Segment Customer (Beyond Diamond, Diamond, Platinum, Gold, Silver)</v>
      </c>
    </row>
    <row r="2131" spans="1:11" ht="15.75" hidden="1" customHeight="1">
      <c r="A2131" s="133" t="s">
        <v>7</v>
      </c>
      <c r="B2131" s="133" t="s">
        <v>440</v>
      </c>
      <c r="C2131" s="133" t="s">
        <v>369</v>
      </c>
      <c r="D2131" s="133" t="s">
        <v>477</v>
      </c>
      <c r="E2131" s="158">
        <v>2</v>
      </c>
      <c r="F2131" s="158">
        <v>0</v>
      </c>
      <c r="G2131" s="158">
        <v>0</v>
      </c>
      <c r="H2131" s="133" t="s">
        <v>1184</v>
      </c>
      <c r="I2131" s="133" t="s">
        <v>1185</v>
      </c>
      <c r="J2131" s="158">
        <v>0</v>
      </c>
      <c r="K2131" s="159" t="str">
        <f ca="1">IFERROR(__xludf.DUMMYFUNCTION("GOOGLETRANSLATE(H2131,""th"",""en"")"),"Warehouse (1: Office of the Office (Nong Chok), 3: Bangna Warehouse, 4: Warehouse Virgin, 5: Suwinwong Warehouse)")</f>
        <v>Warehouse (1: Office of the Office (Nong Chok), 3: Bangna Warehouse, 4: Warehouse Virgin, 5: Suwinwong Warehouse)</v>
      </c>
    </row>
    <row r="2132" spans="1:11" ht="15.75" hidden="1" customHeight="1">
      <c r="A2132" s="133" t="s">
        <v>7</v>
      </c>
      <c r="B2132" s="133" t="s">
        <v>440</v>
      </c>
      <c r="C2132" s="133" t="s">
        <v>2620</v>
      </c>
      <c r="D2132" s="133" t="s">
        <v>477</v>
      </c>
      <c r="E2132" s="158">
        <v>20</v>
      </c>
      <c r="F2132" s="158">
        <v>0</v>
      </c>
      <c r="G2132" s="158">
        <v>0</v>
      </c>
      <c r="H2132" s="133" t="s">
        <v>479</v>
      </c>
      <c r="I2132" s="133" t="s">
        <v>548</v>
      </c>
      <c r="J2132" s="158">
        <v>0</v>
      </c>
      <c r="K2132" s="159" t="str">
        <f ca="1">IFERROR(__xludf.DUMMYFUNCTION("GOOGLETRANSLATE(H2132,""th"",""en"")"),"Null")</f>
        <v>Null</v>
      </c>
    </row>
    <row r="2133" spans="1:11" ht="15.75" hidden="1" customHeight="1">
      <c r="A2133" s="133" t="s">
        <v>7</v>
      </c>
      <c r="B2133" s="133" t="s">
        <v>440</v>
      </c>
      <c r="C2133" s="133" t="s">
        <v>793</v>
      </c>
      <c r="D2133" s="133" t="s">
        <v>477</v>
      </c>
      <c r="E2133" s="158">
        <v>20</v>
      </c>
      <c r="F2133" s="158">
        <v>0</v>
      </c>
      <c r="G2133" s="158">
        <v>0</v>
      </c>
      <c r="H2133" s="133" t="s">
        <v>479</v>
      </c>
      <c r="I2133" s="133" t="s">
        <v>548</v>
      </c>
      <c r="J2133" s="158">
        <v>0</v>
      </c>
      <c r="K2133" s="159" t="str">
        <f ca="1">IFERROR(__xludf.DUMMYFUNCTION("GOOGLETRANSLATE(H2133,""th"",""en"")"),"Null")</f>
        <v>Null</v>
      </c>
    </row>
    <row r="2134" spans="1:11" ht="15.75" hidden="1" customHeight="1">
      <c r="A2134" s="133" t="s">
        <v>7</v>
      </c>
      <c r="B2134" s="133" t="s">
        <v>440</v>
      </c>
      <c r="C2134" s="133" t="s">
        <v>2621</v>
      </c>
      <c r="D2134" s="133" t="s">
        <v>484</v>
      </c>
      <c r="E2134" s="158">
        <v>4</v>
      </c>
      <c r="F2134" s="158">
        <v>10</v>
      </c>
      <c r="G2134" s="158">
        <v>0</v>
      </c>
      <c r="H2134" s="133" t="s">
        <v>479</v>
      </c>
      <c r="I2134" s="133" t="s">
        <v>1223</v>
      </c>
      <c r="J2134" s="158">
        <v>0</v>
      </c>
      <c r="K2134" s="159" t="str">
        <f ca="1">IFERROR(__xludf.DUMMYFUNCTION("GOOGLETRANSLATE(H2134,""th"",""en"")"),"Null")</f>
        <v>Null</v>
      </c>
    </row>
    <row r="2135" spans="1:11" ht="15.75" hidden="1" customHeight="1">
      <c r="A2135" s="133" t="s">
        <v>7</v>
      </c>
      <c r="B2135" s="133" t="s">
        <v>440</v>
      </c>
      <c r="C2135" s="133" t="s">
        <v>2622</v>
      </c>
      <c r="D2135" s="133" t="s">
        <v>481</v>
      </c>
      <c r="E2135" s="158">
        <v>9</v>
      </c>
      <c r="F2135" s="158">
        <v>11</v>
      </c>
      <c r="G2135" s="158">
        <v>2</v>
      </c>
      <c r="H2135" s="133" t="s">
        <v>479</v>
      </c>
      <c r="I2135" s="133" t="s">
        <v>1223</v>
      </c>
      <c r="J2135" s="158">
        <v>0</v>
      </c>
      <c r="K2135" s="159" t="str">
        <f ca="1">IFERROR(__xludf.DUMMYFUNCTION("GOOGLETRANSLATE(H2135,""th"",""en"")"),"Null")</f>
        <v>Null</v>
      </c>
    </row>
    <row r="2136" spans="1:11" ht="15.75" hidden="1" customHeight="1">
      <c r="A2136" s="133" t="s">
        <v>7</v>
      </c>
      <c r="B2136" s="133" t="s">
        <v>440</v>
      </c>
      <c r="C2136" s="133" t="s">
        <v>2623</v>
      </c>
      <c r="D2136" s="133" t="s">
        <v>481</v>
      </c>
      <c r="E2136" s="158">
        <v>9</v>
      </c>
      <c r="F2136" s="158">
        <v>11</v>
      </c>
      <c r="G2136" s="158">
        <v>2</v>
      </c>
      <c r="H2136" s="133" t="s">
        <v>479</v>
      </c>
      <c r="I2136" s="133" t="s">
        <v>1223</v>
      </c>
      <c r="J2136" s="158">
        <v>0</v>
      </c>
      <c r="K2136" s="159" t="str">
        <f ca="1">IFERROR(__xludf.DUMMYFUNCTION("GOOGLETRANSLATE(H2136,""th"",""en"")"),"Null")</f>
        <v>Null</v>
      </c>
    </row>
    <row r="2137" spans="1:11" ht="15.75" hidden="1" customHeight="1">
      <c r="A2137" s="133" t="s">
        <v>7</v>
      </c>
      <c r="B2137" s="133" t="s">
        <v>440</v>
      </c>
      <c r="C2137" s="133" t="s">
        <v>2624</v>
      </c>
      <c r="D2137" s="133" t="s">
        <v>477</v>
      </c>
      <c r="E2137" s="158">
        <v>20</v>
      </c>
      <c r="F2137" s="158">
        <v>0</v>
      </c>
      <c r="G2137" s="158">
        <v>0</v>
      </c>
      <c r="H2137" s="133" t="s">
        <v>479</v>
      </c>
      <c r="I2137" s="133" t="s">
        <v>548</v>
      </c>
      <c r="J2137" s="158">
        <v>0</v>
      </c>
      <c r="K2137" s="159" t="str">
        <f ca="1">IFERROR(__xludf.DUMMYFUNCTION("GOOGLETRANSLATE(H2137,""th"",""en"")"),"Null")</f>
        <v>Null</v>
      </c>
    </row>
    <row r="2138" spans="1:11" ht="15.75" hidden="1" customHeight="1">
      <c r="A2138" s="133" t="s">
        <v>7</v>
      </c>
      <c r="B2138" s="133" t="s">
        <v>440</v>
      </c>
      <c r="C2138" s="133" t="s">
        <v>2625</v>
      </c>
      <c r="D2138" s="133" t="s">
        <v>481</v>
      </c>
      <c r="E2138" s="158">
        <v>5</v>
      </c>
      <c r="F2138" s="158">
        <v>9</v>
      </c>
      <c r="G2138" s="158">
        <v>2</v>
      </c>
      <c r="H2138" s="133" t="s">
        <v>2626</v>
      </c>
      <c r="I2138" s="133" t="s">
        <v>615</v>
      </c>
      <c r="J2138" s="158">
        <v>0</v>
      </c>
      <c r="K2138" s="159" t="str">
        <f ca="1">IFERROR(__xludf.DUMMYFUNCTION("GOOGLETRANSLATE(H2138,""th"",""en"")"),"VAT total shipping")</f>
        <v>VAT total shipping</v>
      </c>
    </row>
    <row r="2139" spans="1:11" ht="15.75" hidden="1" customHeight="1">
      <c r="A2139" s="133" t="s">
        <v>7</v>
      </c>
      <c r="B2139" s="133" t="s">
        <v>440</v>
      </c>
      <c r="C2139" s="133" t="s">
        <v>2741</v>
      </c>
      <c r="D2139" s="133" t="s">
        <v>477</v>
      </c>
      <c r="E2139" s="158">
        <v>20</v>
      </c>
      <c r="F2139" s="158">
        <v>0</v>
      </c>
      <c r="G2139" s="158">
        <v>0</v>
      </c>
      <c r="H2139" s="133" t="s">
        <v>2742</v>
      </c>
      <c r="I2139" s="133" t="s">
        <v>548</v>
      </c>
      <c r="J2139" s="158">
        <v>0</v>
      </c>
      <c r="K2139" s="159" t="str">
        <f ca="1">IFERROR(__xludf.DUMMYFUNCTION("GOOGLETRANSLATE(H2139,""th"",""en"")"),"Customer type")</f>
        <v>Customer type</v>
      </c>
    </row>
    <row r="2140" spans="1:11" ht="15.75" hidden="1" customHeight="1">
      <c r="A2140" s="133" t="s">
        <v>7</v>
      </c>
      <c r="B2140" s="133" t="s">
        <v>440</v>
      </c>
      <c r="C2140" s="133" t="s">
        <v>2743</v>
      </c>
      <c r="D2140" s="133" t="s">
        <v>477</v>
      </c>
      <c r="E2140" s="158">
        <v>5</v>
      </c>
      <c r="F2140" s="158">
        <v>0</v>
      </c>
      <c r="G2140" s="158">
        <v>0</v>
      </c>
      <c r="H2140" s="133" t="s">
        <v>479</v>
      </c>
      <c r="I2140" s="133" t="s">
        <v>548</v>
      </c>
      <c r="J2140" s="158">
        <v>0</v>
      </c>
      <c r="K2140" s="159" t="str">
        <f ca="1">IFERROR(__xludf.DUMMYFUNCTION("GOOGLETRANSLATE(H2140,""th"",""en"")"),"Null")</f>
        <v>Null</v>
      </c>
    </row>
    <row r="2141" spans="1:11" ht="15.75" hidden="1" customHeight="1">
      <c r="A2141" s="133" t="s">
        <v>7</v>
      </c>
      <c r="B2141" s="133" t="s">
        <v>440</v>
      </c>
      <c r="C2141" s="133" t="s">
        <v>2627</v>
      </c>
      <c r="D2141" s="133" t="s">
        <v>477</v>
      </c>
      <c r="E2141" s="158">
        <v>20</v>
      </c>
      <c r="F2141" s="158">
        <v>0</v>
      </c>
      <c r="G2141" s="158">
        <v>0</v>
      </c>
      <c r="H2141" s="133" t="s">
        <v>2628</v>
      </c>
      <c r="I2141" s="133" t="s">
        <v>596</v>
      </c>
      <c r="J2141" s="158">
        <v>0</v>
      </c>
      <c r="K2141" s="159" t="str">
        <f ca="1">IFERROR(__xludf.DUMMYFUNCTION("GOOGLETRANSLATE(H2141,""th"",""en"")"),"Use E-Tax [yes, no]")</f>
        <v>Use E-Tax [yes, no]</v>
      </c>
    </row>
    <row r="2142" spans="1:11" ht="15.75" hidden="1" customHeight="1">
      <c r="A2142" s="133" t="s">
        <v>7</v>
      </c>
      <c r="B2142" s="133" t="s">
        <v>440</v>
      </c>
      <c r="C2142" s="133" t="s">
        <v>2629</v>
      </c>
      <c r="D2142" s="133" t="s">
        <v>477</v>
      </c>
      <c r="E2142" s="158">
        <v>20</v>
      </c>
      <c r="F2142" s="158">
        <v>0</v>
      </c>
      <c r="G2142" s="158">
        <v>0</v>
      </c>
      <c r="H2142" s="133" t="s">
        <v>1907</v>
      </c>
      <c r="I2142" s="133" t="s">
        <v>596</v>
      </c>
      <c r="J2142" s="158">
        <v>0</v>
      </c>
      <c r="K2142" s="159" t="str">
        <f ca="1">IFERROR(__xludf.DUMMYFUNCTION("GOOGLETRANSLATE(H2142,""th"",""en"")"),"Want PRINT PAPER E-TAX [YES, NO]")</f>
        <v>Want PRINT PAPER E-TAX [YES, NO]</v>
      </c>
    </row>
    <row r="2143" spans="1:11" ht="15.75" hidden="1" customHeight="1">
      <c r="A2143" s="133" t="s">
        <v>7</v>
      </c>
      <c r="B2143" s="133" t="s">
        <v>440</v>
      </c>
      <c r="C2143" s="133" t="s">
        <v>2630</v>
      </c>
      <c r="D2143" s="133" t="s">
        <v>477</v>
      </c>
      <c r="E2143" s="158">
        <v>256</v>
      </c>
      <c r="F2143" s="158">
        <v>0</v>
      </c>
      <c r="G2143" s="158">
        <v>0</v>
      </c>
      <c r="H2143" s="133" t="s">
        <v>2631</v>
      </c>
      <c r="I2143" s="133" t="s">
        <v>548</v>
      </c>
      <c r="J2143" s="158">
        <v>0</v>
      </c>
      <c r="K2143" s="159" t="str">
        <f ca="1">IFERROR(__xludf.DUMMYFUNCTION("GOOGLETRANSLATE(H2143,""th"",""en"")"),"Email for E-Tax Invoice")</f>
        <v>Email for E-Tax Invoice</v>
      </c>
    </row>
    <row r="2144" spans="1:11" ht="15.75" hidden="1" customHeight="1">
      <c r="A2144" s="133" t="s">
        <v>7</v>
      </c>
      <c r="B2144" s="133" t="s">
        <v>440</v>
      </c>
      <c r="C2144" s="133" t="s">
        <v>2744</v>
      </c>
      <c r="D2144" s="133" t="s">
        <v>477</v>
      </c>
      <c r="E2144" s="158">
        <v>20</v>
      </c>
      <c r="F2144" s="158">
        <v>0</v>
      </c>
      <c r="G2144" s="158">
        <v>0</v>
      </c>
      <c r="H2144" s="133" t="s">
        <v>2745</v>
      </c>
      <c r="I2144" s="133" t="s">
        <v>548</v>
      </c>
      <c r="J2144" s="158">
        <v>0</v>
      </c>
      <c r="K2144" s="159" t="str">
        <f ca="1">IFERROR(__xludf.DUMMYFUNCTION("GOOGLETRANSLATE(H2144,""th"",""en"")"),"Code of debt (01: Price, 02: Discount, 03: Returns)")</f>
        <v>Code of debt (01: Price, 02: Discount, 03: Returns)</v>
      </c>
    </row>
    <row r="2145" spans="1:14" ht="15.75" hidden="1" customHeight="1">
      <c r="A2145" s="133" t="s">
        <v>7</v>
      </c>
      <c r="B2145" s="133" t="s">
        <v>440</v>
      </c>
      <c r="C2145" s="133" t="s">
        <v>2746</v>
      </c>
      <c r="D2145" s="133" t="s">
        <v>477</v>
      </c>
      <c r="E2145" s="158">
        <v>100</v>
      </c>
      <c r="F2145" s="158">
        <v>0</v>
      </c>
      <c r="G2145" s="158">
        <v>0</v>
      </c>
      <c r="H2145" s="133" t="s">
        <v>2747</v>
      </c>
      <c r="I2145" s="133" t="s">
        <v>548</v>
      </c>
      <c r="J2145" s="158">
        <v>0</v>
      </c>
      <c r="K2145" s="159" t="str">
        <f ca="1">IFERROR(__xludf.DUMMYFUNCTION("GOOGLETRANSLATE(H2145,""th"",""en"")"),"Type of debugger (Price, discount, return product)")</f>
        <v>Type of debugger (Price, discount, return product)</v>
      </c>
    </row>
    <row r="2146" spans="1:14" ht="15.75" hidden="1" customHeight="1">
      <c r="A2146" s="133" t="s">
        <v>7</v>
      </c>
      <c r="B2146" s="133" t="s">
        <v>440</v>
      </c>
      <c r="C2146" s="133" t="s">
        <v>2748</v>
      </c>
      <c r="D2146" s="133" t="s">
        <v>477</v>
      </c>
      <c r="E2146" s="158">
        <v>20</v>
      </c>
      <c r="F2146" s="158">
        <v>0</v>
      </c>
      <c r="G2146" s="158">
        <v>0</v>
      </c>
      <c r="H2146" s="133" t="s">
        <v>2749</v>
      </c>
      <c r="I2146" s="133" t="s">
        <v>548</v>
      </c>
      <c r="J2146" s="158">
        <v>0</v>
      </c>
      <c r="K2146" s="159" t="str">
        <f ca="1">IFERROR(__xludf.DUMMYFUNCTION("GOOGLETRANSLATE(H2146,""th"",""en"")"),"Code Causes CN Mapping Text ETAX")</f>
        <v>Code Causes CN Mapping Text ETAX</v>
      </c>
    </row>
    <row r="2147" spans="1:14" ht="15.75" hidden="1" customHeight="1">
      <c r="A2147" s="133" t="s">
        <v>7</v>
      </c>
      <c r="B2147" s="133" t="s">
        <v>440</v>
      </c>
      <c r="C2147" s="133" t="s">
        <v>2750</v>
      </c>
      <c r="D2147" s="133" t="s">
        <v>477</v>
      </c>
      <c r="E2147" s="158">
        <v>100</v>
      </c>
      <c r="F2147" s="158">
        <v>0</v>
      </c>
      <c r="G2147" s="158">
        <v>0</v>
      </c>
      <c r="H2147" s="133" t="s">
        <v>2751</v>
      </c>
      <c r="I2147" s="133" t="s">
        <v>548</v>
      </c>
      <c r="J2147" s="158">
        <v>0</v>
      </c>
      <c r="K2147" s="159" t="str">
        <f ca="1">IFERROR(__xludf.DUMMYFUNCTION("GOOGLETRANSLATE(H2147,""th"",""en"")"),"Causes of CN Mapping Text ETAX")</f>
        <v>Causes of CN Mapping Text ETAX</v>
      </c>
    </row>
    <row r="2148" spans="1:14" ht="15.75" hidden="1" customHeight="1">
      <c r="A2148" s="133" t="s">
        <v>7</v>
      </c>
      <c r="B2148" s="133" t="s">
        <v>440</v>
      </c>
      <c r="C2148" s="133" t="s">
        <v>2752</v>
      </c>
      <c r="D2148" s="133" t="s">
        <v>477</v>
      </c>
      <c r="E2148" s="158">
        <v>100</v>
      </c>
      <c r="F2148" s="158">
        <v>0</v>
      </c>
      <c r="G2148" s="158">
        <v>0</v>
      </c>
      <c r="H2148" s="133" t="s">
        <v>2753</v>
      </c>
      <c r="I2148" s="133" t="s">
        <v>548</v>
      </c>
      <c r="J2148" s="158">
        <v>0</v>
      </c>
      <c r="K2148" s="159" t="str">
        <f ca="1">IFERROR(__xludf.DUMMYFUNCTION("GOOGLETRANSLATE(H2148,""th"",""en"")"),"Keep the documentary data displayed in the PDF file [Tax Invoice / Receipt], [Tax Invoice]")</f>
        <v>Keep the documentary data displayed in the PDF file [Tax Invoice / Receipt], [Tax Invoice]</v>
      </c>
    </row>
    <row r="2149" spans="1:14" ht="15.75" hidden="1" customHeight="1">
      <c r="A2149" s="133" t="s">
        <v>7</v>
      </c>
      <c r="B2149" s="133" t="s">
        <v>440</v>
      </c>
      <c r="C2149" s="133" t="s">
        <v>2754</v>
      </c>
      <c r="D2149" s="133" t="s">
        <v>477</v>
      </c>
      <c r="E2149" s="158">
        <v>100</v>
      </c>
      <c r="F2149" s="158">
        <v>0</v>
      </c>
      <c r="G2149" s="158">
        <v>0</v>
      </c>
      <c r="H2149" s="133" t="s">
        <v>2755</v>
      </c>
      <c r="I2149" s="133" t="s">
        <v>548</v>
      </c>
      <c r="J2149" s="158">
        <v>0</v>
      </c>
      <c r="K2149" s="159" t="str">
        <f ca="1">IFERROR(__xludf.DUMMYFUNCTION("GOOGLETRANSLATE(H2149,""th"",""en"")"),"Keep the document information that must be displayed in the delivery card. [Delivery receipt / receipt], [delivery receipt]")</f>
        <v>Keep the document information that must be displayed in the delivery card. [Delivery receipt / receipt], [delivery receipt]</v>
      </c>
    </row>
    <row r="2150" spans="1:14" ht="15.75" hidden="1" customHeight="1">
      <c r="A2150" s="133" t="s">
        <v>7</v>
      </c>
      <c r="B2150" s="133" t="s">
        <v>440</v>
      </c>
      <c r="C2150" s="133" t="s">
        <v>2756</v>
      </c>
      <c r="D2150" s="133" t="s">
        <v>477</v>
      </c>
      <c r="E2150" s="158">
        <v>20</v>
      </c>
      <c r="F2150" s="158">
        <v>0</v>
      </c>
      <c r="G2150" s="158">
        <v>0</v>
      </c>
      <c r="H2150" s="133" t="s">
        <v>2757</v>
      </c>
      <c r="I2150" s="133" t="s">
        <v>548</v>
      </c>
      <c r="J2150" s="158">
        <v>0</v>
      </c>
      <c r="K2150" s="159" t="str">
        <f ca="1">IFERROR(__xludf.DUMMYFUNCTION("GOOGLETRANSLATE(H2150,""th"",""en"")"),"Document number, instead of tax invoices that have been issued")</f>
        <v>Document number, instead of tax invoices that have been issued</v>
      </c>
    </row>
    <row r="2151" spans="1:14" ht="15.75" hidden="1" customHeight="1">
      <c r="A2151" s="133" t="s">
        <v>7</v>
      </c>
      <c r="B2151" s="133" t="s">
        <v>440</v>
      </c>
      <c r="C2151" s="133" t="s">
        <v>2758</v>
      </c>
      <c r="D2151" s="133" t="s">
        <v>477</v>
      </c>
      <c r="E2151" s="158">
        <v>20</v>
      </c>
      <c r="F2151" s="158">
        <v>0</v>
      </c>
      <c r="G2151" s="158">
        <v>0</v>
      </c>
      <c r="H2151" s="133" t="s">
        <v>2759</v>
      </c>
      <c r="I2151" s="133" t="s">
        <v>596</v>
      </c>
      <c r="J2151" s="158">
        <v>0</v>
      </c>
      <c r="K2151" s="159" t="str">
        <f ca="1">IFERROR(__xludf.DUMMYFUNCTION("GOOGLETRANSLATE(H2151,""th"",""en"")"),"Flag for Czech Order")</f>
        <v>Flag for Czech Order</v>
      </c>
    </row>
    <row r="2152" spans="1:14" ht="15.75" hidden="1" customHeight="1">
      <c r="A2152" s="133" t="s">
        <v>7</v>
      </c>
      <c r="B2152" s="133" t="s">
        <v>440</v>
      </c>
      <c r="C2152" s="133" t="s">
        <v>2760</v>
      </c>
      <c r="D2152" s="133" t="s">
        <v>477</v>
      </c>
      <c r="E2152" s="158">
        <v>100</v>
      </c>
      <c r="F2152" s="158">
        <v>0</v>
      </c>
      <c r="G2152" s="158">
        <v>0</v>
      </c>
      <c r="H2152" s="133" t="s">
        <v>2761</v>
      </c>
      <c r="I2152" s="133" t="s">
        <v>548</v>
      </c>
      <c r="J2152" s="158">
        <v>0</v>
      </c>
      <c r="K2152" s="159" t="str">
        <f ca="1">IFERROR(__xludf.DUMMYFUNCTION("GOOGLETRANSLATE(H2152,""th"",""en"")"),"Channel name")</f>
        <v>Channel name</v>
      </c>
    </row>
    <row r="2153" spans="1:14" ht="15.75" hidden="1" customHeight="1">
      <c r="A2153" s="161" t="s">
        <v>7</v>
      </c>
      <c r="B2153" s="161" t="s">
        <v>440</v>
      </c>
      <c r="C2153" s="161" t="s">
        <v>2762</v>
      </c>
      <c r="D2153" s="161" t="s">
        <v>477</v>
      </c>
      <c r="E2153" s="162">
        <v>20</v>
      </c>
      <c r="F2153" s="162">
        <v>0</v>
      </c>
      <c r="G2153" s="162">
        <v>0</v>
      </c>
      <c r="H2153" s="161"/>
      <c r="I2153" s="161" t="s">
        <v>2763</v>
      </c>
      <c r="J2153" s="162">
        <v>0</v>
      </c>
      <c r="K2153" s="163"/>
      <c r="L2153" s="168" t="s">
        <v>2764</v>
      </c>
      <c r="M2153" s="165"/>
      <c r="N2153" s="165"/>
    </row>
    <row r="2154" spans="1:14" ht="15.75" hidden="1" customHeight="1">
      <c r="A2154" s="161" t="s">
        <v>7</v>
      </c>
      <c r="B2154" s="161" t="s">
        <v>440</v>
      </c>
      <c r="C2154" s="169" t="s">
        <v>2765</v>
      </c>
      <c r="D2154" s="161" t="s">
        <v>477</v>
      </c>
      <c r="E2154" s="162">
        <v>10</v>
      </c>
      <c r="F2154" s="162">
        <v>0</v>
      </c>
      <c r="G2154" s="162">
        <v>0</v>
      </c>
      <c r="H2154" s="161"/>
      <c r="I2154" s="161"/>
      <c r="J2154" s="162">
        <v>0</v>
      </c>
      <c r="K2154" s="163"/>
      <c r="L2154" s="164" t="s">
        <v>2764</v>
      </c>
      <c r="M2154" s="165"/>
      <c r="N2154" s="165"/>
    </row>
    <row r="2155" spans="1:14" ht="15.75" hidden="1" customHeight="1">
      <c r="A2155" s="133" t="s">
        <v>7</v>
      </c>
      <c r="B2155" s="133" t="s">
        <v>2766</v>
      </c>
      <c r="C2155" s="133" t="s">
        <v>1394</v>
      </c>
      <c r="D2155" s="133" t="s">
        <v>477</v>
      </c>
      <c r="E2155" s="158">
        <v>7</v>
      </c>
      <c r="F2155" s="158">
        <v>0</v>
      </c>
      <c r="G2155" s="158">
        <v>0</v>
      </c>
      <c r="H2155" s="133" t="s">
        <v>479</v>
      </c>
      <c r="I2155" s="133" t="s">
        <v>548</v>
      </c>
      <c r="J2155" s="158">
        <v>0</v>
      </c>
      <c r="K2155" s="159" t="str">
        <f ca="1">IFERROR(__xludf.DUMMYFUNCTION("GOOGLETRANSLATE(H2155,""th"",""en"")"),"Null")</f>
        <v>Null</v>
      </c>
    </row>
    <row r="2156" spans="1:14" ht="15.75" hidden="1" customHeight="1">
      <c r="A2156" s="133" t="s">
        <v>7</v>
      </c>
      <c r="B2156" s="133" t="s">
        <v>2766</v>
      </c>
      <c r="C2156" s="133" t="s">
        <v>344</v>
      </c>
      <c r="D2156" s="133" t="s">
        <v>484</v>
      </c>
      <c r="E2156" s="158">
        <v>4</v>
      </c>
      <c r="F2156" s="158">
        <v>10</v>
      </c>
      <c r="G2156" s="158">
        <v>0</v>
      </c>
      <c r="H2156" s="133" t="s">
        <v>479</v>
      </c>
      <c r="I2156" s="133" t="s">
        <v>615</v>
      </c>
      <c r="J2156" s="158">
        <v>0</v>
      </c>
      <c r="K2156" s="159" t="str">
        <f ca="1">IFERROR(__xludf.DUMMYFUNCTION("GOOGLETRANSLATE(H2156,""th"",""en"")"),"Null")</f>
        <v>Null</v>
      </c>
    </row>
    <row r="2157" spans="1:14" ht="15.75" hidden="1" customHeight="1">
      <c r="A2157" s="133" t="s">
        <v>7</v>
      </c>
      <c r="B2157" s="133" t="s">
        <v>2766</v>
      </c>
      <c r="C2157" s="133" t="s">
        <v>2767</v>
      </c>
      <c r="D2157" s="133" t="s">
        <v>477</v>
      </c>
      <c r="E2157" s="158">
        <v>20</v>
      </c>
      <c r="F2157" s="158">
        <v>0</v>
      </c>
      <c r="G2157" s="158">
        <v>0</v>
      </c>
      <c r="H2157" s="133" t="s">
        <v>479</v>
      </c>
      <c r="I2157" s="133" t="s">
        <v>548</v>
      </c>
      <c r="J2157" s="158">
        <v>0</v>
      </c>
      <c r="K2157" s="159" t="str">
        <f ca="1">IFERROR(__xludf.DUMMYFUNCTION("GOOGLETRANSLATE(H2157,""th"",""en"")"),"Null")</f>
        <v>Null</v>
      </c>
    </row>
    <row r="2158" spans="1:14" ht="15.75" hidden="1" customHeight="1">
      <c r="A2158" s="133" t="s">
        <v>7</v>
      </c>
      <c r="B2158" s="133" t="s">
        <v>2766</v>
      </c>
      <c r="C2158" s="133" t="s">
        <v>2768</v>
      </c>
      <c r="D2158" s="133" t="s">
        <v>484</v>
      </c>
      <c r="E2158" s="158">
        <v>4</v>
      </c>
      <c r="F2158" s="158">
        <v>10</v>
      </c>
      <c r="G2158" s="158">
        <v>0</v>
      </c>
      <c r="H2158" s="133" t="s">
        <v>479</v>
      </c>
      <c r="I2158" s="133" t="s">
        <v>615</v>
      </c>
      <c r="J2158" s="158">
        <v>0</v>
      </c>
      <c r="K2158" s="159" t="str">
        <f ca="1">IFERROR(__xludf.DUMMYFUNCTION("GOOGLETRANSLATE(H2158,""th"",""en"")"),"Null")</f>
        <v>Null</v>
      </c>
    </row>
    <row r="2159" spans="1:14" ht="15.75" hidden="1" customHeight="1">
      <c r="A2159" s="133" t="s">
        <v>7</v>
      </c>
      <c r="B2159" s="133" t="s">
        <v>2766</v>
      </c>
      <c r="C2159" s="133" t="s">
        <v>2769</v>
      </c>
      <c r="D2159" s="133" t="s">
        <v>484</v>
      </c>
      <c r="E2159" s="158">
        <v>4</v>
      </c>
      <c r="F2159" s="158">
        <v>10</v>
      </c>
      <c r="G2159" s="158">
        <v>0</v>
      </c>
      <c r="H2159" s="133" t="s">
        <v>479</v>
      </c>
      <c r="I2159" s="133" t="s">
        <v>615</v>
      </c>
      <c r="J2159" s="158">
        <v>0</v>
      </c>
      <c r="K2159" s="159" t="str">
        <f ca="1">IFERROR(__xludf.DUMMYFUNCTION("GOOGLETRANSLATE(H2159,""th"",""en"")"),"Null")</f>
        <v>Null</v>
      </c>
    </row>
    <row r="2160" spans="1:14" ht="15.75" hidden="1" customHeight="1">
      <c r="A2160" s="133" t="s">
        <v>7</v>
      </c>
      <c r="B2160" s="133" t="s">
        <v>2766</v>
      </c>
      <c r="C2160" s="133" t="s">
        <v>2770</v>
      </c>
      <c r="D2160" s="133" t="s">
        <v>484</v>
      </c>
      <c r="E2160" s="158">
        <v>4</v>
      </c>
      <c r="F2160" s="158">
        <v>10</v>
      </c>
      <c r="G2160" s="158">
        <v>0</v>
      </c>
      <c r="H2160" s="133" t="s">
        <v>479</v>
      </c>
      <c r="I2160" s="133" t="s">
        <v>615</v>
      </c>
      <c r="J2160" s="158">
        <v>0</v>
      </c>
      <c r="K2160" s="159" t="str">
        <f ca="1">IFERROR(__xludf.DUMMYFUNCTION("GOOGLETRANSLATE(H2160,""th"",""en"")"),"Null")</f>
        <v>Null</v>
      </c>
    </row>
    <row r="2161" spans="1:11" ht="15.75" hidden="1" customHeight="1">
      <c r="A2161" s="133" t="s">
        <v>7</v>
      </c>
      <c r="B2161" s="133" t="s">
        <v>2766</v>
      </c>
      <c r="C2161" s="133" t="s">
        <v>2771</v>
      </c>
      <c r="D2161" s="133" t="s">
        <v>477</v>
      </c>
      <c r="E2161" s="158">
        <v>20</v>
      </c>
      <c r="F2161" s="158">
        <v>0</v>
      </c>
      <c r="G2161" s="158">
        <v>0</v>
      </c>
      <c r="H2161" s="133" t="s">
        <v>479</v>
      </c>
      <c r="I2161" s="133" t="s">
        <v>548</v>
      </c>
      <c r="J2161" s="158">
        <v>0</v>
      </c>
      <c r="K2161" s="159" t="str">
        <f ca="1">IFERROR(__xludf.DUMMYFUNCTION("GOOGLETRANSLATE(H2161,""th"",""en"")"),"Null")</f>
        <v>Null</v>
      </c>
    </row>
    <row r="2162" spans="1:11" ht="15.75" hidden="1" customHeight="1">
      <c r="A2162" s="133" t="s">
        <v>7</v>
      </c>
      <c r="B2162" s="133" t="s">
        <v>2766</v>
      </c>
      <c r="C2162" s="133" t="s">
        <v>2772</v>
      </c>
      <c r="D2162" s="133" t="s">
        <v>477</v>
      </c>
      <c r="E2162" s="158">
        <v>100</v>
      </c>
      <c r="F2162" s="158">
        <v>0</v>
      </c>
      <c r="G2162" s="158">
        <v>0</v>
      </c>
      <c r="H2162" s="133" t="s">
        <v>479</v>
      </c>
      <c r="I2162" s="133" t="s">
        <v>548</v>
      </c>
      <c r="J2162" s="158">
        <v>0</v>
      </c>
      <c r="K2162" s="159" t="str">
        <f ca="1">IFERROR(__xludf.DUMMYFUNCTION("GOOGLETRANSLATE(H2162,""th"",""en"")"),"Null")</f>
        <v>Null</v>
      </c>
    </row>
    <row r="2163" spans="1:11" ht="15.75" hidden="1" customHeight="1">
      <c r="A2163" s="133" t="s">
        <v>7</v>
      </c>
      <c r="B2163" s="133" t="s">
        <v>2766</v>
      </c>
      <c r="C2163" s="133" t="s">
        <v>2773</v>
      </c>
      <c r="D2163" s="133" t="s">
        <v>477</v>
      </c>
      <c r="E2163" s="158">
        <v>20</v>
      </c>
      <c r="F2163" s="158">
        <v>0</v>
      </c>
      <c r="G2163" s="158">
        <v>0</v>
      </c>
      <c r="H2163" s="133" t="s">
        <v>479</v>
      </c>
      <c r="I2163" s="133" t="s">
        <v>548</v>
      </c>
      <c r="J2163" s="158">
        <v>0</v>
      </c>
      <c r="K2163" s="159" t="str">
        <f ca="1">IFERROR(__xludf.DUMMYFUNCTION("GOOGLETRANSLATE(H2163,""th"",""en"")"),"Null")</f>
        <v>Null</v>
      </c>
    </row>
    <row r="2164" spans="1:11" ht="15.75" hidden="1" customHeight="1">
      <c r="A2164" s="133" t="s">
        <v>7</v>
      </c>
      <c r="B2164" s="133" t="s">
        <v>2766</v>
      </c>
      <c r="C2164" s="133" t="s">
        <v>2774</v>
      </c>
      <c r="D2164" s="133" t="s">
        <v>477</v>
      </c>
      <c r="E2164" s="158">
        <v>100</v>
      </c>
      <c r="F2164" s="158">
        <v>0</v>
      </c>
      <c r="G2164" s="158">
        <v>0</v>
      </c>
      <c r="H2164" s="133" t="s">
        <v>479</v>
      </c>
      <c r="I2164" s="133" t="s">
        <v>548</v>
      </c>
      <c r="J2164" s="158">
        <v>0</v>
      </c>
      <c r="K2164" s="159" t="str">
        <f ca="1">IFERROR(__xludf.DUMMYFUNCTION("GOOGLETRANSLATE(H2164,""th"",""en"")"),"Null")</f>
        <v>Null</v>
      </c>
    </row>
    <row r="2165" spans="1:11" ht="15.75" hidden="1" customHeight="1">
      <c r="A2165" s="133" t="s">
        <v>7</v>
      </c>
      <c r="B2165" s="133" t="s">
        <v>2766</v>
      </c>
      <c r="C2165" s="133" t="s">
        <v>1333</v>
      </c>
      <c r="D2165" s="133" t="s">
        <v>477</v>
      </c>
      <c r="E2165" s="158">
        <v>100</v>
      </c>
      <c r="F2165" s="158">
        <v>0</v>
      </c>
      <c r="G2165" s="158">
        <v>0</v>
      </c>
      <c r="H2165" s="133" t="s">
        <v>479</v>
      </c>
      <c r="I2165" s="133" t="s">
        <v>548</v>
      </c>
      <c r="J2165" s="158">
        <v>0</v>
      </c>
      <c r="K2165" s="159" t="str">
        <f ca="1">IFERROR(__xludf.DUMMYFUNCTION("GOOGLETRANSLATE(H2165,""th"",""en"")"),"Null")</f>
        <v>Null</v>
      </c>
    </row>
    <row r="2166" spans="1:11" ht="15.75" hidden="1" customHeight="1">
      <c r="A2166" s="133" t="s">
        <v>7</v>
      </c>
      <c r="B2166" s="133" t="s">
        <v>2766</v>
      </c>
      <c r="C2166" s="133" t="s">
        <v>1334</v>
      </c>
      <c r="D2166" s="133" t="s">
        <v>477</v>
      </c>
      <c r="E2166" s="158">
        <v>8</v>
      </c>
      <c r="F2166" s="158">
        <v>0</v>
      </c>
      <c r="G2166" s="158">
        <v>0</v>
      </c>
      <c r="H2166" s="133" t="s">
        <v>479</v>
      </c>
      <c r="I2166" s="133" t="s">
        <v>548</v>
      </c>
      <c r="J2166" s="158">
        <v>0</v>
      </c>
      <c r="K2166" s="159" t="str">
        <f ca="1">IFERROR(__xludf.DUMMYFUNCTION("GOOGLETRANSLATE(H2166,""th"",""en"")"),"Null")</f>
        <v>Null</v>
      </c>
    </row>
    <row r="2167" spans="1:11" ht="15.75" hidden="1" customHeight="1">
      <c r="A2167" s="133" t="s">
        <v>7</v>
      </c>
      <c r="B2167" s="133" t="s">
        <v>2766</v>
      </c>
      <c r="C2167" s="133" t="s">
        <v>184</v>
      </c>
      <c r="D2167" s="133" t="s">
        <v>496</v>
      </c>
      <c r="E2167" s="158">
        <v>4</v>
      </c>
      <c r="F2167" s="158">
        <v>16</v>
      </c>
      <c r="G2167" s="158">
        <v>0</v>
      </c>
      <c r="H2167" s="133" t="s">
        <v>479</v>
      </c>
      <c r="I2167" s="133" t="s">
        <v>548</v>
      </c>
      <c r="J2167" s="158">
        <v>0</v>
      </c>
      <c r="K2167" s="159" t="str">
        <f ca="1">IFERROR(__xludf.DUMMYFUNCTION("GOOGLETRANSLATE(H2167,""th"",""en"")"),"Null")</f>
        <v>Null</v>
      </c>
    </row>
    <row r="2168" spans="1:11" ht="15.75" hidden="1" customHeight="1">
      <c r="A2168" s="133" t="s">
        <v>7</v>
      </c>
      <c r="B2168" s="133" t="s">
        <v>2766</v>
      </c>
      <c r="C2168" s="133" t="s">
        <v>1335</v>
      </c>
      <c r="D2168" s="133" t="s">
        <v>477</v>
      </c>
      <c r="E2168" s="158">
        <v>100</v>
      </c>
      <c r="F2168" s="158">
        <v>0</v>
      </c>
      <c r="G2168" s="158">
        <v>0</v>
      </c>
      <c r="H2168" s="133" t="s">
        <v>479</v>
      </c>
      <c r="I2168" s="133" t="s">
        <v>548</v>
      </c>
      <c r="J2168" s="158">
        <v>0</v>
      </c>
      <c r="K2168" s="159" t="str">
        <f ca="1">IFERROR(__xludf.DUMMYFUNCTION("GOOGLETRANSLATE(H2168,""th"",""en"")"),"Null")</f>
        <v>Null</v>
      </c>
    </row>
    <row r="2169" spans="1:11" ht="15.75" hidden="1" customHeight="1">
      <c r="A2169" s="133" t="s">
        <v>7</v>
      </c>
      <c r="B2169" s="133" t="s">
        <v>2766</v>
      </c>
      <c r="C2169" s="133" t="s">
        <v>1336</v>
      </c>
      <c r="D2169" s="133" t="s">
        <v>477</v>
      </c>
      <c r="E2169" s="158">
        <v>8</v>
      </c>
      <c r="F2169" s="158">
        <v>0</v>
      </c>
      <c r="G2169" s="158">
        <v>0</v>
      </c>
      <c r="H2169" s="133" t="s">
        <v>479</v>
      </c>
      <c r="I2169" s="133" t="s">
        <v>548</v>
      </c>
      <c r="J2169" s="158">
        <v>0</v>
      </c>
      <c r="K2169" s="159" t="str">
        <f ca="1">IFERROR(__xludf.DUMMYFUNCTION("GOOGLETRANSLATE(H2169,""th"",""en"")"),"Null")</f>
        <v>Null</v>
      </c>
    </row>
    <row r="2170" spans="1:11" ht="15.75" hidden="1" customHeight="1">
      <c r="A2170" s="133" t="s">
        <v>7</v>
      </c>
      <c r="B2170" s="133" t="s">
        <v>2766</v>
      </c>
      <c r="C2170" s="133" t="s">
        <v>175</v>
      </c>
      <c r="D2170" s="133" t="s">
        <v>496</v>
      </c>
      <c r="E2170" s="158">
        <v>4</v>
      </c>
      <c r="F2170" s="158">
        <v>16</v>
      </c>
      <c r="G2170" s="158">
        <v>0</v>
      </c>
      <c r="H2170" s="133" t="s">
        <v>479</v>
      </c>
      <c r="I2170" s="133" t="s">
        <v>548</v>
      </c>
      <c r="J2170" s="158">
        <v>0</v>
      </c>
      <c r="K2170" s="159" t="str">
        <f ca="1">IFERROR(__xludf.DUMMYFUNCTION("GOOGLETRANSLATE(H2170,""th"",""en"")"),"Null")</f>
        <v>Null</v>
      </c>
    </row>
    <row r="2171" spans="1:11" ht="15.75" hidden="1" customHeight="1">
      <c r="A2171" s="133" t="s">
        <v>7</v>
      </c>
      <c r="B2171" s="133" t="s">
        <v>2766</v>
      </c>
      <c r="C2171" s="133" t="s">
        <v>2775</v>
      </c>
      <c r="D2171" s="133" t="s">
        <v>477</v>
      </c>
      <c r="E2171" s="158">
        <v>10</v>
      </c>
      <c r="F2171" s="158">
        <v>0</v>
      </c>
      <c r="G2171" s="158">
        <v>0</v>
      </c>
      <c r="H2171" s="133" t="s">
        <v>479</v>
      </c>
      <c r="I2171" s="133" t="s">
        <v>813</v>
      </c>
      <c r="J2171" s="158">
        <v>0</v>
      </c>
      <c r="K2171" s="159" t="str">
        <f ca="1">IFERROR(__xludf.DUMMYFUNCTION("GOOGLETRANSLATE(H2171,""th"",""en"")"),"Null")</f>
        <v>Null</v>
      </c>
    </row>
    <row r="2172" spans="1:11" ht="15.75" hidden="1" customHeight="1">
      <c r="A2172" s="133" t="s">
        <v>7</v>
      </c>
      <c r="B2172" s="161" t="s">
        <v>2776</v>
      </c>
      <c r="C2172" s="161" t="s">
        <v>2317</v>
      </c>
      <c r="D2172" s="161" t="s">
        <v>477</v>
      </c>
      <c r="E2172" s="162">
        <v>5</v>
      </c>
      <c r="F2172" s="162">
        <v>0</v>
      </c>
      <c r="G2172" s="162">
        <v>0</v>
      </c>
      <c r="H2172" s="161"/>
      <c r="I2172" s="161" t="s">
        <v>548</v>
      </c>
      <c r="J2172" s="158"/>
      <c r="K2172" s="159"/>
    </row>
    <row r="2173" spans="1:11" ht="15.75" hidden="1" customHeight="1">
      <c r="A2173" s="133" t="s">
        <v>7</v>
      </c>
      <c r="B2173" s="133" t="s">
        <v>2776</v>
      </c>
      <c r="C2173" s="133" t="s">
        <v>2777</v>
      </c>
      <c r="D2173" s="133" t="s">
        <v>477</v>
      </c>
      <c r="E2173" s="158">
        <v>15</v>
      </c>
      <c r="F2173" s="158">
        <v>0</v>
      </c>
      <c r="G2173" s="158">
        <v>0</v>
      </c>
      <c r="H2173" s="133" t="s">
        <v>2461</v>
      </c>
      <c r="I2173" s="133" t="s">
        <v>548</v>
      </c>
      <c r="J2173" s="158">
        <v>0</v>
      </c>
      <c r="K2173" s="159" t="str">
        <f ca="1">IFERROR(__xludf.DUMMYFUNCTION("GOOGLETRANSLATE(H2173,""th"",""en"")"),"Order number")</f>
        <v>Order number</v>
      </c>
    </row>
    <row r="2174" spans="1:11" ht="15.75" hidden="1" customHeight="1">
      <c r="A2174" s="133" t="s">
        <v>7</v>
      </c>
      <c r="B2174" s="133" t="s">
        <v>2776</v>
      </c>
      <c r="C2174" s="133" t="s">
        <v>1421</v>
      </c>
      <c r="D2174" s="133" t="s">
        <v>484</v>
      </c>
      <c r="E2174" s="158">
        <v>4</v>
      </c>
      <c r="F2174" s="158">
        <v>10</v>
      </c>
      <c r="G2174" s="158">
        <v>0</v>
      </c>
      <c r="H2174" s="133" t="s">
        <v>2778</v>
      </c>
      <c r="I2174" s="133" t="s">
        <v>615</v>
      </c>
      <c r="J2174" s="158">
        <v>0</v>
      </c>
      <c r="K2174" s="159" t="str">
        <f ca="1">IFERROR(__xludf.DUMMYFUNCTION("GOOGLETRANSLATE(H2174,""th"",""en"")"),"Product order")</f>
        <v>Product order</v>
      </c>
    </row>
    <row r="2175" spans="1:11" ht="15.75" hidden="1" customHeight="1">
      <c r="A2175" s="133" t="s">
        <v>7</v>
      </c>
      <c r="B2175" s="133" t="s">
        <v>2776</v>
      </c>
      <c r="C2175" s="133" t="s">
        <v>1394</v>
      </c>
      <c r="D2175" s="133" t="s">
        <v>477</v>
      </c>
      <c r="E2175" s="158">
        <v>7</v>
      </c>
      <c r="F2175" s="158">
        <v>0</v>
      </c>
      <c r="G2175" s="158">
        <v>0</v>
      </c>
      <c r="H2175" s="133" t="s">
        <v>1130</v>
      </c>
      <c r="I2175" s="133" t="s">
        <v>548</v>
      </c>
      <c r="J2175" s="158">
        <v>0</v>
      </c>
      <c r="K2175" s="159" t="str">
        <f ca="1">IFERROR(__xludf.DUMMYFUNCTION("GOOGLETRANSLATE(H2175,""th"",""en"")"),"Product code")</f>
        <v>Product code</v>
      </c>
    </row>
    <row r="2176" spans="1:11" ht="15.75" hidden="1" customHeight="1">
      <c r="A2176" s="133" t="s">
        <v>7</v>
      </c>
      <c r="B2176" s="133" t="s">
        <v>2776</v>
      </c>
      <c r="C2176" s="133" t="s">
        <v>1823</v>
      </c>
      <c r="D2176" s="133" t="s">
        <v>477</v>
      </c>
      <c r="E2176" s="158">
        <v>55</v>
      </c>
      <c r="F2176" s="158">
        <v>0</v>
      </c>
      <c r="G2176" s="158">
        <v>0</v>
      </c>
      <c r="H2176" s="133" t="s">
        <v>1132</v>
      </c>
      <c r="I2176" s="133" t="s">
        <v>548</v>
      </c>
      <c r="J2176" s="158">
        <v>0</v>
      </c>
      <c r="K2176" s="159" t="str">
        <f ca="1">IFERROR(__xludf.DUMMYFUNCTION("GOOGLETRANSLATE(H2176,""th"",""en"")"),"Product name")</f>
        <v>Product name</v>
      </c>
    </row>
    <row r="2177" spans="1:11" ht="15.75" hidden="1" customHeight="1">
      <c r="A2177" s="133" t="s">
        <v>7</v>
      </c>
      <c r="B2177" s="133" t="s">
        <v>2776</v>
      </c>
      <c r="C2177" s="133" t="s">
        <v>2779</v>
      </c>
      <c r="D2177" s="133" t="s">
        <v>477</v>
      </c>
      <c r="E2177" s="158">
        <v>55</v>
      </c>
      <c r="F2177" s="158">
        <v>0</v>
      </c>
      <c r="G2177" s="158">
        <v>0</v>
      </c>
      <c r="H2177" s="133" t="s">
        <v>2780</v>
      </c>
      <c r="I2177" s="133" t="s">
        <v>548</v>
      </c>
      <c r="J2177" s="158">
        <v>0</v>
      </c>
      <c r="K2177" s="159" t="str">
        <f ca="1">IFERROR(__xludf.DUMMYFUNCTION("GOOGLETRANSLATE(H2177,""th"",""en"")"),"Product name before editing")</f>
        <v>Product name before editing</v>
      </c>
    </row>
    <row r="2178" spans="1:11" ht="15.75" hidden="1" customHeight="1">
      <c r="A2178" s="133" t="s">
        <v>7</v>
      </c>
      <c r="B2178" s="133" t="s">
        <v>2776</v>
      </c>
      <c r="C2178" s="133" t="s">
        <v>1826</v>
      </c>
      <c r="D2178" s="133" t="s">
        <v>484</v>
      </c>
      <c r="E2178" s="158">
        <v>4</v>
      </c>
      <c r="F2178" s="158">
        <v>10</v>
      </c>
      <c r="G2178" s="158">
        <v>0</v>
      </c>
      <c r="H2178" s="133" t="s">
        <v>2781</v>
      </c>
      <c r="I2178" s="133" t="s">
        <v>615</v>
      </c>
      <c r="J2178" s="158">
        <v>0</v>
      </c>
      <c r="K2178" s="159" t="str">
        <f ca="1">IFERROR(__xludf.DUMMYFUNCTION("GOOGLETRANSLATE(H2178,""th"",""en"")"),"Order amount")</f>
        <v>Order amount</v>
      </c>
    </row>
    <row r="2179" spans="1:11" ht="15.75" hidden="1" customHeight="1">
      <c r="A2179" s="133" t="s">
        <v>7</v>
      </c>
      <c r="B2179" s="133" t="s">
        <v>2776</v>
      </c>
      <c r="C2179" s="133" t="s">
        <v>2782</v>
      </c>
      <c r="D2179" s="133" t="s">
        <v>484</v>
      </c>
      <c r="E2179" s="158">
        <v>4</v>
      </c>
      <c r="F2179" s="158">
        <v>10</v>
      </c>
      <c r="G2179" s="158">
        <v>0</v>
      </c>
      <c r="H2179" s="133" t="s">
        <v>2783</v>
      </c>
      <c r="I2179" s="133" t="s">
        <v>615</v>
      </c>
      <c r="J2179" s="158">
        <v>0</v>
      </c>
      <c r="K2179" s="159" t="str">
        <f ca="1">IFERROR(__xludf.DUMMYFUNCTION("GOOGLETRANSLATE(H2179,""th"",""en"")"),"Order number before editing")</f>
        <v>Order number before editing</v>
      </c>
    </row>
    <row r="2180" spans="1:11" ht="15.75" hidden="1" customHeight="1">
      <c r="A2180" s="133" t="s">
        <v>7</v>
      </c>
      <c r="B2180" s="133" t="s">
        <v>2776</v>
      </c>
      <c r="C2180" s="133" t="s">
        <v>1825</v>
      </c>
      <c r="D2180" s="133" t="s">
        <v>477</v>
      </c>
      <c r="E2180" s="158">
        <v>7</v>
      </c>
      <c r="F2180" s="158">
        <v>0</v>
      </c>
      <c r="G2180" s="158">
        <v>0</v>
      </c>
      <c r="H2180" s="133" t="s">
        <v>1396</v>
      </c>
      <c r="I2180" s="133" t="s">
        <v>548</v>
      </c>
      <c r="J2180" s="158">
        <v>0</v>
      </c>
      <c r="K2180" s="159" t="str">
        <f ca="1">IFERROR(__xludf.DUMMYFUNCTION("GOOGLETRANSLATE(H2180,""th"",""en"")"),"Sales unit")</f>
        <v>Sales unit</v>
      </c>
    </row>
    <row r="2181" spans="1:11" ht="15.75" hidden="1" customHeight="1">
      <c r="A2181" s="133" t="s">
        <v>7</v>
      </c>
      <c r="B2181" s="133" t="s">
        <v>2776</v>
      </c>
      <c r="C2181" s="133" t="s">
        <v>2784</v>
      </c>
      <c r="D2181" s="133" t="s">
        <v>477</v>
      </c>
      <c r="E2181" s="158">
        <v>7</v>
      </c>
      <c r="F2181" s="158">
        <v>0</v>
      </c>
      <c r="G2181" s="158">
        <v>0</v>
      </c>
      <c r="H2181" s="133" t="s">
        <v>2785</v>
      </c>
      <c r="I2181" s="133" t="s">
        <v>548</v>
      </c>
      <c r="J2181" s="158">
        <v>0</v>
      </c>
      <c r="K2181" s="159" t="str">
        <f ca="1">IFERROR(__xludf.DUMMYFUNCTION("GOOGLETRANSLATE(H2181,""th"",""en"")"),"Selling units before editing")</f>
        <v>Selling units before editing</v>
      </c>
    </row>
    <row r="2182" spans="1:11" ht="15.75" hidden="1" customHeight="1">
      <c r="A2182" s="133" t="s">
        <v>7</v>
      </c>
      <c r="B2182" s="133" t="s">
        <v>2776</v>
      </c>
      <c r="C2182" s="133" t="s">
        <v>1399</v>
      </c>
      <c r="D2182" s="133" t="s">
        <v>481</v>
      </c>
      <c r="E2182" s="158">
        <v>5</v>
      </c>
      <c r="F2182" s="158">
        <v>9</v>
      </c>
      <c r="G2182" s="158">
        <v>2</v>
      </c>
      <c r="H2182" s="133" t="s">
        <v>2786</v>
      </c>
      <c r="I2182" s="133" t="s">
        <v>1223</v>
      </c>
      <c r="J2182" s="158">
        <v>0</v>
      </c>
      <c r="K2182" s="159" t="str">
        <f ca="1">IFERROR(__xludf.DUMMYFUNCTION("GOOGLETRANSLATE(H2182,""th"",""en"")"),"Product price (including tax) / unit")</f>
        <v>Product price (including tax) / unit</v>
      </c>
    </row>
    <row r="2183" spans="1:11" ht="15.75" hidden="1" customHeight="1">
      <c r="A2183" s="133" t="s">
        <v>7</v>
      </c>
      <c r="B2183" s="133" t="s">
        <v>2776</v>
      </c>
      <c r="C2183" s="133" t="s">
        <v>2787</v>
      </c>
      <c r="D2183" s="133" t="s">
        <v>481</v>
      </c>
      <c r="E2183" s="158">
        <v>5</v>
      </c>
      <c r="F2183" s="158">
        <v>9</v>
      </c>
      <c r="G2183" s="158">
        <v>2</v>
      </c>
      <c r="H2183" s="133" t="s">
        <v>2788</v>
      </c>
      <c r="I2183" s="133" t="s">
        <v>1223</v>
      </c>
      <c r="J2183" s="158">
        <v>0</v>
      </c>
      <c r="K2183" s="159" t="str">
        <f ca="1">IFERROR(__xludf.DUMMYFUNCTION("GOOGLETRANSLATE(H2183,""th"",""en"")"),"Product price (including tax) / previous units")</f>
        <v>Product price (including tax) / previous units</v>
      </c>
    </row>
    <row r="2184" spans="1:11" ht="15.75" hidden="1" customHeight="1">
      <c r="A2184" s="133" t="s">
        <v>7</v>
      </c>
      <c r="B2184" s="133" t="s">
        <v>2776</v>
      </c>
      <c r="C2184" s="133" t="s">
        <v>2789</v>
      </c>
      <c r="D2184" s="133" t="s">
        <v>481</v>
      </c>
      <c r="E2184" s="158">
        <v>5</v>
      </c>
      <c r="F2184" s="158">
        <v>9</v>
      </c>
      <c r="G2184" s="158">
        <v>2</v>
      </c>
      <c r="H2184" s="133" t="s">
        <v>2790</v>
      </c>
      <c r="I2184" s="133" t="s">
        <v>1223</v>
      </c>
      <c r="J2184" s="158">
        <v>0</v>
      </c>
      <c r="K2184" s="159" t="str">
        <f ca="1">IFERROR(__xludf.DUMMYFUNCTION("GOOGLETRANSLATE(H2184,""th"",""en"")"),"Product price - Discount (including tax)")</f>
        <v>Product price - Discount (including tax)</v>
      </c>
    </row>
    <row r="2185" spans="1:11" ht="15.75" hidden="1" customHeight="1">
      <c r="A2185" s="133" t="s">
        <v>7</v>
      </c>
      <c r="B2185" s="133" t="s">
        <v>2776</v>
      </c>
      <c r="C2185" s="133" t="s">
        <v>1397</v>
      </c>
      <c r="D2185" s="133" t="s">
        <v>481</v>
      </c>
      <c r="E2185" s="158">
        <v>5</v>
      </c>
      <c r="F2185" s="158">
        <v>9</v>
      </c>
      <c r="G2185" s="158">
        <v>2</v>
      </c>
      <c r="H2185" s="133" t="s">
        <v>2791</v>
      </c>
      <c r="I2185" s="133" t="s">
        <v>1223</v>
      </c>
      <c r="J2185" s="158">
        <v>0</v>
      </c>
      <c r="K2185" s="159" t="str">
        <f ca="1">IFERROR(__xludf.DUMMYFUNCTION("GOOGLETRANSLATE(H2185,""th"",""en"")"),"Product price (before tax) / unit")</f>
        <v>Product price (before tax) / unit</v>
      </c>
    </row>
    <row r="2186" spans="1:11" ht="15.75" hidden="1" customHeight="1">
      <c r="A2186" s="133" t="s">
        <v>7</v>
      </c>
      <c r="B2186" s="133" t="s">
        <v>2776</v>
      </c>
      <c r="C2186" s="133" t="s">
        <v>2792</v>
      </c>
      <c r="D2186" s="133" t="s">
        <v>481</v>
      </c>
      <c r="E2186" s="158">
        <v>5</v>
      </c>
      <c r="F2186" s="158">
        <v>9</v>
      </c>
      <c r="G2186" s="158">
        <v>2</v>
      </c>
      <c r="H2186" s="133" t="s">
        <v>2793</v>
      </c>
      <c r="I2186" s="133" t="s">
        <v>1223</v>
      </c>
      <c r="J2186" s="158">
        <v>0</v>
      </c>
      <c r="K2186" s="159" t="str">
        <f ca="1">IFERROR(__xludf.DUMMYFUNCTION("GOOGLETRANSLATE(H2186,""th"",""en"")"),"Product price (before tax) / previous units")</f>
        <v>Product price (before tax) / previous units</v>
      </c>
    </row>
    <row r="2187" spans="1:11" ht="15.75" hidden="1" customHeight="1">
      <c r="A2187" s="133" t="s">
        <v>7</v>
      </c>
      <c r="B2187" s="133" t="s">
        <v>2776</v>
      </c>
      <c r="C2187" s="133" t="s">
        <v>2794</v>
      </c>
      <c r="D2187" s="133" t="s">
        <v>477</v>
      </c>
      <c r="E2187" s="158">
        <v>15</v>
      </c>
      <c r="F2187" s="158">
        <v>0</v>
      </c>
      <c r="G2187" s="158">
        <v>0</v>
      </c>
      <c r="H2187" s="133" t="s">
        <v>2795</v>
      </c>
      <c r="I2187" s="133" t="s">
        <v>548</v>
      </c>
      <c r="J2187" s="158">
        <v>0</v>
      </c>
      <c r="K2187" s="159" t="str">
        <f ca="1">IFERROR(__xludf.DUMMYFUNCTION("GOOGLETRANSLATE(H2187,""th"",""en"")"),"The price of this product is the price from the structure (NormalPrice, FixPrice, PromotePrice, Free).")</f>
        <v>The price of this product is the price from the structure (NormalPrice, FixPrice, PromotePrice, Free).</v>
      </c>
    </row>
    <row r="2188" spans="1:11" ht="15.75" hidden="1" customHeight="1">
      <c r="A2188" s="133" t="s">
        <v>7</v>
      </c>
      <c r="B2188" s="133" t="s">
        <v>2776</v>
      </c>
      <c r="C2188" s="133" t="s">
        <v>2796</v>
      </c>
      <c r="D2188" s="133" t="s">
        <v>477</v>
      </c>
      <c r="E2188" s="158">
        <v>3</v>
      </c>
      <c r="F2188" s="158">
        <v>0</v>
      </c>
      <c r="G2188" s="158">
        <v>0</v>
      </c>
      <c r="H2188" s="133" t="s">
        <v>2797</v>
      </c>
      <c r="I2188" s="133" t="s">
        <v>596</v>
      </c>
      <c r="J2188" s="158">
        <v>0</v>
      </c>
      <c r="K2188" s="159" t="str">
        <f ca="1">IFERROR(__xludf.DUMMYFUNCTION("GOOGLETRANSLATE(H2188,""th"",""en"")"),"Is a free product (Yes, NO)")</f>
        <v>Is a free product (Yes, NO)</v>
      </c>
    </row>
    <row r="2189" spans="1:11" ht="15.75" hidden="1" customHeight="1">
      <c r="A2189" s="133" t="s">
        <v>7</v>
      </c>
      <c r="B2189" s="133" t="s">
        <v>2776</v>
      </c>
      <c r="C2189" s="133" t="s">
        <v>1840</v>
      </c>
      <c r="D2189" s="133" t="s">
        <v>477</v>
      </c>
      <c r="E2189" s="158">
        <v>3</v>
      </c>
      <c r="F2189" s="158">
        <v>0</v>
      </c>
      <c r="G2189" s="158">
        <v>0</v>
      </c>
      <c r="H2189" s="133" t="s">
        <v>2798</v>
      </c>
      <c r="I2189" s="133" t="s">
        <v>2011</v>
      </c>
      <c r="J2189" s="158">
        <v>0</v>
      </c>
      <c r="K2189" s="159" t="str">
        <f ca="1">IFERROR(__xludf.DUMMYFUNCTION("GOOGLETRANSLATE(H2189,""th"",""en"")"),"Product Tax (YES = Think VAT, No = Don't Think VAT)")</f>
        <v>Product Tax (YES = Think VAT, No = Don't Think VAT)</v>
      </c>
    </row>
    <row r="2190" spans="1:11" ht="15.75" hidden="1" customHeight="1">
      <c r="A2190" s="133" t="s">
        <v>7</v>
      </c>
      <c r="B2190" s="133" t="s">
        <v>2776</v>
      </c>
      <c r="C2190" s="133" t="s">
        <v>1401</v>
      </c>
      <c r="D2190" s="133" t="s">
        <v>477</v>
      </c>
      <c r="E2190" s="158">
        <v>3</v>
      </c>
      <c r="F2190" s="158">
        <v>0</v>
      </c>
      <c r="G2190" s="158">
        <v>0</v>
      </c>
      <c r="H2190" s="133" t="s">
        <v>2799</v>
      </c>
      <c r="I2190" s="133" t="s">
        <v>596</v>
      </c>
      <c r="J2190" s="158">
        <v>0</v>
      </c>
      <c r="K2190" s="159" t="str">
        <f ca="1">IFERROR(__xludf.DUMMYFUNCTION("GOOGLETRANSLATE(H2190,""th"",""en"")"),"Products do not exceed discounts (YES = do not reduce, no = reduction)")</f>
        <v>Products do not exceed discounts (YES = do not reduce, no = reduction)</v>
      </c>
    </row>
    <row r="2191" spans="1:11" ht="15.75" hidden="1" customHeight="1">
      <c r="A2191" s="133" t="s">
        <v>7</v>
      </c>
      <c r="B2191" s="133" t="s">
        <v>2776</v>
      </c>
      <c r="C2191" s="133" t="s">
        <v>1440</v>
      </c>
      <c r="D2191" s="133" t="s">
        <v>481</v>
      </c>
      <c r="E2191" s="158">
        <v>5</v>
      </c>
      <c r="F2191" s="158">
        <v>9</v>
      </c>
      <c r="G2191" s="158">
        <v>2</v>
      </c>
      <c r="H2191" s="133" t="s">
        <v>2800</v>
      </c>
      <c r="I2191" s="133" t="s">
        <v>1223</v>
      </c>
      <c r="J2191" s="158">
        <v>0</v>
      </c>
      <c r="K2191" s="159" t="str">
        <f ca="1">IFERROR(__xludf.DUMMYFUNCTION("GOOGLETRANSLATE(H2191,""th"",""en"")"),"Customer discount (%) such as 0, 3")</f>
        <v>Customer discount (%) such as 0, 3</v>
      </c>
    </row>
    <row r="2192" spans="1:11" ht="15.75" hidden="1" customHeight="1">
      <c r="A2192" s="133" t="s">
        <v>7</v>
      </c>
      <c r="B2192" s="133" t="s">
        <v>2776</v>
      </c>
      <c r="C2192" s="133" t="s">
        <v>2801</v>
      </c>
      <c r="D2192" s="133" t="s">
        <v>481</v>
      </c>
      <c r="E2192" s="158">
        <v>5</v>
      </c>
      <c r="F2192" s="158">
        <v>9</v>
      </c>
      <c r="G2192" s="158">
        <v>2</v>
      </c>
      <c r="H2192" s="133" t="s">
        <v>2802</v>
      </c>
      <c r="I2192" s="133" t="s">
        <v>1223</v>
      </c>
      <c r="J2192" s="158">
        <v>0</v>
      </c>
      <c r="K2192" s="159" t="str">
        <f ca="1">IFERROR(__xludf.DUMMYFUNCTION("GOOGLETRANSLATE(H2192,""th"",""en"")"),"Customer discount (%), such as 0, 3 (original before editing)")</f>
        <v>Customer discount (%), such as 0, 3 (original before editing)</v>
      </c>
    </row>
    <row r="2193" spans="1:11" ht="15.75" hidden="1" customHeight="1">
      <c r="A2193" s="133" t="s">
        <v>7</v>
      </c>
      <c r="B2193" s="133" t="s">
        <v>2776</v>
      </c>
      <c r="C2193" s="133" t="s">
        <v>2803</v>
      </c>
      <c r="D2193" s="133" t="s">
        <v>481</v>
      </c>
      <c r="E2193" s="158">
        <v>5</v>
      </c>
      <c r="F2193" s="158">
        <v>9</v>
      </c>
      <c r="G2193" s="158">
        <v>2</v>
      </c>
      <c r="H2193" s="133" t="s">
        <v>2804</v>
      </c>
      <c r="I2193" s="133" t="s">
        <v>1223</v>
      </c>
      <c r="J2193" s="158">
        <v>0</v>
      </c>
      <c r="K2193" s="159" t="str">
        <f ca="1">IFERROR(__xludf.DUMMYFUNCTION("GOOGLETRANSLATE(H2193,""th"",""en"")"),"Product discounts (including tax)")</f>
        <v>Product discounts (including tax)</v>
      </c>
    </row>
    <row r="2194" spans="1:11" ht="15.75" hidden="1" customHeight="1">
      <c r="A2194" s="133" t="s">
        <v>7</v>
      </c>
      <c r="B2194" s="133" t="s">
        <v>2776</v>
      </c>
      <c r="C2194" s="133" t="s">
        <v>2805</v>
      </c>
      <c r="D2194" s="133" t="s">
        <v>481</v>
      </c>
      <c r="E2194" s="158">
        <v>5</v>
      </c>
      <c r="F2194" s="158">
        <v>9</v>
      </c>
      <c r="G2194" s="158">
        <v>2</v>
      </c>
      <c r="H2194" s="133" t="s">
        <v>2806</v>
      </c>
      <c r="I2194" s="133" t="s">
        <v>1223</v>
      </c>
      <c r="J2194" s="158">
        <v>0</v>
      </c>
      <c r="K2194" s="159" t="str">
        <f ca="1">IFERROR(__xludf.DUMMYFUNCTION("GOOGLETRANSLATE(H2194,""th"",""en"")"),"Product discounts (excluding taxes)")</f>
        <v>Product discounts (excluding taxes)</v>
      </c>
    </row>
    <row r="2195" spans="1:11" ht="15.75" hidden="1" customHeight="1">
      <c r="A2195" s="133" t="s">
        <v>7</v>
      </c>
      <c r="B2195" s="133" t="s">
        <v>2776</v>
      </c>
      <c r="C2195" s="133" t="s">
        <v>1914</v>
      </c>
      <c r="D2195" s="133" t="s">
        <v>481</v>
      </c>
      <c r="E2195" s="158">
        <v>5</v>
      </c>
      <c r="F2195" s="158">
        <v>9</v>
      </c>
      <c r="G2195" s="158">
        <v>2</v>
      </c>
      <c r="H2195" s="133" t="s">
        <v>2807</v>
      </c>
      <c r="I2195" s="133" t="s">
        <v>1223</v>
      </c>
      <c r="J2195" s="158">
        <v>0</v>
      </c>
      <c r="K2195" s="159" t="str">
        <f ca="1">IFERROR(__xludf.DUMMYFUNCTION("GOOGLETRANSLATE(H2195,""th"",""en"")"),"Tax value (baht)")</f>
        <v>Tax value (baht)</v>
      </c>
    </row>
    <row r="2196" spans="1:11" ht="15.75" hidden="1" customHeight="1">
      <c r="A2196" s="133" t="s">
        <v>7</v>
      </c>
      <c r="B2196" s="133" t="s">
        <v>2776</v>
      </c>
      <c r="C2196" s="133" t="s">
        <v>2808</v>
      </c>
      <c r="D2196" s="133" t="s">
        <v>481</v>
      </c>
      <c r="E2196" s="158">
        <v>5</v>
      </c>
      <c r="F2196" s="158">
        <v>9</v>
      </c>
      <c r="G2196" s="158">
        <v>2</v>
      </c>
      <c r="H2196" s="133" t="s">
        <v>2809</v>
      </c>
      <c r="I2196" s="133" t="s">
        <v>1223</v>
      </c>
      <c r="J2196" s="158">
        <v>0</v>
      </c>
      <c r="K2196" s="159" t="str">
        <f ca="1">IFERROR(__xludf.DUMMYFUNCTION("GOOGLETRANSLATE(H2196,""th"",""en"")"),"Net product price (After deduction) x Order amount")</f>
        <v>Net product price (After deduction) x Order amount</v>
      </c>
    </row>
    <row r="2197" spans="1:11" ht="15.75" hidden="1" customHeight="1">
      <c r="A2197" s="133" t="s">
        <v>7</v>
      </c>
      <c r="B2197" s="133" t="s">
        <v>2776</v>
      </c>
      <c r="C2197" s="133" t="s">
        <v>1831</v>
      </c>
      <c r="D2197" s="133" t="s">
        <v>481</v>
      </c>
      <c r="E2197" s="158">
        <v>5</v>
      </c>
      <c r="F2197" s="158">
        <v>9</v>
      </c>
      <c r="G2197" s="158">
        <v>2</v>
      </c>
      <c r="H2197" s="133" t="s">
        <v>2810</v>
      </c>
      <c r="I2197" s="133" t="s">
        <v>1223</v>
      </c>
      <c r="J2197" s="158">
        <v>0</v>
      </c>
      <c r="K2197" s="159" t="str">
        <f ca="1">IFERROR(__xludf.DUMMYFUNCTION("GOOGLETRANSLATE(H2197,""th"",""en"")"),"Special shipping by item per SKU product")</f>
        <v>Special shipping by item per SKU product</v>
      </c>
    </row>
    <row r="2198" spans="1:11" ht="15.75" hidden="1" customHeight="1">
      <c r="A2198" s="133" t="s">
        <v>7</v>
      </c>
      <c r="B2198" s="133" t="s">
        <v>2776</v>
      </c>
      <c r="C2198" s="133" t="s">
        <v>2811</v>
      </c>
      <c r="D2198" s="133" t="s">
        <v>481</v>
      </c>
      <c r="E2198" s="158">
        <v>5</v>
      </c>
      <c r="F2198" s="158">
        <v>9</v>
      </c>
      <c r="G2198" s="158">
        <v>2</v>
      </c>
      <c r="H2198" s="133" t="s">
        <v>2812</v>
      </c>
      <c r="I2198" s="133" t="s">
        <v>1223</v>
      </c>
      <c r="J2198" s="158">
        <v>0</v>
      </c>
      <c r="K2198" s="159" t="str">
        <f ca="1">IFERROR(__xludf.DUMMYFUNCTION("GOOGLETRANSLATE(H2198,""th"",""en"")"),"Special shipping by item per SKU product before editing")</f>
        <v>Special shipping by item per SKU product before editing</v>
      </c>
    </row>
    <row r="2199" spans="1:11" ht="15.75" hidden="1" customHeight="1">
      <c r="A2199" s="133" t="s">
        <v>7</v>
      </c>
      <c r="B2199" s="133" t="s">
        <v>2776</v>
      </c>
      <c r="C2199" s="133" t="s">
        <v>2813</v>
      </c>
      <c r="D2199" s="133" t="s">
        <v>481</v>
      </c>
      <c r="E2199" s="158">
        <v>5</v>
      </c>
      <c r="F2199" s="158">
        <v>9</v>
      </c>
      <c r="G2199" s="158">
        <v>2</v>
      </c>
      <c r="H2199" s="133" t="s">
        <v>2814</v>
      </c>
      <c r="I2199" s="133" t="s">
        <v>1223</v>
      </c>
      <c r="J2199" s="158">
        <v>0</v>
      </c>
      <c r="K2199" s="159" t="str">
        <f ca="1">IFERROR(__xludf.DUMMYFUNCTION("GOOGLETRANSLATE(H2199,""th"",""en"")"),"Cost of product (Before requesting approval)")</f>
        <v>Cost of product (Before requesting approval)</v>
      </c>
    </row>
    <row r="2200" spans="1:11" ht="15.75" hidden="1" customHeight="1">
      <c r="A2200" s="133" t="s">
        <v>7</v>
      </c>
      <c r="B2200" s="133" t="s">
        <v>2776</v>
      </c>
      <c r="C2200" s="133" t="s">
        <v>2815</v>
      </c>
      <c r="D2200" s="133" t="s">
        <v>481</v>
      </c>
      <c r="E2200" s="158">
        <v>5</v>
      </c>
      <c r="F2200" s="158">
        <v>9</v>
      </c>
      <c r="G2200" s="158">
        <v>2</v>
      </c>
      <c r="H2200" s="133" t="s">
        <v>2816</v>
      </c>
      <c r="I2200" s="133" t="s">
        <v>1223</v>
      </c>
      <c r="J2200" s="158">
        <v>0</v>
      </c>
      <c r="K2200" s="159" t="str">
        <f ca="1">IFERROR(__xludf.DUMMYFUNCTION("GOOGLETRANSLATE(H2200,""th"",""en"")"),"Cost of product (After requesting approval)")</f>
        <v>Cost of product (After requesting approval)</v>
      </c>
    </row>
    <row r="2201" spans="1:11" ht="15.75" hidden="1" customHeight="1">
      <c r="A2201" s="133" t="s">
        <v>7</v>
      </c>
      <c r="B2201" s="133" t="s">
        <v>2776</v>
      </c>
      <c r="C2201" s="133" t="s">
        <v>2817</v>
      </c>
      <c r="D2201" s="133" t="s">
        <v>481</v>
      </c>
      <c r="E2201" s="158">
        <v>5</v>
      </c>
      <c r="F2201" s="158">
        <v>9</v>
      </c>
      <c r="G2201" s="158">
        <v>2</v>
      </c>
      <c r="H2201" s="133" t="s">
        <v>2818</v>
      </c>
      <c r="I2201" s="133" t="s">
        <v>1223</v>
      </c>
      <c r="J2201" s="158">
        <v>0</v>
      </c>
      <c r="K2201" s="159" t="str">
        <f ca="1">IFERROR(__xludf.DUMMYFUNCTION("GOOGLETRANSLATE(H2201,""th"",""en"")"),"Product discounts (including tax) before editing")</f>
        <v>Product discounts (including tax) before editing</v>
      </c>
    </row>
    <row r="2202" spans="1:11" ht="15.75" hidden="1" customHeight="1">
      <c r="A2202" s="133" t="s">
        <v>7</v>
      </c>
      <c r="B2202" s="133" t="s">
        <v>2776</v>
      </c>
      <c r="C2202" s="133" t="s">
        <v>2819</v>
      </c>
      <c r="D2202" s="133" t="s">
        <v>481</v>
      </c>
      <c r="E2202" s="158">
        <v>5</v>
      </c>
      <c r="F2202" s="158">
        <v>9</v>
      </c>
      <c r="G2202" s="158">
        <v>2</v>
      </c>
      <c r="H2202" s="133" t="s">
        <v>2820</v>
      </c>
      <c r="I2202" s="133" t="s">
        <v>1223</v>
      </c>
      <c r="J2202" s="158">
        <v>0</v>
      </c>
      <c r="K2202" s="159" t="str">
        <f ca="1">IFERROR(__xludf.DUMMYFUNCTION("GOOGLETRANSLATE(H2202,""th"",""en"")"),"Product discounts (before taxes) before editing")</f>
        <v>Product discounts (before taxes) before editing</v>
      </c>
    </row>
    <row r="2203" spans="1:11" ht="15.75" hidden="1" customHeight="1">
      <c r="A2203" s="133" t="s">
        <v>7</v>
      </c>
      <c r="B2203" s="133" t="s">
        <v>2776</v>
      </c>
      <c r="C2203" s="133" t="s">
        <v>2821</v>
      </c>
      <c r="D2203" s="133" t="s">
        <v>481</v>
      </c>
      <c r="E2203" s="158">
        <v>5</v>
      </c>
      <c r="F2203" s="158">
        <v>9</v>
      </c>
      <c r="G2203" s="158">
        <v>2</v>
      </c>
      <c r="H2203" s="133" t="s">
        <v>2822</v>
      </c>
      <c r="I2203" s="133" t="s">
        <v>1223</v>
      </c>
      <c r="J2203" s="158">
        <v>0</v>
      </c>
      <c r="K2203" s="159" t="str">
        <f ca="1">IFERROR(__xludf.DUMMYFUNCTION("GOOGLETRANSLATE(H2203,""th"",""en"")"),"Discounts that are Voucher By Item")</f>
        <v>Discounts that are Voucher By Item</v>
      </c>
    </row>
    <row r="2204" spans="1:11" ht="15.75" hidden="1" customHeight="1">
      <c r="A2204" s="133" t="s">
        <v>7</v>
      </c>
      <c r="B2204" s="133" t="s">
        <v>2776</v>
      </c>
      <c r="C2204" s="133" t="s">
        <v>2823</v>
      </c>
      <c r="D2204" s="133" t="s">
        <v>481</v>
      </c>
      <c r="E2204" s="158">
        <v>5</v>
      </c>
      <c r="F2204" s="158">
        <v>9</v>
      </c>
      <c r="G2204" s="158">
        <v>2</v>
      </c>
      <c r="H2204" s="133" t="s">
        <v>2824</v>
      </c>
      <c r="I2204" s="133" t="s">
        <v>1223</v>
      </c>
      <c r="J2204" s="158">
        <v>0</v>
      </c>
      <c r="K2204" s="159" t="str">
        <f ca="1">IFERROR(__xludf.DUMMYFUNCTION("GOOGLETRANSLATE(H2204,""th"",""en"")"),"Coupon discount (Baht) of this product list (including tax)")</f>
        <v>Coupon discount (Baht) of this product list (including tax)</v>
      </c>
    </row>
    <row r="2205" spans="1:11" ht="15.75" hidden="1" customHeight="1">
      <c r="A2205" s="133" t="s">
        <v>7</v>
      </c>
      <c r="B2205" s="133" t="s">
        <v>2776</v>
      </c>
      <c r="C2205" s="133" t="s">
        <v>2825</v>
      </c>
      <c r="D2205" s="133" t="s">
        <v>481</v>
      </c>
      <c r="E2205" s="158">
        <v>5</v>
      </c>
      <c r="F2205" s="158">
        <v>9</v>
      </c>
      <c r="G2205" s="158">
        <v>2</v>
      </c>
      <c r="H2205" s="133" t="s">
        <v>2826</v>
      </c>
      <c r="I2205" s="133" t="s">
        <v>1223</v>
      </c>
      <c r="J2205" s="158">
        <v>0</v>
      </c>
      <c r="K2205" s="159" t="str">
        <f ca="1">IFERROR(__xludf.DUMMYFUNCTION("GOOGLETRANSLATE(H2205,""th"",""en"")"),"Coupon discount (Baht) of this product list (excluding tax)")</f>
        <v>Coupon discount (Baht) of this product list (excluding tax)</v>
      </c>
    </row>
    <row r="2206" spans="1:11" ht="15.75" hidden="1" customHeight="1">
      <c r="A2206" s="133" t="s">
        <v>7</v>
      </c>
      <c r="B2206" s="133" t="s">
        <v>2776</v>
      </c>
      <c r="C2206" s="133" t="s">
        <v>2827</v>
      </c>
      <c r="D2206" s="133" t="s">
        <v>481</v>
      </c>
      <c r="E2206" s="158">
        <v>5</v>
      </c>
      <c r="F2206" s="158">
        <v>9</v>
      </c>
      <c r="G2206" s="158">
        <v>2</v>
      </c>
      <c r="H2206" s="133" t="s">
        <v>2828</v>
      </c>
      <c r="I2206" s="133" t="s">
        <v>1223</v>
      </c>
      <c r="J2206" s="158">
        <v>0</v>
      </c>
      <c r="K2206" s="159" t="str">
        <f ca="1">IFERROR(__xludf.DUMMYFUNCTION("GOOGLETRANSLATE(H2206,""th"",""en"")"),"Discount coupons per transaction (including tax)")</f>
        <v>Discount coupons per transaction (including tax)</v>
      </c>
    </row>
    <row r="2207" spans="1:11" ht="15.75" hidden="1" customHeight="1">
      <c r="A2207" s="133" t="s">
        <v>7</v>
      </c>
      <c r="B2207" s="133" t="s">
        <v>2776</v>
      </c>
      <c r="C2207" s="133" t="s">
        <v>2829</v>
      </c>
      <c r="D2207" s="133" t="s">
        <v>481</v>
      </c>
      <c r="E2207" s="158">
        <v>5</v>
      </c>
      <c r="F2207" s="158">
        <v>9</v>
      </c>
      <c r="G2207" s="158">
        <v>2</v>
      </c>
      <c r="H2207" s="133" t="s">
        <v>2830</v>
      </c>
      <c r="I2207" s="133" t="s">
        <v>1223</v>
      </c>
      <c r="J2207" s="158">
        <v>0</v>
      </c>
      <c r="K2207" s="159" t="str">
        <f ca="1">IFERROR(__xludf.DUMMYFUNCTION("GOOGLETRANSLATE(H2207,""th"",""en"")"),"Discount coupons per item (excluding tax)")</f>
        <v>Discount coupons per item (excluding tax)</v>
      </c>
    </row>
    <row r="2208" spans="1:11" ht="15.75" hidden="1" customHeight="1">
      <c r="A2208" s="133" t="s">
        <v>7</v>
      </c>
      <c r="B2208" s="133" t="s">
        <v>2776</v>
      </c>
      <c r="C2208" s="133" t="s">
        <v>2831</v>
      </c>
      <c r="D2208" s="133" t="s">
        <v>481</v>
      </c>
      <c r="E2208" s="158">
        <v>5</v>
      </c>
      <c r="F2208" s="158">
        <v>9</v>
      </c>
      <c r="G2208" s="158">
        <v>2</v>
      </c>
      <c r="H2208" s="133" t="s">
        <v>2832</v>
      </c>
      <c r="I2208" s="133" t="s">
        <v>1223</v>
      </c>
      <c r="J2208" s="158">
        <v>0</v>
      </c>
      <c r="K2208" s="159" t="str">
        <f ca="1">IFERROR(__xludf.DUMMYFUNCTION("GOOGLETRANSLATE(H2208,""th"",""en"")"),"Discount promotions per transaction (including tax)")</f>
        <v>Discount promotions per transaction (including tax)</v>
      </c>
    </row>
    <row r="2209" spans="1:11" ht="15.75" hidden="1" customHeight="1">
      <c r="A2209" s="133" t="s">
        <v>7</v>
      </c>
      <c r="B2209" s="133" t="s">
        <v>2776</v>
      </c>
      <c r="C2209" s="133" t="s">
        <v>2833</v>
      </c>
      <c r="D2209" s="133" t="s">
        <v>481</v>
      </c>
      <c r="E2209" s="158">
        <v>5</v>
      </c>
      <c r="F2209" s="158">
        <v>9</v>
      </c>
      <c r="G2209" s="158">
        <v>2</v>
      </c>
      <c r="H2209" s="133" t="s">
        <v>2834</v>
      </c>
      <c r="I2209" s="133" t="s">
        <v>1223</v>
      </c>
      <c r="J2209" s="158">
        <v>0</v>
      </c>
      <c r="K2209" s="159" t="str">
        <f ca="1">IFERROR(__xludf.DUMMYFUNCTION("GOOGLETRANSLATE(H2209,""th"",""en"")"),"Discount promotions per item (excluding tax)")</f>
        <v>Discount promotions per item (excluding tax)</v>
      </c>
    </row>
    <row r="2210" spans="1:11" ht="15.75" hidden="1" customHeight="1">
      <c r="A2210" s="133" t="s">
        <v>7</v>
      </c>
      <c r="B2210" s="133" t="s">
        <v>2776</v>
      </c>
      <c r="C2210" s="133" t="s">
        <v>2835</v>
      </c>
      <c r="D2210" s="133" t="s">
        <v>481</v>
      </c>
      <c r="E2210" s="158">
        <v>5</v>
      </c>
      <c r="F2210" s="158">
        <v>9</v>
      </c>
      <c r="G2210" s="158">
        <v>2</v>
      </c>
      <c r="H2210" s="133" t="s">
        <v>2836</v>
      </c>
      <c r="I2210" s="133" t="s">
        <v>1223</v>
      </c>
      <c r="J2210" s="158">
        <v>0</v>
      </c>
      <c r="K2210" s="159" t="str">
        <f ca="1">IFERROR(__xludf.DUMMYFUNCTION("GOOGLETRANSLATE(H2210,""th"",""en"")"),"Discount promotions From the payment type Participating per entry (including tax)")</f>
        <v>Discount promotions From the payment type Participating per entry (including tax)</v>
      </c>
    </row>
    <row r="2211" spans="1:11" ht="15.75" hidden="1" customHeight="1">
      <c r="A2211" s="133" t="s">
        <v>7</v>
      </c>
      <c r="B2211" s="133" t="s">
        <v>2776</v>
      </c>
      <c r="C2211" s="133" t="s">
        <v>2837</v>
      </c>
      <c r="D2211" s="133" t="s">
        <v>481</v>
      </c>
      <c r="E2211" s="158">
        <v>5</v>
      </c>
      <c r="F2211" s="158">
        <v>9</v>
      </c>
      <c r="G2211" s="158">
        <v>2</v>
      </c>
      <c r="H2211" s="133" t="s">
        <v>2838</v>
      </c>
      <c r="I2211" s="133" t="s">
        <v>1223</v>
      </c>
      <c r="J2211" s="158">
        <v>0</v>
      </c>
      <c r="K2211" s="159" t="str">
        <f ca="1">IFERROR(__xludf.DUMMYFUNCTION("GOOGLETRANSLATE(H2211,""th"",""en"")"),"Discount promotions From the payment type per item (excluding tax)")</f>
        <v>Discount promotions From the payment type per item (excluding tax)</v>
      </c>
    </row>
    <row r="2212" spans="1:11" ht="15.75" hidden="1" customHeight="1">
      <c r="A2212" s="133" t="s">
        <v>7</v>
      </c>
      <c r="B2212" s="133" t="s">
        <v>2776</v>
      </c>
      <c r="C2212" s="133" t="s">
        <v>2839</v>
      </c>
      <c r="D2212" s="133" t="s">
        <v>484</v>
      </c>
      <c r="E2212" s="158">
        <v>4</v>
      </c>
      <c r="F2212" s="158">
        <v>10</v>
      </c>
      <c r="G2212" s="158">
        <v>0</v>
      </c>
      <c r="H2212" s="133" t="s">
        <v>2840</v>
      </c>
      <c r="I2212" s="133" t="s">
        <v>615</v>
      </c>
      <c r="J2212" s="158">
        <v>0</v>
      </c>
      <c r="K2212" s="159" t="str">
        <f ca="1">IFERROR(__xludf.DUMMYFUNCTION("GOOGLETRANSLATE(H2212,""th"",""en"")"),"Number of orders required")</f>
        <v>Number of orders required</v>
      </c>
    </row>
    <row r="2213" spans="1:11" ht="15.75" hidden="1" customHeight="1">
      <c r="A2213" s="133" t="s">
        <v>7</v>
      </c>
      <c r="B2213" s="133" t="s">
        <v>2776</v>
      </c>
      <c r="C2213" s="133" t="s">
        <v>2841</v>
      </c>
      <c r="D2213" s="133" t="s">
        <v>484</v>
      </c>
      <c r="E2213" s="158">
        <v>4</v>
      </c>
      <c r="F2213" s="158">
        <v>10</v>
      </c>
      <c r="G2213" s="158">
        <v>0</v>
      </c>
      <c r="H2213" s="133" t="s">
        <v>2842</v>
      </c>
      <c r="I2213" s="133" t="s">
        <v>615</v>
      </c>
      <c r="J2213" s="158">
        <v>0</v>
      </c>
      <c r="K2213" s="159" t="str">
        <f ca="1">IFERROR(__xludf.DUMMYFUNCTION("GOOGLETRANSLATE(H2213,""th"",""en"")"),"Number of stock of products")</f>
        <v>Number of stock of products</v>
      </c>
    </row>
    <row r="2214" spans="1:11" ht="15.75" hidden="1" customHeight="1">
      <c r="A2214" s="133" t="s">
        <v>7</v>
      </c>
      <c r="B2214" s="133" t="s">
        <v>2776</v>
      </c>
      <c r="C2214" s="133" t="s">
        <v>2843</v>
      </c>
      <c r="D2214" s="133" t="s">
        <v>484</v>
      </c>
      <c r="E2214" s="158">
        <v>4</v>
      </c>
      <c r="F2214" s="158">
        <v>10</v>
      </c>
      <c r="G2214" s="158">
        <v>0</v>
      </c>
      <c r="H2214" s="133" t="s">
        <v>2844</v>
      </c>
      <c r="I2214" s="133" t="s">
        <v>615</v>
      </c>
      <c r="J2214" s="158">
        <v>0</v>
      </c>
      <c r="K2214" s="159" t="str">
        <f ca="1">IFERROR(__xludf.DUMMYFUNCTION("GOOGLETRANSLATE(H2214,""th"",""en"")"),"Number of products")</f>
        <v>Number of products</v>
      </c>
    </row>
    <row r="2215" spans="1:11" ht="15.75" hidden="1" customHeight="1">
      <c r="A2215" s="133" t="s">
        <v>7</v>
      </c>
      <c r="B2215" s="133" t="s">
        <v>2776</v>
      </c>
      <c r="C2215" s="133" t="s">
        <v>2845</v>
      </c>
      <c r="D2215" s="133" t="s">
        <v>484</v>
      </c>
      <c r="E2215" s="158">
        <v>4</v>
      </c>
      <c r="F2215" s="158">
        <v>10</v>
      </c>
      <c r="G2215" s="158">
        <v>0</v>
      </c>
      <c r="H2215" s="133" t="s">
        <v>2846</v>
      </c>
      <c r="I2215" s="133" t="s">
        <v>615</v>
      </c>
      <c r="J2215" s="158">
        <v>0</v>
      </c>
      <c r="K2215" s="159" t="str">
        <f ca="1">IFERROR(__xludf.DUMMYFUNCTION("GOOGLETRANSLATE(H2215,""th"",""en"")"),"Number of ratio products x Product number")</f>
        <v>Number of ratio products x Product number</v>
      </c>
    </row>
    <row r="2216" spans="1:11" ht="15.75" hidden="1" customHeight="1">
      <c r="A2216" s="133" t="s">
        <v>7</v>
      </c>
      <c r="B2216" s="133" t="s">
        <v>2776</v>
      </c>
      <c r="C2216" s="133" t="s">
        <v>2847</v>
      </c>
      <c r="D2216" s="133" t="s">
        <v>477</v>
      </c>
      <c r="E2216" s="158">
        <v>20</v>
      </c>
      <c r="F2216" s="158">
        <v>0</v>
      </c>
      <c r="G2216" s="158">
        <v>0</v>
      </c>
      <c r="H2216" s="133" t="s">
        <v>2848</v>
      </c>
      <c r="I2216" s="133" t="s">
        <v>548</v>
      </c>
      <c r="J2216" s="158">
        <v>0</v>
      </c>
      <c r="K2216" s="159" t="str">
        <f ca="1">IFERROR(__xludf.DUMMYFUNCTION("GOOGLETRANSLATE(H2216,""th"",""en"")"),"Unit &amp; Selling Price. Standard Unit Name")</f>
        <v>Unit &amp; Selling Price. Standard Unit Name</v>
      </c>
    </row>
    <row r="2217" spans="1:11" ht="15.75" hidden="1" customHeight="1">
      <c r="A2217" s="133" t="s">
        <v>7</v>
      </c>
      <c r="B2217" s="133" t="s">
        <v>2776</v>
      </c>
      <c r="C2217" s="133" t="s">
        <v>2849</v>
      </c>
      <c r="D2217" s="133" t="s">
        <v>484</v>
      </c>
      <c r="E2217" s="158">
        <v>4</v>
      </c>
      <c r="F2217" s="158">
        <v>10</v>
      </c>
      <c r="G2217" s="158">
        <v>0</v>
      </c>
      <c r="H2217" s="133" t="s">
        <v>2850</v>
      </c>
      <c r="I2217" s="133" t="s">
        <v>548</v>
      </c>
      <c r="J2217" s="158">
        <v>0</v>
      </c>
      <c r="K2217" s="159" t="str">
        <f ca="1">IFERROR(__xludf.DUMMYFUNCTION("GOOGLETRANSLATE(H2217,""th"",""en"")"),"Product parts per sales unit")</f>
        <v>Product parts per sales unit</v>
      </c>
    </row>
    <row r="2218" spans="1:11" ht="15.75" hidden="1" customHeight="1">
      <c r="A2218" s="133" t="s">
        <v>7</v>
      </c>
      <c r="B2218" s="133" t="s">
        <v>2776</v>
      </c>
      <c r="C2218" s="133" t="s">
        <v>1849</v>
      </c>
      <c r="D2218" s="133" t="s">
        <v>477</v>
      </c>
      <c r="E2218" s="158">
        <v>20</v>
      </c>
      <c r="F2218" s="158">
        <v>0</v>
      </c>
      <c r="G2218" s="158">
        <v>0</v>
      </c>
      <c r="H2218" s="133" t="s">
        <v>2851</v>
      </c>
      <c r="I2218" s="133" t="s">
        <v>548</v>
      </c>
      <c r="J2218" s="158">
        <v>0</v>
      </c>
      <c r="K2218" s="159" t="str">
        <f ca="1">IFERROR(__xludf.DUMMYFUNCTION("GOOGLETRANSLATE(H2218,""th"",""en"")"),"Product group type (Computer, Furniture, Office Automation, ...")</f>
        <v>Product group type (Computer, Furniture, Office Automation, ...</v>
      </c>
    </row>
    <row r="2219" spans="1:11" ht="15.75" hidden="1" customHeight="1">
      <c r="A2219" s="133" t="s">
        <v>7</v>
      </c>
      <c r="B2219" s="133" t="s">
        <v>2776</v>
      </c>
      <c r="C2219" s="133" t="s">
        <v>1835</v>
      </c>
      <c r="D2219" s="133" t="s">
        <v>477</v>
      </c>
      <c r="E2219" s="158">
        <v>10</v>
      </c>
      <c r="F2219" s="158">
        <v>0</v>
      </c>
      <c r="G2219" s="158">
        <v>0</v>
      </c>
      <c r="H2219" s="133" t="s">
        <v>2852</v>
      </c>
      <c r="I2219" s="133" t="s">
        <v>548</v>
      </c>
      <c r="J2219" s="158">
        <v>0</v>
      </c>
      <c r="K2219" s="159" t="str">
        <f ca="1">IFERROR(__xludf.DUMMYFUNCTION("GOOGLETRANSLATE(H2219,""th"",""en"")"),"Product status")</f>
        <v>Product status</v>
      </c>
    </row>
    <row r="2220" spans="1:11" ht="15.75" hidden="1" customHeight="1">
      <c r="A2220" s="133" t="s">
        <v>7</v>
      </c>
      <c r="B2220" s="133" t="s">
        <v>2776</v>
      </c>
      <c r="C2220" s="133" t="s">
        <v>2141</v>
      </c>
      <c r="D2220" s="133" t="s">
        <v>477</v>
      </c>
      <c r="E2220" s="158">
        <v>3</v>
      </c>
      <c r="F2220" s="158">
        <v>0</v>
      </c>
      <c r="G2220" s="158">
        <v>0</v>
      </c>
      <c r="H2220" s="133" t="s">
        <v>2853</v>
      </c>
      <c r="I2220" s="133" t="s">
        <v>548</v>
      </c>
      <c r="J2220" s="158">
        <v>0</v>
      </c>
      <c r="K2220" s="159" t="str">
        <f ca="1">IFERROR(__xludf.DUMMYFUNCTION("GOOGLETRANSLATE(H2220,""th"",""en"")"),"Product category")</f>
        <v>Product category</v>
      </c>
    </row>
    <row r="2221" spans="1:11" ht="15.75" hidden="1" customHeight="1">
      <c r="A2221" s="133" t="s">
        <v>7</v>
      </c>
      <c r="B2221" s="133" t="s">
        <v>2776</v>
      </c>
      <c r="C2221" s="133" t="s">
        <v>2854</v>
      </c>
      <c r="D2221" s="133" t="s">
        <v>477</v>
      </c>
      <c r="E2221" s="158">
        <v>2</v>
      </c>
      <c r="F2221" s="158">
        <v>0</v>
      </c>
      <c r="G2221" s="158">
        <v>0</v>
      </c>
      <c r="H2221" s="133" t="s">
        <v>2855</v>
      </c>
      <c r="I2221" s="133" t="s">
        <v>548</v>
      </c>
      <c r="J2221" s="158">
        <v>0</v>
      </c>
      <c r="K2221" s="159" t="str">
        <f ca="1">IFERROR(__xludf.DUMMYFUNCTION("GOOGLETRANSLATE(H2221,""th"",""en"")"),"Product category code")</f>
        <v>Product category code</v>
      </c>
    </row>
    <row r="2222" spans="1:11" ht="15.75" hidden="1" customHeight="1">
      <c r="A2222" s="133" t="s">
        <v>7</v>
      </c>
      <c r="B2222" s="133" t="s">
        <v>2776</v>
      </c>
      <c r="C2222" s="133" t="s">
        <v>2856</v>
      </c>
      <c r="D2222" s="133" t="s">
        <v>477</v>
      </c>
      <c r="E2222" s="158">
        <v>30</v>
      </c>
      <c r="F2222" s="158">
        <v>0</v>
      </c>
      <c r="G2222" s="158">
        <v>0</v>
      </c>
      <c r="H2222" s="133" t="s">
        <v>2857</v>
      </c>
      <c r="I2222" s="133" t="s">
        <v>548</v>
      </c>
      <c r="J2222" s="158">
        <v>0</v>
      </c>
      <c r="K2222" s="159" t="str">
        <f ca="1">IFERROR(__xludf.DUMMYFUNCTION("GOOGLETRANSLATE(H2222,""th"",""en"")"),"Product code")</f>
        <v>Product code</v>
      </c>
    </row>
    <row r="2223" spans="1:11" ht="15.75" hidden="1" customHeight="1">
      <c r="A2223" s="133" t="s">
        <v>7</v>
      </c>
      <c r="B2223" s="133" t="s">
        <v>2776</v>
      </c>
      <c r="C2223" s="133" t="s">
        <v>2858</v>
      </c>
      <c r="D2223" s="133" t="s">
        <v>477</v>
      </c>
      <c r="E2223" s="158">
        <v>3</v>
      </c>
      <c r="F2223" s="158">
        <v>0</v>
      </c>
      <c r="G2223" s="158">
        <v>0</v>
      </c>
      <c r="H2223" s="133" t="s">
        <v>2859</v>
      </c>
      <c r="I2223" s="133" t="s">
        <v>548</v>
      </c>
      <c r="J2223" s="158">
        <v>0</v>
      </c>
      <c r="K2223" s="159" t="str">
        <f ca="1">IFERROR(__xludf.DUMMYFUNCTION("GOOGLETRANSLATE(H2223,""th"",""en"")"),"Sub_cls of OD products")</f>
        <v>Sub_cls of OD products</v>
      </c>
    </row>
    <row r="2224" spans="1:11" ht="15.75" hidden="1" customHeight="1">
      <c r="A2224" s="133" t="s">
        <v>7</v>
      </c>
      <c r="B2224" s="133" t="s">
        <v>2776</v>
      </c>
      <c r="C2224" s="133" t="s">
        <v>2860</v>
      </c>
      <c r="D2224" s="133" t="s">
        <v>477</v>
      </c>
      <c r="E2224" s="158">
        <v>20</v>
      </c>
      <c r="F2224" s="158">
        <v>0</v>
      </c>
      <c r="G2224" s="158">
        <v>0</v>
      </c>
      <c r="H2224" s="133" t="s">
        <v>2861</v>
      </c>
      <c r="I2224" s="133" t="s">
        <v>548</v>
      </c>
      <c r="J2224" s="158">
        <v>0</v>
      </c>
      <c r="K2224" s="159" t="str">
        <f ca="1">IFERROR(__xludf.DUMMYFUNCTION("GOOGLETRANSLATE(H2224,""th"",""en"")"),"The type of order that comes with the Store (None: Not specified type (for sale) *** Normal: Normal products for sale, VendorStock: Normal products can be sold. Store in the Store Vendor, Customer: Normal product. The product is in the customer store. Cle"&amp;"arance: Normal products, sales, discount, MKP: Normal products for sale. ProductPlace Premium products: Special order products Printing: Raw material for printing Crosssale: Good products for sale (only for sale))")</f>
        <v>The type of order that comes with the Store (None: Not specified type (for sale) *** Normal: Normal products for sale, VendorStock: Normal products can be sold. Store in the Store Vendor, Customer: Normal product. The product is in the customer store. Clearance: Normal products, sales, discount, MKP: Normal products for sale. ProductPlace Premium products: Special order products Printing: Raw material for printing Crosssale: Good products for sale (only for sale))</v>
      </c>
    </row>
    <row r="2225" spans="1:11" ht="15.75" hidden="1" customHeight="1">
      <c r="A2225" s="133" t="s">
        <v>7</v>
      </c>
      <c r="B2225" s="133" t="s">
        <v>2776</v>
      </c>
      <c r="C2225" s="133" t="s">
        <v>2862</v>
      </c>
      <c r="D2225" s="133" t="s">
        <v>477</v>
      </c>
      <c r="E2225" s="158">
        <v>20</v>
      </c>
      <c r="F2225" s="158">
        <v>0</v>
      </c>
      <c r="G2225" s="158">
        <v>0</v>
      </c>
      <c r="H2225" s="133" t="s">
        <v>2863</v>
      </c>
      <c r="I2225" s="133" t="s">
        <v>548</v>
      </c>
      <c r="J2225" s="158">
        <v>0</v>
      </c>
      <c r="K2225" s="159" t="str">
        <f ca="1">IFERROR(__xludf.DUMMYFUNCTION("GOOGLETRANSLATE(H2225,""th"",""en"")"),"Lot, Vendor, PickupSpecial, Special")</f>
        <v>Lot, Vendor, PickupSpecial, Special</v>
      </c>
    </row>
    <row r="2226" spans="1:11" ht="15.75" hidden="1" customHeight="1">
      <c r="A2226" s="133" t="s">
        <v>7</v>
      </c>
      <c r="B2226" s="133" t="s">
        <v>2776</v>
      </c>
      <c r="C2226" s="133" t="s">
        <v>2771</v>
      </c>
      <c r="D2226" s="133" t="s">
        <v>477</v>
      </c>
      <c r="E2226" s="158">
        <v>20</v>
      </c>
      <c r="F2226" s="158">
        <v>0</v>
      </c>
      <c r="G2226" s="158">
        <v>0</v>
      </c>
      <c r="H2226" s="133" t="s">
        <v>1264</v>
      </c>
      <c r="I2226" s="133" t="s">
        <v>548</v>
      </c>
      <c r="J2226" s="158">
        <v>0</v>
      </c>
      <c r="K2226" s="159" t="str">
        <f ca="1">IFERROR(__xludf.DUMMYFUNCTION("GOOGLETRANSLATE(H2226,""th"",""en"")"),"Warehouse code")</f>
        <v>Warehouse code</v>
      </c>
    </row>
    <row r="2227" spans="1:11" ht="15.75" hidden="1" customHeight="1">
      <c r="A2227" s="133" t="s">
        <v>7</v>
      </c>
      <c r="B2227" s="133" t="s">
        <v>2776</v>
      </c>
      <c r="C2227" s="133" t="s">
        <v>2772</v>
      </c>
      <c r="D2227" s="133" t="s">
        <v>477</v>
      </c>
      <c r="E2227" s="158">
        <v>100</v>
      </c>
      <c r="F2227" s="158">
        <v>0</v>
      </c>
      <c r="G2227" s="158">
        <v>0</v>
      </c>
      <c r="H2227" s="133" t="s">
        <v>2864</v>
      </c>
      <c r="I2227" s="133" t="s">
        <v>548</v>
      </c>
      <c r="J2227" s="158">
        <v>0</v>
      </c>
      <c r="K2227" s="159" t="str">
        <f ca="1">IFERROR(__xludf.DUMMYFUNCTION("GOOGLETRANSLATE(H2227,""th"",""en"")"),"Warehouse name")</f>
        <v>Warehouse name</v>
      </c>
    </row>
    <row r="2228" spans="1:11" ht="15.75" hidden="1" customHeight="1">
      <c r="A2228" s="133" t="s">
        <v>7</v>
      </c>
      <c r="B2228" s="133" t="s">
        <v>2776</v>
      </c>
      <c r="C2228" s="133" t="s">
        <v>2773</v>
      </c>
      <c r="D2228" s="133" t="s">
        <v>477</v>
      </c>
      <c r="E2228" s="158">
        <v>20</v>
      </c>
      <c r="F2228" s="158">
        <v>0</v>
      </c>
      <c r="G2228" s="158">
        <v>0</v>
      </c>
      <c r="H2228" s="133" t="s">
        <v>2865</v>
      </c>
      <c r="I2228" s="133" t="s">
        <v>548</v>
      </c>
      <c r="J2228" s="158">
        <v>0</v>
      </c>
      <c r="K2228" s="159" t="str">
        <f ca="1">IFERROR(__xludf.DUMMYFUNCTION("GOOGLETRANSLATE(H2228,""th"",""en"")"),"Sub-warehouse code")</f>
        <v>Sub-warehouse code</v>
      </c>
    </row>
    <row r="2229" spans="1:11" ht="15.75" hidden="1" customHeight="1">
      <c r="A2229" s="133" t="s">
        <v>7</v>
      </c>
      <c r="B2229" s="133" t="s">
        <v>2776</v>
      </c>
      <c r="C2229" s="133" t="s">
        <v>2774</v>
      </c>
      <c r="D2229" s="133" t="s">
        <v>477</v>
      </c>
      <c r="E2229" s="158">
        <v>100</v>
      </c>
      <c r="F2229" s="158">
        <v>0</v>
      </c>
      <c r="G2229" s="158">
        <v>0</v>
      </c>
      <c r="H2229" s="133" t="s">
        <v>2866</v>
      </c>
      <c r="I2229" s="133" t="s">
        <v>548</v>
      </c>
      <c r="J2229" s="158">
        <v>0</v>
      </c>
      <c r="K2229" s="159" t="str">
        <f ca="1">IFERROR(__xludf.DUMMYFUNCTION("GOOGLETRANSLATE(H2229,""th"",""en"")"),"Sub-warehouse name")</f>
        <v>Sub-warehouse name</v>
      </c>
    </row>
    <row r="2230" spans="1:11" ht="15.75" hidden="1" customHeight="1">
      <c r="A2230" s="133" t="s">
        <v>7</v>
      </c>
      <c r="B2230" s="133" t="s">
        <v>2776</v>
      </c>
      <c r="C2230" s="133" t="s">
        <v>2867</v>
      </c>
      <c r="D2230" s="133" t="s">
        <v>484</v>
      </c>
      <c r="E2230" s="158">
        <v>4</v>
      </c>
      <c r="F2230" s="158">
        <v>10</v>
      </c>
      <c r="G2230" s="158">
        <v>0</v>
      </c>
      <c r="H2230" s="133" t="s">
        <v>2868</v>
      </c>
      <c r="I2230" s="133" t="s">
        <v>615</v>
      </c>
      <c r="J2230" s="158">
        <v>0</v>
      </c>
      <c r="K2230" s="159" t="str">
        <f ca="1">IFERROR(__xludf.DUMMYFUNCTION("GOOGLETRANSLATE(H2230,""th"",""en"")"),"Service code")</f>
        <v>Service code</v>
      </c>
    </row>
    <row r="2231" spans="1:11" ht="15.75" hidden="1" customHeight="1">
      <c r="A2231" s="133" t="s">
        <v>7</v>
      </c>
      <c r="B2231" s="133" t="s">
        <v>2776</v>
      </c>
      <c r="C2231" s="133" t="s">
        <v>2869</v>
      </c>
      <c r="D2231" s="133" t="s">
        <v>477</v>
      </c>
      <c r="E2231" s="158">
        <v>55</v>
      </c>
      <c r="F2231" s="158">
        <v>0</v>
      </c>
      <c r="G2231" s="158">
        <v>0</v>
      </c>
      <c r="H2231" s="133" t="s">
        <v>2870</v>
      </c>
      <c r="I2231" s="133" t="s">
        <v>548</v>
      </c>
      <c r="J2231" s="158">
        <v>0</v>
      </c>
      <c r="K2231" s="159" t="str">
        <f ca="1">IFERROR(__xludf.DUMMYFUNCTION("GOOGLETRANSLATE(H2231,""th"",""en"")"),"Service type")</f>
        <v>Service type</v>
      </c>
    </row>
    <row r="2232" spans="1:11" ht="15.75" hidden="1" customHeight="1">
      <c r="A2232" s="133" t="s">
        <v>7</v>
      </c>
      <c r="B2232" s="133" t="s">
        <v>2776</v>
      </c>
      <c r="C2232" s="133" t="s">
        <v>2871</v>
      </c>
      <c r="D2232" s="133" t="s">
        <v>481</v>
      </c>
      <c r="E2232" s="158">
        <v>5</v>
      </c>
      <c r="F2232" s="158">
        <v>9</v>
      </c>
      <c r="G2232" s="158">
        <v>2</v>
      </c>
      <c r="H2232" s="133" t="s">
        <v>2872</v>
      </c>
      <c r="I2232" s="133" t="s">
        <v>615</v>
      </c>
      <c r="J2232" s="158">
        <v>0</v>
      </c>
      <c r="K2232" s="159" t="str">
        <f ca="1">IFERROR(__xludf.DUMMYFUNCTION("GOOGLETRANSLATE(H2232,""th"",""en"")"),"Discounts from the Promotion Auto Discount (EXCVAT) (Byitem)")</f>
        <v>Discounts from the Promotion Auto Discount (EXCVAT) (Byitem)</v>
      </c>
    </row>
    <row r="2233" spans="1:11" ht="15.75" hidden="1" customHeight="1">
      <c r="A2233" s="133" t="s">
        <v>7</v>
      </c>
      <c r="B2233" s="133" t="s">
        <v>2776</v>
      </c>
      <c r="C2233" s="133" t="s">
        <v>2873</v>
      </c>
      <c r="D2233" s="133" t="s">
        <v>481</v>
      </c>
      <c r="E2233" s="158">
        <v>5</v>
      </c>
      <c r="F2233" s="158">
        <v>9</v>
      </c>
      <c r="G2233" s="158">
        <v>2</v>
      </c>
      <c r="H2233" s="133" t="s">
        <v>2874</v>
      </c>
      <c r="I2233" s="133" t="s">
        <v>615</v>
      </c>
      <c r="J2233" s="158">
        <v>0</v>
      </c>
      <c r="K2233" s="159" t="str">
        <f ca="1">IFERROR(__xludf.DUMMYFUNCTION("GOOGLETRANSLATE(H2233,""th"",""en"")"),"Discounts from the Promotion Auto Discount (Incvat) (Byitem)")</f>
        <v>Discounts from the Promotion Auto Discount (Incvat) (Byitem)</v>
      </c>
    </row>
    <row r="2234" spans="1:11" ht="15.75" hidden="1" customHeight="1">
      <c r="A2234" s="133" t="s">
        <v>7</v>
      </c>
      <c r="B2234" s="161" t="s">
        <v>2875</v>
      </c>
      <c r="C2234" s="161" t="s">
        <v>2317</v>
      </c>
      <c r="D2234" s="161" t="s">
        <v>477</v>
      </c>
      <c r="E2234" s="162">
        <v>5</v>
      </c>
      <c r="F2234" s="162">
        <v>0</v>
      </c>
      <c r="G2234" s="162">
        <v>0</v>
      </c>
      <c r="H2234" s="161"/>
      <c r="I2234" s="161" t="s">
        <v>548</v>
      </c>
      <c r="J2234" s="158"/>
      <c r="K2234" s="159"/>
    </row>
    <row r="2235" spans="1:11" ht="15.75" hidden="1" customHeight="1">
      <c r="A2235" s="133" t="s">
        <v>7</v>
      </c>
      <c r="B2235" s="133" t="s">
        <v>2875</v>
      </c>
      <c r="C2235" s="133" t="s">
        <v>2777</v>
      </c>
      <c r="D2235" s="133" t="s">
        <v>477</v>
      </c>
      <c r="E2235" s="158">
        <v>15</v>
      </c>
      <c r="F2235" s="158">
        <v>0</v>
      </c>
      <c r="G2235" s="158">
        <v>0</v>
      </c>
      <c r="H2235" s="133" t="s">
        <v>1909</v>
      </c>
      <c r="I2235" s="133" t="s">
        <v>548</v>
      </c>
      <c r="J2235" s="158">
        <v>0</v>
      </c>
      <c r="K2235" s="159" t="str">
        <f ca="1">IFERROR(__xludf.DUMMYFUNCTION("GOOGLETRANSLATE(H2235,""th"",""en"")"),"Purchase order number (order)")</f>
        <v>Purchase order number (order)</v>
      </c>
    </row>
    <row r="2236" spans="1:11" ht="15.75" hidden="1" customHeight="1">
      <c r="A2236" s="133" t="s">
        <v>7</v>
      </c>
      <c r="B2236" s="133" t="s">
        <v>2875</v>
      </c>
      <c r="C2236" s="133" t="s">
        <v>2876</v>
      </c>
      <c r="D2236" s="133" t="s">
        <v>496</v>
      </c>
      <c r="E2236" s="158">
        <v>4</v>
      </c>
      <c r="F2236" s="158">
        <v>16</v>
      </c>
      <c r="G2236" s="158">
        <v>0</v>
      </c>
      <c r="H2236" s="133" t="s">
        <v>1911</v>
      </c>
      <c r="I2236" s="133" t="s">
        <v>1363</v>
      </c>
      <c r="J2236" s="158">
        <v>0</v>
      </c>
      <c r="K2236" s="159" t="str">
        <f ca="1">IFERROR(__xludf.DUMMYFUNCTION("GOOGLETRANSLATE(H2236,""th"",""en"")"),"Document date")</f>
        <v>Document date</v>
      </c>
    </row>
    <row r="2237" spans="1:11" ht="15.75" hidden="1" customHeight="1">
      <c r="A2237" s="133" t="s">
        <v>7</v>
      </c>
      <c r="B2237" s="133" t="s">
        <v>2875</v>
      </c>
      <c r="C2237" s="133" t="s">
        <v>1419</v>
      </c>
      <c r="D2237" s="133" t="s">
        <v>477</v>
      </c>
      <c r="E2237" s="158">
        <v>12</v>
      </c>
      <c r="F2237" s="158">
        <v>0</v>
      </c>
      <c r="G2237" s="158">
        <v>0</v>
      </c>
      <c r="H2237" s="133" t="s">
        <v>2877</v>
      </c>
      <c r="I2237" s="133" t="s">
        <v>548</v>
      </c>
      <c r="J2237" s="158">
        <v>0</v>
      </c>
      <c r="K2237" s="159" t="str">
        <f ca="1">IFERROR(__xludf.DUMMYFUNCTION("GOOGLETRANSLATE(H2237,""th"",""en"")"),"Document status (Open = Booking, Pending = Rule Stick Rule Approval, Approve = Approval, Reject = Not Approved, DELETE = Cancel the Document Refund, Confirm = Confirm the product, Complete = Organize the product with SI documents.")</f>
        <v>Document status (Open = Booking, Pending = Rule Stick Rule Approval, Approve = Approval, Reject = Not Approved, DELETE = Cancel the Document Refund, Confirm = Confirm the product, Complete = Organize the product with SI documents.</v>
      </c>
    </row>
    <row r="2238" spans="1:11" ht="15.75" hidden="1" customHeight="1">
      <c r="A2238" s="133" t="s">
        <v>7</v>
      </c>
      <c r="B2238" s="133" t="s">
        <v>2875</v>
      </c>
      <c r="C2238" s="133" t="s">
        <v>2878</v>
      </c>
      <c r="D2238" s="133" t="s">
        <v>477</v>
      </c>
      <c r="E2238" s="158">
        <v>12</v>
      </c>
      <c r="F2238" s="158">
        <v>0</v>
      </c>
      <c r="G2238" s="158">
        <v>0</v>
      </c>
      <c r="H2238" s="133" t="s">
        <v>2879</v>
      </c>
      <c r="I2238" s="133" t="s">
        <v>548</v>
      </c>
      <c r="J2238" s="158">
        <v>0</v>
      </c>
      <c r="K2238" s="159" t="str">
        <f ca="1">IFERROR(__xludf.DUMMYFUNCTION("GOOGLETRANSLATE(H2238,""th"",""en"")"),"Invoice (SI) document number")</f>
        <v>Invoice (SI) document number</v>
      </c>
    </row>
    <row r="2239" spans="1:11" ht="15.75" hidden="1" customHeight="1">
      <c r="A2239" s="133" t="s">
        <v>7</v>
      </c>
      <c r="B2239" s="133" t="s">
        <v>2875</v>
      </c>
      <c r="C2239" s="133" t="s">
        <v>1844</v>
      </c>
      <c r="D2239" s="133" t="s">
        <v>477</v>
      </c>
      <c r="E2239" s="158">
        <v>15</v>
      </c>
      <c r="F2239" s="158">
        <v>0</v>
      </c>
      <c r="G2239" s="158">
        <v>0</v>
      </c>
      <c r="H2239" s="133" t="s">
        <v>2880</v>
      </c>
      <c r="I2239" s="133" t="s">
        <v>548</v>
      </c>
      <c r="J2239" s="158">
        <v>0</v>
      </c>
      <c r="K2239" s="159" t="str">
        <f ca="1">IFERROR(__xludf.DUMMYFUNCTION("GOOGLETRANSLATE(H2239,""th"",""en"")"),"Document numbers obtained from Transfer like Qu, So, Do")</f>
        <v>Document numbers obtained from Transfer like Qu, So, Do</v>
      </c>
    </row>
    <row r="2240" spans="1:11" ht="15.75" hidden="1" customHeight="1">
      <c r="A2240" s="133" t="s">
        <v>7</v>
      </c>
      <c r="B2240" s="133" t="s">
        <v>2875</v>
      </c>
      <c r="C2240" s="133" t="s">
        <v>1380</v>
      </c>
      <c r="D2240" s="133" t="s">
        <v>477</v>
      </c>
      <c r="E2240" s="158">
        <v>2</v>
      </c>
      <c r="F2240" s="158">
        <v>0</v>
      </c>
      <c r="G2240" s="158">
        <v>0</v>
      </c>
      <c r="H2240" s="133" t="s">
        <v>2881</v>
      </c>
      <c r="I2240" s="133" t="s">
        <v>548</v>
      </c>
      <c r="J2240" s="158">
        <v>0</v>
      </c>
      <c r="K2240" s="159" t="str">
        <f ca="1">IFERROR(__xludf.DUMMYFUNCTION("GOOGLETRANSLATE(H2240,""th"",""en"")"),"Document type (EO)")</f>
        <v>Document type (EO)</v>
      </c>
    </row>
    <row r="2241" spans="1:11" ht="15.75" hidden="1" customHeight="1">
      <c r="A2241" s="133" t="s">
        <v>7</v>
      </c>
      <c r="B2241" s="133" t="s">
        <v>2875</v>
      </c>
      <c r="C2241" s="133" t="s">
        <v>2882</v>
      </c>
      <c r="D2241" s="133" t="s">
        <v>477</v>
      </c>
      <c r="E2241" s="158">
        <v>20</v>
      </c>
      <c r="F2241" s="158">
        <v>0</v>
      </c>
      <c r="G2241" s="158">
        <v>0</v>
      </c>
      <c r="H2241" s="133" t="s">
        <v>2883</v>
      </c>
      <c r="I2241" s="133" t="s">
        <v>548</v>
      </c>
      <c r="J2241" s="158">
        <v>0</v>
      </c>
      <c r="K2241" s="159" t="str">
        <f ca="1">IFERROR(__xludf.DUMMYFUNCTION("GOOGLETRANSLATE(H2241,""th"",""en"")"),"Online Order No. (Web OfficesMate.co.th)")</f>
        <v>Online Order No. (Web OfficesMate.co.th)</v>
      </c>
    </row>
    <row r="2242" spans="1:11" ht="15.75" hidden="1" customHeight="1">
      <c r="A2242" s="133" t="s">
        <v>7</v>
      </c>
      <c r="B2242" s="133" t="s">
        <v>2875</v>
      </c>
      <c r="C2242" s="133" t="s">
        <v>2884</v>
      </c>
      <c r="D2242" s="133" t="s">
        <v>477</v>
      </c>
      <c r="E2242" s="158">
        <v>12</v>
      </c>
      <c r="F2242" s="158">
        <v>0</v>
      </c>
      <c r="G2242" s="158">
        <v>0</v>
      </c>
      <c r="H2242" s="133" t="s">
        <v>2885</v>
      </c>
      <c r="I2242" s="133" t="s">
        <v>548</v>
      </c>
      <c r="J2242" s="158">
        <v>0</v>
      </c>
      <c r="K2242" s="159" t="str">
        <f ca="1">IFERROR(__xludf.DUMMYFUNCTION("GOOGLETRANSLATE(H2242,""th"",""en"")"),"Document number deposit (SS)")</f>
        <v>Document number deposit (SS)</v>
      </c>
    </row>
    <row r="2243" spans="1:11" ht="15.75" hidden="1" customHeight="1">
      <c r="A2243" s="133" t="s">
        <v>7</v>
      </c>
      <c r="B2243" s="133" t="s">
        <v>2875</v>
      </c>
      <c r="C2243" s="133" t="s">
        <v>2886</v>
      </c>
      <c r="D2243" s="133" t="s">
        <v>477</v>
      </c>
      <c r="E2243" s="158">
        <v>20</v>
      </c>
      <c r="F2243" s="158">
        <v>0</v>
      </c>
      <c r="G2243" s="158">
        <v>0</v>
      </c>
      <c r="H2243" s="133" t="s">
        <v>2887</v>
      </c>
      <c r="I2243" s="133" t="s">
        <v>548</v>
      </c>
      <c r="J2243" s="158">
        <v>0</v>
      </c>
      <c r="K2243" s="159" t="str">
        <f ca="1">IFERROR(__xludf.DUMMYFUNCTION("GOOGLETRANSLATE(H2243,""th"",""en"")"),"Reference number (User Key Manual Customer Document)")</f>
        <v>Reference number (User Key Manual Customer Document)</v>
      </c>
    </row>
    <row r="2244" spans="1:11" ht="15.75" hidden="1" customHeight="1">
      <c r="A2244" s="133" t="s">
        <v>7</v>
      </c>
      <c r="B2244" s="133" t="s">
        <v>2875</v>
      </c>
      <c r="C2244" s="133" t="s">
        <v>2888</v>
      </c>
      <c r="D2244" s="133" t="s">
        <v>477</v>
      </c>
      <c r="E2244" s="158">
        <v>20</v>
      </c>
      <c r="F2244" s="158">
        <v>0</v>
      </c>
      <c r="G2244" s="158">
        <v>0</v>
      </c>
      <c r="H2244" s="133" t="s">
        <v>2889</v>
      </c>
      <c r="I2244" s="133" t="s">
        <v>548</v>
      </c>
      <c r="J2244" s="158">
        <v>0</v>
      </c>
      <c r="K2244" s="159" t="str">
        <f ca="1">IFERROR(__xludf.DUMMYFUNCTION("GOOGLETRANSLATE(H2244,""th"",""en"")"),"The source of the purchase order is defined at the User Branch Store, such as OFM Store (OSYS), Call Center, Franchise ..)")</f>
        <v>The source of the purchase order is defined at the User Branch Store, such as OFM Store (OSYS), Call Center, Franchise ..)</v>
      </c>
    </row>
    <row r="2245" spans="1:11" ht="15.75" hidden="1" customHeight="1">
      <c r="A2245" s="133" t="s">
        <v>7</v>
      </c>
      <c r="B2245" s="133" t="s">
        <v>2875</v>
      </c>
      <c r="C2245" s="133" t="s">
        <v>2890</v>
      </c>
      <c r="D2245" s="133" t="s">
        <v>477</v>
      </c>
      <c r="E2245" s="158">
        <v>16</v>
      </c>
      <c r="F2245" s="158">
        <v>0</v>
      </c>
      <c r="G2245" s="158">
        <v>0</v>
      </c>
      <c r="H2245" s="133" t="s">
        <v>2891</v>
      </c>
      <c r="I2245" s="133" t="s">
        <v>548</v>
      </c>
      <c r="J2245" s="158">
        <v>0</v>
      </c>
      <c r="K2245" s="159" t="str">
        <f ca="1">IFERROR(__xludf.DUMMYFUNCTION("GOOGLETRANSLATE(H2245,""th"",""en"")"),"No. The 1 Card (for receiving Point)")</f>
        <v>No. The 1 Card (for receiving Point)</v>
      </c>
    </row>
    <row r="2246" spans="1:11" ht="15.75" hidden="1" customHeight="1">
      <c r="A2246" s="133" t="s">
        <v>7</v>
      </c>
      <c r="B2246" s="133" t="s">
        <v>2875</v>
      </c>
      <c r="C2246" s="133" t="s">
        <v>2892</v>
      </c>
      <c r="D2246" s="133" t="s">
        <v>477</v>
      </c>
      <c r="E2246" s="158">
        <v>50</v>
      </c>
      <c r="F2246" s="158">
        <v>0</v>
      </c>
      <c r="G2246" s="158">
        <v>0</v>
      </c>
      <c r="H2246" s="133" t="s">
        <v>2893</v>
      </c>
      <c r="I2246" s="133" t="s">
        <v>548</v>
      </c>
      <c r="J2246" s="158">
        <v>0</v>
      </c>
      <c r="K2246" s="159" t="str">
        <f ca="1">IFERROR(__xludf.DUMMYFUNCTION("GOOGLETRANSLATE(H2246,""th"",""en"")"),"Document number PO / PR Customer (Key Manual)")</f>
        <v>Document number PO / PR Customer (Key Manual)</v>
      </c>
    </row>
    <row r="2247" spans="1:11" ht="15.75" hidden="1" customHeight="1">
      <c r="A2247" s="133" t="s">
        <v>7</v>
      </c>
      <c r="B2247" s="133" t="s">
        <v>2875</v>
      </c>
      <c r="C2247" s="133" t="s">
        <v>2894</v>
      </c>
      <c r="D2247" s="133" t="s">
        <v>477</v>
      </c>
      <c r="E2247" s="158">
        <v>10</v>
      </c>
      <c r="F2247" s="158">
        <v>0</v>
      </c>
      <c r="G2247" s="158">
        <v>0</v>
      </c>
      <c r="H2247" s="133" t="s">
        <v>2895</v>
      </c>
      <c r="I2247" s="133" t="s">
        <v>548</v>
      </c>
      <c r="J2247" s="158">
        <v>0</v>
      </c>
      <c r="K2247" s="159" t="str">
        <f ca="1">IFERROR(__xludf.DUMMYFUNCTION("GOOGLETRANSLATE(H2247,""th"",""en"")"),"PO Reference Status (None: No Po, Complete: Product List Fully PO, Incomplete: Product List is not complete. PO)")</f>
        <v>PO Reference Status (None: No Po, Complete: Product List Fully PO, Incomplete: Product List is not complete. PO)</v>
      </c>
    </row>
    <row r="2248" spans="1:11" ht="15.75" hidden="1" customHeight="1">
      <c r="A2248" s="133" t="s">
        <v>7</v>
      </c>
      <c r="B2248" s="133" t="s">
        <v>2875</v>
      </c>
      <c r="C2248" s="133" t="s">
        <v>2896</v>
      </c>
      <c r="D2248" s="133" t="s">
        <v>477</v>
      </c>
      <c r="E2248" s="158">
        <v>200</v>
      </c>
      <c r="F2248" s="158">
        <v>0</v>
      </c>
      <c r="G2248" s="158">
        <v>0</v>
      </c>
      <c r="H2248" s="133" t="s">
        <v>2897</v>
      </c>
      <c r="I2248" s="133" t="s">
        <v>548</v>
      </c>
      <c r="J2248" s="158">
        <v>0</v>
      </c>
      <c r="K2248" s="159" t="str">
        <f ca="1">IFERROR(__xludf.DUMMYFUNCTION("GOOGLETRANSLATE(H2248,""th"",""en"")"),"Note Po Document Customer")</f>
        <v>Note Po Document Customer</v>
      </c>
    </row>
    <row r="2249" spans="1:11" ht="15.75" hidden="1" customHeight="1">
      <c r="A2249" s="133" t="s">
        <v>7</v>
      </c>
      <c r="B2249" s="133" t="s">
        <v>2875</v>
      </c>
      <c r="C2249" s="133" t="s">
        <v>2898</v>
      </c>
      <c r="D2249" s="133" t="s">
        <v>477</v>
      </c>
      <c r="E2249" s="158">
        <v>3</v>
      </c>
      <c r="F2249" s="158">
        <v>0</v>
      </c>
      <c r="G2249" s="158">
        <v>0</v>
      </c>
      <c r="H2249" s="133" t="s">
        <v>2899</v>
      </c>
      <c r="I2249" s="133" t="s">
        <v>596</v>
      </c>
      <c r="J2249" s="158">
        <v>0</v>
      </c>
      <c r="K2249" s="159" t="str">
        <f ca="1">IFERROR(__xludf.DUMMYFUNCTION("GOOGLETRANSLATE(H2249,""th"",""en"")"),"When this SCAN PO is going into the Flag system will be update = yes (yes: with PO Scan in the system, No: No)")</f>
        <v>When this SCAN PO is going into the Flag system will be update = yes (yes: with PO Scan in the system, No: No)</v>
      </c>
    </row>
    <row r="2250" spans="1:11" ht="15.75" hidden="1" customHeight="1">
      <c r="A2250" s="133" t="s">
        <v>7</v>
      </c>
      <c r="B2250" s="133" t="s">
        <v>2875</v>
      </c>
      <c r="C2250" s="133" t="s">
        <v>2900</v>
      </c>
      <c r="D2250" s="133" t="s">
        <v>496</v>
      </c>
      <c r="E2250" s="158">
        <v>4</v>
      </c>
      <c r="F2250" s="158">
        <v>16</v>
      </c>
      <c r="G2250" s="158">
        <v>0</v>
      </c>
      <c r="H2250" s="133" t="s">
        <v>2901</v>
      </c>
      <c r="I2250" s="133" t="s">
        <v>1363</v>
      </c>
      <c r="J2250" s="158">
        <v>0</v>
      </c>
      <c r="K2250" s="159" t="str">
        <f ca="1">IFERROR(__xludf.DUMMYFUNCTION("GOOGLETRANSLATE(H2250,""th"",""en"")"),"Confirmation date")</f>
        <v>Confirmation date</v>
      </c>
    </row>
    <row r="2251" spans="1:11" ht="15.75" hidden="1" customHeight="1">
      <c r="A2251" s="133" t="s">
        <v>7</v>
      </c>
      <c r="B2251" s="133" t="s">
        <v>2875</v>
      </c>
      <c r="C2251" s="133" t="s">
        <v>2902</v>
      </c>
      <c r="D2251" s="133" t="s">
        <v>477</v>
      </c>
      <c r="E2251" s="158">
        <v>-1</v>
      </c>
      <c r="F2251" s="158">
        <v>0</v>
      </c>
      <c r="G2251" s="158">
        <v>0</v>
      </c>
      <c r="H2251" s="133" t="s">
        <v>2903</v>
      </c>
      <c r="I2251" s="133" t="s">
        <v>548</v>
      </c>
      <c r="J2251" s="158">
        <v>0</v>
      </c>
      <c r="K2251" s="159" t="str">
        <f ca="1">IFERROR(__xludf.DUMMYFUNCTION("GOOGLETRANSLATE(H2251,""th"",""en"")"),"Confirm confirmation details")</f>
        <v>Confirm confirmation details</v>
      </c>
    </row>
    <row r="2252" spans="1:11" ht="15.75" hidden="1" customHeight="1">
      <c r="A2252" s="133" t="s">
        <v>7</v>
      </c>
      <c r="B2252" s="133" t="s">
        <v>2875</v>
      </c>
      <c r="C2252" s="133" t="s">
        <v>208</v>
      </c>
      <c r="D2252" s="133" t="s">
        <v>1631</v>
      </c>
      <c r="E2252" s="158">
        <v>8</v>
      </c>
      <c r="F2252" s="158">
        <v>19</v>
      </c>
      <c r="G2252" s="158">
        <v>0</v>
      </c>
      <c r="H2252" s="133" t="s">
        <v>2904</v>
      </c>
      <c r="I2252" s="133" t="s">
        <v>615</v>
      </c>
      <c r="J2252" s="158">
        <v>0</v>
      </c>
      <c r="K2252" s="159" t="str">
        <f ca="1">IFERROR(__xludf.DUMMYFUNCTION("GOOGLETRANSLATE(H2252,""th"",""en"")"),"Contact code")</f>
        <v>Contact code</v>
      </c>
    </row>
    <row r="2253" spans="1:11" ht="15.75" hidden="1" customHeight="1">
      <c r="A2253" s="133" t="s">
        <v>7</v>
      </c>
      <c r="B2253" s="133" t="s">
        <v>2875</v>
      </c>
      <c r="C2253" s="133" t="s">
        <v>1660</v>
      </c>
      <c r="D2253" s="133" t="s">
        <v>477</v>
      </c>
      <c r="E2253" s="158">
        <v>50</v>
      </c>
      <c r="F2253" s="158">
        <v>0</v>
      </c>
      <c r="G2253" s="158">
        <v>0</v>
      </c>
      <c r="H2253" s="133" t="s">
        <v>2905</v>
      </c>
      <c r="I2253" s="133" t="s">
        <v>548</v>
      </c>
      <c r="J2253" s="158">
        <v>0</v>
      </c>
      <c r="K2253" s="159" t="str">
        <f ca="1">IFERROR(__xludf.DUMMYFUNCTION("GOOGLETRANSLATE(H2253,""th"",""en"")"),"Name-surname, contact")</f>
        <v>Name-surname, contact</v>
      </c>
    </row>
    <row r="2254" spans="1:11" ht="15.75" hidden="1" customHeight="1">
      <c r="A2254" s="133" t="s">
        <v>7</v>
      </c>
      <c r="B2254" s="133" t="s">
        <v>2875</v>
      </c>
      <c r="C2254" s="133" t="s">
        <v>2906</v>
      </c>
      <c r="D2254" s="133" t="s">
        <v>477</v>
      </c>
      <c r="E2254" s="158">
        <v>50</v>
      </c>
      <c r="F2254" s="158">
        <v>0</v>
      </c>
      <c r="G2254" s="158">
        <v>0</v>
      </c>
      <c r="H2254" s="133" t="s">
        <v>2907</v>
      </c>
      <c r="I2254" s="133" t="s">
        <v>548</v>
      </c>
      <c r="J2254" s="158">
        <v>0</v>
      </c>
      <c r="K2254" s="159" t="str">
        <f ca="1">IFERROR(__xludf.DUMMYFUNCTION("GOOGLETRANSLATE(H2254,""th"",""en"")"),"Contact number")</f>
        <v>Contact number</v>
      </c>
    </row>
    <row r="2255" spans="1:11" ht="15.75" hidden="1" customHeight="1">
      <c r="A2255" s="133" t="s">
        <v>7</v>
      </c>
      <c r="B2255" s="133" t="s">
        <v>2875</v>
      </c>
      <c r="C2255" s="133" t="s">
        <v>1640</v>
      </c>
      <c r="D2255" s="133" t="s">
        <v>477</v>
      </c>
      <c r="E2255" s="158">
        <v>6</v>
      </c>
      <c r="F2255" s="158">
        <v>0</v>
      </c>
      <c r="G2255" s="158">
        <v>0</v>
      </c>
      <c r="H2255" s="133" t="s">
        <v>2908</v>
      </c>
      <c r="I2255" s="133" t="s">
        <v>548</v>
      </c>
      <c r="J2255" s="158">
        <v>0</v>
      </c>
      <c r="K2255" s="159" t="str">
        <f ca="1">IFERROR(__xludf.DUMMYFUNCTION("GOOGLETRANSLATE(H2255,""th"",""en"")"),"Number per contact")</f>
        <v>Number per contact</v>
      </c>
    </row>
    <row r="2256" spans="1:11" ht="15.75" hidden="1" customHeight="1">
      <c r="A2256" s="133" t="s">
        <v>7</v>
      </c>
      <c r="B2256" s="133" t="s">
        <v>2875</v>
      </c>
      <c r="C2256" s="133" t="s">
        <v>2909</v>
      </c>
      <c r="D2256" s="133" t="s">
        <v>477</v>
      </c>
      <c r="E2256" s="158">
        <v>50</v>
      </c>
      <c r="F2256" s="158">
        <v>0</v>
      </c>
      <c r="G2256" s="158">
        <v>0</v>
      </c>
      <c r="H2256" s="133" t="s">
        <v>2910</v>
      </c>
      <c r="I2256" s="133" t="s">
        <v>548</v>
      </c>
      <c r="J2256" s="158">
        <v>0</v>
      </c>
      <c r="K2256" s="159" t="str">
        <f ca="1">IFERROR(__xludf.DUMMYFUNCTION("GOOGLETRANSLATE(H2256,""th"",""en"")"),"Fax contact")</f>
        <v>Fax contact</v>
      </c>
    </row>
    <row r="2257" spans="1:11" ht="15.75" hidden="1" customHeight="1">
      <c r="A2257" s="133" t="s">
        <v>7</v>
      </c>
      <c r="B2257" s="133" t="s">
        <v>2875</v>
      </c>
      <c r="C2257" s="133" t="s">
        <v>1653</v>
      </c>
      <c r="D2257" s="133" t="s">
        <v>477</v>
      </c>
      <c r="E2257" s="158">
        <v>100</v>
      </c>
      <c r="F2257" s="158">
        <v>0</v>
      </c>
      <c r="G2257" s="158">
        <v>0</v>
      </c>
      <c r="H2257" s="133" t="s">
        <v>2911</v>
      </c>
      <c r="I2257" s="133" t="s">
        <v>548</v>
      </c>
      <c r="J2257" s="158">
        <v>0</v>
      </c>
      <c r="K2257" s="159" t="str">
        <f ca="1">IFERROR(__xludf.DUMMYFUNCTION("GOOGLETRANSLATE(H2257,""th"",""en"")"),"Contact email")</f>
        <v>Contact email</v>
      </c>
    </row>
    <row r="2258" spans="1:11" ht="15.75" hidden="1" customHeight="1">
      <c r="A2258" s="133" t="s">
        <v>7</v>
      </c>
      <c r="B2258" s="133" t="s">
        <v>2875</v>
      </c>
      <c r="C2258" s="133" t="s">
        <v>2912</v>
      </c>
      <c r="D2258" s="133" t="s">
        <v>477</v>
      </c>
      <c r="E2258" s="158">
        <v>50</v>
      </c>
      <c r="F2258" s="158">
        <v>0</v>
      </c>
      <c r="G2258" s="158">
        <v>0</v>
      </c>
      <c r="H2258" s="133" t="s">
        <v>2913</v>
      </c>
      <c r="I2258" s="133" t="s">
        <v>548</v>
      </c>
      <c r="J2258" s="158">
        <v>0</v>
      </c>
      <c r="K2258" s="159" t="str">
        <f ca="1">IFERROR(__xludf.DUMMYFUNCTION("GOOGLETRANSLATE(H2258,""th"",""en"")"),"Mobile phone number")</f>
        <v>Mobile phone number</v>
      </c>
    </row>
    <row r="2259" spans="1:11" ht="15.75" hidden="1" customHeight="1">
      <c r="A2259" s="133" t="s">
        <v>7</v>
      </c>
      <c r="B2259" s="133" t="s">
        <v>2875</v>
      </c>
      <c r="C2259" s="133" t="s">
        <v>174</v>
      </c>
      <c r="D2259" s="133" t="s">
        <v>477</v>
      </c>
      <c r="E2259" s="158">
        <v>8</v>
      </c>
      <c r="F2259" s="158">
        <v>0</v>
      </c>
      <c r="G2259" s="158">
        <v>0</v>
      </c>
      <c r="H2259" s="133" t="s">
        <v>1292</v>
      </c>
      <c r="I2259" s="133" t="s">
        <v>548</v>
      </c>
      <c r="J2259" s="158">
        <v>0</v>
      </c>
      <c r="K2259" s="159" t="str">
        <f ca="1">IFERROR(__xludf.DUMMYFUNCTION("GOOGLETRANSLATE(H2259,""th"",""en"")"),"Customer code")</f>
        <v>Customer code</v>
      </c>
    </row>
    <row r="2260" spans="1:11" ht="15.75" hidden="1" customHeight="1">
      <c r="A2260" s="133" t="s">
        <v>7</v>
      </c>
      <c r="B2260" s="133" t="s">
        <v>2875</v>
      </c>
      <c r="C2260" s="133" t="s">
        <v>1821</v>
      </c>
      <c r="D2260" s="133" t="s">
        <v>477</v>
      </c>
      <c r="E2260" s="158">
        <v>100</v>
      </c>
      <c r="F2260" s="158">
        <v>0</v>
      </c>
      <c r="G2260" s="158">
        <v>0</v>
      </c>
      <c r="H2260" s="133" t="s">
        <v>1563</v>
      </c>
      <c r="I2260" s="133" t="s">
        <v>548</v>
      </c>
      <c r="J2260" s="158">
        <v>0</v>
      </c>
      <c r="K2260" s="159" t="str">
        <f ca="1">IFERROR(__xludf.DUMMYFUNCTION("GOOGLETRANSLATE(H2260,""th"",""en"")"),"Customer name")</f>
        <v>Customer name</v>
      </c>
    </row>
    <row r="2261" spans="1:11" ht="15.75" hidden="1" customHeight="1">
      <c r="A2261" s="133" t="s">
        <v>7</v>
      </c>
      <c r="B2261" s="133" t="s">
        <v>2875</v>
      </c>
      <c r="C2261" s="133" t="s">
        <v>1322</v>
      </c>
      <c r="D2261" s="133" t="s">
        <v>477</v>
      </c>
      <c r="E2261" s="158">
        <v>5</v>
      </c>
      <c r="F2261" s="158">
        <v>0</v>
      </c>
      <c r="G2261" s="158">
        <v>0</v>
      </c>
      <c r="H2261" s="133" t="s">
        <v>2914</v>
      </c>
      <c r="I2261" s="133" t="s">
        <v>548</v>
      </c>
      <c r="J2261" s="158">
        <v>0</v>
      </c>
      <c r="K2261" s="159" t="str">
        <f ca="1">IFERROR(__xludf.DUMMYFUNCTION("GOOGLETRANSLATE(H2261,""th"",""en"")"),"Customer branch code")</f>
        <v>Customer branch code</v>
      </c>
    </row>
    <row r="2262" spans="1:11" ht="15.75" hidden="1" customHeight="1">
      <c r="A2262" s="133" t="s">
        <v>7</v>
      </c>
      <c r="B2262" s="133" t="s">
        <v>2875</v>
      </c>
      <c r="C2262" s="133" t="s">
        <v>1423</v>
      </c>
      <c r="D2262" s="133" t="s">
        <v>477</v>
      </c>
      <c r="E2262" s="158">
        <v>10</v>
      </c>
      <c r="F2262" s="158">
        <v>0</v>
      </c>
      <c r="G2262" s="158">
        <v>0</v>
      </c>
      <c r="H2262" s="133" t="s">
        <v>2915</v>
      </c>
      <c r="I2262" s="133" t="s">
        <v>548</v>
      </c>
      <c r="J2262" s="158">
        <v>0</v>
      </c>
      <c r="K2262" s="159" t="str">
        <f ca="1">IFERROR(__xludf.DUMMYFUNCTION("GOOGLETRANSLATE(H2262,""th"",""en"")"),"Customer type (Personal, Corporate)")</f>
        <v>Customer type (Personal, Corporate)</v>
      </c>
    </row>
    <row r="2263" spans="1:11" ht="15.75" hidden="1" customHeight="1">
      <c r="A2263" s="133" t="s">
        <v>7</v>
      </c>
      <c r="B2263" s="133" t="s">
        <v>2875</v>
      </c>
      <c r="C2263" s="133" t="s">
        <v>1431</v>
      </c>
      <c r="D2263" s="133" t="s">
        <v>477</v>
      </c>
      <c r="E2263" s="158">
        <v>15</v>
      </c>
      <c r="F2263" s="158">
        <v>0</v>
      </c>
      <c r="G2263" s="158">
        <v>0</v>
      </c>
      <c r="H2263" s="133" t="s">
        <v>2916</v>
      </c>
      <c r="I2263" s="133" t="s">
        <v>548</v>
      </c>
      <c r="J2263" s="158">
        <v>0</v>
      </c>
      <c r="K2263" s="159" t="str">
        <f ca="1">IFERROR(__xludf.DUMMYFUNCTION("GOOGLETRANSLATE(H2263,""th"",""en"")"),"Customer status (Active, Expire, Delete, Lock, AutoLock, ...)")</f>
        <v>Customer status (Active, Expire, Delete, Lock, AutoLock, ...)</v>
      </c>
    </row>
    <row r="2264" spans="1:11" ht="15.75" hidden="1" customHeight="1">
      <c r="A2264" s="133" t="s">
        <v>7</v>
      </c>
      <c r="B2264" s="133" t="s">
        <v>2875</v>
      </c>
      <c r="C2264" s="133" t="s">
        <v>1444</v>
      </c>
      <c r="D2264" s="133" t="s">
        <v>477</v>
      </c>
      <c r="E2264" s="158">
        <v>50</v>
      </c>
      <c r="F2264" s="158">
        <v>0</v>
      </c>
      <c r="G2264" s="158">
        <v>0</v>
      </c>
      <c r="H2264" s="133" t="s">
        <v>2917</v>
      </c>
      <c r="I2264" s="133" t="s">
        <v>548</v>
      </c>
      <c r="J2264" s="158">
        <v>0</v>
      </c>
      <c r="K2264" s="159" t="str">
        <f ca="1">IFERROR(__xludf.DUMMYFUNCTION("GOOGLETRANSLATE(H2264,""th"",""en"")"),"Segment, Platinum, Gold, Diamond, Beyond Diamond)")</f>
        <v>Segment, Platinum, Gold, Diamond, Beyond Diamond)</v>
      </c>
    </row>
    <row r="2265" spans="1:11" ht="15.75" hidden="1" customHeight="1">
      <c r="A2265" s="133" t="s">
        <v>7</v>
      </c>
      <c r="B2265" s="133" t="s">
        <v>2875</v>
      </c>
      <c r="C2265" s="133" t="s">
        <v>2262</v>
      </c>
      <c r="D2265" s="133" t="s">
        <v>477</v>
      </c>
      <c r="E2265" s="158">
        <v>7</v>
      </c>
      <c r="F2265" s="158">
        <v>0</v>
      </c>
      <c r="G2265" s="158">
        <v>0</v>
      </c>
      <c r="H2265" s="133" t="s">
        <v>2918</v>
      </c>
      <c r="I2265" s="133" t="s">
        <v>548</v>
      </c>
      <c r="J2265" s="158">
        <v>0</v>
      </c>
      <c r="K2265" s="159" t="str">
        <f ca="1">IFERROR(__xludf.DUMMYFUNCTION("GOOGLETRANSLATE(H2265,""th"",""en"")"),"Sale REPT Code Customers care such as KA1, KA2, KG1, CRM")</f>
        <v>Sale REPT Code Customers care such as KA1, KA2, KG1, CRM</v>
      </c>
    </row>
    <row r="2266" spans="1:11" ht="15.75" hidden="1" customHeight="1">
      <c r="A2266" s="133" t="s">
        <v>7</v>
      </c>
      <c r="B2266" s="133" t="s">
        <v>2875</v>
      </c>
      <c r="C2266" s="133" t="s">
        <v>1339</v>
      </c>
      <c r="D2266" s="133" t="s">
        <v>477</v>
      </c>
      <c r="E2266" s="158">
        <v>3</v>
      </c>
      <c r="F2266" s="158">
        <v>0</v>
      </c>
      <c r="G2266" s="158">
        <v>0</v>
      </c>
      <c r="H2266" s="133" t="s">
        <v>2919</v>
      </c>
      <c r="I2266" s="133" t="s">
        <v>548</v>
      </c>
      <c r="J2266" s="158">
        <v>0</v>
      </c>
      <c r="K2266" s="159" t="str">
        <f ca="1">IFERROR(__xludf.DUMMYFUNCTION("GOOGLETRANSLATE(H2266,""th"",""en"")"),"Customer Cust Class code such as AC1, AC2")</f>
        <v>Customer Cust Class code such as AC1, AC2</v>
      </c>
    </row>
    <row r="2267" spans="1:11" ht="15.75" hidden="1" customHeight="1">
      <c r="A2267" s="133" t="s">
        <v>7</v>
      </c>
      <c r="B2267" s="133" t="s">
        <v>2875</v>
      </c>
      <c r="C2267" s="133" t="s">
        <v>2920</v>
      </c>
      <c r="D2267" s="133" t="s">
        <v>477</v>
      </c>
      <c r="E2267" s="158">
        <v>100</v>
      </c>
      <c r="F2267" s="158">
        <v>0</v>
      </c>
      <c r="G2267" s="158">
        <v>0</v>
      </c>
      <c r="H2267" s="133" t="s">
        <v>2921</v>
      </c>
      <c r="I2267" s="133" t="s">
        <v>548</v>
      </c>
      <c r="J2267" s="158">
        <v>0</v>
      </c>
      <c r="K2267" s="159" t="str">
        <f ca="1">IFERROR(__xludf.DUMMYFUNCTION("GOOGLETRANSLATE(H2267,""th"",""en"")"),"Other notes of customers")</f>
        <v>Other notes of customers</v>
      </c>
    </row>
    <row r="2268" spans="1:11" ht="15.75" hidden="1" customHeight="1">
      <c r="A2268" s="133" t="s">
        <v>7</v>
      </c>
      <c r="B2268" s="133" t="s">
        <v>2875</v>
      </c>
      <c r="C2268" s="133" t="s">
        <v>1433</v>
      </c>
      <c r="D2268" s="133" t="s">
        <v>477</v>
      </c>
      <c r="E2268" s="158">
        <v>13</v>
      </c>
      <c r="F2268" s="158">
        <v>0</v>
      </c>
      <c r="G2268" s="158">
        <v>0</v>
      </c>
      <c r="H2268" s="133" t="s">
        <v>2922</v>
      </c>
      <c r="I2268" s="133" t="s">
        <v>548</v>
      </c>
      <c r="J2268" s="158">
        <v>0</v>
      </c>
      <c r="K2268" s="159" t="str">
        <f ca="1">IFERROR(__xludf.DUMMYFUNCTION("GOOGLETRANSLATE(H2268,""th"",""en"")"),"Customer tax identification number")</f>
        <v>Customer tax identification number</v>
      </c>
    </row>
    <row r="2269" spans="1:11" ht="15.75" hidden="1" customHeight="1">
      <c r="A2269" s="133" t="s">
        <v>7</v>
      </c>
      <c r="B2269" s="133" t="s">
        <v>2875</v>
      </c>
      <c r="C2269" s="133" t="s">
        <v>1879</v>
      </c>
      <c r="D2269" s="133" t="s">
        <v>477</v>
      </c>
      <c r="E2269" s="158">
        <v>55</v>
      </c>
      <c r="F2269" s="158">
        <v>0</v>
      </c>
      <c r="G2269" s="158">
        <v>0</v>
      </c>
      <c r="H2269" s="133" t="s">
        <v>2923</v>
      </c>
      <c r="I2269" s="133" t="s">
        <v>548</v>
      </c>
      <c r="J2269" s="158">
        <v>0</v>
      </c>
      <c r="K2269" s="159" t="str">
        <f ca="1">IFERROR(__xludf.DUMMYFUNCTION("GOOGLETRANSLATE(H2269,""th"",""en"")"),"Address Invoice No. 1")</f>
        <v>Address Invoice No. 1</v>
      </c>
    </row>
    <row r="2270" spans="1:11" ht="15.75" hidden="1" customHeight="1">
      <c r="A2270" s="133" t="s">
        <v>7</v>
      </c>
      <c r="B2270" s="133" t="s">
        <v>2875</v>
      </c>
      <c r="C2270" s="133" t="s">
        <v>1880</v>
      </c>
      <c r="D2270" s="133" t="s">
        <v>477</v>
      </c>
      <c r="E2270" s="158">
        <v>110</v>
      </c>
      <c r="F2270" s="158">
        <v>0</v>
      </c>
      <c r="G2270" s="158">
        <v>0</v>
      </c>
      <c r="H2270" s="133" t="s">
        <v>2924</v>
      </c>
      <c r="I2270" s="133" t="s">
        <v>548</v>
      </c>
      <c r="J2270" s="158">
        <v>0</v>
      </c>
      <c r="K2270" s="159" t="str">
        <f ca="1">IFERROR(__xludf.DUMMYFUNCTION("GOOGLETRANSLATE(H2270,""th"",""en"")"),"Address No. 2 tax invoice")</f>
        <v>Address No. 2 tax invoice</v>
      </c>
    </row>
    <row r="2271" spans="1:11" ht="15.75" hidden="1" customHeight="1">
      <c r="A2271" s="133" t="s">
        <v>7</v>
      </c>
      <c r="B2271" s="133" t="s">
        <v>2875</v>
      </c>
      <c r="C2271" s="133" t="s">
        <v>1881</v>
      </c>
      <c r="D2271" s="133" t="s">
        <v>477</v>
      </c>
      <c r="E2271" s="158">
        <v>55</v>
      </c>
      <c r="F2271" s="158">
        <v>0</v>
      </c>
      <c r="G2271" s="158">
        <v>0</v>
      </c>
      <c r="H2271" s="133" t="s">
        <v>2925</v>
      </c>
      <c r="I2271" s="133" t="s">
        <v>548</v>
      </c>
      <c r="J2271" s="158">
        <v>0</v>
      </c>
      <c r="K2271" s="159" t="str">
        <f ca="1">IFERROR(__xludf.DUMMYFUNCTION("GOOGLETRANSLATE(H2271,""th"",""en"")"),"Address No. 3 tax invoice")</f>
        <v>Address No. 3 tax invoice</v>
      </c>
    </row>
    <row r="2272" spans="1:11" ht="15.75" hidden="1" customHeight="1">
      <c r="A2272" s="133" t="s">
        <v>7</v>
      </c>
      <c r="B2272" s="133" t="s">
        <v>2875</v>
      </c>
      <c r="C2272" s="133" t="s">
        <v>1882</v>
      </c>
      <c r="D2272" s="133" t="s">
        <v>477</v>
      </c>
      <c r="E2272" s="158">
        <v>55</v>
      </c>
      <c r="F2272" s="158">
        <v>0</v>
      </c>
      <c r="G2272" s="158">
        <v>0</v>
      </c>
      <c r="H2272" s="133" t="s">
        <v>2926</v>
      </c>
      <c r="I2272" s="133" t="s">
        <v>548</v>
      </c>
      <c r="J2272" s="158">
        <v>0</v>
      </c>
      <c r="K2272" s="159" t="str">
        <f ca="1">IFERROR(__xludf.DUMMYFUNCTION("GOOGLETRANSLATE(H2272,""th"",""en"")"),"No. 4 tax invoice address")</f>
        <v>No. 4 tax invoice address</v>
      </c>
    </row>
    <row r="2273" spans="1:11" ht="15.75" hidden="1" customHeight="1">
      <c r="A2273" s="133" t="s">
        <v>7</v>
      </c>
      <c r="B2273" s="133" t="s">
        <v>2875</v>
      </c>
      <c r="C2273" s="133" t="s">
        <v>1900</v>
      </c>
      <c r="D2273" s="133" t="s">
        <v>477</v>
      </c>
      <c r="E2273" s="158">
        <v>250</v>
      </c>
      <c r="F2273" s="158">
        <v>0</v>
      </c>
      <c r="G2273" s="158">
        <v>0</v>
      </c>
      <c r="H2273" s="133" t="s">
        <v>2927</v>
      </c>
      <c r="I2273" s="133" t="s">
        <v>548</v>
      </c>
      <c r="J2273" s="158">
        <v>0</v>
      </c>
      <c r="K2273" s="159" t="str">
        <f ca="1">IFERROR(__xludf.DUMMYFUNCTION("GOOGLETRANSLATE(H2273,""th"",""en"")"),"Note the documents you want to display in the Invoice document")</f>
        <v>Note the documents you want to display in the Invoice document</v>
      </c>
    </row>
    <row r="2274" spans="1:11" ht="15.75" hidden="1" customHeight="1">
      <c r="A2274" s="133" t="s">
        <v>7</v>
      </c>
      <c r="B2274" s="133" t="s">
        <v>2875</v>
      </c>
      <c r="C2274" s="133" t="s">
        <v>2928</v>
      </c>
      <c r="D2274" s="133" t="s">
        <v>477</v>
      </c>
      <c r="E2274" s="158">
        <v>300</v>
      </c>
      <c r="F2274" s="158">
        <v>0</v>
      </c>
      <c r="G2274" s="158">
        <v>0</v>
      </c>
      <c r="H2274" s="133" t="s">
        <v>2929</v>
      </c>
      <c r="I2274" s="133" t="s">
        <v>548</v>
      </c>
      <c r="J2274" s="158">
        <v>0</v>
      </c>
      <c r="K2274" s="159" t="str">
        <f ca="1">IFERROR(__xludf.DUMMYFUNCTION("GOOGLETRANSLATE(H2274,""th"",""en"")"),"Internal notes To inform the warehouse officer")</f>
        <v>Internal notes To inform the warehouse officer</v>
      </c>
    </row>
    <row r="2275" spans="1:11" ht="15.75" hidden="1" customHeight="1">
      <c r="A2275" s="133" t="s">
        <v>7</v>
      </c>
      <c r="B2275" s="133" t="s">
        <v>2875</v>
      </c>
      <c r="C2275" s="133" t="s">
        <v>2930</v>
      </c>
      <c r="D2275" s="133" t="s">
        <v>477</v>
      </c>
      <c r="E2275" s="158">
        <v>300</v>
      </c>
      <c r="F2275" s="158">
        <v>0</v>
      </c>
      <c r="G2275" s="158">
        <v>0</v>
      </c>
      <c r="H2275" s="133" t="s">
        <v>2931</v>
      </c>
      <c r="I2275" s="133" t="s">
        <v>548</v>
      </c>
      <c r="J2275" s="277">
        <v>1</v>
      </c>
      <c r="K2275" s="159" t="str">
        <f ca="1">IFERROR(__xludf.DUMMYFUNCTION("GOOGLETRANSLATE(H2275,""th"",""en"")"),"Note used in the statement Or Oasys system quotation")</f>
        <v>Note used in the statement Or Oasys system quotation</v>
      </c>
    </row>
    <row r="2276" spans="1:11" ht="15.75" hidden="1" customHeight="1">
      <c r="A2276" s="133" t="s">
        <v>7</v>
      </c>
      <c r="B2276" s="133" t="s">
        <v>2875</v>
      </c>
      <c r="C2276" s="133" t="s">
        <v>2932</v>
      </c>
      <c r="D2276" s="133" t="s">
        <v>496</v>
      </c>
      <c r="E2276" s="158">
        <v>4</v>
      </c>
      <c r="F2276" s="158">
        <v>16</v>
      </c>
      <c r="G2276" s="158">
        <v>0</v>
      </c>
      <c r="H2276" s="133" t="s">
        <v>2933</v>
      </c>
      <c r="I2276" s="133" t="s">
        <v>1363</v>
      </c>
      <c r="J2276" s="158">
        <v>0</v>
      </c>
      <c r="K2276" s="159" t="str">
        <f ca="1">IFERROR(__xludf.DUMMYFUNCTION("GOOGLETRANSLATE(H2276,""th"",""en"")"),"Delivery date")</f>
        <v>Delivery date</v>
      </c>
    </row>
    <row r="2277" spans="1:11" ht="15.75" hidden="1" customHeight="1">
      <c r="A2277" s="133" t="s">
        <v>7</v>
      </c>
      <c r="B2277" s="133" t="s">
        <v>2875</v>
      </c>
      <c r="C2277" s="133" t="s">
        <v>2934</v>
      </c>
      <c r="D2277" s="133" t="s">
        <v>477</v>
      </c>
      <c r="E2277" s="158">
        <v>100</v>
      </c>
      <c r="F2277" s="158">
        <v>0</v>
      </c>
      <c r="G2277" s="158">
        <v>0</v>
      </c>
      <c r="H2277" s="133" t="s">
        <v>2512</v>
      </c>
      <c r="I2277" s="133" t="s">
        <v>548</v>
      </c>
      <c r="J2277" s="158">
        <v>0</v>
      </c>
      <c r="K2277" s="159" t="str">
        <f ca="1">IFERROR(__xludf.DUMMYFUNCTION("GOOGLETRANSLATE(H2277,""th"",""en"")"),"Delivery note")</f>
        <v>Delivery note</v>
      </c>
    </row>
    <row r="2278" spans="1:11" ht="15.75" hidden="1" customHeight="1">
      <c r="A2278" s="133" t="s">
        <v>7</v>
      </c>
      <c r="B2278" s="133" t="s">
        <v>2875</v>
      </c>
      <c r="C2278" s="133" t="s">
        <v>2184</v>
      </c>
      <c r="D2278" s="133" t="s">
        <v>484</v>
      </c>
      <c r="E2278" s="158">
        <v>4</v>
      </c>
      <c r="F2278" s="158">
        <v>10</v>
      </c>
      <c r="G2278" s="158">
        <v>0</v>
      </c>
      <c r="H2278" s="133" t="s">
        <v>2935</v>
      </c>
      <c r="I2278" s="133" t="s">
        <v>615</v>
      </c>
      <c r="J2278" s="158">
        <v>0</v>
      </c>
      <c r="K2278" s="159" t="str">
        <f ca="1">IFERROR(__xludf.DUMMYFUNCTION("GOOGLETRANSLATE(H2278,""th"",""en"")"),"Location code")</f>
        <v>Location code</v>
      </c>
    </row>
    <row r="2279" spans="1:11" ht="15.75" hidden="1" customHeight="1">
      <c r="A2279" s="133" t="s">
        <v>7</v>
      </c>
      <c r="B2279" s="133" t="s">
        <v>2875</v>
      </c>
      <c r="C2279" s="133" t="s">
        <v>2185</v>
      </c>
      <c r="D2279" s="133" t="s">
        <v>477</v>
      </c>
      <c r="E2279" s="158">
        <v>50</v>
      </c>
      <c r="F2279" s="158">
        <v>0</v>
      </c>
      <c r="G2279" s="158">
        <v>0</v>
      </c>
      <c r="H2279" s="133" t="s">
        <v>2936</v>
      </c>
      <c r="I2279" s="133" t="s">
        <v>548</v>
      </c>
      <c r="J2279" s="158">
        <v>0</v>
      </c>
      <c r="K2279" s="159" t="str">
        <f ca="1">IFERROR(__xludf.DUMMYFUNCTION("GOOGLETRANSLATE(H2279,""th"",""en"")"),"Recipient")</f>
        <v>Recipient</v>
      </c>
    </row>
    <row r="2280" spans="1:11" ht="15.75" hidden="1" customHeight="1">
      <c r="A2280" s="133" t="s">
        <v>7</v>
      </c>
      <c r="B2280" s="133" t="s">
        <v>2875</v>
      </c>
      <c r="C2280" s="133" t="s">
        <v>2210</v>
      </c>
      <c r="D2280" s="133" t="s">
        <v>477</v>
      </c>
      <c r="E2280" s="158">
        <v>50</v>
      </c>
      <c r="F2280" s="158">
        <v>0</v>
      </c>
      <c r="G2280" s="158">
        <v>0</v>
      </c>
      <c r="H2280" s="133" t="s">
        <v>2937</v>
      </c>
      <c r="I2280" s="133" t="s">
        <v>548</v>
      </c>
      <c r="J2280" s="158">
        <v>0</v>
      </c>
      <c r="K2280" s="159" t="str">
        <f ca="1">IFERROR(__xludf.DUMMYFUNCTION("GOOGLETRANSLATE(H2280,""th"",""en"")"),"Phone number, location")</f>
        <v>Phone number, location</v>
      </c>
    </row>
    <row r="2281" spans="1:11" ht="15.75" hidden="1" customHeight="1">
      <c r="A2281" s="133" t="s">
        <v>7</v>
      </c>
      <c r="B2281" s="133" t="s">
        <v>2875</v>
      </c>
      <c r="C2281" s="133" t="s">
        <v>2211</v>
      </c>
      <c r="D2281" s="133" t="s">
        <v>477</v>
      </c>
      <c r="E2281" s="158">
        <v>6</v>
      </c>
      <c r="F2281" s="158">
        <v>0</v>
      </c>
      <c r="G2281" s="158">
        <v>0</v>
      </c>
      <c r="H2281" s="133" t="s">
        <v>2938</v>
      </c>
      <c r="I2281" s="133" t="s">
        <v>548</v>
      </c>
      <c r="J2281" s="158">
        <v>0</v>
      </c>
      <c r="K2281" s="159" t="str">
        <f ca="1">IFERROR(__xludf.DUMMYFUNCTION("GOOGLETRANSLATE(H2281,""th"",""en"")"),"Numbers per delivery location")</f>
        <v>Numbers per delivery location</v>
      </c>
    </row>
    <row r="2282" spans="1:11" ht="15.75" hidden="1" customHeight="1">
      <c r="A2282" s="133" t="s">
        <v>7</v>
      </c>
      <c r="B2282" s="133" t="s">
        <v>2875</v>
      </c>
      <c r="C2282" s="133" t="s">
        <v>2212</v>
      </c>
      <c r="D2282" s="133" t="s">
        <v>477</v>
      </c>
      <c r="E2282" s="158">
        <v>50</v>
      </c>
      <c r="F2282" s="158">
        <v>0</v>
      </c>
      <c r="G2282" s="158">
        <v>0</v>
      </c>
      <c r="H2282" s="133" t="s">
        <v>2939</v>
      </c>
      <c r="I2282" s="133" t="s">
        <v>548</v>
      </c>
      <c r="J2282" s="158">
        <v>0</v>
      </c>
      <c r="K2282" s="159" t="str">
        <f ca="1">IFERROR(__xludf.DUMMYFUNCTION("GOOGLETRANSLATE(H2282,""th"",""en"")"),"Mobile number, location")</f>
        <v>Mobile number, location</v>
      </c>
    </row>
    <row r="2283" spans="1:11" ht="15.75" hidden="1" customHeight="1">
      <c r="A2283" s="133" t="s">
        <v>7</v>
      </c>
      <c r="B2283" s="133" t="s">
        <v>2875</v>
      </c>
      <c r="C2283" s="133" t="s">
        <v>2213</v>
      </c>
      <c r="D2283" s="133" t="s">
        <v>477</v>
      </c>
      <c r="E2283" s="158">
        <v>20</v>
      </c>
      <c r="F2283" s="158">
        <v>0</v>
      </c>
      <c r="G2283" s="158">
        <v>0</v>
      </c>
      <c r="H2283" s="133" t="s">
        <v>2940</v>
      </c>
      <c r="I2283" s="133" t="s">
        <v>548</v>
      </c>
      <c r="J2283" s="158">
        <v>0</v>
      </c>
      <c r="K2283" s="159" t="str">
        <f ca="1">IFERROR(__xludf.DUMMYFUNCTION("GOOGLETRANSLATE(H2283,""th"",""en"")"),"Fax, delivery location")</f>
        <v>Fax, delivery location</v>
      </c>
    </row>
    <row r="2284" spans="1:11" ht="15.75" hidden="1" customHeight="1">
      <c r="A2284" s="133" t="s">
        <v>7</v>
      </c>
      <c r="B2284" s="133" t="s">
        <v>2875</v>
      </c>
      <c r="C2284" s="133" t="s">
        <v>2214</v>
      </c>
      <c r="D2284" s="133" t="s">
        <v>477</v>
      </c>
      <c r="E2284" s="158">
        <v>100</v>
      </c>
      <c r="F2284" s="158">
        <v>0</v>
      </c>
      <c r="G2284" s="158">
        <v>0</v>
      </c>
      <c r="H2284" s="133" t="s">
        <v>2941</v>
      </c>
      <c r="I2284" s="133" t="s">
        <v>548</v>
      </c>
      <c r="J2284" s="158">
        <v>0</v>
      </c>
      <c r="K2284" s="159" t="str">
        <f ca="1">IFERROR(__xludf.DUMMYFUNCTION("GOOGLETRANSLATE(H2284,""th"",""en"")"),"Email contact location")</f>
        <v>Email contact location</v>
      </c>
    </row>
    <row r="2285" spans="1:11" ht="15.75" hidden="1" customHeight="1">
      <c r="A2285" s="133" t="s">
        <v>7</v>
      </c>
      <c r="B2285" s="133" t="s">
        <v>2875</v>
      </c>
      <c r="C2285" s="133" t="s">
        <v>2187</v>
      </c>
      <c r="D2285" s="133" t="s">
        <v>477</v>
      </c>
      <c r="E2285" s="158">
        <v>55</v>
      </c>
      <c r="F2285" s="158">
        <v>0</v>
      </c>
      <c r="G2285" s="158">
        <v>0</v>
      </c>
      <c r="H2285" s="133" t="s">
        <v>2942</v>
      </c>
      <c r="I2285" s="133" t="s">
        <v>548</v>
      </c>
      <c r="J2285" s="158">
        <v>0</v>
      </c>
      <c r="K2285" s="159" t="str">
        <f ca="1">IFERROR(__xludf.DUMMYFUNCTION("GOOGLETRANSLATE(H2285,""th"",""en"")"),"Location address No. 1")</f>
        <v>Location address No. 1</v>
      </c>
    </row>
    <row r="2286" spans="1:11" ht="15.75" hidden="1" customHeight="1">
      <c r="A2286" s="133" t="s">
        <v>7</v>
      </c>
      <c r="B2286" s="133" t="s">
        <v>2875</v>
      </c>
      <c r="C2286" s="133" t="s">
        <v>2188</v>
      </c>
      <c r="D2286" s="133" t="s">
        <v>477</v>
      </c>
      <c r="E2286" s="158">
        <v>110</v>
      </c>
      <c r="F2286" s="158">
        <v>0</v>
      </c>
      <c r="G2286" s="158">
        <v>0</v>
      </c>
      <c r="H2286" s="133" t="s">
        <v>2943</v>
      </c>
      <c r="I2286" s="133" t="s">
        <v>548</v>
      </c>
      <c r="J2286" s="158">
        <v>0</v>
      </c>
      <c r="K2286" s="159" t="str">
        <f ca="1">IFERROR(__xludf.DUMMYFUNCTION("GOOGLETRANSLATE(H2286,""th"",""en"")"),"Location address No. 2")</f>
        <v>Location address No. 2</v>
      </c>
    </row>
    <row r="2287" spans="1:11" ht="15.75" hidden="1" customHeight="1">
      <c r="A2287" s="133" t="s">
        <v>7</v>
      </c>
      <c r="B2287" s="133" t="s">
        <v>2875</v>
      </c>
      <c r="C2287" s="133" t="s">
        <v>2189</v>
      </c>
      <c r="D2287" s="133" t="s">
        <v>477</v>
      </c>
      <c r="E2287" s="158">
        <v>55</v>
      </c>
      <c r="F2287" s="158">
        <v>0</v>
      </c>
      <c r="G2287" s="158">
        <v>0</v>
      </c>
      <c r="H2287" s="133" t="s">
        <v>2944</v>
      </c>
      <c r="I2287" s="133" t="s">
        <v>548</v>
      </c>
      <c r="J2287" s="158">
        <v>0</v>
      </c>
      <c r="K2287" s="159" t="str">
        <f ca="1">IFERROR(__xludf.DUMMYFUNCTION("GOOGLETRANSLATE(H2287,""th"",""en"")"),"Address, location, # 3")</f>
        <v>Address, location, # 3</v>
      </c>
    </row>
    <row r="2288" spans="1:11" ht="15.75" hidden="1" customHeight="1">
      <c r="A2288" s="133" t="s">
        <v>7</v>
      </c>
      <c r="B2288" s="133" t="s">
        <v>2875</v>
      </c>
      <c r="C2288" s="133" t="s">
        <v>2190</v>
      </c>
      <c r="D2288" s="133" t="s">
        <v>477</v>
      </c>
      <c r="E2288" s="158">
        <v>55</v>
      </c>
      <c r="F2288" s="158">
        <v>0</v>
      </c>
      <c r="G2288" s="158">
        <v>0</v>
      </c>
      <c r="H2288" s="133" t="s">
        <v>2945</v>
      </c>
      <c r="I2288" s="133" t="s">
        <v>548</v>
      </c>
      <c r="J2288" s="158">
        <v>0</v>
      </c>
      <c r="K2288" s="159" t="str">
        <f ca="1">IFERROR(__xludf.DUMMYFUNCTION("GOOGLETRANSLATE(H2288,""th"",""en"")"),"Address, location, No. 4")</f>
        <v>Address, location, No. 4</v>
      </c>
    </row>
    <row r="2289" spans="1:11" ht="15.75" hidden="1" customHeight="1">
      <c r="A2289" s="133" t="s">
        <v>7</v>
      </c>
      <c r="B2289" s="133" t="s">
        <v>2875</v>
      </c>
      <c r="C2289" s="133" t="s">
        <v>2206</v>
      </c>
      <c r="D2289" s="133" t="s">
        <v>477</v>
      </c>
      <c r="E2289" s="158">
        <v>20</v>
      </c>
      <c r="F2289" s="158">
        <v>0</v>
      </c>
      <c r="G2289" s="158">
        <v>0</v>
      </c>
      <c r="H2289" s="133" t="s">
        <v>2946</v>
      </c>
      <c r="I2289" s="133" t="s">
        <v>548</v>
      </c>
      <c r="J2289" s="158">
        <v>0</v>
      </c>
      <c r="K2289" s="159" t="str">
        <f ca="1">IFERROR(__xludf.DUMMYFUNCTION("GOOGLETRANSLATE(H2289,""th"",""en"")"),"Province name, delivery location")</f>
        <v>Province name, delivery location</v>
      </c>
    </row>
    <row r="2290" spans="1:11" ht="15.75" hidden="1" customHeight="1">
      <c r="A2290" s="133" t="s">
        <v>7</v>
      </c>
      <c r="B2290" s="133" t="s">
        <v>2875</v>
      </c>
      <c r="C2290" s="133" t="s">
        <v>2209</v>
      </c>
      <c r="D2290" s="133" t="s">
        <v>477</v>
      </c>
      <c r="E2290" s="158">
        <v>7</v>
      </c>
      <c r="F2290" s="158">
        <v>0</v>
      </c>
      <c r="G2290" s="158">
        <v>0</v>
      </c>
      <c r="H2290" s="133" t="s">
        <v>2947</v>
      </c>
      <c r="I2290" s="133" t="s">
        <v>548</v>
      </c>
      <c r="J2290" s="158">
        <v>0</v>
      </c>
      <c r="K2290" s="159" t="str">
        <f ca="1">IFERROR(__xludf.DUMMYFUNCTION("GOOGLETRANSLATE(H2290,""th"",""en"")"),"Delivery zone code")</f>
        <v>Delivery zone code</v>
      </c>
    </row>
    <row r="2291" spans="1:11" ht="15.75" hidden="1" customHeight="1">
      <c r="A2291" s="133" t="s">
        <v>7</v>
      </c>
      <c r="B2291" s="133" t="s">
        <v>2875</v>
      </c>
      <c r="C2291" s="133" t="s">
        <v>2192</v>
      </c>
      <c r="D2291" s="133" t="s">
        <v>477</v>
      </c>
      <c r="E2291" s="158">
        <v>20</v>
      </c>
      <c r="F2291" s="158">
        <v>0</v>
      </c>
      <c r="G2291" s="158">
        <v>0</v>
      </c>
      <c r="H2291" s="133" t="s">
        <v>2948</v>
      </c>
      <c r="I2291" s="133" t="s">
        <v>548</v>
      </c>
      <c r="J2291" s="158">
        <v>0</v>
      </c>
      <c r="K2291" s="159" t="str">
        <f ca="1">IFERROR(__xludf.DUMMYFUNCTION("GOOGLETRANSLATE(H2291,""th"",""en"")"),"Location number")</f>
        <v>Location number</v>
      </c>
    </row>
    <row r="2292" spans="1:11" ht="15.75" hidden="1" customHeight="1">
      <c r="A2292" s="133" t="s">
        <v>7</v>
      </c>
      <c r="B2292" s="133" t="s">
        <v>2875</v>
      </c>
      <c r="C2292" s="133" t="s">
        <v>2193</v>
      </c>
      <c r="D2292" s="133" t="s">
        <v>477</v>
      </c>
      <c r="E2292" s="158">
        <v>10</v>
      </c>
      <c r="F2292" s="158">
        <v>0</v>
      </c>
      <c r="G2292" s="158">
        <v>0</v>
      </c>
      <c r="H2292" s="133" t="s">
        <v>2949</v>
      </c>
      <c r="I2292" s="133" t="s">
        <v>548</v>
      </c>
      <c r="J2292" s="158">
        <v>0</v>
      </c>
      <c r="K2292" s="159" t="str">
        <f ca="1">IFERROR(__xludf.DUMMYFUNCTION("GOOGLETRANSLATE(H2292,""th"",""en"")"),"Groups at the delivery location")</f>
        <v>Groups at the delivery location</v>
      </c>
    </row>
    <row r="2293" spans="1:11" ht="15.75" hidden="1" customHeight="1">
      <c r="A2293" s="133" t="s">
        <v>7</v>
      </c>
      <c r="B2293" s="133" t="s">
        <v>2875</v>
      </c>
      <c r="C2293" s="133" t="s">
        <v>2196</v>
      </c>
      <c r="D2293" s="133" t="s">
        <v>477</v>
      </c>
      <c r="E2293" s="158">
        <v>10</v>
      </c>
      <c r="F2293" s="158">
        <v>0</v>
      </c>
      <c r="G2293" s="158">
        <v>0</v>
      </c>
      <c r="H2293" s="133" t="s">
        <v>2950</v>
      </c>
      <c r="I2293" s="133" t="s">
        <v>548</v>
      </c>
      <c r="J2293" s="158">
        <v>0</v>
      </c>
      <c r="K2293" s="159" t="str">
        <f ca="1">IFERROR(__xludf.DUMMYFUNCTION("GOOGLETRANSLATE(H2293,""th"",""en"")"),"Floor at the delivery location")</f>
        <v>Floor at the delivery location</v>
      </c>
    </row>
    <row r="2294" spans="1:11" ht="15.75" hidden="1" customHeight="1">
      <c r="A2294" s="133" t="s">
        <v>7</v>
      </c>
      <c r="B2294" s="133" t="s">
        <v>2875</v>
      </c>
      <c r="C2294" s="133" t="s">
        <v>2197</v>
      </c>
      <c r="D2294" s="133" t="s">
        <v>477</v>
      </c>
      <c r="E2294" s="158">
        <v>10</v>
      </c>
      <c r="F2294" s="158">
        <v>0</v>
      </c>
      <c r="G2294" s="158">
        <v>0</v>
      </c>
      <c r="H2294" s="133" t="s">
        <v>2951</v>
      </c>
      <c r="I2294" s="133" t="s">
        <v>548</v>
      </c>
      <c r="J2294" s="158">
        <v>0</v>
      </c>
      <c r="K2294" s="159" t="str">
        <f ca="1">IFERROR(__xludf.DUMMYFUNCTION("GOOGLETRANSLATE(H2294,""th"",""en"")"),"Room number, location")</f>
        <v>Room number, location</v>
      </c>
    </row>
    <row r="2295" spans="1:11" ht="15.75" hidden="1" customHeight="1">
      <c r="A2295" s="133" t="s">
        <v>7</v>
      </c>
      <c r="B2295" s="133" t="s">
        <v>2875</v>
      </c>
      <c r="C2295" s="133" t="s">
        <v>2200</v>
      </c>
      <c r="D2295" s="133" t="s">
        <v>477</v>
      </c>
      <c r="E2295" s="158">
        <v>35</v>
      </c>
      <c r="F2295" s="158">
        <v>0</v>
      </c>
      <c r="G2295" s="158">
        <v>0</v>
      </c>
      <c r="H2295" s="133" t="s">
        <v>2952</v>
      </c>
      <c r="I2295" s="133" t="s">
        <v>548</v>
      </c>
      <c r="J2295" s="158">
        <v>0</v>
      </c>
      <c r="K2295" s="159" t="str">
        <f ca="1">IFERROR(__xludf.DUMMYFUNCTION("GOOGLETRANSLATE(H2295,""th"",""en"")"),"Name, alley, delivery location")</f>
        <v>Name, alley, delivery location</v>
      </c>
    </row>
    <row r="2296" spans="1:11" ht="15.75" hidden="1" customHeight="1">
      <c r="A2296" s="133" t="s">
        <v>7</v>
      </c>
      <c r="B2296" s="133" t="s">
        <v>2875</v>
      </c>
      <c r="C2296" s="133" t="s">
        <v>2201</v>
      </c>
      <c r="D2296" s="133" t="s">
        <v>477</v>
      </c>
      <c r="E2296" s="158">
        <v>35</v>
      </c>
      <c r="F2296" s="158">
        <v>0</v>
      </c>
      <c r="G2296" s="158">
        <v>0</v>
      </c>
      <c r="H2296" s="133" t="s">
        <v>2953</v>
      </c>
      <c r="I2296" s="133" t="s">
        <v>548</v>
      </c>
      <c r="J2296" s="158">
        <v>0</v>
      </c>
      <c r="K2296" s="159" t="str">
        <f ca="1">IFERROR(__xludf.DUMMYFUNCTION("GOOGLETRANSLATE(H2296,""th"",""en"")"),"Road name, location, delivery")</f>
        <v>Road name, location, delivery</v>
      </c>
    </row>
    <row r="2297" spans="1:11" ht="15.75" hidden="1" customHeight="1">
      <c r="A2297" s="133" t="s">
        <v>7</v>
      </c>
      <c r="B2297" s="133" t="s">
        <v>2875</v>
      </c>
      <c r="C2297" s="133" t="s">
        <v>2202</v>
      </c>
      <c r="D2297" s="133" t="s">
        <v>477</v>
      </c>
      <c r="E2297" s="158">
        <v>50</v>
      </c>
      <c r="F2297" s="158">
        <v>0</v>
      </c>
      <c r="G2297" s="158">
        <v>0</v>
      </c>
      <c r="H2297" s="133" t="s">
        <v>2954</v>
      </c>
      <c r="I2297" s="133" t="s">
        <v>548</v>
      </c>
      <c r="J2297" s="158">
        <v>0</v>
      </c>
      <c r="K2297" s="159" t="str">
        <f ca="1">IFERROR(__xludf.DUMMYFUNCTION("GOOGLETRANSLATE(H2297,""th"",""en"")"),"District / Subdistrict")</f>
        <v>District / Subdistrict</v>
      </c>
    </row>
    <row r="2298" spans="1:11" ht="15.75" hidden="1" customHeight="1">
      <c r="A2298" s="133" t="s">
        <v>7</v>
      </c>
      <c r="B2298" s="133" t="s">
        <v>2875</v>
      </c>
      <c r="C2298" s="133" t="s">
        <v>2204</v>
      </c>
      <c r="D2298" s="133" t="s">
        <v>477</v>
      </c>
      <c r="E2298" s="158">
        <v>50</v>
      </c>
      <c r="F2298" s="158">
        <v>0</v>
      </c>
      <c r="G2298" s="158">
        <v>0</v>
      </c>
      <c r="H2298" s="133" t="s">
        <v>2955</v>
      </c>
      <c r="I2298" s="133" t="s">
        <v>548</v>
      </c>
      <c r="J2298" s="158">
        <v>0</v>
      </c>
      <c r="K2298" s="159" t="str">
        <f ca="1">IFERROR(__xludf.DUMMYFUNCTION("GOOGLETRANSLATE(H2298,""th"",""en"")"),"District / District Location")</f>
        <v>District / District Location</v>
      </c>
    </row>
    <row r="2299" spans="1:11" ht="15.75" hidden="1" customHeight="1">
      <c r="A2299" s="133" t="s">
        <v>7</v>
      </c>
      <c r="B2299" s="133" t="s">
        <v>2875</v>
      </c>
      <c r="C2299" s="133" t="s">
        <v>2208</v>
      </c>
      <c r="D2299" s="133" t="s">
        <v>477</v>
      </c>
      <c r="E2299" s="158">
        <v>5</v>
      </c>
      <c r="F2299" s="158">
        <v>0</v>
      </c>
      <c r="G2299" s="158">
        <v>0</v>
      </c>
      <c r="H2299" s="133" t="s">
        <v>2956</v>
      </c>
      <c r="I2299" s="133" t="s">
        <v>548</v>
      </c>
      <c r="J2299" s="158">
        <v>0</v>
      </c>
      <c r="K2299" s="159" t="str">
        <f ca="1">IFERROR(__xludf.DUMMYFUNCTION("GOOGLETRANSLATE(H2299,""th"",""en"")"),"Postal code, delivery location")</f>
        <v>Postal code, delivery location</v>
      </c>
    </row>
    <row r="2300" spans="1:11" ht="15.75" hidden="1" customHeight="1">
      <c r="A2300" s="133" t="s">
        <v>7</v>
      </c>
      <c r="B2300" s="133" t="s">
        <v>2875</v>
      </c>
      <c r="C2300" s="133" t="s">
        <v>2194</v>
      </c>
      <c r="D2300" s="133" t="s">
        <v>484</v>
      </c>
      <c r="E2300" s="158">
        <v>4</v>
      </c>
      <c r="F2300" s="158">
        <v>10</v>
      </c>
      <c r="G2300" s="158">
        <v>0</v>
      </c>
      <c r="H2300" s="133" t="s">
        <v>2957</v>
      </c>
      <c r="I2300" s="133" t="s">
        <v>615</v>
      </c>
      <c r="J2300" s="158">
        <v>0</v>
      </c>
      <c r="K2300" s="159" t="str">
        <f ca="1">IFERROR(__xludf.DUMMYFUNCTION("GOOGLETRANSLATE(H2300,""th"",""en"")"),"Location building code")</f>
        <v>Location building code</v>
      </c>
    </row>
    <row r="2301" spans="1:11" ht="15.75" hidden="1" customHeight="1">
      <c r="A2301" s="133" t="s">
        <v>7</v>
      </c>
      <c r="B2301" s="133" t="s">
        <v>2875</v>
      </c>
      <c r="C2301" s="133" t="s">
        <v>2195</v>
      </c>
      <c r="D2301" s="133" t="s">
        <v>477</v>
      </c>
      <c r="E2301" s="158">
        <v>75</v>
      </c>
      <c r="F2301" s="158">
        <v>0</v>
      </c>
      <c r="G2301" s="158">
        <v>0</v>
      </c>
      <c r="H2301" s="133" t="s">
        <v>2958</v>
      </c>
      <c r="I2301" s="133" t="s">
        <v>548</v>
      </c>
      <c r="J2301" s="158">
        <v>0</v>
      </c>
      <c r="K2301" s="159" t="str">
        <f ca="1">IFERROR(__xludf.DUMMYFUNCTION("GOOGLETRANSLATE(H2301,""th"",""en"")"),"Building name, delivery location")</f>
        <v>Building name, delivery location</v>
      </c>
    </row>
    <row r="2302" spans="1:11" ht="15.75" hidden="1" customHeight="1">
      <c r="A2302" s="133" t="s">
        <v>7</v>
      </c>
      <c r="B2302" s="133" t="s">
        <v>2875</v>
      </c>
      <c r="C2302" s="133" t="s">
        <v>2198</v>
      </c>
      <c r="D2302" s="133" t="s">
        <v>484</v>
      </c>
      <c r="E2302" s="158">
        <v>4</v>
      </c>
      <c r="F2302" s="158">
        <v>10</v>
      </c>
      <c r="G2302" s="158">
        <v>0</v>
      </c>
      <c r="H2302" s="133" t="s">
        <v>2959</v>
      </c>
      <c r="I2302" s="133" t="s">
        <v>615</v>
      </c>
      <c r="J2302" s="158">
        <v>0</v>
      </c>
      <c r="K2302" s="159" t="str">
        <f ca="1">IFERROR(__xludf.DUMMYFUNCTION("GOOGLETRANSLATE(H2302,""th"",""en"")"),"Location code near Delivery location")</f>
        <v>Location code near Delivery location</v>
      </c>
    </row>
    <row r="2303" spans="1:11" ht="15.75" hidden="1" customHeight="1">
      <c r="A2303" s="133" t="s">
        <v>7</v>
      </c>
      <c r="B2303" s="133" t="s">
        <v>2875</v>
      </c>
      <c r="C2303" s="133" t="s">
        <v>2199</v>
      </c>
      <c r="D2303" s="133" t="s">
        <v>477</v>
      </c>
      <c r="E2303" s="158">
        <v>100</v>
      </c>
      <c r="F2303" s="158">
        <v>0</v>
      </c>
      <c r="G2303" s="158">
        <v>0</v>
      </c>
      <c r="H2303" s="133" t="s">
        <v>2960</v>
      </c>
      <c r="I2303" s="133" t="s">
        <v>548</v>
      </c>
      <c r="J2303" s="158">
        <v>0</v>
      </c>
      <c r="K2303" s="159" t="str">
        <f ca="1">IFERROR(__xludf.DUMMYFUNCTION("GOOGLETRANSLATE(H2303,""th"",""en"")"),"Name Name Delivery location")</f>
        <v>Name Name Delivery location</v>
      </c>
    </row>
    <row r="2304" spans="1:11" ht="15.75" hidden="1" customHeight="1">
      <c r="A2304" s="133" t="s">
        <v>7</v>
      </c>
      <c r="B2304" s="133" t="s">
        <v>2875</v>
      </c>
      <c r="C2304" s="133" t="s">
        <v>2961</v>
      </c>
      <c r="D2304" s="133" t="s">
        <v>481</v>
      </c>
      <c r="E2304" s="158">
        <v>9</v>
      </c>
      <c r="F2304" s="158">
        <v>11</v>
      </c>
      <c r="G2304" s="158">
        <v>8</v>
      </c>
      <c r="H2304" s="133" t="s">
        <v>2962</v>
      </c>
      <c r="I2304" s="133" t="s">
        <v>615</v>
      </c>
      <c r="J2304" s="158">
        <v>0</v>
      </c>
      <c r="K2304" s="159" t="str">
        <f ca="1">IFERROR(__xludf.DUMMYFUNCTION("GOOGLETRANSLATE(H2304,""th"",""en"")"),"Latitude coordinates delivery location")</f>
        <v>Latitude coordinates delivery location</v>
      </c>
    </row>
    <row r="2305" spans="1:11" ht="15.75" hidden="1" customHeight="1">
      <c r="A2305" s="133" t="s">
        <v>7</v>
      </c>
      <c r="B2305" s="133" t="s">
        <v>2875</v>
      </c>
      <c r="C2305" s="133" t="s">
        <v>2963</v>
      </c>
      <c r="D2305" s="133" t="s">
        <v>481</v>
      </c>
      <c r="E2305" s="158">
        <v>9</v>
      </c>
      <c r="F2305" s="158">
        <v>11</v>
      </c>
      <c r="G2305" s="158">
        <v>8</v>
      </c>
      <c r="H2305" s="133" t="s">
        <v>2964</v>
      </c>
      <c r="I2305" s="133" t="s">
        <v>615</v>
      </c>
      <c r="J2305" s="158">
        <v>0</v>
      </c>
      <c r="K2305" s="159" t="str">
        <f ca="1">IFERROR(__xludf.DUMMYFUNCTION("GOOGLETRANSLATE(H2305,""th"",""en"")"),"Longtitude coordinates, delivery places")</f>
        <v>Longtitude coordinates, delivery places</v>
      </c>
    </row>
    <row r="2306" spans="1:11" ht="15.75" hidden="1" customHeight="1">
      <c r="A2306" s="133" t="s">
        <v>7</v>
      </c>
      <c r="B2306" s="133" t="s">
        <v>2875</v>
      </c>
      <c r="C2306" s="133" t="s">
        <v>2965</v>
      </c>
      <c r="D2306" s="133" t="s">
        <v>477</v>
      </c>
      <c r="E2306" s="158">
        <v>100</v>
      </c>
      <c r="F2306" s="158">
        <v>0</v>
      </c>
      <c r="G2306" s="158">
        <v>0</v>
      </c>
      <c r="H2306" s="133" t="s">
        <v>2966</v>
      </c>
      <c r="I2306" s="133" t="s">
        <v>548</v>
      </c>
      <c r="J2306" s="158">
        <v>0</v>
      </c>
      <c r="K2306" s="159" t="str">
        <f ca="1">IFERROR(__xludf.DUMMYFUNCTION("GOOGLETRANSLATE(H2306,""th"",""en"")"),"Timestamp Update Information")</f>
        <v>Timestamp Update Information</v>
      </c>
    </row>
    <row r="2307" spans="1:11" ht="15.75" hidden="1" customHeight="1">
      <c r="A2307" s="133" t="s">
        <v>7</v>
      </c>
      <c r="B2307" s="133" t="s">
        <v>2875</v>
      </c>
      <c r="C2307" s="133" t="s">
        <v>2217</v>
      </c>
      <c r="D2307" s="133" t="s">
        <v>477</v>
      </c>
      <c r="E2307" s="158">
        <v>3</v>
      </c>
      <c r="F2307" s="158">
        <v>0</v>
      </c>
      <c r="G2307" s="158">
        <v>0</v>
      </c>
      <c r="H2307" s="133" t="s">
        <v>2967</v>
      </c>
      <c r="I2307" s="133" t="s">
        <v>596</v>
      </c>
      <c r="J2307" s="158">
        <v>0</v>
      </c>
      <c r="K2307" s="159" t="str">
        <f ca="1">IFERROR(__xludf.DUMMYFUNCTION("GOOGLETRANSLATE(H2307,""th"",""en"")"),"Attach PO documents (YES / NO)")</f>
        <v>Attach PO documents (YES / NO)</v>
      </c>
    </row>
    <row r="2308" spans="1:11" ht="15.75" hidden="1" customHeight="1">
      <c r="A2308" s="133" t="s">
        <v>7</v>
      </c>
      <c r="B2308" s="133" t="s">
        <v>2875</v>
      </c>
      <c r="C2308" s="133" t="s">
        <v>2219</v>
      </c>
      <c r="D2308" s="133" t="s">
        <v>477</v>
      </c>
      <c r="E2308" s="158">
        <v>3</v>
      </c>
      <c r="F2308" s="158">
        <v>0</v>
      </c>
      <c r="G2308" s="158">
        <v>0</v>
      </c>
      <c r="H2308" s="133" t="s">
        <v>2968</v>
      </c>
      <c r="I2308" s="133" t="s">
        <v>596</v>
      </c>
      <c r="J2308" s="158">
        <v>0</v>
      </c>
      <c r="K2308" s="159" t="str">
        <f ca="1">IFERROR(__xludf.DUMMYFUNCTION("GOOGLETRANSLATE(H2308,""th"",""en"")"),"Attach Bill (YES / NO) documents")</f>
        <v>Attach Bill (YES / NO) documents</v>
      </c>
    </row>
    <row r="2309" spans="1:11" ht="15.75" hidden="1" customHeight="1">
      <c r="A2309" s="133" t="s">
        <v>7</v>
      </c>
      <c r="B2309" s="133" t="s">
        <v>2875</v>
      </c>
      <c r="C2309" s="133" t="s">
        <v>2969</v>
      </c>
      <c r="D2309" s="133" t="s">
        <v>477</v>
      </c>
      <c r="E2309" s="158">
        <v>10</v>
      </c>
      <c r="F2309" s="158">
        <v>0</v>
      </c>
      <c r="G2309" s="158">
        <v>0</v>
      </c>
      <c r="H2309" s="133" t="s">
        <v>2970</v>
      </c>
      <c r="I2309" s="133" t="s">
        <v>548</v>
      </c>
      <c r="J2309" s="158">
        <v>0</v>
      </c>
      <c r="K2309" s="159" t="str">
        <f ca="1">IFERROR(__xludf.DUMMYFUNCTION("GOOGLETRANSLATE(H2309,""th"",""en"")"),"Payment (Cash, Credit)")</f>
        <v>Payment (Cash, Credit)</v>
      </c>
    </row>
    <row r="2310" spans="1:11" ht="15.75" hidden="1" customHeight="1">
      <c r="A2310" s="133" t="s">
        <v>7</v>
      </c>
      <c r="B2310" s="133" t="s">
        <v>2875</v>
      </c>
      <c r="C2310" s="133" t="s">
        <v>2971</v>
      </c>
      <c r="D2310" s="133" t="s">
        <v>477</v>
      </c>
      <c r="E2310" s="158">
        <v>30</v>
      </c>
      <c r="F2310" s="158">
        <v>0</v>
      </c>
      <c r="G2310" s="158">
        <v>0</v>
      </c>
      <c r="H2310" s="133" t="s">
        <v>2972</v>
      </c>
      <c r="I2310" s="133" t="s">
        <v>548</v>
      </c>
      <c r="J2310" s="158">
        <v>0</v>
      </c>
      <c r="K2310" s="159" t="str">
        <f ca="1">IFERROR(__xludf.DUMMYFUNCTION("GOOGLETRANSLATE(H2310,""th"",""en"")"),"Payment type (Bank Transfer, Cash On Delivery, ...)")</f>
        <v>Payment type (Bank Transfer, Cash On Delivery, ...)</v>
      </c>
    </row>
    <row r="2311" spans="1:11" ht="15.75" hidden="1" customHeight="1">
      <c r="A2311" s="133" t="s">
        <v>7</v>
      </c>
      <c r="B2311" s="133" t="s">
        <v>2875</v>
      </c>
      <c r="C2311" s="133" t="s">
        <v>2973</v>
      </c>
      <c r="D2311" s="133" t="s">
        <v>477</v>
      </c>
      <c r="E2311" s="158">
        <v>100</v>
      </c>
      <c r="F2311" s="158">
        <v>0</v>
      </c>
      <c r="G2311" s="158">
        <v>0</v>
      </c>
      <c r="H2311" s="133" t="s">
        <v>2974</v>
      </c>
      <c r="I2311" s="133" t="s">
        <v>548</v>
      </c>
      <c r="J2311" s="158">
        <v>0</v>
      </c>
      <c r="K2311" s="159" t="str">
        <f ca="1">IFERROR(__xludf.DUMMYFUNCTION("GOOGLETRANSLATE(H2311,""th"",""en"")"),"Payment type (cash, money transfer, ...)")</f>
        <v>Payment type (cash, money transfer, ...)</v>
      </c>
    </row>
    <row r="2312" spans="1:11" ht="15.75" hidden="1" customHeight="1">
      <c r="A2312" s="133" t="s">
        <v>7</v>
      </c>
      <c r="B2312" s="133" t="s">
        <v>2875</v>
      </c>
      <c r="C2312" s="133" t="s">
        <v>2975</v>
      </c>
      <c r="D2312" s="133" t="s">
        <v>484</v>
      </c>
      <c r="E2312" s="158">
        <v>4</v>
      </c>
      <c r="F2312" s="158">
        <v>10</v>
      </c>
      <c r="G2312" s="158">
        <v>0</v>
      </c>
      <c r="H2312" s="133" t="s">
        <v>2976</v>
      </c>
      <c r="I2312" s="133" t="s">
        <v>615</v>
      </c>
      <c r="J2312" s="158">
        <v>0</v>
      </c>
      <c r="K2312" s="159" t="str">
        <f ca="1">IFERROR(__xludf.DUMMYFUNCTION("GOOGLETRANSLATE(H2312,""th"",""en"")"),"Number of Credit Term's Day Credit")</f>
        <v>Number of Credit Term's Day Credit</v>
      </c>
    </row>
    <row r="2313" spans="1:11" ht="15.75" hidden="1" customHeight="1">
      <c r="A2313" s="133" t="s">
        <v>7</v>
      </c>
      <c r="B2313" s="133" t="s">
        <v>2875</v>
      </c>
      <c r="C2313" s="133" t="s">
        <v>2977</v>
      </c>
      <c r="D2313" s="133" t="s">
        <v>477</v>
      </c>
      <c r="E2313" s="158">
        <v>20</v>
      </c>
      <c r="F2313" s="158">
        <v>0</v>
      </c>
      <c r="G2313" s="158">
        <v>0</v>
      </c>
      <c r="H2313" s="133" t="s">
        <v>2978</v>
      </c>
      <c r="I2313" s="133" t="s">
        <v>548</v>
      </c>
      <c r="J2313" s="158">
        <v>0</v>
      </c>
      <c r="K2313" s="159" t="str">
        <f ca="1">IFERROR(__xludf.DUMMYFUNCTION("GOOGLETRANSLATE(H2313,""th"",""en"")"),"How to pay a credit card page (normal swipe, installment swipe)")</f>
        <v>How to pay a credit card page (normal swipe, installment swipe)</v>
      </c>
    </row>
    <row r="2314" spans="1:11" ht="15.75" hidden="1" customHeight="1">
      <c r="A2314" s="133" t="s">
        <v>7</v>
      </c>
      <c r="B2314" s="133" t="s">
        <v>2875</v>
      </c>
      <c r="C2314" s="133" t="s">
        <v>2125</v>
      </c>
      <c r="D2314" s="133" t="s">
        <v>484</v>
      </c>
      <c r="E2314" s="158">
        <v>4</v>
      </c>
      <c r="F2314" s="158">
        <v>10</v>
      </c>
      <c r="G2314" s="158">
        <v>0</v>
      </c>
      <c r="H2314" s="133" t="s">
        <v>2979</v>
      </c>
      <c r="I2314" s="133" t="s">
        <v>615</v>
      </c>
      <c r="J2314" s="158">
        <v>0</v>
      </c>
      <c r="K2314" s="159" t="str">
        <f ca="1">IFERROR(__xludf.DUMMYFUNCTION("GOOGLETRANSLATE(H2314,""th"",""en"")"),"Payment code Which bank card?")</f>
        <v>Payment code Which bank card?</v>
      </c>
    </row>
    <row r="2315" spans="1:11" ht="15.75" hidden="1" customHeight="1">
      <c r="A2315" s="133" t="s">
        <v>7</v>
      </c>
      <c r="B2315" s="133" t="s">
        <v>2875</v>
      </c>
      <c r="C2315" s="133" t="s">
        <v>2129</v>
      </c>
      <c r="D2315" s="133" t="s">
        <v>477</v>
      </c>
      <c r="E2315" s="158">
        <v>50</v>
      </c>
      <c r="F2315" s="158">
        <v>0</v>
      </c>
      <c r="G2315" s="158">
        <v>0</v>
      </c>
      <c r="H2315" s="133" t="s">
        <v>2980</v>
      </c>
      <c r="I2315" s="133" t="s">
        <v>548</v>
      </c>
      <c r="J2315" s="158">
        <v>0</v>
      </c>
      <c r="K2315" s="159" t="str">
        <f ca="1">IFERROR(__xludf.DUMMYFUNCTION("GOOGLETRANSLATE(H2315,""th"",""en"")"),"What is the bank's credit card name?")</f>
        <v>What is the bank's credit card name?</v>
      </c>
    </row>
    <row r="2316" spans="1:11" ht="15.75" hidden="1" customHeight="1">
      <c r="A2316" s="133" t="s">
        <v>7</v>
      </c>
      <c r="B2316" s="133" t="s">
        <v>2875</v>
      </c>
      <c r="C2316" s="133" t="s">
        <v>1440</v>
      </c>
      <c r="D2316" s="133" t="s">
        <v>481</v>
      </c>
      <c r="E2316" s="158">
        <v>5</v>
      </c>
      <c r="F2316" s="158">
        <v>9</v>
      </c>
      <c r="G2316" s="158">
        <v>2</v>
      </c>
      <c r="H2316" s="133" t="s">
        <v>1441</v>
      </c>
      <c r="I2316" s="133" t="s">
        <v>1223</v>
      </c>
      <c r="J2316" s="158">
        <v>0</v>
      </c>
      <c r="K2316" s="159" t="str">
        <f ca="1">IFERROR(__xludf.DUMMYFUNCTION("GOOGLETRANSLATE(H2316,""th"",""en"")"),"Customer discount (%)")</f>
        <v>Customer discount (%)</v>
      </c>
    </row>
    <row r="2317" spans="1:11" ht="15.75" hidden="1" customHeight="1">
      <c r="A2317" s="133" t="s">
        <v>7</v>
      </c>
      <c r="B2317" s="133" t="s">
        <v>2875</v>
      </c>
      <c r="C2317" s="133" t="s">
        <v>2981</v>
      </c>
      <c r="D2317" s="133" t="s">
        <v>481</v>
      </c>
      <c r="E2317" s="158">
        <v>5</v>
      </c>
      <c r="F2317" s="158">
        <v>9</v>
      </c>
      <c r="G2317" s="158">
        <v>2</v>
      </c>
      <c r="H2317" s="133" t="s">
        <v>2982</v>
      </c>
      <c r="I2317" s="133" t="s">
        <v>615</v>
      </c>
      <c r="J2317" s="158">
        <v>0</v>
      </c>
      <c r="K2317" s="159" t="str">
        <f ca="1">IFERROR(__xludf.DUMMYFUNCTION("GOOGLETRANSLATE(H2317,""th"",""en"")"),"Discount (baht)")</f>
        <v>Discount (baht)</v>
      </c>
    </row>
    <row r="2318" spans="1:11" ht="15.75" hidden="1" customHeight="1">
      <c r="A2318" s="133" t="s">
        <v>7</v>
      </c>
      <c r="B2318" s="133" t="s">
        <v>2875</v>
      </c>
      <c r="C2318" s="133" t="s">
        <v>1442</v>
      </c>
      <c r="D2318" s="133" t="s">
        <v>481</v>
      </c>
      <c r="E2318" s="158">
        <v>5</v>
      </c>
      <c r="F2318" s="158">
        <v>9</v>
      </c>
      <c r="G2318" s="158">
        <v>2</v>
      </c>
      <c r="H2318" s="133" t="s">
        <v>2983</v>
      </c>
      <c r="I2318" s="133" t="s">
        <v>1223</v>
      </c>
      <c r="J2318" s="158">
        <v>0</v>
      </c>
      <c r="K2318" s="159" t="str">
        <f ca="1">IFERROR(__xludf.DUMMYFUNCTION("GOOGLETRANSLATE(H2318,""th"",""en"")"),"tax (%)")</f>
        <v>tax (%)</v>
      </c>
    </row>
    <row r="2319" spans="1:11" ht="15.75" hidden="1" customHeight="1">
      <c r="A2319" s="133" t="s">
        <v>7</v>
      </c>
      <c r="B2319" s="133" t="s">
        <v>2875</v>
      </c>
      <c r="C2319" s="133" t="s">
        <v>2801</v>
      </c>
      <c r="D2319" s="133" t="s">
        <v>481</v>
      </c>
      <c r="E2319" s="158">
        <v>5</v>
      </c>
      <c r="F2319" s="158">
        <v>9</v>
      </c>
      <c r="G2319" s="158">
        <v>2</v>
      </c>
      <c r="H2319" s="133" t="s">
        <v>2984</v>
      </c>
      <c r="I2319" s="133" t="s">
        <v>1223</v>
      </c>
      <c r="J2319" s="158">
        <v>0</v>
      </c>
      <c r="K2319" s="159" t="str">
        <f ca="1">IFERROR(__xludf.DUMMYFUNCTION("GOOGLETRANSLATE(H2319,""th"",""en"")"),"Customer discount (%) originally before editing")</f>
        <v>Customer discount (%) originally before editing</v>
      </c>
    </row>
    <row r="2320" spans="1:11" ht="15.75" hidden="1" customHeight="1">
      <c r="A2320" s="133" t="s">
        <v>7</v>
      </c>
      <c r="B2320" s="133" t="s">
        <v>2875</v>
      </c>
      <c r="C2320" s="133" t="s">
        <v>2985</v>
      </c>
      <c r="D2320" s="133" t="s">
        <v>481</v>
      </c>
      <c r="E2320" s="158">
        <v>5</v>
      </c>
      <c r="F2320" s="158">
        <v>9</v>
      </c>
      <c r="G2320" s="158">
        <v>2</v>
      </c>
      <c r="H2320" s="133" t="s">
        <v>2986</v>
      </c>
      <c r="I2320" s="133" t="s">
        <v>615</v>
      </c>
      <c r="J2320" s="158">
        <v>0</v>
      </c>
      <c r="K2320" s="159" t="str">
        <f ca="1">IFERROR(__xludf.DUMMYFUNCTION("GOOGLETRANSLATE(H2320,""th"",""en"")"),"Discount (baht) originally before editing")</f>
        <v>Discount (baht) originally before editing</v>
      </c>
    </row>
    <row r="2321" spans="1:11" ht="15.75" hidden="1" customHeight="1">
      <c r="A2321" s="133" t="s">
        <v>7</v>
      </c>
      <c r="B2321" s="133" t="s">
        <v>2875</v>
      </c>
      <c r="C2321" s="133" t="s">
        <v>2987</v>
      </c>
      <c r="D2321" s="133" t="s">
        <v>481</v>
      </c>
      <c r="E2321" s="158">
        <v>5</v>
      </c>
      <c r="F2321" s="158">
        <v>9</v>
      </c>
      <c r="G2321" s="158">
        <v>2</v>
      </c>
      <c r="H2321" s="133" t="s">
        <v>2988</v>
      </c>
      <c r="I2321" s="133" t="s">
        <v>1223</v>
      </c>
      <c r="J2321" s="158">
        <v>0</v>
      </c>
      <c r="K2321" s="159" t="str">
        <f ca="1">IFERROR(__xludf.DUMMYFUNCTION("GOOGLETRANSLATE(H2321,""th"",""en"")"),"Tax (%) originally before editing")</f>
        <v>Tax (%) originally before editing</v>
      </c>
    </row>
    <row r="2322" spans="1:11" ht="15.75" hidden="1" customHeight="1">
      <c r="A2322" s="133" t="s">
        <v>7</v>
      </c>
      <c r="B2322" s="133" t="s">
        <v>2875</v>
      </c>
      <c r="C2322" s="133" t="s">
        <v>2989</v>
      </c>
      <c r="D2322" s="133" t="s">
        <v>477</v>
      </c>
      <c r="E2322" s="158">
        <v>3</v>
      </c>
      <c r="F2322" s="158">
        <v>0</v>
      </c>
      <c r="G2322" s="158">
        <v>0</v>
      </c>
      <c r="H2322" s="133" t="s">
        <v>2990</v>
      </c>
      <c r="I2322" s="133" t="s">
        <v>596</v>
      </c>
      <c r="J2322" s="158">
        <v>0</v>
      </c>
      <c r="K2322" s="159" t="str">
        <f ca="1">IFERROR(__xludf.DUMMYFUNCTION("GOOGLETRANSLATE(H2322,""th"",""en"")"),"Special shipping, delivery location (YES, NO)")</f>
        <v>Special shipping, delivery location (YES, NO)</v>
      </c>
    </row>
    <row r="2323" spans="1:11" ht="15.75" hidden="1" customHeight="1">
      <c r="A2323" s="133" t="s">
        <v>7</v>
      </c>
      <c r="B2323" s="133" t="s">
        <v>2875</v>
      </c>
      <c r="C2323" s="133" t="s">
        <v>1831</v>
      </c>
      <c r="D2323" s="133" t="s">
        <v>481</v>
      </c>
      <c r="E2323" s="158">
        <v>5</v>
      </c>
      <c r="F2323" s="158">
        <v>9</v>
      </c>
      <c r="G2323" s="158">
        <v>2</v>
      </c>
      <c r="H2323" s="133" t="s">
        <v>2991</v>
      </c>
      <c r="I2323" s="133" t="s">
        <v>1223</v>
      </c>
      <c r="J2323" s="158">
        <v>0</v>
      </c>
      <c r="K2323" s="159" t="str">
        <f ca="1">IFERROR(__xludf.DUMMYFUNCTION("GOOGLETRANSLATE(H2323,""th"",""en"")"),"Including special shipping by all items")</f>
        <v>Including special shipping by all items</v>
      </c>
    </row>
    <row r="2324" spans="1:11" ht="15.75" hidden="1" customHeight="1">
      <c r="A2324" s="133" t="s">
        <v>7</v>
      </c>
      <c r="B2324" s="133" t="s">
        <v>2875</v>
      </c>
      <c r="C2324" s="133" t="s">
        <v>2811</v>
      </c>
      <c r="D2324" s="133" t="s">
        <v>481</v>
      </c>
      <c r="E2324" s="158">
        <v>5</v>
      </c>
      <c r="F2324" s="158">
        <v>9</v>
      </c>
      <c r="G2324" s="158">
        <v>2</v>
      </c>
      <c r="H2324" s="133" t="s">
        <v>2992</v>
      </c>
      <c r="I2324" s="133" t="s">
        <v>1223</v>
      </c>
      <c r="J2324" s="158">
        <v>0</v>
      </c>
      <c r="K2324" s="159" t="str">
        <f ca="1">IFERROR(__xludf.DUMMYFUNCTION("GOOGLETRANSLATE(H2324,""th"",""en"")"),"Including special shipping by all items before editing")</f>
        <v>Including special shipping by all items before editing</v>
      </c>
    </row>
    <row r="2325" spans="1:11" ht="15.75" hidden="1" customHeight="1">
      <c r="A2325" s="133" t="s">
        <v>7</v>
      </c>
      <c r="B2325" s="133" t="s">
        <v>2875</v>
      </c>
      <c r="C2325" s="133" t="s">
        <v>2993</v>
      </c>
      <c r="D2325" s="133" t="s">
        <v>481</v>
      </c>
      <c r="E2325" s="158">
        <v>5</v>
      </c>
      <c r="F2325" s="158">
        <v>9</v>
      </c>
      <c r="G2325" s="158">
        <v>2</v>
      </c>
      <c r="H2325" s="133" t="s">
        <v>2994</v>
      </c>
      <c r="I2325" s="133" t="s">
        <v>1223</v>
      </c>
      <c r="J2325" s="158">
        <v>0</v>
      </c>
      <c r="K2325" s="159" t="str">
        <f ca="1">IFERROR(__xludf.DUMMYFUNCTION("GOOGLETRANSLATE(H2325,""th"",""en"")"),"Transport by Order")</f>
        <v>Transport by Order</v>
      </c>
    </row>
    <row r="2326" spans="1:11" ht="15.75" hidden="1" customHeight="1">
      <c r="A2326" s="133" t="s">
        <v>7</v>
      </c>
      <c r="B2326" s="133" t="s">
        <v>2875</v>
      </c>
      <c r="C2326" s="133" t="s">
        <v>2995</v>
      </c>
      <c r="D2326" s="133" t="s">
        <v>481</v>
      </c>
      <c r="E2326" s="158">
        <v>5</v>
      </c>
      <c r="F2326" s="158">
        <v>9</v>
      </c>
      <c r="G2326" s="158">
        <v>2</v>
      </c>
      <c r="H2326" s="133" t="s">
        <v>2996</v>
      </c>
      <c r="I2326" s="133" t="s">
        <v>1223</v>
      </c>
      <c r="J2326" s="158">
        <v>0</v>
      </c>
      <c r="K2326" s="159" t="str">
        <f ca="1">IFERROR(__xludf.DUMMYFUNCTION("GOOGLETRANSLATE(H2326,""th"",""en"")"),"The original Order freight before editing")</f>
        <v>The original Order freight before editing</v>
      </c>
    </row>
    <row r="2327" spans="1:11" ht="15.75" hidden="1" customHeight="1">
      <c r="A2327" s="133" t="s">
        <v>7</v>
      </c>
      <c r="B2327" s="133" t="s">
        <v>2875</v>
      </c>
      <c r="C2327" s="133" t="s">
        <v>2997</v>
      </c>
      <c r="D2327" s="133" t="s">
        <v>481</v>
      </c>
      <c r="E2327" s="158">
        <v>5</v>
      </c>
      <c r="F2327" s="158">
        <v>9</v>
      </c>
      <c r="G2327" s="158">
        <v>2</v>
      </c>
      <c r="H2327" s="133" t="s">
        <v>2998</v>
      </c>
      <c r="I2327" s="133" t="s">
        <v>1223</v>
      </c>
      <c r="J2327" s="158">
        <v>0</v>
      </c>
      <c r="K2327" s="159" t="str">
        <f ca="1">IFERROR(__xludf.DUMMYFUNCTION("GOOGLETRANSLATE(H2327,""th"",""en"")"),"Include all BYITEM special shipping with the byorder shipping fee.")</f>
        <v>Include all BYITEM special shipping with the byorder shipping fee.</v>
      </c>
    </row>
    <row r="2328" spans="1:11" ht="15.75" hidden="1" customHeight="1">
      <c r="A2328" s="133" t="s">
        <v>7</v>
      </c>
      <c r="B2328" s="133" t="s">
        <v>2875</v>
      </c>
      <c r="C2328" s="133" t="s">
        <v>1913</v>
      </c>
      <c r="D2328" s="133" t="s">
        <v>481</v>
      </c>
      <c r="E2328" s="158">
        <v>5</v>
      </c>
      <c r="F2328" s="158">
        <v>9</v>
      </c>
      <c r="G2328" s="158">
        <v>2</v>
      </c>
      <c r="H2328" s="133" t="s">
        <v>2999</v>
      </c>
      <c r="I2328" s="133" t="s">
        <v>1223</v>
      </c>
      <c r="J2328" s="158">
        <v>0</v>
      </c>
      <c r="K2328" s="159" t="str">
        <f ca="1">IFERROR(__xludf.DUMMYFUNCTION("GOOGLETRANSLATE(H2328,""th"",""en"")"),"The total amount after deducting the discount of the product is not a tax (excluding tax)")</f>
        <v>The total amount after deducting the discount of the product is not a tax (excluding tax)</v>
      </c>
    </row>
    <row r="2329" spans="1:11" ht="15.75" hidden="1" customHeight="1">
      <c r="A2329" s="133" t="s">
        <v>7</v>
      </c>
      <c r="B2329" s="133" t="s">
        <v>2875</v>
      </c>
      <c r="C2329" s="133" t="s">
        <v>3000</v>
      </c>
      <c r="D2329" s="133" t="s">
        <v>481</v>
      </c>
      <c r="E2329" s="158">
        <v>5</v>
      </c>
      <c r="F2329" s="158">
        <v>9</v>
      </c>
      <c r="G2329" s="158">
        <v>2</v>
      </c>
      <c r="H2329" s="133" t="s">
        <v>3001</v>
      </c>
      <c r="I2329" s="133" t="s">
        <v>1223</v>
      </c>
      <c r="J2329" s="158">
        <v>0</v>
      </c>
      <c r="K2329" s="159" t="str">
        <f ca="1">IFERROR(__xludf.DUMMYFUNCTION("GOOGLETRANSLATE(H2329,""th"",""en"")"),"The total amount after deducting the discount of goods is not tax (including tax)")</f>
        <v>The total amount after deducting the discount of goods is not tax (including tax)</v>
      </c>
    </row>
    <row r="2330" spans="1:11" ht="15.75" hidden="1" customHeight="1">
      <c r="A2330" s="133" t="s">
        <v>7</v>
      </c>
      <c r="B2330" s="133" t="s">
        <v>2875</v>
      </c>
      <c r="C2330" s="133" t="s">
        <v>1912</v>
      </c>
      <c r="D2330" s="133" t="s">
        <v>481</v>
      </c>
      <c r="E2330" s="158">
        <v>9</v>
      </c>
      <c r="F2330" s="158">
        <v>11</v>
      </c>
      <c r="G2330" s="158">
        <v>2</v>
      </c>
      <c r="H2330" s="133" t="s">
        <v>3002</v>
      </c>
      <c r="I2330" s="133" t="s">
        <v>1223</v>
      </c>
      <c r="J2330" s="158">
        <v>0</v>
      </c>
      <c r="K2330" s="159" t="str">
        <f ca="1">IFERROR(__xludf.DUMMYFUNCTION("GOOGLETRANSLATE(H2330,""th"",""en"")"),"Total amount after deducting the discount of goods, tax charged (excluding tax)")</f>
        <v>Total amount after deducting the discount of goods, tax charged (excluding tax)</v>
      </c>
    </row>
    <row r="2331" spans="1:11" ht="15.75" hidden="1" customHeight="1">
      <c r="A2331" s="133" t="s">
        <v>7</v>
      </c>
      <c r="B2331" s="133" t="s">
        <v>2875</v>
      </c>
      <c r="C2331" s="133" t="s">
        <v>1920</v>
      </c>
      <c r="D2331" s="133" t="s">
        <v>481</v>
      </c>
      <c r="E2331" s="158">
        <v>9</v>
      </c>
      <c r="F2331" s="158">
        <v>11</v>
      </c>
      <c r="G2331" s="158">
        <v>2</v>
      </c>
      <c r="H2331" s="133" t="s">
        <v>3003</v>
      </c>
      <c r="I2331" s="133" t="s">
        <v>1223</v>
      </c>
      <c r="J2331" s="158">
        <v>0</v>
      </c>
      <c r="K2331" s="159" t="str">
        <f ca="1">IFERROR(__xludf.DUMMYFUNCTION("GOOGLETRANSLATE(H2331,""th"",""en"")"),"Total amount before deducting the total discount (excluding tax)")</f>
        <v>Total amount before deducting the total discount (excluding tax)</v>
      </c>
    </row>
    <row r="2332" spans="1:11" ht="15.75" hidden="1" customHeight="1">
      <c r="A2332" s="133" t="s">
        <v>7</v>
      </c>
      <c r="B2332" s="133" t="s">
        <v>2875</v>
      </c>
      <c r="C2332" s="133" t="s">
        <v>1923</v>
      </c>
      <c r="D2332" s="133" t="s">
        <v>481</v>
      </c>
      <c r="E2332" s="158">
        <v>9</v>
      </c>
      <c r="F2332" s="158">
        <v>11</v>
      </c>
      <c r="G2332" s="158">
        <v>2</v>
      </c>
      <c r="H2332" s="133" t="s">
        <v>3004</v>
      </c>
      <c r="I2332" s="133" t="s">
        <v>1223</v>
      </c>
      <c r="J2332" s="158">
        <v>0</v>
      </c>
      <c r="K2332" s="159" t="str">
        <f ca="1">IFERROR(__xludf.DUMMYFUNCTION("GOOGLETRANSLATE(H2332,""th"",""en"")"),"Total amount after deducting the total discount (excluding tax)")</f>
        <v>Total amount after deducting the total discount (excluding tax)</v>
      </c>
    </row>
    <row r="2333" spans="1:11" ht="15.75" hidden="1" customHeight="1">
      <c r="A2333" s="133" t="s">
        <v>7</v>
      </c>
      <c r="B2333" s="133" t="s">
        <v>2875</v>
      </c>
      <c r="C2333" s="133" t="s">
        <v>1914</v>
      </c>
      <c r="D2333" s="133" t="s">
        <v>481</v>
      </c>
      <c r="E2333" s="158">
        <v>5</v>
      </c>
      <c r="F2333" s="158">
        <v>9</v>
      </c>
      <c r="G2333" s="158">
        <v>2</v>
      </c>
      <c r="H2333" s="133" t="s">
        <v>3005</v>
      </c>
      <c r="I2333" s="133" t="s">
        <v>1223</v>
      </c>
      <c r="J2333" s="158">
        <v>0</v>
      </c>
      <c r="K2333" s="159" t="str">
        <f ca="1">IFERROR(__xludf.DUMMYFUNCTION("GOOGLETRANSLATE(H2333,""th"",""en"")"),"Tax amount (from VAT_PROD_NET_AMT)")</f>
        <v>Tax amount (from VAT_PROD_NET_AMT)</v>
      </c>
    </row>
    <row r="2334" spans="1:11" ht="15.75" hidden="1" customHeight="1">
      <c r="A2334" s="133" t="s">
        <v>7</v>
      </c>
      <c r="B2334" s="133" t="s">
        <v>2875</v>
      </c>
      <c r="C2334" s="133" t="s">
        <v>3006</v>
      </c>
      <c r="D2334" s="133" t="s">
        <v>481</v>
      </c>
      <c r="E2334" s="158">
        <v>5</v>
      </c>
      <c r="F2334" s="158">
        <v>9</v>
      </c>
      <c r="G2334" s="158">
        <v>2</v>
      </c>
      <c r="H2334" s="133" t="s">
        <v>3007</v>
      </c>
      <c r="I2334" s="133" t="s">
        <v>1223</v>
      </c>
      <c r="J2334" s="158">
        <v>0</v>
      </c>
      <c r="K2334" s="159" t="str">
        <f ca="1">IFERROR(__xludf.DUMMYFUNCTION("GOOGLETRANSLATE(H2334,""th"",""en"")"),"Total amount after deducting the total discount (excluding tax) before editing")</f>
        <v>Total amount after deducting the total discount (excluding tax) before editing</v>
      </c>
    </row>
    <row r="2335" spans="1:11" ht="15.75" hidden="1" customHeight="1">
      <c r="A2335" s="133" t="s">
        <v>7</v>
      </c>
      <c r="B2335" s="133" t="s">
        <v>2875</v>
      </c>
      <c r="C2335" s="133" t="s">
        <v>3008</v>
      </c>
      <c r="D2335" s="133" t="s">
        <v>481</v>
      </c>
      <c r="E2335" s="158">
        <v>5</v>
      </c>
      <c r="F2335" s="158">
        <v>9</v>
      </c>
      <c r="G2335" s="158">
        <v>2</v>
      </c>
      <c r="H2335" s="133" t="s">
        <v>3009</v>
      </c>
      <c r="I2335" s="133" t="s">
        <v>1223</v>
      </c>
      <c r="J2335" s="158">
        <v>0</v>
      </c>
      <c r="K2335" s="159" t="str">
        <f ca="1">IFERROR(__xludf.DUMMYFUNCTION("GOOGLETRANSLATE(H2335,""th"",""en"")"),"Tax amount (think from VAT_PROD_NET_AMT) before editing")</f>
        <v>Tax amount (think from VAT_PROD_NET_AMT) before editing</v>
      </c>
    </row>
    <row r="2336" spans="1:11" ht="15.75" hidden="1" customHeight="1">
      <c r="A2336" s="133" t="s">
        <v>7</v>
      </c>
      <c r="B2336" s="133" t="s">
        <v>2875</v>
      </c>
      <c r="C2336" s="133" t="s">
        <v>3010</v>
      </c>
      <c r="D2336" s="133" t="s">
        <v>481</v>
      </c>
      <c r="E2336" s="158">
        <v>5</v>
      </c>
      <c r="F2336" s="158">
        <v>9</v>
      </c>
      <c r="G2336" s="158">
        <v>2</v>
      </c>
      <c r="H2336" s="133" t="s">
        <v>2585</v>
      </c>
      <c r="I2336" s="133" t="s">
        <v>1223</v>
      </c>
      <c r="J2336" s="158">
        <v>0</v>
      </c>
      <c r="K2336" s="159" t="str">
        <f ca="1">IFERROR(__xludf.DUMMYFUNCTION("GOOGLETRANSLATE(H2336,""th"",""en"")"),"Top products including VAT")</f>
        <v>Top products including VAT</v>
      </c>
    </row>
    <row r="2337" spans="1:11" ht="15.75" hidden="1" customHeight="1">
      <c r="A2337" s="133" t="s">
        <v>7</v>
      </c>
      <c r="B2337" s="133" t="s">
        <v>2875</v>
      </c>
      <c r="C2337" s="133" t="s">
        <v>3011</v>
      </c>
      <c r="D2337" s="133" t="s">
        <v>481</v>
      </c>
      <c r="E2337" s="158">
        <v>5</v>
      </c>
      <c r="F2337" s="158">
        <v>9</v>
      </c>
      <c r="G2337" s="158">
        <v>2</v>
      </c>
      <c r="H2337" s="133" t="s">
        <v>2587</v>
      </c>
      <c r="I2337" s="133" t="s">
        <v>1223</v>
      </c>
      <c r="J2337" s="158">
        <v>0</v>
      </c>
      <c r="K2337" s="159" t="str">
        <f ca="1">IFERROR(__xludf.DUMMYFUNCTION("GOOGLETRANSLATE(H2337,""th"",""en"")"),"Product not including VAT")</f>
        <v>Product not including VAT</v>
      </c>
    </row>
    <row r="2338" spans="1:11" ht="15.75" hidden="1" customHeight="1">
      <c r="A2338" s="133" t="s">
        <v>7</v>
      </c>
      <c r="B2338" s="133" t="s">
        <v>2875</v>
      </c>
      <c r="C2338" s="133" t="s">
        <v>3012</v>
      </c>
      <c r="D2338" s="133" t="s">
        <v>477</v>
      </c>
      <c r="E2338" s="158">
        <v>2000</v>
      </c>
      <c r="F2338" s="158">
        <v>0</v>
      </c>
      <c r="G2338" s="158">
        <v>0</v>
      </c>
      <c r="H2338" s="133" t="s">
        <v>2696</v>
      </c>
      <c r="I2338" s="133" t="s">
        <v>548</v>
      </c>
      <c r="J2338" s="158">
        <v>0</v>
      </c>
      <c r="K2338" s="159" t="str">
        <f ca="1">IFERROR(__xludf.DUMMYFUNCTION("GOOGLETRANSLATE(H2338,""th"",""en"")"),"Group Voucher code")</f>
        <v>Group Voucher code</v>
      </c>
    </row>
    <row r="2339" spans="1:11" ht="15.75" hidden="1" customHeight="1">
      <c r="A2339" s="133" t="s">
        <v>7</v>
      </c>
      <c r="B2339" s="133" t="s">
        <v>2875</v>
      </c>
      <c r="C2339" s="133" t="s">
        <v>3013</v>
      </c>
      <c r="D2339" s="133" t="s">
        <v>477</v>
      </c>
      <c r="E2339" s="158">
        <v>15</v>
      </c>
      <c r="F2339" s="158">
        <v>0</v>
      </c>
      <c r="G2339" s="158">
        <v>0</v>
      </c>
      <c r="H2339" s="133" t="s">
        <v>3014</v>
      </c>
      <c r="I2339" s="133" t="s">
        <v>548</v>
      </c>
      <c r="J2339" s="158">
        <v>0</v>
      </c>
      <c r="K2339" s="159" t="str">
        <f ca="1">IFERROR(__xludf.DUMMYFUNCTION("GOOGLETRANSLATE(H2339,""th"",""en"")"),"Coupon numbers from promotions")</f>
        <v>Coupon numbers from promotions</v>
      </c>
    </row>
    <row r="2340" spans="1:11" ht="15.75" hidden="1" customHeight="1">
      <c r="A2340" s="133" t="s">
        <v>7</v>
      </c>
      <c r="B2340" s="133" t="s">
        <v>2875</v>
      </c>
      <c r="C2340" s="133" t="s">
        <v>3015</v>
      </c>
      <c r="D2340" s="133" t="s">
        <v>477</v>
      </c>
      <c r="E2340" s="158">
        <v>2000</v>
      </c>
      <c r="F2340" s="158">
        <v>0</v>
      </c>
      <c r="G2340" s="158">
        <v>0</v>
      </c>
      <c r="H2340" s="133" t="s">
        <v>2156</v>
      </c>
      <c r="I2340" s="133" t="s">
        <v>548</v>
      </c>
      <c r="J2340" s="158">
        <v>0</v>
      </c>
      <c r="K2340" s="159" t="str">
        <f ca="1">IFERROR(__xludf.DUMMYFUNCTION("GOOGLETRANSLATE(H2340,""th"",""en"")"),"Promotion details")</f>
        <v>Promotion details</v>
      </c>
    </row>
    <row r="2341" spans="1:11" ht="15.75" hidden="1" customHeight="1">
      <c r="A2341" s="133" t="s">
        <v>7</v>
      </c>
      <c r="B2341" s="133" t="s">
        <v>2875</v>
      </c>
      <c r="C2341" s="133" t="s">
        <v>3016</v>
      </c>
      <c r="D2341" s="133" t="s">
        <v>481</v>
      </c>
      <c r="E2341" s="158">
        <v>5</v>
      </c>
      <c r="F2341" s="158">
        <v>9</v>
      </c>
      <c r="G2341" s="158">
        <v>2</v>
      </c>
      <c r="H2341" s="133" t="s">
        <v>2593</v>
      </c>
      <c r="I2341" s="133" t="s">
        <v>1223</v>
      </c>
      <c r="J2341" s="158">
        <v>0</v>
      </c>
      <c r="K2341" s="159" t="str">
        <f ca="1">IFERROR(__xludf.DUMMYFUNCTION("GOOGLETRANSLATE(H2341,""th"",""en"")"),"All products include VAT")</f>
        <v>All products include VAT</v>
      </c>
    </row>
    <row r="2342" spans="1:11" ht="15.75" hidden="1" customHeight="1">
      <c r="A2342" s="133" t="s">
        <v>7</v>
      </c>
      <c r="B2342" s="133" t="s">
        <v>2875</v>
      </c>
      <c r="C2342" s="133" t="s">
        <v>2803</v>
      </c>
      <c r="D2342" s="133" t="s">
        <v>481</v>
      </c>
      <c r="E2342" s="158">
        <v>5</v>
      </c>
      <c r="F2342" s="158">
        <v>9</v>
      </c>
      <c r="G2342" s="158">
        <v>2</v>
      </c>
      <c r="H2342" s="133" t="s">
        <v>3017</v>
      </c>
      <c r="I2342" s="133" t="s">
        <v>1223</v>
      </c>
      <c r="J2342" s="158">
        <v>0</v>
      </c>
      <c r="K2342" s="159" t="str">
        <f ca="1">IFERROR(__xludf.DUMMYFUNCTION("GOOGLETRANSLATE(H2342,""th"",""en"")"),"Discounts that think VAT")</f>
        <v>Discounts that think VAT</v>
      </c>
    </row>
    <row r="2343" spans="1:11" ht="15.75" hidden="1" customHeight="1">
      <c r="A2343" s="133" t="s">
        <v>7</v>
      </c>
      <c r="B2343" s="133" t="s">
        <v>2875</v>
      </c>
      <c r="C2343" s="133" t="s">
        <v>3018</v>
      </c>
      <c r="D2343" s="133" t="s">
        <v>481</v>
      </c>
      <c r="E2343" s="158">
        <v>5</v>
      </c>
      <c r="F2343" s="158">
        <v>9</v>
      </c>
      <c r="G2343" s="158">
        <v>2</v>
      </c>
      <c r="H2343" s="133" t="s">
        <v>2708</v>
      </c>
      <c r="I2343" s="133" t="s">
        <v>1223</v>
      </c>
      <c r="J2343" s="158">
        <v>0</v>
      </c>
      <c r="K2343" s="159" t="str">
        <f ca="1">IFERROR(__xludf.DUMMYFUNCTION("GOOGLETRANSLATE(H2343,""th"",""en"")"),"Discount type cashvoucher in the amount of baht")</f>
        <v>Discount type cashvoucher in the amount of baht</v>
      </c>
    </row>
    <row r="2344" spans="1:11" ht="15.75" hidden="1" customHeight="1">
      <c r="A2344" s="133" t="s">
        <v>7</v>
      </c>
      <c r="B2344" s="133" t="s">
        <v>2875</v>
      </c>
      <c r="C2344" s="133" t="s">
        <v>3019</v>
      </c>
      <c r="D2344" s="133" t="s">
        <v>481</v>
      </c>
      <c r="E2344" s="158">
        <v>5</v>
      </c>
      <c r="F2344" s="158">
        <v>9</v>
      </c>
      <c r="G2344" s="158">
        <v>2</v>
      </c>
      <c r="H2344" s="133" t="s">
        <v>2591</v>
      </c>
      <c r="I2344" s="133" t="s">
        <v>1223</v>
      </c>
      <c r="J2344" s="158">
        <v>0</v>
      </c>
      <c r="K2344" s="159" t="str">
        <f ca="1">IFERROR(__xludf.DUMMYFUNCTION("GOOGLETRANSLATE(H2344,""th"",""en"")"),"Collect the percentage of voucher")</f>
        <v>Collect the percentage of voucher</v>
      </c>
    </row>
    <row r="2345" spans="1:11" ht="15.75" hidden="1" customHeight="1">
      <c r="A2345" s="133" t="s">
        <v>7</v>
      </c>
      <c r="B2345" s="133" t="s">
        <v>2875</v>
      </c>
      <c r="C2345" s="133" t="s">
        <v>3020</v>
      </c>
      <c r="D2345" s="133" t="s">
        <v>481</v>
      </c>
      <c r="E2345" s="158">
        <v>5</v>
      </c>
      <c r="F2345" s="158">
        <v>9</v>
      </c>
      <c r="G2345" s="158">
        <v>2</v>
      </c>
      <c r="H2345" s="133" t="s">
        <v>2589</v>
      </c>
      <c r="I2345" s="133" t="s">
        <v>1223</v>
      </c>
      <c r="J2345" s="158">
        <v>0</v>
      </c>
      <c r="K2345" s="159" t="str">
        <f ca="1">IFERROR(__xludf.DUMMYFUNCTION("GOOGLETRANSLATE(H2345,""th"",""en"")"),"Voucher's balance")</f>
        <v>Voucher's balance</v>
      </c>
    </row>
    <row r="2346" spans="1:11" ht="15.75" hidden="1" customHeight="1">
      <c r="A2346" s="133" t="s">
        <v>7</v>
      </c>
      <c r="B2346" s="133" t="s">
        <v>2875</v>
      </c>
      <c r="C2346" s="133" t="s">
        <v>1925</v>
      </c>
      <c r="D2346" s="133" t="s">
        <v>481</v>
      </c>
      <c r="E2346" s="158">
        <v>5</v>
      </c>
      <c r="F2346" s="158">
        <v>9</v>
      </c>
      <c r="G2346" s="158">
        <v>2</v>
      </c>
      <c r="H2346" s="133" t="s">
        <v>2706</v>
      </c>
      <c r="I2346" s="133" t="s">
        <v>1223</v>
      </c>
      <c r="J2346" s="158">
        <v>0</v>
      </c>
      <c r="K2346" s="159" t="str">
        <f ca="1">IFERROR(__xludf.DUMMYFUNCTION("GOOGLETRANSLATE(H2346,""th"",""en"")"),"All discounts (discount byorder + byitem discounts) include taxes.")</f>
        <v>All discounts (discount byorder + byitem discounts) include taxes.</v>
      </c>
    </row>
    <row r="2347" spans="1:11" ht="15.75" hidden="1" customHeight="1">
      <c r="A2347" s="133" t="s">
        <v>7</v>
      </c>
      <c r="B2347" s="133" t="s">
        <v>2875</v>
      </c>
      <c r="C2347" s="133" t="s">
        <v>3021</v>
      </c>
      <c r="D2347" s="133" t="s">
        <v>477</v>
      </c>
      <c r="E2347" s="158">
        <v>40</v>
      </c>
      <c r="F2347" s="158">
        <v>0</v>
      </c>
      <c r="G2347" s="158">
        <v>0</v>
      </c>
      <c r="H2347" s="133" t="s">
        <v>2710</v>
      </c>
      <c r="I2347" s="133" t="s">
        <v>548</v>
      </c>
      <c r="J2347" s="158">
        <v>0</v>
      </c>
      <c r="K2347" s="159" t="str">
        <f ca="1">IFERROR(__xludf.DUMMYFUNCTION("GOOGLETRANSLATE(H2347,""th"",""en"")"),"Voucher type")</f>
        <v>Voucher type</v>
      </c>
    </row>
    <row r="2348" spans="1:11" ht="15.75" hidden="1" customHeight="1">
      <c r="A2348" s="133" t="s">
        <v>7</v>
      </c>
      <c r="B2348" s="133" t="s">
        <v>2875</v>
      </c>
      <c r="C2348" s="133" t="s">
        <v>3022</v>
      </c>
      <c r="D2348" s="133" t="s">
        <v>481</v>
      </c>
      <c r="E2348" s="158">
        <v>5</v>
      </c>
      <c r="F2348" s="158">
        <v>9</v>
      </c>
      <c r="G2348" s="158">
        <v>2</v>
      </c>
      <c r="H2348" s="133" t="s">
        <v>2702</v>
      </c>
      <c r="I2348" s="133" t="s">
        <v>1223</v>
      </c>
      <c r="J2348" s="158">
        <v>0</v>
      </c>
      <c r="K2348" s="159" t="str">
        <f ca="1">IFERROR(__xludf.DUMMYFUNCTION("GOOGLETRANSLATE(H2348,""th"",""en"")"),"Discounts obtained from BYORDER Voucher")</f>
        <v>Discounts obtained from BYORDER Voucher</v>
      </c>
    </row>
    <row r="2349" spans="1:11" ht="15.75" hidden="1" customHeight="1">
      <c r="A2349" s="133" t="s">
        <v>7</v>
      </c>
      <c r="B2349" s="133" t="s">
        <v>2875</v>
      </c>
      <c r="C2349" s="133" t="s">
        <v>3023</v>
      </c>
      <c r="D2349" s="133" t="s">
        <v>481</v>
      </c>
      <c r="E2349" s="158">
        <v>5</v>
      </c>
      <c r="F2349" s="158">
        <v>9</v>
      </c>
      <c r="G2349" s="158">
        <v>2</v>
      </c>
      <c r="H2349" s="133" t="s">
        <v>2704</v>
      </c>
      <c r="I2349" s="133" t="s">
        <v>1223</v>
      </c>
      <c r="J2349" s="158">
        <v>0</v>
      </c>
      <c r="K2349" s="159" t="str">
        <f ca="1">IFERROR(__xludf.DUMMYFUNCTION("GOOGLETRANSLATE(H2349,""th"",""en"")"),"Discounts obtained from the Byorder Exvat type voucher")</f>
        <v>Discounts obtained from the Byorder Exvat type voucher</v>
      </c>
    </row>
    <row r="2350" spans="1:11" ht="15.75" hidden="1" customHeight="1">
      <c r="A2350" s="133" t="s">
        <v>7</v>
      </c>
      <c r="B2350" s="133" t="s">
        <v>2875</v>
      </c>
      <c r="C2350" s="133" t="s">
        <v>3024</v>
      </c>
      <c r="D2350" s="133" t="s">
        <v>481</v>
      </c>
      <c r="E2350" s="158">
        <v>5</v>
      </c>
      <c r="F2350" s="158">
        <v>9</v>
      </c>
      <c r="G2350" s="158">
        <v>2</v>
      </c>
      <c r="H2350" s="133" t="s">
        <v>2698</v>
      </c>
      <c r="I2350" s="133" t="s">
        <v>1223</v>
      </c>
      <c r="J2350" s="158">
        <v>0</v>
      </c>
      <c r="K2350" s="159" t="str">
        <f ca="1">IFERROR(__xludf.DUMMYFUNCTION("GOOGLETRANSLATE(H2350,""th"",""en"")"),"Discounts obtained from promotions (Discount byorder + Discounts from Central Creditcard)")</f>
        <v>Discounts obtained from promotions (Discount byorder + Discounts from Central Creditcard)</v>
      </c>
    </row>
    <row r="2351" spans="1:11" ht="15.75" hidden="1" customHeight="1">
      <c r="A2351" s="133" t="s">
        <v>7</v>
      </c>
      <c r="B2351" s="133" t="s">
        <v>2875</v>
      </c>
      <c r="C2351" s="133" t="s">
        <v>3025</v>
      </c>
      <c r="D2351" s="133" t="s">
        <v>481</v>
      </c>
      <c r="E2351" s="158">
        <v>5</v>
      </c>
      <c r="F2351" s="158">
        <v>9</v>
      </c>
      <c r="G2351" s="158">
        <v>2</v>
      </c>
      <c r="H2351" s="133" t="s">
        <v>2700</v>
      </c>
      <c r="I2351" s="133" t="s">
        <v>1223</v>
      </c>
      <c r="J2351" s="158">
        <v>0</v>
      </c>
      <c r="K2351" s="159" t="str">
        <f ca="1">IFERROR(__xludf.DUMMYFUNCTION("GOOGLETRANSLATE(H2351,""th"",""en"")"),"Discounts obtained from promotions (Discount byorder + Discounts from Central Creditcard) Exvat")</f>
        <v>Discounts obtained from promotions (Discount byorder + Discounts from Central Creditcard) Exvat</v>
      </c>
    </row>
    <row r="2352" spans="1:11" ht="15.75" hidden="1" customHeight="1">
      <c r="A2352" s="133" t="s">
        <v>7</v>
      </c>
      <c r="B2352" s="133" t="s">
        <v>2875</v>
      </c>
      <c r="C2352" s="133" t="s">
        <v>3026</v>
      </c>
      <c r="D2352" s="133" t="s">
        <v>481</v>
      </c>
      <c r="E2352" s="158">
        <v>5</v>
      </c>
      <c r="F2352" s="158">
        <v>9</v>
      </c>
      <c r="G2352" s="158">
        <v>2</v>
      </c>
      <c r="H2352" s="133" t="s">
        <v>2712</v>
      </c>
      <c r="I2352" s="133" t="s">
        <v>1223</v>
      </c>
      <c r="J2352" s="158">
        <v>0</v>
      </c>
      <c r="K2352" s="159" t="str">
        <f ca="1">IFERROR(__xludf.DUMMYFUNCTION("GOOGLETRANSLATE(H2352,""th"",""en"")"),"For credit card payment (now is Central Credit Card)")</f>
        <v>For credit card payment (now is Central Credit Card)</v>
      </c>
    </row>
    <row r="2353" spans="1:11" ht="15.75" hidden="1" customHeight="1">
      <c r="A2353" s="133" t="s">
        <v>7</v>
      </c>
      <c r="B2353" s="133" t="s">
        <v>2875</v>
      </c>
      <c r="C2353" s="133" t="s">
        <v>3027</v>
      </c>
      <c r="D2353" s="133" t="s">
        <v>481</v>
      </c>
      <c r="E2353" s="158">
        <v>5</v>
      </c>
      <c r="F2353" s="158">
        <v>9</v>
      </c>
      <c r="G2353" s="158">
        <v>2</v>
      </c>
      <c r="H2353" s="133" t="s">
        <v>2714</v>
      </c>
      <c r="I2353" s="133" t="s">
        <v>1223</v>
      </c>
      <c r="J2353" s="158">
        <v>0</v>
      </c>
      <c r="K2353" s="159" t="str">
        <f ca="1">IFERROR(__xludf.DUMMYFUNCTION("GOOGLETRANSLATE(H2353,""th"",""en"")"),"Discount for credit card payment (now is Central Credit Card) (EXVAT)")</f>
        <v>Discount for credit card payment (now is Central Credit Card) (EXVAT)</v>
      </c>
    </row>
    <row r="2354" spans="1:11" ht="15.75" hidden="1" customHeight="1">
      <c r="A2354" s="133" t="s">
        <v>7</v>
      </c>
      <c r="B2354" s="133" t="s">
        <v>2875</v>
      </c>
      <c r="C2354" s="133" t="s">
        <v>3028</v>
      </c>
      <c r="D2354" s="133" t="s">
        <v>481</v>
      </c>
      <c r="E2354" s="158">
        <v>5</v>
      </c>
      <c r="F2354" s="158">
        <v>9</v>
      </c>
      <c r="G2354" s="158">
        <v>2</v>
      </c>
      <c r="H2354" s="133" t="s">
        <v>2716</v>
      </c>
      <c r="I2354" s="133" t="s">
        <v>1223</v>
      </c>
      <c r="J2354" s="158">
        <v>0</v>
      </c>
      <c r="K2354" s="159" t="str">
        <f ca="1">IFERROR(__xludf.DUMMYFUNCTION("GOOGLETRANSLATE(H2354,""th"",""en"")"),"All discounts of voucher byproduct")</f>
        <v>All discounts of voucher byproduct</v>
      </c>
    </row>
    <row r="2355" spans="1:11" ht="15.75" hidden="1" customHeight="1">
      <c r="A2355" s="133" t="s">
        <v>7</v>
      </c>
      <c r="B2355" s="133" t="s">
        <v>2875</v>
      </c>
      <c r="C2355" s="133" t="s">
        <v>3029</v>
      </c>
      <c r="D2355" s="133" t="s">
        <v>481</v>
      </c>
      <c r="E2355" s="158">
        <v>5</v>
      </c>
      <c r="F2355" s="158">
        <v>9</v>
      </c>
      <c r="G2355" s="158">
        <v>2</v>
      </c>
      <c r="H2355" s="133" t="s">
        <v>2718</v>
      </c>
      <c r="I2355" s="133" t="s">
        <v>1223</v>
      </c>
      <c r="J2355" s="158">
        <v>0</v>
      </c>
      <c r="K2355" s="159" t="str">
        <f ca="1">IFERROR(__xludf.DUMMYFUNCTION("GOOGLETRANSLATE(H2355,""th"",""en"")"),"All discounts of Voucher Byproduct (EXVAT)")</f>
        <v>All discounts of Voucher Byproduct (EXVAT)</v>
      </c>
    </row>
    <row r="2356" spans="1:11" ht="15.75" hidden="1" customHeight="1">
      <c r="A2356" s="133" t="s">
        <v>7</v>
      </c>
      <c r="B2356" s="133" t="s">
        <v>2875</v>
      </c>
      <c r="C2356" s="133" t="s">
        <v>3030</v>
      </c>
      <c r="D2356" s="133" t="s">
        <v>481</v>
      </c>
      <c r="E2356" s="158">
        <v>5</v>
      </c>
      <c r="F2356" s="158">
        <v>9</v>
      </c>
      <c r="G2356" s="158">
        <v>2</v>
      </c>
      <c r="H2356" s="133" t="s">
        <v>3031</v>
      </c>
      <c r="I2356" s="133" t="s">
        <v>1223</v>
      </c>
      <c r="J2356" s="158">
        <v>0</v>
      </c>
      <c r="K2356" s="159" t="str">
        <f ca="1">IFERROR(__xludf.DUMMYFUNCTION("GOOGLETRANSLATE(H2356,""th"",""en"")"),"All discounts of promotion byitem")</f>
        <v>All discounts of promotion byitem</v>
      </c>
    </row>
    <row r="2357" spans="1:11" ht="15.75" hidden="1" customHeight="1">
      <c r="A2357" s="133" t="s">
        <v>7</v>
      </c>
      <c r="B2357" s="133" t="s">
        <v>2875</v>
      </c>
      <c r="C2357" s="133" t="s">
        <v>3032</v>
      </c>
      <c r="D2357" s="133" t="s">
        <v>481</v>
      </c>
      <c r="E2357" s="158">
        <v>5</v>
      </c>
      <c r="F2357" s="158">
        <v>9</v>
      </c>
      <c r="G2357" s="158">
        <v>2</v>
      </c>
      <c r="H2357" s="133" t="s">
        <v>3033</v>
      </c>
      <c r="I2357" s="133" t="s">
        <v>1223</v>
      </c>
      <c r="J2357" s="158">
        <v>0</v>
      </c>
      <c r="K2357" s="159" t="str">
        <f ca="1">IFERROR(__xludf.DUMMYFUNCTION("GOOGLETRANSLATE(H2357,""th"",""en"")"),"Prices for all discounts of promotions byitem (exvat)")</f>
        <v>Prices for all discounts of promotions byitem (exvat)</v>
      </c>
    </row>
    <row r="2358" spans="1:11" ht="15.75" hidden="1" customHeight="1">
      <c r="A2358" s="133" t="s">
        <v>7</v>
      </c>
      <c r="B2358" s="133" t="s">
        <v>2875</v>
      </c>
      <c r="C2358" s="133" t="s">
        <v>3034</v>
      </c>
      <c r="D2358" s="133" t="s">
        <v>481</v>
      </c>
      <c r="E2358" s="158">
        <v>5</v>
      </c>
      <c r="F2358" s="158">
        <v>9</v>
      </c>
      <c r="G2358" s="158">
        <v>2</v>
      </c>
      <c r="H2358" s="133" t="s">
        <v>3035</v>
      </c>
      <c r="I2358" s="133" t="s">
        <v>1223</v>
      </c>
      <c r="J2358" s="158">
        <v>0</v>
      </c>
      <c r="K2358" s="159" t="str">
        <f ca="1">IFERROR(__xludf.DUMMYFUNCTION("GOOGLETRANSLATE(H2358,""th"",""en"")"),"The amount that must be paid after deduction Point T1C")</f>
        <v>The amount that must be paid after deduction Point T1C</v>
      </c>
    </row>
    <row r="2359" spans="1:11" ht="15.75" hidden="1" customHeight="1">
      <c r="A2359" s="133" t="s">
        <v>7</v>
      </c>
      <c r="B2359" s="133" t="s">
        <v>2875</v>
      </c>
      <c r="C2359" s="133" t="s">
        <v>3036</v>
      </c>
      <c r="D2359" s="133" t="s">
        <v>484</v>
      </c>
      <c r="E2359" s="158">
        <v>4</v>
      </c>
      <c r="F2359" s="158">
        <v>10</v>
      </c>
      <c r="G2359" s="158">
        <v>0</v>
      </c>
      <c r="H2359" s="133" t="s">
        <v>3037</v>
      </c>
      <c r="I2359" s="133" t="s">
        <v>615</v>
      </c>
      <c r="J2359" s="158">
        <v>0</v>
      </c>
      <c r="K2359" s="159" t="str">
        <f ca="1">IFERROR(__xludf.DUMMYFUNCTION("GOOGLETRANSLATE(H2359,""th"",""en"")"),"Number of Point T1c in exchange")</f>
        <v>Number of Point T1c in exchange</v>
      </c>
    </row>
    <row r="2360" spans="1:11" ht="15.75" hidden="1" customHeight="1">
      <c r="A2360" s="133" t="s">
        <v>7</v>
      </c>
      <c r="B2360" s="133" t="s">
        <v>2875</v>
      </c>
      <c r="C2360" s="133" t="s">
        <v>3038</v>
      </c>
      <c r="D2360" s="133" t="s">
        <v>481</v>
      </c>
      <c r="E2360" s="158">
        <v>5</v>
      </c>
      <c r="F2360" s="158">
        <v>9</v>
      </c>
      <c r="G2360" s="158">
        <v>2</v>
      </c>
      <c r="H2360" s="133" t="s">
        <v>655</v>
      </c>
      <c r="I2360" s="133" t="s">
        <v>1223</v>
      </c>
      <c r="J2360" s="158">
        <v>0</v>
      </c>
      <c r="K2360" s="159" t="str">
        <f ca="1">IFERROR(__xludf.DUMMYFUNCTION("GOOGLETRANSLATE(H2360,""th"",""en"")"),"Value of points")</f>
        <v>Value of points</v>
      </c>
    </row>
    <row r="2361" spans="1:11" ht="15.75" hidden="1" customHeight="1">
      <c r="A2361" s="133" t="s">
        <v>7</v>
      </c>
      <c r="B2361" s="133" t="s">
        <v>2875</v>
      </c>
      <c r="C2361" s="133" t="s">
        <v>3039</v>
      </c>
      <c r="D2361" s="133" t="s">
        <v>484</v>
      </c>
      <c r="E2361" s="158">
        <v>4</v>
      </c>
      <c r="F2361" s="158">
        <v>10</v>
      </c>
      <c r="G2361" s="158">
        <v>0</v>
      </c>
      <c r="H2361" s="133" t="s">
        <v>3040</v>
      </c>
      <c r="I2361" s="133" t="s">
        <v>615</v>
      </c>
      <c r="J2361" s="158">
        <v>0</v>
      </c>
      <c r="K2361" s="159" t="str">
        <f ca="1">IFERROR(__xludf.DUMMYFUNCTION("GOOGLETRANSLATE(H2361,""th"",""en"")"),"Rate, redemption, such as 8 points = 1 baht")</f>
        <v>Rate, redemption, such as 8 points = 1 baht</v>
      </c>
    </row>
    <row r="2362" spans="1:11" ht="15.75" hidden="1" customHeight="1">
      <c r="A2362" s="133" t="s">
        <v>7</v>
      </c>
      <c r="B2362" s="133" t="s">
        <v>2875</v>
      </c>
      <c r="C2362" s="133" t="s">
        <v>3041</v>
      </c>
      <c r="D2362" s="133" t="s">
        <v>477</v>
      </c>
      <c r="E2362" s="158">
        <v>20</v>
      </c>
      <c r="F2362" s="158">
        <v>0</v>
      </c>
      <c r="G2362" s="158">
        <v>0</v>
      </c>
      <c r="H2362" s="133" t="s">
        <v>3042</v>
      </c>
      <c r="I2362" s="133" t="s">
        <v>548</v>
      </c>
      <c r="J2362" s="158">
        <v>0</v>
      </c>
      <c r="K2362" s="159" t="str">
        <f ca="1">IFERROR(__xludf.DUMMYFUNCTION("GOOGLETRANSLATE(H2362,""th"",""en"")"),"The 1 number 1 caused by the Redeem via the web officemate.co.th")</f>
        <v>The 1 number 1 caused by the Redeem via the web officemate.co.th</v>
      </c>
    </row>
    <row r="2363" spans="1:11" ht="15.75" hidden="1" customHeight="1">
      <c r="A2363" s="133" t="s">
        <v>7</v>
      </c>
      <c r="B2363" s="133" t="s">
        <v>2875</v>
      </c>
      <c r="C2363" s="133" t="s">
        <v>3043</v>
      </c>
      <c r="D2363" s="133" t="s">
        <v>477</v>
      </c>
      <c r="E2363" s="158">
        <v>100</v>
      </c>
      <c r="F2363" s="158">
        <v>0</v>
      </c>
      <c r="G2363" s="158">
        <v>0</v>
      </c>
      <c r="H2363" s="133" t="s">
        <v>3044</v>
      </c>
      <c r="I2363" s="133" t="s">
        <v>548</v>
      </c>
      <c r="J2363" s="158">
        <v>0</v>
      </c>
      <c r="K2363" s="159" t="str">
        <f ca="1">IFERROR(__xludf.DUMMYFUNCTION("GOOGLETRANSLATE(H2363,""th"",""en"")"),"T1C reference numbers obtained from Redeem Online, such as 1-IAH629C")</f>
        <v>T1C reference numbers obtained from Redeem Online, such as 1-IAH629C</v>
      </c>
    </row>
    <row r="2364" spans="1:11" ht="15.75" hidden="1" customHeight="1">
      <c r="A2364" s="133" t="s">
        <v>7</v>
      </c>
      <c r="B2364" s="133" t="s">
        <v>2875</v>
      </c>
      <c r="C2364" s="133" t="s">
        <v>3045</v>
      </c>
      <c r="D2364" s="133" t="s">
        <v>477</v>
      </c>
      <c r="E2364" s="158">
        <v>3</v>
      </c>
      <c r="F2364" s="158">
        <v>0</v>
      </c>
      <c r="G2364" s="158">
        <v>0</v>
      </c>
      <c r="H2364" s="133" t="s">
        <v>3046</v>
      </c>
      <c r="I2364" s="133" t="s">
        <v>596</v>
      </c>
      <c r="J2364" s="158">
        <v>0</v>
      </c>
      <c r="K2364" s="159" t="str">
        <f ca="1">IFERROR(__xludf.DUMMYFUNCTION("GOOGLETRANSLATE(H2364,""th"",""en"")"),"Set the Bill Print as the next month (Yes / NO)")</f>
        <v>Set the Bill Print as the next month (Yes / NO)</v>
      </c>
    </row>
    <row r="2365" spans="1:11" ht="15.75" hidden="1" customHeight="1">
      <c r="A2365" s="133" t="s">
        <v>7</v>
      </c>
      <c r="B2365" s="133" t="s">
        <v>2875</v>
      </c>
      <c r="C2365" s="133" t="s">
        <v>3047</v>
      </c>
      <c r="D2365" s="133" t="s">
        <v>477</v>
      </c>
      <c r="E2365" s="158">
        <v>3</v>
      </c>
      <c r="F2365" s="158">
        <v>0</v>
      </c>
      <c r="G2365" s="158">
        <v>0</v>
      </c>
      <c r="H2365" s="133" t="s">
        <v>3048</v>
      </c>
      <c r="I2365" s="133" t="s">
        <v>596</v>
      </c>
      <c r="J2365" s="158">
        <v>0</v>
      </c>
      <c r="K2365" s="159" t="str">
        <f ca="1">IFERROR(__xludf.DUMMYFUNCTION("GOOGLETRANSLATE(H2365,""th"",""en"")"),"Send Catalog to customers with delivery (yes / no)")</f>
        <v>Send Catalog to customers with delivery (yes / no)</v>
      </c>
    </row>
    <row r="2366" spans="1:11" ht="15.75" hidden="1" customHeight="1">
      <c r="A2366" s="133" t="s">
        <v>7</v>
      </c>
      <c r="B2366" s="133" t="s">
        <v>2875</v>
      </c>
      <c r="C2366" s="133" t="s">
        <v>1326</v>
      </c>
      <c r="D2366" s="133" t="s">
        <v>477</v>
      </c>
      <c r="E2366" s="158">
        <v>3</v>
      </c>
      <c r="F2366" s="158">
        <v>0</v>
      </c>
      <c r="G2366" s="158">
        <v>0</v>
      </c>
      <c r="H2366" s="133" t="s">
        <v>3049</v>
      </c>
      <c r="I2366" s="133" t="s">
        <v>596</v>
      </c>
      <c r="J2366" s="158">
        <v>0</v>
      </c>
      <c r="K2366" s="159" t="str">
        <f ca="1">IFERROR(__xludf.DUMMYFUNCTION("GOOGLETRANSLATE(H2366,""th"",""en"")"),"Is a BOI industrial estate customer (Yes / NO)")</f>
        <v>Is a BOI industrial estate customer (Yes / NO)</v>
      </c>
    </row>
    <row r="2367" spans="1:11" ht="15.75" hidden="1" customHeight="1">
      <c r="A2367" s="133" t="s">
        <v>7</v>
      </c>
      <c r="B2367" s="133" t="s">
        <v>2875</v>
      </c>
      <c r="C2367" s="133" t="s">
        <v>1328</v>
      </c>
      <c r="D2367" s="133" t="s">
        <v>477</v>
      </c>
      <c r="E2367" s="158">
        <v>3</v>
      </c>
      <c r="F2367" s="158">
        <v>0</v>
      </c>
      <c r="G2367" s="158">
        <v>0</v>
      </c>
      <c r="H2367" s="133" t="s">
        <v>3050</v>
      </c>
      <c r="I2367" s="133" t="s">
        <v>596</v>
      </c>
      <c r="J2367" s="158">
        <v>0</v>
      </c>
      <c r="K2367" s="159" t="str">
        <f ca="1">IFERROR(__xludf.DUMMYFUNCTION("GOOGLETRANSLATE(H2367,""th"",""en"")"),"Is the embassy customer (Yes / NO)")</f>
        <v>Is the embassy customer (Yes / NO)</v>
      </c>
    </row>
    <row r="2368" spans="1:11" ht="15.75" hidden="1" customHeight="1">
      <c r="A2368" s="133" t="s">
        <v>7</v>
      </c>
      <c r="B2368" s="133" t="s">
        <v>2875</v>
      </c>
      <c r="C2368" s="133" t="s">
        <v>3051</v>
      </c>
      <c r="D2368" s="133" t="s">
        <v>484</v>
      </c>
      <c r="E2368" s="158">
        <v>4</v>
      </c>
      <c r="F2368" s="158">
        <v>10</v>
      </c>
      <c r="G2368" s="158">
        <v>0</v>
      </c>
      <c r="H2368" s="133" t="s">
        <v>3052</v>
      </c>
      <c r="I2368" s="133" t="s">
        <v>615</v>
      </c>
      <c r="J2368" s="158">
        <v>0</v>
      </c>
      <c r="K2368" s="159" t="str">
        <f ca="1">IFERROR(__xludf.DUMMYFUNCTION("GOOGLETRANSLATE(H2368,""th"",""en"")"),"Number of Catalog books sent to customers with delivery")</f>
        <v>Number of Catalog books sent to customers with delivery</v>
      </c>
    </row>
    <row r="2369" spans="1:11" ht="15.75" hidden="1" customHeight="1">
      <c r="A2369" s="133" t="s">
        <v>7</v>
      </c>
      <c r="B2369" s="133" t="s">
        <v>2875</v>
      </c>
      <c r="C2369" s="133" t="s">
        <v>3053</v>
      </c>
      <c r="D2369" s="133" t="s">
        <v>477</v>
      </c>
      <c r="E2369" s="158">
        <v>500</v>
      </c>
      <c r="F2369" s="158">
        <v>0</v>
      </c>
      <c r="G2369" s="158">
        <v>0</v>
      </c>
      <c r="H2369" s="133" t="s">
        <v>3054</v>
      </c>
      <c r="I2369" s="133" t="s">
        <v>548</v>
      </c>
      <c r="J2369" s="158">
        <v>0</v>
      </c>
      <c r="K2369" s="159" t="str">
        <f ca="1">IFERROR(__xludf.DUMMYFUNCTION("GOOGLETRANSLATE(H2369,""th"",""en"")"),"Premium product details from the Web OfficMate")</f>
        <v>Premium product details from the Web OfficMate</v>
      </c>
    </row>
    <row r="2370" spans="1:11" ht="15.75" hidden="1" customHeight="1">
      <c r="A2370" s="133" t="s">
        <v>7</v>
      </c>
      <c r="B2370" s="133" t="s">
        <v>2875</v>
      </c>
      <c r="C2370" s="167" t="s">
        <v>3055</v>
      </c>
      <c r="D2370" s="133" t="s">
        <v>481</v>
      </c>
      <c r="E2370" s="158">
        <v>5</v>
      </c>
      <c r="F2370" s="158">
        <v>9</v>
      </c>
      <c r="G2370" s="158">
        <v>2</v>
      </c>
      <c r="H2370" s="133" t="s">
        <v>3056</v>
      </c>
      <c r="I2370" s="133" t="s">
        <v>479</v>
      </c>
      <c r="J2370" s="158">
        <v>1</v>
      </c>
      <c r="K2370" s="159" t="str">
        <f ca="1">IFERROR(__xludf.DUMMYFUNCTION("GOOGLETRANSLATE(H2370,""th"",""en"")"),"Save the case with the VAT editor in the TEMP SO (OASYS) process.")</f>
        <v>Save the case with the VAT editor in the TEMP SO (OASYS) process.</v>
      </c>
    </row>
    <row r="2371" spans="1:11" ht="15.75" hidden="1" customHeight="1">
      <c r="A2371" s="133" t="s">
        <v>7</v>
      </c>
      <c r="B2371" s="133" t="s">
        <v>2875</v>
      </c>
      <c r="C2371" s="133" t="s">
        <v>3057</v>
      </c>
      <c r="D2371" s="133" t="s">
        <v>481</v>
      </c>
      <c r="E2371" s="158">
        <v>5</v>
      </c>
      <c r="F2371" s="158">
        <v>9</v>
      </c>
      <c r="G2371" s="158">
        <v>2</v>
      </c>
      <c r="H2371" s="133" t="s">
        <v>3058</v>
      </c>
      <c r="I2371" s="133" t="s">
        <v>479</v>
      </c>
      <c r="J2371" s="158">
        <v>1</v>
      </c>
      <c r="K2371" s="159" t="str">
        <f ca="1">IFERROR(__xludf.DUMMYFUNCTION("GOOGLETRANSLATE(H2371,""th"",""en"")"),"Record the case is fixed. ""Special shipping fee"" in the process of making temp so (OASYS)")</f>
        <v>Record the case is fixed. "Special shipping fee" in the process of making temp so (OASYS)</v>
      </c>
    </row>
    <row r="2372" spans="1:11" ht="15.75" hidden="1" customHeight="1">
      <c r="A2372" s="133" t="s">
        <v>7</v>
      </c>
      <c r="B2372" s="133" t="s">
        <v>2875</v>
      </c>
      <c r="C2372" s="133" t="s">
        <v>2860</v>
      </c>
      <c r="D2372" s="133" t="s">
        <v>477</v>
      </c>
      <c r="E2372" s="158">
        <v>20</v>
      </c>
      <c r="F2372" s="158">
        <v>0</v>
      </c>
      <c r="G2372" s="158">
        <v>0</v>
      </c>
      <c r="H2372" s="133" t="s">
        <v>3059</v>
      </c>
      <c r="I2372" s="133" t="s">
        <v>548</v>
      </c>
      <c r="J2372" s="158">
        <v>0</v>
      </c>
      <c r="K2372" s="159" t="str">
        <f ca="1">IFERROR(__xludf.DUMMYFUNCTION("GOOGLETRANSLATE(H2372,""th"",""en"")"),"Document type (Normal, MKP, Clearance, Cross Sale, Customer, Vendorstock)")</f>
        <v>Document type (Normal, MKP, Clearance, Cross Sale, Customer, Vendorstock)</v>
      </c>
    </row>
    <row r="2373" spans="1:11" ht="15.75" hidden="1" customHeight="1">
      <c r="A2373" s="133" t="s">
        <v>7</v>
      </c>
      <c r="B2373" s="133" t="s">
        <v>2875</v>
      </c>
      <c r="C2373" s="133" t="s">
        <v>3060</v>
      </c>
      <c r="D2373" s="133" t="s">
        <v>477</v>
      </c>
      <c r="E2373" s="158">
        <v>15</v>
      </c>
      <c r="F2373" s="158">
        <v>0</v>
      </c>
      <c r="G2373" s="158">
        <v>0</v>
      </c>
      <c r="H2373" s="133" t="s">
        <v>3061</v>
      </c>
      <c r="I2373" s="133" t="s">
        <v>548</v>
      </c>
      <c r="J2373" s="158">
        <v>0</v>
      </c>
      <c r="K2373" s="159" t="str">
        <f ca="1">IFERROR(__xludf.DUMMYFUNCTION("GOOGLETRANSLATE(H2373,""th"",""en"")"),"The payment receipt of the OFFICEMATE branch case in front of the store")</f>
        <v>The payment receipt of the OFFICEMATE branch case in front of the store</v>
      </c>
    </row>
    <row r="2374" spans="1:11" ht="15.75" hidden="1" customHeight="1">
      <c r="A2374" s="133" t="s">
        <v>7</v>
      </c>
      <c r="B2374" s="133" t="s">
        <v>2875</v>
      </c>
      <c r="C2374" s="133" t="s">
        <v>3062</v>
      </c>
      <c r="D2374" s="133" t="s">
        <v>496</v>
      </c>
      <c r="E2374" s="158">
        <v>4</v>
      </c>
      <c r="F2374" s="158">
        <v>16</v>
      </c>
      <c r="G2374" s="158">
        <v>0</v>
      </c>
      <c r="H2374" s="133" t="s">
        <v>3063</v>
      </c>
      <c r="I2374" s="133" t="s">
        <v>1363</v>
      </c>
      <c r="J2374" s="158">
        <v>0</v>
      </c>
      <c r="K2374" s="159" t="str">
        <f ca="1">IFERROR(__xludf.DUMMYFUNCTION("GOOGLETRANSLATE(H2374,""th"",""en"")"),"RCP document number")</f>
        <v>RCP document number</v>
      </c>
    </row>
    <row r="2375" spans="1:11" ht="15.75" hidden="1" customHeight="1">
      <c r="A2375" s="133" t="s">
        <v>7</v>
      </c>
      <c r="B2375" s="133" t="s">
        <v>2875</v>
      </c>
      <c r="C2375" s="133" t="s">
        <v>344</v>
      </c>
      <c r="D2375" s="133" t="s">
        <v>484</v>
      </c>
      <c r="E2375" s="158">
        <v>4</v>
      </c>
      <c r="F2375" s="158">
        <v>10</v>
      </c>
      <c r="G2375" s="158">
        <v>0</v>
      </c>
      <c r="H2375" s="133" t="s">
        <v>1992</v>
      </c>
      <c r="I2375" s="133" t="s">
        <v>615</v>
      </c>
      <c r="J2375" s="158">
        <v>0</v>
      </c>
      <c r="K2375" s="159" t="str">
        <f ca="1">IFERROR(__xludf.DUMMYFUNCTION("GOOGLETRANSLATE(H2375,""th"",""en"")"),"Order channel code")</f>
        <v>Order channel code</v>
      </c>
    </row>
    <row r="2376" spans="1:11" ht="15.75" hidden="1" customHeight="1">
      <c r="A2376" s="133" t="s">
        <v>7</v>
      </c>
      <c r="B2376" s="133" t="s">
        <v>2875</v>
      </c>
      <c r="C2376" s="133" t="s">
        <v>2114</v>
      </c>
      <c r="D2376" s="133" t="s">
        <v>477</v>
      </c>
      <c r="E2376" s="158">
        <v>100</v>
      </c>
      <c r="F2376" s="158">
        <v>0</v>
      </c>
      <c r="G2376" s="158">
        <v>0</v>
      </c>
      <c r="H2376" s="133" t="s">
        <v>3064</v>
      </c>
      <c r="I2376" s="133" t="s">
        <v>548</v>
      </c>
      <c r="J2376" s="158">
        <v>0</v>
      </c>
      <c r="K2376" s="159" t="str">
        <f ca="1">IFERROR(__xludf.DUMMYFUNCTION("GOOGLETRANSLATE(H2376,""th"",""en"")"),"Channel name, order like CallCenter, OFM Store, Online")</f>
        <v>Channel name, order like CallCenter, OFM Store, Online</v>
      </c>
    </row>
    <row r="2377" spans="1:11" ht="15.75" hidden="1" customHeight="1">
      <c r="A2377" s="133" t="s">
        <v>7</v>
      </c>
      <c r="B2377" s="133" t="s">
        <v>2875</v>
      </c>
      <c r="C2377" s="133" t="s">
        <v>350</v>
      </c>
      <c r="D2377" s="133" t="s">
        <v>484</v>
      </c>
      <c r="E2377" s="158">
        <v>4</v>
      </c>
      <c r="F2377" s="158">
        <v>10</v>
      </c>
      <c r="G2377" s="158">
        <v>0</v>
      </c>
      <c r="H2377" s="133" t="s">
        <v>3065</v>
      </c>
      <c r="I2377" s="133" t="s">
        <v>548</v>
      </c>
      <c r="J2377" s="158">
        <v>0</v>
      </c>
      <c r="K2377" s="159" t="str">
        <f ca="1">IFERROR(__xludf.DUMMYFUNCTION("GOOGLETRANSLATE(H2377,""th"",""en"")"),"How to order")</f>
        <v>How to order</v>
      </c>
    </row>
    <row r="2378" spans="1:11" ht="15.75" hidden="1" customHeight="1">
      <c r="A2378" s="133" t="s">
        <v>7</v>
      </c>
      <c r="B2378" s="133" t="s">
        <v>2875</v>
      </c>
      <c r="C2378" s="133" t="s">
        <v>2172</v>
      </c>
      <c r="D2378" s="133" t="s">
        <v>477</v>
      </c>
      <c r="E2378" s="158">
        <v>100</v>
      </c>
      <c r="F2378" s="158">
        <v>0</v>
      </c>
      <c r="G2378" s="158">
        <v>0</v>
      </c>
      <c r="H2378" s="133" t="s">
        <v>3066</v>
      </c>
      <c r="I2378" s="133" t="s">
        <v>548</v>
      </c>
      <c r="J2378" s="158">
        <v>0</v>
      </c>
      <c r="K2378" s="159" t="str">
        <f ca="1">IFERROR(__xludf.DUMMYFUNCTION("GOOGLETRANSLATE(H2378,""th"",""en"")"),"How to order")</f>
        <v>How to order</v>
      </c>
    </row>
    <row r="2379" spans="1:11" ht="15.75" hidden="1" customHeight="1">
      <c r="A2379" s="133" t="s">
        <v>7</v>
      </c>
      <c r="B2379" s="133" t="s">
        <v>2875</v>
      </c>
      <c r="C2379" s="133" t="s">
        <v>2261</v>
      </c>
      <c r="D2379" s="133" t="s">
        <v>477</v>
      </c>
      <c r="E2379" s="158">
        <v>3</v>
      </c>
      <c r="F2379" s="158">
        <v>0</v>
      </c>
      <c r="G2379" s="158">
        <v>0</v>
      </c>
      <c r="H2379" s="133" t="s">
        <v>3067</v>
      </c>
      <c r="I2379" s="133" t="s">
        <v>596</v>
      </c>
      <c r="J2379" s="158">
        <v>0</v>
      </c>
      <c r="K2379" s="159" t="str">
        <f ca="1">IFERROR(__xludf.DUMMYFUNCTION("GOOGLETRANSLATE(H2379,""th"",""en"")"),"Is Order Click &amp; Collect (YES / NO)")</f>
        <v>Is Order Click &amp; Collect (YES / NO)</v>
      </c>
    </row>
    <row r="2380" spans="1:11" ht="15.75" hidden="1" customHeight="1">
      <c r="A2380" s="133" t="s">
        <v>7</v>
      </c>
      <c r="B2380" s="133" t="s">
        <v>2875</v>
      </c>
      <c r="C2380" s="133" t="s">
        <v>3068</v>
      </c>
      <c r="D2380" s="133" t="s">
        <v>477</v>
      </c>
      <c r="E2380" s="158">
        <v>5</v>
      </c>
      <c r="F2380" s="158">
        <v>0</v>
      </c>
      <c r="G2380" s="158">
        <v>0</v>
      </c>
      <c r="H2380" s="133" t="s">
        <v>3069</v>
      </c>
      <c r="I2380" s="133" t="s">
        <v>548</v>
      </c>
      <c r="J2380" s="158">
        <v>0</v>
      </c>
      <c r="K2380" s="159" t="str">
        <f ca="1">IFERROR(__xludf.DUMMYFUNCTION("GOOGLETRANSLATE(H2380,""th"",""en"")"),"Branch code in front of the store Delivery Click Collect")</f>
        <v>Branch code in front of the store Delivery Click Collect</v>
      </c>
    </row>
    <row r="2381" spans="1:11" ht="15.75" hidden="1" customHeight="1">
      <c r="A2381" s="133" t="s">
        <v>7</v>
      </c>
      <c r="B2381" s="133" t="s">
        <v>2875</v>
      </c>
      <c r="C2381" s="133" t="s">
        <v>3070</v>
      </c>
      <c r="D2381" s="133" t="s">
        <v>477</v>
      </c>
      <c r="E2381" s="158">
        <v>20</v>
      </c>
      <c r="F2381" s="158">
        <v>0</v>
      </c>
      <c r="G2381" s="158">
        <v>0</v>
      </c>
      <c r="H2381" s="133" t="s">
        <v>3071</v>
      </c>
      <c r="I2381" s="133" t="s">
        <v>548</v>
      </c>
      <c r="J2381" s="158">
        <v>0</v>
      </c>
      <c r="K2381" s="159" t="str">
        <f ca="1">IFERROR(__xludf.DUMMYFUNCTION("GOOGLETRANSLATE(H2381,""th"",""en"")"),"Magento document number (Order Online)")</f>
        <v>Magento document number (Order Online)</v>
      </c>
    </row>
    <row r="2382" spans="1:11" ht="15.75" hidden="1" customHeight="1">
      <c r="A2382" s="133" t="s">
        <v>7</v>
      </c>
      <c r="B2382" s="133" t="s">
        <v>2875</v>
      </c>
      <c r="C2382" s="133" t="s">
        <v>3072</v>
      </c>
      <c r="D2382" s="133" t="s">
        <v>477</v>
      </c>
      <c r="E2382" s="158">
        <v>10</v>
      </c>
      <c r="F2382" s="158">
        <v>0</v>
      </c>
      <c r="G2382" s="158">
        <v>0</v>
      </c>
      <c r="H2382" s="133" t="s">
        <v>3073</v>
      </c>
      <c r="I2382" s="133" t="s">
        <v>548</v>
      </c>
      <c r="J2382" s="158">
        <v>0</v>
      </c>
      <c r="K2382" s="159" t="str">
        <f ca="1">IFERROR(__xludf.DUMMYFUNCTION("GOOGLETRANSLATE(H2382,""th"",""en"")"),"MARGENTO document status (Order Online)")</f>
        <v>MARGENTO document status (Order Online)</v>
      </c>
    </row>
    <row r="2383" spans="1:11" ht="15.75" hidden="1" customHeight="1">
      <c r="A2383" s="133" t="s">
        <v>7</v>
      </c>
      <c r="B2383" s="133" t="s">
        <v>2875</v>
      </c>
      <c r="C2383" s="133" t="s">
        <v>2127</v>
      </c>
      <c r="D2383" s="133" t="s">
        <v>477</v>
      </c>
      <c r="E2383" s="158">
        <v>3</v>
      </c>
      <c r="F2383" s="158">
        <v>0</v>
      </c>
      <c r="G2383" s="158">
        <v>0</v>
      </c>
      <c r="H2383" s="133" t="s">
        <v>3074</v>
      </c>
      <c r="I2383" s="133" t="s">
        <v>596</v>
      </c>
      <c r="J2383" s="158">
        <v>0</v>
      </c>
      <c r="K2383" s="159" t="str">
        <f ca="1">IFERROR(__xludf.DUMMYFUNCTION("GOOGLETRANSLATE(H2383,""th"",""en"")"),"Is a Hamper (basket) (YES / NO)")</f>
        <v>Is a Hamper (basket) (YES / NO)</v>
      </c>
    </row>
    <row r="2384" spans="1:11" ht="15.75" hidden="1" customHeight="1">
      <c r="A2384" s="133" t="s">
        <v>7</v>
      </c>
      <c r="B2384" s="133" t="s">
        <v>2875</v>
      </c>
      <c r="C2384" s="133" t="s">
        <v>3075</v>
      </c>
      <c r="D2384" s="133" t="s">
        <v>477</v>
      </c>
      <c r="E2384" s="158">
        <v>3</v>
      </c>
      <c r="F2384" s="158">
        <v>0</v>
      </c>
      <c r="G2384" s="158">
        <v>0</v>
      </c>
      <c r="H2384" s="133" t="s">
        <v>3076</v>
      </c>
      <c r="I2384" s="133" t="s">
        <v>596</v>
      </c>
      <c r="J2384" s="158">
        <v>0</v>
      </c>
      <c r="K2384" s="159" t="str">
        <f ca="1">IFERROR(__xludf.DUMMYFUNCTION("GOOGLETRANSLATE(H2384,""th"",""en"")"),"Is a Franchise (YES / NO) client code")</f>
        <v>Is a Franchise (YES / NO) client code</v>
      </c>
    </row>
    <row r="2385" spans="1:11" ht="15.75" hidden="1" customHeight="1">
      <c r="A2385" s="133" t="s">
        <v>7</v>
      </c>
      <c r="B2385" s="133" t="s">
        <v>2875</v>
      </c>
      <c r="C2385" s="133" t="s">
        <v>3077</v>
      </c>
      <c r="D2385" s="133" t="s">
        <v>477</v>
      </c>
      <c r="E2385" s="158">
        <v>20</v>
      </c>
      <c r="F2385" s="158">
        <v>0</v>
      </c>
      <c r="G2385" s="158">
        <v>0</v>
      </c>
      <c r="H2385" s="133" t="s">
        <v>3078</v>
      </c>
      <c r="I2385" s="133" t="s">
        <v>548</v>
      </c>
      <c r="J2385" s="158">
        <v>0</v>
      </c>
      <c r="K2385" s="159" t="str">
        <f ca="1">IFERROR(__xludf.DUMMYFUNCTION("GOOGLETRANSLATE(H2385,""th"",""en"")"),"Type Order Franchise (Fulfillment, Dropship)")</f>
        <v>Type Order Franchise (Fulfillment, Dropship)</v>
      </c>
    </row>
    <row r="2386" spans="1:11" ht="15.75" hidden="1" customHeight="1">
      <c r="A2386" s="133" t="s">
        <v>7</v>
      </c>
      <c r="B2386" s="133" t="s">
        <v>2875</v>
      </c>
      <c r="C2386" s="133" t="s">
        <v>1500</v>
      </c>
      <c r="D2386" s="133" t="s">
        <v>477</v>
      </c>
      <c r="E2386" s="158">
        <v>20</v>
      </c>
      <c r="F2386" s="158">
        <v>0</v>
      </c>
      <c r="G2386" s="158">
        <v>0</v>
      </c>
      <c r="H2386" s="133" t="s">
        <v>3079</v>
      </c>
      <c r="I2386" s="133" t="s">
        <v>548</v>
      </c>
      <c r="J2386" s="158">
        <v>0</v>
      </c>
      <c r="K2386" s="159" t="str">
        <f ca="1">IFERROR(__xludf.DUMMYFUNCTION("GOOGLETRANSLATE(H2386,""th"",""en"")"),"Used for providing ERP, separating products and issuing documents (Billmerge, BillSpit)")</f>
        <v>Used for providing ERP, separating products and issuing documents (Billmerge, BillSpit)</v>
      </c>
    </row>
    <row r="2387" spans="1:11" ht="15.75" hidden="1" customHeight="1">
      <c r="A2387" s="133" t="s">
        <v>7</v>
      </c>
      <c r="B2387" s="133" t="s">
        <v>2875</v>
      </c>
      <c r="C2387" s="133" t="s">
        <v>3080</v>
      </c>
      <c r="D2387" s="133" t="s">
        <v>477</v>
      </c>
      <c r="E2387" s="158">
        <v>3</v>
      </c>
      <c r="F2387" s="158">
        <v>0</v>
      </c>
      <c r="G2387" s="158">
        <v>0</v>
      </c>
      <c r="H2387" s="133" t="s">
        <v>3081</v>
      </c>
      <c r="I2387" s="133" t="s">
        <v>596</v>
      </c>
      <c r="J2387" s="158">
        <v>0</v>
      </c>
      <c r="K2387" s="159" t="str">
        <f ca="1">IFERROR(__xludf.DUMMYFUNCTION("GOOGLETRANSLATE(H2387,""th"",""en"")"),"There are more than 1 product arrangement (YES / NO).")</f>
        <v>There are more than 1 product arrangement (YES / NO).</v>
      </c>
    </row>
    <row r="2388" spans="1:11" ht="15.75" hidden="1" customHeight="1">
      <c r="A2388" s="133" t="s">
        <v>7</v>
      </c>
      <c r="B2388" s="133" t="s">
        <v>2875</v>
      </c>
      <c r="C2388" s="133" t="s">
        <v>3082</v>
      </c>
      <c r="D2388" s="133" t="s">
        <v>477</v>
      </c>
      <c r="E2388" s="158">
        <v>3</v>
      </c>
      <c r="F2388" s="158">
        <v>0</v>
      </c>
      <c r="G2388" s="158">
        <v>0</v>
      </c>
      <c r="H2388" s="133" t="s">
        <v>3083</v>
      </c>
      <c r="I2388" s="133" t="s">
        <v>596</v>
      </c>
      <c r="J2388" s="158">
        <v>0</v>
      </c>
      <c r="K2388" s="159" t="str">
        <f ca="1">IFERROR(__xludf.DUMMYFUNCTION("GOOGLETRANSLATE(H2388,""th"",""en"")"),"Is a VIP group (YES / NO)")</f>
        <v>Is a VIP group (YES / NO)</v>
      </c>
    </row>
    <row r="2389" spans="1:11" ht="15.75" hidden="1" customHeight="1">
      <c r="A2389" s="133" t="s">
        <v>7</v>
      </c>
      <c r="B2389" s="133" t="s">
        <v>2875</v>
      </c>
      <c r="C2389" s="133" t="s">
        <v>3084</v>
      </c>
      <c r="D2389" s="133" t="s">
        <v>477</v>
      </c>
      <c r="E2389" s="158">
        <v>3</v>
      </c>
      <c r="F2389" s="158">
        <v>0</v>
      </c>
      <c r="G2389" s="158">
        <v>0</v>
      </c>
      <c r="H2389" s="133" t="s">
        <v>3085</v>
      </c>
      <c r="I2389" s="133" t="s">
        <v>596</v>
      </c>
      <c r="J2389" s="158">
        <v>0</v>
      </c>
      <c r="K2389" s="159" t="str">
        <f ca="1">IFERROR(__xludf.DUMMYFUNCTION("GOOGLETRANSLATE(H2389,""th"",""en"")"),"Contact back to customers Send this information from Order Online (yes / no)")</f>
        <v>Contact back to customers Send this information from Order Online (yes / no)</v>
      </c>
    </row>
    <row r="2390" spans="1:11" ht="15.75" hidden="1" customHeight="1">
      <c r="A2390" s="133" t="s">
        <v>7</v>
      </c>
      <c r="B2390" s="133" t="s">
        <v>2875</v>
      </c>
      <c r="C2390" s="133" t="s">
        <v>1834</v>
      </c>
      <c r="D2390" s="133" t="s">
        <v>477</v>
      </c>
      <c r="E2390" s="158">
        <v>3</v>
      </c>
      <c r="F2390" s="158">
        <v>0</v>
      </c>
      <c r="G2390" s="158">
        <v>0</v>
      </c>
      <c r="H2390" s="133" t="s">
        <v>3086</v>
      </c>
      <c r="I2390" s="133" t="s">
        <v>596</v>
      </c>
      <c r="J2390" s="158">
        <v>0</v>
      </c>
      <c r="K2390" s="159" t="str">
        <f ca="1">IFERROR(__xludf.DUMMYFUNCTION("GOOGLETRANSLATE(H2390,""th"",""en"")"),"Is a customer standing product price (Yes, NO)")</f>
        <v>Is a customer standing product price (Yes, NO)</v>
      </c>
    </row>
    <row r="2391" spans="1:11" ht="15.75" hidden="1" customHeight="1">
      <c r="A2391" s="133" t="s">
        <v>7</v>
      </c>
      <c r="B2391" s="133" t="s">
        <v>2875</v>
      </c>
      <c r="C2391" s="133" t="s">
        <v>3087</v>
      </c>
      <c r="D2391" s="133" t="s">
        <v>477</v>
      </c>
      <c r="E2391" s="158">
        <v>3</v>
      </c>
      <c r="F2391" s="158">
        <v>0</v>
      </c>
      <c r="G2391" s="158">
        <v>0</v>
      </c>
      <c r="H2391" s="133" t="s">
        <v>3088</v>
      </c>
      <c r="I2391" s="133" t="s">
        <v>596</v>
      </c>
      <c r="J2391" s="158">
        <v>0</v>
      </c>
      <c r="K2391" s="159" t="str">
        <f ca="1">IFERROR(__xludf.DUMMYFUNCTION("GOOGLETRANSLATE(H2391,""th"",""en"")"),"Document waiting for Rule approval (yes, no)")</f>
        <v>Document waiting for Rule approval (yes, no)</v>
      </c>
    </row>
    <row r="2392" spans="1:11" ht="15.75" hidden="1" customHeight="1">
      <c r="A2392" s="133" t="s">
        <v>7</v>
      </c>
      <c r="B2392" s="133" t="s">
        <v>2875</v>
      </c>
      <c r="C2392" s="133" t="s">
        <v>3089</v>
      </c>
      <c r="D2392" s="133" t="s">
        <v>484</v>
      </c>
      <c r="E2392" s="158">
        <v>4</v>
      </c>
      <c r="F2392" s="158">
        <v>10</v>
      </c>
      <c r="G2392" s="158">
        <v>0</v>
      </c>
      <c r="H2392" s="133" t="s">
        <v>3090</v>
      </c>
      <c r="I2392" s="133" t="s">
        <v>615</v>
      </c>
      <c r="J2392" s="158">
        <v>0</v>
      </c>
      <c r="K2392" s="159" t="str">
        <f ca="1">IFERROR(__xludf.DUMMYFUNCTION("GOOGLETRANSLATE(H2392,""th"",""en"")"),"Rule number that must be approved")</f>
        <v>Rule number that must be approved</v>
      </c>
    </row>
    <row r="2393" spans="1:11" ht="15.75" hidden="1" customHeight="1">
      <c r="A2393" s="133" t="s">
        <v>7</v>
      </c>
      <c r="B2393" s="133" t="s">
        <v>2875</v>
      </c>
      <c r="C2393" s="133" t="s">
        <v>1866</v>
      </c>
      <c r="D2393" s="133" t="s">
        <v>477</v>
      </c>
      <c r="E2393" s="158">
        <v>200</v>
      </c>
      <c r="F2393" s="158">
        <v>0</v>
      </c>
      <c r="G2393" s="158">
        <v>0</v>
      </c>
      <c r="H2393" s="133" t="s">
        <v>3091</v>
      </c>
      <c r="I2393" s="133" t="s">
        <v>548</v>
      </c>
      <c r="J2393" s="158">
        <v>0</v>
      </c>
      <c r="K2393" s="159" t="str">
        <f ca="1">IFERROR(__xludf.DUMMYFUNCTION("GOOGLETRANSLATE(H2393,""th"",""en"")"),"Order notification messages determined by the owner of the order")</f>
        <v>Order notification messages determined by the owner of the order</v>
      </c>
    </row>
    <row r="2394" spans="1:11" ht="15.75" hidden="1" customHeight="1">
      <c r="A2394" s="133" t="s">
        <v>7</v>
      </c>
      <c r="B2394" s="133" t="s">
        <v>2875</v>
      </c>
      <c r="C2394" s="133" t="s">
        <v>1867</v>
      </c>
      <c r="D2394" s="133" t="s">
        <v>496</v>
      </c>
      <c r="E2394" s="158">
        <v>4</v>
      </c>
      <c r="F2394" s="158">
        <v>16</v>
      </c>
      <c r="G2394" s="158">
        <v>0</v>
      </c>
      <c r="H2394" s="133" t="s">
        <v>3092</v>
      </c>
      <c r="I2394" s="133" t="s">
        <v>1363</v>
      </c>
      <c r="J2394" s="158">
        <v>0</v>
      </c>
      <c r="K2394" s="159" t="str">
        <f ca="1">IFERROR(__xludf.DUMMYFUNCTION("GOOGLETRANSLATE(H2394,""th"",""en"")"),"Reeminder Order notification date")</f>
        <v>Reeminder Order notification date</v>
      </c>
    </row>
    <row r="2395" spans="1:11" ht="15.75" hidden="1" customHeight="1">
      <c r="A2395" s="133" t="s">
        <v>7</v>
      </c>
      <c r="B2395" s="133" t="s">
        <v>2875</v>
      </c>
      <c r="C2395" s="133" t="s">
        <v>1868</v>
      </c>
      <c r="D2395" s="133" t="s">
        <v>477</v>
      </c>
      <c r="E2395" s="158">
        <v>20</v>
      </c>
      <c r="F2395" s="158">
        <v>0</v>
      </c>
      <c r="G2395" s="158">
        <v>0</v>
      </c>
      <c r="H2395" s="133" t="s">
        <v>3093</v>
      </c>
      <c r="I2395" s="133" t="s">
        <v>548</v>
      </c>
      <c r="J2395" s="158">
        <v>0</v>
      </c>
      <c r="K2395" s="159" t="str">
        <f ca="1">IFERROR(__xludf.DUMMYFUNCTION("GOOGLETRANSLATE(H2395,""th"",""en"")"),"Notification status (Pending = is under notification, dismiss = acknowledgment notification)")</f>
        <v>Notification status (Pending = is under notification, dismiss = acknowledgment notification)</v>
      </c>
    </row>
    <row r="2396" spans="1:11" ht="15.75" hidden="1" customHeight="1">
      <c r="A2396" s="133" t="s">
        <v>7</v>
      </c>
      <c r="B2396" s="133" t="s">
        <v>2875</v>
      </c>
      <c r="C2396" s="133" t="s">
        <v>357</v>
      </c>
      <c r="D2396" s="133" t="s">
        <v>484</v>
      </c>
      <c r="E2396" s="158">
        <v>4</v>
      </c>
      <c r="F2396" s="158">
        <v>10</v>
      </c>
      <c r="G2396" s="158">
        <v>0</v>
      </c>
      <c r="H2396" s="133" t="s">
        <v>3094</v>
      </c>
      <c r="I2396" s="133" t="s">
        <v>615</v>
      </c>
      <c r="J2396" s="158">
        <v>0</v>
      </c>
      <c r="K2396" s="159" t="str">
        <f ca="1">IFERROR(__xludf.DUMMYFUNCTION("GOOGLETRANSLATE(H2396,""th"",""en"")"),"Salesperson's branch code")</f>
        <v>Salesperson's branch code</v>
      </c>
    </row>
    <row r="2397" spans="1:11" ht="15.75" hidden="1" customHeight="1">
      <c r="A2397" s="133" t="s">
        <v>7</v>
      </c>
      <c r="B2397" s="133" t="s">
        <v>2875</v>
      </c>
      <c r="C2397" s="133" t="s">
        <v>1871</v>
      </c>
      <c r="D2397" s="133" t="s">
        <v>477</v>
      </c>
      <c r="E2397" s="158">
        <v>100</v>
      </c>
      <c r="F2397" s="158">
        <v>0</v>
      </c>
      <c r="G2397" s="158">
        <v>0</v>
      </c>
      <c r="H2397" s="133" t="s">
        <v>3095</v>
      </c>
      <c r="I2397" s="133" t="s">
        <v>548</v>
      </c>
      <c r="J2397" s="158">
        <v>0</v>
      </c>
      <c r="K2397" s="159" t="str">
        <f ca="1">IFERROR(__xludf.DUMMYFUNCTION("GOOGLETRANSLATE(H2397,""th"",""en"")"),"Branch names that are affiliated with salespeople such as Callcenter, Office Mate, Seacon Branch, ...")</f>
        <v>Branch names that are affiliated with salespeople such as Callcenter, Office Mate, Seacon Branch, ...</v>
      </c>
    </row>
    <row r="2398" spans="1:11" ht="15.75" hidden="1" customHeight="1">
      <c r="A2398" s="133" t="s">
        <v>7</v>
      </c>
      <c r="B2398" s="133" t="s">
        <v>2875</v>
      </c>
      <c r="C2398" s="133" t="s">
        <v>1414</v>
      </c>
      <c r="D2398" s="133" t="s">
        <v>477</v>
      </c>
      <c r="E2398" s="158">
        <v>8</v>
      </c>
      <c r="F2398" s="158">
        <v>0</v>
      </c>
      <c r="G2398" s="158">
        <v>0</v>
      </c>
      <c r="H2398" s="133" t="s">
        <v>3096</v>
      </c>
      <c r="I2398" s="133" t="s">
        <v>548</v>
      </c>
      <c r="J2398" s="158">
        <v>0</v>
      </c>
      <c r="K2398" s="159" t="str">
        <f ca="1">IFERROR(__xludf.DUMMYFUNCTION("GOOGLETRANSLATE(H2398,""th"",""en"")"),"Salesperson code")</f>
        <v>Salesperson code</v>
      </c>
    </row>
    <row r="2399" spans="1:11" ht="15.75" hidden="1" customHeight="1">
      <c r="A2399" s="133" t="s">
        <v>7</v>
      </c>
      <c r="B2399" s="133" t="s">
        <v>2875</v>
      </c>
      <c r="C2399" s="133" t="s">
        <v>3097</v>
      </c>
      <c r="D2399" s="133" t="s">
        <v>477</v>
      </c>
      <c r="E2399" s="158">
        <v>100</v>
      </c>
      <c r="F2399" s="158">
        <v>0</v>
      </c>
      <c r="G2399" s="158">
        <v>0</v>
      </c>
      <c r="H2399" s="133" t="s">
        <v>3098</v>
      </c>
      <c r="I2399" s="133" t="s">
        <v>548</v>
      </c>
      <c r="J2399" s="158">
        <v>0</v>
      </c>
      <c r="K2399" s="159" t="str">
        <f ca="1">IFERROR(__xludf.DUMMYFUNCTION("GOOGLETRANSLATE(H2399,""th"",""en"")"),"Name-surname, salesman")</f>
        <v>Name-surname, salesman</v>
      </c>
    </row>
    <row r="2400" spans="1:11" ht="15.75" hidden="1" customHeight="1">
      <c r="A2400" s="133" t="s">
        <v>7</v>
      </c>
      <c r="B2400" s="133" t="s">
        <v>2875</v>
      </c>
      <c r="C2400" s="133" t="s">
        <v>1872</v>
      </c>
      <c r="D2400" s="133" t="s">
        <v>477</v>
      </c>
      <c r="E2400" s="158">
        <v>8</v>
      </c>
      <c r="F2400" s="158">
        <v>0</v>
      </c>
      <c r="G2400" s="158">
        <v>0</v>
      </c>
      <c r="H2400" s="133" t="s">
        <v>3099</v>
      </c>
      <c r="I2400" s="133" t="s">
        <v>548</v>
      </c>
      <c r="J2400" s="158">
        <v>0</v>
      </c>
      <c r="K2400" s="159" t="str">
        <f ca="1">IFERROR(__xludf.DUMMYFUNCTION("GOOGLETRANSLATE(H2400,""th"",""en"")"),"Level Employee Code, Owner's Owner (ORDER)")</f>
        <v>Level Employee Code, Owner's Owner (ORDER)</v>
      </c>
    </row>
    <row r="2401" spans="1:11" ht="15.75" hidden="1" customHeight="1">
      <c r="A2401" s="133" t="s">
        <v>7</v>
      </c>
      <c r="B2401" s="133" t="s">
        <v>2875</v>
      </c>
      <c r="C2401" s="133" t="s">
        <v>377</v>
      </c>
      <c r="D2401" s="133" t="s">
        <v>477</v>
      </c>
      <c r="E2401" s="158">
        <v>10</v>
      </c>
      <c r="F2401" s="158">
        <v>0</v>
      </c>
      <c r="G2401" s="158">
        <v>0</v>
      </c>
      <c r="H2401" s="133" t="s">
        <v>3100</v>
      </c>
      <c r="I2401" s="133" t="s">
        <v>548</v>
      </c>
      <c r="J2401" s="158">
        <v>0</v>
      </c>
      <c r="K2401" s="159" t="str">
        <f ca="1">IFERROR(__xludf.DUMMYFUNCTION("GOOGLETRANSLATE(H2401,""th"",""en"")"),"Team code of the Creator ORDER, such as KA1, KA2,")</f>
        <v>Team code of the Creator ORDER, such as KA1, KA2,</v>
      </c>
    </row>
    <row r="2402" spans="1:11" ht="15.75" hidden="1" customHeight="1">
      <c r="A2402" s="133" t="s">
        <v>7</v>
      </c>
      <c r="B2402" s="133" t="s">
        <v>2875</v>
      </c>
      <c r="C2402" s="133" t="s">
        <v>1333</v>
      </c>
      <c r="D2402" s="133" t="s">
        <v>477</v>
      </c>
      <c r="E2402" s="158">
        <v>100</v>
      </c>
      <c r="F2402" s="158">
        <v>0</v>
      </c>
      <c r="G2402" s="158">
        <v>0</v>
      </c>
      <c r="H2402" s="133" t="s">
        <v>734</v>
      </c>
      <c r="I2402" s="133" t="s">
        <v>548</v>
      </c>
      <c r="J2402" s="158">
        <v>0</v>
      </c>
      <c r="K2402" s="159" t="str">
        <f ca="1">IFERROR(__xludf.DUMMYFUNCTION("GOOGLETRANSLATE(H2402,""th"",""en"")"),"Creator name")</f>
        <v>Creator name</v>
      </c>
    </row>
    <row r="2403" spans="1:11" ht="15.75" hidden="1" customHeight="1">
      <c r="A2403" s="133" t="s">
        <v>7</v>
      </c>
      <c r="B2403" s="133" t="s">
        <v>2875</v>
      </c>
      <c r="C2403" s="133" t="s">
        <v>1334</v>
      </c>
      <c r="D2403" s="133" t="s">
        <v>477</v>
      </c>
      <c r="E2403" s="158">
        <v>8</v>
      </c>
      <c r="F2403" s="158">
        <v>0</v>
      </c>
      <c r="G2403" s="158">
        <v>0</v>
      </c>
      <c r="H2403" s="133" t="s">
        <v>1282</v>
      </c>
      <c r="I2403" s="133" t="s">
        <v>548</v>
      </c>
      <c r="J2403" s="158">
        <v>0</v>
      </c>
      <c r="K2403" s="159" t="str">
        <f ca="1">IFERROR(__xludf.DUMMYFUNCTION("GOOGLETRANSLATE(H2403,""th"",""en"")"),"Creator code")</f>
        <v>Creator code</v>
      </c>
    </row>
    <row r="2404" spans="1:11" ht="15.75" hidden="1" customHeight="1">
      <c r="A2404" s="133" t="s">
        <v>7</v>
      </c>
      <c r="B2404" s="133" t="s">
        <v>2875</v>
      </c>
      <c r="C2404" s="133" t="s">
        <v>184</v>
      </c>
      <c r="D2404" s="133" t="s">
        <v>538</v>
      </c>
      <c r="E2404" s="158">
        <v>8</v>
      </c>
      <c r="F2404" s="158">
        <v>23</v>
      </c>
      <c r="G2404" s="158">
        <v>3</v>
      </c>
      <c r="H2404" s="133" t="s">
        <v>735</v>
      </c>
      <c r="I2404" s="133" t="s">
        <v>1284</v>
      </c>
      <c r="J2404" s="158">
        <v>0</v>
      </c>
      <c r="K2404" s="159" t="str">
        <f ca="1">IFERROR(__xludf.DUMMYFUNCTION("GOOGLETRANSLATE(H2404,""th"",""en"")"),"Date created")</f>
        <v>Date created</v>
      </c>
    </row>
    <row r="2405" spans="1:11" ht="15.75" hidden="1" customHeight="1">
      <c r="A2405" s="133" t="s">
        <v>7</v>
      </c>
      <c r="B2405" s="133" t="s">
        <v>2875</v>
      </c>
      <c r="C2405" s="133" t="s">
        <v>1335</v>
      </c>
      <c r="D2405" s="133" t="s">
        <v>477</v>
      </c>
      <c r="E2405" s="158">
        <v>100</v>
      </c>
      <c r="F2405" s="158">
        <v>0</v>
      </c>
      <c r="G2405" s="158">
        <v>0</v>
      </c>
      <c r="H2405" s="133" t="s">
        <v>802</v>
      </c>
      <c r="I2405" s="133" t="s">
        <v>548</v>
      </c>
      <c r="J2405" s="158">
        <v>0</v>
      </c>
      <c r="K2405" s="159" t="str">
        <f ca="1">IFERROR(__xludf.DUMMYFUNCTION("GOOGLETRANSLATE(H2405,""th"",""en"")"),"Editor")</f>
        <v>Editor</v>
      </c>
    </row>
    <row r="2406" spans="1:11" ht="15.75" hidden="1" customHeight="1">
      <c r="A2406" s="133" t="s">
        <v>7</v>
      </c>
      <c r="B2406" s="133" t="s">
        <v>2875</v>
      </c>
      <c r="C2406" s="133" t="s">
        <v>1336</v>
      </c>
      <c r="D2406" s="133" t="s">
        <v>477</v>
      </c>
      <c r="E2406" s="158">
        <v>8</v>
      </c>
      <c r="F2406" s="158">
        <v>0</v>
      </c>
      <c r="G2406" s="158">
        <v>0</v>
      </c>
      <c r="H2406" s="133" t="s">
        <v>1922</v>
      </c>
      <c r="I2406" s="133" t="s">
        <v>548</v>
      </c>
      <c r="J2406" s="158">
        <v>0</v>
      </c>
      <c r="K2406" s="159" t="str">
        <f ca="1">IFERROR(__xludf.DUMMYFUNCTION("GOOGLETRANSLATE(H2406,""th"",""en"")"),"Edit code")</f>
        <v>Edit code</v>
      </c>
    </row>
    <row r="2407" spans="1:11" ht="15.75" hidden="1" customHeight="1">
      <c r="A2407" s="133" t="s">
        <v>7</v>
      </c>
      <c r="B2407" s="133" t="s">
        <v>2875</v>
      </c>
      <c r="C2407" s="133" t="s">
        <v>175</v>
      </c>
      <c r="D2407" s="133" t="s">
        <v>538</v>
      </c>
      <c r="E2407" s="158">
        <v>8</v>
      </c>
      <c r="F2407" s="158">
        <v>23</v>
      </c>
      <c r="G2407" s="158">
        <v>3</v>
      </c>
      <c r="H2407" s="133" t="s">
        <v>803</v>
      </c>
      <c r="I2407" s="133" t="s">
        <v>548</v>
      </c>
      <c r="J2407" s="158">
        <v>0</v>
      </c>
      <c r="K2407" s="159" t="str">
        <f ca="1">IFERROR(__xludf.DUMMYFUNCTION("GOOGLETRANSLATE(H2407,""th"",""en"")"),"Edit date")</f>
        <v>Edit date</v>
      </c>
    </row>
    <row r="2408" spans="1:11" ht="15.75" hidden="1" customHeight="1">
      <c r="A2408" s="133" t="s">
        <v>7</v>
      </c>
      <c r="B2408" s="133" t="s">
        <v>2875</v>
      </c>
      <c r="C2408" s="133" t="s">
        <v>1918</v>
      </c>
      <c r="D2408" s="133" t="s">
        <v>481</v>
      </c>
      <c r="E2408" s="158">
        <v>5</v>
      </c>
      <c r="F2408" s="158">
        <v>9</v>
      </c>
      <c r="G2408" s="158">
        <v>2</v>
      </c>
      <c r="H2408" s="133" t="s">
        <v>3101</v>
      </c>
      <c r="I2408" s="133" t="s">
        <v>1223</v>
      </c>
      <c r="J2408" s="158">
        <v>0</v>
      </c>
      <c r="K2408" s="159" t="str">
        <f ca="1">IFERROR(__xludf.DUMMYFUNCTION("GOOGLETRANSLATE(H2408,""th"",""en"")"),"Combine all BYITEM special shipping with the byorder shipping fee. Not including VAT")</f>
        <v>Combine all BYITEM special shipping with the byorder shipping fee. Not including VAT</v>
      </c>
    </row>
    <row r="2409" spans="1:11" ht="15.75" hidden="1" customHeight="1">
      <c r="A2409" s="133" t="s">
        <v>7</v>
      </c>
      <c r="B2409" s="133" t="s">
        <v>2875</v>
      </c>
      <c r="C2409" s="133" t="s">
        <v>1916</v>
      </c>
      <c r="D2409" s="133" t="s">
        <v>481</v>
      </c>
      <c r="E2409" s="158">
        <v>5</v>
      </c>
      <c r="F2409" s="158">
        <v>9</v>
      </c>
      <c r="G2409" s="158">
        <v>2</v>
      </c>
      <c r="H2409" s="133" t="s">
        <v>479</v>
      </c>
      <c r="I2409" s="133" t="s">
        <v>1223</v>
      </c>
      <c r="J2409" s="158">
        <v>0</v>
      </c>
      <c r="K2409" s="159" t="str">
        <f ca="1">IFERROR(__xludf.DUMMYFUNCTION("GOOGLETRANSLATE(H2409,""th"",""en"")"),"Null")</f>
        <v>Null</v>
      </c>
    </row>
    <row r="2410" spans="1:11" ht="15.75" hidden="1" customHeight="1">
      <c r="A2410" s="133" t="s">
        <v>7</v>
      </c>
      <c r="B2410" s="133" t="s">
        <v>2875</v>
      </c>
      <c r="C2410" s="133" t="s">
        <v>3102</v>
      </c>
      <c r="D2410" s="133" t="s">
        <v>477</v>
      </c>
      <c r="E2410" s="158">
        <v>2</v>
      </c>
      <c r="F2410" s="158">
        <v>0</v>
      </c>
      <c r="G2410" s="158">
        <v>0</v>
      </c>
      <c r="H2410" s="133" t="s">
        <v>3103</v>
      </c>
      <c r="I2410" s="133" t="s">
        <v>548</v>
      </c>
      <c r="J2410" s="158">
        <v>0</v>
      </c>
      <c r="K2410" s="159" t="str">
        <f ca="1">IFERROR(__xludf.DUMMYFUNCTION("GOOGLETRANSLATE(H2410,""th"",""en"")"),"Document type, service fee")</f>
        <v>Document type, service fee</v>
      </c>
    </row>
    <row r="2411" spans="1:11" ht="15.75" hidden="1" customHeight="1">
      <c r="A2411" s="133" t="s">
        <v>7</v>
      </c>
      <c r="B2411" s="133" t="s">
        <v>2875</v>
      </c>
      <c r="C2411" s="133" t="s">
        <v>3104</v>
      </c>
      <c r="D2411" s="133" t="s">
        <v>477</v>
      </c>
      <c r="E2411" s="158">
        <v>20</v>
      </c>
      <c r="F2411" s="158">
        <v>0</v>
      </c>
      <c r="G2411" s="158">
        <v>0</v>
      </c>
      <c r="H2411" s="160"/>
      <c r="I2411" s="133" t="s">
        <v>548</v>
      </c>
      <c r="J2411" s="158">
        <v>0</v>
      </c>
      <c r="K2411" s="159" t="str">
        <f ca="1">IFERROR(__xludf.DUMMYFUNCTION("GOOGLETRANSLATE(H2411,""th"",""en"")"),"#VALUE!")</f>
        <v>#VALUE!</v>
      </c>
    </row>
    <row r="2412" spans="1:11" ht="15.75" hidden="1" customHeight="1">
      <c r="A2412" s="133" t="s">
        <v>7</v>
      </c>
      <c r="B2412" s="133" t="s">
        <v>2875</v>
      </c>
      <c r="C2412" s="133" t="s">
        <v>1341</v>
      </c>
      <c r="D2412" s="133" t="s">
        <v>477</v>
      </c>
      <c r="E2412" s="158">
        <v>20</v>
      </c>
      <c r="F2412" s="158">
        <v>0</v>
      </c>
      <c r="G2412" s="158">
        <v>0</v>
      </c>
      <c r="H2412" s="133" t="s">
        <v>479</v>
      </c>
      <c r="I2412" s="133" t="s">
        <v>548</v>
      </c>
      <c r="J2412" s="158">
        <v>0</v>
      </c>
      <c r="K2412" s="159" t="str">
        <f ca="1">IFERROR(__xludf.DUMMYFUNCTION("GOOGLETRANSLATE(H2412,""th"",""en"")"),"Null")</f>
        <v>Null</v>
      </c>
    </row>
    <row r="2413" spans="1:11" ht="15.75" hidden="1" customHeight="1">
      <c r="A2413" s="133" t="s">
        <v>7</v>
      </c>
      <c r="B2413" s="133" t="s">
        <v>2875</v>
      </c>
      <c r="C2413" s="133" t="s">
        <v>3105</v>
      </c>
      <c r="D2413" s="133" t="s">
        <v>481</v>
      </c>
      <c r="E2413" s="158">
        <v>5</v>
      </c>
      <c r="F2413" s="158">
        <v>9</v>
      </c>
      <c r="G2413" s="158">
        <v>2</v>
      </c>
      <c r="H2413" s="133" t="s">
        <v>3106</v>
      </c>
      <c r="I2413" s="133" t="s">
        <v>1223</v>
      </c>
      <c r="J2413" s="158">
        <v>0</v>
      </c>
      <c r="K2413" s="159" t="str">
        <f ca="1">IFERROR(__xludf.DUMMYFUNCTION("GOOGLETRANSLATE(H2413,""th"",""en"")"),"Total total tax (Collect data without changing after confirm status)")</f>
        <v>Total total tax (Collect data without changing after confirm status)</v>
      </c>
    </row>
    <row r="2414" spans="1:11" ht="15.75" hidden="1" customHeight="1">
      <c r="A2414" s="133" t="s">
        <v>7</v>
      </c>
      <c r="B2414" s="133" t="s">
        <v>2875</v>
      </c>
      <c r="C2414" s="133" t="s">
        <v>3107</v>
      </c>
      <c r="D2414" s="133" t="s">
        <v>477</v>
      </c>
      <c r="E2414" s="158">
        <v>50</v>
      </c>
      <c r="F2414" s="158">
        <v>0</v>
      </c>
      <c r="G2414" s="158">
        <v>0</v>
      </c>
      <c r="H2414" s="133" t="s">
        <v>3108</v>
      </c>
      <c r="I2414" s="133" t="s">
        <v>548</v>
      </c>
      <c r="J2414" s="158">
        <v>0</v>
      </c>
      <c r="K2414" s="159" t="str">
        <f ca="1">IFERROR(__xludf.DUMMYFUNCTION("GOOGLETRANSLATE(H2414,""th"",""en"")"),"Main Zone in delivery")</f>
        <v>Main Zone in delivery</v>
      </c>
    </row>
    <row r="2415" spans="1:11" ht="15.75" hidden="1" customHeight="1">
      <c r="A2415" s="133" t="s">
        <v>7</v>
      </c>
      <c r="B2415" s="133" t="s">
        <v>2875</v>
      </c>
      <c r="C2415" s="133" t="s">
        <v>1875</v>
      </c>
      <c r="D2415" s="133" t="s">
        <v>477</v>
      </c>
      <c r="E2415" s="158">
        <v>20</v>
      </c>
      <c r="F2415" s="158">
        <v>0</v>
      </c>
      <c r="G2415" s="158">
        <v>0</v>
      </c>
      <c r="H2415" s="160"/>
      <c r="I2415" s="133" t="s">
        <v>548</v>
      </c>
      <c r="J2415" s="158">
        <v>0</v>
      </c>
      <c r="K2415" s="159" t="str">
        <f ca="1">IFERROR(__xludf.DUMMYFUNCTION("GOOGLETRANSLATE(H2415,""th"",""en"")"),"#VALUE!")</f>
        <v>#VALUE!</v>
      </c>
    </row>
    <row r="2416" spans="1:11" ht="15.75" hidden="1" customHeight="1">
      <c r="A2416" s="133" t="s">
        <v>7</v>
      </c>
      <c r="B2416" s="133" t="s">
        <v>2875</v>
      </c>
      <c r="C2416" s="133" t="s">
        <v>1904</v>
      </c>
      <c r="D2416" s="133" t="s">
        <v>477</v>
      </c>
      <c r="E2416" s="158">
        <v>3</v>
      </c>
      <c r="F2416" s="158">
        <v>0</v>
      </c>
      <c r="G2416" s="158">
        <v>0</v>
      </c>
      <c r="H2416" s="133" t="s">
        <v>1905</v>
      </c>
      <c r="I2416" s="133" t="s">
        <v>596</v>
      </c>
      <c r="J2416" s="158">
        <v>0</v>
      </c>
      <c r="K2416" s="159" t="str">
        <f ca="1">IFERROR(__xludf.DUMMYFUNCTION("GOOGLETRANSLATE(H2416,""th"",""en"")"),"Receive E-Tax information: [yes, no]")</f>
        <v>Receive E-Tax information: [yes, no]</v>
      </c>
    </row>
    <row r="2417" spans="1:11" ht="15.75" hidden="1" customHeight="1">
      <c r="A2417" s="133" t="s">
        <v>7</v>
      </c>
      <c r="B2417" s="133" t="s">
        <v>2875</v>
      </c>
      <c r="C2417" s="133" t="s">
        <v>1906</v>
      </c>
      <c r="D2417" s="133" t="s">
        <v>477</v>
      </c>
      <c r="E2417" s="158">
        <v>3</v>
      </c>
      <c r="F2417" s="158">
        <v>0</v>
      </c>
      <c r="G2417" s="158">
        <v>0</v>
      </c>
      <c r="H2417" s="133" t="s">
        <v>1907</v>
      </c>
      <c r="I2417" s="133" t="s">
        <v>596</v>
      </c>
      <c r="J2417" s="158">
        <v>0</v>
      </c>
      <c r="K2417" s="159" t="str">
        <f ca="1">IFERROR(__xludf.DUMMYFUNCTION("GOOGLETRANSLATE(H2417,""th"",""en"")"),"Want PRINT PAPER E-TAX [YES, NO]")</f>
        <v>Want PRINT PAPER E-TAX [YES, NO]</v>
      </c>
    </row>
    <row r="2418" spans="1:11" ht="15.75" hidden="1" customHeight="1">
      <c r="A2418" s="133" t="s">
        <v>7</v>
      </c>
      <c r="B2418" s="133" t="s">
        <v>2875</v>
      </c>
      <c r="C2418" s="133" t="s">
        <v>3109</v>
      </c>
      <c r="D2418" s="133" t="s">
        <v>477</v>
      </c>
      <c r="E2418" s="158">
        <v>256</v>
      </c>
      <c r="F2418" s="158">
        <v>0</v>
      </c>
      <c r="G2418" s="158">
        <v>0</v>
      </c>
      <c r="H2418" s="133" t="s">
        <v>3110</v>
      </c>
      <c r="I2418" s="133" t="s">
        <v>548</v>
      </c>
      <c r="J2418" s="158">
        <v>0</v>
      </c>
      <c r="K2418" s="159" t="str">
        <f ca="1">IFERROR(__xludf.DUMMYFUNCTION("GOOGLETRANSLATE(H2418,""th"",""en"")"),"Email Receive E-Tax")</f>
        <v>Email Receive E-Tax</v>
      </c>
    </row>
    <row r="2419" spans="1:11" ht="15.75" hidden="1" customHeight="1">
      <c r="A2419" s="133" t="s">
        <v>7</v>
      </c>
      <c r="B2419" s="133" t="s">
        <v>2875</v>
      </c>
      <c r="C2419" s="133" t="s">
        <v>3111</v>
      </c>
      <c r="D2419" s="133" t="s">
        <v>481</v>
      </c>
      <c r="E2419" s="158">
        <v>5</v>
      </c>
      <c r="F2419" s="158">
        <v>9</v>
      </c>
      <c r="G2419" s="158">
        <v>2</v>
      </c>
      <c r="H2419" s="133" t="s">
        <v>3112</v>
      </c>
      <c r="I2419" s="133" t="s">
        <v>615</v>
      </c>
      <c r="J2419" s="158">
        <v>0</v>
      </c>
      <c r="K2419" s="159" t="str">
        <f ca="1">IFERROR(__xludf.DUMMYFUNCTION("GOOGLETRANSLATE(H2419,""th"",""en"")"),"Discounts from Promotion Auto Discount (Excvat)")</f>
        <v>Discounts from Promotion Auto Discount (Excvat)</v>
      </c>
    </row>
    <row r="2420" spans="1:11" ht="15.75" hidden="1" customHeight="1">
      <c r="A2420" s="133" t="s">
        <v>7</v>
      </c>
      <c r="B2420" s="133" t="s">
        <v>2875</v>
      </c>
      <c r="C2420" s="133" t="s">
        <v>3113</v>
      </c>
      <c r="D2420" s="133" t="s">
        <v>481</v>
      </c>
      <c r="E2420" s="158">
        <v>5</v>
      </c>
      <c r="F2420" s="158">
        <v>9</v>
      </c>
      <c r="G2420" s="158">
        <v>2</v>
      </c>
      <c r="H2420" s="133" t="s">
        <v>3114</v>
      </c>
      <c r="I2420" s="133" t="s">
        <v>615</v>
      </c>
      <c r="J2420" s="158">
        <v>0</v>
      </c>
      <c r="K2420" s="159" t="str">
        <f ca="1">IFERROR(__xludf.DUMMYFUNCTION("GOOGLETRANSLATE(H2420,""th"",""en"")"),"Discounts from Promotion Auto Discount (Incvat)")</f>
        <v>Discounts from Promotion Auto Discount (Incvat)</v>
      </c>
    </row>
    <row r="2421" spans="1:11" ht="15.75" hidden="1" customHeight="1">
      <c r="A2421" s="133" t="s">
        <v>7</v>
      </c>
      <c r="B2421" s="133" t="s">
        <v>2875</v>
      </c>
      <c r="C2421" s="133" t="s">
        <v>3115</v>
      </c>
      <c r="D2421" s="133" t="s">
        <v>477</v>
      </c>
      <c r="E2421" s="158">
        <v>3</v>
      </c>
      <c r="F2421" s="158">
        <v>0</v>
      </c>
      <c r="G2421" s="158">
        <v>0</v>
      </c>
      <c r="H2421" s="133" t="s">
        <v>3116</v>
      </c>
      <c r="I2421" s="133" t="s">
        <v>596</v>
      </c>
      <c r="J2421" s="158">
        <v>0</v>
      </c>
      <c r="K2421" s="159" t="str">
        <f ca="1">IFERROR(__xludf.DUMMYFUNCTION("GOOGLETRANSLATE(H2421,""th"",""en"")"),"Flag Collection Press Generate QR Code")</f>
        <v>Flag Collection Press Generate QR Code</v>
      </c>
    </row>
    <row r="2422" spans="1:11" ht="15.75" hidden="1" customHeight="1">
      <c r="A2422" s="133" t="s">
        <v>7</v>
      </c>
      <c r="B2422" s="133" t="s">
        <v>2875</v>
      </c>
      <c r="C2422" s="133" t="s">
        <v>3117</v>
      </c>
      <c r="D2422" s="133" t="s">
        <v>477</v>
      </c>
      <c r="E2422" s="158">
        <v>3</v>
      </c>
      <c r="F2422" s="158">
        <v>0</v>
      </c>
      <c r="G2422" s="158">
        <v>0</v>
      </c>
      <c r="H2422" s="133" t="s">
        <v>3118</v>
      </c>
      <c r="I2422" s="133" t="s">
        <v>596</v>
      </c>
      <c r="J2422" s="158">
        <v>0</v>
      </c>
      <c r="K2422" s="159" t="str">
        <f ca="1">IFERROR(__xludf.DUMMYFUNCTION("GOOGLETRANSLATE(H2422,""th"",""en"")"),"Flag Collection Payment through QR Code Scanning")</f>
        <v>Flag Collection Payment through QR Code Scanning</v>
      </c>
    </row>
    <row r="2423" spans="1:11" ht="15.75" hidden="1" customHeight="1">
      <c r="A2423" s="133" t="s">
        <v>7</v>
      </c>
      <c r="B2423" s="133" t="s">
        <v>2875</v>
      </c>
      <c r="C2423" s="133" t="s">
        <v>3119</v>
      </c>
      <c r="D2423" s="133" t="s">
        <v>481</v>
      </c>
      <c r="E2423" s="158">
        <v>5</v>
      </c>
      <c r="F2423" s="158">
        <v>9</v>
      </c>
      <c r="G2423" s="158">
        <v>2</v>
      </c>
      <c r="H2423" s="133" t="s">
        <v>3120</v>
      </c>
      <c r="I2423" s="133" t="s">
        <v>615</v>
      </c>
      <c r="J2423" s="158">
        <v>0</v>
      </c>
      <c r="K2423" s="159" t="str">
        <f ca="1">IFERROR(__xludf.DUMMYFUNCTION("GOOGLETRANSLATE(H2423,""th"",""en"")"),"The amount that is paid through the QR Code scanning")</f>
        <v>The amount that is paid through the QR Code scanning</v>
      </c>
    </row>
    <row r="2424" spans="1:11" ht="15.75" hidden="1" customHeight="1">
      <c r="A2424" s="133" t="s">
        <v>7</v>
      </c>
      <c r="B2424" s="133" t="s">
        <v>2875</v>
      </c>
      <c r="C2424" s="133" t="s">
        <v>3121</v>
      </c>
      <c r="D2424" s="133" t="s">
        <v>477</v>
      </c>
      <c r="E2424" s="158">
        <v>100</v>
      </c>
      <c r="F2424" s="158">
        <v>0</v>
      </c>
      <c r="G2424" s="158">
        <v>0</v>
      </c>
      <c r="H2424" s="133" t="s">
        <v>3122</v>
      </c>
      <c r="I2424" s="133" t="s">
        <v>548</v>
      </c>
      <c r="J2424" s="158">
        <v>0</v>
      </c>
      <c r="K2424" s="159" t="str">
        <f ca="1">IFERROR(__xludf.DUMMYFUNCTION("GOOGLETRANSLATE(H2424,""th"",""en"")"),"QR UID")</f>
        <v>QR UID</v>
      </c>
    </row>
    <row r="2425" spans="1:11" ht="15.75" hidden="1" customHeight="1">
      <c r="A2425" s="133" t="s">
        <v>7</v>
      </c>
      <c r="B2425" s="133" t="s">
        <v>2875</v>
      </c>
      <c r="C2425" s="133" t="s">
        <v>3123</v>
      </c>
      <c r="D2425" s="133" t="s">
        <v>538</v>
      </c>
      <c r="E2425" s="158">
        <v>8</v>
      </c>
      <c r="F2425" s="158">
        <v>23</v>
      </c>
      <c r="G2425" s="158">
        <v>3</v>
      </c>
      <c r="H2425" s="133" t="s">
        <v>3124</v>
      </c>
      <c r="I2425" s="133" t="s">
        <v>548</v>
      </c>
      <c r="J2425" s="158">
        <v>0</v>
      </c>
      <c r="K2425" s="159" t="str">
        <f ca="1">IFERROR(__xludf.DUMMYFUNCTION("GOOGLETRANSLATE(H2425,""th"",""en"")"),"Date Gen QR Code")</f>
        <v>Date Gen QR Code</v>
      </c>
    </row>
    <row r="2426" spans="1:11" ht="15.75" hidden="1" customHeight="1">
      <c r="A2426" s="133" t="s">
        <v>7</v>
      </c>
      <c r="B2426" s="133" t="s">
        <v>2875</v>
      </c>
      <c r="C2426" s="133" t="s">
        <v>3125</v>
      </c>
      <c r="D2426" s="133" t="s">
        <v>538</v>
      </c>
      <c r="E2426" s="158">
        <v>8</v>
      </c>
      <c r="F2426" s="158">
        <v>23</v>
      </c>
      <c r="G2426" s="158">
        <v>3</v>
      </c>
      <c r="H2426" s="133" t="s">
        <v>3126</v>
      </c>
      <c r="I2426" s="133" t="s">
        <v>548</v>
      </c>
      <c r="J2426" s="158">
        <v>0</v>
      </c>
      <c r="K2426" s="159" t="str">
        <f ca="1">IFERROR(__xludf.DUMMYFUNCTION("GOOGLETRANSLATE(H2426,""th"",""en"")"),"The date that the customer pays with QR Code")</f>
        <v>The date that the customer pays with QR Code</v>
      </c>
    </row>
    <row r="2427" spans="1:11" ht="15.75" hidden="1" customHeight="1">
      <c r="A2427" s="133" t="s">
        <v>7</v>
      </c>
      <c r="B2427" s="133" t="s">
        <v>2875</v>
      </c>
      <c r="C2427" s="133" t="s">
        <v>3127</v>
      </c>
      <c r="D2427" s="133" t="s">
        <v>538</v>
      </c>
      <c r="E2427" s="158">
        <v>8</v>
      </c>
      <c r="F2427" s="158">
        <v>23</v>
      </c>
      <c r="G2427" s="158">
        <v>3</v>
      </c>
      <c r="H2427" s="133" t="s">
        <v>3128</v>
      </c>
      <c r="I2427" s="133" t="s">
        <v>548</v>
      </c>
      <c r="J2427" s="158">
        <v>0</v>
      </c>
      <c r="K2427" s="159" t="str">
        <f ca="1">IFERROR(__xludf.DUMMYFUNCTION("GOOGLETRANSLATE(H2427,""th"",""en"")"),"The date of the QR Code expires")</f>
        <v>The date of the QR Code expires</v>
      </c>
    </row>
    <row r="2428" spans="1:11" ht="15.75" hidden="1" customHeight="1">
      <c r="A2428" s="133" t="s">
        <v>7</v>
      </c>
      <c r="B2428" s="133" t="s">
        <v>2875</v>
      </c>
      <c r="C2428" s="133" t="s">
        <v>3129</v>
      </c>
      <c r="D2428" s="133" t="s">
        <v>477</v>
      </c>
      <c r="E2428" s="158">
        <v>200</v>
      </c>
      <c r="F2428" s="158">
        <v>0</v>
      </c>
      <c r="G2428" s="158">
        <v>0</v>
      </c>
      <c r="H2428" s="133" t="s">
        <v>3130</v>
      </c>
      <c r="I2428" s="133" t="s">
        <v>548</v>
      </c>
      <c r="J2428" s="277">
        <v>1</v>
      </c>
      <c r="K2428" s="159" t="str">
        <f ca="1">IFERROR(__xludf.DUMMYFUNCTION("GOOGLETRANSLATE(H2428,""th"",""en"")"),"Reasons for deleting documents")</f>
        <v>Reasons for deleting documents</v>
      </c>
    </row>
    <row r="2429" spans="1:11" ht="15.75" hidden="1" customHeight="1">
      <c r="A2429" s="133" t="s">
        <v>7</v>
      </c>
      <c r="B2429" s="133" t="s">
        <v>3131</v>
      </c>
      <c r="C2429" s="133" t="s">
        <v>257</v>
      </c>
      <c r="D2429" s="133" t="s">
        <v>477</v>
      </c>
      <c r="E2429" s="158">
        <v>7</v>
      </c>
      <c r="F2429" s="158">
        <v>0</v>
      </c>
      <c r="G2429" s="158">
        <v>0</v>
      </c>
      <c r="H2429" s="133" t="s">
        <v>1130</v>
      </c>
      <c r="I2429" s="133" t="s">
        <v>548</v>
      </c>
      <c r="J2429" s="158">
        <v>0</v>
      </c>
      <c r="K2429" s="159" t="str">
        <f ca="1">IFERROR(__xludf.DUMMYFUNCTION("GOOGLETRANSLATE(H2429,""th"",""en"")"),"Product code")</f>
        <v>Product code</v>
      </c>
    </row>
    <row r="2430" spans="1:11" ht="15.75" hidden="1" customHeight="1">
      <c r="A2430" s="133" t="s">
        <v>7</v>
      </c>
      <c r="B2430" s="133" t="s">
        <v>3131</v>
      </c>
      <c r="C2430" s="133" t="s">
        <v>3132</v>
      </c>
      <c r="D2430" s="133" t="s">
        <v>484</v>
      </c>
      <c r="E2430" s="158">
        <v>4</v>
      </c>
      <c r="F2430" s="158">
        <v>10</v>
      </c>
      <c r="G2430" s="158">
        <v>0</v>
      </c>
      <c r="H2430" s="133" t="s">
        <v>3133</v>
      </c>
      <c r="I2430" s="133" t="s">
        <v>615</v>
      </c>
      <c r="J2430" s="158">
        <v>0</v>
      </c>
      <c r="K2430" s="159" t="str">
        <f ca="1">IFERROR(__xludf.DUMMYFUNCTION("GOOGLETRANSLATE(H2430,""th"",""en"")"),"The number of products lifted from last month")</f>
        <v>The number of products lifted from last month</v>
      </c>
    </row>
    <row r="2431" spans="1:11" ht="15.75" hidden="1" customHeight="1">
      <c r="A2431" s="133" t="s">
        <v>7</v>
      </c>
      <c r="B2431" s="133" t="s">
        <v>3131</v>
      </c>
      <c r="C2431" s="133" t="s">
        <v>3134</v>
      </c>
      <c r="D2431" s="133" t="s">
        <v>481</v>
      </c>
      <c r="E2431" s="158">
        <v>5</v>
      </c>
      <c r="F2431" s="158">
        <v>9</v>
      </c>
      <c r="G2431" s="158">
        <v>2</v>
      </c>
      <c r="H2431" s="133" t="s">
        <v>3135</v>
      </c>
      <c r="I2431" s="133" t="s">
        <v>615</v>
      </c>
      <c r="J2431" s="158">
        <v>0</v>
      </c>
      <c r="K2431" s="159" t="str">
        <f ca="1">IFERROR(__xludf.DUMMYFUNCTION("GOOGLETRANSLATE(H2431,""th"",""en"")"),"Product costs in Basic Unit units are quoted from last month.")</f>
        <v>Product costs in Basic Unit units are quoted from last month.</v>
      </c>
    </row>
    <row r="2432" spans="1:11" ht="15.75" hidden="1" customHeight="1">
      <c r="A2432" s="133" t="s">
        <v>7</v>
      </c>
      <c r="B2432" s="133" t="s">
        <v>3131</v>
      </c>
      <c r="C2432" s="133" t="s">
        <v>3136</v>
      </c>
      <c r="D2432" s="133" t="s">
        <v>481</v>
      </c>
      <c r="E2432" s="158">
        <v>9</v>
      </c>
      <c r="F2432" s="158">
        <v>18</v>
      </c>
      <c r="G2432" s="158">
        <v>2</v>
      </c>
      <c r="H2432" s="133" t="s">
        <v>3137</v>
      </c>
      <c r="I2432" s="133" t="s">
        <v>615</v>
      </c>
      <c r="J2432" s="158">
        <v>0</v>
      </c>
      <c r="K2432" s="159" t="str">
        <f ca="1">IFERROR(__xludf.DUMMYFUNCTION("GOOGLETRANSLATE(H2432,""th"",""en"")"),"All products Quoted from last month")</f>
        <v>All products Quoted from last month</v>
      </c>
    </row>
    <row r="2433" spans="1:11" ht="15.75" hidden="1" customHeight="1">
      <c r="A2433" s="133" t="s">
        <v>7</v>
      </c>
      <c r="B2433" s="133" t="s">
        <v>3131</v>
      </c>
      <c r="C2433" s="133" t="s">
        <v>3138</v>
      </c>
      <c r="D2433" s="133" t="s">
        <v>484</v>
      </c>
      <c r="E2433" s="158">
        <v>4</v>
      </c>
      <c r="F2433" s="158">
        <v>10</v>
      </c>
      <c r="G2433" s="158">
        <v>0</v>
      </c>
      <c r="H2433" s="133" t="s">
        <v>3139</v>
      </c>
      <c r="I2433" s="133" t="s">
        <v>615</v>
      </c>
      <c r="J2433" s="158">
        <v>0</v>
      </c>
      <c r="K2433" s="159" t="str">
        <f ca="1">IFERROR(__xludf.DUMMYFUNCTION("GOOGLETRANSLATE(H2433,""th"",""en"")"),"The amount of Basic that we can buy, such as having to buy 10 boxes, Vendor to sell")</f>
        <v>The amount of Basic that we can buy, such as having to buy 10 boxes, Vendor to sell</v>
      </c>
    </row>
    <row r="2434" spans="1:11" ht="15.75" hidden="1" customHeight="1">
      <c r="A2434" s="133" t="s">
        <v>7</v>
      </c>
      <c r="B2434" s="133" t="s">
        <v>3131</v>
      </c>
      <c r="C2434" s="133" t="s">
        <v>3140</v>
      </c>
      <c r="D2434" s="133" t="s">
        <v>484</v>
      </c>
      <c r="E2434" s="158">
        <v>4</v>
      </c>
      <c r="F2434" s="158">
        <v>10</v>
      </c>
      <c r="G2434" s="158">
        <v>0</v>
      </c>
      <c r="H2434" s="133" t="s">
        <v>3141</v>
      </c>
      <c r="I2434" s="133" t="s">
        <v>615</v>
      </c>
      <c r="J2434" s="158">
        <v>0</v>
      </c>
      <c r="K2434" s="159" t="str">
        <f ca="1">IFERROR(__xludf.DUMMYFUNCTION("GOOGLETRANSLATE(H2434,""th"",""en"")"),"Purchasing. The minimum quantity of products in stock (but still ordered as round)")</f>
        <v>Purchasing. The minimum quantity of products in stock (but still ordered as round)</v>
      </c>
    </row>
    <row r="2435" spans="1:11" ht="15.75" hidden="1" customHeight="1">
      <c r="A2435" s="133" t="s">
        <v>7</v>
      </c>
      <c r="B2435" s="133" t="s">
        <v>3131</v>
      </c>
      <c r="C2435" s="133" t="s">
        <v>3142</v>
      </c>
      <c r="D2435" s="133" t="s">
        <v>484</v>
      </c>
      <c r="E2435" s="158">
        <v>4</v>
      </c>
      <c r="F2435" s="158">
        <v>10</v>
      </c>
      <c r="G2435" s="158">
        <v>0</v>
      </c>
      <c r="H2435" s="133" t="s">
        <v>3143</v>
      </c>
      <c r="I2435" s="133" t="s">
        <v>615</v>
      </c>
      <c r="J2435" s="158">
        <v>0</v>
      </c>
      <c r="K2435" s="159" t="str">
        <f ca="1">IFERROR(__xludf.DUMMYFUNCTION("GOOGLETRANSLATE(H2435,""th"",""en"")"),"Purchasing. Maximum amount of products in stock")</f>
        <v>Purchasing. Maximum amount of products in stock</v>
      </c>
    </row>
    <row r="2436" spans="1:11" ht="15.75" hidden="1" customHeight="1">
      <c r="A2436" s="133" t="s">
        <v>7</v>
      </c>
      <c r="B2436" s="133" t="s">
        <v>3131</v>
      </c>
      <c r="C2436" s="133" t="s">
        <v>3144</v>
      </c>
      <c r="D2436" s="133" t="s">
        <v>484</v>
      </c>
      <c r="E2436" s="158">
        <v>4</v>
      </c>
      <c r="F2436" s="158">
        <v>10</v>
      </c>
      <c r="G2436" s="158">
        <v>0</v>
      </c>
      <c r="H2436" s="133" t="s">
        <v>3145</v>
      </c>
      <c r="I2436" s="133" t="s">
        <v>615</v>
      </c>
      <c r="J2436" s="158">
        <v>0</v>
      </c>
      <c r="K2436" s="159" t="str">
        <f ca="1">IFERROR(__xludf.DUMMYFUNCTION("GOOGLETRANSLATE(H2436,""th"",""en"")"),"Critical Qty points if the number of products in stock is lower than this must be ordered immediately.")</f>
        <v>Critical Qty points if the number of products in stock is lower than this must be ordered immediately.</v>
      </c>
    </row>
    <row r="2437" spans="1:11" ht="15.75" hidden="1" customHeight="1">
      <c r="A2437" s="133" t="s">
        <v>7</v>
      </c>
      <c r="B2437" s="133" t="s">
        <v>3131</v>
      </c>
      <c r="C2437" s="133" t="s">
        <v>3146</v>
      </c>
      <c r="D2437" s="133" t="s">
        <v>496</v>
      </c>
      <c r="E2437" s="158">
        <v>4</v>
      </c>
      <c r="F2437" s="158">
        <v>16</v>
      </c>
      <c r="G2437" s="158">
        <v>0</v>
      </c>
      <c r="H2437" s="133" t="s">
        <v>3147</v>
      </c>
      <c r="I2437" s="133" t="s">
        <v>548</v>
      </c>
      <c r="J2437" s="158">
        <v>0</v>
      </c>
      <c r="K2437" s="159" t="str">
        <f ca="1">IFERROR(__xludf.DUMMYFUNCTION("GOOGLETRANSLATE(H2437,""th"",""en"")"),"Last purchase date")</f>
        <v>Last purchase date</v>
      </c>
    </row>
    <row r="2438" spans="1:11" ht="15.75" hidden="1" customHeight="1">
      <c r="A2438" s="133" t="s">
        <v>7</v>
      </c>
      <c r="B2438" s="133" t="s">
        <v>3131</v>
      </c>
      <c r="C2438" s="133" t="s">
        <v>3148</v>
      </c>
      <c r="D2438" s="133" t="s">
        <v>481</v>
      </c>
      <c r="E2438" s="158">
        <v>5</v>
      </c>
      <c r="F2438" s="158">
        <v>9</v>
      </c>
      <c r="G2438" s="158">
        <v>2</v>
      </c>
      <c r="H2438" s="133" t="s">
        <v>3149</v>
      </c>
      <c r="I2438" s="133" t="s">
        <v>1223</v>
      </c>
      <c r="J2438" s="158">
        <v>0</v>
      </c>
      <c r="K2438" s="159" t="str">
        <f ca="1">IFERROR(__xludf.DUMMYFUNCTION("GOOGLETRANSLATE(H2438,""th"",""en"")"),"The cost of the latest purchase")</f>
        <v>The cost of the latest purchase</v>
      </c>
    </row>
    <row r="2439" spans="1:11" ht="15.75" hidden="1" customHeight="1">
      <c r="A2439" s="133" t="s">
        <v>7</v>
      </c>
      <c r="B2439" s="133" t="s">
        <v>3131</v>
      </c>
      <c r="C2439" s="133" t="s">
        <v>3150</v>
      </c>
      <c r="D2439" s="133" t="s">
        <v>496</v>
      </c>
      <c r="E2439" s="158">
        <v>4</v>
      </c>
      <c r="F2439" s="158">
        <v>16</v>
      </c>
      <c r="G2439" s="158">
        <v>0</v>
      </c>
      <c r="H2439" s="133" t="s">
        <v>3151</v>
      </c>
      <c r="I2439" s="133" t="s">
        <v>548</v>
      </c>
      <c r="J2439" s="158">
        <v>0</v>
      </c>
      <c r="K2439" s="159" t="str">
        <f ca="1">IFERROR(__xludf.DUMMYFUNCTION("GOOGLETRANSLATE(H2439,""th"",""en"")"),"Last selling products")</f>
        <v>Last selling products</v>
      </c>
    </row>
    <row r="2440" spans="1:11" ht="15.75" hidden="1" customHeight="1">
      <c r="A2440" s="133" t="s">
        <v>7</v>
      </c>
      <c r="B2440" s="133" t="s">
        <v>3131</v>
      </c>
      <c r="C2440" s="133" t="s">
        <v>3152</v>
      </c>
      <c r="D2440" s="133" t="s">
        <v>484</v>
      </c>
      <c r="E2440" s="158">
        <v>4</v>
      </c>
      <c r="F2440" s="158">
        <v>10</v>
      </c>
      <c r="G2440" s="158">
        <v>0</v>
      </c>
      <c r="H2440" s="133" t="s">
        <v>3153</v>
      </c>
      <c r="I2440" s="133" t="s">
        <v>615</v>
      </c>
      <c r="J2440" s="158">
        <v>0</v>
      </c>
      <c r="K2440" s="159" t="str">
        <f ca="1">IFERROR(__xludf.DUMMYFUNCTION("GOOGLETRANSLATE(H2440,""th"",""en"")"),"Quantity. The number of products that are in the order")</f>
        <v>Quantity. The number of products that are in the order</v>
      </c>
    </row>
    <row r="2441" spans="1:11" ht="15.75" hidden="1" customHeight="1">
      <c r="A2441" s="133" t="s">
        <v>7</v>
      </c>
      <c r="B2441" s="133" t="s">
        <v>3131</v>
      </c>
      <c r="C2441" s="133" t="s">
        <v>3154</v>
      </c>
      <c r="D2441" s="133" t="s">
        <v>477</v>
      </c>
      <c r="E2441" s="158">
        <v>3</v>
      </c>
      <c r="F2441" s="158">
        <v>0</v>
      </c>
      <c r="G2441" s="158">
        <v>0</v>
      </c>
      <c r="H2441" s="133" t="s">
        <v>3155</v>
      </c>
      <c r="I2441" s="133" t="s">
        <v>548</v>
      </c>
      <c r="J2441" s="158">
        <v>0</v>
      </c>
      <c r="K2441" s="159" t="str">
        <f ca="1">IFERROR(__xludf.DUMMYFUNCTION("GOOGLETRANSLATE(H2441,""th"",""en"")"),"Which product is in the quadrant? (Q1-Q4)")</f>
        <v>Which product is in the quadrant? (Q1-Q4)</v>
      </c>
    </row>
    <row r="2442" spans="1:11" ht="15.75" hidden="1" customHeight="1">
      <c r="A2442" s="133" t="s">
        <v>7</v>
      </c>
      <c r="B2442" s="133" t="s">
        <v>3131</v>
      </c>
      <c r="C2442" s="133" t="s">
        <v>523</v>
      </c>
      <c r="D2442" s="133" t="s">
        <v>477</v>
      </c>
      <c r="E2442" s="158">
        <v>8</v>
      </c>
      <c r="F2442" s="158">
        <v>0</v>
      </c>
      <c r="G2442" s="158">
        <v>0</v>
      </c>
      <c r="H2442" s="133" t="s">
        <v>3156</v>
      </c>
      <c r="I2442" s="133" t="s">
        <v>548</v>
      </c>
      <c r="J2442" s="158">
        <v>0</v>
      </c>
      <c r="K2442" s="159" t="str">
        <f ca="1">IFERROR(__xludf.DUMMYFUNCTION("GOOGLETRANSLATE(H2442,""th"",""en"")"),"Employee code created")</f>
        <v>Employee code created</v>
      </c>
    </row>
    <row r="2443" spans="1:11" ht="15.75" hidden="1" customHeight="1">
      <c r="A2443" s="133" t="s">
        <v>7</v>
      </c>
      <c r="B2443" s="133" t="s">
        <v>3131</v>
      </c>
      <c r="C2443" s="133" t="s">
        <v>669</v>
      </c>
      <c r="D2443" s="133" t="s">
        <v>800</v>
      </c>
      <c r="E2443" s="158">
        <v>8</v>
      </c>
      <c r="F2443" s="158">
        <v>27</v>
      </c>
      <c r="G2443" s="158">
        <v>7</v>
      </c>
      <c r="H2443" s="133" t="s">
        <v>735</v>
      </c>
      <c r="I2443" s="133" t="s">
        <v>801</v>
      </c>
      <c r="J2443" s="158">
        <v>0</v>
      </c>
      <c r="K2443" s="159" t="str">
        <f ca="1">IFERROR(__xludf.DUMMYFUNCTION("GOOGLETRANSLATE(H2443,""th"",""en"")"),"Date created")</f>
        <v>Date created</v>
      </c>
    </row>
    <row r="2444" spans="1:11" ht="15.75" hidden="1" customHeight="1">
      <c r="A2444" s="133" t="s">
        <v>7</v>
      </c>
      <c r="B2444" s="133" t="s">
        <v>3131</v>
      </c>
      <c r="C2444" s="133" t="s">
        <v>670</v>
      </c>
      <c r="D2444" s="133" t="s">
        <v>477</v>
      </c>
      <c r="E2444" s="158">
        <v>8</v>
      </c>
      <c r="F2444" s="158">
        <v>0</v>
      </c>
      <c r="G2444" s="158">
        <v>0</v>
      </c>
      <c r="H2444" s="133" t="s">
        <v>3157</v>
      </c>
      <c r="I2444" s="133" t="s">
        <v>548</v>
      </c>
      <c r="J2444" s="158">
        <v>0</v>
      </c>
      <c r="K2444" s="159" t="str">
        <f ca="1">IFERROR(__xludf.DUMMYFUNCTION("GOOGLETRANSLATE(H2444,""th"",""en"")"),"Employee code fixed")</f>
        <v>Employee code fixed</v>
      </c>
    </row>
    <row r="2445" spans="1:11" ht="15.75" hidden="1" customHeight="1">
      <c r="A2445" s="133" t="s">
        <v>7</v>
      </c>
      <c r="B2445" s="133" t="s">
        <v>3131</v>
      </c>
      <c r="C2445" s="133" t="s">
        <v>215</v>
      </c>
      <c r="D2445" s="133" t="s">
        <v>800</v>
      </c>
      <c r="E2445" s="158">
        <v>8</v>
      </c>
      <c r="F2445" s="158">
        <v>27</v>
      </c>
      <c r="G2445" s="158">
        <v>7</v>
      </c>
      <c r="H2445" s="133" t="s">
        <v>803</v>
      </c>
      <c r="I2445" s="133" t="s">
        <v>801</v>
      </c>
      <c r="J2445" s="158">
        <v>0</v>
      </c>
      <c r="K2445" s="159" t="str">
        <f ca="1">IFERROR(__xludf.DUMMYFUNCTION("GOOGLETRANSLATE(H2445,""th"",""en"")"),"Edit date")</f>
        <v>Edit date</v>
      </c>
    </row>
    <row r="2446" spans="1:11" ht="15.75" hidden="1" customHeight="1">
      <c r="A2446" s="133" t="s">
        <v>7</v>
      </c>
      <c r="B2446" s="133" t="s">
        <v>3131</v>
      </c>
      <c r="C2446" s="133" t="s">
        <v>1147</v>
      </c>
      <c r="D2446" s="133" t="s">
        <v>481</v>
      </c>
      <c r="E2446" s="158">
        <v>5</v>
      </c>
      <c r="F2446" s="158">
        <v>9</v>
      </c>
      <c r="G2446" s="158">
        <v>2</v>
      </c>
      <c r="H2446" s="133" t="s">
        <v>3158</v>
      </c>
      <c r="I2446" s="133" t="s">
        <v>1223</v>
      </c>
      <c r="J2446" s="158">
        <v>0</v>
      </c>
      <c r="K2446" s="159" t="str">
        <f ca="1">IFERROR(__xludf.DUMMYFUNCTION("GOOGLETRANSLATE(H2446,""th"",""en"")"),"Average Cost average cost price")</f>
        <v>Average Cost average cost price</v>
      </c>
    </row>
    <row r="2447" spans="1:11" ht="15.75" hidden="1" customHeight="1">
      <c r="A2447" s="133" t="s">
        <v>7</v>
      </c>
      <c r="B2447" s="133" t="s">
        <v>3131</v>
      </c>
      <c r="C2447" s="133" t="s">
        <v>3159</v>
      </c>
      <c r="D2447" s="133" t="s">
        <v>481</v>
      </c>
      <c r="E2447" s="158">
        <v>9</v>
      </c>
      <c r="F2447" s="158">
        <v>18</v>
      </c>
      <c r="G2447" s="158">
        <v>2</v>
      </c>
      <c r="H2447" s="133" t="s">
        <v>3160</v>
      </c>
      <c r="I2447" s="133" t="s">
        <v>1223</v>
      </c>
      <c r="J2447" s="158">
        <v>0</v>
      </c>
      <c r="K2447" s="159" t="str">
        <f ca="1">IFERROR(__xludf.DUMMYFUNCTION("GOOGLETRANSLATE(H2447,""th"",""en"")"),"Average Amount, total cost price")</f>
        <v>Average Amount, total cost price</v>
      </c>
    </row>
    <row r="2448" spans="1:11" ht="15.75" hidden="1" customHeight="1">
      <c r="A2448" s="133" t="s">
        <v>7</v>
      </c>
      <c r="B2448" s="133" t="s">
        <v>3131</v>
      </c>
      <c r="C2448" s="133" t="s">
        <v>3161</v>
      </c>
      <c r="D2448" s="133" t="s">
        <v>477</v>
      </c>
      <c r="E2448" s="158">
        <v>20</v>
      </c>
      <c r="F2448" s="158">
        <v>0</v>
      </c>
      <c r="G2448" s="158">
        <v>0</v>
      </c>
      <c r="H2448" s="133" t="s">
        <v>3162</v>
      </c>
      <c r="I2448" s="133" t="s">
        <v>548</v>
      </c>
      <c r="J2448" s="158">
        <v>0</v>
      </c>
      <c r="K2448" s="159" t="str">
        <f ca="1">IFERROR(__xludf.DUMMYFUNCTION("GOOGLETRANSLATE(H2448,""th"",""en"")"),"Products attached Obsolete (NEW = will provide flag n before WARNING = 30 days, WARNING will provide the flag w product before attaching o = 30 days, obsolescence products. OBS already in accordance with the conditions in the system (can't be corrected).")</f>
        <v>Products attached Obsolete (NEW = will provide flag n before WARNING = 30 days, WARNING will provide the flag w product before attaching o = 30 days, obsolescence products. OBS already in accordance with the conditions in the system (can't be corrected).</v>
      </c>
    </row>
    <row r="2449" spans="1:11" ht="15.75" hidden="1" customHeight="1">
      <c r="A2449" s="133" t="s">
        <v>7</v>
      </c>
      <c r="B2449" s="133" t="s">
        <v>3131</v>
      </c>
      <c r="C2449" s="133" t="s">
        <v>3163</v>
      </c>
      <c r="D2449" s="133" t="s">
        <v>477</v>
      </c>
      <c r="E2449" s="158">
        <v>20</v>
      </c>
      <c r="F2449" s="158">
        <v>0</v>
      </c>
      <c r="G2449" s="158">
        <v>0</v>
      </c>
      <c r="H2449" s="133" t="s">
        <v>3162</v>
      </c>
      <c r="I2449" s="133" t="s">
        <v>548</v>
      </c>
      <c r="J2449" s="158">
        <v>0</v>
      </c>
      <c r="K2449" s="159" t="str">
        <f ca="1">IFERROR(__xludf.DUMMYFUNCTION("GOOGLETRANSLATE(H2449,""th"",""en"")"),"Products attached Obsolete (NEW = will provide flag n before WARNING = 30 days, WARNING will provide the flag w product before attaching o = 30 days, obsolescence products. OBS already in accordance with the conditions in the system (can't be corrected).")</f>
        <v>Products attached Obsolete (NEW = will provide flag n before WARNING = 30 days, WARNING will provide the flag w product before attaching o = 30 days, obsolescence products. OBS already in accordance with the conditions in the system (can't be corrected).</v>
      </c>
    </row>
    <row r="2450" spans="1:11" ht="15.75" hidden="1" customHeight="1">
      <c r="A2450" s="133" t="s">
        <v>7</v>
      </c>
      <c r="B2450" s="133" t="s">
        <v>3131</v>
      </c>
      <c r="C2450" s="133" t="s">
        <v>3164</v>
      </c>
      <c r="D2450" s="133" t="s">
        <v>496</v>
      </c>
      <c r="E2450" s="158">
        <v>4</v>
      </c>
      <c r="F2450" s="158">
        <v>16</v>
      </c>
      <c r="G2450" s="158">
        <v>0</v>
      </c>
      <c r="H2450" s="133" t="s">
        <v>3165</v>
      </c>
      <c r="I2450" s="133" t="s">
        <v>548</v>
      </c>
      <c r="J2450" s="158">
        <v>0</v>
      </c>
      <c r="K2450" s="159" t="str">
        <f ca="1">IFERROR(__xludf.DUMMYFUNCTION("GOOGLETRANSLATE(H2450,""th"",""en"")"),"Date of the latest Adj in")</f>
        <v>Date of the latest Adj in</v>
      </c>
    </row>
    <row r="2451" spans="1:11" ht="15.75" hidden="1" customHeight="1">
      <c r="A2451" s="133" t="s">
        <v>7</v>
      </c>
      <c r="B2451" s="133" t="s">
        <v>3131</v>
      </c>
      <c r="C2451" s="133" t="s">
        <v>3166</v>
      </c>
      <c r="D2451" s="133" t="s">
        <v>496</v>
      </c>
      <c r="E2451" s="158">
        <v>4</v>
      </c>
      <c r="F2451" s="158">
        <v>16</v>
      </c>
      <c r="G2451" s="158">
        <v>0</v>
      </c>
      <c r="H2451" s="133" t="s">
        <v>3167</v>
      </c>
      <c r="I2451" s="133" t="s">
        <v>548</v>
      </c>
      <c r="J2451" s="158">
        <v>0</v>
      </c>
      <c r="K2451" s="159" t="str">
        <f ca="1">IFERROR(__xludf.DUMMYFUNCTION("GOOGLETRANSLATE(H2451,""th"",""en"")"),"The latest Adj Out date")</f>
        <v>The latest Adj Out date</v>
      </c>
    </row>
    <row r="2452" spans="1:11" ht="15.75" hidden="1" customHeight="1">
      <c r="A2452" s="133" t="s">
        <v>7</v>
      </c>
      <c r="B2452" s="133" t="s">
        <v>3131</v>
      </c>
      <c r="C2452" s="133" t="s">
        <v>3168</v>
      </c>
      <c r="D2452" s="133" t="s">
        <v>496</v>
      </c>
      <c r="E2452" s="158">
        <v>4</v>
      </c>
      <c r="F2452" s="158">
        <v>16</v>
      </c>
      <c r="G2452" s="158">
        <v>0</v>
      </c>
      <c r="H2452" s="133" t="s">
        <v>3169</v>
      </c>
      <c r="I2452" s="133" t="s">
        <v>548</v>
      </c>
      <c r="J2452" s="158">
        <v>0</v>
      </c>
      <c r="K2452" s="159" t="str">
        <f ca="1">IFERROR(__xludf.DUMMYFUNCTION("GOOGLETRANSLATE(H2452,""th"",""en"")"),"Last Transfer In Date")</f>
        <v>Last Transfer In Date</v>
      </c>
    </row>
    <row r="2453" spans="1:11" ht="15.75" hidden="1" customHeight="1">
      <c r="A2453" s="133" t="s">
        <v>7</v>
      </c>
      <c r="B2453" s="133" t="s">
        <v>3131</v>
      </c>
      <c r="C2453" s="133" t="s">
        <v>3170</v>
      </c>
      <c r="D2453" s="133" t="s">
        <v>496</v>
      </c>
      <c r="E2453" s="158">
        <v>4</v>
      </c>
      <c r="F2453" s="158">
        <v>16</v>
      </c>
      <c r="G2453" s="158">
        <v>0</v>
      </c>
      <c r="H2453" s="133" t="s">
        <v>3171</v>
      </c>
      <c r="I2453" s="133" t="s">
        <v>548</v>
      </c>
      <c r="J2453" s="158">
        <v>0</v>
      </c>
      <c r="K2453" s="159" t="str">
        <f ca="1">IFERROR(__xludf.DUMMYFUNCTION("GOOGLETRANSLATE(H2453,""th"",""en"")"),"Last Transfer Out Date")</f>
        <v>Last Transfer Out Date</v>
      </c>
    </row>
    <row r="2454" spans="1:11" ht="15.75" hidden="1" customHeight="1">
      <c r="A2454" s="133" t="s">
        <v>7</v>
      </c>
      <c r="B2454" s="133" t="s">
        <v>3131</v>
      </c>
      <c r="C2454" s="133" t="s">
        <v>3172</v>
      </c>
      <c r="D2454" s="133" t="s">
        <v>496</v>
      </c>
      <c r="E2454" s="158">
        <v>4</v>
      </c>
      <c r="F2454" s="158">
        <v>16</v>
      </c>
      <c r="G2454" s="158">
        <v>0</v>
      </c>
      <c r="H2454" s="133" t="s">
        <v>3173</v>
      </c>
      <c r="I2454" s="133" t="s">
        <v>548</v>
      </c>
      <c r="J2454" s="158">
        <v>0</v>
      </c>
      <c r="K2454" s="159" t="str">
        <f ca="1">IFERROR(__xludf.DUMMYFUNCTION("GOOGLETRANSLATE(H2454,""th"",""en"")"),"Latest RTV")</f>
        <v>Latest RTV</v>
      </c>
    </row>
    <row r="2455" spans="1:11" ht="15.75" hidden="1" customHeight="1">
      <c r="A2455" s="133" t="s">
        <v>7</v>
      </c>
      <c r="B2455" s="133" t="s">
        <v>3131</v>
      </c>
      <c r="C2455" s="133" t="s">
        <v>3174</v>
      </c>
      <c r="D2455" s="133" t="s">
        <v>496</v>
      </c>
      <c r="E2455" s="158">
        <v>4</v>
      </c>
      <c r="F2455" s="158">
        <v>16</v>
      </c>
      <c r="G2455" s="158">
        <v>0</v>
      </c>
      <c r="H2455" s="133" t="s">
        <v>3175</v>
      </c>
      <c r="I2455" s="133" t="s">
        <v>548</v>
      </c>
      <c r="J2455" s="158">
        <v>0</v>
      </c>
      <c r="K2455" s="159" t="str">
        <f ca="1">IFERROR(__xludf.DUMMYFUNCTION("GOOGLETRANSLATE(H2455,""th"",""en"")"),"Last salereturn date")</f>
        <v>Last salereturn date</v>
      </c>
    </row>
    <row r="2456" spans="1:11" ht="15.75" hidden="1" customHeight="1">
      <c r="A2456" s="133" t="s">
        <v>7</v>
      </c>
      <c r="B2456" s="133" t="s">
        <v>3131</v>
      </c>
      <c r="C2456" s="133" t="s">
        <v>814</v>
      </c>
      <c r="D2456" s="133" t="s">
        <v>477</v>
      </c>
      <c r="E2456" s="158">
        <v>100</v>
      </c>
      <c r="F2456" s="158">
        <v>0</v>
      </c>
      <c r="G2456" s="158">
        <v>0</v>
      </c>
      <c r="H2456" s="133" t="s">
        <v>815</v>
      </c>
      <c r="I2456" s="133" t="s">
        <v>548</v>
      </c>
      <c r="J2456" s="158">
        <v>0</v>
      </c>
      <c r="K2456" s="159" t="str">
        <f ca="1">IFERROR(__xludf.DUMMYFUNCTION("GOOGLETRANSLATE(H2456,""th"",""en"")"),"Information Creator Name")</f>
        <v>Information Creator Name</v>
      </c>
    </row>
    <row r="2457" spans="1:11" ht="15.75" hidden="1" customHeight="1">
      <c r="A2457" s="133" t="s">
        <v>7</v>
      </c>
      <c r="B2457" s="133" t="s">
        <v>3131</v>
      </c>
      <c r="C2457" s="133" t="s">
        <v>816</v>
      </c>
      <c r="D2457" s="133" t="s">
        <v>477</v>
      </c>
      <c r="E2457" s="158">
        <v>100</v>
      </c>
      <c r="F2457" s="158">
        <v>0</v>
      </c>
      <c r="G2457" s="158">
        <v>0</v>
      </c>
      <c r="H2457" s="133" t="s">
        <v>817</v>
      </c>
      <c r="I2457" s="133" t="s">
        <v>548</v>
      </c>
      <c r="J2457" s="158">
        <v>0</v>
      </c>
      <c r="K2457" s="159" t="str">
        <f ca="1">IFERROR(__xludf.DUMMYFUNCTION("GOOGLETRANSLATE(H2457,""th"",""en"")"),"Latest information")</f>
        <v>Latest information</v>
      </c>
    </row>
    <row r="2458" spans="1:11" ht="15.75" hidden="1" customHeight="1">
      <c r="A2458" s="133" t="s">
        <v>7</v>
      </c>
      <c r="B2458" s="133" t="s">
        <v>3176</v>
      </c>
      <c r="C2458" s="133" t="s">
        <v>253</v>
      </c>
      <c r="D2458" s="133" t="s">
        <v>477</v>
      </c>
      <c r="E2458" s="158">
        <v>7</v>
      </c>
      <c r="F2458" s="158">
        <v>0</v>
      </c>
      <c r="G2458" s="158">
        <v>0</v>
      </c>
      <c r="H2458" s="133" t="s">
        <v>1130</v>
      </c>
      <c r="I2458" s="133" t="s">
        <v>548</v>
      </c>
      <c r="J2458" s="158">
        <v>0</v>
      </c>
      <c r="K2458" s="159" t="str">
        <f ca="1">IFERROR(__xludf.DUMMYFUNCTION("GOOGLETRANSLATE(H2458,""th"",""en"")"),"Product code")</f>
        <v>Product code</v>
      </c>
    </row>
    <row r="2459" spans="1:11" ht="15.75" hidden="1" customHeight="1">
      <c r="A2459" s="133" t="s">
        <v>7</v>
      </c>
      <c r="B2459" s="133" t="s">
        <v>3176</v>
      </c>
      <c r="C2459" s="133" t="s">
        <v>3177</v>
      </c>
      <c r="D2459" s="133" t="s">
        <v>477</v>
      </c>
      <c r="E2459" s="158">
        <v>55</v>
      </c>
      <c r="F2459" s="158">
        <v>0</v>
      </c>
      <c r="G2459" s="158">
        <v>0</v>
      </c>
      <c r="H2459" s="133" t="s">
        <v>3178</v>
      </c>
      <c r="I2459" s="133" t="s">
        <v>548</v>
      </c>
      <c r="J2459" s="158">
        <v>0</v>
      </c>
      <c r="K2459" s="159" t="str">
        <f ca="1">IFERROR(__xludf.DUMMYFUNCTION("GOOGLETRANSLATE(H2459,""th"",""en"")"),"Product name Thai (short)")</f>
        <v>Product name Thai (short)</v>
      </c>
    </row>
    <row r="2460" spans="1:11" ht="15.75" hidden="1" customHeight="1">
      <c r="A2460" s="133" t="s">
        <v>7</v>
      </c>
      <c r="B2460" s="133" t="s">
        <v>3176</v>
      </c>
      <c r="C2460" s="133" t="s">
        <v>3179</v>
      </c>
      <c r="D2460" s="133" t="s">
        <v>477</v>
      </c>
      <c r="E2460" s="158">
        <v>200</v>
      </c>
      <c r="F2460" s="158">
        <v>0</v>
      </c>
      <c r="G2460" s="158">
        <v>0</v>
      </c>
      <c r="H2460" s="133" t="s">
        <v>3180</v>
      </c>
      <c r="I2460" s="133" t="s">
        <v>548</v>
      </c>
      <c r="J2460" s="158">
        <v>0</v>
      </c>
      <c r="K2460" s="159" t="str">
        <f ca="1">IFERROR(__xludf.DUMMYFUNCTION("GOOGLETRANSLATE(H2460,""th"",""en"")"),"Product name Thai (long)")</f>
        <v>Product name Thai (long)</v>
      </c>
    </row>
    <row r="2461" spans="1:11" ht="15.75" hidden="1" customHeight="1">
      <c r="A2461" s="133" t="s">
        <v>7</v>
      </c>
      <c r="B2461" s="133" t="s">
        <v>3176</v>
      </c>
      <c r="C2461" s="133" t="s">
        <v>3181</v>
      </c>
      <c r="D2461" s="133" t="s">
        <v>477</v>
      </c>
      <c r="E2461" s="158">
        <v>55</v>
      </c>
      <c r="F2461" s="158">
        <v>0</v>
      </c>
      <c r="G2461" s="158">
        <v>0</v>
      </c>
      <c r="H2461" s="133" t="s">
        <v>3182</v>
      </c>
      <c r="I2461" s="133" t="s">
        <v>548</v>
      </c>
      <c r="J2461" s="158">
        <v>0</v>
      </c>
      <c r="K2461" s="159" t="str">
        <f ca="1">IFERROR(__xludf.DUMMYFUNCTION("GOOGLETRANSLATE(H2461,""th"",""en"")"),"Product name used in various documents (Shortname + Brand + Series)")</f>
        <v>Product name used in various documents (Shortname + Brand + Series)</v>
      </c>
    </row>
    <row r="2462" spans="1:11" ht="15.75" hidden="1" customHeight="1">
      <c r="A2462" s="133" t="s">
        <v>7</v>
      </c>
      <c r="B2462" s="133" t="s">
        <v>3176</v>
      </c>
      <c r="C2462" s="133" t="s">
        <v>3183</v>
      </c>
      <c r="D2462" s="133" t="s">
        <v>477</v>
      </c>
      <c r="E2462" s="158">
        <v>155</v>
      </c>
      <c r="F2462" s="158">
        <v>0</v>
      </c>
      <c r="G2462" s="158">
        <v>0</v>
      </c>
      <c r="H2462" s="133" t="s">
        <v>3184</v>
      </c>
      <c r="I2462" s="133" t="s">
        <v>548</v>
      </c>
      <c r="J2462" s="158">
        <v>0</v>
      </c>
      <c r="K2462" s="159" t="str">
        <f ca="1">IFERROR(__xludf.DUMMYFUNCTION("GOOGLETRANSLATE(H2462,""th"",""en"")"),"English product name")</f>
        <v>English product name</v>
      </c>
    </row>
    <row r="2463" spans="1:11" ht="15.75" hidden="1" customHeight="1">
      <c r="A2463" s="133" t="s">
        <v>7</v>
      </c>
      <c r="B2463" s="133" t="s">
        <v>3176</v>
      </c>
      <c r="C2463" s="133" t="s">
        <v>3185</v>
      </c>
      <c r="D2463" s="133" t="s">
        <v>477</v>
      </c>
      <c r="E2463" s="158">
        <v>10</v>
      </c>
      <c r="F2463" s="158">
        <v>0</v>
      </c>
      <c r="G2463" s="158">
        <v>0</v>
      </c>
      <c r="H2463" s="133" t="s">
        <v>3186</v>
      </c>
      <c r="I2463" s="133" t="s">
        <v>548</v>
      </c>
      <c r="J2463" s="158">
        <v>0</v>
      </c>
      <c r="K2463" s="159" t="str">
        <f ca="1">IFERROR(__xludf.DUMMYFUNCTION("GOOGLETRANSLATE(H2463,""th"",""en"")"),"Product Status (New: New Product [Refrigeration Information / Product / Stock Information], Stock: Ready to sell, nonstock: Products ready to sell, not stock, clearance: Product Clearance, Preorder: Preorder products (waiting for production / import) , Ho"&amp;"ld: The product is not ready for sale, free: free gift, delete: product, cancel, limited: products ready to sell With a limited number)")</f>
        <v>Product Status (New: New Product [Refrigeration Information / Product / Stock Information], Stock: Ready to sell, nonstock: Products ready to sell, not stock, clearance: Product Clearance, Preorder: Preorder products (waiting for production / import) , Hold: The product is not ready for sale, free: free gift, delete: product, cancel, limited: products ready to sell With a limited number)</v>
      </c>
    </row>
    <row r="2464" spans="1:11" ht="15.75" hidden="1" customHeight="1">
      <c r="A2464" s="133" t="s">
        <v>7</v>
      </c>
      <c r="B2464" s="133" t="s">
        <v>3176</v>
      </c>
      <c r="C2464" s="133" t="s">
        <v>3187</v>
      </c>
      <c r="D2464" s="133" t="s">
        <v>477</v>
      </c>
      <c r="E2464" s="158">
        <v>500</v>
      </c>
      <c r="F2464" s="158">
        <v>0</v>
      </c>
      <c r="G2464" s="158">
        <v>0</v>
      </c>
      <c r="H2464" s="133" t="s">
        <v>3188</v>
      </c>
      <c r="I2464" s="133" t="s">
        <v>548</v>
      </c>
      <c r="J2464" s="158">
        <v>0</v>
      </c>
      <c r="K2464" s="159" t="str">
        <f ca="1">IFERROR(__xludf.DUMMYFUNCTION("GOOGLETRANSLATE(H2464,""th"",""en"")"),"Note of product status")</f>
        <v>Note of product status</v>
      </c>
    </row>
    <row r="2465" spans="1:11" ht="15.75" hidden="1" customHeight="1">
      <c r="A2465" s="133" t="s">
        <v>7</v>
      </c>
      <c r="B2465" s="133" t="s">
        <v>3176</v>
      </c>
      <c r="C2465" s="133" t="s">
        <v>3189</v>
      </c>
      <c r="D2465" s="133" t="s">
        <v>477</v>
      </c>
      <c r="E2465" s="158">
        <v>1000</v>
      </c>
      <c r="F2465" s="158">
        <v>0</v>
      </c>
      <c r="G2465" s="158">
        <v>0</v>
      </c>
      <c r="H2465" s="133" t="s">
        <v>3190</v>
      </c>
      <c r="I2465" s="133" t="s">
        <v>548</v>
      </c>
      <c r="J2465" s="158">
        <v>0</v>
      </c>
      <c r="K2465" s="159" t="str">
        <f ca="1">IFERROR(__xludf.DUMMYFUNCTION("GOOGLETRANSLATE(H2465,""th"",""en"")"),"Internal notes")</f>
        <v>Internal notes</v>
      </c>
    </row>
    <row r="2466" spans="1:11" ht="15.75" hidden="1" customHeight="1">
      <c r="A2466" s="133" t="s">
        <v>7</v>
      </c>
      <c r="B2466" s="133" t="s">
        <v>3176</v>
      </c>
      <c r="C2466" s="133" t="s">
        <v>3191</v>
      </c>
      <c r="D2466" s="133" t="s">
        <v>477</v>
      </c>
      <c r="E2466" s="158">
        <v>450</v>
      </c>
      <c r="F2466" s="158">
        <v>0</v>
      </c>
      <c r="G2466" s="158">
        <v>0</v>
      </c>
      <c r="H2466" s="133" t="s">
        <v>3192</v>
      </c>
      <c r="I2466" s="133" t="s">
        <v>548</v>
      </c>
      <c r="J2466" s="158">
        <v>0</v>
      </c>
      <c r="K2466" s="159" t="str">
        <f ca="1">IFERROR(__xludf.DUMMYFUNCTION("GOOGLETRANSLATE(H2466,""th"",""en"")"),"Thai product description (short)")</f>
        <v>Thai product description (short)</v>
      </c>
    </row>
    <row r="2467" spans="1:11" ht="15.75" hidden="1" customHeight="1">
      <c r="A2467" s="133" t="s">
        <v>7</v>
      </c>
      <c r="B2467" s="133" t="s">
        <v>3176</v>
      </c>
      <c r="C2467" s="133" t="s">
        <v>3193</v>
      </c>
      <c r="D2467" s="133" t="s">
        <v>477</v>
      </c>
      <c r="E2467" s="158">
        <v>450</v>
      </c>
      <c r="F2467" s="158">
        <v>0</v>
      </c>
      <c r="G2467" s="158">
        <v>0</v>
      </c>
      <c r="H2467" s="133" t="s">
        <v>3194</v>
      </c>
      <c r="I2467" s="133" t="s">
        <v>548</v>
      </c>
      <c r="J2467" s="158">
        <v>0</v>
      </c>
      <c r="K2467" s="159" t="str">
        <f ca="1">IFERROR(__xludf.DUMMYFUNCTION("GOOGLETRANSLATE(H2467,""th"",""en"")"),"English product description (short)")</f>
        <v>English product description (short)</v>
      </c>
    </row>
    <row r="2468" spans="1:11" ht="15.75" hidden="1" customHeight="1">
      <c r="A2468" s="133" t="s">
        <v>7</v>
      </c>
      <c r="B2468" s="133" t="s">
        <v>3176</v>
      </c>
      <c r="C2468" s="133" t="s">
        <v>3195</v>
      </c>
      <c r="D2468" s="133" t="s">
        <v>477</v>
      </c>
      <c r="E2468" s="158">
        <v>-1</v>
      </c>
      <c r="F2468" s="158">
        <v>0</v>
      </c>
      <c r="G2468" s="158">
        <v>0</v>
      </c>
      <c r="H2468" s="133" t="s">
        <v>3196</v>
      </c>
      <c r="I2468" s="133" t="s">
        <v>548</v>
      </c>
      <c r="J2468" s="158">
        <v>0</v>
      </c>
      <c r="K2468" s="159" t="str">
        <f ca="1">IFERROR(__xludf.DUMMYFUNCTION("GOOGLETRANSLATE(H2468,""th"",""en"")"),"Thai product description (long)")</f>
        <v>Thai product description (long)</v>
      </c>
    </row>
    <row r="2469" spans="1:11" ht="15.75" hidden="1" customHeight="1">
      <c r="A2469" s="133" t="s">
        <v>7</v>
      </c>
      <c r="B2469" s="133" t="s">
        <v>3176</v>
      </c>
      <c r="C2469" s="133" t="s">
        <v>3197</v>
      </c>
      <c r="D2469" s="133" t="s">
        <v>477</v>
      </c>
      <c r="E2469" s="158">
        <v>-1</v>
      </c>
      <c r="F2469" s="158">
        <v>0</v>
      </c>
      <c r="G2469" s="158">
        <v>0</v>
      </c>
      <c r="H2469" s="133" t="s">
        <v>3198</v>
      </c>
      <c r="I2469" s="133" t="s">
        <v>548</v>
      </c>
      <c r="J2469" s="158">
        <v>0</v>
      </c>
      <c r="K2469" s="159" t="str">
        <f ca="1">IFERROR(__xludf.DUMMYFUNCTION("GOOGLETRANSLATE(H2469,""th"",""en"")"),"English product description (long)")</f>
        <v>English product description (long)</v>
      </c>
    </row>
    <row r="2470" spans="1:11" ht="15.75" hidden="1" customHeight="1">
      <c r="A2470" s="133" t="s">
        <v>7</v>
      </c>
      <c r="B2470" s="133" t="s">
        <v>3176</v>
      </c>
      <c r="C2470" s="133" t="s">
        <v>2694</v>
      </c>
      <c r="D2470" s="133" t="s">
        <v>477</v>
      </c>
      <c r="E2470" s="158">
        <v>1000</v>
      </c>
      <c r="F2470" s="158">
        <v>0</v>
      </c>
      <c r="G2470" s="158">
        <v>0</v>
      </c>
      <c r="H2470" s="133" t="s">
        <v>3199</v>
      </c>
      <c r="I2470" s="133" t="s">
        <v>548</v>
      </c>
      <c r="J2470" s="158">
        <v>0</v>
      </c>
      <c r="K2470" s="159" t="str">
        <f ca="1">IFERROR(__xludf.DUMMYFUNCTION("GOOGLETRANSLATE(H2470,""th"",""en"")"),"Free information")</f>
        <v>Free information</v>
      </c>
    </row>
    <row r="2471" spans="1:11" ht="15.75" hidden="1" customHeight="1">
      <c r="A2471" s="133" t="s">
        <v>7</v>
      </c>
      <c r="B2471" s="133" t="s">
        <v>3176</v>
      </c>
      <c r="C2471" s="133" t="s">
        <v>3200</v>
      </c>
      <c r="D2471" s="133" t="s">
        <v>477</v>
      </c>
      <c r="E2471" s="158">
        <v>20</v>
      </c>
      <c r="F2471" s="158">
        <v>0</v>
      </c>
      <c r="G2471" s="158">
        <v>0</v>
      </c>
      <c r="H2471" s="133" t="s">
        <v>3201</v>
      </c>
      <c r="I2471" s="133" t="s">
        <v>548</v>
      </c>
      <c r="J2471" s="158">
        <v>0</v>
      </c>
      <c r="K2471" s="159" t="str">
        <f ca="1">IFERROR(__xludf.DUMMYFUNCTION("GOOGLETRANSLATE(H2471,""th"",""en"")"),"Barcode number of this product")</f>
        <v>Barcode number of this product</v>
      </c>
    </row>
    <row r="2472" spans="1:11" ht="15.75" hidden="1" customHeight="1">
      <c r="A2472" s="133" t="s">
        <v>7</v>
      </c>
      <c r="B2472" s="133" t="s">
        <v>3176</v>
      </c>
      <c r="C2472" s="133" t="s">
        <v>3202</v>
      </c>
      <c r="D2472" s="133" t="s">
        <v>477</v>
      </c>
      <c r="E2472" s="158">
        <v>20</v>
      </c>
      <c r="F2472" s="158">
        <v>0</v>
      </c>
      <c r="G2472" s="158">
        <v>0</v>
      </c>
      <c r="H2472" s="133" t="s">
        <v>3203</v>
      </c>
      <c r="I2472" s="133" t="s">
        <v>548</v>
      </c>
      <c r="J2472" s="158">
        <v>0</v>
      </c>
      <c r="K2472" s="159" t="str">
        <f ca="1">IFERROR(__xludf.DUMMYFUNCTION("GOOGLETRANSLATE(H2472,""th"",""en"")"),"Barcode number of shop")</f>
        <v>Barcode number of shop</v>
      </c>
    </row>
    <row r="2473" spans="1:11" ht="15.75" hidden="1" customHeight="1">
      <c r="A2473" s="133" t="s">
        <v>7</v>
      </c>
      <c r="B2473" s="133" t="s">
        <v>3176</v>
      </c>
      <c r="C2473" s="133" t="s">
        <v>3204</v>
      </c>
      <c r="D2473" s="133" t="s">
        <v>477</v>
      </c>
      <c r="E2473" s="158">
        <v>7</v>
      </c>
      <c r="F2473" s="158">
        <v>0</v>
      </c>
      <c r="G2473" s="158">
        <v>0</v>
      </c>
      <c r="H2473" s="133" t="s">
        <v>2848</v>
      </c>
      <c r="I2473" s="133" t="s">
        <v>548</v>
      </c>
      <c r="J2473" s="158">
        <v>0</v>
      </c>
      <c r="K2473" s="159" t="str">
        <f ca="1">IFERROR(__xludf.DUMMYFUNCTION("GOOGLETRANSLATE(H2473,""th"",""en"")"),"Unit &amp; Selling Price. Standard Unit Name")</f>
        <v>Unit &amp; Selling Price. Standard Unit Name</v>
      </c>
    </row>
    <row r="2474" spans="1:11" ht="15.75" hidden="1" customHeight="1">
      <c r="A2474" s="133" t="s">
        <v>7</v>
      </c>
      <c r="B2474" s="133" t="s">
        <v>3176</v>
      </c>
      <c r="C2474" s="133" t="s">
        <v>3205</v>
      </c>
      <c r="D2474" s="133" t="s">
        <v>477</v>
      </c>
      <c r="E2474" s="158">
        <v>3</v>
      </c>
      <c r="F2474" s="158">
        <v>0</v>
      </c>
      <c r="G2474" s="158">
        <v>0</v>
      </c>
      <c r="H2474" s="133" t="s">
        <v>825</v>
      </c>
      <c r="I2474" s="133" t="s">
        <v>548</v>
      </c>
      <c r="J2474" s="158">
        <v>0</v>
      </c>
      <c r="K2474" s="159" t="str">
        <f ca="1">IFERROR(__xludf.DUMMYFUNCTION("GOOGLETRANSLATE(H2474,""th"",""en"")"),"Category Category")</f>
        <v>Category Category</v>
      </c>
    </row>
    <row r="2475" spans="1:11" ht="15.75" hidden="1" customHeight="1">
      <c r="A2475" s="133" t="s">
        <v>7</v>
      </c>
      <c r="B2475" s="133" t="s">
        <v>3176</v>
      </c>
      <c r="C2475" s="133" t="s">
        <v>1949</v>
      </c>
      <c r="D2475" s="133" t="s">
        <v>477</v>
      </c>
      <c r="E2475" s="158">
        <v>2</v>
      </c>
      <c r="F2475" s="158">
        <v>0</v>
      </c>
      <c r="G2475" s="158">
        <v>0</v>
      </c>
      <c r="H2475" s="133" t="s">
        <v>827</v>
      </c>
      <c r="I2475" s="133" t="s">
        <v>548</v>
      </c>
      <c r="J2475" s="158">
        <v>0</v>
      </c>
      <c r="K2475" s="159" t="str">
        <f ca="1">IFERROR(__xludf.DUMMYFUNCTION("GOOGLETRANSLATE(H2475,""th"",""en"")"),"Subcategory code")</f>
        <v>Subcategory code</v>
      </c>
    </row>
    <row r="2476" spans="1:11" ht="15.75" hidden="1" customHeight="1">
      <c r="A2476" s="133" t="s">
        <v>7</v>
      </c>
      <c r="B2476" s="133" t="s">
        <v>3176</v>
      </c>
      <c r="C2476" s="133" t="s">
        <v>3206</v>
      </c>
      <c r="D2476" s="133" t="s">
        <v>484</v>
      </c>
      <c r="E2476" s="158">
        <v>4</v>
      </c>
      <c r="F2476" s="158">
        <v>10</v>
      </c>
      <c r="G2476" s="158">
        <v>0</v>
      </c>
      <c r="H2476" s="133" t="s">
        <v>3207</v>
      </c>
      <c r="I2476" s="133" t="s">
        <v>615</v>
      </c>
      <c r="J2476" s="158">
        <v>0</v>
      </c>
      <c r="K2476" s="159" t="str">
        <f ca="1">IFERROR(__xludf.DUMMYFUNCTION("GOOGLETRANSLATE(H2476,""th"",""en"")"),"Disclaimer: Brand and model code")</f>
        <v>Disclaimer: Brand and model code</v>
      </c>
    </row>
    <row r="2477" spans="1:11" ht="15.75" hidden="1" customHeight="1">
      <c r="A2477" s="133" t="s">
        <v>7</v>
      </c>
      <c r="B2477" s="133" t="s">
        <v>3176</v>
      </c>
      <c r="C2477" s="133" t="s">
        <v>1954</v>
      </c>
      <c r="D2477" s="133" t="s">
        <v>477</v>
      </c>
      <c r="E2477" s="158">
        <v>30</v>
      </c>
      <c r="F2477" s="158">
        <v>0</v>
      </c>
      <c r="G2477" s="158">
        <v>0</v>
      </c>
      <c r="H2477" s="133" t="s">
        <v>3208</v>
      </c>
      <c r="I2477" s="133" t="s">
        <v>548</v>
      </c>
      <c r="J2477" s="158">
        <v>0</v>
      </c>
      <c r="K2477" s="159" t="str">
        <f ca="1">IFERROR(__xludf.DUMMYFUNCTION("GOOGLETRANSLATE(H2477,""th"",""en"")"),"Product brand (from PIM)")</f>
        <v>Product brand (from PIM)</v>
      </c>
    </row>
    <row r="2478" spans="1:11" ht="15.75" hidden="1" customHeight="1">
      <c r="A2478" s="133" t="s">
        <v>7</v>
      </c>
      <c r="B2478" s="133" t="s">
        <v>3176</v>
      </c>
      <c r="C2478" s="133" t="s">
        <v>1956</v>
      </c>
      <c r="D2478" s="133" t="s">
        <v>477</v>
      </c>
      <c r="E2478" s="158">
        <v>30</v>
      </c>
      <c r="F2478" s="158">
        <v>0</v>
      </c>
      <c r="G2478" s="158">
        <v>0</v>
      </c>
      <c r="H2478" s="133" t="s">
        <v>3209</v>
      </c>
      <c r="I2478" s="133" t="s">
        <v>548</v>
      </c>
      <c r="J2478" s="158">
        <v>0</v>
      </c>
      <c r="K2478" s="159" t="str">
        <f ca="1">IFERROR(__xludf.DUMMYFUNCTION("GOOGLETRANSLATE(H2478,""th"",""en"")"),"Brand name Thai product")</f>
        <v>Brand name Thai product</v>
      </c>
    </row>
    <row r="2479" spans="1:11" ht="15.75" hidden="1" customHeight="1">
      <c r="A2479" s="133" t="s">
        <v>7</v>
      </c>
      <c r="B2479" s="133" t="s">
        <v>3176</v>
      </c>
      <c r="C2479" s="133" t="s">
        <v>1958</v>
      </c>
      <c r="D2479" s="133" t="s">
        <v>477</v>
      </c>
      <c r="E2479" s="158">
        <v>30</v>
      </c>
      <c r="F2479" s="158">
        <v>0</v>
      </c>
      <c r="G2479" s="158">
        <v>0</v>
      </c>
      <c r="H2479" s="133" t="s">
        <v>3210</v>
      </c>
      <c r="I2479" s="133" t="s">
        <v>548</v>
      </c>
      <c r="J2479" s="158">
        <v>0</v>
      </c>
      <c r="K2479" s="159" t="str">
        <f ca="1">IFERROR(__xludf.DUMMYFUNCTION("GOOGLETRANSLATE(H2479,""th"",""en"")"),"Brand name English products")</f>
        <v>Brand name English products</v>
      </c>
    </row>
    <row r="2480" spans="1:11" ht="15.75" hidden="1" customHeight="1">
      <c r="A2480" s="133" t="s">
        <v>7</v>
      </c>
      <c r="B2480" s="133" t="s">
        <v>3176</v>
      </c>
      <c r="C2480" s="133" t="s">
        <v>2182</v>
      </c>
      <c r="D2480" s="133" t="s">
        <v>477</v>
      </c>
      <c r="E2480" s="158">
        <v>30</v>
      </c>
      <c r="F2480" s="158">
        <v>0</v>
      </c>
      <c r="G2480" s="158">
        <v>0</v>
      </c>
      <c r="H2480" s="133" t="s">
        <v>2183</v>
      </c>
      <c r="I2480" s="133" t="s">
        <v>548</v>
      </c>
      <c r="J2480" s="158">
        <v>0</v>
      </c>
      <c r="K2480" s="159" t="str">
        <f ca="1">IFERROR(__xludf.DUMMYFUNCTION("GOOGLETRANSLATE(H2480,""th"",""en"")"),"Product version code (from PIM)")</f>
        <v>Product version code (from PIM)</v>
      </c>
    </row>
    <row r="2481" spans="1:11" ht="15.75" hidden="1" customHeight="1">
      <c r="A2481" s="133" t="s">
        <v>7</v>
      </c>
      <c r="B2481" s="133" t="s">
        <v>3176</v>
      </c>
      <c r="C2481" s="133" t="s">
        <v>2175</v>
      </c>
      <c r="D2481" s="133" t="s">
        <v>477</v>
      </c>
      <c r="E2481" s="158">
        <v>30</v>
      </c>
      <c r="F2481" s="158">
        <v>0</v>
      </c>
      <c r="G2481" s="158">
        <v>0</v>
      </c>
      <c r="H2481" s="133" t="s">
        <v>2176</v>
      </c>
      <c r="I2481" s="133" t="s">
        <v>548</v>
      </c>
      <c r="J2481" s="158">
        <v>0</v>
      </c>
      <c r="K2481" s="159" t="str">
        <f ca="1">IFERROR(__xludf.DUMMYFUNCTION("GOOGLETRANSLATE(H2481,""th"",""en"")"),"Thai product model name")</f>
        <v>Thai product model name</v>
      </c>
    </row>
    <row r="2482" spans="1:11" ht="15.75" hidden="1" customHeight="1">
      <c r="A2482" s="133" t="s">
        <v>7</v>
      </c>
      <c r="B2482" s="133" t="s">
        <v>3176</v>
      </c>
      <c r="C2482" s="133" t="s">
        <v>2177</v>
      </c>
      <c r="D2482" s="133" t="s">
        <v>477</v>
      </c>
      <c r="E2482" s="158">
        <v>30</v>
      </c>
      <c r="F2482" s="158">
        <v>0</v>
      </c>
      <c r="G2482" s="158">
        <v>0</v>
      </c>
      <c r="H2482" s="133" t="s">
        <v>2178</v>
      </c>
      <c r="I2482" s="133" t="s">
        <v>548</v>
      </c>
      <c r="J2482" s="158">
        <v>0</v>
      </c>
      <c r="K2482" s="159" t="str">
        <f ca="1">IFERROR(__xludf.DUMMYFUNCTION("GOOGLETRANSLATE(H2482,""th"",""en"")"),"English product model name")</f>
        <v>English product model name</v>
      </c>
    </row>
    <row r="2483" spans="1:11" ht="15.75" hidden="1" customHeight="1">
      <c r="A2483" s="133" t="s">
        <v>7</v>
      </c>
      <c r="B2483" s="133" t="s">
        <v>3176</v>
      </c>
      <c r="C2483" s="133" t="s">
        <v>3211</v>
      </c>
      <c r="D2483" s="133" t="s">
        <v>477</v>
      </c>
      <c r="E2483" s="158">
        <v>3</v>
      </c>
      <c r="F2483" s="158">
        <v>0</v>
      </c>
      <c r="G2483" s="158">
        <v>0</v>
      </c>
      <c r="H2483" s="133" t="s">
        <v>3212</v>
      </c>
      <c r="I2483" s="133" t="s">
        <v>2011</v>
      </c>
      <c r="J2483" s="158">
        <v>0</v>
      </c>
      <c r="K2483" s="159" t="str">
        <f ca="1">IFERROR(__xludf.DUMMYFUNCTION("GOOGLETRANSLATE(H2483,""th"",""en"")"),"Determine the name shown at the prodtlname (no = shortname, yes = shortname + brand + series)")</f>
        <v>Determine the name shown at the prodtlname (no = shortname, yes = shortname + brand + series)</v>
      </c>
    </row>
    <row r="2484" spans="1:11" ht="15.75" hidden="1" customHeight="1">
      <c r="A2484" s="133" t="s">
        <v>7</v>
      </c>
      <c r="B2484" s="133" t="s">
        <v>3176</v>
      </c>
      <c r="C2484" s="133" t="s">
        <v>3213</v>
      </c>
      <c r="D2484" s="133" t="s">
        <v>477</v>
      </c>
      <c r="E2484" s="158">
        <v>3</v>
      </c>
      <c r="F2484" s="158">
        <v>0</v>
      </c>
      <c r="G2484" s="158">
        <v>0</v>
      </c>
      <c r="H2484" s="133" t="s">
        <v>3214</v>
      </c>
      <c r="I2484" s="133" t="s">
        <v>596</v>
      </c>
      <c r="J2484" s="158">
        <v>0</v>
      </c>
      <c r="K2484" s="159" t="str">
        <f ca="1">IFERROR(__xludf.DUMMYFUNCTION("GOOGLETRANSLATE(H2484,""th"",""en"")"),"Product Collecting Housbrands (Y: Product Housebrands, N: Not the product housebrands)")</f>
        <v>Product Collecting Housbrands (Y: Product Housebrands, N: Not the product housebrands)</v>
      </c>
    </row>
    <row r="2485" spans="1:11" ht="15.75" hidden="1" customHeight="1">
      <c r="A2485" s="133" t="s">
        <v>7</v>
      </c>
      <c r="B2485" s="133" t="s">
        <v>3176</v>
      </c>
      <c r="C2485" s="133" t="s">
        <v>3215</v>
      </c>
      <c r="D2485" s="133" t="s">
        <v>477</v>
      </c>
      <c r="E2485" s="158">
        <v>255</v>
      </c>
      <c r="F2485" s="158">
        <v>0</v>
      </c>
      <c r="G2485" s="158">
        <v>0</v>
      </c>
      <c r="H2485" s="133" t="s">
        <v>3216</v>
      </c>
      <c r="I2485" s="133" t="s">
        <v>548</v>
      </c>
      <c r="J2485" s="158">
        <v>0</v>
      </c>
      <c r="K2485" s="159" t="str">
        <f ca="1">IFERROR(__xludf.DUMMYFUNCTION("GOOGLETRANSLATE(H2485,""th"",""en"")"),"Product QC Note")</f>
        <v>Product QC Note</v>
      </c>
    </row>
    <row r="2486" spans="1:11" ht="15.75" hidden="1" customHeight="1">
      <c r="A2486" s="133" t="s">
        <v>7</v>
      </c>
      <c r="B2486" s="133" t="s">
        <v>3176</v>
      </c>
      <c r="C2486" s="133" t="s">
        <v>3217</v>
      </c>
      <c r="D2486" s="133" t="s">
        <v>477</v>
      </c>
      <c r="E2486" s="158">
        <v>5</v>
      </c>
      <c r="F2486" s="158">
        <v>0</v>
      </c>
      <c r="G2486" s="158">
        <v>0</v>
      </c>
      <c r="H2486" s="133" t="s">
        <v>3218</v>
      </c>
      <c r="I2486" s="133" t="s">
        <v>3219</v>
      </c>
      <c r="J2486" s="158">
        <v>0</v>
      </c>
      <c r="K2486" s="159" t="str">
        <f ca="1">IFERROR(__xludf.DUMMYFUNCTION("GOOGLETRANSLATE(H2486,""th"",""en"")"),"Standing product price (3m / 6m / 12m / no)")</f>
        <v>Standing product price (3m / 6m / 12m / no)</v>
      </c>
    </row>
    <row r="2487" spans="1:11" ht="15.75" hidden="1" customHeight="1">
      <c r="A2487" s="133" t="s">
        <v>7</v>
      </c>
      <c r="B2487" s="133" t="s">
        <v>3176</v>
      </c>
      <c r="C2487" s="133" t="s">
        <v>2437</v>
      </c>
      <c r="D2487" s="133" t="s">
        <v>477</v>
      </c>
      <c r="E2487" s="158">
        <v>20</v>
      </c>
      <c r="F2487" s="158">
        <v>0</v>
      </c>
      <c r="G2487" s="158">
        <v>0</v>
      </c>
      <c r="H2487" s="133" t="s">
        <v>3220</v>
      </c>
      <c r="I2487" s="133" t="s">
        <v>548</v>
      </c>
      <c r="J2487" s="158">
        <v>0</v>
      </c>
      <c r="K2487" s="159" t="str">
        <f ca="1">IFERROR(__xludf.DUMMYFUNCTION("GOOGLETRANSLATE(H2487,""th"",""en"")"),"Product Type (B: Book, C: Computer, F: Furniture, O: Office Automation, T: Trendy, i: Ink)")</f>
        <v>Product Type (B: Book, C: Computer, F: Furniture, O: Office Automation, T: Trendy, i: Ink)</v>
      </c>
    </row>
    <row r="2488" spans="1:11" ht="15.75" hidden="1" customHeight="1">
      <c r="A2488" s="133" t="s">
        <v>7</v>
      </c>
      <c r="B2488" s="133" t="s">
        <v>3176</v>
      </c>
      <c r="C2488" s="133" t="s">
        <v>2345</v>
      </c>
      <c r="D2488" s="133" t="s">
        <v>477</v>
      </c>
      <c r="E2488" s="158">
        <v>3</v>
      </c>
      <c r="F2488" s="158">
        <v>0</v>
      </c>
      <c r="G2488" s="158">
        <v>0</v>
      </c>
      <c r="H2488" s="133" t="s">
        <v>3221</v>
      </c>
      <c r="I2488" s="133" t="s">
        <v>596</v>
      </c>
      <c r="J2488" s="158">
        <v>0</v>
      </c>
      <c r="K2488" s="159" t="str">
        <f ca="1">IFERROR(__xludf.DUMMYFUNCTION("GOOGLETRANSLATE(H2488,""th"",""en"")"),"Determined to be a deposit (Y: Consignment / N: Normal product)")</f>
        <v>Determined to be a deposit (Y: Consignment / N: Normal product)</v>
      </c>
    </row>
    <row r="2489" spans="1:11" ht="15.75" hidden="1" customHeight="1">
      <c r="A2489" s="133" t="s">
        <v>7</v>
      </c>
      <c r="B2489" s="133" t="s">
        <v>3176</v>
      </c>
      <c r="C2489" s="133" t="s">
        <v>3222</v>
      </c>
      <c r="D2489" s="133" t="s">
        <v>477</v>
      </c>
      <c r="E2489" s="158">
        <v>3</v>
      </c>
      <c r="F2489" s="158">
        <v>0</v>
      </c>
      <c r="G2489" s="158">
        <v>0</v>
      </c>
      <c r="H2489" s="133" t="s">
        <v>3223</v>
      </c>
      <c r="I2489" s="133" t="s">
        <v>596</v>
      </c>
      <c r="J2489" s="158">
        <v>0</v>
      </c>
      <c r="K2489" s="159" t="str">
        <f ca="1">IFERROR(__xludf.DUMMYFUNCTION("GOOGLETRANSLATE(H2489,""th"",""en"")"),"Y = genuine ink products and paper products (as BidPrice products), n = not as genuine ink and paper products (not be BidPrice)")</f>
        <v>Y = genuine ink products and paper products (as BidPrice products), n = not as genuine ink and paper products (not be BidPrice)</v>
      </c>
    </row>
    <row r="2490" spans="1:11" ht="15.75" hidden="1" customHeight="1">
      <c r="A2490" s="133" t="s">
        <v>7</v>
      </c>
      <c r="B2490" s="133" t="s">
        <v>3176</v>
      </c>
      <c r="C2490" s="133" t="s">
        <v>3224</v>
      </c>
      <c r="D2490" s="133" t="s">
        <v>477</v>
      </c>
      <c r="E2490" s="158">
        <v>3</v>
      </c>
      <c r="F2490" s="158">
        <v>0</v>
      </c>
      <c r="G2490" s="158">
        <v>0</v>
      </c>
      <c r="H2490" s="133" t="s">
        <v>3225</v>
      </c>
      <c r="I2490" s="133" t="s">
        <v>596</v>
      </c>
      <c r="J2490" s="158">
        <v>0</v>
      </c>
      <c r="K2490" s="159" t="str">
        <f ca="1">IFERROR(__xludf.DUMMYFUNCTION("GOOGLETRANSLATE(H2490,""th"",""en"")"),"Control Flag. Is the product available in Catalog? (Y = is in the current catalog, n = not in the current catalog)")</f>
        <v>Control Flag. Is the product available in Catalog? (Y = is in the current catalog, n = not in the current catalog)</v>
      </c>
    </row>
    <row r="2491" spans="1:11" ht="15.75" hidden="1" customHeight="1">
      <c r="A2491" s="133" t="s">
        <v>7</v>
      </c>
      <c r="B2491" s="133" t="s">
        <v>3176</v>
      </c>
      <c r="C2491" s="133" t="s">
        <v>3226</v>
      </c>
      <c r="D2491" s="133" t="s">
        <v>477</v>
      </c>
      <c r="E2491" s="158">
        <v>3</v>
      </c>
      <c r="F2491" s="158">
        <v>0</v>
      </c>
      <c r="G2491" s="158">
        <v>0</v>
      </c>
      <c r="H2491" s="133" t="s">
        <v>3227</v>
      </c>
      <c r="I2491" s="133" t="s">
        <v>596</v>
      </c>
      <c r="J2491" s="158">
        <v>0</v>
      </c>
      <c r="K2491" s="159" t="str">
        <f ca="1">IFERROR(__xludf.DUMMYFUNCTION("GOOGLETRANSLATE(H2491,""th"",""en"")"),"Keep data in the Catalog next year? (Yes: next year NO: Not in the next year)")</f>
        <v>Keep data in the Catalog next year? (Yes: next year NO: Not in the next year)</v>
      </c>
    </row>
    <row r="2492" spans="1:11" ht="15.75" hidden="1" customHeight="1">
      <c r="A2492" s="133" t="s">
        <v>7</v>
      </c>
      <c r="B2492" s="133" t="s">
        <v>3176</v>
      </c>
      <c r="C2492" s="133" t="s">
        <v>3228</v>
      </c>
      <c r="D2492" s="133" t="s">
        <v>477</v>
      </c>
      <c r="E2492" s="158">
        <v>20</v>
      </c>
      <c r="F2492" s="158">
        <v>0</v>
      </c>
      <c r="G2492" s="158">
        <v>0</v>
      </c>
      <c r="H2492" s="133" t="s">
        <v>3229</v>
      </c>
      <c r="I2492" s="133" t="s">
        <v>548</v>
      </c>
      <c r="J2492" s="158">
        <v>0</v>
      </c>
      <c r="K2492" s="159" t="str">
        <f ca="1">IFERROR(__xludf.DUMMYFUNCTION("GOOGLETRANSLATE(H2492,""th"",""en"")"),"Catalog page number")</f>
        <v>Catalog page number</v>
      </c>
    </row>
    <row r="2493" spans="1:11" ht="15.75" hidden="1" customHeight="1">
      <c r="A2493" s="133" t="s">
        <v>7</v>
      </c>
      <c r="B2493" s="133" t="s">
        <v>3176</v>
      </c>
      <c r="C2493" s="133" t="s">
        <v>3230</v>
      </c>
      <c r="D2493" s="133" t="s">
        <v>477</v>
      </c>
      <c r="E2493" s="158">
        <v>7</v>
      </c>
      <c r="F2493" s="158">
        <v>0</v>
      </c>
      <c r="G2493" s="158">
        <v>0</v>
      </c>
      <c r="H2493" s="133" t="s">
        <v>3231</v>
      </c>
      <c r="I2493" s="133" t="s">
        <v>548</v>
      </c>
      <c r="J2493" s="158">
        <v>0</v>
      </c>
      <c r="K2493" s="159" t="str">
        <f ca="1">IFERROR(__xludf.DUMMYFUNCTION("GOOGLETRANSLATE(H2493,""th"",""en"")"),"Which product has ever been in the latest Magazine?")</f>
        <v>Which product has ever been in the latest Magazine?</v>
      </c>
    </row>
    <row r="2494" spans="1:11" ht="15.75" hidden="1" customHeight="1">
      <c r="A2494" s="133" t="s">
        <v>7</v>
      </c>
      <c r="B2494" s="133" t="s">
        <v>3176</v>
      </c>
      <c r="C2494" s="133" t="s">
        <v>3232</v>
      </c>
      <c r="D2494" s="133" t="s">
        <v>484</v>
      </c>
      <c r="E2494" s="158">
        <v>4</v>
      </c>
      <c r="F2494" s="158">
        <v>10</v>
      </c>
      <c r="G2494" s="158">
        <v>0</v>
      </c>
      <c r="H2494" s="133" t="s">
        <v>3233</v>
      </c>
      <c r="I2494" s="133" t="s">
        <v>615</v>
      </c>
      <c r="J2494" s="158">
        <v>0</v>
      </c>
      <c r="K2494" s="159" t="str">
        <f ca="1">IFERROR(__xludf.DUMMYFUNCTION("GOOGLETRANSLATE(H2494,""th"",""en"")"),"Description. Page number in Magazine")</f>
        <v>Description. Page number in Magazine</v>
      </c>
    </row>
    <row r="2495" spans="1:11" ht="15.75" hidden="1" customHeight="1">
      <c r="A2495" s="133" t="s">
        <v>7</v>
      </c>
      <c r="B2495" s="133" t="s">
        <v>3176</v>
      </c>
      <c r="C2495" s="133" t="s">
        <v>3234</v>
      </c>
      <c r="D2495" s="133" t="s">
        <v>477</v>
      </c>
      <c r="E2495" s="158">
        <v>6</v>
      </c>
      <c r="F2495" s="158">
        <v>0</v>
      </c>
      <c r="G2495" s="158">
        <v>0</v>
      </c>
      <c r="H2495" s="133" t="s">
        <v>3235</v>
      </c>
      <c r="I2495" s="133" t="s">
        <v>548</v>
      </c>
      <c r="J2495" s="158">
        <v>0</v>
      </c>
      <c r="K2495" s="159" t="str">
        <f ca="1">IFERROR(__xludf.DUMMYFUNCTION("GOOGLETRANSLATE(H2495,""th"",""en"")"),"Vendor that sells this product for us last")</f>
        <v>Vendor that sells this product for us last</v>
      </c>
    </row>
    <row r="2496" spans="1:11" ht="15.75" hidden="1" customHeight="1">
      <c r="A2496" s="133" t="s">
        <v>7</v>
      </c>
      <c r="B2496" s="133" t="s">
        <v>3176</v>
      </c>
      <c r="C2496" s="133" t="s">
        <v>3236</v>
      </c>
      <c r="D2496" s="133" t="s">
        <v>481</v>
      </c>
      <c r="E2496" s="158">
        <v>5</v>
      </c>
      <c r="F2496" s="158">
        <v>6</v>
      </c>
      <c r="G2496" s="158">
        <v>4</v>
      </c>
      <c r="H2496" s="133" t="s">
        <v>3237</v>
      </c>
      <c r="I2496" s="133" t="s">
        <v>615</v>
      </c>
      <c r="J2496" s="158">
        <v>0</v>
      </c>
      <c r="K2496" s="159" t="str">
        <f ca="1">IFERROR(__xludf.DUMMYFUNCTION("GOOGLETRANSLATE(H2496,""th"",""en"")"),"Discount in the product")</f>
        <v>Discount in the product</v>
      </c>
    </row>
    <row r="2497" spans="1:11" ht="15.75" hidden="1" customHeight="1">
      <c r="A2497" s="133" t="s">
        <v>7</v>
      </c>
      <c r="B2497" s="133" t="s">
        <v>3176</v>
      </c>
      <c r="C2497" s="133" t="s">
        <v>3238</v>
      </c>
      <c r="D2497" s="133" t="s">
        <v>484</v>
      </c>
      <c r="E2497" s="158">
        <v>4</v>
      </c>
      <c r="F2497" s="158">
        <v>10</v>
      </c>
      <c r="G2497" s="158">
        <v>0</v>
      </c>
      <c r="H2497" s="133" t="s">
        <v>3239</v>
      </c>
      <c r="I2497" s="133" t="s">
        <v>615</v>
      </c>
      <c r="J2497" s="158">
        <v>0</v>
      </c>
      <c r="K2497" s="159" t="str">
        <f ca="1">IFERROR(__xludf.DUMMYFUNCTION("GOOGLETRANSLATE(H2497,""th"",""en"")"),"To sort productgroup")</f>
        <v>To sort productgroup</v>
      </c>
    </row>
    <row r="2498" spans="1:11" ht="15.75" hidden="1" customHeight="1">
      <c r="A2498" s="133" t="s">
        <v>7</v>
      </c>
      <c r="B2498" s="133" t="s">
        <v>3176</v>
      </c>
      <c r="C2498" s="133" t="s">
        <v>3240</v>
      </c>
      <c r="D2498" s="133" t="s">
        <v>484</v>
      </c>
      <c r="E2498" s="158">
        <v>4</v>
      </c>
      <c r="F2498" s="158">
        <v>10</v>
      </c>
      <c r="G2498" s="158">
        <v>0</v>
      </c>
      <c r="H2498" s="133" t="s">
        <v>3241</v>
      </c>
      <c r="I2498" s="133" t="s">
        <v>615</v>
      </c>
      <c r="J2498" s="158">
        <v>0</v>
      </c>
      <c r="K2498" s="159" t="str">
        <f ca="1">IFERROR(__xludf.DUMMYFUNCTION("GOOGLETRANSLATE(H2498,""th"",""en"")"),"To sort the product")</f>
        <v>To sort the product</v>
      </c>
    </row>
    <row r="2499" spans="1:11" ht="15.75" hidden="1" customHeight="1">
      <c r="A2499" s="133" t="s">
        <v>7</v>
      </c>
      <c r="B2499" s="133" t="s">
        <v>3176</v>
      </c>
      <c r="C2499" s="133" t="s">
        <v>852</v>
      </c>
      <c r="D2499" s="133" t="s">
        <v>477</v>
      </c>
      <c r="E2499" s="158">
        <v>2000</v>
      </c>
      <c r="F2499" s="158">
        <v>0</v>
      </c>
      <c r="G2499" s="158">
        <v>0</v>
      </c>
      <c r="H2499" s="133" t="s">
        <v>3242</v>
      </c>
      <c r="I2499" s="133" t="s">
        <v>548</v>
      </c>
      <c r="J2499" s="158">
        <v>0</v>
      </c>
      <c r="K2499" s="159" t="str">
        <f ca="1">IFERROR(__xludf.DUMMYFUNCTION("GOOGLETRANSLATE(H2499,""th"",""en"")"),"Keep keyword used to search for products")</f>
        <v>Keep keyword used to search for products</v>
      </c>
    </row>
    <row r="2500" spans="1:11" ht="15.75" hidden="1" customHeight="1">
      <c r="A2500" s="133" t="s">
        <v>7</v>
      </c>
      <c r="B2500" s="133" t="s">
        <v>3176</v>
      </c>
      <c r="C2500" s="133" t="s">
        <v>854</v>
      </c>
      <c r="D2500" s="133" t="s">
        <v>477</v>
      </c>
      <c r="E2500" s="158">
        <v>2000</v>
      </c>
      <c r="F2500" s="158">
        <v>0</v>
      </c>
      <c r="G2500" s="158">
        <v>0</v>
      </c>
      <c r="H2500" s="133" t="s">
        <v>3243</v>
      </c>
      <c r="I2500" s="133" t="s">
        <v>548</v>
      </c>
      <c r="J2500" s="158">
        <v>0</v>
      </c>
      <c r="K2500" s="159" t="str">
        <f ca="1">IFERROR(__xludf.DUMMYFUNCTION("GOOGLETRANSLATE(H2500,""th"",""en"")"),"Keep the product shared")</f>
        <v>Keep the product shared</v>
      </c>
    </row>
    <row r="2501" spans="1:11" ht="15.75" hidden="1" customHeight="1">
      <c r="A2501" s="133" t="s">
        <v>7</v>
      </c>
      <c r="B2501" s="133" t="s">
        <v>3176</v>
      </c>
      <c r="C2501" s="133" t="s">
        <v>856</v>
      </c>
      <c r="D2501" s="133" t="s">
        <v>477</v>
      </c>
      <c r="E2501" s="158">
        <v>2000</v>
      </c>
      <c r="F2501" s="158">
        <v>0</v>
      </c>
      <c r="G2501" s="158">
        <v>0</v>
      </c>
      <c r="H2501" s="133" t="s">
        <v>3244</v>
      </c>
      <c r="I2501" s="133" t="s">
        <v>548</v>
      </c>
      <c r="J2501" s="158">
        <v>0</v>
      </c>
      <c r="K2501" s="159" t="str">
        <f ca="1">IFERROR(__xludf.DUMMYFUNCTION("GOOGLETRANSLATE(H2501,""th"",""en"")"),"Keep KEY related products")</f>
        <v>Keep KEY related products</v>
      </c>
    </row>
    <row r="2502" spans="1:11" ht="15.75" hidden="1" customHeight="1">
      <c r="A2502" s="133" t="s">
        <v>7</v>
      </c>
      <c r="B2502" s="133" t="s">
        <v>3176</v>
      </c>
      <c r="C2502" s="133" t="s">
        <v>858</v>
      </c>
      <c r="D2502" s="133" t="s">
        <v>477</v>
      </c>
      <c r="E2502" s="158">
        <v>2000</v>
      </c>
      <c r="F2502" s="158">
        <v>0</v>
      </c>
      <c r="G2502" s="158">
        <v>0</v>
      </c>
      <c r="H2502" s="133" t="s">
        <v>3245</v>
      </c>
      <c r="I2502" s="133" t="s">
        <v>548</v>
      </c>
      <c r="J2502" s="158">
        <v>0</v>
      </c>
      <c r="K2502" s="159" t="str">
        <f ca="1">IFERROR(__xludf.DUMMYFUNCTION("GOOGLETRANSLATE(H2502,""th"",""en"")"),"Keep the product that is replaced")</f>
        <v>Keep the product that is replaced</v>
      </c>
    </row>
    <row r="2503" spans="1:11" ht="15.75" hidden="1" customHeight="1">
      <c r="A2503" s="133" t="s">
        <v>7</v>
      </c>
      <c r="B2503" s="133" t="s">
        <v>3176</v>
      </c>
      <c r="C2503" s="133" t="s">
        <v>3246</v>
      </c>
      <c r="D2503" s="133" t="s">
        <v>477</v>
      </c>
      <c r="E2503" s="158">
        <v>255</v>
      </c>
      <c r="F2503" s="158">
        <v>0</v>
      </c>
      <c r="G2503" s="158">
        <v>0</v>
      </c>
      <c r="H2503" s="133" t="s">
        <v>3247</v>
      </c>
      <c r="I2503" s="133" t="s">
        <v>548</v>
      </c>
      <c r="J2503" s="158">
        <v>0</v>
      </c>
      <c r="K2503" s="159" t="str">
        <f ca="1">IFERROR(__xludf.DUMMYFUNCTION("GOOGLETRANSLATE(H2503,""th"",""en"")"),"Discount information of this product (TEXT)")</f>
        <v>Discount information of this product (TEXT)</v>
      </c>
    </row>
    <row r="2504" spans="1:11" ht="15.75" hidden="1" customHeight="1">
      <c r="A2504" s="133" t="s">
        <v>7</v>
      </c>
      <c r="B2504" s="133" t="s">
        <v>3176</v>
      </c>
      <c r="C2504" s="133" t="s">
        <v>3248</v>
      </c>
      <c r="D2504" s="133" t="s">
        <v>477</v>
      </c>
      <c r="E2504" s="158">
        <v>255</v>
      </c>
      <c r="F2504" s="158">
        <v>0</v>
      </c>
      <c r="G2504" s="158">
        <v>0</v>
      </c>
      <c r="H2504" s="133" t="s">
        <v>3249</v>
      </c>
      <c r="I2504" s="133" t="s">
        <v>548</v>
      </c>
      <c r="J2504" s="158">
        <v>0</v>
      </c>
      <c r="K2504" s="159" t="str">
        <f ca="1">IFERROR(__xludf.DUMMYFUNCTION("GOOGLETRANSLATE(H2504,""th"",""en"")"),"Packing information of this product (Text)")</f>
        <v>Packing information of this product (Text)</v>
      </c>
    </row>
    <row r="2505" spans="1:11" ht="15.75" hidden="1" customHeight="1">
      <c r="A2505" s="133" t="s">
        <v>7</v>
      </c>
      <c r="B2505" s="133" t="s">
        <v>3176</v>
      </c>
      <c r="C2505" s="133" t="s">
        <v>3250</v>
      </c>
      <c r="D2505" s="133" t="s">
        <v>484</v>
      </c>
      <c r="E2505" s="158">
        <v>4</v>
      </c>
      <c r="F2505" s="158">
        <v>10</v>
      </c>
      <c r="G2505" s="158">
        <v>0</v>
      </c>
      <c r="H2505" s="133" t="s">
        <v>3251</v>
      </c>
      <c r="I2505" s="133" t="s">
        <v>615</v>
      </c>
      <c r="J2505" s="158">
        <v>0</v>
      </c>
      <c r="K2505" s="159" t="str">
        <f ca="1">IFERROR(__xludf.DUMMYFUNCTION("GOOGLETRANSLATE(H2505,""th"",""en"")"),"Fulfill number")</f>
        <v>Fulfill number</v>
      </c>
    </row>
    <row r="2506" spans="1:11" ht="15.75" hidden="1" customHeight="1">
      <c r="A2506" s="133" t="s">
        <v>7</v>
      </c>
      <c r="B2506" s="133" t="s">
        <v>3176</v>
      </c>
      <c r="C2506" s="133" t="s">
        <v>3252</v>
      </c>
      <c r="D2506" s="133" t="s">
        <v>484</v>
      </c>
      <c r="E2506" s="158">
        <v>4</v>
      </c>
      <c r="F2506" s="158">
        <v>10</v>
      </c>
      <c r="G2506" s="158">
        <v>0</v>
      </c>
      <c r="H2506" s="133" t="s">
        <v>3253</v>
      </c>
      <c r="I2506" s="133" t="s">
        <v>615</v>
      </c>
      <c r="J2506" s="158">
        <v>0</v>
      </c>
      <c r="K2506" s="159" t="str">
        <f ca="1">IFERROR(__xludf.DUMMYFUNCTION("GOOGLETRANSLATE(H2506,""th"",""en"")"),"Warning point")</f>
        <v>Warning point</v>
      </c>
    </row>
    <row r="2507" spans="1:11" ht="15.75" hidden="1" customHeight="1">
      <c r="A2507" s="133" t="s">
        <v>7</v>
      </c>
      <c r="B2507" s="133" t="s">
        <v>3176</v>
      </c>
      <c r="C2507" s="133" t="s">
        <v>3254</v>
      </c>
      <c r="D2507" s="133" t="s">
        <v>484</v>
      </c>
      <c r="E2507" s="158">
        <v>4</v>
      </c>
      <c r="F2507" s="158">
        <v>10</v>
      </c>
      <c r="G2507" s="158">
        <v>0</v>
      </c>
      <c r="H2507" s="133" t="s">
        <v>3255</v>
      </c>
      <c r="I2507" s="133" t="s">
        <v>548</v>
      </c>
      <c r="J2507" s="158">
        <v>0</v>
      </c>
      <c r="K2507" s="159" t="str">
        <f ca="1">IFERROR(__xludf.DUMMYFUNCTION("GOOGLETRANSLATE(H2507,""th"",""en"")"),"Period Aging of the product for storage reminder Supplier (90, 120, 360)")</f>
        <v>Period Aging of the product for storage reminder Supplier (90, 120, 360)</v>
      </c>
    </row>
    <row r="2508" spans="1:11" ht="15.75" hidden="1" customHeight="1">
      <c r="A2508" s="133" t="s">
        <v>7</v>
      </c>
      <c r="B2508" s="133" t="s">
        <v>3176</v>
      </c>
      <c r="C2508" s="133" t="s">
        <v>3256</v>
      </c>
      <c r="D2508" s="133" t="s">
        <v>477</v>
      </c>
      <c r="E2508" s="158">
        <v>3</v>
      </c>
      <c r="F2508" s="158">
        <v>0</v>
      </c>
      <c r="G2508" s="158">
        <v>0</v>
      </c>
      <c r="H2508" s="133" t="s">
        <v>3257</v>
      </c>
      <c r="I2508" s="133" t="s">
        <v>596</v>
      </c>
      <c r="J2508" s="158">
        <v>0</v>
      </c>
      <c r="K2508" s="159" t="str">
        <f ca="1">IFERROR(__xludf.DUMMYFUNCTION("GOOGLETRANSLATE(H2508,""th"",""en"")"),"Is a product that is sold at megashop")</f>
        <v>Is a product that is sold at megashop</v>
      </c>
    </row>
    <row r="2509" spans="1:11" ht="15.75" hidden="1" customHeight="1">
      <c r="A2509" s="133" t="s">
        <v>7</v>
      </c>
      <c r="B2509" s="133" t="s">
        <v>3176</v>
      </c>
      <c r="C2509" s="133" t="s">
        <v>3258</v>
      </c>
      <c r="D2509" s="133" t="s">
        <v>477</v>
      </c>
      <c r="E2509" s="158">
        <v>100</v>
      </c>
      <c r="F2509" s="158">
        <v>0</v>
      </c>
      <c r="G2509" s="158">
        <v>0</v>
      </c>
      <c r="H2509" s="133" t="s">
        <v>3259</v>
      </c>
      <c r="I2509" s="133" t="s">
        <v>548</v>
      </c>
      <c r="J2509" s="158">
        <v>0</v>
      </c>
      <c r="K2509" s="159" t="str">
        <f ca="1">IFERROR(__xludf.DUMMYFUNCTION("GOOGLETRANSLATE(H2509,""th"",""en"")"),"Note Promotion")</f>
        <v>Note Promotion</v>
      </c>
    </row>
    <row r="2510" spans="1:11" ht="15.75" hidden="1" customHeight="1">
      <c r="A2510" s="133" t="s">
        <v>7</v>
      </c>
      <c r="B2510" s="133" t="s">
        <v>3176</v>
      </c>
      <c r="C2510" s="133" t="s">
        <v>3260</v>
      </c>
      <c r="D2510" s="133" t="s">
        <v>477</v>
      </c>
      <c r="E2510" s="158">
        <v>3</v>
      </c>
      <c r="F2510" s="158">
        <v>0</v>
      </c>
      <c r="G2510" s="158">
        <v>0</v>
      </c>
      <c r="H2510" s="133" t="s">
        <v>3261</v>
      </c>
      <c r="I2510" s="133" t="s">
        <v>596</v>
      </c>
      <c r="J2510" s="158">
        <v>0</v>
      </c>
      <c r="K2510" s="159" t="str">
        <f ca="1">IFERROR(__xludf.DUMMYFUNCTION("GOOGLETRANSLATE(H2510,""th"",""en"")"),"No = normal, yes = product order or order")</f>
        <v>No = normal, yes = product order or order</v>
      </c>
    </row>
    <row r="2511" spans="1:11" ht="15.75" hidden="1" customHeight="1">
      <c r="A2511" s="133" t="s">
        <v>7</v>
      </c>
      <c r="B2511" s="133" t="s">
        <v>3176</v>
      </c>
      <c r="C2511" s="133" t="s">
        <v>3262</v>
      </c>
      <c r="D2511" s="133" t="s">
        <v>477</v>
      </c>
      <c r="E2511" s="158">
        <v>3</v>
      </c>
      <c r="F2511" s="158">
        <v>0</v>
      </c>
      <c r="G2511" s="158">
        <v>0</v>
      </c>
      <c r="H2511" s="133" t="s">
        <v>3263</v>
      </c>
      <c r="I2511" s="133" t="s">
        <v>596</v>
      </c>
      <c r="J2511" s="158">
        <v>0</v>
      </c>
      <c r="K2511" s="159" t="str">
        <f ca="1">IFERROR(__xludf.DUMMYFUNCTION("GOOGLETRANSLATE(H2511,""th"",""en"")"),"NO = normal, yes = products that are assembled / installed")</f>
        <v>NO = normal, yes = products that are assembled / installed</v>
      </c>
    </row>
    <row r="2512" spans="1:11" ht="15.75" hidden="1" customHeight="1">
      <c r="A2512" s="133" t="s">
        <v>7</v>
      </c>
      <c r="B2512" s="133" t="s">
        <v>3176</v>
      </c>
      <c r="C2512" s="133" t="s">
        <v>3264</v>
      </c>
      <c r="D2512" s="133" t="s">
        <v>477</v>
      </c>
      <c r="E2512" s="158">
        <v>3</v>
      </c>
      <c r="F2512" s="158">
        <v>0</v>
      </c>
      <c r="G2512" s="158">
        <v>0</v>
      </c>
      <c r="H2512" s="133" t="s">
        <v>3265</v>
      </c>
      <c r="I2512" s="133" t="s">
        <v>596</v>
      </c>
      <c r="J2512" s="158">
        <v>0</v>
      </c>
      <c r="K2512" s="159" t="str">
        <f ca="1">IFERROR(__xludf.DUMMYFUNCTION("GOOGLETRANSLATE(H2512,""th"",""en"")"),"No = normal, yes = product is guaranteed")</f>
        <v>No = normal, yes = product is guaranteed</v>
      </c>
    </row>
    <row r="2513" spans="1:11" ht="15.75" hidden="1" customHeight="1">
      <c r="A2513" s="133" t="s">
        <v>7</v>
      </c>
      <c r="B2513" s="133" t="s">
        <v>3176</v>
      </c>
      <c r="C2513" s="133" t="s">
        <v>2481</v>
      </c>
      <c r="D2513" s="133" t="s">
        <v>477</v>
      </c>
      <c r="E2513" s="158">
        <v>3</v>
      </c>
      <c r="F2513" s="158">
        <v>0</v>
      </c>
      <c r="G2513" s="158">
        <v>0</v>
      </c>
      <c r="H2513" s="133" t="s">
        <v>3266</v>
      </c>
      <c r="I2513" s="133" t="s">
        <v>596</v>
      </c>
      <c r="J2513" s="158">
        <v>0</v>
      </c>
      <c r="K2513" s="159" t="str">
        <f ca="1">IFERROR(__xludf.DUMMYFUNCTION("GOOGLETRANSLATE(H2513,""th"",""en"")"),"NO = normal, yes = Products shipped within 3-7 days")</f>
        <v>NO = normal, yes = Products shipped within 3-7 days</v>
      </c>
    </row>
    <row r="2514" spans="1:11" ht="15.75" hidden="1" customHeight="1">
      <c r="A2514" s="133" t="s">
        <v>7</v>
      </c>
      <c r="B2514" s="133" t="s">
        <v>3176</v>
      </c>
      <c r="C2514" s="133" t="s">
        <v>3267</v>
      </c>
      <c r="D2514" s="133" t="s">
        <v>477</v>
      </c>
      <c r="E2514" s="158">
        <v>3</v>
      </c>
      <c r="F2514" s="158">
        <v>0</v>
      </c>
      <c r="G2514" s="158">
        <v>0</v>
      </c>
      <c r="H2514" s="133" t="s">
        <v>3268</v>
      </c>
      <c r="I2514" s="133" t="s">
        <v>596</v>
      </c>
      <c r="J2514" s="158">
        <v>0</v>
      </c>
      <c r="K2514" s="159" t="str">
        <f ca="1">IFERROR(__xludf.DUMMYFUNCTION("GOOGLETRANSLATE(H2514,""th"",""en"")"),"The product is charged for additional shipping [NO = normally, no additional shipping fees, yes = with additional shipping charges or products with special shipping charges for the provinces]")</f>
        <v>The product is charged for additional shipping [NO = normally, no additional shipping fees, yes = with additional shipping charges or products with special shipping charges for the provinces]</v>
      </c>
    </row>
    <row r="2515" spans="1:11" ht="15.75" hidden="1" customHeight="1">
      <c r="A2515" s="133" t="s">
        <v>7</v>
      </c>
      <c r="B2515" s="133" t="s">
        <v>3176</v>
      </c>
      <c r="C2515" s="133" t="s">
        <v>3269</v>
      </c>
      <c r="D2515" s="133" t="s">
        <v>477</v>
      </c>
      <c r="E2515" s="158">
        <v>3</v>
      </c>
      <c r="F2515" s="158">
        <v>0</v>
      </c>
      <c r="G2515" s="158">
        <v>0</v>
      </c>
      <c r="H2515" s="133" t="s">
        <v>3270</v>
      </c>
      <c r="I2515" s="133" t="s">
        <v>596</v>
      </c>
      <c r="J2515" s="158">
        <v>0</v>
      </c>
      <c r="K2515" s="159" t="str">
        <f ca="1">IFERROR(__xludf.DUMMYFUNCTION("GOOGLETRANSLATE(H2515,""th"",""en"")"),"No = normal, yes = environmental protection products")</f>
        <v>No = normal, yes = environmental protection products</v>
      </c>
    </row>
    <row r="2516" spans="1:11" ht="15.75" hidden="1" customHeight="1">
      <c r="A2516" s="133" t="s">
        <v>7</v>
      </c>
      <c r="B2516" s="133" t="s">
        <v>3176</v>
      </c>
      <c r="C2516" s="133" t="s">
        <v>3271</v>
      </c>
      <c r="D2516" s="133" t="s">
        <v>481</v>
      </c>
      <c r="E2516" s="158">
        <v>5</v>
      </c>
      <c r="F2516" s="158">
        <v>9</v>
      </c>
      <c r="G2516" s="158">
        <v>2</v>
      </c>
      <c r="H2516" s="133" t="s">
        <v>3272</v>
      </c>
      <c r="I2516" s="133" t="s">
        <v>615</v>
      </c>
      <c r="J2516" s="158">
        <v>0</v>
      </c>
      <c r="K2516" s="159" t="str">
        <f ca="1">IFERROR(__xludf.DUMMYFUNCTION("GOOGLETRANSLATE(H2516,""th"",""en"")"),"wide")</f>
        <v>wide</v>
      </c>
    </row>
    <row r="2517" spans="1:11" ht="15.75" hidden="1" customHeight="1">
      <c r="A2517" s="133" t="s">
        <v>7</v>
      </c>
      <c r="B2517" s="133" t="s">
        <v>3176</v>
      </c>
      <c r="C2517" s="133" t="s">
        <v>3273</v>
      </c>
      <c r="D2517" s="133" t="s">
        <v>481</v>
      </c>
      <c r="E2517" s="158">
        <v>5</v>
      </c>
      <c r="F2517" s="158">
        <v>9</v>
      </c>
      <c r="G2517" s="158">
        <v>2</v>
      </c>
      <c r="H2517" s="133" t="s">
        <v>3274</v>
      </c>
      <c r="I2517" s="133" t="s">
        <v>615</v>
      </c>
      <c r="J2517" s="158">
        <v>0</v>
      </c>
      <c r="K2517" s="159" t="str">
        <f ca="1">IFERROR(__xludf.DUMMYFUNCTION("GOOGLETRANSLATE(H2517,""th"",""en"")"),"long")</f>
        <v>long</v>
      </c>
    </row>
    <row r="2518" spans="1:11" ht="15.75" hidden="1" customHeight="1">
      <c r="A2518" s="133" t="s">
        <v>7</v>
      </c>
      <c r="B2518" s="133" t="s">
        <v>3176</v>
      </c>
      <c r="C2518" s="133" t="s">
        <v>3275</v>
      </c>
      <c r="D2518" s="133" t="s">
        <v>481</v>
      </c>
      <c r="E2518" s="158">
        <v>5</v>
      </c>
      <c r="F2518" s="158">
        <v>9</v>
      </c>
      <c r="G2518" s="158">
        <v>2</v>
      </c>
      <c r="H2518" s="133" t="s">
        <v>3276</v>
      </c>
      <c r="I2518" s="133" t="s">
        <v>615</v>
      </c>
      <c r="J2518" s="158">
        <v>0</v>
      </c>
      <c r="K2518" s="159" t="str">
        <f ca="1">IFERROR(__xludf.DUMMYFUNCTION("GOOGLETRANSLATE(H2518,""th"",""en"")"),"high")</f>
        <v>high</v>
      </c>
    </row>
    <row r="2519" spans="1:11" ht="15.75" hidden="1" customHeight="1">
      <c r="A2519" s="133" t="s">
        <v>7</v>
      </c>
      <c r="B2519" s="133" t="s">
        <v>3176</v>
      </c>
      <c r="C2519" s="133" t="s">
        <v>3277</v>
      </c>
      <c r="D2519" s="133" t="s">
        <v>481</v>
      </c>
      <c r="E2519" s="158">
        <v>5</v>
      </c>
      <c r="F2519" s="158">
        <v>9</v>
      </c>
      <c r="G2519" s="158">
        <v>3</v>
      </c>
      <c r="H2519" s="133" t="s">
        <v>3278</v>
      </c>
      <c r="I2519" s="133" t="s">
        <v>615</v>
      </c>
      <c r="J2519" s="158">
        <v>0</v>
      </c>
      <c r="K2519" s="159" t="str">
        <f ca="1">IFERROR(__xludf.DUMMYFUNCTION("GOOGLETRANSLATE(H2519,""th"",""en"")"),"weight")</f>
        <v>weight</v>
      </c>
    </row>
    <row r="2520" spans="1:11" ht="15.75" hidden="1" customHeight="1">
      <c r="A2520" s="133" t="s">
        <v>7</v>
      </c>
      <c r="B2520" s="133" t="s">
        <v>3176</v>
      </c>
      <c r="C2520" s="133" t="s">
        <v>3279</v>
      </c>
      <c r="D2520" s="133" t="s">
        <v>477</v>
      </c>
      <c r="E2520" s="158">
        <v>3</v>
      </c>
      <c r="F2520" s="158">
        <v>0</v>
      </c>
      <c r="G2520" s="158">
        <v>0</v>
      </c>
      <c r="H2520" s="133" t="s">
        <v>3280</v>
      </c>
      <c r="I2520" s="133" t="s">
        <v>596</v>
      </c>
      <c r="J2520" s="158">
        <v>0</v>
      </c>
      <c r="K2520" s="159" t="str">
        <f ca="1">IFERROR(__xludf.DUMMYFUNCTION("GOOGLETRANSLATE(H2520,""th"",""en"")"),"Yes, no as spare parts")</f>
        <v>Yes, no as spare parts</v>
      </c>
    </row>
    <row r="2521" spans="1:11" ht="15.75" hidden="1" customHeight="1">
      <c r="A2521" s="133" t="s">
        <v>7</v>
      </c>
      <c r="B2521" s="133" t="s">
        <v>3176</v>
      </c>
      <c r="C2521" s="133" t="s">
        <v>3281</v>
      </c>
      <c r="D2521" s="133" t="s">
        <v>477</v>
      </c>
      <c r="E2521" s="158">
        <v>3</v>
      </c>
      <c r="F2521" s="158">
        <v>0</v>
      </c>
      <c r="G2521" s="158">
        <v>0</v>
      </c>
      <c r="H2521" s="133" t="s">
        <v>3282</v>
      </c>
      <c r="I2521" s="133" t="s">
        <v>2011</v>
      </c>
      <c r="J2521" s="158">
        <v>0</v>
      </c>
      <c r="K2521" s="159" t="str">
        <f ca="1">IFERROR(__xludf.DUMMYFUNCTION("GOOGLETRANSLATE(H2521,""th"",""en"")"),"Yes = send, no = not sent outside the delivery area")</f>
        <v>Yes = send, no = not sent outside the delivery area</v>
      </c>
    </row>
    <row r="2522" spans="1:11" ht="15.75" hidden="1" customHeight="1">
      <c r="A2522" s="133" t="s">
        <v>7</v>
      </c>
      <c r="B2522" s="133" t="s">
        <v>3176</v>
      </c>
      <c r="C2522" s="133" t="s">
        <v>523</v>
      </c>
      <c r="D2522" s="133" t="s">
        <v>477</v>
      </c>
      <c r="E2522" s="158">
        <v>8</v>
      </c>
      <c r="F2522" s="158">
        <v>0</v>
      </c>
      <c r="G2522" s="158">
        <v>0</v>
      </c>
      <c r="H2522" s="133" t="s">
        <v>2046</v>
      </c>
      <c r="I2522" s="133" t="s">
        <v>548</v>
      </c>
      <c r="J2522" s="158">
        <v>0</v>
      </c>
      <c r="K2522" s="159" t="str">
        <f ca="1">IFERROR(__xludf.DUMMYFUNCTION("GOOGLETRANSLATE(H2522,""th"",""en"")"),"Product Creator")</f>
        <v>Product Creator</v>
      </c>
    </row>
    <row r="2523" spans="1:11" ht="15.75" hidden="1" customHeight="1">
      <c r="A2523" s="133" t="s">
        <v>7</v>
      </c>
      <c r="B2523" s="133" t="s">
        <v>3176</v>
      </c>
      <c r="C2523" s="133" t="s">
        <v>669</v>
      </c>
      <c r="D2523" s="133" t="s">
        <v>800</v>
      </c>
      <c r="E2523" s="158">
        <v>8</v>
      </c>
      <c r="F2523" s="158">
        <v>27</v>
      </c>
      <c r="G2523" s="158">
        <v>7</v>
      </c>
      <c r="H2523" s="133" t="s">
        <v>2047</v>
      </c>
      <c r="I2523" s="133" t="s">
        <v>801</v>
      </c>
      <c r="J2523" s="158">
        <v>0</v>
      </c>
      <c r="K2523" s="159" t="str">
        <f ca="1">IFERROR(__xludf.DUMMYFUNCTION("GOOGLETRANSLATE(H2523,""th"",""en"")"),"Date of creating products")</f>
        <v>Date of creating products</v>
      </c>
    </row>
    <row r="2524" spans="1:11" ht="15.75" hidden="1" customHeight="1">
      <c r="A2524" s="133" t="s">
        <v>7</v>
      </c>
      <c r="B2524" s="133" t="s">
        <v>3176</v>
      </c>
      <c r="C2524" s="133" t="s">
        <v>670</v>
      </c>
      <c r="D2524" s="133" t="s">
        <v>477</v>
      </c>
      <c r="E2524" s="158">
        <v>8</v>
      </c>
      <c r="F2524" s="158">
        <v>0</v>
      </c>
      <c r="G2524" s="158">
        <v>0</v>
      </c>
      <c r="H2524" s="133" t="s">
        <v>2048</v>
      </c>
      <c r="I2524" s="133" t="s">
        <v>548</v>
      </c>
      <c r="J2524" s="158">
        <v>0</v>
      </c>
      <c r="K2524" s="159" t="str">
        <f ca="1">IFERROR(__xludf.DUMMYFUNCTION("GOOGLETRANSLATE(H2524,""th"",""en"")"),"Product Information Editor")</f>
        <v>Product Information Editor</v>
      </c>
    </row>
    <row r="2525" spans="1:11" ht="15.75" hidden="1" customHeight="1">
      <c r="A2525" s="133" t="s">
        <v>7</v>
      </c>
      <c r="B2525" s="133" t="s">
        <v>3176</v>
      </c>
      <c r="C2525" s="133" t="s">
        <v>215</v>
      </c>
      <c r="D2525" s="133" t="s">
        <v>800</v>
      </c>
      <c r="E2525" s="158">
        <v>8</v>
      </c>
      <c r="F2525" s="158">
        <v>27</v>
      </c>
      <c r="G2525" s="158">
        <v>7</v>
      </c>
      <c r="H2525" s="133" t="s">
        <v>2049</v>
      </c>
      <c r="I2525" s="133" t="s">
        <v>801</v>
      </c>
      <c r="J2525" s="158">
        <v>0</v>
      </c>
      <c r="K2525" s="159" t="str">
        <f ca="1">IFERROR(__xludf.DUMMYFUNCTION("GOOGLETRANSLATE(H2525,""th"",""en"")"),"Product Editing Date")</f>
        <v>Product Editing Date</v>
      </c>
    </row>
    <row r="2526" spans="1:11" ht="15.75" hidden="1" customHeight="1">
      <c r="A2526" s="133" t="s">
        <v>7</v>
      </c>
      <c r="B2526" s="133" t="s">
        <v>3176</v>
      </c>
      <c r="C2526" s="133" t="s">
        <v>2347</v>
      </c>
      <c r="D2526" s="133" t="s">
        <v>477</v>
      </c>
      <c r="E2526" s="158">
        <v>6</v>
      </c>
      <c r="F2526" s="158">
        <v>0</v>
      </c>
      <c r="G2526" s="158">
        <v>0</v>
      </c>
      <c r="H2526" s="133" t="s">
        <v>3283</v>
      </c>
      <c r="I2526" s="133" t="s">
        <v>548</v>
      </c>
      <c r="J2526" s="277">
        <v>1</v>
      </c>
      <c r="K2526" s="159" t="str">
        <f ca="1">IFERROR(__xludf.DUMMYFUNCTION("GOOGLETRANSLATE(H2526,""th"",""en"")"),"OD Production Code")</f>
        <v>OD Production Code</v>
      </c>
    </row>
    <row r="2527" spans="1:11" ht="15.75" hidden="1" customHeight="1">
      <c r="A2527" s="133" t="s">
        <v>7</v>
      </c>
      <c r="B2527" s="133" t="s">
        <v>3176</v>
      </c>
      <c r="C2527" s="133" t="s">
        <v>3284</v>
      </c>
      <c r="D2527" s="133" t="s">
        <v>481</v>
      </c>
      <c r="E2527" s="158">
        <v>5</v>
      </c>
      <c r="F2527" s="158">
        <v>9</v>
      </c>
      <c r="G2527" s="158">
        <v>3</v>
      </c>
      <c r="H2527" s="133" t="s">
        <v>3285</v>
      </c>
      <c r="I2527" s="133" t="s">
        <v>615</v>
      </c>
      <c r="J2527" s="158">
        <v>0</v>
      </c>
      <c r="K2527" s="159" t="str">
        <f ca="1">IFERROR(__xludf.DUMMYFUNCTION("GOOGLETRANSLATE(H2527,""th"",""en"")"),"cube")</f>
        <v>cube</v>
      </c>
    </row>
    <row r="2528" spans="1:11" ht="15.75" hidden="1" customHeight="1">
      <c r="A2528" s="133" t="s">
        <v>7</v>
      </c>
      <c r="B2528" s="133" t="s">
        <v>3176</v>
      </c>
      <c r="C2528" s="133" t="s">
        <v>1770</v>
      </c>
      <c r="D2528" s="133" t="s">
        <v>477</v>
      </c>
      <c r="E2528" s="158">
        <v>3</v>
      </c>
      <c r="F2528" s="158">
        <v>0</v>
      </c>
      <c r="G2528" s="158">
        <v>0</v>
      </c>
      <c r="H2528" s="133" t="s">
        <v>3286</v>
      </c>
      <c r="I2528" s="133" t="s">
        <v>548</v>
      </c>
      <c r="J2528" s="158">
        <v>0</v>
      </c>
      <c r="K2528" s="159" t="str">
        <f ca="1">IFERROR(__xludf.DUMMYFUNCTION("GOOGLETRANSLATE(H2528,""th"",""en"")"),"DEPT of OD products")</f>
        <v>DEPT of OD products</v>
      </c>
    </row>
    <row r="2529" spans="1:11" ht="15.75" hidden="1" customHeight="1">
      <c r="A2529" s="133" t="s">
        <v>7</v>
      </c>
      <c r="B2529" s="133" t="s">
        <v>3176</v>
      </c>
      <c r="C2529" s="133" t="s">
        <v>1774</v>
      </c>
      <c r="D2529" s="133" t="s">
        <v>477</v>
      </c>
      <c r="E2529" s="158">
        <v>3</v>
      </c>
      <c r="F2529" s="158">
        <v>0</v>
      </c>
      <c r="G2529" s="158">
        <v>0</v>
      </c>
      <c r="H2529" s="133" t="s">
        <v>3287</v>
      </c>
      <c r="I2529" s="133" t="s">
        <v>548</v>
      </c>
      <c r="J2529" s="158">
        <v>0</v>
      </c>
      <c r="K2529" s="159" t="str">
        <f ca="1">IFERROR(__xludf.DUMMYFUNCTION("GOOGLETRANSLATE(H2529,""th"",""en"")"),"Sub_DPT of OD products")</f>
        <v>Sub_DPT of OD products</v>
      </c>
    </row>
    <row r="2530" spans="1:11" ht="15.75" hidden="1" customHeight="1">
      <c r="A2530" s="133" t="s">
        <v>7</v>
      </c>
      <c r="B2530" s="133" t="s">
        <v>3176</v>
      </c>
      <c r="C2530" s="133" t="s">
        <v>1127</v>
      </c>
      <c r="D2530" s="133" t="s">
        <v>477</v>
      </c>
      <c r="E2530" s="158">
        <v>3</v>
      </c>
      <c r="F2530" s="158">
        <v>0</v>
      </c>
      <c r="G2530" s="158">
        <v>0</v>
      </c>
      <c r="H2530" s="133" t="s">
        <v>3288</v>
      </c>
      <c r="I2530" s="133" t="s">
        <v>548</v>
      </c>
      <c r="J2530" s="158">
        <v>0</v>
      </c>
      <c r="K2530" s="159" t="str">
        <f ca="1">IFERROR(__xludf.DUMMYFUNCTION("GOOGLETRANSLATE(H2530,""th"",""en"")"),"Class of OD products")</f>
        <v>Class of OD products</v>
      </c>
    </row>
    <row r="2531" spans="1:11" ht="15.75" hidden="1" customHeight="1">
      <c r="A2531" s="133" t="s">
        <v>7</v>
      </c>
      <c r="B2531" s="133" t="s">
        <v>3176</v>
      </c>
      <c r="C2531" s="133" t="s">
        <v>1781</v>
      </c>
      <c r="D2531" s="133" t="s">
        <v>477</v>
      </c>
      <c r="E2531" s="158">
        <v>3</v>
      </c>
      <c r="F2531" s="158">
        <v>0</v>
      </c>
      <c r="G2531" s="158">
        <v>0</v>
      </c>
      <c r="H2531" s="133" t="s">
        <v>2859</v>
      </c>
      <c r="I2531" s="133" t="s">
        <v>548</v>
      </c>
      <c r="J2531" s="158">
        <v>0</v>
      </c>
      <c r="K2531" s="159" t="str">
        <f ca="1">IFERROR(__xludf.DUMMYFUNCTION("GOOGLETRANSLATE(H2531,""th"",""en"")"),"Sub_cls of OD products")</f>
        <v>Sub_cls of OD products</v>
      </c>
    </row>
    <row r="2532" spans="1:11" ht="15.75" hidden="1" customHeight="1">
      <c r="A2532" s="133" t="s">
        <v>7</v>
      </c>
      <c r="B2532" s="133" t="s">
        <v>3176</v>
      </c>
      <c r="C2532" s="133" t="s">
        <v>3289</v>
      </c>
      <c r="D2532" s="133" t="s">
        <v>477</v>
      </c>
      <c r="E2532" s="158">
        <v>20</v>
      </c>
      <c r="F2532" s="158">
        <v>0</v>
      </c>
      <c r="G2532" s="158">
        <v>0</v>
      </c>
      <c r="H2532" s="133" t="s">
        <v>3290</v>
      </c>
      <c r="I2532" s="133" t="s">
        <v>548</v>
      </c>
      <c r="J2532" s="277">
        <v>1</v>
      </c>
      <c r="K2532" s="159" t="str">
        <f ca="1">IFERROR(__xludf.DUMMYFUNCTION("GOOGLETRANSLATE(H2532,""th"",""en"")"),"Barcode Shop OD")</f>
        <v>Barcode Shop OD</v>
      </c>
    </row>
    <row r="2533" spans="1:11" ht="15.75" hidden="1" customHeight="1">
      <c r="A2533" s="133" t="s">
        <v>7</v>
      </c>
      <c r="B2533" s="133" t="s">
        <v>3176</v>
      </c>
      <c r="C2533" s="133" t="s">
        <v>3291</v>
      </c>
      <c r="D2533" s="133" t="s">
        <v>477</v>
      </c>
      <c r="E2533" s="158">
        <v>3</v>
      </c>
      <c r="F2533" s="158">
        <v>0</v>
      </c>
      <c r="G2533" s="158">
        <v>0</v>
      </c>
      <c r="H2533" s="133" t="s">
        <v>3292</v>
      </c>
      <c r="I2533" s="133" t="s">
        <v>596</v>
      </c>
      <c r="J2533" s="158">
        <v>0</v>
      </c>
      <c r="K2533" s="159" t="str">
        <f ca="1">IFERROR(__xludf.DUMMYFUNCTION("GOOGLETRANSLATE(H2533,""th"",""en"")"),"Products affiliates (MPS, I-PRO, CRC products)")</f>
        <v>Products affiliates (MPS, I-PRO, CRC products)</v>
      </c>
    </row>
    <row r="2534" spans="1:11" ht="15.75" hidden="1" customHeight="1">
      <c r="A2534" s="133" t="s">
        <v>7</v>
      </c>
      <c r="B2534" s="133" t="s">
        <v>3176</v>
      </c>
      <c r="C2534" s="133" t="s">
        <v>3293</v>
      </c>
      <c r="D2534" s="133" t="s">
        <v>477</v>
      </c>
      <c r="E2534" s="158">
        <v>5</v>
      </c>
      <c r="F2534" s="158">
        <v>0</v>
      </c>
      <c r="G2534" s="158">
        <v>0</v>
      </c>
      <c r="H2534" s="133" t="s">
        <v>3294</v>
      </c>
      <c r="I2534" s="133" t="s">
        <v>548</v>
      </c>
      <c r="J2534" s="158">
        <v>0</v>
      </c>
      <c r="K2534" s="159" t="str">
        <f ca="1">IFERROR(__xludf.DUMMYFUNCTION("GOOGLETRANSLATE(H2534,""th"",""en"")"),"The acquisition of CPCID comes from the assignment of the DEPT SUBDEPT Class subclass of the product and has to send CPCID to the FAST (if there is no CPCID program that cannot be sent to the FAST, so Default 26100)")</f>
        <v>The acquisition of CPCID comes from the assignment of the DEPT SUBDEPT Class subclass of the product and has to send CPCID to the FAST (if there is no CPCID program that cannot be sent to the FAST, so Default 26100)</v>
      </c>
    </row>
    <row r="2535" spans="1:11" ht="15.75" hidden="1" customHeight="1">
      <c r="A2535" s="133" t="s">
        <v>7</v>
      </c>
      <c r="B2535" s="133" t="s">
        <v>3176</v>
      </c>
      <c r="C2535" s="133" t="s">
        <v>3295</v>
      </c>
      <c r="D2535" s="133" t="s">
        <v>477</v>
      </c>
      <c r="E2535" s="158">
        <v>3</v>
      </c>
      <c r="F2535" s="158">
        <v>0</v>
      </c>
      <c r="G2535" s="158">
        <v>0</v>
      </c>
      <c r="H2535" s="133" t="s">
        <v>3296</v>
      </c>
      <c r="I2535" s="133" t="s">
        <v>596</v>
      </c>
      <c r="J2535" s="158">
        <v>0</v>
      </c>
      <c r="K2535" s="159" t="str">
        <f ca="1">IFERROR(__xludf.DUMMYFUNCTION("GOOGLETRANSLATE(H2535,""th"",""en"")"),"Flag Catalog OD")</f>
        <v>Flag Catalog OD</v>
      </c>
    </row>
    <row r="2536" spans="1:11" ht="15.75" hidden="1" customHeight="1">
      <c r="A2536" s="133" t="s">
        <v>7</v>
      </c>
      <c r="B2536" s="133" t="s">
        <v>3176</v>
      </c>
      <c r="C2536" s="133" t="s">
        <v>3297</v>
      </c>
      <c r="D2536" s="133" t="s">
        <v>477</v>
      </c>
      <c r="E2536" s="158">
        <v>30</v>
      </c>
      <c r="F2536" s="158">
        <v>0</v>
      </c>
      <c r="G2536" s="158">
        <v>0</v>
      </c>
      <c r="H2536" s="133" t="s">
        <v>3298</v>
      </c>
      <c r="I2536" s="133" t="s">
        <v>548</v>
      </c>
      <c r="J2536" s="158">
        <v>0</v>
      </c>
      <c r="K2536" s="159" t="str">
        <f ca="1">IFERROR(__xludf.DUMMYFUNCTION("GOOGLETRANSLATE(H2536,""th"",""en"")"),"BU product code")</f>
        <v>BU product code</v>
      </c>
    </row>
    <row r="2537" spans="1:11" ht="15.75" hidden="1" customHeight="1">
      <c r="A2537" s="133" t="s">
        <v>7</v>
      </c>
      <c r="B2537" s="133" t="s">
        <v>3176</v>
      </c>
      <c r="C2537" s="133" t="s">
        <v>1787</v>
      </c>
      <c r="D2537" s="133" t="s">
        <v>477</v>
      </c>
      <c r="E2537" s="158">
        <v>10</v>
      </c>
      <c r="F2537" s="158">
        <v>0</v>
      </c>
      <c r="G2537" s="158">
        <v>0</v>
      </c>
      <c r="H2537" s="133" t="s">
        <v>3299</v>
      </c>
      <c r="I2537" s="133" t="s">
        <v>548</v>
      </c>
      <c r="J2537" s="158">
        <v>0</v>
      </c>
      <c r="K2537" s="159" t="str">
        <f ca="1">IFERROR(__xludf.DUMMYFUNCTION("GOOGLETRANSLATE(H2537,""th"",""en"")"),"What is the product of BU?")</f>
        <v>What is the product of BU?</v>
      </c>
    </row>
    <row r="2538" spans="1:11" ht="15.75" hidden="1" customHeight="1">
      <c r="A2538" s="133" t="s">
        <v>7</v>
      </c>
      <c r="B2538" s="133" t="s">
        <v>3176</v>
      </c>
      <c r="C2538" s="133" t="s">
        <v>3300</v>
      </c>
      <c r="D2538" s="133" t="s">
        <v>477</v>
      </c>
      <c r="E2538" s="158">
        <v>3</v>
      </c>
      <c r="F2538" s="158">
        <v>0</v>
      </c>
      <c r="G2538" s="158">
        <v>0</v>
      </c>
      <c r="H2538" s="133" t="s">
        <v>3301</v>
      </c>
      <c r="I2538" s="133" t="s">
        <v>596</v>
      </c>
      <c r="J2538" s="158">
        <v>0</v>
      </c>
      <c r="K2538" s="159" t="str">
        <f ca="1">IFERROR(__xludf.DUMMYFUNCTION("GOOGLETRANSLATE(H2538,""th"",""en"")"),"Return conditions (yes = night, no = night)")</f>
        <v>Return conditions (yes = night, no = night)</v>
      </c>
    </row>
    <row r="2539" spans="1:11" ht="15.75" hidden="1" customHeight="1">
      <c r="A2539" s="133" t="s">
        <v>7</v>
      </c>
      <c r="B2539" s="133" t="s">
        <v>3176</v>
      </c>
      <c r="C2539" s="133" t="s">
        <v>3302</v>
      </c>
      <c r="D2539" s="133" t="s">
        <v>477</v>
      </c>
      <c r="E2539" s="158">
        <v>10</v>
      </c>
      <c r="F2539" s="158">
        <v>0</v>
      </c>
      <c r="G2539" s="158">
        <v>0</v>
      </c>
      <c r="H2539" s="133" t="s">
        <v>3303</v>
      </c>
      <c r="I2539" s="133" t="s">
        <v>3304</v>
      </c>
      <c r="J2539" s="158">
        <v>0</v>
      </c>
      <c r="K2539" s="159" t="str">
        <f ca="1">IFERROR(__xludf.DUMMYFUNCTION("GOOGLETRANSLATE(H2539,""th"",""en"")"),"Shipping conditions (col = col Delivery, Vendor = Vendor delivery)")</f>
        <v>Shipping conditions (col = col Delivery, Vendor = Vendor delivery)</v>
      </c>
    </row>
    <row r="2540" spans="1:11" ht="15.75" hidden="1" customHeight="1">
      <c r="A2540" s="133" t="s">
        <v>7</v>
      </c>
      <c r="B2540" s="133" t="s">
        <v>3176</v>
      </c>
      <c r="C2540" s="133" t="s">
        <v>3305</v>
      </c>
      <c r="D2540" s="133" t="s">
        <v>477</v>
      </c>
      <c r="E2540" s="158">
        <v>3</v>
      </c>
      <c r="F2540" s="158">
        <v>0</v>
      </c>
      <c r="G2540" s="158">
        <v>0</v>
      </c>
      <c r="H2540" s="133" t="s">
        <v>3306</v>
      </c>
      <c r="I2540" s="133" t="s">
        <v>596</v>
      </c>
      <c r="J2540" s="158">
        <v>0</v>
      </c>
      <c r="K2540" s="159" t="str">
        <f ca="1">IFERROR(__xludf.DUMMYFUNCTION("GOOGLETRANSLATE(H2540,""th"",""en"")"),"The product has an expiration date.")</f>
        <v>The product has an expiration date.</v>
      </c>
    </row>
    <row r="2541" spans="1:11" ht="15.75" hidden="1" customHeight="1">
      <c r="A2541" s="133" t="s">
        <v>7</v>
      </c>
      <c r="B2541" s="133" t="s">
        <v>3176</v>
      </c>
      <c r="C2541" s="133" t="s">
        <v>1072</v>
      </c>
      <c r="D2541" s="133" t="s">
        <v>477</v>
      </c>
      <c r="E2541" s="158">
        <v>3</v>
      </c>
      <c r="F2541" s="158">
        <v>0</v>
      </c>
      <c r="G2541" s="158">
        <v>0</v>
      </c>
      <c r="H2541" s="133" t="s">
        <v>3307</v>
      </c>
      <c r="I2541" s="133" t="s">
        <v>596</v>
      </c>
      <c r="J2541" s="158">
        <v>0</v>
      </c>
      <c r="K2541" s="159" t="str">
        <f ca="1">IFERROR(__xludf.DUMMYFUNCTION("GOOGLETRANSLATE(H2541,""th"",""en"")"),"Imported products (This is about showing sales information), (part CMSSUPPLIER..ISIMPORT VENDOR This is a foreign vendor or not. This will be related to the payment of FAST).")</f>
        <v>Imported products (This is about showing sales information), (part CMSSUPPLIER..ISIMPORT VENDOR This is a foreign vendor or not. This will be related to the payment of FAST).</v>
      </c>
    </row>
    <row r="2542" spans="1:11" ht="15.75" hidden="1" customHeight="1">
      <c r="A2542" s="133" t="s">
        <v>7</v>
      </c>
      <c r="B2542" s="133" t="s">
        <v>3176</v>
      </c>
      <c r="C2542" s="133" t="s">
        <v>3308</v>
      </c>
      <c r="D2542" s="133" t="s">
        <v>477</v>
      </c>
      <c r="E2542" s="158">
        <v>3</v>
      </c>
      <c r="F2542" s="158">
        <v>0</v>
      </c>
      <c r="G2542" s="158">
        <v>0</v>
      </c>
      <c r="H2542" s="133" t="s">
        <v>3309</v>
      </c>
      <c r="I2542" s="133" t="s">
        <v>596</v>
      </c>
      <c r="J2542" s="158">
        <v>0</v>
      </c>
      <c r="K2542" s="159" t="str">
        <f ca="1">IFERROR(__xludf.DUMMYFUNCTION("GOOGLETRANSLATE(H2542,""th"",""en"")"),"Products with components")</f>
        <v>Products with components</v>
      </c>
    </row>
    <row r="2543" spans="1:11" ht="15.75" hidden="1" customHeight="1">
      <c r="A2543" s="133" t="s">
        <v>7</v>
      </c>
      <c r="B2543" s="133" t="s">
        <v>3176</v>
      </c>
      <c r="C2543" s="133" t="s">
        <v>3310</v>
      </c>
      <c r="D2543" s="133" t="s">
        <v>477</v>
      </c>
      <c r="E2543" s="158">
        <v>20</v>
      </c>
      <c r="F2543" s="158">
        <v>0</v>
      </c>
      <c r="G2543" s="158">
        <v>0</v>
      </c>
      <c r="H2543" s="133" t="s">
        <v>3311</v>
      </c>
      <c r="I2543" s="133" t="s">
        <v>548</v>
      </c>
      <c r="J2543" s="158">
        <v>0</v>
      </c>
      <c r="K2543" s="159" t="str">
        <f ca="1">IFERROR(__xludf.DUMMYFUNCTION("GOOGLETRANSLATE(H2543,""th"",""en"")"),"Product name for handhel")</f>
        <v>Product name for handhel</v>
      </c>
    </row>
    <row r="2544" spans="1:11" ht="15.75" hidden="1" customHeight="1">
      <c r="A2544" s="133" t="s">
        <v>7</v>
      </c>
      <c r="B2544" s="133" t="s">
        <v>3176</v>
      </c>
      <c r="C2544" s="133" t="s">
        <v>369</v>
      </c>
      <c r="D2544" s="133" t="s">
        <v>477</v>
      </c>
      <c r="E2544" s="158">
        <v>2</v>
      </c>
      <c r="F2544" s="158">
        <v>0</v>
      </c>
      <c r="G2544" s="158">
        <v>0</v>
      </c>
      <c r="H2544" s="133" t="s">
        <v>1184</v>
      </c>
      <c r="I2544" s="133" t="s">
        <v>1185</v>
      </c>
      <c r="J2544" s="158">
        <v>0</v>
      </c>
      <c r="K2544" s="159" t="str">
        <f ca="1">IFERROR(__xludf.DUMMYFUNCTION("GOOGLETRANSLATE(H2544,""th"",""en"")"),"Warehouse (1: Office of the Office (Nong Chok), 3: Bangna Warehouse, 4: Warehouse Virgin, 5: Suwinwong Warehouse)")</f>
        <v>Warehouse (1: Office of the Office (Nong Chok), 3: Bangna Warehouse, 4: Warehouse Virgin, 5: Suwinwong Warehouse)</v>
      </c>
    </row>
    <row r="2545" spans="1:11" ht="15.75" hidden="1" customHeight="1">
      <c r="A2545" s="133" t="s">
        <v>7</v>
      </c>
      <c r="B2545" s="133" t="s">
        <v>3176</v>
      </c>
      <c r="C2545" s="133" t="s">
        <v>3312</v>
      </c>
      <c r="D2545" s="133" t="s">
        <v>477</v>
      </c>
      <c r="E2545" s="158">
        <v>20</v>
      </c>
      <c r="F2545" s="158">
        <v>0</v>
      </c>
      <c r="G2545" s="158">
        <v>0</v>
      </c>
      <c r="H2545" s="133" t="s">
        <v>2865</v>
      </c>
      <c r="I2545" s="133" t="s">
        <v>548</v>
      </c>
      <c r="J2545" s="158">
        <v>0</v>
      </c>
      <c r="K2545" s="159" t="str">
        <f ca="1">IFERROR(__xludf.DUMMYFUNCTION("GOOGLETRANSLATE(H2545,""th"",""en"")"),"Sub-warehouse code")</f>
        <v>Sub-warehouse code</v>
      </c>
    </row>
    <row r="2546" spans="1:11" ht="15.75" hidden="1" customHeight="1">
      <c r="A2546" s="133" t="s">
        <v>7</v>
      </c>
      <c r="B2546" s="133" t="s">
        <v>3176</v>
      </c>
      <c r="C2546" s="133" t="s">
        <v>3313</v>
      </c>
      <c r="D2546" s="133" t="s">
        <v>484</v>
      </c>
      <c r="E2546" s="158">
        <v>4</v>
      </c>
      <c r="F2546" s="158">
        <v>10</v>
      </c>
      <c r="G2546" s="158">
        <v>0</v>
      </c>
      <c r="H2546" s="133" t="s">
        <v>3314</v>
      </c>
      <c r="I2546" s="133" t="s">
        <v>615</v>
      </c>
      <c r="J2546" s="158">
        <v>0</v>
      </c>
      <c r="K2546" s="159" t="str">
        <f ca="1">IFERROR(__xludf.DUMMYFUNCTION("GOOGLETRANSLATE(H2546,""th"",""en"")"),"Maximum number of orders to orders")</f>
        <v>Maximum number of orders to orders</v>
      </c>
    </row>
    <row r="2547" spans="1:11" ht="15.75" hidden="1" customHeight="1">
      <c r="A2547" s="133" t="s">
        <v>7</v>
      </c>
      <c r="B2547" s="133" t="s">
        <v>3176</v>
      </c>
      <c r="C2547" s="133" t="s">
        <v>3315</v>
      </c>
      <c r="D2547" s="133" t="s">
        <v>484</v>
      </c>
      <c r="E2547" s="158">
        <v>4</v>
      </c>
      <c r="F2547" s="158">
        <v>10</v>
      </c>
      <c r="G2547" s="158">
        <v>0</v>
      </c>
      <c r="H2547" s="133" t="s">
        <v>3316</v>
      </c>
      <c r="I2547" s="133" t="s">
        <v>615</v>
      </c>
      <c r="J2547" s="158">
        <v>0</v>
      </c>
      <c r="K2547" s="159" t="str">
        <f ca="1">IFERROR(__xludf.DUMMYFUNCTION("GOOGLETRANSLATE(H2547,""th"",""en"")"),"The minimum number of order per order")</f>
        <v>The minimum number of order per order</v>
      </c>
    </row>
    <row r="2548" spans="1:11" ht="15.75" hidden="1" customHeight="1">
      <c r="A2548" s="133" t="s">
        <v>7</v>
      </c>
      <c r="B2548" s="133" t="s">
        <v>3176</v>
      </c>
      <c r="C2548" s="133" t="s">
        <v>3317</v>
      </c>
      <c r="D2548" s="133" t="s">
        <v>477</v>
      </c>
      <c r="E2548" s="158">
        <v>3</v>
      </c>
      <c r="F2548" s="158">
        <v>0</v>
      </c>
      <c r="G2548" s="158">
        <v>0</v>
      </c>
      <c r="H2548" s="133" t="s">
        <v>3318</v>
      </c>
      <c r="I2548" s="133" t="s">
        <v>2011</v>
      </c>
      <c r="J2548" s="158">
        <v>0</v>
      </c>
      <c r="K2548" s="159" t="str">
        <f ca="1">IFERROR(__xludf.DUMMYFUNCTION("GOOGLETRANSLATE(H2548,""th"",""en"")"),"The product is protected from the Office of the Consumer Protection Commission. (Sor.) [Yes = have")</f>
        <v>The product is protected from the Office of the Consumer Protection Commission. (Sor.) [Yes = have</v>
      </c>
    </row>
    <row r="2549" spans="1:11" ht="15.75" hidden="1" customHeight="1">
      <c r="A2549" s="133" t="s">
        <v>7</v>
      </c>
      <c r="B2549" s="133" t="s">
        <v>3176</v>
      </c>
      <c r="C2549" s="133" t="s">
        <v>3319</v>
      </c>
      <c r="D2549" s="133" t="s">
        <v>477</v>
      </c>
      <c r="E2549" s="158">
        <v>50</v>
      </c>
      <c r="F2549" s="158">
        <v>0</v>
      </c>
      <c r="G2549" s="158">
        <v>0</v>
      </c>
      <c r="H2549" s="133" t="s">
        <v>3320</v>
      </c>
      <c r="I2549" s="133" t="s">
        <v>3321</v>
      </c>
      <c r="J2549" s="158">
        <v>0</v>
      </c>
      <c r="K2549" s="159" t="str">
        <f ca="1">IFERROR(__xludf.DUMMYFUNCTION("GOOGLETRANSLATE(H2549,""th"",""en"")"),"Product type according to the seller [OFMSTOCK, Dropship, Marketplace]")</f>
        <v>Product type according to the seller [OFMSTOCK, Dropship, Marketplace]</v>
      </c>
    </row>
    <row r="2550" spans="1:11" ht="15.75" hidden="1" customHeight="1">
      <c r="A2550" s="133" t="s">
        <v>7</v>
      </c>
      <c r="B2550" s="133" t="s">
        <v>3176</v>
      </c>
      <c r="C2550" s="133" t="s">
        <v>860</v>
      </c>
      <c r="D2550" s="133" t="s">
        <v>481</v>
      </c>
      <c r="E2550" s="158">
        <v>5</v>
      </c>
      <c r="F2550" s="158">
        <v>9</v>
      </c>
      <c r="G2550" s="158">
        <v>2</v>
      </c>
      <c r="H2550" s="133" t="s">
        <v>3322</v>
      </c>
      <c r="I2550" s="133" t="s">
        <v>615</v>
      </c>
      <c r="J2550" s="158">
        <v>0</v>
      </c>
      <c r="K2550" s="159" t="str">
        <f ca="1">IFERROR(__xludf.DUMMYFUNCTION("GOOGLETRANSLATE(H2550,""th"",""en"")"),"Product commission")</f>
        <v>Product commission</v>
      </c>
    </row>
    <row r="2551" spans="1:11" ht="15.75" hidden="1" customHeight="1">
      <c r="A2551" s="133" t="s">
        <v>7</v>
      </c>
      <c r="B2551" s="133" t="s">
        <v>3176</v>
      </c>
      <c r="C2551" s="133" t="s">
        <v>3323</v>
      </c>
      <c r="D2551" s="133" t="s">
        <v>484</v>
      </c>
      <c r="E2551" s="158">
        <v>4</v>
      </c>
      <c r="F2551" s="158">
        <v>10</v>
      </c>
      <c r="G2551" s="158">
        <v>0</v>
      </c>
      <c r="H2551" s="133" t="s">
        <v>3324</v>
      </c>
      <c r="I2551" s="133" t="s">
        <v>615</v>
      </c>
      <c r="J2551" s="158">
        <v>0</v>
      </c>
      <c r="K2551" s="159" t="str">
        <f ca="1">IFERROR(__xludf.DUMMYFUNCTION("GOOGLETRANSLATE(H2551,""th"",""en"")"),"The minimum number of days used in delivery")</f>
        <v>The minimum number of days used in delivery</v>
      </c>
    </row>
    <row r="2552" spans="1:11" ht="15.75" hidden="1" customHeight="1">
      <c r="A2552" s="133" t="s">
        <v>7</v>
      </c>
      <c r="B2552" s="133" t="s">
        <v>3176</v>
      </c>
      <c r="C2552" s="133" t="s">
        <v>3325</v>
      </c>
      <c r="D2552" s="133" t="s">
        <v>484</v>
      </c>
      <c r="E2552" s="158">
        <v>4</v>
      </c>
      <c r="F2552" s="158">
        <v>10</v>
      </c>
      <c r="G2552" s="158">
        <v>0</v>
      </c>
      <c r="H2552" s="133" t="s">
        <v>3326</v>
      </c>
      <c r="I2552" s="133" t="s">
        <v>615</v>
      </c>
      <c r="J2552" s="158">
        <v>0</v>
      </c>
      <c r="K2552" s="159" t="str">
        <f ca="1">IFERROR(__xludf.DUMMYFUNCTION("GOOGLETRANSLATE(H2552,""th"",""en"")"),"The most days used in the delivery")</f>
        <v>The most days used in the delivery</v>
      </c>
    </row>
    <row r="2553" spans="1:11" ht="15.75" hidden="1" customHeight="1">
      <c r="A2553" s="133" t="s">
        <v>7</v>
      </c>
      <c r="B2553" s="133" t="s">
        <v>3176</v>
      </c>
      <c r="C2553" s="133" t="s">
        <v>3327</v>
      </c>
      <c r="D2553" s="133" t="s">
        <v>477</v>
      </c>
      <c r="E2553" s="158">
        <v>3</v>
      </c>
      <c r="F2553" s="158">
        <v>0</v>
      </c>
      <c r="G2553" s="158">
        <v>0</v>
      </c>
      <c r="H2553" s="133" t="s">
        <v>3328</v>
      </c>
      <c r="I2553" s="133" t="s">
        <v>2011</v>
      </c>
      <c r="J2553" s="158">
        <v>0</v>
      </c>
      <c r="K2553" s="159" t="str">
        <f ca="1">IFERROR(__xludf.DUMMYFUNCTION("GOOGLETRANSLATE(H2553,""th"",""en"")"),"Product ofm delivery")</f>
        <v>Product ofm delivery</v>
      </c>
    </row>
    <row r="2554" spans="1:11" ht="15.75" hidden="1" customHeight="1">
      <c r="A2554" s="133" t="s">
        <v>7</v>
      </c>
      <c r="B2554" s="133" t="s">
        <v>3176</v>
      </c>
      <c r="C2554" s="133" t="s">
        <v>3329</v>
      </c>
      <c r="D2554" s="133" t="s">
        <v>477</v>
      </c>
      <c r="E2554" s="158">
        <v>3</v>
      </c>
      <c r="F2554" s="158">
        <v>0</v>
      </c>
      <c r="G2554" s="158">
        <v>0</v>
      </c>
      <c r="H2554" s="133" t="s">
        <v>3330</v>
      </c>
      <c r="I2554" s="133" t="s">
        <v>596</v>
      </c>
      <c r="J2554" s="158">
        <v>0</v>
      </c>
      <c r="K2554" s="159" t="str">
        <f ca="1">IFERROR(__xludf.DUMMYFUNCTION("GOOGLETRANSLATE(H2554,""th"",""en"")"),"Join the CLICK and COLLECT delivery service")</f>
        <v>Join the CLICK and COLLECT delivery service</v>
      </c>
    </row>
    <row r="2555" spans="1:11" ht="15.75" hidden="1" customHeight="1">
      <c r="A2555" s="133" t="s">
        <v>7</v>
      </c>
      <c r="B2555" s="133" t="s">
        <v>3176</v>
      </c>
      <c r="C2555" s="133" t="s">
        <v>3331</v>
      </c>
      <c r="D2555" s="133" t="s">
        <v>477</v>
      </c>
      <c r="E2555" s="158">
        <v>3</v>
      </c>
      <c r="F2555" s="158">
        <v>0</v>
      </c>
      <c r="G2555" s="158">
        <v>0</v>
      </c>
      <c r="H2555" s="133" t="s">
        <v>3332</v>
      </c>
      <c r="I2555" s="133" t="s">
        <v>596</v>
      </c>
      <c r="J2555" s="158">
        <v>0</v>
      </c>
      <c r="K2555" s="159" t="str">
        <f ca="1">IFERROR(__xludf.DUMMYFUNCTION("GOOGLETRANSLATE(H2555,""th"",""en"")"),"Basket")</f>
        <v>Basket</v>
      </c>
    </row>
    <row r="2556" spans="1:11" ht="15.75" hidden="1" customHeight="1">
      <c r="A2556" s="133" t="s">
        <v>7</v>
      </c>
      <c r="B2556" s="133" t="s">
        <v>3176</v>
      </c>
      <c r="C2556" s="133" t="s">
        <v>3333</v>
      </c>
      <c r="D2556" s="133" t="s">
        <v>477</v>
      </c>
      <c r="E2556" s="158">
        <v>100</v>
      </c>
      <c r="F2556" s="158">
        <v>0</v>
      </c>
      <c r="G2556" s="158">
        <v>0</v>
      </c>
      <c r="H2556" s="133" t="s">
        <v>3334</v>
      </c>
      <c r="I2556" s="133" t="s">
        <v>548</v>
      </c>
      <c r="J2556" s="158">
        <v>0</v>
      </c>
      <c r="K2556" s="159" t="str">
        <f ca="1">IFERROR(__xludf.DUMMYFUNCTION("GOOGLETRANSLATE(H2556,""th"",""en"")"),"Cluster group name")</f>
        <v>Cluster group name</v>
      </c>
    </row>
    <row r="2557" spans="1:11" ht="15.75" hidden="1" customHeight="1">
      <c r="A2557" s="133" t="s">
        <v>7</v>
      </c>
      <c r="B2557" s="133" t="s">
        <v>3176</v>
      </c>
      <c r="C2557" s="133" t="s">
        <v>814</v>
      </c>
      <c r="D2557" s="133" t="s">
        <v>477</v>
      </c>
      <c r="E2557" s="158">
        <v>100</v>
      </c>
      <c r="F2557" s="158">
        <v>0</v>
      </c>
      <c r="G2557" s="158">
        <v>0</v>
      </c>
      <c r="H2557" s="133" t="s">
        <v>815</v>
      </c>
      <c r="I2557" s="133" t="s">
        <v>548</v>
      </c>
      <c r="J2557" s="158">
        <v>0</v>
      </c>
      <c r="K2557" s="159" t="str">
        <f ca="1">IFERROR(__xludf.DUMMYFUNCTION("GOOGLETRANSLATE(H2557,""th"",""en"")"),"Information Creator Name")</f>
        <v>Information Creator Name</v>
      </c>
    </row>
    <row r="2558" spans="1:11" ht="15.75" hidden="1" customHeight="1">
      <c r="A2558" s="133" t="s">
        <v>7</v>
      </c>
      <c r="B2558" s="133" t="s">
        <v>3176</v>
      </c>
      <c r="C2558" s="133" t="s">
        <v>816</v>
      </c>
      <c r="D2558" s="133" t="s">
        <v>477</v>
      </c>
      <c r="E2558" s="158">
        <v>100</v>
      </c>
      <c r="F2558" s="158">
        <v>0</v>
      </c>
      <c r="G2558" s="158">
        <v>0</v>
      </c>
      <c r="H2558" s="133" t="s">
        <v>817</v>
      </c>
      <c r="I2558" s="133" t="s">
        <v>548</v>
      </c>
      <c r="J2558" s="158">
        <v>0</v>
      </c>
      <c r="K2558" s="159" t="str">
        <f ca="1">IFERROR(__xludf.DUMMYFUNCTION("GOOGLETRANSLATE(H2558,""th"",""en"")"),"Latest information")</f>
        <v>Latest information</v>
      </c>
    </row>
    <row r="2559" spans="1:11" ht="15.75" hidden="1" customHeight="1">
      <c r="A2559" s="133" t="s">
        <v>7</v>
      </c>
      <c r="B2559" s="133" t="s">
        <v>3176</v>
      </c>
      <c r="C2559" s="133" t="s">
        <v>2060</v>
      </c>
      <c r="D2559" s="133" t="s">
        <v>477</v>
      </c>
      <c r="E2559" s="158">
        <v>50</v>
      </c>
      <c r="F2559" s="158">
        <v>0</v>
      </c>
      <c r="G2559" s="158">
        <v>0</v>
      </c>
      <c r="H2559" s="133" t="s">
        <v>2061</v>
      </c>
      <c r="I2559" s="133" t="s">
        <v>548</v>
      </c>
      <c r="J2559" s="158">
        <v>0</v>
      </c>
      <c r="K2559" s="159" t="str">
        <f ca="1">IFERROR(__xludf.DUMMYFUNCTION("GOOGLETRANSLATE(H2559,""th"",""en"")"),"Product group code")</f>
        <v>Product group code</v>
      </c>
    </row>
    <row r="2560" spans="1:11" ht="15.75" hidden="1" customHeight="1">
      <c r="A2560" s="133" t="s">
        <v>7</v>
      </c>
      <c r="B2560" s="133" t="s">
        <v>3335</v>
      </c>
      <c r="C2560" s="133" t="s">
        <v>253</v>
      </c>
      <c r="D2560" s="133" t="s">
        <v>477</v>
      </c>
      <c r="E2560" s="158">
        <v>7</v>
      </c>
      <c r="F2560" s="158">
        <v>0</v>
      </c>
      <c r="G2560" s="158">
        <v>0</v>
      </c>
      <c r="H2560" s="133" t="s">
        <v>3336</v>
      </c>
      <c r="I2560" s="133" t="s">
        <v>548</v>
      </c>
      <c r="J2560" s="158">
        <v>0</v>
      </c>
      <c r="K2560" s="159" t="str">
        <f ca="1">IFERROR(__xludf.DUMMYFUNCTION("GOOGLETRANSLATE(H2560,""th"",""en"")"),"Product code printing")</f>
        <v>Product code printing</v>
      </c>
    </row>
    <row r="2561" spans="1:11" ht="15.75" hidden="1" customHeight="1">
      <c r="A2561" s="133" t="s">
        <v>7</v>
      </c>
      <c r="B2561" s="133" t="s">
        <v>3335</v>
      </c>
      <c r="C2561" s="133" t="s">
        <v>3337</v>
      </c>
      <c r="D2561" s="133" t="s">
        <v>477</v>
      </c>
      <c r="E2561" s="158">
        <v>6</v>
      </c>
      <c r="F2561" s="158">
        <v>0</v>
      </c>
      <c r="G2561" s="158">
        <v>0</v>
      </c>
      <c r="H2561" s="133" t="s">
        <v>3338</v>
      </c>
      <c r="I2561" s="133" t="s">
        <v>548</v>
      </c>
      <c r="J2561" s="158">
        <v>0</v>
      </c>
      <c r="K2561" s="159" t="str">
        <f ca="1">IFERROR(__xludf.DUMMYFUNCTION("GOOGLETRANSLATE(H2561,""th"",""en"")"),"Product code JDA")</f>
        <v>Product code JDA</v>
      </c>
    </row>
    <row r="2562" spans="1:11" ht="15.75" hidden="1" customHeight="1">
      <c r="A2562" s="133" t="s">
        <v>7</v>
      </c>
      <c r="B2562" s="133" t="s">
        <v>3335</v>
      </c>
      <c r="C2562" s="133" t="s">
        <v>3339</v>
      </c>
      <c r="D2562" s="133" t="s">
        <v>477</v>
      </c>
      <c r="E2562" s="158">
        <v>55</v>
      </c>
      <c r="F2562" s="158">
        <v>0</v>
      </c>
      <c r="G2562" s="158">
        <v>0</v>
      </c>
      <c r="H2562" s="133" t="s">
        <v>3340</v>
      </c>
      <c r="I2562" s="133" t="s">
        <v>548</v>
      </c>
      <c r="J2562" s="158">
        <v>0</v>
      </c>
      <c r="K2562" s="159" t="str">
        <f ca="1">IFERROR(__xludf.DUMMYFUNCTION("GOOGLETRANSLATE(H2562,""th"",""en"")"),"Product name Thai")</f>
        <v>Product name Thai</v>
      </c>
    </row>
    <row r="2563" spans="1:11" ht="15.75" hidden="1" customHeight="1">
      <c r="A2563" s="133" t="s">
        <v>7</v>
      </c>
      <c r="B2563" s="133" t="s">
        <v>3335</v>
      </c>
      <c r="C2563" s="133" t="s">
        <v>3181</v>
      </c>
      <c r="D2563" s="133" t="s">
        <v>477</v>
      </c>
      <c r="E2563" s="158">
        <v>55</v>
      </c>
      <c r="F2563" s="158">
        <v>0</v>
      </c>
      <c r="G2563" s="158">
        <v>0</v>
      </c>
      <c r="H2563" s="133" t="s">
        <v>3341</v>
      </c>
      <c r="I2563" s="133" t="s">
        <v>548</v>
      </c>
      <c r="J2563" s="158">
        <v>0</v>
      </c>
      <c r="K2563" s="159" t="str">
        <f ca="1">IFERROR(__xludf.DUMMYFUNCTION("GOOGLETRANSLATE(H2563,""th"",""en"")"),"Product name used in various documents")</f>
        <v>Product name used in various documents</v>
      </c>
    </row>
    <row r="2564" spans="1:11" ht="15.75" hidden="1" customHeight="1">
      <c r="A2564" s="133" t="s">
        <v>7</v>
      </c>
      <c r="B2564" s="133" t="s">
        <v>3335</v>
      </c>
      <c r="C2564" s="133" t="s">
        <v>3183</v>
      </c>
      <c r="D2564" s="133" t="s">
        <v>477</v>
      </c>
      <c r="E2564" s="158">
        <v>155</v>
      </c>
      <c r="F2564" s="158">
        <v>0</v>
      </c>
      <c r="G2564" s="158">
        <v>0</v>
      </c>
      <c r="H2564" s="133" t="s">
        <v>3184</v>
      </c>
      <c r="I2564" s="133" t="s">
        <v>548</v>
      </c>
      <c r="J2564" s="158">
        <v>0</v>
      </c>
      <c r="K2564" s="159" t="str">
        <f ca="1">IFERROR(__xludf.DUMMYFUNCTION("GOOGLETRANSLATE(H2564,""th"",""en"")"),"English product name")</f>
        <v>English product name</v>
      </c>
    </row>
    <row r="2565" spans="1:11" ht="15.75" hidden="1" customHeight="1">
      <c r="A2565" s="133" t="s">
        <v>7</v>
      </c>
      <c r="B2565" s="133" t="s">
        <v>3335</v>
      </c>
      <c r="C2565" s="133" t="s">
        <v>3185</v>
      </c>
      <c r="D2565" s="133" t="s">
        <v>477</v>
      </c>
      <c r="E2565" s="158">
        <v>10</v>
      </c>
      <c r="F2565" s="158">
        <v>0</v>
      </c>
      <c r="G2565" s="158">
        <v>0</v>
      </c>
      <c r="H2565" s="133" t="s">
        <v>3342</v>
      </c>
      <c r="I2565" s="133" t="s">
        <v>548</v>
      </c>
      <c r="J2565" s="158">
        <v>0</v>
      </c>
      <c r="K2565" s="159" t="str">
        <f ca="1">IFERROR(__xludf.DUMMYFUNCTION("GOOGLETRANSLATE(H2565,""th"",""en"")"),"Product Status (NEW: New products [Refrigeration Approval)")</f>
        <v>Product Status (NEW: New products [Refrigeration Approval)</v>
      </c>
    </row>
    <row r="2566" spans="1:11" ht="15.75" hidden="1" customHeight="1">
      <c r="A2566" s="133" t="s">
        <v>7</v>
      </c>
      <c r="B2566" s="133" t="s">
        <v>3335</v>
      </c>
      <c r="C2566" s="133" t="s">
        <v>3187</v>
      </c>
      <c r="D2566" s="133" t="s">
        <v>477</v>
      </c>
      <c r="E2566" s="158">
        <v>500</v>
      </c>
      <c r="F2566" s="158">
        <v>0</v>
      </c>
      <c r="G2566" s="158">
        <v>0</v>
      </c>
      <c r="H2566" s="133" t="s">
        <v>3188</v>
      </c>
      <c r="I2566" s="133" t="s">
        <v>548</v>
      </c>
      <c r="J2566" s="158">
        <v>0</v>
      </c>
      <c r="K2566" s="159" t="str">
        <f ca="1">IFERROR(__xludf.DUMMYFUNCTION("GOOGLETRANSLATE(H2566,""th"",""en"")"),"Note of product status")</f>
        <v>Note of product status</v>
      </c>
    </row>
    <row r="2567" spans="1:11" ht="15.75" hidden="1" customHeight="1">
      <c r="A2567" s="133" t="s">
        <v>7</v>
      </c>
      <c r="B2567" s="133" t="s">
        <v>3335</v>
      </c>
      <c r="C2567" s="133" t="s">
        <v>3343</v>
      </c>
      <c r="D2567" s="133" t="s">
        <v>477</v>
      </c>
      <c r="E2567" s="158">
        <v>55</v>
      </c>
      <c r="F2567" s="158">
        <v>0</v>
      </c>
      <c r="G2567" s="158">
        <v>0</v>
      </c>
      <c r="H2567" s="133" t="s">
        <v>3344</v>
      </c>
      <c r="I2567" s="133" t="s">
        <v>548</v>
      </c>
      <c r="J2567" s="158">
        <v>0</v>
      </c>
      <c r="K2567" s="159" t="str">
        <f ca="1">IFERROR(__xludf.DUMMYFUNCTION("GOOGLETRANSLATE(H2567,""th"",""en"")"),"Product type (Angle = Cut corners, Cover = Coating)")</f>
        <v>Product type (Angle = Cut corners, Cover = Coating)</v>
      </c>
    </row>
    <row r="2568" spans="1:11" ht="15.75" hidden="1" customHeight="1">
      <c r="A2568" s="133" t="s">
        <v>7</v>
      </c>
      <c r="B2568" s="133" t="s">
        <v>3335</v>
      </c>
      <c r="C2568" s="133" t="s">
        <v>3204</v>
      </c>
      <c r="D2568" s="133" t="s">
        <v>477</v>
      </c>
      <c r="E2568" s="158">
        <v>7</v>
      </c>
      <c r="F2568" s="158">
        <v>0</v>
      </c>
      <c r="G2568" s="158">
        <v>0</v>
      </c>
      <c r="H2568" s="133" t="s">
        <v>2848</v>
      </c>
      <c r="I2568" s="133" t="s">
        <v>548</v>
      </c>
      <c r="J2568" s="158">
        <v>0</v>
      </c>
      <c r="K2568" s="159" t="str">
        <f ca="1">IFERROR(__xludf.DUMMYFUNCTION("GOOGLETRANSLATE(H2568,""th"",""en"")"),"Unit &amp; Selling Price. Standard Unit Name")</f>
        <v>Unit &amp; Selling Price. Standard Unit Name</v>
      </c>
    </row>
    <row r="2569" spans="1:11" ht="15.75" hidden="1" customHeight="1">
      <c r="A2569" s="133" t="s">
        <v>7</v>
      </c>
      <c r="B2569" s="133" t="s">
        <v>3335</v>
      </c>
      <c r="C2569" s="133" t="s">
        <v>3205</v>
      </c>
      <c r="D2569" s="133" t="s">
        <v>477</v>
      </c>
      <c r="E2569" s="158">
        <v>3</v>
      </c>
      <c r="F2569" s="158">
        <v>0</v>
      </c>
      <c r="G2569" s="158">
        <v>0</v>
      </c>
      <c r="H2569" s="133" t="s">
        <v>3345</v>
      </c>
      <c r="I2569" s="133" t="s">
        <v>548</v>
      </c>
      <c r="J2569" s="158">
        <v>0</v>
      </c>
      <c r="K2569" s="159" t="str">
        <f ca="1">IFERROR(__xludf.DUMMYFUNCTION("GOOGLETRANSLATE(H2569,""th"",""en"")"),"Category Category Printing Products")</f>
        <v>Category Category Printing Products</v>
      </c>
    </row>
    <row r="2570" spans="1:11" ht="15.75" hidden="1" customHeight="1">
      <c r="A2570" s="133" t="s">
        <v>7</v>
      </c>
      <c r="B2570" s="133" t="s">
        <v>3335</v>
      </c>
      <c r="C2570" s="133" t="s">
        <v>1949</v>
      </c>
      <c r="D2570" s="133" t="s">
        <v>477</v>
      </c>
      <c r="E2570" s="158">
        <v>2</v>
      </c>
      <c r="F2570" s="158">
        <v>0</v>
      </c>
      <c r="G2570" s="158">
        <v>0</v>
      </c>
      <c r="H2570" s="133" t="s">
        <v>3346</v>
      </c>
      <c r="I2570" s="133" t="s">
        <v>548</v>
      </c>
      <c r="J2570" s="158">
        <v>0</v>
      </c>
      <c r="K2570" s="159" t="str">
        <f ca="1">IFERROR(__xludf.DUMMYFUNCTION("GOOGLETRANSLATE(H2570,""th"",""en"")"),"Subcategory Code Printing Products")</f>
        <v>Subcategory Code Printing Products</v>
      </c>
    </row>
    <row r="2571" spans="1:11" ht="15.75" hidden="1" customHeight="1">
      <c r="A2571" s="133" t="s">
        <v>7</v>
      </c>
      <c r="B2571" s="133" t="s">
        <v>3335</v>
      </c>
      <c r="C2571" s="133" t="s">
        <v>1954</v>
      </c>
      <c r="D2571" s="133" t="s">
        <v>477</v>
      </c>
      <c r="E2571" s="158">
        <v>30</v>
      </c>
      <c r="F2571" s="158">
        <v>0</v>
      </c>
      <c r="G2571" s="158">
        <v>0</v>
      </c>
      <c r="H2571" s="133" t="s">
        <v>3208</v>
      </c>
      <c r="I2571" s="133" t="s">
        <v>548</v>
      </c>
      <c r="J2571" s="158">
        <v>0</v>
      </c>
      <c r="K2571" s="159" t="str">
        <f ca="1">IFERROR(__xludf.DUMMYFUNCTION("GOOGLETRANSLATE(H2571,""th"",""en"")"),"Product brand (from PIM)")</f>
        <v>Product brand (from PIM)</v>
      </c>
    </row>
    <row r="2572" spans="1:11" ht="15.75" hidden="1" customHeight="1">
      <c r="A2572" s="133" t="s">
        <v>7</v>
      </c>
      <c r="B2572" s="133" t="s">
        <v>3335</v>
      </c>
      <c r="C2572" s="133" t="s">
        <v>1956</v>
      </c>
      <c r="D2572" s="133" t="s">
        <v>477</v>
      </c>
      <c r="E2572" s="158">
        <v>30</v>
      </c>
      <c r="F2572" s="158">
        <v>0</v>
      </c>
      <c r="G2572" s="158">
        <v>0</v>
      </c>
      <c r="H2572" s="133" t="s">
        <v>3209</v>
      </c>
      <c r="I2572" s="133" t="s">
        <v>548</v>
      </c>
      <c r="J2572" s="158">
        <v>0</v>
      </c>
      <c r="K2572" s="159" t="str">
        <f ca="1">IFERROR(__xludf.DUMMYFUNCTION("GOOGLETRANSLATE(H2572,""th"",""en"")"),"Brand name Thai product")</f>
        <v>Brand name Thai product</v>
      </c>
    </row>
    <row r="2573" spans="1:11" ht="15.75" hidden="1" customHeight="1">
      <c r="A2573" s="133" t="s">
        <v>7</v>
      </c>
      <c r="B2573" s="133" t="s">
        <v>3335</v>
      </c>
      <c r="C2573" s="133" t="s">
        <v>1958</v>
      </c>
      <c r="D2573" s="133" t="s">
        <v>477</v>
      </c>
      <c r="E2573" s="158">
        <v>30</v>
      </c>
      <c r="F2573" s="158">
        <v>0</v>
      </c>
      <c r="G2573" s="158">
        <v>0</v>
      </c>
      <c r="H2573" s="133" t="s">
        <v>3210</v>
      </c>
      <c r="I2573" s="133" t="s">
        <v>548</v>
      </c>
      <c r="J2573" s="158">
        <v>0</v>
      </c>
      <c r="K2573" s="159" t="str">
        <f ca="1">IFERROR(__xludf.DUMMYFUNCTION("GOOGLETRANSLATE(H2573,""th"",""en"")"),"Brand name English products")</f>
        <v>Brand name English products</v>
      </c>
    </row>
    <row r="2574" spans="1:11" ht="15.75" hidden="1" customHeight="1">
      <c r="A2574" s="133" t="s">
        <v>7</v>
      </c>
      <c r="B2574" s="133" t="s">
        <v>3335</v>
      </c>
      <c r="C2574" s="133" t="s">
        <v>3211</v>
      </c>
      <c r="D2574" s="133" t="s">
        <v>477</v>
      </c>
      <c r="E2574" s="158">
        <v>3</v>
      </c>
      <c r="F2574" s="158">
        <v>0</v>
      </c>
      <c r="G2574" s="158">
        <v>0</v>
      </c>
      <c r="H2574" s="133" t="s">
        <v>3347</v>
      </c>
      <c r="I2574" s="133" t="s">
        <v>2011</v>
      </c>
      <c r="J2574" s="158">
        <v>0</v>
      </c>
      <c r="K2574" s="159" t="str">
        <f ca="1">IFERROR(__xludf.DUMMYFUNCTION("GOOGLETRANSLATE(H2574,""th"",""en"")"),"Define the display name at the prodtdname (no = prodtname, yes = prodtname + brand)")</f>
        <v>Define the display name at the prodtdname (no = prodtname, yes = prodtname + brand)</v>
      </c>
    </row>
    <row r="2575" spans="1:11" ht="15.75" hidden="1" customHeight="1">
      <c r="A2575" s="133" t="s">
        <v>7</v>
      </c>
      <c r="B2575" s="133" t="s">
        <v>3335</v>
      </c>
      <c r="C2575" s="133" t="s">
        <v>3224</v>
      </c>
      <c r="D2575" s="133" t="s">
        <v>477</v>
      </c>
      <c r="E2575" s="158">
        <v>3</v>
      </c>
      <c r="F2575" s="158">
        <v>0</v>
      </c>
      <c r="G2575" s="158">
        <v>0</v>
      </c>
      <c r="H2575" s="133" t="s">
        <v>3348</v>
      </c>
      <c r="I2575" s="133" t="s">
        <v>596</v>
      </c>
      <c r="J2575" s="158">
        <v>0</v>
      </c>
      <c r="K2575" s="159" t="str">
        <f ca="1">IFERROR(__xludf.DUMMYFUNCTION("GOOGLETRANSLATE(H2575,""th"",""en"")"),"Control Flag. Is the product available in Catalog? (Yes = is in the current catalog, no = not in the current catalog)")</f>
        <v>Control Flag. Is the product available in Catalog? (Yes = is in the current catalog, no = not in the current catalog)</v>
      </c>
    </row>
    <row r="2576" spans="1:11" ht="15.75" hidden="1" customHeight="1">
      <c r="A2576" s="133" t="s">
        <v>7</v>
      </c>
      <c r="B2576" s="133" t="s">
        <v>3335</v>
      </c>
      <c r="C2576" s="133" t="s">
        <v>3226</v>
      </c>
      <c r="D2576" s="133" t="s">
        <v>477</v>
      </c>
      <c r="E2576" s="158">
        <v>3</v>
      </c>
      <c r="F2576" s="158">
        <v>0</v>
      </c>
      <c r="G2576" s="158">
        <v>0</v>
      </c>
      <c r="H2576" s="133" t="s">
        <v>3227</v>
      </c>
      <c r="I2576" s="133" t="s">
        <v>596</v>
      </c>
      <c r="J2576" s="158">
        <v>0</v>
      </c>
      <c r="K2576" s="159" t="str">
        <f ca="1">IFERROR(__xludf.DUMMYFUNCTION("GOOGLETRANSLATE(H2576,""th"",""en"")"),"Keep data in the Catalog next year? (Yes: next year NO: Not in the next year)")</f>
        <v>Keep data in the Catalog next year? (Yes: next year NO: Not in the next year)</v>
      </c>
    </row>
    <row r="2577" spans="1:11" ht="15.75" hidden="1" customHeight="1">
      <c r="A2577" s="133" t="s">
        <v>7</v>
      </c>
      <c r="B2577" s="133" t="s">
        <v>3335</v>
      </c>
      <c r="C2577" s="133" t="s">
        <v>3228</v>
      </c>
      <c r="D2577" s="133" t="s">
        <v>477</v>
      </c>
      <c r="E2577" s="158">
        <v>20</v>
      </c>
      <c r="F2577" s="158">
        <v>0</v>
      </c>
      <c r="G2577" s="158">
        <v>0</v>
      </c>
      <c r="H2577" s="133" t="s">
        <v>3229</v>
      </c>
      <c r="I2577" s="133" t="s">
        <v>548</v>
      </c>
      <c r="J2577" s="158">
        <v>0</v>
      </c>
      <c r="K2577" s="159" t="str">
        <f ca="1">IFERROR(__xludf.DUMMYFUNCTION("GOOGLETRANSLATE(H2577,""th"",""en"")"),"Catalog page number")</f>
        <v>Catalog page number</v>
      </c>
    </row>
    <row r="2578" spans="1:11" ht="15.75" hidden="1" customHeight="1">
      <c r="A2578" s="133" t="s">
        <v>7</v>
      </c>
      <c r="B2578" s="133" t="s">
        <v>3335</v>
      </c>
      <c r="C2578" s="133" t="s">
        <v>3349</v>
      </c>
      <c r="D2578" s="133" t="s">
        <v>477</v>
      </c>
      <c r="E2578" s="158">
        <v>7</v>
      </c>
      <c r="F2578" s="158">
        <v>0</v>
      </c>
      <c r="G2578" s="158">
        <v>0</v>
      </c>
      <c r="H2578" s="133" t="s">
        <v>3231</v>
      </c>
      <c r="I2578" s="133" t="s">
        <v>548</v>
      </c>
      <c r="J2578" s="158">
        <v>0</v>
      </c>
      <c r="K2578" s="159" t="str">
        <f ca="1">IFERROR(__xludf.DUMMYFUNCTION("GOOGLETRANSLATE(H2578,""th"",""en"")"),"Which product has ever been in the latest Magazine?")</f>
        <v>Which product has ever been in the latest Magazine?</v>
      </c>
    </row>
    <row r="2579" spans="1:11" ht="15.75" hidden="1" customHeight="1">
      <c r="A2579" s="133" t="s">
        <v>7</v>
      </c>
      <c r="B2579" s="133" t="s">
        <v>3335</v>
      </c>
      <c r="C2579" s="133" t="s">
        <v>3350</v>
      </c>
      <c r="D2579" s="133" t="s">
        <v>484</v>
      </c>
      <c r="E2579" s="158">
        <v>4</v>
      </c>
      <c r="F2579" s="158">
        <v>10</v>
      </c>
      <c r="G2579" s="158">
        <v>0</v>
      </c>
      <c r="H2579" s="133" t="s">
        <v>3233</v>
      </c>
      <c r="I2579" s="133" t="s">
        <v>615</v>
      </c>
      <c r="J2579" s="158">
        <v>0</v>
      </c>
      <c r="K2579" s="159" t="str">
        <f ca="1">IFERROR(__xludf.DUMMYFUNCTION("GOOGLETRANSLATE(H2579,""th"",""en"")"),"Description. Page number in Magazine")</f>
        <v>Description. Page number in Magazine</v>
      </c>
    </row>
    <row r="2580" spans="1:11" ht="15.75" hidden="1" customHeight="1">
      <c r="A2580" s="133" t="s">
        <v>7</v>
      </c>
      <c r="B2580" s="133" t="s">
        <v>3335</v>
      </c>
      <c r="C2580" s="133" t="s">
        <v>3351</v>
      </c>
      <c r="D2580" s="133" t="s">
        <v>477</v>
      </c>
      <c r="E2580" s="158">
        <v>3</v>
      </c>
      <c r="F2580" s="158">
        <v>0</v>
      </c>
      <c r="G2580" s="158">
        <v>0</v>
      </c>
      <c r="H2580" s="133" t="s">
        <v>3352</v>
      </c>
      <c r="I2580" s="133" t="s">
        <v>596</v>
      </c>
      <c r="J2580" s="158">
        <v>0</v>
      </c>
      <c r="K2580" s="159" t="str">
        <f ca="1">IFERROR(__xludf.DUMMYFUNCTION("GOOGLETRANSLATE(H2580,""th"",""en"")"),"Is a raw material (Yes / NO)")</f>
        <v>Is a raw material (Yes / NO)</v>
      </c>
    </row>
    <row r="2581" spans="1:11" ht="15.75" hidden="1" customHeight="1">
      <c r="A2581" s="133" t="s">
        <v>7</v>
      </c>
      <c r="B2581" s="133" t="s">
        <v>3335</v>
      </c>
      <c r="C2581" s="133" t="s">
        <v>3353</v>
      </c>
      <c r="D2581" s="133" t="s">
        <v>477</v>
      </c>
      <c r="E2581" s="158">
        <v>3</v>
      </c>
      <c r="F2581" s="158">
        <v>0</v>
      </c>
      <c r="G2581" s="158">
        <v>0</v>
      </c>
      <c r="H2581" s="133" t="s">
        <v>3354</v>
      </c>
      <c r="I2581" s="133" t="s">
        <v>596</v>
      </c>
      <c r="J2581" s="158">
        <v>0</v>
      </c>
      <c r="K2581" s="159" t="str">
        <f ca="1">IFERROR(__xludf.DUMMYFUNCTION("GOOGLETRANSLATE(H2581,""th"",""en"")"),"Is a product for sale offline (yes / no)")</f>
        <v>Is a product for sale offline (yes / no)</v>
      </c>
    </row>
    <row r="2582" spans="1:11" ht="15.75" hidden="1" customHeight="1">
      <c r="A2582" s="133" t="s">
        <v>7</v>
      </c>
      <c r="B2582" s="133" t="s">
        <v>3335</v>
      </c>
      <c r="C2582" s="133" t="s">
        <v>3355</v>
      </c>
      <c r="D2582" s="133" t="s">
        <v>477</v>
      </c>
      <c r="E2582" s="158">
        <v>3</v>
      </c>
      <c r="F2582" s="158">
        <v>0</v>
      </c>
      <c r="G2582" s="158">
        <v>0</v>
      </c>
      <c r="H2582" s="133" t="s">
        <v>3356</v>
      </c>
      <c r="I2582" s="133" t="s">
        <v>596</v>
      </c>
      <c r="J2582" s="158">
        <v>0</v>
      </c>
      <c r="K2582" s="159" t="str">
        <f ca="1">IFERROR(__xludf.DUMMYFUNCTION("GOOGLETRANSLATE(H2582,""th"",""en"")"),"Is a product sale online (yes / no)")</f>
        <v>Is a product sale online (yes / no)</v>
      </c>
    </row>
    <row r="2583" spans="1:11" ht="15.75" hidden="1" customHeight="1">
      <c r="A2583" s="133" t="s">
        <v>7</v>
      </c>
      <c r="B2583" s="133" t="s">
        <v>3335</v>
      </c>
      <c r="C2583" s="133" t="s">
        <v>3234</v>
      </c>
      <c r="D2583" s="133" t="s">
        <v>477</v>
      </c>
      <c r="E2583" s="158">
        <v>6</v>
      </c>
      <c r="F2583" s="158">
        <v>0</v>
      </c>
      <c r="G2583" s="158">
        <v>0</v>
      </c>
      <c r="H2583" s="133" t="s">
        <v>3235</v>
      </c>
      <c r="I2583" s="133" t="s">
        <v>548</v>
      </c>
      <c r="J2583" s="158">
        <v>0</v>
      </c>
      <c r="K2583" s="159" t="str">
        <f ca="1">IFERROR(__xludf.DUMMYFUNCTION("GOOGLETRANSLATE(H2583,""th"",""en"")"),"Vendor that sells this product for us last")</f>
        <v>Vendor that sells this product for us last</v>
      </c>
    </row>
    <row r="2584" spans="1:11" ht="15.75" hidden="1" customHeight="1">
      <c r="A2584" s="133" t="s">
        <v>7</v>
      </c>
      <c r="B2584" s="133" t="s">
        <v>3335</v>
      </c>
      <c r="C2584" s="133" t="s">
        <v>3236</v>
      </c>
      <c r="D2584" s="133" t="s">
        <v>481</v>
      </c>
      <c r="E2584" s="158">
        <v>5</v>
      </c>
      <c r="F2584" s="158">
        <v>6</v>
      </c>
      <c r="G2584" s="158">
        <v>4</v>
      </c>
      <c r="H2584" s="133" t="s">
        <v>3237</v>
      </c>
      <c r="I2584" s="133" t="s">
        <v>615</v>
      </c>
      <c r="J2584" s="158">
        <v>0</v>
      </c>
      <c r="K2584" s="159" t="str">
        <f ca="1">IFERROR(__xludf.DUMMYFUNCTION("GOOGLETRANSLATE(H2584,""th"",""en"")"),"Discount in the product")</f>
        <v>Discount in the product</v>
      </c>
    </row>
    <row r="2585" spans="1:11" ht="15.75" hidden="1" customHeight="1">
      <c r="A2585" s="133" t="s">
        <v>7</v>
      </c>
      <c r="B2585" s="133" t="s">
        <v>3335</v>
      </c>
      <c r="C2585" s="133" t="s">
        <v>3271</v>
      </c>
      <c r="D2585" s="133" t="s">
        <v>481</v>
      </c>
      <c r="E2585" s="158">
        <v>5</v>
      </c>
      <c r="F2585" s="158">
        <v>9</v>
      </c>
      <c r="G2585" s="158">
        <v>2</v>
      </c>
      <c r="H2585" s="133" t="s">
        <v>3272</v>
      </c>
      <c r="I2585" s="133" t="s">
        <v>615</v>
      </c>
      <c r="J2585" s="158">
        <v>0</v>
      </c>
      <c r="K2585" s="159" t="str">
        <f ca="1">IFERROR(__xludf.DUMMYFUNCTION("GOOGLETRANSLATE(H2585,""th"",""en"")"),"wide")</f>
        <v>wide</v>
      </c>
    </row>
    <row r="2586" spans="1:11" ht="15.75" hidden="1" customHeight="1">
      <c r="A2586" s="133" t="s">
        <v>7</v>
      </c>
      <c r="B2586" s="133" t="s">
        <v>3335</v>
      </c>
      <c r="C2586" s="133" t="s">
        <v>3273</v>
      </c>
      <c r="D2586" s="133" t="s">
        <v>481</v>
      </c>
      <c r="E2586" s="158">
        <v>5</v>
      </c>
      <c r="F2586" s="158">
        <v>9</v>
      </c>
      <c r="G2586" s="158">
        <v>2</v>
      </c>
      <c r="H2586" s="133" t="s">
        <v>3274</v>
      </c>
      <c r="I2586" s="133" t="s">
        <v>615</v>
      </c>
      <c r="J2586" s="158">
        <v>0</v>
      </c>
      <c r="K2586" s="159" t="str">
        <f ca="1">IFERROR(__xludf.DUMMYFUNCTION("GOOGLETRANSLATE(H2586,""th"",""en"")"),"long")</f>
        <v>long</v>
      </c>
    </row>
    <row r="2587" spans="1:11" ht="15.75" hidden="1" customHeight="1">
      <c r="A2587" s="133" t="s">
        <v>7</v>
      </c>
      <c r="B2587" s="133" t="s">
        <v>3335</v>
      </c>
      <c r="C2587" s="133" t="s">
        <v>3275</v>
      </c>
      <c r="D2587" s="133" t="s">
        <v>481</v>
      </c>
      <c r="E2587" s="158">
        <v>5</v>
      </c>
      <c r="F2587" s="158">
        <v>9</v>
      </c>
      <c r="G2587" s="158">
        <v>2</v>
      </c>
      <c r="H2587" s="133" t="s">
        <v>3276</v>
      </c>
      <c r="I2587" s="133" t="s">
        <v>615</v>
      </c>
      <c r="J2587" s="158">
        <v>0</v>
      </c>
      <c r="K2587" s="159" t="str">
        <f ca="1">IFERROR(__xludf.DUMMYFUNCTION("GOOGLETRANSLATE(H2587,""th"",""en"")"),"high")</f>
        <v>high</v>
      </c>
    </row>
    <row r="2588" spans="1:11" ht="15.75" hidden="1" customHeight="1">
      <c r="A2588" s="133" t="s">
        <v>7</v>
      </c>
      <c r="B2588" s="133" t="s">
        <v>3335</v>
      </c>
      <c r="C2588" s="133" t="s">
        <v>3277</v>
      </c>
      <c r="D2588" s="133" t="s">
        <v>481</v>
      </c>
      <c r="E2588" s="158">
        <v>5</v>
      </c>
      <c r="F2588" s="158">
        <v>9</v>
      </c>
      <c r="G2588" s="158">
        <v>3</v>
      </c>
      <c r="H2588" s="133" t="s">
        <v>3278</v>
      </c>
      <c r="I2588" s="133" t="s">
        <v>615</v>
      </c>
      <c r="J2588" s="158">
        <v>0</v>
      </c>
      <c r="K2588" s="159" t="str">
        <f ca="1">IFERROR(__xludf.DUMMYFUNCTION("GOOGLETRANSLATE(H2588,""th"",""en"")"),"weight")</f>
        <v>weight</v>
      </c>
    </row>
    <row r="2589" spans="1:11" ht="15.75" hidden="1" customHeight="1">
      <c r="A2589" s="133" t="s">
        <v>7</v>
      </c>
      <c r="B2589" s="133" t="s">
        <v>3335</v>
      </c>
      <c r="C2589" s="133" t="s">
        <v>523</v>
      </c>
      <c r="D2589" s="133" t="s">
        <v>477</v>
      </c>
      <c r="E2589" s="158">
        <v>7</v>
      </c>
      <c r="F2589" s="158">
        <v>0</v>
      </c>
      <c r="G2589" s="158">
        <v>0</v>
      </c>
      <c r="H2589" s="133" t="s">
        <v>2046</v>
      </c>
      <c r="I2589" s="133" t="s">
        <v>548</v>
      </c>
      <c r="J2589" s="158">
        <v>0</v>
      </c>
      <c r="K2589" s="159" t="str">
        <f ca="1">IFERROR(__xludf.DUMMYFUNCTION("GOOGLETRANSLATE(H2589,""th"",""en"")"),"Product Creator")</f>
        <v>Product Creator</v>
      </c>
    </row>
    <row r="2590" spans="1:11" ht="15.75" hidden="1" customHeight="1">
      <c r="A2590" s="133" t="s">
        <v>7</v>
      </c>
      <c r="B2590" s="133" t="s">
        <v>3335</v>
      </c>
      <c r="C2590" s="133" t="s">
        <v>669</v>
      </c>
      <c r="D2590" s="133" t="s">
        <v>496</v>
      </c>
      <c r="E2590" s="158">
        <v>4</v>
      </c>
      <c r="F2590" s="158">
        <v>16</v>
      </c>
      <c r="G2590" s="158">
        <v>0</v>
      </c>
      <c r="H2590" s="133" t="s">
        <v>2047</v>
      </c>
      <c r="I2590" s="133" t="s">
        <v>1284</v>
      </c>
      <c r="J2590" s="158">
        <v>0</v>
      </c>
      <c r="K2590" s="159" t="str">
        <f ca="1">IFERROR(__xludf.DUMMYFUNCTION("GOOGLETRANSLATE(H2590,""th"",""en"")"),"Date of creating products")</f>
        <v>Date of creating products</v>
      </c>
    </row>
    <row r="2591" spans="1:11" ht="15.75" hidden="1" customHeight="1">
      <c r="A2591" s="133" t="s">
        <v>7</v>
      </c>
      <c r="B2591" s="133" t="s">
        <v>3335</v>
      </c>
      <c r="C2591" s="133" t="s">
        <v>670</v>
      </c>
      <c r="D2591" s="133" t="s">
        <v>477</v>
      </c>
      <c r="E2591" s="158">
        <v>7</v>
      </c>
      <c r="F2591" s="158">
        <v>0</v>
      </c>
      <c r="G2591" s="158">
        <v>0</v>
      </c>
      <c r="H2591" s="133" t="s">
        <v>2048</v>
      </c>
      <c r="I2591" s="133" t="s">
        <v>548</v>
      </c>
      <c r="J2591" s="158">
        <v>0</v>
      </c>
      <c r="K2591" s="159" t="str">
        <f ca="1">IFERROR(__xludf.DUMMYFUNCTION("GOOGLETRANSLATE(H2591,""th"",""en"")"),"Product Information Editor")</f>
        <v>Product Information Editor</v>
      </c>
    </row>
    <row r="2592" spans="1:11" ht="15.75" hidden="1" customHeight="1">
      <c r="A2592" s="133" t="s">
        <v>7</v>
      </c>
      <c r="B2592" s="133" t="s">
        <v>3335</v>
      </c>
      <c r="C2592" s="133" t="s">
        <v>215</v>
      </c>
      <c r="D2592" s="133" t="s">
        <v>496</v>
      </c>
      <c r="E2592" s="158">
        <v>4</v>
      </c>
      <c r="F2592" s="158">
        <v>16</v>
      </c>
      <c r="G2592" s="158">
        <v>0</v>
      </c>
      <c r="H2592" s="133" t="s">
        <v>2049</v>
      </c>
      <c r="I2592" s="133" t="s">
        <v>548</v>
      </c>
      <c r="J2592" s="158">
        <v>0</v>
      </c>
      <c r="K2592" s="159" t="str">
        <f ca="1">IFERROR(__xludf.DUMMYFUNCTION("GOOGLETRANSLATE(H2592,""th"",""en"")"),"Product Editing Date")</f>
        <v>Product Editing Date</v>
      </c>
    </row>
    <row r="2593" spans="1:11" ht="15.75" hidden="1" customHeight="1">
      <c r="A2593" s="133" t="s">
        <v>7</v>
      </c>
      <c r="B2593" s="133" t="s">
        <v>3335</v>
      </c>
      <c r="C2593" s="133" t="s">
        <v>1770</v>
      </c>
      <c r="D2593" s="133" t="s">
        <v>477</v>
      </c>
      <c r="E2593" s="158">
        <v>3</v>
      </c>
      <c r="F2593" s="158">
        <v>0</v>
      </c>
      <c r="G2593" s="158">
        <v>0</v>
      </c>
      <c r="H2593" s="133" t="s">
        <v>3357</v>
      </c>
      <c r="I2593" s="133" t="s">
        <v>548</v>
      </c>
      <c r="J2593" s="158">
        <v>0</v>
      </c>
      <c r="K2593" s="159" t="str">
        <f ca="1">IFERROR(__xludf.DUMMYFUNCTION("GOOGLETRANSLATE(H2593,""th"",""en"")"),"Dept of products")</f>
        <v>Dept of products</v>
      </c>
    </row>
    <row r="2594" spans="1:11" ht="15.75" hidden="1" customHeight="1">
      <c r="A2594" s="133" t="s">
        <v>7</v>
      </c>
      <c r="B2594" s="133" t="s">
        <v>3335</v>
      </c>
      <c r="C2594" s="133" t="s">
        <v>1774</v>
      </c>
      <c r="D2594" s="133" t="s">
        <v>477</v>
      </c>
      <c r="E2594" s="158">
        <v>3</v>
      </c>
      <c r="F2594" s="158">
        <v>0</v>
      </c>
      <c r="G2594" s="158">
        <v>0</v>
      </c>
      <c r="H2594" s="133" t="s">
        <v>3358</v>
      </c>
      <c r="I2594" s="133" t="s">
        <v>548</v>
      </c>
      <c r="J2594" s="158">
        <v>0</v>
      </c>
      <c r="K2594" s="159" t="str">
        <f ca="1">IFERROR(__xludf.DUMMYFUNCTION("GOOGLETRANSLATE(H2594,""th"",""en"")"),"Sub-depth of the product")</f>
        <v>Sub-depth of the product</v>
      </c>
    </row>
    <row r="2595" spans="1:11" ht="15.75" hidden="1" customHeight="1">
      <c r="A2595" s="133" t="s">
        <v>7</v>
      </c>
      <c r="B2595" s="133" t="s">
        <v>3335</v>
      </c>
      <c r="C2595" s="133" t="s">
        <v>1127</v>
      </c>
      <c r="D2595" s="133" t="s">
        <v>477</v>
      </c>
      <c r="E2595" s="158">
        <v>3</v>
      </c>
      <c r="F2595" s="158">
        <v>0</v>
      </c>
      <c r="G2595" s="158">
        <v>0</v>
      </c>
      <c r="H2595" s="133" t="s">
        <v>3359</v>
      </c>
      <c r="I2595" s="133" t="s">
        <v>548</v>
      </c>
      <c r="J2595" s="158">
        <v>0</v>
      </c>
      <c r="K2595" s="159" t="str">
        <f ca="1">IFERROR(__xludf.DUMMYFUNCTION("GOOGLETRANSLATE(H2595,""th"",""en"")"),"Class of products")</f>
        <v>Class of products</v>
      </c>
    </row>
    <row r="2596" spans="1:11" ht="15.75" hidden="1" customHeight="1">
      <c r="A2596" s="133" t="s">
        <v>7</v>
      </c>
      <c r="B2596" s="133" t="s">
        <v>3335</v>
      </c>
      <c r="C2596" s="133" t="s">
        <v>1781</v>
      </c>
      <c r="D2596" s="133" t="s">
        <v>477</v>
      </c>
      <c r="E2596" s="158">
        <v>3</v>
      </c>
      <c r="F2596" s="158">
        <v>0</v>
      </c>
      <c r="G2596" s="158">
        <v>0</v>
      </c>
      <c r="H2596" s="133" t="s">
        <v>3360</v>
      </c>
      <c r="I2596" s="133" t="s">
        <v>548</v>
      </c>
      <c r="J2596" s="158">
        <v>0</v>
      </c>
      <c r="K2596" s="159" t="str">
        <f ca="1">IFERROR(__xludf.DUMMYFUNCTION("GOOGLETRANSLATE(H2596,""th"",""en"")"),"Sub Class of products")</f>
        <v>Sub Class of products</v>
      </c>
    </row>
    <row r="2597" spans="1:11" ht="15.75" hidden="1" customHeight="1">
      <c r="A2597" s="133" t="s">
        <v>7</v>
      </c>
      <c r="B2597" s="133" t="s">
        <v>3335</v>
      </c>
      <c r="C2597" s="133" t="s">
        <v>3293</v>
      </c>
      <c r="D2597" s="133" t="s">
        <v>477</v>
      </c>
      <c r="E2597" s="158">
        <v>5</v>
      </c>
      <c r="F2597" s="158">
        <v>0</v>
      </c>
      <c r="G2597" s="158">
        <v>0</v>
      </c>
      <c r="H2597" s="133" t="s">
        <v>3361</v>
      </c>
      <c r="I2597" s="133" t="s">
        <v>548</v>
      </c>
      <c r="J2597" s="158">
        <v>0</v>
      </c>
      <c r="K2597" s="159" t="str">
        <f ca="1">IFERROR(__xludf.DUMMYFUNCTION("GOOGLETRANSLATE(H2597,""th"",""en"")"),"The acquisition of CPCID comes from the assignment of the Product Subdept Class Subclass.")</f>
        <v>The acquisition of CPCID comes from the assignment of the Product Subdept Class Subclass.</v>
      </c>
    </row>
    <row r="2598" spans="1:11" ht="15.75" hidden="1" customHeight="1">
      <c r="A2598" s="133" t="s">
        <v>7</v>
      </c>
      <c r="B2598" s="133" t="s">
        <v>3335</v>
      </c>
      <c r="C2598" s="133" t="s">
        <v>3132</v>
      </c>
      <c r="D2598" s="133" t="s">
        <v>484</v>
      </c>
      <c r="E2598" s="158">
        <v>4</v>
      </c>
      <c r="F2598" s="158">
        <v>10</v>
      </c>
      <c r="G2598" s="158">
        <v>0</v>
      </c>
      <c r="H2598" s="133" t="s">
        <v>3133</v>
      </c>
      <c r="I2598" s="133" t="s">
        <v>615</v>
      </c>
      <c r="J2598" s="158">
        <v>0</v>
      </c>
      <c r="K2598" s="159" t="str">
        <f ca="1">IFERROR(__xludf.DUMMYFUNCTION("GOOGLETRANSLATE(H2598,""th"",""en"")"),"The number of products lifted from last month")</f>
        <v>The number of products lifted from last month</v>
      </c>
    </row>
    <row r="2599" spans="1:11" ht="15.75" hidden="1" customHeight="1">
      <c r="A2599" s="133" t="s">
        <v>7</v>
      </c>
      <c r="B2599" s="133" t="s">
        <v>3335</v>
      </c>
      <c r="C2599" s="133" t="s">
        <v>3134</v>
      </c>
      <c r="D2599" s="133" t="s">
        <v>481</v>
      </c>
      <c r="E2599" s="158">
        <v>5</v>
      </c>
      <c r="F2599" s="158">
        <v>9</v>
      </c>
      <c r="G2599" s="158">
        <v>2</v>
      </c>
      <c r="H2599" s="133" t="s">
        <v>3135</v>
      </c>
      <c r="I2599" s="133" t="s">
        <v>615</v>
      </c>
      <c r="J2599" s="158">
        <v>0</v>
      </c>
      <c r="K2599" s="159" t="str">
        <f ca="1">IFERROR(__xludf.DUMMYFUNCTION("GOOGLETRANSLATE(H2599,""th"",""en"")"),"Product costs in Basic Unit units are quoted from last month.")</f>
        <v>Product costs in Basic Unit units are quoted from last month.</v>
      </c>
    </row>
    <row r="2600" spans="1:11" ht="15.75" hidden="1" customHeight="1">
      <c r="A2600" s="133" t="s">
        <v>7</v>
      </c>
      <c r="B2600" s="133" t="s">
        <v>3335</v>
      </c>
      <c r="C2600" s="133" t="s">
        <v>3136</v>
      </c>
      <c r="D2600" s="133" t="s">
        <v>481</v>
      </c>
      <c r="E2600" s="158">
        <v>5</v>
      </c>
      <c r="F2600" s="158">
        <v>9</v>
      </c>
      <c r="G2600" s="158">
        <v>2</v>
      </c>
      <c r="H2600" s="133" t="s">
        <v>3137</v>
      </c>
      <c r="I2600" s="133" t="s">
        <v>615</v>
      </c>
      <c r="J2600" s="158">
        <v>0</v>
      </c>
      <c r="K2600" s="159" t="str">
        <f ca="1">IFERROR(__xludf.DUMMYFUNCTION("GOOGLETRANSLATE(H2600,""th"",""en"")"),"All products Quoted from last month")</f>
        <v>All products Quoted from last month</v>
      </c>
    </row>
    <row r="2601" spans="1:11" ht="15.75" hidden="1" customHeight="1">
      <c r="A2601" s="133" t="s">
        <v>7</v>
      </c>
      <c r="B2601" s="133" t="s">
        <v>3335</v>
      </c>
      <c r="C2601" s="133" t="s">
        <v>3138</v>
      </c>
      <c r="D2601" s="133" t="s">
        <v>484</v>
      </c>
      <c r="E2601" s="158">
        <v>4</v>
      </c>
      <c r="F2601" s="158">
        <v>10</v>
      </c>
      <c r="G2601" s="158">
        <v>0</v>
      </c>
      <c r="H2601" s="133" t="s">
        <v>3139</v>
      </c>
      <c r="I2601" s="133" t="s">
        <v>1878</v>
      </c>
      <c r="J2601" s="158">
        <v>0</v>
      </c>
      <c r="K2601" s="159" t="str">
        <f ca="1">IFERROR(__xludf.DUMMYFUNCTION("GOOGLETRANSLATE(H2601,""th"",""en"")"),"The amount of Basic that we can buy, such as having to buy 10 boxes, Vendor to sell")</f>
        <v>The amount of Basic that we can buy, such as having to buy 10 boxes, Vendor to sell</v>
      </c>
    </row>
    <row r="2602" spans="1:11" ht="15.75" hidden="1" customHeight="1">
      <c r="A2602" s="133" t="s">
        <v>7</v>
      </c>
      <c r="B2602" s="133" t="s">
        <v>3335</v>
      </c>
      <c r="C2602" s="133" t="s">
        <v>3140</v>
      </c>
      <c r="D2602" s="133" t="s">
        <v>484</v>
      </c>
      <c r="E2602" s="158">
        <v>4</v>
      </c>
      <c r="F2602" s="158">
        <v>10</v>
      </c>
      <c r="G2602" s="158">
        <v>0</v>
      </c>
      <c r="H2602" s="133" t="s">
        <v>3141</v>
      </c>
      <c r="I2602" s="133" t="s">
        <v>615</v>
      </c>
      <c r="J2602" s="158">
        <v>0</v>
      </c>
      <c r="K2602" s="159" t="str">
        <f ca="1">IFERROR(__xludf.DUMMYFUNCTION("GOOGLETRANSLATE(H2602,""th"",""en"")"),"Purchasing. The minimum quantity of products in stock (but still ordered as round)")</f>
        <v>Purchasing. The minimum quantity of products in stock (but still ordered as round)</v>
      </c>
    </row>
    <row r="2603" spans="1:11" ht="15.75" hidden="1" customHeight="1">
      <c r="A2603" s="133" t="s">
        <v>7</v>
      </c>
      <c r="B2603" s="133" t="s">
        <v>3335</v>
      </c>
      <c r="C2603" s="133" t="s">
        <v>3142</v>
      </c>
      <c r="D2603" s="133" t="s">
        <v>484</v>
      </c>
      <c r="E2603" s="158">
        <v>4</v>
      </c>
      <c r="F2603" s="158">
        <v>10</v>
      </c>
      <c r="G2603" s="158">
        <v>0</v>
      </c>
      <c r="H2603" s="133" t="s">
        <v>3143</v>
      </c>
      <c r="I2603" s="133" t="s">
        <v>615</v>
      </c>
      <c r="J2603" s="158">
        <v>0</v>
      </c>
      <c r="K2603" s="159" t="str">
        <f ca="1">IFERROR(__xludf.DUMMYFUNCTION("GOOGLETRANSLATE(H2603,""th"",""en"")"),"Purchasing. Maximum amount of products in stock")</f>
        <v>Purchasing. Maximum amount of products in stock</v>
      </c>
    </row>
    <row r="2604" spans="1:11" ht="15.75" hidden="1" customHeight="1">
      <c r="A2604" s="133" t="s">
        <v>7</v>
      </c>
      <c r="B2604" s="133" t="s">
        <v>3335</v>
      </c>
      <c r="C2604" s="133" t="s">
        <v>3144</v>
      </c>
      <c r="D2604" s="133" t="s">
        <v>484</v>
      </c>
      <c r="E2604" s="158">
        <v>4</v>
      </c>
      <c r="F2604" s="158">
        <v>10</v>
      </c>
      <c r="G2604" s="158">
        <v>0</v>
      </c>
      <c r="H2604" s="133" t="s">
        <v>3145</v>
      </c>
      <c r="I2604" s="133" t="s">
        <v>615</v>
      </c>
      <c r="J2604" s="158">
        <v>0</v>
      </c>
      <c r="K2604" s="159" t="str">
        <f ca="1">IFERROR(__xludf.DUMMYFUNCTION("GOOGLETRANSLATE(H2604,""th"",""en"")"),"Critical Qty points if the number of products in stock is lower than this must be ordered immediately.")</f>
        <v>Critical Qty points if the number of products in stock is lower than this must be ordered immediately.</v>
      </c>
    </row>
    <row r="2605" spans="1:11" ht="15.75" hidden="1" customHeight="1">
      <c r="A2605" s="133" t="s">
        <v>7</v>
      </c>
      <c r="B2605" s="133" t="s">
        <v>3335</v>
      </c>
      <c r="C2605" s="133" t="s">
        <v>1147</v>
      </c>
      <c r="D2605" s="133" t="s">
        <v>481</v>
      </c>
      <c r="E2605" s="158">
        <v>5</v>
      </c>
      <c r="F2605" s="158">
        <v>9</v>
      </c>
      <c r="G2605" s="158">
        <v>2</v>
      </c>
      <c r="H2605" s="133" t="s">
        <v>3362</v>
      </c>
      <c r="I2605" s="133" t="s">
        <v>615</v>
      </c>
      <c r="J2605" s="158">
        <v>0</v>
      </c>
      <c r="K2605" s="159" t="str">
        <f ca="1">IFERROR(__xludf.DUMMYFUNCTION("GOOGLETRANSLATE(H2605,""th"",""en"")"),"Average cost per Basic Unit")</f>
        <v>Average cost per Basic Unit</v>
      </c>
    </row>
    <row r="2606" spans="1:11" ht="15.75" hidden="1" customHeight="1">
      <c r="A2606" s="133" t="s">
        <v>7</v>
      </c>
      <c r="B2606" s="133" t="s">
        <v>3335</v>
      </c>
      <c r="C2606" s="133" t="s">
        <v>3159</v>
      </c>
      <c r="D2606" s="133" t="s">
        <v>481</v>
      </c>
      <c r="E2606" s="158">
        <v>5</v>
      </c>
      <c r="F2606" s="158">
        <v>9</v>
      </c>
      <c r="G2606" s="158">
        <v>2</v>
      </c>
      <c r="H2606" s="133" t="s">
        <v>3363</v>
      </c>
      <c r="I2606" s="133" t="s">
        <v>615</v>
      </c>
      <c r="J2606" s="158">
        <v>0</v>
      </c>
      <c r="K2606" s="159" t="str">
        <f ca="1">IFERROR(__xludf.DUMMYFUNCTION("GOOGLETRANSLATE(H2606,""th"",""en"")"),"All products")</f>
        <v>All products</v>
      </c>
    </row>
    <row r="2607" spans="1:11" ht="15.75" hidden="1" customHeight="1">
      <c r="A2607" s="133" t="s">
        <v>7</v>
      </c>
      <c r="B2607" s="133" t="s">
        <v>3335</v>
      </c>
      <c r="C2607" s="133" t="s">
        <v>3148</v>
      </c>
      <c r="D2607" s="133" t="s">
        <v>481</v>
      </c>
      <c r="E2607" s="158">
        <v>5</v>
      </c>
      <c r="F2607" s="158">
        <v>9</v>
      </c>
      <c r="G2607" s="158">
        <v>2</v>
      </c>
      <c r="H2607" s="133" t="s">
        <v>3364</v>
      </c>
      <c r="I2607" s="133" t="s">
        <v>615</v>
      </c>
      <c r="J2607" s="158">
        <v>0</v>
      </c>
      <c r="K2607" s="159" t="str">
        <f ca="1">IFERROR(__xludf.DUMMYFUNCTION("GOOGLETRANSLATE(H2607,""th"",""en"")"),"Last pick-up price (NET broken all discounts)")</f>
        <v>Last pick-up price (NET broken all discounts)</v>
      </c>
    </row>
    <row r="2608" spans="1:11" ht="15.75" hidden="1" customHeight="1">
      <c r="A2608" s="133" t="s">
        <v>7</v>
      </c>
      <c r="B2608" s="133" t="s">
        <v>3335</v>
      </c>
      <c r="C2608" s="133" t="s">
        <v>3150</v>
      </c>
      <c r="D2608" s="133" t="s">
        <v>496</v>
      </c>
      <c r="E2608" s="158">
        <v>4</v>
      </c>
      <c r="F2608" s="158">
        <v>16</v>
      </c>
      <c r="G2608" s="158">
        <v>0</v>
      </c>
      <c r="H2608" s="133" t="s">
        <v>3151</v>
      </c>
      <c r="I2608" s="133" t="s">
        <v>548</v>
      </c>
      <c r="J2608" s="158">
        <v>0</v>
      </c>
      <c r="K2608" s="159" t="str">
        <f ca="1">IFERROR(__xludf.DUMMYFUNCTION("GOOGLETRANSLATE(H2608,""th"",""en"")"),"Last selling products")</f>
        <v>Last selling products</v>
      </c>
    </row>
    <row r="2609" spans="1:11" ht="15.75" hidden="1" customHeight="1">
      <c r="A2609" s="133" t="s">
        <v>7</v>
      </c>
      <c r="B2609" s="133" t="s">
        <v>3335</v>
      </c>
      <c r="C2609" s="133" t="s">
        <v>3146</v>
      </c>
      <c r="D2609" s="133" t="s">
        <v>496</v>
      </c>
      <c r="E2609" s="158">
        <v>4</v>
      </c>
      <c r="F2609" s="158">
        <v>16</v>
      </c>
      <c r="G2609" s="158">
        <v>0</v>
      </c>
      <c r="H2609" s="133" t="s">
        <v>3147</v>
      </c>
      <c r="I2609" s="133" t="s">
        <v>548</v>
      </c>
      <c r="J2609" s="158">
        <v>0</v>
      </c>
      <c r="K2609" s="159" t="str">
        <f ca="1">IFERROR(__xludf.DUMMYFUNCTION("GOOGLETRANSLATE(H2609,""th"",""en"")"),"Last purchase date")</f>
        <v>Last purchase date</v>
      </c>
    </row>
    <row r="2610" spans="1:11" ht="15.75" hidden="1" customHeight="1">
      <c r="A2610" s="133" t="s">
        <v>7</v>
      </c>
      <c r="B2610" s="133" t="s">
        <v>3335</v>
      </c>
      <c r="C2610" s="133" t="s">
        <v>2340</v>
      </c>
      <c r="D2610" s="133" t="s">
        <v>496</v>
      </c>
      <c r="E2610" s="158">
        <v>4</v>
      </c>
      <c r="F2610" s="158">
        <v>16</v>
      </c>
      <c r="G2610" s="158">
        <v>0</v>
      </c>
      <c r="H2610" s="133" t="s">
        <v>3365</v>
      </c>
      <c r="I2610" s="133" t="s">
        <v>548</v>
      </c>
      <c r="J2610" s="158">
        <v>0</v>
      </c>
      <c r="K2610" s="159" t="str">
        <f ca="1">IFERROR(__xludf.DUMMYFUNCTION("GOOGLETRANSLATE(H2610,""th"",""en"")"),"Last pick-up date")</f>
        <v>Last pick-up date</v>
      </c>
    </row>
    <row r="2611" spans="1:11" ht="15.75" hidden="1" customHeight="1">
      <c r="A2611" s="133" t="s">
        <v>7</v>
      </c>
      <c r="B2611" s="133" t="s">
        <v>3335</v>
      </c>
      <c r="C2611" s="133" t="s">
        <v>3366</v>
      </c>
      <c r="D2611" s="133" t="s">
        <v>484</v>
      </c>
      <c r="E2611" s="158">
        <v>4</v>
      </c>
      <c r="F2611" s="158">
        <v>10</v>
      </c>
      <c r="G2611" s="158">
        <v>0</v>
      </c>
      <c r="H2611" s="133" t="s">
        <v>3367</v>
      </c>
      <c r="I2611" s="133" t="s">
        <v>615</v>
      </c>
      <c r="J2611" s="158">
        <v>0</v>
      </c>
      <c r="K2611" s="159" t="str">
        <f ca="1">IFERROR(__xludf.DUMMYFUNCTION("GOOGLETRANSLATE(H2611,""th"",""en"")"),"The actual number of inventories in Stock")</f>
        <v>The actual number of inventories in Stock</v>
      </c>
    </row>
    <row r="2612" spans="1:11" ht="15.75" hidden="1" customHeight="1">
      <c r="A2612" s="133" t="s">
        <v>7</v>
      </c>
      <c r="B2612" s="133" t="s">
        <v>3335</v>
      </c>
      <c r="C2612" s="133" t="s">
        <v>3368</v>
      </c>
      <c r="D2612" s="133" t="s">
        <v>484</v>
      </c>
      <c r="E2612" s="158">
        <v>4</v>
      </c>
      <c r="F2612" s="158">
        <v>10</v>
      </c>
      <c r="G2612" s="158">
        <v>0</v>
      </c>
      <c r="H2612" s="133" t="s">
        <v>3369</v>
      </c>
      <c r="I2612" s="133" t="s">
        <v>615</v>
      </c>
      <c r="J2612" s="158">
        <v>0</v>
      </c>
      <c r="K2612" s="159" t="str">
        <f ca="1">IFERROR(__xludf.DUMMYFUNCTION("GOOGLETRANSLATE(H2612,""th"",""en"")"),"Quantity. Number of reservations")</f>
        <v>Quantity. Number of reservations</v>
      </c>
    </row>
    <row r="2613" spans="1:11" ht="15.75" hidden="1" customHeight="1">
      <c r="A2613" s="133" t="s">
        <v>7</v>
      </c>
      <c r="B2613" s="133" t="s">
        <v>3335</v>
      </c>
      <c r="C2613" s="133" t="s">
        <v>3370</v>
      </c>
      <c r="D2613" s="133" t="s">
        <v>484</v>
      </c>
      <c r="E2613" s="158">
        <v>4</v>
      </c>
      <c r="F2613" s="158">
        <v>10</v>
      </c>
      <c r="G2613" s="158">
        <v>0</v>
      </c>
      <c r="H2613" s="133" t="s">
        <v>3371</v>
      </c>
      <c r="I2613" s="133" t="s">
        <v>615</v>
      </c>
      <c r="J2613" s="158">
        <v>0</v>
      </c>
      <c r="K2613" s="159" t="str">
        <f ca="1">IFERROR(__xludf.DUMMYFUNCTION("GOOGLETRANSLATE(H2613,""th"",""en"")"),"Quantity. The amount that is borrowed")</f>
        <v>Quantity. The amount that is borrowed</v>
      </c>
    </row>
    <row r="2614" spans="1:11" ht="15.75" hidden="1" customHeight="1">
      <c r="A2614" s="133" t="s">
        <v>7</v>
      </c>
      <c r="B2614" s="133" t="s">
        <v>3335</v>
      </c>
      <c r="C2614" s="133" t="s">
        <v>3152</v>
      </c>
      <c r="D2614" s="133" t="s">
        <v>484</v>
      </c>
      <c r="E2614" s="158">
        <v>4</v>
      </c>
      <c r="F2614" s="158">
        <v>10</v>
      </c>
      <c r="G2614" s="158">
        <v>0</v>
      </c>
      <c r="H2614" s="133" t="s">
        <v>3153</v>
      </c>
      <c r="I2614" s="133" t="s">
        <v>615</v>
      </c>
      <c r="J2614" s="158">
        <v>0</v>
      </c>
      <c r="K2614" s="159" t="str">
        <f ca="1">IFERROR(__xludf.DUMMYFUNCTION("GOOGLETRANSLATE(H2614,""th"",""en"")"),"Quantity. The number of products that are in the order")</f>
        <v>Quantity. The number of products that are in the order</v>
      </c>
    </row>
    <row r="2615" spans="1:11" ht="15.75" hidden="1" customHeight="1">
      <c r="A2615" s="133" t="s">
        <v>7</v>
      </c>
      <c r="B2615" s="133" t="s">
        <v>3335</v>
      </c>
      <c r="C2615" s="133" t="s">
        <v>862</v>
      </c>
      <c r="D2615" s="133" t="s">
        <v>481</v>
      </c>
      <c r="E2615" s="158">
        <v>5</v>
      </c>
      <c r="F2615" s="158">
        <v>9</v>
      </c>
      <c r="G2615" s="158">
        <v>2</v>
      </c>
      <c r="H2615" s="133" t="s">
        <v>3372</v>
      </c>
      <c r="I2615" s="133" t="s">
        <v>615</v>
      </c>
      <c r="J2615" s="158">
        <v>0</v>
      </c>
      <c r="K2615" s="159" t="str">
        <f ca="1">IFERROR(__xludf.DUMMYFUNCTION("GOOGLETRANSLATE(H2615,""th"",""en"")"),"Is a standard marketing margin default (Data comes from the market sent to (future update made through the program))")</f>
        <v>Is a standard marketing margin default (Data comes from the market sent to (future update made through the program))</v>
      </c>
    </row>
    <row r="2616" spans="1:11" ht="15.75" hidden="1" customHeight="1">
      <c r="A2616" s="133" t="s">
        <v>7</v>
      </c>
      <c r="B2616" s="133" t="s">
        <v>3373</v>
      </c>
      <c r="C2616" s="133" t="s">
        <v>253</v>
      </c>
      <c r="D2616" s="133" t="s">
        <v>477</v>
      </c>
      <c r="E2616" s="158">
        <v>7</v>
      </c>
      <c r="F2616" s="158">
        <v>0</v>
      </c>
      <c r="G2616" s="158">
        <v>0</v>
      </c>
      <c r="H2616" s="133" t="s">
        <v>479</v>
      </c>
      <c r="I2616" s="133" t="s">
        <v>479</v>
      </c>
      <c r="J2616" s="158">
        <v>0</v>
      </c>
      <c r="K2616" s="159" t="str">
        <f ca="1">IFERROR(__xludf.DUMMYFUNCTION("GOOGLETRANSLATE(H2616,""th"",""en"")"),"Null")</f>
        <v>Null</v>
      </c>
    </row>
    <row r="2617" spans="1:11" ht="15.75" hidden="1" customHeight="1">
      <c r="A2617" s="133" t="s">
        <v>7</v>
      </c>
      <c r="B2617" s="133" t="s">
        <v>3373</v>
      </c>
      <c r="C2617" s="133" t="s">
        <v>3132</v>
      </c>
      <c r="D2617" s="133" t="s">
        <v>484</v>
      </c>
      <c r="E2617" s="158">
        <v>4</v>
      </c>
      <c r="F2617" s="158">
        <v>10</v>
      </c>
      <c r="G2617" s="158">
        <v>0</v>
      </c>
      <c r="H2617" s="133" t="s">
        <v>479</v>
      </c>
      <c r="I2617" s="133" t="s">
        <v>479</v>
      </c>
      <c r="J2617" s="158">
        <v>0</v>
      </c>
      <c r="K2617" s="159" t="str">
        <f ca="1">IFERROR(__xludf.DUMMYFUNCTION("GOOGLETRANSLATE(H2617,""th"",""en"")"),"Null")</f>
        <v>Null</v>
      </c>
    </row>
    <row r="2618" spans="1:11" ht="15.75" hidden="1" customHeight="1">
      <c r="A2618" s="133" t="s">
        <v>7</v>
      </c>
      <c r="B2618" s="133" t="s">
        <v>3373</v>
      </c>
      <c r="C2618" s="133" t="s">
        <v>3134</v>
      </c>
      <c r="D2618" s="133" t="s">
        <v>481</v>
      </c>
      <c r="E2618" s="158">
        <v>5</v>
      </c>
      <c r="F2618" s="158">
        <v>9</v>
      </c>
      <c r="G2618" s="158">
        <v>2</v>
      </c>
      <c r="H2618" s="133" t="s">
        <v>479</v>
      </c>
      <c r="I2618" s="133" t="s">
        <v>479</v>
      </c>
      <c r="J2618" s="158">
        <v>0</v>
      </c>
      <c r="K2618" s="159" t="str">
        <f ca="1">IFERROR(__xludf.DUMMYFUNCTION("GOOGLETRANSLATE(H2618,""th"",""en"")"),"Null")</f>
        <v>Null</v>
      </c>
    </row>
    <row r="2619" spans="1:11" ht="15.75" hidden="1" customHeight="1">
      <c r="A2619" s="133" t="s">
        <v>7</v>
      </c>
      <c r="B2619" s="133" t="s">
        <v>3373</v>
      </c>
      <c r="C2619" s="133" t="s">
        <v>3136</v>
      </c>
      <c r="D2619" s="133" t="s">
        <v>481</v>
      </c>
      <c r="E2619" s="158">
        <v>9</v>
      </c>
      <c r="F2619" s="158">
        <v>18</v>
      </c>
      <c r="G2619" s="158">
        <v>2</v>
      </c>
      <c r="H2619" s="133" t="s">
        <v>479</v>
      </c>
      <c r="I2619" s="133" t="s">
        <v>479</v>
      </c>
      <c r="J2619" s="158">
        <v>0</v>
      </c>
      <c r="K2619" s="159" t="str">
        <f ca="1">IFERROR(__xludf.DUMMYFUNCTION("GOOGLETRANSLATE(H2619,""th"",""en"")"),"Null")</f>
        <v>Null</v>
      </c>
    </row>
    <row r="2620" spans="1:11" ht="15.75" hidden="1" customHeight="1">
      <c r="A2620" s="133" t="s">
        <v>7</v>
      </c>
      <c r="B2620" s="133" t="s">
        <v>3373</v>
      </c>
      <c r="C2620" s="133" t="s">
        <v>3138</v>
      </c>
      <c r="D2620" s="133" t="s">
        <v>484</v>
      </c>
      <c r="E2620" s="158">
        <v>4</v>
      </c>
      <c r="F2620" s="158">
        <v>10</v>
      </c>
      <c r="G2620" s="158">
        <v>0</v>
      </c>
      <c r="H2620" s="133" t="s">
        <v>479</v>
      </c>
      <c r="I2620" s="133" t="s">
        <v>479</v>
      </c>
      <c r="J2620" s="158">
        <v>0</v>
      </c>
      <c r="K2620" s="159" t="str">
        <f ca="1">IFERROR(__xludf.DUMMYFUNCTION("GOOGLETRANSLATE(H2620,""th"",""en"")"),"Null")</f>
        <v>Null</v>
      </c>
    </row>
    <row r="2621" spans="1:11" ht="15.75" hidden="1" customHeight="1">
      <c r="A2621" s="133" t="s">
        <v>7</v>
      </c>
      <c r="B2621" s="133" t="s">
        <v>3373</v>
      </c>
      <c r="C2621" s="133" t="s">
        <v>3140</v>
      </c>
      <c r="D2621" s="133" t="s">
        <v>484</v>
      </c>
      <c r="E2621" s="158">
        <v>4</v>
      </c>
      <c r="F2621" s="158">
        <v>10</v>
      </c>
      <c r="G2621" s="158">
        <v>0</v>
      </c>
      <c r="H2621" s="133" t="s">
        <v>479</v>
      </c>
      <c r="I2621" s="133" t="s">
        <v>479</v>
      </c>
      <c r="J2621" s="158">
        <v>0</v>
      </c>
      <c r="K2621" s="159" t="str">
        <f ca="1">IFERROR(__xludf.DUMMYFUNCTION("GOOGLETRANSLATE(H2621,""th"",""en"")"),"Null")</f>
        <v>Null</v>
      </c>
    </row>
    <row r="2622" spans="1:11" ht="15.75" hidden="1" customHeight="1">
      <c r="A2622" s="133" t="s">
        <v>7</v>
      </c>
      <c r="B2622" s="133" t="s">
        <v>3373</v>
      </c>
      <c r="C2622" s="133" t="s">
        <v>3142</v>
      </c>
      <c r="D2622" s="133" t="s">
        <v>484</v>
      </c>
      <c r="E2622" s="158">
        <v>4</v>
      </c>
      <c r="F2622" s="158">
        <v>10</v>
      </c>
      <c r="G2622" s="158">
        <v>0</v>
      </c>
      <c r="H2622" s="133" t="s">
        <v>479</v>
      </c>
      <c r="I2622" s="133" t="s">
        <v>479</v>
      </c>
      <c r="J2622" s="158">
        <v>0</v>
      </c>
      <c r="K2622" s="159" t="str">
        <f ca="1">IFERROR(__xludf.DUMMYFUNCTION("GOOGLETRANSLATE(H2622,""th"",""en"")"),"Null")</f>
        <v>Null</v>
      </c>
    </row>
    <row r="2623" spans="1:11" ht="15.75" hidden="1" customHeight="1">
      <c r="A2623" s="133" t="s">
        <v>7</v>
      </c>
      <c r="B2623" s="133" t="s">
        <v>3373</v>
      </c>
      <c r="C2623" s="133" t="s">
        <v>3144</v>
      </c>
      <c r="D2623" s="133" t="s">
        <v>484</v>
      </c>
      <c r="E2623" s="158">
        <v>4</v>
      </c>
      <c r="F2623" s="158">
        <v>10</v>
      </c>
      <c r="G2623" s="158">
        <v>0</v>
      </c>
      <c r="H2623" s="133" t="s">
        <v>479</v>
      </c>
      <c r="I2623" s="133" t="s">
        <v>479</v>
      </c>
      <c r="J2623" s="158">
        <v>0</v>
      </c>
      <c r="K2623" s="159" t="str">
        <f ca="1">IFERROR(__xludf.DUMMYFUNCTION("GOOGLETRANSLATE(H2623,""th"",""en"")"),"Null")</f>
        <v>Null</v>
      </c>
    </row>
    <row r="2624" spans="1:11" ht="15.75" hidden="1" customHeight="1">
      <c r="A2624" s="133" t="s">
        <v>7</v>
      </c>
      <c r="B2624" s="133" t="s">
        <v>3373</v>
      </c>
      <c r="C2624" s="133" t="s">
        <v>1147</v>
      </c>
      <c r="D2624" s="133" t="s">
        <v>481</v>
      </c>
      <c r="E2624" s="158">
        <v>5</v>
      </c>
      <c r="F2624" s="158">
        <v>9</v>
      </c>
      <c r="G2624" s="158">
        <v>2</v>
      </c>
      <c r="H2624" s="133" t="s">
        <v>479</v>
      </c>
      <c r="I2624" s="133" t="s">
        <v>479</v>
      </c>
      <c r="J2624" s="158">
        <v>0</v>
      </c>
      <c r="K2624" s="159" t="str">
        <f ca="1">IFERROR(__xludf.DUMMYFUNCTION("GOOGLETRANSLATE(H2624,""th"",""en"")"),"Null")</f>
        <v>Null</v>
      </c>
    </row>
    <row r="2625" spans="1:11" ht="15.75" hidden="1" customHeight="1">
      <c r="A2625" s="133" t="s">
        <v>7</v>
      </c>
      <c r="B2625" s="133" t="s">
        <v>3373</v>
      </c>
      <c r="C2625" s="133" t="s">
        <v>3159</v>
      </c>
      <c r="D2625" s="133" t="s">
        <v>481</v>
      </c>
      <c r="E2625" s="158">
        <v>9</v>
      </c>
      <c r="F2625" s="158">
        <v>18</v>
      </c>
      <c r="G2625" s="158">
        <v>2</v>
      </c>
      <c r="H2625" s="133" t="s">
        <v>479</v>
      </c>
      <c r="I2625" s="133" t="s">
        <v>479</v>
      </c>
      <c r="J2625" s="158">
        <v>0</v>
      </c>
      <c r="K2625" s="159" t="str">
        <f ca="1">IFERROR(__xludf.DUMMYFUNCTION("GOOGLETRANSLATE(H2625,""th"",""en"")"),"Null")</f>
        <v>Null</v>
      </c>
    </row>
    <row r="2626" spans="1:11" ht="15.75" hidden="1" customHeight="1">
      <c r="A2626" s="133" t="s">
        <v>7</v>
      </c>
      <c r="B2626" s="133" t="s">
        <v>3373</v>
      </c>
      <c r="C2626" s="133" t="s">
        <v>3148</v>
      </c>
      <c r="D2626" s="133" t="s">
        <v>481</v>
      </c>
      <c r="E2626" s="158">
        <v>5</v>
      </c>
      <c r="F2626" s="158">
        <v>9</v>
      </c>
      <c r="G2626" s="158">
        <v>2</v>
      </c>
      <c r="H2626" s="133" t="s">
        <v>479</v>
      </c>
      <c r="I2626" s="133" t="s">
        <v>479</v>
      </c>
      <c r="J2626" s="158">
        <v>0</v>
      </c>
      <c r="K2626" s="159" t="str">
        <f ca="1">IFERROR(__xludf.DUMMYFUNCTION("GOOGLETRANSLATE(H2626,""th"",""en"")"),"Null")</f>
        <v>Null</v>
      </c>
    </row>
    <row r="2627" spans="1:11" ht="15.75" hidden="1" customHeight="1">
      <c r="A2627" s="133" t="s">
        <v>7</v>
      </c>
      <c r="B2627" s="133" t="s">
        <v>3373</v>
      </c>
      <c r="C2627" s="133" t="s">
        <v>3150</v>
      </c>
      <c r="D2627" s="133" t="s">
        <v>496</v>
      </c>
      <c r="E2627" s="158">
        <v>4</v>
      </c>
      <c r="F2627" s="158">
        <v>16</v>
      </c>
      <c r="G2627" s="158">
        <v>0</v>
      </c>
      <c r="H2627" s="133" t="s">
        <v>479</v>
      </c>
      <c r="I2627" s="133" t="s">
        <v>479</v>
      </c>
      <c r="J2627" s="158">
        <v>0</v>
      </c>
      <c r="K2627" s="159" t="str">
        <f ca="1">IFERROR(__xludf.DUMMYFUNCTION("GOOGLETRANSLATE(H2627,""th"",""en"")"),"Null")</f>
        <v>Null</v>
      </c>
    </row>
    <row r="2628" spans="1:11" ht="15.75" hidden="1" customHeight="1">
      <c r="A2628" s="133" t="s">
        <v>7</v>
      </c>
      <c r="B2628" s="133" t="s">
        <v>3373</v>
      </c>
      <c r="C2628" s="133" t="s">
        <v>3146</v>
      </c>
      <c r="D2628" s="133" t="s">
        <v>496</v>
      </c>
      <c r="E2628" s="158">
        <v>4</v>
      </c>
      <c r="F2628" s="158">
        <v>16</v>
      </c>
      <c r="G2628" s="158">
        <v>0</v>
      </c>
      <c r="H2628" s="133" t="s">
        <v>479</v>
      </c>
      <c r="I2628" s="133" t="s">
        <v>479</v>
      </c>
      <c r="J2628" s="158">
        <v>0</v>
      </c>
      <c r="K2628" s="159" t="str">
        <f ca="1">IFERROR(__xludf.DUMMYFUNCTION("GOOGLETRANSLATE(H2628,""th"",""en"")"),"Null")</f>
        <v>Null</v>
      </c>
    </row>
    <row r="2629" spans="1:11" ht="15.75" hidden="1" customHeight="1">
      <c r="A2629" s="133" t="s">
        <v>7</v>
      </c>
      <c r="B2629" s="133" t="s">
        <v>3373</v>
      </c>
      <c r="C2629" s="133" t="s">
        <v>2340</v>
      </c>
      <c r="D2629" s="133" t="s">
        <v>538</v>
      </c>
      <c r="E2629" s="158">
        <v>8</v>
      </c>
      <c r="F2629" s="158">
        <v>23</v>
      </c>
      <c r="G2629" s="158">
        <v>3</v>
      </c>
      <c r="H2629" s="133" t="s">
        <v>479</v>
      </c>
      <c r="I2629" s="133" t="s">
        <v>479</v>
      </c>
      <c r="J2629" s="158">
        <v>0</v>
      </c>
      <c r="K2629" s="159" t="str">
        <f ca="1">IFERROR(__xludf.DUMMYFUNCTION("GOOGLETRANSLATE(H2629,""th"",""en"")"),"Null")</f>
        <v>Null</v>
      </c>
    </row>
    <row r="2630" spans="1:11" ht="15.75" hidden="1" customHeight="1">
      <c r="A2630" s="133" t="s">
        <v>7</v>
      </c>
      <c r="B2630" s="133" t="s">
        <v>3373</v>
      </c>
      <c r="C2630" s="133" t="s">
        <v>3366</v>
      </c>
      <c r="D2630" s="133" t="s">
        <v>484</v>
      </c>
      <c r="E2630" s="158">
        <v>4</v>
      </c>
      <c r="F2630" s="158">
        <v>10</v>
      </c>
      <c r="G2630" s="158">
        <v>0</v>
      </c>
      <c r="H2630" s="133" t="s">
        <v>479</v>
      </c>
      <c r="I2630" s="133" t="s">
        <v>479</v>
      </c>
      <c r="J2630" s="158">
        <v>0</v>
      </c>
      <c r="K2630" s="159" t="str">
        <f ca="1">IFERROR(__xludf.DUMMYFUNCTION("GOOGLETRANSLATE(H2630,""th"",""en"")"),"Null")</f>
        <v>Null</v>
      </c>
    </row>
    <row r="2631" spans="1:11" ht="15.75" hidden="1" customHeight="1">
      <c r="A2631" s="133" t="s">
        <v>7</v>
      </c>
      <c r="B2631" s="133" t="s">
        <v>3373</v>
      </c>
      <c r="C2631" s="133" t="s">
        <v>3368</v>
      </c>
      <c r="D2631" s="133" t="s">
        <v>484</v>
      </c>
      <c r="E2631" s="158">
        <v>4</v>
      </c>
      <c r="F2631" s="158">
        <v>10</v>
      </c>
      <c r="G2631" s="158">
        <v>0</v>
      </c>
      <c r="H2631" s="133" t="s">
        <v>479</v>
      </c>
      <c r="I2631" s="133" t="s">
        <v>479</v>
      </c>
      <c r="J2631" s="158">
        <v>0</v>
      </c>
      <c r="K2631" s="159" t="str">
        <f ca="1">IFERROR(__xludf.DUMMYFUNCTION("GOOGLETRANSLATE(H2631,""th"",""en"")"),"Null")</f>
        <v>Null</v>
      </c>
    </row>
    <row r="2632" spans="1:11" ht="15.75" hidden="1" customHeight="1">
      <c r="A2632" s="133" t="s">
        <v>7</v>
      </c>
      <c r="B2632" s="133" t="s">
        <v>3373</v>
      </c>
      <c r="C2632" s="133" t="s">
        <v>3370</v>
      </c>
      <c r="D2632" s="133" t="s">
        <v>484</v>
      </c>
      <c r="E2632" s="158">
        <v>4</v>
      </c>
      <c r="F2632" s="158">
        <v>10</v>
      </c>
      <c r="G2632" s="158">
        <v>0</v>
      </c>
      <c r="H2632" s="133" t="s">
        <v>479</v>
      </c>
      <c r="I2632" s="133" t="s">
        <v>479</v>
      </c>
      <c r="J2632" s="158">
        <v>0</v>
      </c>
      <c r="K2632" s="159" t="str">
        <f ca="1">IFERROR(__xludf.DUMMYFUNCTION("GOOGLETRANSLATE(H2632,""th"",""en"")"),"Null")</f>
        <v>Null</v>
      </c>
    </row>
    <row r="2633" spans="1:11" ht="15.75" hidden="1" customHeight="1">
      <c r="A2633" s="133" t="s">
        <v>7</v>
      </c>
      <c r="B2633" s="133" t="s">
        <v>3373</v>
      </c>
      <c r="C2633" s="133" t="s">
        <v>3152</v>
      </c>
      <c r="D2633" s="133" t="s">
        <v>484</v>
      </c>
      <c r="E2633" s="158">
        <v>4</v>
      </c>
      <c r="F2633" s="158">
        <v>10</v>
      </c>
      <c r="G2633" s="158">
        <v>0</v>
      </c>
      <c r="H2633" s="133" t="s">
        <v>479</v>
      </c>
      <c r="I2633" s="133" t="s">
        <v>479</v>
      </c>
      <c r="J2633" s="158">
        <v>0</v>
      </c>
      <c r="K2633" s="159" t="str">
        <f ca="1">IFERROR(__xludf.DUMMYFUNCTION("GOOGLETRANSLATE(H2633,""th"",""en"")"),"Null")</f>
        <v>Null</v>
      </c>
    </row>
    <row r="2634" spans="1:11" ht="15.75" hidden="1" customHeight="1">
      <c r="A2634" s="133" t="s">
        <v>7</v>
      </c>
      <c r="B2634" s="133" t="s">
        <v>3373</v>
      </c>
      <c r="C2634" s="133" t="s">
        <v>3154</v>
      </c>
      <c r="D2634" s="133" t="s">
        <v>477</v>
      </c>
      <c r="E2634" s="158">
        <v>3</v>
      </c>
      <c r="F2634" s="158">
        <v>0</v>
      </c>
      <c r="G2634" s="158">
        <v>0</v>
      </c>
      <c r="H2634" s="133" t="s">
        <v>479</v>
      </c>
      <c r="I2634" s="133" t="s">
        <v>479</v>
      </c>
      <c r="J2634" s="158">
        <v>0</v>
      </c>
      <c r="K2634" s="159" t="str">
        <f ca="1">IFERROR(__xludf.DUMMYFUNCTION("GOOGLETRANSLATE(H2634,""th"",""en"")"),"Null")</f>
        <v>Null</v>
      </c>
    </row>
    <row r="2635" spans="1:11" ht="15.75" hidden="1" customHeight="1">
      <c r="A2635" s="133" t="s">
        <v>7</v>
      </c>
      <c r="B2635" s="133" t="s">
        <v>3373</v>
      </c>
      <c r="C2635" s="133" t="s">
        <v>523</v>
      </c>
      <c r="D2635" s="133" t="s">
        <v>477</v>
      </c>
      <c r="E2635" s="158">
        <v>8</v>
      </c>
      <c r="F2635" s="158">
        <v>0</v>
      </c>
      <c r="G2635" s="158">
        <v>0</v>
      </c>
      <c r="H2635" s="133" t="s">
        <v>479</v>
      </c>
      <c r="I2635" s="133" t="s">
        <v>479</v>
      </c>
      <c r="J2635" s="158">
        <v>0</v>
      </c>
      <c r="K2635" s="159" t="str">
        <f ca="1">IFERROR(__xludf.DUMMYFUNCTION("GOOGLETRANSLATE(H2635,""th"",""en"")"),"Null")</f>
        <v>Null</v>
      </c>
    </row>
    <row r="2636" spans="1:11" ht="15.75" hidden="1" customHeight="1">
      <c r="A2636" s="133" t="s">
        <v>7</v>
      </c>
      <c r="B2636" s="133" t="s">
        <v>3373</v>
      </c>
      <c r="C2636" s="133" t="s">
        <v>669</v>
      </c>
      <c r="D2636" s="133" t="s">
        <v>496</v>
      </c>
      <c r="E2636" s="158">
        <v>4</v>
      </c>
      <c r="F2636" s="158">
        <v>16</v>
      </c>
      <c r="G2636" s="158">
        <v>0</v>
      </c>
      <c r="H2636" s="133" t="s">
        <v>479</v>
      </c>
      <c r="I2636" s="133" t="s">
        <v>479</v>
      </c>
      <c r="J2636" s="158">
        <v>0</v>
      </c>
      <c r="K2636" s="159" t="str">
        <f ca="1">IFERROR(__xludf.DUMMYFUNCTION("GOOGLETRANSLATE(H2636,""th"",""en"")"),"Null")</f>
        <v>Null</v>
      </c>
    </row>
    <row r="2637" spans="1:11" ht="15.75" hidden="1" customHeight="1">
      <c r="A2637" s="133" t="s">
        <v>7</v>
      </c>
      <c r="B2637" s="133" t="s">
        <v>3373</v>
      </c>
      <c r="C2637" s="133" t="s">
        <v>670</v>
      </c>
      <c r="D2637" s="133" t="s">
        <v>477</v>
      </c>
      <c r="E2637" s="158">
        <v>8</v>
      </c>
      <c r="F2637" s="158">
        <v>0</v>
      </c>
      <c r="G2637" s="158">
        <v>0</v>
      </c>
      <c r="H2637" s="133" t="s">
        <v>479</v>
      </c>
      <c r="I2637" s="133" t="s">
        <v>479</v>
      </c>
      <c r="J2637" s="158">
        <v>0</v>
      </c>
      <c r="K2637" s="159" t="str">
        <f ca="1">IFERROR(__xludf.DUMMYFUNCTION("GOOGLETRANSLATE(H2637,""th"",""en"")"),"Null")</f>
        <v>Null</v>
      </c>
    </row>
    <row r="2638" spans="1:11" ht="15.75" hidden="1" customHeight="1">
      <c r="A2638" s="133" t="s">
        <v>7</v>
      </c>
      <c r="B2638" s="133" t="s">
        <v>3373</v>
      </c>
      <c r="C2638" s="133" t="s">
        <v>215</v>
      </c>
      <c r="D2638" s="133" t="s">
        <v>496</v>
      </c>
      <c r="E2638" s="158">
        <v>4</v>
      </c>
      <c r="F2638" s="158">
        <v>16</v>
      </c>
      <c r="G2638" s="158">
        <v>0</v>
      </c>
      <c r="H2638" s="133" t="s">
        <v>479</v>
      </c>
      <c r="I2638" s="133" t="s">
        <v>479</v>
      </c>
      <c r="J2638" s="158">
        <v>0</v>
      </c>
      <c r="K2638" s="159" t="str">
        <f ca="1">IFERROR(__xludf.DUMMYFUNCTION("GOOGLETRANSLATE(H2638,""th"",""en"")"),"Null")</f>
        <v>Null</v>
      </c>
    </row>
    <row r="2639" spans="1:11" ht="15.75" hidden="1" customHeight="1">
      <c r="A2639" s="133" t="s">
        <v>7</v>
      </c>
      <c r="B2639" s="133" t="s">
        <v>3373</v>
      </c>
      <c r="C2639" s="133" t="s">
        <v>3374</v>
      </c>
      <c r="D2639" s="133" t="s">
        <v>484</v>
      </c>
      <c r="E2639" s="158">
        <v>4</v>
      </c>
      <c r="F2639" s="158">
        <v>10</v>
      </c>
      <c r="G2639" s="158">
        <v>0</v>
      </c>
      <c r="H2639" s="133" t="s">
        <v>479</v>
      </c>
      <c r="I2639" s="133" t="s">
        <v>479</v>
      </c>
      <c r="J2639" s="158">
        <v>0</v>
      </c>
      <c r="K2639" s="159" t="str">
        <f ca="1">IFERROR(__xludf.DUMMYFUNCTION("GOOGLETRANSLATE(H2639,""th"",""en"")"),"Null")</f>
        <v>Null</v>
      </c>
    </row>
    <row r="2640" spans="1:11" ht="15.75" hidden="1" customHeight="1">
      <c r="A2640" s="133" t="s">
        <v>7</v>
      </c>
      <c r="B2640" s="133" t="s">
        <v>3373</v>
      </c>
      <c r="C2640" s="133" t="s">
        <v>3375</v>
      </c>
      <c r="D2640" s="133" t="s">
        <v>484</v>
      </c>
      <c r="E2640" s="158">
        <v>4</v>
      </c>
      <c r="F2640" s="158">
        <v>10</v>
      </c>
      <c r="G2640" s="158">
        <v>0</v>
      </c>
      <c r="H2640" s="133" t="s">
        <v>479</v>
      </c>
      <c r="I2640" s="133" t="s">
        <v>479</v>
      </c>
      <c r="J2640" s="158">
        <v>0</v>
      </c>
      <c r="K2640" s="159" t="str">
        <f ca="1">IFERROR(__xludf.DUMMYFUNCTION("GOOGLETRANSLATE(H2640,""th"",""en"")"),"Null")</f>
        <v>Null</v>
      </c>
    </row>
    <row r="2641" spans="1:11" ht="15.75" hidden="1" customHeight="1">
      <c r="A2641" s="133" t="s">
        <v>7</v>
      </c>
      <c r="B2641" s="133" t="s">
        <v>3373</v>
      </c>
      <c r="C2641" s="133" t="s">
        <v>3376</v>
      </c>
      <c r="D2641" s="133" t="s">
        <v>484</v>
      </c>
      <c r="E2641" s="158">
        <v>4</v>
      </c>
      <c r="F2641" s="158">
        <v>10</v>
      </c>
      <c r="G2641" s="158">
        <v>0</v>
      </c>
      <c r="H2641" s="133" t="s">
        <v>479</v>
      </c>
      <c r="I2641" s="133" t="s">
        <v>479</v>
      </c>
      <c r="J2641" s="158">
        <v>0</v>
      </c>
      <c r="K2641" s="159" t="str">
        <f ca="1">IFERROR(__xludf.DUMMYFUNCTION("GOOGLETRANSLATE(H2641,""th"",""en"")"),"Null")</f>
        <v>Null</v>
      </c>
    </row>
    <row r="2642" spans="1:11" ht="15.75" hidden="1" customHeight="1">
      <c r="A2642" s="133" t="s">
        <v>7</v>
      </c>
      <c r="B2642" s="133" t="s">
        <v>3373</v>
      </c>
      <c r="C2642" s="133" t="s">
        <v>3377</v>
      </c>
      <c r="D2642" s="133" t="s">
        <v>484</v>
      </c>
      <c r="E2642" s="158">
        <v>4</v>
      </c>
      <c r="F2642" s="158">
        <v>10</v>
      </c>
      <c r="G2642" s="158">
        <v>0</v>
      </c>
      <c r="H2642" s="133" t="s">
        <v>479</v>
      </c>
      <c r="I2642" s="133" t="s">
        <v>479</v>
      </c>
      <c r="J2642" s="158">
        <v>0</v>
      </c>
      <c r="K2642" s="159" t="str">
        <f ca="1">IFERROR(__xludf.DUMMYFUNCTION("GOOGLETRANSLATE(H2642,""th"",""en"")"),"Null")</f>
        <v>Null</v>
      </c>
    </row>
    <row r="2643" spans="1:11" ht="15.75" hidden="1" customHeight="1">
      <c r="A2643" s="133" t="s">
        <v>7</v>
      </c>
      <c r="B2643" s="133" t="s">
        <v>3373</v>
      </c>
      <c r="C2643" s="133" t="s">
        <v>3378</v>
      </c>
      <c r="D2643" s="133" t="s">
        <v>484</v>
      </c>
      <c r="E2643" s="158">
        <v>4</v>
      </c>
      <c r="F2643" s="158">
        <v>10</v>
      </c>
      <c r="G2643" s="158">
        <v>0</v>
      </c>
      <c r="H2643" s="133" t="s">
        <v>479</v>
      </c>
      <c r="I2643" s="133" t="s">
        <v>479</v>
      </c>
      <c r="J2643" s="158">
        <v>0</v>
      </c>
      <c r="K2643" s="159" t="str">
        <f ca="1">IFERROR(__xludf.DUMMYFUNCTION("GOOGLETRANSLATE(H2643,""th"",""en"")"),"Null")</f>
        <v>Null</v>
      </c>
    </row>
    <row r="2644" spans="1:11" ht="15.75" hidden="1" customHeight="1">
      <c r="A2644" s="133" t="s">
        <v>7</v>
      </c>
      <c r="B2644" s="133" t="s">
        <v>3373</v>
      </c>
      <c r="C2644" s="133" t="s">
        <v>3164</v>
      </c>
      <c r="D2644" s="133" t="s">
        <v>496</v>
      </c>
      <c r="E2644" s="158">
        <v>4</v>
      </c>
      <c r="F2644" s="158">
        <v>16</v>
      </c>
      <c r="G2644" s="158">
        <v>0</v>
      </c>
      <c r="H2644" s="133" t="s">
        <v>479</v>
      </c>
      <c r="I2644" s="133" t="s">
        <v>479</v>
      </c>
      <c r="J2644" s="158">
        <v>0</v>
      </c>
      <c r="K2644" s="159" t="str">
        <f ca="1">IFERROR(__xludf.DUMMYFUNCTION("GOOGLETRANSLATE(H2644,""th"",""en"")"),"Null")</f>
        <v>Null</v>
      </c>
    </row>
    <row r="2645" spans="1:11" ht="15.75" hidden="1" customHeight="1">
      <c r="A2645" s="133" t="s">
        <v>7</v>
      </c>
      <c r="B2645" s="133" t="s">
        <v>3373</v>
      </c>
      <c r="C2645" s="133" t="s">
        <v>3166</v>
      </c>
      <c r="D2645" s="133" t="s">
        <v>496</v>
      </c>
      <c r="E2645" s="158">
        <v>4</v>
      </c>
      <c r="F2645" s="158">
        <v>16</v>
      </c>
      <c r="G2645" s="158">
        <v>0</v>
      </c>
      <c r="H2645" s="133" t="s">
        <v>479</v>
      </c>
      <c r="I2645" s="133" t="s">
        <v>479</v>
      </c>
      <c r="J2645" s="158">
        <v>0</v>
      </c>
      <c r="K2645" s="159" t="str">
        <f ca="1">IFERROR(__xludf.DUMMYFUNCTION("GOOGLETRANSLATE(H2645,""th"",""en"")"),"Null")</f>
        <v>Null</v>
      </c>
    </row>
    <row r="2646" spans="1:11" ht="15.75" hidden="1" customHeight="1">
      <c r="A2646" s="133" t="s">
        <v>7</v>
      </c>
      <c r="B2646" s="133" t="s">
        <v>3373</v>
      </c>
      <c r="C2646" s="133" t="s">
        <v>3168</v>
      </c>
      <c r="D2646" s="133" t="s">
        <v>496</v>
      </c>
      <c r="E2646" s="158">
        <v>4</v>
      </c>
      <c r="F2646" s="158">
        <v>16</v>
      </c>
      <c r="G2646" s="158">
        <v>0</v>
      </c>
      <c r="H2646" s="133" t="s">
        <v>479</v>
      </c>
      <c r="I2646" s="133" t="s">
        <v>479</v>
      </c>
      <c r="J2646" s="158">
        <v>0</v>
      </c>
      <c r="K2646" s="159" t="str">
        <f ca="1">IFERROR(__xludf.DUMMYFUNCTION("GOOGLETRANSLATE(H2646,""th"",""en"")"),"Null")</f>
        <v>Null</v>
      </c>
    </row>
    <row r="2647" spans="1:11" ht="15.75" hidden="1" customHeight="1">
      <c r="A2647" s="133" t="s">
        <v>7</v>
      </c>
      <c r="B2647" s="133" t="s">
        <v>3373</v>
      </c>
      <c r="C2647" s="133" t="s">
        <v>3170</v>
      </c>
      <c r="D2647" s="133" t="s">
        <v>496</v>
      </c>
      <c r="E2647" s="158">
        <v>4</v>
      </c>
      <c r="F2647" s="158">
        <v>16</v>
      </c>
      <c r="G2647" s="158">
        <v>0</v>
      </c>
      <c r="H2647" s="133" t="s">
        <v>479</v>
      </c>
      <c r="I2647" s="133" t="s">
        <v>479</v>
      </c>
      <c r="J2647" s="158">
        <v>0</v>
      </c>
      <c r="K2647" s="159" t="str">
        <f ca="1">IFERROR(__xludf.DUMMYFUNCTION("GOOGLETRANSLATE(H2647,""th"",""en"")"),"Null")</f>
        <v>Null</v>
      </c>
    </row>
    <row r="2648" spans="1:11" ht="15.75" hidden="1" customHeight="1">
      <c r="A2648" s="133" t="s">
        <v>7</v>
      </c>
      <c r="B2648" s="133" t="s">
        <v>3373</v>
      </c>
      <c r="C2648" s="133" t="s">
        <v>3172</v>
      </c>
      <c r="D2648" s="133" t="s">
        <v>496</v>
      </c>
      <c r="E2648" s="158">
        <v>4</v>
      </c>
      <c r="F2648" s="158">
        <v>16</v>
      </c>
      <c r="G2648" s="158">
        <v>0</v>
      </c>
      <c r="H2648" s="133" t="s">
        <v>479</v>
      </c>
      <c r="I2648" s="133" t="s">
        <v>479</v>
      </c>
      <c r="J2648" s="158">
        <v>0</v>
      </c>
      <c r="K2648" s="159" t="str">
        <f ca="1">IFERROR(__xludf.DUMMYFUNCTION("GOOGLETRANSLATE(H2648,""th"",""en"")"),"Null")</f>
        <v>Null</v>
      </c>
    </row>
    <row r="2649" spans="1:11" ht="15.75" hidden="1" customHeight="1">
      <c r="A2649" s="133" t="s">
        <v>7</v>
      </c>
      <c r="B2649" s="133" t="s">
        <v>3373</v>
      </c>
      <c r="C2649" s="133" t="s">
        <v>3174</v>
      </c>
      <c r="D2649" s="133" t="s">
        <v>496</v>
      </c>
      <c r="E2649" s="158">
        <v>4</v>
      </c>
      <c r="F2649" s="158">
        <v>16</v>
      </c>
      <c r="G2649" s="158">
        <v>0</v>
      </c>
      <c r="H2649" s="133" t="s">
        <v>479</v>
      </c>
      <c r="I2649" s="133" t="s">
        <v>479</v>
      </c>
      <c r="J2649" s="158">
        <v>0</v>
      </c>
      <c r="K2649" s="159" t="str">
        <f ca="1">IFERROR(__xludf.DUMMYFUNCTION("GOOGLETRANSLATE(H2649,""th"",""en"")"),"Null")</f>
        <v>Null</v>
      </c>
    </row>
    <row r="2650" spans="1:11" ht="15.75" hidden="1" customHeight="1">
      <c r="A2650" s="133" t="s">
        <v>7</v>
      </c>
      <c r="B2650" s="133" t="s">
        <v>3379</v>
      </c>
      <c r="C2650" s="133" t="s">
        <v>253</v>
      </c>
      <c r="D2650" s="133" t="s">
        <v>477</v>
      </c>
      <c r="E2650" s="158">
        <v>7</v>
      </c>
      <c r="F2650" s="158">
        <v>0</v>
      </c>
      <c r="G2650" s="158">
        <v>0</v>
      </c>
      <c r="H2650" s="133" t="s">
        <v>1130</v>
      </c>
      <c r="I2650" s="133" t="s">
        <v>548</v>
      </c>
      <c r="J2650" s="158">
        <v>0</v>
      </c>
      <c r="K2650" s="159" t="str">
        <f ca="1">IFERROR(__xludf.DUMMYFUNCTION("GOOGLETRANSLATE(H2650,""th"",""en"")"),"Product code")</f>
        <v>Product code</v>
      </c>
    </row>
    <row r="2651" spans="1:11" ht="15.75" hidden="1" customHeight="1">
      <c r="A2651" s="133" t="s">
        <v>7</v>
      </c>
      <c r="B2651" s="133" t="s">
        <v>3379</v>
      </c>
      <c r="C2651" s="133" t="s">
        <v>3380</v>
      </c>
      <c r="D2651" s="133" t="s">
        <v>477</v>
      </c>
      <c r="E2651" s="158">
        <v>7</v>
      </c>
      <c r="F2651" s="158">
        <v>0</v>
      </c>
      <c r="G2651" s="158">
        <v>0</v>
      </c>
      <c r="H2651" s="133" t="s">
        <v>3381</v>
      </c>
      <c r="I2651" s="133" t="s">
        <v>548</v>
      </c>
      <c r="J2651" s="158">
        <v>0</v>
      </c>
      <c r="K2651" s="159" t="str">
        <f ca="1">IFERROR(__xludf.DUMMYFUNCTION("GOOGLETRANSLATE(H2651,""th"",""en"")"),"Thai product unit")</f>
        <v>Thai product unit</v>
      </c>
    </row>
    <row r="2652" spans="1:11" ht="15.75" hidden="1" customHeight="1">
      <c r="A2652" s="133" t="s">
        <v>7</v>
      </c>
      <c r="B2652" s="133" t="s">
        <v>3379</v>
      </c>
      <c r="C2652" s="133" t="s">
        <v>3382</v>
      </c>
      <c r="D2652" s="133" t="s">
        <v>477</v>
      </c>
      <c r="E2652" s="158">
        <v>7</v>
      </c>
      <c r="F2652" s="158">
        <v>0</v>
      </c>
      <c r="G2652" s="158">
        <v>0</v>
      </c>
      <c r="H2652" s="133" t="s">
        <v>3383</v>
      </c>
      <c r="I2652" s="133" t="s">
        <v>548</v>
      </c>
      <c r="J2652" s="158">
        <v>0</v>
      </c>
      <c r="K2652" s="159" t="str">
        <f ca="1">IFERROR(__xludf.DUMMYFUNCTION("GOOGLETRANSLATE(H2652,""th"",""en"")"),"English product unit")</f>
        <v>English product unit</v>
      </c>
    </row>
    <row r="2653" spans="1:11" ht="15.75" hidden="1" customHeight="1">
      <c r="A2653" s="133" t="s">
        <v>7</v>
      </c>
      <c r="B2653" s="133" t="s">
        <v>3379</v>
      </c>
      <c r="C2653" s="133" t="s">
        <v>3384</v>
      </c>
      <c r="D2653" s="133" t="s">
        <v>484</v>
      </c>
      <c r="E2653" s="158">
        <v>4</v>
      </c>
      <c r="F2653" s="158">
        <v>10</v>
      </c>
      <c r="G2653" s="158">
        <v>0</v>
      </c>
      <c r="H2653" s="133" t="s">
        <v>3385</v>
      </c>
      <c r="I2653" s="133" t="s">
        <v>615</v>
      </c>
      <c r="J2653" s="158">
        <v>0</v>
      </c>
      <c r="K2653" s="159" t="str">
        <f ca="1">IFERROR(__xludf.DUMMYFUNCTION("GOOGLETRANSLATE(H2653,""th"",""en"")"),"Product part")</f>
        <v>Product part</v>
      </c>
    </row>
    <row r="2654" spans="1:11" ht="15.75" hidden="1" customHeight="1">
      <c r="A2654" s="133" t="s">
        <v>7</v>
      </c>
      <c r="B2654" s="133" t="s">
        <v>3379</v>
      </c>
      <c r="C2654" s="133" t="s">
        <v>3386</v>
      </c>
      <c r="D2654" s="133" t="s">
        <v>477</v>
      </c>
      <c r="E2654" s="158">
        <v>15</v>
      </c>
      <c r="F2654" s="158">
        <v>0</v>
      </c>
      <c r="G2654" s="158">
        <v>0</v>
      </c>
      <c r="H2654" s="133" t="s">
        <v>3387</v>
      </c>
      <c r="I2654" s="133" t="s">
        <v>548</v>
      </c>
      <c r="J2654" s="158">
        <v>0</v>
      </c>
      <c r="K2654" s="159" t="str">
        <f ca="1">IFERROR(__xludf.DUMMYFUNCTION("GOOGLETRANSLATE(H2654,""th"",""en"")"),"Product Unit Type (Sale: Sales Unit, Purchase: Buy Unit, SaleandPurchase: Buy Unit and Sales Unit, None: Don't Use")</f>
        <v>Product Unit Type (Sale: Sales Unit, Purchase: Buy Unit, SaleandPurchase: Buy Unit and Sales Unit, None: Don't Use</v>
      </c>
    </row>
    <row r="2655" spans="1:11" ht="15.75" hidden="1" customHeight="1">
      <c r="A2655" s="133" t="s">
        <v>7</v>
      </c>
      <c r="B2655" s="133" t="s">
        <v>3379</v>
      </c>
      <c r="C2655" s="133" t="s">
        <v>3388</v>
      </c>
      <c r="D2655" s="133" t="s">
        <v>481</v>
      </c>
      <c r="E2655" s="158">
        <v>5</v>
      </c>
      <c r="F2655" s="158">
        <v>9</v>
      </c>
      <c r="G2655" s="158">
        <v>2</v>
      </c>
      <c r="H2655" s="133" t="s">
        <v>3389</v>
      </c>
      <c r="I2655" s="133" t="s">
        <v>615</v>
      </c>
      <c r="J2655" s="158">
        <v>0</v>
      </c>
      <c r="K2655" s="159" t="str">
        <f ca="1">IFERROR(__xludf.DUMMYFUNCTION("GOOGLETRANSLATE(H2655,""th"",""en"")"),"The selling price does not include VAT.")</f>
        <v>The selling price does not include VAT.</v>
      </c>
    </row>
    <row r="2656" spans="1:11" ht="15.75" hidden="1" customHeight="1">
      <c r="A2656" s="133" t="s">
        <v>7</v>
      </c>
      <c r="B2656" s="133" t="s">
        <v>3379</v>
      </c>
      <c r="C2656" s="133" t="s">
        <v>3390</v>
      </c>
      <c r="D2656" s="133" t="s">
        <v>481</v>
      </c>
      <c r="E2656" s="158">
        <v>5</v>
      </c>
      <c r="F2656" s="158">
        <v>9</v>
      </c>
      <c r="G2656" s="158">
        <v>2</v>
      </c>
      <c r="H2656" s="133" t="s">
        <v>3391</v>
      </c>
      <c r="I2656" s="133" t="s">
        <v>615</v>
      </c>
      <c r="J2656" s="158">
        <v>0</v>
      </c>
      <c r="K2656" s="159" t="str">
        <f ca="1">IFERROR(__xludf.DUMMYFUNCTION("GOOGLETRANSLATE(H2656,""th"",""en"")"),"Selling price, including VAT")</f>
        <v>Selling price, including VAT</v>
      </c>
    </row>
    <row r="2657" spans="1:11" ht="15.75" hidden="1" customHeight="1">
      <c r="A2657" s="133" t="s">
        <v>7</v>
      </c>
      <c r="B2657" s="133" t="s">
        <v>3379</v>
      </c>
      <c r="C2657" s="133" t="s">
        <v>3392</v>
      </c>
      <c r="D2657" s="133" t="s">
        <v>481</v>
      </c>
      <c r="E2657" s="158">
        <v>5</v>
      </c>
      <c r="F2657" s="158">
        <v>9</v>
      </c>
      <c r="G2657" s="158">
        <v>2</v>
      </c>
      <c r="H2657" s="133" t="s">
        <v>3393</v>
      </c>
      <c r="I2657" s="133" t="s">
        <v>615</v>
      </c>
      <c r="J2657" s="158">
        <v>0</v>
      </c>
      <c r="K2657" s="159" t="str">
        <f ca="1">IFERROR(__xludf.DUMMYFUNCTION("GOOGLETRANSLATE(H2657,""th"",""en"")"),"Full selling price of products")</f>
        <v>Full selling price of products</v>
      </c>
    </row>
    <row r="2658" spans="1:11" ht="15.75" hidden="1" customHeight="1">
      <c r="A2658" s="133" t="s">
        <v>7</v>
      </c>
      <c r="B2658" s="133" t="s">
        <v>3379</v>
      </c>
      <c r="C2658" s="133" t="s">
        <v>3394</v>
      </c>
      <c r="D2658" s="133" t="s">
        <v>481</v>
      </c>
      <c r="E2658" s="158">
        <v>5</v>
      </c>
      <c r="F2658" s="158">
        <v>9</v>
      </c>
      <c r="G2658" s="158">
        <v>2</v>
      </c>
      <c r="H2658" s="133" t="s">
        <v>3395</v>
      </c>
      <c r="I2658" s="133" t="s">
        <v>615</v>
      </c>
      <c r="J2658" s="158">
        <v>0</v>
      </c>
      <c r="K2658" s="159" t="str">
        <f ca="1">IFERROR(__xludf.DUMMYFUNCTION("GOOGLETRANSLATE(H2658,""th"",""en"")"),"Product price")</f>
        <v>Product price</v>
      </c>
    </row>
    <row r="2659" spans="1:11" ht="15.75" hidden="1" customHeight="1">
      <c r="A2659" s="133" t="s">
        <v>7</v>
      </c>
      <c r="B2659" s="133" t="s">
        <v>3379</v>
      </c>
      <c r="C2659" s="133" t="s">
        <v>2442</v>
      </c>
      <c r="D2659" s="133" t="s">
        <v>481</v>
      </c>
      <c r="E2659" s="158">
        <v>5</v>
      </c>
      <c r="F2659" s="158">
        <v>9</v>
      </c>
      <c r="G2659" s="158">
        <v>2</v>
      </c>
      <c r="H2659" s="133" t="s">
        <v>3396</v>
      </c>
      <c r="I2659" s="133" t="s">
        <v>615</v>
      </c>
      <c r="J2659" s="158">
        <v>0</v>
      </c>
      <c r="K2659" s="159" t="str">
        <f ca="1">IFERROR(__xludf.DUMMYFUNCTION("GOOGLETRANSLATE(H2659,""th"",""en"")"),"Shipping price")</f>
        <v>Shipping price</v>
      </c>
    </row>
    <row r="2660" spans="1:11" ht="15.75" hidden="1" customHeight="1">
      <c r="A2660" s="133" t="s">
        <v>7</v>
      </c>
      <c r="B2660" s="133" t="s">
        <v>3379</v>
      </c>
      <c r="C2660" s="133" t="s">
        <v>3397</v>
      </c>
      <c r="D2660" s="133" t="s">
        <v>484</v>
      </c>
      <c r="E2660" s="158">
        <v>4</v>
      </c>
      <c r="F2660" s="158">
        <v>10</v>
      </c>
      <c r="G2660" s="158">
        <v>0</v>
      </c>
      <c r="H2660" s="133" t="s">
        <v>3398</v>
      </c>
      <c r="I2660" s="133" t="s">
        <v>615</v>
      </c>
      <c r="J2660" s="158">
        <v>0</v>
      </c>
      <c r="K2660" s="159" t="str">
        <f ca="1">IFERROR(__xludf.DUMMYFUNCTION("GOOGLETRANSLATE(H2660,""th"",""en"")"),"Point of products")</f>
        <v>Point of products</v>
      </c>
    </row>
    <row r="2661" spans="1:11" ht="15.75" hidden="1" customHeight="1">
      <c r="A2661" s="133" t="s">
        <v>7</v>
      </c>
      <c r="B2661" s="133" t="s">
        <v>3379</v>
      </c>
      <c r="C2661" s="133" t="s">
        <v>1206</v>
      </c>
      <c r="D2661" s="133" t="s">
        <v>477</v>
      </c>
      <c r="E2661" s="158">
        <v>3</v>
      </c>
      <c r="F2661" s="158">
        <v>0</v>
      </c>
      <c r="G2661" s="158">
        <v>0</v>
      </c>
      <c r="H2661" s="133" t="s">
        <v>3399</v>
      </c>
      <c r="I2661" s="133" t="s">
        <v>2011</v>
      </c>
      <c r="J2661" s="158">
        <v>0</v>
      </c>
      <c r="K2661" s="159" t="str">
        <f ca="1">IFERROR(__xludf.DUMMYFUNCTION("GOOGLETRANSLATE(H2661,""th"",""en"")"),"VAT product thinking Y = VAT, N = not thinking VAT")</f>
        <v>VAT product thinking Y = VAT, N = not thinking VAT</v>
      </c>
    </row>
    <row r="2662" spans="1:11" ht="15.75" hidden="1" customHeight="1">
      <c r="A2662" s="133" t="s">
        <v>7</v>
      </c>
      <c r="B2662" s="133" t="s">
        <v>3379</v>
      </c>
      <c r="C2662" s="133" t="s">
        <v>3400</v>
      </c>
      <c r="D2662" s="133" t="s">
        <v>477</v>
      </c>
      <c r="E2662" s="158">
        <v>3</v>
      </c>
      <c r="F2662" s="158">
        <v>0</v>
      </c>
      <c r="G2662" s="158">
        <v>0</v>
      </c>
      <c r="H2662" s="133" t="s">
        <v>3401</v>
      </c>
      <c r="I2662" s="133" t="s">
        <v>596</v>
      </c>
      <c r="J2662" s="158">
        <v>0</v>
      </c>
      <c r="K2662" s="159" t="str">
        <f ca="1">IFERROR(__xludf.DUMMYFUNCTION("GOOGLETRANSLATE(H2662,""th"",""en"")"),"Bestdeal Flag Product Y = Best Deal, N = No Best")</f>
        <v>Bestdeal Flag Product Y = Best Deal, N = No Best</v>
      </c>
    </row>
    <row r="2663" spans="1:11" ht="15.75" hidden="1" customHeight="1">
      <c r="A2663" s="133" t="s">
        <v>7</v>
      </c>
      <c r="B2663" s="133" t="s">
        <v>3379</v>
      </c>
      <c r="C2663" s="133" t="s">
        <v>3402</v>
      </c>
      <c r="D2663" s="133" t="s">
        <v>477</v>
      </c>
      <c r="E2663" s="158">
        <v>3</v>
      </c>
      <c r="F2663" s="158">
        <v>0</v>
      </c>
      <c r="G2663" s="158">
        <v>0</v>
      </c>
      <c r="H2663" s="133" t="s">
        <v>3403</v>
      </c>
      <c r="I2663" s="133" t="s">
        <v>596</v>
      </c>
      <c r="J2663" s="158">
        <v>0</v>
      </c>
      <c r="K2663" s="159" t="str">
        <f ca="1">IFERROR(__xludf.DUMMYFUNCTION("GOOGLETRANSLATE(H2663,""th"",""en"")"),"Is the product available in the current Magazine? Y = is in the current book Magazine, N = is not in the current Magazine Volume")</f>
        <v>Is the product available in the current Magazine? Y = is in the current book Magazine, N = is not in the current Magazine Volume</v>
      </c>
    </row>
    <row r="2664" spans="1:11" ht="15.75" hidden="1" customHeight="1">
      <c r="A2664" s="133" t="s">
        <v>7</v>
      </c>
      <c r="B2664" s="133" t="s">
        <v>3379</v>
      </c>
      <c r="C2664" s="133" t="s">
        <v>3404</v>
      </c>
      <c r="D2664" s="133" t="s">
        <v>481</v>
      </c>
      <c r="E2664" s="158">
        <v>5</v>
      </c>
      <c r="F2664" s="158">
        <v>9</v>
      </c>
      <c r="G2664" s="158">
        <v>2</v>
      </c>
      <c r="H2664" s="133" t="s">
        <v>3405</v>
      </c>
      <c r="I2664" s="133" t="s">
        <v>615</v>
      </c>
      <c r="J2664" s="158">
        <v>0</v>
      </c>
      <c r="K2664" s="159" t="str">
        <f ca="1">IFERROR(__xludf.DUMMYFUNCTION("GOOGLETRANSLATE(H2664,""th"",""en"")"),"Selling price by date not including VAT")</f>
        <v>Selling price by date not including VAT</v>
      </c>
    </row>
    <row r="2665" spans="1:11" ht="15.75" hidden="1" customHeight="1">
      <c r="A2665" s="133" t="s">
        <v>7</v>
      </c>
      <c r="B2665" s="133" t="s">
        <v>3379</v>
      </c>
      <c r="C2665" s="133" t="s">
        <v>3406</v>
      </c>
      <c r="D2665" s="133" t="s">
        <v>481</v>
      </c>
      <c r="E2665" s="158">
        <v>5</v>
      </c>
      <c r="F2665" s="158">
        <v>9</v>
      </c>
      <c r="G2665" s="158">
        <v>2</v>
      </c>
      <c r="H2665" s="133" t="s">
        <v>3407</v>
      </c>
      <c r="I2665" s="133" t="s">
        <v>615</v>
      </c>
      <c r="J2665" s="158">
        <v>0</v>
      </c>
      <c r="K2665" s="159" t="str">
        <f ca="1">IFERROR(__xludf.DUMMYFUNCTION("GOOGLETRANSLATE(H2665,""th"",""en"")"),"Sell ​​price by date including VAT")</f>
        <v>Sell ​​price by date including VAT</v>
      </c>
    </row>
    <row r="2666" spans="1:11" ht="15.75" hidden="1" customHeight="1">
      <c r="A2666" s="133" t="s">
        <v>7</v>
      </c>
      <c r="B2666" s="133" t="s">
        <v>3379</v>
      </c>
      <c r="C2666" s="133" t="s">
        <v>3408</v>
      </c>
      <c r="D2666" s="133" t="s">
        <v>496</v>
      </c>
      <c r="E2666" s="158">
        <v>4</v>
      </c>
      <c r="F2666" s="158">
        <v>16</v>
      </c>
      <c r="G2666" s="158">
        <v>0</v>
      </c>
      <c r="H2666" s="133" t="s">
        <v>3409</v>
      </c>
      <c r="I2666" s="133" t="s">
        <v>548</v>
      </c>
      <c r="J2666" s="158">
        <v>0</v>
      </c>
      <c r="K2666" s="159" t="str">
        <f ca="1">IFERROR(__xludf.DUMMYFUNCTION("GOOGLETRANSLATE(H2666,""th"",""en"")"),"Start date, promotion, BYDATE")</f>
        <v>Start date, promotion, BYDATE</v>
      </c>
    </row>
    <row r="2667" spans="1:11" ht="15.75" hidden="1" customHeight="1">
      <c r="A2667" s="133" t="s">
        <v>7</v>
      </c>
      <c r="B2667" s="133" t="s">
        <v>3379</v>
      </c>
      <c r="C2667" s="133" t="s">
        <v>3410</v>
      </c>
      <c r="D2667" s="133" t="s">
        <v>496</v>
      </c>
      <c r="E2667" s="158">
        <v>4</v>
      </c>
      <c r="F2667" s="158">
        <v>16</v>
      </c>
      <c r="G2667" s="158">
        <v>0</v>
      </c>
      <c r="H2667" s="133" t="s">
        <v>3411</v>
      </c>
      <c r="I2667" s="133" t="s">
        <v>548</v>
      </c>
      <c r="J2667" s="158">
        <v>0</v>
      </c>
      <c r="K2667" s="159" t="str">
        <f ca="1">IFERROR(__xludf.DUMMYFUNCTION("GOOGLETRANSLATE(H2667,""th"",""en"")"),"End date, promotion, price bydat")</f>
        <v>End date, promotion, price bydat</v>
      </c>
    </row>
    <row r="2668" spans="1:11" ht="15.75" hidden="1" customHeight="1">
      <c r="A2668" s="133" t="s">
        <v>7</v>
      </c>
      <c r="B2668" s="133" t="s">
        <v>3379</v>
      </c>
      <c r="C2668" s="133" t="s">
        <v>3412</v>
      </c>
      <c r="D2668" s="133" t="s">
        <v>481</v>
      </c>
      <c r="E2668" s="158">
        <v>5</v>
      </c>
      <c r="F2668" s="158">
        <v>9</v>
      </c>
      <c r="G2668" s="158">
        <v>2</v>
      </c>
      <c r="H2668" s="133" t="s">
        <v>3413</v>
      </c>
      <c r="I2668" s="133" t="s">
        <v>615</v>
      </c>
      <c r="J2668" s="158">
        <v>0</v>
      </c>
      <c r="K2668" s="159" t="str">
        <f ca="1">IFERROR(__xludf.DUMMYFUNCTION("GOOGLETRANSLATE(H2668,""th"",""en"")"),"Stand 3 months")</f>
        <v>Stand 3 months</v>
      </c>
    </row>
    <row r="2669" spans="1:11" ht="15.75" hidden="1" customHeight="1">
      <c r="A2669" s="133" t="s">
        <v>7</v>
      </c>
      <c r="B2669" s="133" t="s">
        <v>3379</v>
      </c>
      <c r="C2669" s="133" t="s">
        <v>3414</v>
      </c>
      <c r="D2669" s="133" t="s">
        <v>481</v>
      </c>
      <c r="E2669" s="158">
        <v>5</v>
      </c>
      <c r="F2669" s="158">
        <v>9</v>
      </c>
      <c r="G2669" s="158">
        <v>2</v>
      </c>
      <c r="H2669" s="133" t="s">
        <v>3415</v>
      </c>
      <c r="I2669" s="133" t="s">
        <v>615</v>
      </c>
      <c r="J2669" s="158">
        <v>0</v>
      </c>
      <c r="K2669" s="159" t="str">
        <f ca="1">IFERROR(__xludf.DUMMYFUNCTION("GOOGLETRANSLATE(H2669,""th"",""en"")"),"Stand for 6 months")</f>
        <v>Stand for 6 months</v>
      </c>
    </row>
    <row r="2670" spans="1:11" ht="15.75" hidden="1" customHeight="1">
      <c r="A2670" s="133" t="s">
        <v>7</v>
      </c>
      <c r="B2670" s="133" t="s">
        <v>3379</v>
      </c>
      <c r="C2670" s="133" t="s">
        <v>3416</v>
      </c>
      <c r="D2670" s="133" t="s">
        <v>481</v>
      </c>
      <c r="E2670" s="158">
        <v>5</v>
      </c>
      <c r="F2670" s="158">
        <v>9</v>
      </c>
      <c r="G2670" s="158">
        <v>2</v>
      </c>
      <c r="H2670" s="133" t="s">
        <v>3417</v>
      </c>
      <c r="I2670" s="133" t="s">
        <v>615</v>
      </c>
      <c r="J2670" s="158">
        <v>0</v>
      </c>
      <c r="K2670" s="159" t="str">
        <f ca="1">IFERROR(__xludf.DUMMYFUNCTION("GOOGLETRANSLATE(H2670,""th"",""en"")"),"Stand for 12 months")</f>
        <v>Stand for 12 months</v>
      </c>
    </row>
    <row r="2671" spans="1:11" ht="15.75" hidden="1" customHeight="1">
      <c r="A2671" s="133" t="s">
        <v>7</v>
      </c>
      <c r="B2671" s="133" t="s">
        <v>3379</v>
      </c>
      <c r="C2671" s="133" t="s">
        <v>3418</v>
      </c>
      <c r="D2671" s="133" t="s">
        <v>481</v>
      </c>
      <c r="E2671" s="158">
        <v>5</v>
      </c>
      <c r="F2671" s="158">
        <v>9</v>
      </c>
      <c r="G2671" s="158">
        <v>2</v>
      </c>
      <c r="H2671" s="133" t="s">
        <v>3419</v>
      </c>
      <c r="I2671" s="133" t="s">
        <v>615</v>
      </c>
      <c r="J2671" s="158">
        <v>0</v>
      </c>
      <c r="K2671" s="159" t="str">
        <f ca="1">IFERROR(__xludf.DUMMYFUNCTION("GOOGLETRANSLATE(H2671,""th"",""en"")"),"Fix price price 3 months total vat")</f>
        <v>Fix price price 3 months total vat</v>
      </c>
    </row>
    <row r="2672" spans="1:11" ht="15.75" hidden="1" customHeight="1">
      <c r="A2672" s="133" t="s">
        <v>7</v>
      </c>
      <c r="B2672" s="133" t="s">
        <v>3379</v>
      </c>
      <c r="C2672" s="133" t="s">
        <v>3420</v>
      </c>
      <c r="D2672" s="133" t="s">
        <v>481</v>
      </c>
      <c r="E2672" s="158">
        <v>5</v>
      </c>
      <c r="F2672" s="158">
        <v>9</v>
      </c>
      <c r="G2672" s="158">
        <v>2</v>
      </c>
      <c r="H2672" s="133" t="s">
        <v>3421</v>
      </c>
      <c r="I2672" s="133" t="s">
        <v>615</v>
      </c>
      <c r="J2672" s="158">
        <v>0</v>
      </c>
      <c r="K2672" s="159" t="str">
        <f ca="1">IFERROR(__xludf.DUMMYFUNCTION("GOOGLETRANSLATE(H2672,""th"",""en"")"),"Fix price Price 6 months total VAT")</f>
        <v>Fix price Price 6 months total VAT</v>
      </c>
    </row>
    <row r="2673" spans="1:11" ht="15.75" hidden="1" customHeight="1">
      <c r="A2673" s="133" t="s">
        <v>7</v>
      </c>
      <c r="B2673" s="133" t="s">
        <v>3379</v>
      </c>
      <c r="C2673" s="133" t="s">
        <v>3422</v>
      </c>
      <c r="D2673" s="133" t="s">
        <v>481</v>
      </c>
      <c r="E2673" s="158">
        <v>5</v>
      </c>
      <c r="F2673" s="158">
        <v>9</v>
      </c>
      <c r="G2673" s="158">
        <v>2</v>
      </c>
      <c r="H2673" s="133" t="s">
        <v>3423</v>
      </c>
      <c r="I2673" s="133" t="s">
        <v>615</v>
      </c>
      <c r="J2673" s="158">
        <v>0</v>
      </c>
      <c r="K2673" s="159" t="str">
        <f ca="1">IFERROR(__xludf.DUMMYFUNCTION("GOOGLETRANSLATE(H2673,""th"",""en"")"),"Fix price price 12 months total VAT")</f>
        <v>Fix price price 12 months total VAT</v>
      </c>
    </row>
    <row r="2674" spans="1:11" ht="15.75" hidden="1" customHeight="1">
      <c r="A2674" s="133" t="s">
        <v>7</v>
      </c>
      <c r="B2674" s="133" t="s">
        <v>3379</v>
      </c>
      <c r="C2674" s="133" t="s">
        <v>3424</v>
      </c>
      <c r="D2674" s="133" t="s">
        <v>477</v>
      </c>
      <c r="E2674" s="158">
        <v>3</v>
      </c>
      <c r="F2674" s="158">
        <v>0</v>
      </c>
      <c r="G2674" s="158">
        <v>0</v>
      </c>
      <c r="H2674" s="133" t="s">
        <v>3425</v>
      </c>
      <c r="I2674" s="133" t="s">
        <v>596</v>
      </c>
      <c r="J2674" s="158">
        <v>0</v>
      </c>
      <c r="K2674" s="159" t="str">
        <f ca="1">IFERROR(__xludf.DUMMYFUNCTION("GOOGLETRANSLATE(H2674,""th"",""en"")"),"Fix price refrain from discount? (Y = Bestdeal, N = No Best)")</f>
        <v>Fix price refrain from discount? (Y = Bestdeal, N = No Best)</v>
      </c>
    </row>
    <row r="2675" spans="1:11" ht="15.75" hidden="1" customHeight="1">
      <c r="A2675" s="133" t="s">
        <v>7</v>
      </c>
      <c r="B2675" s="133" t="s">
        <v>3379</v>
      </c>
      <c r="C2675" s="133" t="s">
        <v>3426</v>
      </c>
      <c r="D2675" s="133" t="s">
        <v>496</v>
      </c>
      <c r="E2675" s="158">
        <v>4</v>
      </c>
      <c r="F2675" s="158">
        <v>16</v>
      </c>
      <c r="G2675" s="158">
        <v>0</v>
      </c>
      <c r="H2675" s="133" t="s">
        <v>3427</v>
      </c>
      <c r="I2675" s="133" t="s">
        <v>548</v>
      </c>
      <c r="J2675" s="158">
        <v>0</v>
      </c>
      <c r="K2675" s="159" t="str">
        <f ca="1">IFERROR(__xludf.DUMMYFUNCTION("GOOGLETRANSLATE(H2675,""th"",""en"")"),"Last selling price")</f>
        <v>Last selling price</v>
      </c>
    </row>
    <row r="2676" spans="1:11" ht="15.75" hidden="1" customHeight="1">
      <c r="A2676" s="133" t="s">
        <v>7</v>
      </c>
      <c r="B2676" s="133" t="s">
        <v>3379</v>
      </c>
      <c r="C2676" s="133" t="s">
        <v>3428</v>
      </c>
      <c r="D2676" s="133" t="s">
        <v>477</v>
      </c>
      <c r="E2676" s="158">
        <v>255</v>
      </c>
      <c r="F2676" s="158">
        <v>0</v>
      </c>
      <c r="G2676" s="158">
        <v>0</v>
      </c>
      <c r="H2676" s="133" t="s">
        <v>3429</v>
      </c>
      <c r="I2676" s="133" t="s">
        <v>548</v>
      </c>
      <c r="J2676" s="158">
        <v>0</v>
      </c>
      <c r="K2676" s="159" t="str">
        <f ca="1">IFERROR(__xludf.DUMMYFUNCTION("GOOGLETRANSLATE(H2676,""th"",""en"")"),"Price note")</f>
        <v>Price note</v>
      </c>
    </row>
    <row r="2677" spans="1:11" ht="15.75" hidden="1" customHeight="1">
      <c r="A2677" s="133" t="s">
        <v>7</v>
      </c>
      <c r="B2677" s="133" t="s">
        <v>3379</v>
      </c>
      <c r="C2677" s="133" t="s">
        <v>523</v>
      </c>
      <c r="D2677" s="133" t="s">
        <v>477</v>
      </c>
      <c r="E2677" s="158">
        <v>8</v>
      </c>
      <c r="F2677" s="158">
        <v>0</v>
      </c>
      <c r="G2677" s="158">
        <v>0</v>
      </c>
      <c r="H2677" s="133" t="s">
        <v>2046</v>
      </c>
      <c r="I2677" s="133" t="s">
        <v>548</v>
      </c>
      <c r="J2677" s="158">
        <v>0</v>
      </c>
      <c r="K2677" s="159" t="str">
        <f ca="1">IFERROR(__xludf.DUMMYFUNCTION("GOOGLETRANSLATE(H2677,""th"",""en"")"),"Product Creator")</f>
        <v>Product Creator</v>
      </c>
    </row>
    <row r="2678" spans="1:11" ht="15.75" hidden="1" customHeight="1">
      <c r="A2678" s="133" t="s">
        <v>7</v>
      </c>
      <c r="B2678" s="133" t="s">
        <v>3379</v>
      </c>
      <c r="C2678" s="133" t="s">
        <v>669</v>
      </c>
      <c r="D2678" s="133" t="s">
        <v>800</v>
      </c>
      <c r="E2678" s="158">
        <v>8</v>
      </c>
      <c r="F2678" s="158">
        <v>27</v>
      </c>
      <c r="G2678" s="158">
        <v>7</v>
      </c>
      <c r="H2678" s="133" t="s">
        <v>2047</v>
      </c>
      <c r="I2678" s="133" t="s">
        <v>801</v>
      </c>
      <c r="J2678" s="158">
        <v>0</v>
      </c>
      <c r="K2678" s="159" t="str">
        <f ca="1">IFERROR(__xludf.DUMMYFUNCTION("GOOGLETRANSLATE(H2678,""th"",""en"")"),"Date of creating products")</f>
        <v>Date of creating products</v>
      </c>
    </row>
    <row r="2679" spans="1:11" ht="15.75" hidden="1" customHeight="1">
      <c r="A2679" s="133" t="s">
        <v>7</v>
      </c>
      <c r="B2679" s="133" t="s">
        <v>3379</v>
      </c>
      <c r="C2679" s="133" t="s">
        <v>670</v>
      </c>
      <c r="D2679" s="133" t="s">
        <v>477</v>
      </c>
      <c r="E2679" s="158">
        <v>8</v>
      </c>
      <c r="F2679" s="158">
        <v>0</v>
      </c>
      <c r="G2679" s="158">
        <v>0</v>
      </c>
      <c r="H2679" s="133" t="s">
        <v>2048</v>
      </c>
      <c r="I2679" s="133" t="s">
        <v>548</v>
      </c>
      <c r="J2679" s="158">
        <v>0</v>
      </c>
      <c r="K2679" s="159" t="str">
        <f ca="1">IFERROR(__xludf.DUMMYFUNCTION("GOOGLETRANSLATE(H2679,""th"",""en"")"),"Product Information Editor")</f>
        <v>Product Information Editor</v>
      </c>
    </row>
    <row r="2680" spans="1:11" ht="15.75" hidden="1" customHeight="1">
      <c r="A2680" s="133" t="s">
        <v>7</v>
      </c>
      <c r="B2680" s="133" t="s">
        <v>3379</v>
      </c>
      <c r="C2680" s="133" t="s">
        <v>215</v>
      </c>
      <c r="D2680" s="133" t="s">
        <v>800</v>
      </c>
      <c r="E2680" s="158">
        <v>8</v>
      </c>
      <c r="F2680" s="158">
        <v>27</v>
      </c>
      <c r="G2680" s="158">
        <v>7</v>
      </c>
      <c r="H2680" s="133" t="s">
        <v>2049</v>
      </c>
      <c r="I2680" s="133" t="s">
        <v>801</v>
      </c>
      <c r="J2680" s="158">
        <v>0</v>
      </c>
      <c r="K2680" s="159" t="str">
        <f ca="1">IFERROR(__xludf.DUMMYFUNCTION("GOOGLETRANSLATE(H2680,""th"",""en"")"),"Product Editing Date")</f>
        <v>Product Editing Date</v>
      </c>
    </row>
    <row r="2681" spans="1:11" ht="15.75" hidden="1" customHeight="1">
      <c r="A2681" s="133" t="s">
        <v>7</v>
      </c>
      <c r="B2681" s="133" t="s">
        <v>3379</v>
      </c>
      <c r="C2681" s="133" t="s">
        <v>3430</v>
      </c>
      <c r="D2681" s="133" t="s">
        <v>481</v>
      </c>
      <c r="E2681" s="158">
        <v>5</v>
      </c>
      <c r="F2681" s="158">
        <v>9</v>
      </c>
      <c r="G2681" s="158">
        <v>2</v>
      </c>
      <c r="H2681" s="133" t="s">
        <v>3431</v>
      </c>
      <c r="I2681" s="133" t="s">
        <v>615</v>
      </c>
      <c r="J2681" s="158">
        <v>0</v>
      </c>
      <c r="K2681" s="159" t="str">
        <f ca="1">IFERROR(__xludf.DUMMYFUNCTION("GOOGLETRANSLATE(H2681,""th"",""en"")"),"Cost, promotion, not including VAT")</f>
        <v>Cost, promotion, not including VAT</v>
      </c>
    </row>
    <row r="2682" spans="1:11" ht="15.75" hidden="1" customHeight="1">
      <c r="A2682" s="133" t="s">
        <v>7</v>
      </c>
      <c r="B2682" s="133" t="s">
        <v>3379</v>
      </c>
      <c r="C2682" s="133" t="s">
        <v>3432</v>
      </c>
      <c r="D2682" s="133" t="s">
        <v>496</v>
      </c>
      <c r="E2682" s="158">
        <v>4</v>
      </c>
      <c r="F2682" s="158">
        <v>16</v>
      </c>
      <c r="G2682" s="158">
        <v>0</v>
      </c>
      <c r="H2682" s="133" t="s">
        <v>3433</v>
      </c>
      <c r="I2682" s="133" t="s">
        <v>1363</v>
      </c>
      <c r="J2682" s="158">
        <v>0</v>
      </c>
      <c r="K2682" s="159" t="str">
        <f ca="1">IFERROR(__xludf.DUMMYFUNCTION("GOOGLETRANSLATE(H2682,""th"",""en"")"),"Start date, cost, promotion")</f>
        <v>Start date, cost, promotion</v>
      </c>
    </row>
    <row r="2683" spans="1:11" ht="15.75" hidden="1" customHeight="1">
      <c r="A2683" s="133" t="s">
        <v>7</v>
      </c>
      <c r="B2683" s="133" t="s">
        <v>3379</v>
      </c>
      <c r="C2683" s="133" t="s">
        <v>3434</v>
      </c>
      <c r="D2683" s="133" t="s">
        <v>496</v>
      </c>
      <c r="E2683" s="158">
        <v>4</v>
      </c>
      <c r="F2683" s="158">
        <v>16</v>
      </c>
      <c r="G2683" s="158">
        <v>0</v>
      </c>
      <c r="H2683" s="133" t="s">
        <v>3435</v>
      </c>
      <c r="I2683" s="133" t="s">
        <v>1363</v>
      </c>
      <c r="J2683" s="158">
        <v>0</v>
      </c>
      <c r="K2683" s="159" t="str">
        <f ca="1">IFERROR(__xludf.DUMMYFUNCTION("GOOGLETRANSLATE(H2683,""th"",""en"")"),"End date, price, promotion")</f>
        <v>End date, price, promotion</v>
      </c>
    </row>
    <row r="2684" spans="1:11" ht="15.75" hidden="1" customHeight="1">
      <c r="A2684" s="133" t="s">
        <v>7</v>
      </c>
      <c r="B2684" s="133" t="s">
        <v>3379</v>
      </c>
      <c r="C2684" s="133" t="s">
        <v>814</v>
      </c>
      <c r="D2684" s="133" t="s">
        <v>477</v>
      </c>
      <c r="E2684" s="158">
        <v>100</v>
      </c>
      <c r="F2684" s="158">
        <v>0</v>
      </c>
      <c r="G2684" s="158">
        <v>0</v>
      </c>
      <c r="H2684" s="133" t="s">
        <v>815</v>
      </c>
      <c r="I2684" s="133" t="s">
        <v>548</v>
      </c>
      <c r="J2684" s="158">
        <v>0</v>
      </c>
      <c r="K2684" s="159" t="str">
        <f ca="1">IFERROR(__xludf.DUMMYFUNCTION("GOOGLETRANSLATE(H2684,""th"",""en"")"),"Information Creator Name")</f>
        <v>Information Creator Name</v>
      </c>
    </row>
    <row r="2685" spans="1:11" ht="15.75" hidden="1" customHeight="1">
      <c r="A2685" s="133" t="s">
        <v>7</v>
      </c>
      <c r="B2685" s="133" t="s">
        <v>3379</v>
      </c>
      <c r="C2685" s="133" t="s">
        <v>816</v>
      </c>
      <c r="D2685" s="133" t="s">
        <v>477</v>
      </c>
      <c r="E2685" s="158">
        <v>100</v>
      </c>
      <c r="F2685" s="158">
        <v>0</v>
      </c>
      <c r="G2685" s="158">
        <v>0</v>
      </c>
      <c r="H2685" s="133" t="s">
        <v>817</v>
      </c>
      <c r="I2685" s="133" t="s">
        <v>548</v>
      </c>
      <c r="J2685" s="158">
        <v>0</v>
      </c>
      <c r="K2685" s="159" t="str">
        <f ca="1">IFERROR(__xludf.DUMMYFUNCTION("GOOGLETRANSLATE(H2685,""th"",""en"")"),"Latest information")</f>
        <v>Latest information</v>
      </c>
    </row>
    <row r="2686" spans="1:11" ht="15.75" hidden="1" customHeight="1">
      <c r="A2686" s="133" t="s">
        <v>7</v>
      </c>
      <c r="B2686" s="133" t="s">
        <v>3436</v>
      </c>
      <c r="C2686" s="133" t="s">
        <v>369</v>
      </c>
      <c r="D2686" s="133" t="s">
        <v>477</v>
      </c>
      <c r="E2686" s="158">
        <v>20</v>
      </c>
      <c r="F2686" s="158">
        <v>0</v>
      </c>
      <c r="G2686" s="158">
        <v>0</v>
      </c>
      <c r="H2686" s="133" t="s">
        <v>1264</v>
      </c>
      <c r="I2686" s="133" t="s">
        <v>548</v>
      </c>
      <c r="J2686" s="158">
        <v>0</v>
      </c>
      <c r="K2686" s="159" t="str">
        <f ca="1">IFERROR(__xludf.DUMMYFUNCTION("GOOGLETRANSLATE(H2686,""th"",""en"")"),"Warehouse code")</f>
        <v>Warehouse code</v>
      </c>
    </row>
    <row r="2687" spans="1:11" ht="15.75" hidden="1" customHeight="1">
      <c r="A2687" s="133" t="s">
        <v>7</v>
      </c>
      <c r="B2687" s="133" t="s">
        <v>3436</v>
      </c>
      <c r="C2687" s="133" t="s">
        <v>2290</v>
      </c>
      <c r="D2687" s="133" t="s">
        <v>477</v>
      </c>
      <c r="E2687" s="158">
        <v>100</v>
      </c>
      <c r="F2687" s="158">
        <v>0</v>
      </c>
      <c r="G2687" s="158">
        <v>0</v>
      </c>
      <c r="H2687" s="133" t="s">
        <v>2864</v>
      </c>
      <c r="I2687" s="133" t="s">
        <v>548</v>
      </c>
      <c r="J2687" s="158">
        <v>0</v>
      </c>
      <c r="K2687" s="159" t="str">
        <f ca="1">IFERROR(__xludf.DUMMYFUNCTION("GOOGLETRANSLATE(H2687,""th"",""en"")"),"Warehouse name")</f>
        <v>Warehouse name</v>
      </c>
    </row>
    <row r="2688" spans="1:11" ht="15.75" hidden="1" customHeight="1">
      <c r="A2688" s="133" t="s">
        <v>7</v>
      </c>
      <c r="B2688" s="133" t="s">
        <v>3436</v>
      </c>
      <c r="C2688" s="133" t="s">
        <v>793</v>
      </c>
      <c r="D2688" s="133" t="s">
        <v>477</v>
      </c>
      <c r="E2688" s="158">
        <v>20</v>
      </c>
      <c r="F2688" s="158">
        <v>0</v>
      </c>
      <c r="G2688" s="158">
        <v>0</v>
      </c>
      <c r="H2688" s="133" t="s">
        <v>3437</v>
      </c>
      <c r="I2688" s="133" t="s">
        <v>548</v>
      </c>
      <c r="J2688" s="158">
        <v>0</v>
      </c>
      <c r="K2688" s="159" t="str">
        <f ca="1">IFERROR(__xludf.DUMMYFUNCTION("GOOGLETRANSLATE(H2688,""th"",""en"")"),"Store code")</f>
        <v>Store code</v>
      </c>
    </row>
    <row r="2689" spans="1:11" ht="15.75" hidden="1" customHeight="1">
      <c r="A2689" s="133" t="s">
        <v>7</v>
      </c>
      <c r="B2689" s="133" t="s">
        <v>3436</v>
      </c>
      <c r="C2689" s="133" t="s">
        <v>3438</v>
      </c>
      <c r="D2689" s="133" t="s">
        <v>477</v>
      </c>
      <c r="E2689" s="158">
        <v>100</v>
      </c>
      <c r="F2689" s="158">
        <v>0</v>
      </c>
      <c r="G2689" s="158">
        <v>0</v>
      </c>
      <c r="H2689" s="133" t="s">
        <v>3439</v>
      </c>
      <c r="I2689" s="133" t="s">
        <v>548</v>
      </c>
      <c r="J2689" s="158">
        <v>0</v>
      </c>
      <c r="K2689" s="159" t="str">
        <f ca="1">IFERROR(__xludf.DUMMYFUNCTION("GOOGLETRANSLATE(H2689,""th"",""en"")"),"Store name")</f>
        <v>Store name</v>
      </c>
    </row>
    <row r="2690" spans="1:11" ht="15.75" hidden="1" customHeight="1">
      <c r="A2690" s="133" t="s">
        <v>7</v>
      </c>
      <c r="B2690" s="133" t="s">
        <v>3436</v>
      </c>
      <c r="C2690" s="133" t="s">
        <v>2569</v>
      </c>
      <c r="D2690" s="133" t="s">
        <v>477</v>
      </c>
      <c r="E2690" s="158">
        <v>50</v>
      </c>
      <c r="F2690" s="158">
        <v>0</v>
      </c>
      <c r="G2690" s="158">
        <v>0</v>
      </c>
      <c r="H2690" s="133" t="s">
        <v>3440</v>
      </c>
      <c r="I2690" s="133" t="s">
        <v>548</v>
      </c>
      <c r="J2690" s="158">
        <v>0</v>
      </c>
      <c r="K2690" s="159" t="str">
        <f ca="1">IFERROR(__xludf.DUMMYFUNCTION("GOOGLETRANSLATE(H2690,""th"",""en"")"),"Store type")</f>
        <v>Store type</v>
      </c>
    </row>
    <row r="2691" spans="1:11" ht="15.75" hidden="1" customHeight="1">
      <c r="A2691" s="133" t="s">
        <v>7</v>
      </c>
      <c r="B2691" s="133" t="s">
        <v>3436</v>
      </c>
      <c r="C2691" s="133" t="s">
        <v>257</v>
      </c>
      <c r="D2691" s="133" t="s">
        <v>477</v>
      </c>
      <c r="E2691" s="158">
        <v>20</v>
      </c>
      <c r="F2691" s="158">
        <v>0</v>
      </c>
      <c r="G2691" s="158">
        <v>0</v>
      </c>
      <c r="H2691" s="133" t="s">
        <v>1130</v>
      </c>
      <c r="I2691" s="133" t="s">
        <v>548</v>
      </c>
      <c r="J2691" s="158">
        <v>0</v>
      </c>
      <c r="K2691" s="159" t="str">
        <f ca="1">IFERROR(__xludf.DUMMYFUNCTION("GOOGLETRANSLATE(H2691,""th"",""en"")"),"Product code")</f>
        <v>Product code</v>
      </c>
    </row>
    <row r="2692" spans="1:11" ht="15.75" hidden="1" customHeight="1">
      <c r="A2692" s="133" t="s">
        <v>7</v>
      </c>
      <c r="B2692" s="133" t="s">
        <v>3436</v>
      </c>
      <c r="C2692" s="133" t="s">
        <v>3441</v>
      </c>
      <c r="D2692" s="133" t="s">
        <v>477</v>
      </c>
      <c r="E2692" s="158">
        <v>100</v>
      </c>
      <c r="F2692" s="158">
        <v>0</v>
      </c>
      <c r="G2692" s="158">
        <v>0</v>
      </c>
      <c r="H2692" s="133" t="s">
        <v>1132</v>
      </c>
      <c r="I2692" s="133" t="s">
        <v>548</v>
      </c>
      <c r="J2692" s="158">
        <v>0</v>
      </c>
      <c r="K2692" s="159" t="str">
        <f ca="1">IFERROR(__xludf.DUMMYFUNCTION("GOOGLETRANSLATE(H2692,""th"",""en"")"),"Product name")</f>
        <v>Product name</v>
      </c>
    </row>
    <row r="2693" spans="1:11" ht="15.75" hidden="1" customHeight="1">
      <c r="A2693" s="133" t="s">
        <v>7</v>
      </c>
      <c r="B2693" s="133" t="s">
        <v>3436</v>
      </c>
      <c r="C2693" s="133" t="s">
        <v>1139</v>
      </c>
      <c r="D2693" s="133" t="s">
        <v>477</v>
      </c>
      <c r="E2693" s="158">
        <v>20</v>
      </c>
      <c r="F2693" s="158">
        <v>0</v>
      </c>
      <c r="G2693" s="158">
        <v>0</v>
      </c>
      <c r="H2693" s="133" t="s">
        <v>3442</v>
      </c>
      <c r="I2693" s="133" t="s">
        <v>548</v>
      </c>
      <c r="J2693" s="158">
        <v>0</v>
      </c>
      <c r="K2693" s="159" t="str">
        <f ca="1">IFERROR(__xludf.DUMMYFUNCTION("GOOGLETRANSLATE(H2693,""th"",""en"")"),"Product unit")</f>
        <v>Product unit</v>
      </c>
    </row>
    <row r="2694" spans="1:11" ht="15.75" hidden="1" customHeight="1">
      <c r="A2694" s="133" t="s">
        <v>7</v>
      </c>
      <c r="B2694" s="133" t="s">
        <v>3436</v>
      </c>
      <c r="C2694" s="133" t="s">
        <v>1147</v>
      </c>
      <c r="D2694" s="133" t="s">
        <v>481</v>
      </c>
      <c r="E2694" s="158">
        <v>5</v>
      </c>
      <c r="F2694" s="158">
        <v>9</v>
      </c>
      <c r="G2694" s="158">
        <v>2</v>
      </c>
      <c r="H2694" s="133" t="s">
        <v>3443</v>
      </c>
      <c r="I2694" s="133" t="s">
        <v>615</v>
      </c>
      <c r="J2694" s="158">
        <v>0</v>
      </c>
      <c r="K2694" s="159" t="str">
        <f ca="1">IFERROR(__xludf.DUMMYFUNCTION("GOOGLETRANSLATE(H2694,""th"",""en"")"),"Average price of products")</f>
        <v>Average price of products</v>
      </c>
    </row>
    <row r="2695" spans="1:11" ht="15.75" hidden="1" customHeight="1">
      <c r="A2695" s="133" t="s">
        <v>7</v>
      </c>
      <c r="B2695" s="133" t="s">
        <v>3436</v>
      </c>
      <c r="C2695" s="133" t="s">
        <v>3444</v>
      </c>
      <c r="D2695" s="133" t="s">
        <v>481</v>
      </c>
      <c r="E2695" s="158">
        <v>5</v>
      </c>
      <c r="F2695" s="158">
        <v>9</v>
      </c>
      <c r="G2695" s="158">
        <v>2</v>
      </c>
      <c r="H2695" s="133" t="s">
        <v>3445</v>
      </c>
      <c r="I2695" s="133" t="s">
        <v>615</v>
      </c>
      <c r="J2695" s="158">
        <v>0</v>
      </c>
      <c r="K2695" s="159" t="str">
        <f ca="1">IFERROR(__xludf.DUMMYFUNCTION("GOOGLETRANSLATE(H2695,""th"",""en"")"),"Product total")</f>
        <v>Product total</v>
      </c>
    </row>
    <row r="2696" spans="1:11" ht="15.75" hidden="1" customHeight="1">
      <c r="A2696" s="133" t="s">
        <v>7</v>
      </c>
      <c r="B2696" s="133" t="s">
        <v>3436</v>
      </c>
      <c r="C2696" s="133" t="s">
        <v>3366</v>
      </c>
      <c r="D2696" s="133" t="s">
        <v>484</v>
      </c>
      <c r="E2696" s="158">
        <v>4</v>
      </c>
      <c r="F2696" s="158">
        <v>10</v>
      </c>
      <c r="G2696" s="158">
        <v>0</v>
      </c>
      <c r="H2696" s="133" t="s">
        <v>3446</v>
      </c>
      <c r="I2696" s="133" t="s">
        <v>615</v>
      </c>
      <c r="J2696" s="158">
        <v>0</v>
      </c>
      <c r="K2696" s="159" t="str">
        <f ca="1">IFERROR(__xludf.DUMMYFUNCTION("GOOGLETRANSLATE(H2696,""th"",""en"")"),"Number of products")</f>
        <v>Number of products</v>
      </c>
    </row>
    <row r="2697" spans="1:11" ht="15.75" hidden="1" customHeight="1">
      <c r="A2697" s="133" t="s">
        <v>7</v>
      </c>
      <c r="B2697" s="133" t="s">
        <v>3436</v>
      </c>
      <c r="C2697" s="133" t="s">
        <v>3447</v>
      </c>
      <c r="D2697" s="133" t="s">
        <v>484</v>
      </c>
      <c r="E2697" s="158">
        <v>4</v>
      </c>
      <c r="F2697" s="158">
        <v>10</v>
      </c>
      <c r="G2697" s="158">
        <v>0</v>
      </c>
      <c r="H2697" s="133" t="s">
        <v>3448</v>
      </c>
      <c r="I2697" s="133" t="s">
        <v>615</v>
      </c>
      <c r="J2697" s="158">
        <v>0</v>
      </c>
      <c r="K2697" s="159" t="str">
        <f ca="1">IFERROR(__xludf.DUMMYFUNCTION("GOOGLETRANSLATE(H2697,""th"",""en"")"),"The number of products that are booked from sales (SO, DO, MR)")</f>
        <v>The number of products that are booked from sales (SO, DO, MR)</v>
      </c>
    </row>
    <row r="2698" spans="1:11" ht="15.75" hidden="1" customHeight="1">
      <c r="A2698" s="133" t="s">
        <v>7</v>
      </c>
      <c r="B2698" s="133" t="s">
        <v>3436</v>
      </c>
      <c r="C2698" s="133" t="s">
        <v>3449</v>
      </c>
      <c r="D2698" s="133" t="s">
        <v>484</v>
      </c>
      <c r="E2698" s="158">
        <v>4</v>
      </c>
      <c r="F2698" s="158">
        <v>10</v>
      </c>
      <c r="G2698" s="158">
        <v>0</v>
      </c>
      <c r="H2698" s="133" t="s">
        <v>3450</v>
      </c>
      <c r="I2698" s="133" t="s">
        <v>615</v>
      </c>
      <c r="J2698" s="158">
        <v>0</v>
      </c>
      <c r="K2698" s="159" t="str">
        <f ca="1">IFERROR(__xludf.DUMMYFUNCTION("GOOGLETRANSLATE(H2698,""th"",""en"")"),"The number of products that are booked in RT documents")</f>
        <v>The number of products that are booked in RT documents</v>
      </c>
    </row>
    <row r="2699" spans="1:11" ht="15.75" hidden="1" customHeight="1">
      <c r="A2699" s="133" t="s">
        <v>7</v>
      </c>
      <c r="B2699" s="133" t="s">
        <v>3436</v>
      </c>
      <c r="C2699" s="133" t="s">
        <v>3451</v>
      </c>
      <c r="D2699" s="133" t="s">
        <v>484</v>
      </c>
      <c r="E2699" s="158">
        <v>4</v>
      </c>
      <c r="F2699" s="158">
        <v>10</v>
      </c>
      <c r="G2699" s="158">
        <v>0</v>
      </c>
      <c r="H2699" s="133" t="s">
        <v>3452</v>
      </c>
      <c r="I2699" s="133" t="s">
        <v>615</v>
      </c>
      <c r="J2699" s="158">
        <v>0</v>
      </c>
      <c r="K2699" s="159" t="str">
        <f ca="1">IFERROR(__xludf.DUMMYFUNCTION("GOOGLETRANSLATE(H2699,""th"",""en"")"),"The number of products that are booked in the TD document")</f>
        <v>The number of products that are booked in the TD document</v>
      </c>
    </row>
    <row r="2700" spans="1:11" ht="15.75" hidden="1" customHeight="1">
      <c r="A2700" s="133" t="s">
        <v>7</v>
      </c>
      <c r="B2700" s="133" t="s">
        <v>3436</v>
      </c>
      <c r="C2700" s="133" t="s">
        <v>3453</v>
      </c>
      <c r="D2700" s="133" t="s">
        <v>484</v>
      </c>
      <c r="E2700" s="158">
        <v>4</v>
      </c>
      <c r="F2700" s="158">
        <v>10</v>
      </c>
      <c r="G2700" s="158">
        <v>0</v>
      </c>
      <c r="H2700" s="133" t="s">
        <v>3454</v>
      </c>
      <c r="I2700" s="133" t="s">
        <v>615</v>
      </c>
      <c r="J2700" s="158">
        <v>0</v>
      </c>
      <c r="K2700" s="159" t="str">
        <f ca="1">IFERROR(__xludf.DUMMYFUNCTION("GOOGLETRANSLATE(H2700,""th"",""en"")"),"The number of products that are booked in the WT document")</f>
        <v>The number of products that are booked in the WT document</v>
      </c>
    </row>
    <row r="2701" spans="1:11" ht="15.75" hidden="1" customHeight="1">
      <c r="A2701" s="133" t="s">
        <v>7</v>
      </c>
      <c r="B2701" s="133" t="s">
        <v>3436</v>
      </c>
      <c r="C2701" s="133" t="s">
        <v>3455</v>
      </c>
      <c r="D2701" s="133" t="s">
        <v>484</v>
      </c>
      <c r="E2701" s="158">
        <v>4</v>
      </c>
      <c r="F2701" s="158">
        <v>10</v>
      </c>
      <c r="G2701" s="158">
        <v>0</v>
      </c>
      <c r="H2701" s="133" t="s">
        <v>3456</v>
      </c>
      <c r="I2701" s="133" t="s">
        <v>615</v>
      </c>
      <c r="J2701" s="158">
        <v>0</v>
      </c>
      <c r="K2701" s="159" t="str">
        <f ca="1">IFERROR(__xludf.DUMMYFUNCTION("GOOGLETRANSLATE(H2701,""th"",""en"")"),"The number of products that are booked in the RU document")</f>
        <v>The number of products that are booked in the RU document</v>
      </c>
    </row>
    <row r="2702" spans="1:11" ht="15.75" hidden="1" customHeight="1">
      <c r="A2702" s="133" t="s">
        <v>7</v>
      </c>
      <c r="B2702" s="133" t="s">
        <v>3436</v>
      </c>
      <c r="C2702" s="133" t="s">
        <v>3457</v>
      </c>
      <c r="D2702" s="133" t="s">
        <v>484</v>
      </c>
      <c r="E2702" s="158">
        <v>4</v>
      </c>
      <c r="F2702" s="158">
        <v>10</v>
      </c>
      <c r="G2702" s="158">
        <v>0</v>
      </c>
      <c r="H2702" s="133" t="s">
        <v>3458</v>
      </c>
      <c r="I2702" s="133" t="s">
        <v>615</v>
      </c>
      <c r="J2702" s="158">
        <v>0</v>
      </c>
      <c r="K2702" s="159" t="str">
        <f ca="1">IFERROR(__xludf.DUMMYFUNCTION("GOOGLETRANSLATE(H2702,""th"",""en"")"),"Number of products in RD documents")</f>
        <v>Number of products in RD documents</v>
      </c>
    </row>
    <row r="2703" spans="1:11" ht="15.75" hidden="1" customHeight="1">
      <c r="A2703" s="133" t="s">
        <v>7</v>
      </c>
      <c r="B2703" s="133" t="s">
        <v>3436</v>
      </c>
      <c r="C2703" s="133" t="s">
        <v>3459</v>
      </c>
      <c r="D2703" s="133" t="s">
        <v>484</v>
      </c>
      <c r="E2703" s="158">
        <v>4</v>
      </c>
      <c r="F2703" s="158">
        <v>10</v>
      </c>
      <c r="G2703" s="158">
        <v>0</v>
      </c>
      <c r="H2703" s="133" t="s">
        <v>3460</v>
      </c>
      <c r="I2703" s="133" t="s">
        <v>615</v>
      </c>
      <c r="J2703" s="158">
        <v>0</v>
      </c>
      <c r="K2703" s="159" t="str">
        <f ca="1">IFERROR(__xludf.DUMMYFUNCTION("GOOGLETRANSLATE(H2703,""th"",""en"")"),"The number of products that are booked in the PLT document")</f>
        <v>The number of products that are booked in the PLT document</v>
      </c>
    </row>
    <row r="2704" spans="1:11" ht="15.75" hidden="1" customHeight="1">
      <c r="A2704" s="133" t="s">
        <v>7</v>
      </c>
      <c r="B2704" s="133" t="s">
        <v>3436</v>
      </c>
      <c r="C2704" s="133" t="s">
        <v>669</v>
      </c>
      <c r="D2704" s="133" t="s">
        <v>538</v>
      </c>
      <c r="E2704" s="158">
        <v>8</v>
      </c>
      <c r="F2704" s="158">
        <v>23</v>
      </c>
      <c r="G2704" s="158">
        <v>3</v>
      </c>
      <c r="H2704" s="133" t="s">
        <v>3461</v>
      </c>
      <c r="I2704" s="133" t="s">
        <v>548</v>
      </c>
      <c r="J2704" s="158">
        <v>0</v>
      </c>
      <c r="K2704" s="159" t="str">
        <f ca="1">IFERROR(__xludf.DUMMYFUNCTION("GOOGLETRANSLATE(H2704,""th"",""en"")"),"Date of creation")</f>
        <v>Date of creation</v>
      </c>
    </row>
    <row r="2705" spans="1:14" ht="15.75" hidden="1" customHeight="1">
      <c r="A2705" s="133" t="s">
        <v>7</v>
      </c>
      <c r="B2705" s="133" t="s">
        <v>3436</v>
      </c>
      <c r="C2705" s="133" t="s">
        <v>523</v>
      </c>
      <c r="D2705" s="133" t="s">
        <v>477</v>
      </c>
      <c r="E2705" s="158">
        <v>20</v>
      </c>
      <c r="F2705" s="158">
        <v>0</v>
      </c>
      <c r="G2705" s="158">
        <v>0</v>
      </c>
      <c r="H2705" s="133" t="s">
        <v>3462</v>
      </c>
      <c r="I2705" s="133" t="s">
        <v>548</v>
      </c>
      <c r="J2705" s="158">
        <v>0</v>
      </c>
      <c r="K2705" s="159" t="str">
        <f ca="1">IFERROR(__xludf.DUMMYFUNCTION("GOOGLETRANSLATE(H2705,""th"",""en"")"),"Document Creator ID")</f>
        <v>Document Creator ID</v>
      </c>
    </row>
    <row r="2706" spans="1:14" ht="15.75" hidden="1" customHeight="1">
      <c r="A2706" s="133" t="s">
        <v>7</v>
      </c>
      <c r="B2706" s="133" t="s">
        <v>3436</v>
      </c>
      <c r="C2706" s="133" t="s">
        <v>814</v>
      </c>
      <c r="D2706" s="133" t="s">
        <v>477</v>
      </c>
      <c r="E2706" s="158">
        <v>100</v>
      </c>
      <c r="F2706" s="158">
        <v>0</v>
      </c>
      <c r="G2706" s="158">
        <v>0</v>
      </c>
      <c r="H2706" s="133" t="s">
        <v>3463</v>
      </c>
      <c r="I2706" s="133" t="s">
        <v>548</v>
      </c>
      <c r="J2706" s="158">
        <v>0</v>
      </c>
      <c r="K2706" s="159" t="str">
        <f ca="1">IFERROR(__xludf.DUMMYFUNCTION("GOOGLETRANSLATE(H2706,""th"",""en"")"),"Document Creator Name")</f>
        <v>Document Creator Name</v>
      </c>
    </row>
    <row r="2707" spans="1:14" ht="15.75" hidden="1" customHeight="1">
      <c r="A2707" s="133" t="s">
        <v>7</v>
      </c>
      <c r="B2707" s="133" t="s">
        <v>3436</v>
      </c>
      <c r="C2707" s="133" t="s">
        <v>215</v>
      </c>
      <c r="D2707" s="133" t="s">
        <v>538</v>
      </c>
      <c r="E2707" s="158">
        <v>8</v>
      </c>
      <c r="F2707" s="158">
        <v>23</v>
      </c>
      <c r="G2707" s="158">
        <v>3</v>
      </c>
      <c r="H2707" s="133" t="s">
        <v>3464</v>
      </c>
      <c r="I2707" s="133" t="s">
        <v>548</v>
      </c>
      <c r="J2707" s="158">
        <v>0</v>
      </c>
      <c r="K2707" s="159" t="str">
        <f ca="1">IFERROR(__xludf.DUMMYFUNCTION("GOOGLETRANSLATE(H2707,""th"",""en"")"),"Last edited date")</f>
        <v>Last edited date</v>
      </c>
    </row>
    <row r="2708" spans="1:14" ht="15.75" hidden="1" customHeight="1">
      <c r="A2708" s="133" t="s">
        <v>7</v>
      </c>
      <c r="B2708" s="133" t="s">
        <v>3436</v>
      </c>
      <c r="C2708" s="133" t="s">
        <v>670</v>
      </c>
      <c r="D2708" s="133" t="s">
        <v>477</v>
      </c>
      <c r="E2708" s="158">
        <v>20</v>
      </c>
      <c r="F2708" s="158">
        <v>0</v>
      </c>
      <c r="G2708" s="158">
        <v>0</v>
      </c>
      <c r="H2708" s="133" t="s">
        <v>3465</v>
      </c>
      <c r="I2708" s="133" t="s">
        <v>548</v>
      </c>
      <c r="J2708" s="158">
        <v>0</v>
      </c>
      <c r="K2708" s="159" t="str">
        <f ca="1">IFERROR(__xludf.DUMMYFUNCTION("GOOGLETRANSLATE(H2708,""th"",""en"")"),"Recent document editor")</f>
        <v>Recent document editor</v>
      </c>
    </row>
    <row r="2709" spans="1:14" ht="15.75" hidden="1" customHeight="1">
      <c r="A2709" s="133" t="s">
        <v>7</v>
      </c>
      <c r="B2709" s="133" t="s">
        <v>3436</v>
      </c>
      <c r="C2709" s="133" t="s">
        <v>816</v>
      </c>
      <c r="D2709" s="133" t="s">
        <v>477</v>
      </c>
      <c r="E2709" s="158">
        <v>100</v>
      </c>
      <c r="F2709" s="158">
        <v>0</v>
      </c>
      <c r="G2709" s="158">
        <v>0</v>
      </c>
      <c r="H2709" s="133" t="s">
        <v>3466</v>
      </c>
      <c r="I2709" s="133" t="s">
        <v>548</v>
      </c>
      <c r="J2709" s="158">
        <v>0</v>
      </c>
      <c r="K2709" s="159" t="str">
        <f ca="1">IFERROR(__xludf.DUMMYFUNCTION("GOOGLETRANSLATE(H2709,""th"",""en"")"),"Latest document editor")</f>
        <v>Latest document editor</v>
      </c>
    </row>
    <row r="2710" spans="1:14" ht="15.75" hidden="1" customHeight="1">
      <c r="A2710" s="133" t="s">
        <v>7</v>
      </c>
      <c r="B2710" s="133" t="s">
        <v>3436</v>
      </c>
      <c r="C2710" s="133" t="s">
        <v>3467</v>
      </c>
      <c r="D2710" s="133" t="s">
        <v>538</v>
      </c>
      <c r="E2710" s="158">
        <v>8</v>
      </c>
      <c r="F2710" s="158">
        <v>23</v>
      </c>
      <c r="G2710" s="158">
        <v>3</v>
      </c>
      <c r="H2710" s="133" t="s">
        <v>3468</v>
      </c>
      <c r="I2710" s="133" t="s">
        <v>548</v>
      </c>
      <c r="J2710" s="158">
        <v>0</v>
      </c>
      <c r="K2710" s="159" t="str">
        <f ca="1">IFERROR(__xludf.DUMMYFUNCTION("GOOGLETRANSLATE(H2710,""th"",""en"")"),"The date of receiving the latest product from the purchase")</f>
        <v>The date of receiving the latest product from the purchase</v>
      </c>
    </row>
    <row r="2711" spans="1:14" ht="15.75" hidden="1" customHeight="1">
      <c r="A2711" s="161" t="s">
        <v>7</v>
      </c>
      <c r="B2711" s="161" t="s">
        <v>452</v>
      </c>
      <c r="C2711" s="161" t="s">
        <v>2317</v>
      </c>
      <c r="D2711" s="161" t="s">
        <v>477</v>
      </c>
      <c r="E2711" s="162">
        <v>5</v>
      </c>
      <c r="F2711" s="162">
        <v>0</v>
      </c>
      <c r="G2711" s="162">
        <v>0</v>
      </c>
      <c r="H2711" s="161"/>
      <c r="I2711" s="161"/>
      <c r="J2711" s="162">
        <v>0</v>
      </c>
      <c r="K2711" s="163"/>
      <c r="L2711" s="164" t="s">
        <v>2318</v>
      </c>
      <c r="M2711" s="165"/>
      <c r="N2711" s="165"/>
    </row>
    <row r="2712" spans="1:14" ht="15.75" hidden="1" customHeight="1">
      <c r="A2712" s="133" t="s">
        <v>7</v>
      </c>
      <c r="B2712" s="133" t="s">
        <v>452</v>
      </c>
      <c r="C2712" s="133" t="s">
        <v>451</v>
      </c>
      <c r="D2712" s="133" t="s">
        <v>477</v>
      </c>
      <c r="E2712" s="158">
        <v>15</v>
      </c>
      <c r="F2712" s="158">
        <v>0</v>
      </c>
      <c r="G2712" s="158">
        <v>0</v>
      </c>
      <c r="H2712" s="133" t="s">
        <v>2461</v>
      </c>
      <c r="I2712" s="133" t="s">
        <v>548</v>
      </c>
      <c r="J2712" s="158">
        <v>0</v>
      </c>
      <c r="K2712" s="159" t="str">
        <f ca="1">IFERROR(__xludf.DUMMYFUNCTION("GOOGLETRANSLATE(H2712,""th"",""en"")"),"Order number")</f>
        <v>Order number</v>
      </c>
    </row>
    <row r="2713" spans="1:14" ht="15.75" hidden="1" customHeight="1">
      <c r="A2713" s="133" t="s">
        <v>7</v>
      </c>
      <c r="B2713" s="133" t="s">
        <v>452</v>
      </c>
      <c r="C2713" s="133" t="s">
        <v>1421</v>
      </c>
      <c r="D2713" s="133" t="s">
        <v>484</v>
      </c>
      <c r="E2713" s="158">
        <v>4</v>
      </c>
      <c r="F2713" s="158">
        <v>10</v>
      </c>
      <c r="G2713" s="158">
        <v>0</v>
      </c>
      <c r="H2713" s="133" t="s">
        <v>2778</v>
      </c>
      <c r="I2713" s="133" t="s">
        <v>615</v>
      </c>
      <c r="J2713" s="158">
        <v>0</v>
      </c>
      <c r="K2713" s="159" t="str">
        <f ca="1">IFERROR(__xludf.DUMMYFUNCTION("GOOGLETRANSLATE(H2713,""th"",""en"")"),"Product order")</f>
        <v>Product order</v>
      </c>
    </row>
    <row r="2714" spans="1:14" ht="15.75" hidden="1" customHeight="1">
      <c r="A2714" s="133" t="s">
        <v>7</v>
      </c>
      <c r="B2714" s="133" t="s">
        <v>452</v>
      </c>
      <c r="C2714" s="133" t="s">
        <v>1394</v>
      </c>
      <c r="D2714" s="133" t="s">
        <v>477</v>
      </c>
      <c r="E2714" s="158">
        <v>7</v>
      </c>
      <c r="F2714" s="158">
        <v>0</v>
      </c>
      <c r="G2714" s="158">
        <v>0</v>
      </c>
      <c r="H2714" s="133" t="s">
        <v>1130</v>
      </c>
      <c r="I2714" s="133" t="s">
        <v>548</v>
      </c>
      <c r="J2714" s="158">
        <v>0</v>
      </c>
      <c r="K2714" s="159" t="str">
        <f ca="1">IFERROR(__xludf.DUMMYFUNCTION("GOOGLETRANSLATE(H2714,""th"",""en"")"),"Product code")</f>
        <v>Product code</v>
      </c>
    </row>
    <row r="2715" spans="1:14" ht="15.75" hidden="1" customHeight="1">
      <c r="A2715" s="133" t="s">
        <v>7</v>
      </c>
      <c r="B2715" s="133" t="s">
        <v>452</v>
      </c>
      <c r="C2715" s="133" t="s">
        <v>1823</v>
      </c>
      <c r="D2715" s="133" t="s">
        <v>477</v>
      </c>
      <c r="E2715" s="158">
        <v>55</v>
      </c>
      <c r="F2715" s="158">
        <v>0</v>
      </c>
      <c r="G2715" s="158">
        <v>0</v>
      </c>
      <c r="H2715" s="133" t="s">
        <v>1132</v>
      </c>
      <c r="I2715" s="133" t="s">
        <v>548</v>
      </c>
      <c r="J2715" s="158">
        <v>0</v>
      </c>
      <c r="K2715" s="159" t="str">
        <f ca="1">IFERROR(__xludf.DUMMYFUNCTION("GOOGLETRANSLATE(H2715,""th"",""en"")"),"Product name")</f>
        <v>Product name</v>
      </c>
    </row>
    <row r="2716" spans="1:14" ht="15.75" hidden="1" customHeight="1">
      <c r="A2716" s="133" t="s">
        <v>7</v>
      </c>
      <c r="B2716" s="133" t="s">
        <v>452</v>
      </c>
      <c r="C2716" s="133" t="s">
        <v>2779</v>
      </c>
      <c r="D2716" s="133" t="s">
        <v>477</v>
      </c>
      <c r="E2716" s="158">
        <v>55</v>
      </c>
      <c r="F2716" s="158">
        <v>0</v>
      </c>
      <c r="G2716" s="158">
        <v>0</v>
      </c>
      <c r="H2716" s="133" t="s">
        <v>2780</v>
      </c>
      <c r="I2716" s="133" t="s">
        <v>548</v>
      </c>
      <c r="J2716" s="158">
        <v>0</v>
      </c>
      <c r="K2716" s="159" t="str">
        <f ca="1">IFERROR(__xludf.DUMMYFUNCTION("GOOGLETRANSLATE(H2716,""th"",""en"")"),"Product name before editing")</f>
        <v>Product name before editing</v>
      </c>
    </row>
    <row r="2717" spans="1:14" ht="15.75" hidden="1" customHeight="1">
      <c r="A2717" s="133" t="s">
        <v>7</v>
      </c>
      <c r="B2717" s="133" t="s">
        <v>452</v>
      </c>
      <c r="C2717" s="133" t="s">
        <v>1826</v>
      </c>
      <c r="D2717" s="133" t="s">
        <v>484</v>
      </c>
      <c r="E2717" s="158">
        <v>4</v>
      </c>
      <c r="F2717" s="158">
        <v>10</v>
      </c>
      <c r="G2717" s="158">
        <v>0</v>
      </c>
      <c r="H2717" s="133" t="s">
        <v>2781</v>
      </c>
      <c r="I2717" s="133" t="s">
        <v>615</v>
      </c>
      <c r="J2717" s="158">
        <v>0</v>
      </c>
      <c r="K2717" s="159" t="str">
        <f ca="1">IFERROR(__xludf.DUMMYFUNCTION("GOOGLETRANSLATE(H2717,""th"",""en"")"),"Order amount")</f>
        <v>Order amount</v>
      </c>
    </row>
    <row r="2718" spans="1:14" ht="15.75" hidden="1" customHeight="1">
      <c r="A2718" s="133" t="s">
        <v>7</v>
      </c>
      <c r="B2718" s="133" t="s">
        <v>452</v>
      </c>
      <c r="C2718" s="133" t="s">
        <v>2782</v>
      </c>
      <c r="D2718" s="133" t="s">
        <v>484</v>
      </c>
      <c r="E2718" s="158">
        <v>4</v>
      </c>
      <c r="F2718" s="158">
        <v>10</v>
      </c>
      <c r="G2718" s="158">
        <v>0</v>
      </c>
      <c r="H2718" s="133" t="s">
        <v>2783</v>
      </c>
      <c r="I2718" s="133" t="s">
        <v>615</v>
      </c>
      <c r="J2718" s="158">
        <v>0</v>
      </c>
      <c r="K2718" s="159" t="str">
        <f ca="1">IFERROR(__xludf.DUMMYFUNCTION("GOOGLETRANSLATE(H2718,""th"",""en"")"),"Order number before editing")</f>
        <v>Order number before editing</v>
      </c>
    </row>
    <row r="2719" spans="1:14" ht="15.75" hidden="1" customHeight="1">
      <c r="A2719" s="133" t="s">
        <v>7</v>
      </c>
      <c r="B2719" s="133" t="s">
        <v>452</v>
      </c>
      <c r="C2719" s="133" t="s">
        <v>1825</v>
      </c>
      <c r="D2719" s="133" t="s">
        <v>477</v>
      </c>
      <c r="E2719" s="158">
        <v>7</v>
      </c>
      <c r="F2719" s="158">
        <v>0</v>
      </c>
      <c r="G2719" s="158">
        <v>0</v>
      </c>
      <c r="H2719" s="133" t="s">
        <v>1396</v>
      </c>
      <c r="I2719" s="133" t="s">
        <v>548</v>
      </c>
      <c r="J2719" s="158">
        <v>0</v>
      </c>
      <c r="K2719" s="159" t="str">
        <f ca="1">IFERROR(__xludf.DUMMYFUNCTION("GOOGLETRANSLATE(H2719,""th"",""en"")"),"Sales unit")</f>
        <v>Sales unit</v>
      </c>
    </row>
    <row r="2720" spans="1:14" ht="15.75" hidden="1" customHeight="1">
      <c r="A2720" s="133" t="s">
        <v>7</v>
      </c>
      <c r="B2720" s="133" t="s">
        <v>452</v>
      </c>
      <c r="C2720" s="133" t="s">
        <v>2784</v>
      </c>
      <c r="D2720" s="133" t="s">
        <v>477</v>
      </c>
      <c r="E2720" s="158">
        <v>7</v>
      </c>
      <c r="F2720" s="158">
        <v>0</v>
      </c>
      <c r="G2720" s="158">
        <v>0</v>
      </c>
      <c r="H2720" s="133" t="s">
        <v>2785</v>
      </c>
      <c r="I2720" s="133" t="s">
        <v>548</v>
      </c>
      <c r="J2720" s="158">
        <v>0</v>
      </c>
      <c r="K2720" s="159" t="str">
        <f ca="1">IFERROR(__xludf.DUMMYFUNCTION("GOOGLETRANSLATE(H2720,""th"",""en"")"),"Selling units before editing")</f>
        <v>Selling units before editing</v>
      </c>
    </row>
    <row r="2721" spans="1:11" ht="15.75" hidden="1" customHeight="1">
      <c r="A2721" s="133" t="s">
        <v>7</v>
      </c>
      <c r="B2721" s="133" t="s">
        <v>452</v>
      </c>
      <c r="C2721" s="133" t="s">
        <v>1399</v>
      </c>
      <c r="D2721" s="133" t="s">
        <v>481</v>
      </c>
      <c r="E2721" s="158">
        <v>5</v>
      </c>
      <c r="F2721" s="158">
        <v>9</v>
      </c>
      <c r="G2721" s="158">
        <v>2</v>
      </c>
      <c r="H2721" s="133" t="s">
        <v>2786</v>
      </c>
      <c r="I2721" s="133" t="s">
        <v>1223</v>
      </c>
      <c r="J2721" s="158">
        <v>0</v>
      </c>
      <c r="K2721" s="159" t="str">
        <f ca="1">IFERROR(__xludf.DUMMYFUNCTION("GOOGLETRANSLATE(H2721,""th"",""en"")"),"Product price (including tax) / unit")</f>
        <v>Product price (including tax) / unit</v>
      </c>
    </row>
    <row r="2722" spans="1:11" ht="15.75" hidden="1" customHeight="1">
      <c r="A2722" s="133" t="s">
        <v>7</v>
      </c>
      <c r="B2722" s="133" t="s">
        <v>452</v>
      </c>
      <c r="C2722" s="133" t="s">
        <v>2787</v>
      </c>
      <c r="D2722" s="133" t="s">
        <v>481</v>
      </c>
      <c r="E2722" s="158">
        <v>5</v>
      </c>
      <c r="F2722" s="158">
        <v>9</v>
      </c>
      <c r="G2722" s="158">
        <v>2</v>
      </c>
      <c r="H2722" s="133" t="s">
        <v>2788</v>
      </c>
      <c r="I2722" s="133" t="s">
        <v>1223</v>
      </c>
      <c r="J2722" s="158">
        <v>0</v>
      </c>
      <c r="K2722" s="159" t="str">
        <f ca="1">IFERROR(__xludf.DUMMYFUNCTION("GOOGLETRANSLATE(H2722,""th"",""en"")"),"Product price (including tax) / previous units")</f>
        <v>Product price (including tax) / previous units</v>
      </c>
    </row>
    <row r="2723" spans="1:11" ht="15.75" hidden="1" customHeight="1">
      <c r="A2723" s="133" t="s">
        <v>7</v>
      </c>
      <c r="B2723" s="133" t="s">
        <v>452</v>
      </c>
      <c r="C2723" s="133" t="s">
        <v>2789</v>
      </c>
      <c r="D2723" s="133" t="s">
        <v>481</v>
      </c>
      <c r="E2723" s="158">
        <v>5</v>
      </c>
      <c r="F2723" s="158">
        <v>9</v>
      </c>
      <c r="G2723" s="158">
        <v>2</v>
      </c>
      <c r="H2723" s="133" t="s">
        <v>2790</v>
      </c>
      <c r="I2723" s="133" t="s">
        <v>1223</v>
      </c>
      <c r="J2723" s="158">
        <v>0</v>
      </c>
      <c r="K2723" s="159" t="str">
        <f ca="1">IFERROR(__xludf.DUMMYFUNCTION("GOOGLETRANSLATE(H2723,""th"",""en"")"),"Product price - Discount (including tax)")</f>
        <v>Product price - Discount (including tax)</v>
      </c>
    </row>
    <row r="2724" spans="1:11" ht="15.75" hidden="1" customHeight="1">
      <c r="A2724" s="133" t="s">
        <v>7</v>
      </c>
      <c r="B2724" s="133" t="s">
        <v>452</v>
      </c>
      <c r="C2724" s="133" t="s">
        <v>1397</v>
      </c>
      <c r="D2724" s="133" t="s">
        <v>481</v>
      </c>
      <c r="E2724" s="158">
        <v>5</v>
      </c>
      <c r="F2724" s="158">
        <v>9</v>
      </c>
      <c r="G2724" s="158">
        <v>2</v>
      </c>
      <c r="H2724" s="133" t="s">
        <v>2791</v>
      </c>
      <c r="I2724" s="133" t="s">
        <v>1223</v>
      </c>
      <c r="J2724" s="158">
        <v>0</v>
      </c>
      <c r="K2724" s="159" t="str">
        <f ca="1">IFERROR(__xludf.DUMMYFUNCTION("GOOGLETRANSLATE(H2724,""th"",""en"")"),"Product price (before tax) / unit")</f>
        <v>Product price (before tax) / unit</v>
      </c>
    </row>
    <row r="2725" spans="1:11" ht="15.75" hidden="1" customHeight="1">
      <c r="A2725" s="133" t="s">
        <v>7</v>
      </c>
      <c r="B2725" s="133" t="s">
        <v>452</v>
      </c>
      <c r="C2725" s="133" t="s">
        <v>2792</v>
      </c>
      <c r="D2725" s="133" t="s">
        <v>481</v>
      </c>
      <c r="E2725" s="158">
        <v>5</v>
      </c>
      <c r="F2725" s="158">
        <v>9</v>
      </c>
      <c r="G2725" s="158">
        <v>2</v>
      </c>
      <c r="H2725" s="133" t="s">
        <v>2793</v>
      </c>
      <c r="I2725" s="133" t="s">
        <v>1223</v>
      </c>
      <c r="J2725" s="158">
        <v>0</v>
      </c>
      <c r="K2725" s="159" t="str">
        <f ca="1">IFERROR(__xludf.DUMMYFUNCTION("GOOGLETRANSLATE(H2725,""th"",""en"")"),"Product price (before tax) / previous units")</f>
        <v>Product price (before tax) / previous units</v>
      </c>
    </row>
    <row r="2726" spans="1:11" ht="15.75" hidden="1" customHeight="1">
      <c r="A2726" s="133" t="s">
        <v>7</v>
      </c>
      <c r="B2726" s="133" t="s">
        <v>452</v>
      </c>
      <c r="C2726" s="133" t="s">
        <v>2794</v>
      </c>
      <c r="D2726" s="133" t="s">
        <v>477</v>
      </c>
      <c r="E2726" s="158">
        <v>15</v>
      </c>
      <c r="F2726" s="158">
        <v>0</v>
      </c>
      <c r="G2726" s="158">
        <v>0</v>
      </c>
      <c r="H2726" s="133" t="s">
        <v>2795</v>
      </c>
      <c r="I2726" s="133" t="s">
        <v>548</v>
      </c>
      <c r="J2726" s="158">
        <v>0</v>
      </c>
      <c r="K2726" s="159" t="str">
        <f ca="1">IFERROR(__xludf.DUMMYFUNCTION("GOOGLETRANSLATE(H2726,""th"",""en"")"),"The price of this product is the price from the structure (NormalPrice, FixPrice, PromotePrice, Free).")</f>
        <v>The price of this product is the price from the structure (NormalPrice, FixPrice, PromotePrice, Free).</v>
      </c>
    </row>
    <row r="2727" spans="1:11" ht="15.75" hidden="1" customHeight="1">
      <c r="A2727" s="133" t="s">
        <v>7</v>
      </c>
      <c r="B2727" s="133" t="s">
        <v>452</v>
      </c>
      <c r="C2727" s="133" t="s">
        <v>2796</v>
      </c>
      <c r="D2727" s="133" t="s">
        <v>477</v>
      </c>
      <c r="E2727" s="158">
        <v>3</v>
      </c>
      <c r="F2727" s="158">
        <v>0</v>
      </c>
      <c r="G2727" s="158">
        <v>0</v>
      </c>
      <c r="H2727" s="133" t="s">
        <v>2797</v>
      </c>
      <c r="I2727" s="133" t="s">
        <v>596</v>
      </c>
      <c r="J2727" s="158">
        <v>0</v>
      </c>
      <c r="K2727" s="159" t="str">
        <f ca="1">IFERROR(__xludf.DUMMYFUNCTION("GOOGLETRANSLATE(H2727,""th"",""en"")"),"Is a free product (Yes, NO)")</f>
        <v>Is a free product (Yes, NO)</v>
      </c>
    </row>
    <row r="2728" spans="1:11" ht="15.75" hidden="1" customHeight="1">
      <c r="A2728" s="133" t="s">
        <v>7</v>
      </c>
      <c r="B2728" s="133" t="s">
        <v>452</v>
      </c>
      <c r="C2728" s="133" t="s">
        <v>1840</v>
      </c>
      <c r="D2728" s="133" t="s">
        <v>477</v>
      </c>
      <c r="E2728" s="158">
        <v>3</v>
      </c>
      <c r="F2728" s="158">
        <v>0</v>
      </c>
      <c r="G2728" s="158">
        <v>0</v>
      </c>
      <c r="H2728" s="133" t="s">
        <v>2798</v>
      </c>
      <c r="I2728" s="133" t="s">
        <v>2011</v>
      </c>
      <c r="J2728" s="158">
        <v>0</v>
      </c>
      <c r="K2728" s="159" t="str">
        <f ca="1">IFERROR(__xludf.DUMMYFUNCTION("GOOGLETRANSLATE(H2728,""th"",""en"")"),"Product Tax (YES = Think VAT, No = Don't Think VAT)")</f>
        <v>Product Tax (YES = Think VAT, No = Don't Think VAT)</v>
      </c>
    </row>
    <row r="2729" spans="1:11" ht="15.75" hidden="1" customHeight="1">
      <c r="A2729" s="133" t="s">
        <v>7</v>
      </c>
      <c r="B2729" s="133" t="s">
        <v>452</v>
      </c>
      <c r="C2729" s="133" t="s">
        <v>1401</v>
      </c>
      <c r="D2729" s="133" t="s">
        <v>477</v>
      </c>
      <c r="E2729" s="158">
        <v>3</v>
      </c>
      <c r="F2729" s="158">
        <v>0</v>
      </c>
      <c r="G2729" s="158">
        <v>0</v>
      </c>
      <c r="H2729" s="133" t="s">
        <v>2799</v>
      </c>
      <c r="I2729" s="133" t="s">
        <v>596</v>
      </c>
      <c r="J2729" s="158">
        <v>0</v>
      </c>
      <c r="K2729" s="159" t="str">
        <f ca="1">IFERROR(__xludf.DUMMYFUNCTION("GOOGLETRANSLATE(H2729,""th"",""en"")"),"Products do not exceed discounts (YES = do not reduce, no = reduction)")</f>
        <v>Products do not exceed discounts (YES = do not reduce, no = reduction)</v>
      </c>
    </row>
    <row r="2730" spans="1:11" ht="15.75" hidden="1" customHeight="1">
      <c r="A2730" s="133" t="s">
        <v>7</v>
      </c>
      <c r="B2730" s="133" t="s">
        <v>452</v>
      </c>
      <c r="C2730" s="133" t="s">
        <v>1440</v>
      </c>
      <c r="D2730" s="133" t="s">
        <v>481</v>
      </c>
      <c r="E2730" s="158">
        <v>5</v>
      </c>
      <c r="F2730" s="158">
        <v>9</v>
      </c>
      <c r="G2730" s="158">
        <v>2</v>
      </c>
      <c r="H2730" s="133" t="s">
        <v>2800</v>
      </c>
      <c r="I2730" s="133" t="s">
        <v>1223</v>
      </c>
      <c r="J2730" s="158">
        <v>0</v>
      </c>
      <c r="K2730" s="159" t="str">
        <f ca="1">IFERROR(__xludf.DUMMYFUNCTION("GOOGLETRANSLATE(H2730,""th"",""en"")"),"Customer discount (%) such as 0, 3")</f>
        <v>Customer discount (%) such as 0, 3</v>
      </c>
    </row>
    <row r="2731" spans="1:11" ht="15.75" hidden="1" customHeight="1">
      <c r="A2731" s="133" t="s">
        <v>7</v>
      </c>
      <c r="B2731" s="133" t="s">
        <v>452</v>
      </c>
      <c r="C2731" s="133" t="s">
        <v>2801</v>
      </c>
      <c r="D2731" s="133" t="s">
        <v>481</v>
      </c>
      <c r="E2731" s="158">
        <v>5</v>
      </c>
      <c r="F2731" s="158">
        <v>9</v>
      </c>
      <c r="G2731" s="158">
        <v>2</v>
      </c>
      <c r="H2731" s="133" t="s">
        <v>2802</v>
      </c>
      <c r="I2731" s="133" t="s">
        <v>1223</v>
      </c>
      <c r="J2731" s="158">
        <v>0</v>
      </c>
      <c r="K2731" s="159" t="str">
        <f ca="1">IFERROR(__xludf.DUMMYFUNCTION("GOOGLETRANSLATE(H2731,""th"",""en"")"),"Customer discount (%), such as 0, 3 (original before editing)")</f>
        <v>Customer discount (%), such as 0, 3 (original before editing)</v>
      </c>
    </row>
    <row r="2732" spans="1:11" ht="15.75" hidden="1" customHeight="1">
      <c r="A2732" s="133" t="s">
        <v>7</v>
      </c>
      <c r="B2732" s="133" t="s">
        <v>452</v>
      </c>
      <c r="C2732" s="133" t="s">
        <v>2803</v>
      </c>
      <c r="D2732" s="133" t="s">
        <v>481</v>
      </c>
      <c r="E2732" s="158">
        <v>5</v>
      </c>
      <c r="F2732" s="158">
        <v>9</v>
      </c>
      <c r="G2732" s="158">
        <v>2</v>
      </c>
      <c r="H2732" s="133" t="s">
        <v>2804</v>
      </c>
      <c r="I2732" s="133" t="s">
        <v>1223</v>
      </c>
      <c r="J2732" s="158">
        <v>0</v>
      </c>
      <c r="K2732" s="159" t="str">
        <f ca="1">IFERROR(__xludf.DUMMYFUNCTION("GOOGLETRANSLATE(H2732,""th"",""en"")"),"Product discounts (including tax)")</f>
        <v>Product discounts (including tax)</v>
      </c>
    </row>
    <row r="2733" spans="1:11" ht="15.75" hidden="1" customHeight="1">
      <c r="A2733" s="133" t="s">
        <v>7</v>
      </c>
      <c r="B2733" s="133" t="s">
        <v>452</v>
      </c>
      <c r="C2733" s="133" t="s">
        <v>2805</v>
      </c>
      <c r="D2733" s="133" t="s">
        <v>481</v>
      </c>
      <c r="E2733" s="158">
        <v>5</v>
      </c>
      <c r="F2733" s="158">
        <v>9</v>
      </c>
      <c r="G2733" s="158">
        <v>2</v>
      </c>
      <c r="H2733" s="133" t="s">
        <v>2806</v>
      </c>
      <c r="I2733" s="133" t="s">
        <v>1223</v>
      </c>
      <c r="J2733" s="158">
        <v>0</v>
      </c>
      <c r="K2733" s="159" t="str">
        <f ca="1">IFERROR(__xludf.DUMMYFUNCTION("GOOGLETRANSLATE(H2733,""th"",""en"")"),"Product discounts (excluding taxes)")</f>
        <v>Product discounts (excluding taxes)</v>
      </c>
    </row>
    <row r="2734" spans="1:11" ht="15.75" hidden="1" customHeight="1">
      <c r="A2734" s="133" t="s">
        <v>7</v>
      </c>
      <c r="B2734" s="133" t="s">
        <v>452</v>
      </c>
      <c r="C2734" s="133" t="s">
        <v>1914</v>
      </c>
      <c r="D2734" s="133" t="s">
        <v>481</v>
      </c>
      <c r="E2734" s="158">
        <v>5</v>
      </c>
      <c r="F2734" s="158">
        <v>9</v>
      </c>
      <c r="G2734" s="158">
        <v>2</v>
      </c>
      <c r="H2734" s="133" t="s">
        <v>2807</v>
      </c>
      <c r="I2734" s="133" t="s">
        <v>1223</v>
      </c>
      <c r="J2734" s="158">
        <v>0</v>
      </c>
      <c r="K2734" s="159" t="str">
        <f ca="1">IFERROR(__xludf.DUMMYFUNCTION("GOOGLETRANSLATE(H2734,""th"",""en"")"),"Tax value (baht)")</f>
        <v>Tax value (baht)</v>
      </c>
    </row>
    <row r="2735" spans="1:11" ht="15.75" hidden="1" customHeight="1">
      <c r="A2735" s="133" t="s">
        <v>7</v>
      </c>
      <c r="B2735" s="133" t="s">
        <v>452</v>
      </c>
      <c r="C2735" s="133" t="s">
        <v>2808</v>
      </c>
      <c r="D2735" s="133" t="s">
        <v>481</v>
      </c>
      <c r="E2735" s="158">
        <v>5</v>
      </c>
      <c r="F2735" s="158">
        <v>9</v>
      </c>
      <c r="G2735" s="158">
        <v>2</v>
      </c>
      <c r="H2735" s="133" t="s">
        <v>2809</v>
      </c>
      <c r="I2735" s="133" t="s">
        <v>1223</v>
      </c>
      <c r="J2735" s="158">
        <v>0</v>
      </c>
      <c r="K2735" s="159" t="str">
        <f ca="1">IFERROR(__xludf.DUMMYFUNCTION("GOOGLETRANSLATE(H2735,""th"",""en"")"),"Net product price (After deduction) x Order amount")</f>
        <v>Net product price (After deduction) x Order amount</v>
      </c>
    </row>
    <row r="2736" spans="1:11" ht="15.75" hidden="1" customHeight="1">
      <c r="A2736" s="133" t="s">
        <v>7</v>
      </c>
      <c r="B2736" s="133" t="s">
        <v>452</v>
      </c>
      <c r="C2736" s="133" t="s">
        <v>1831</v>
      </c>
      <c r="D2736" s="133" t="s">
        <v>481</v>
      </c>
      <c r="E2736" s="158">
        <v>5</v>
      </c>
      <c r="F2736" s="158">
        <v>9</v>
      </c>
      <c r="G2736" s="158">
        <v>2</v>
      </c>
      <c r="H2736" s="133" t="s">
        <v>2810</v>
      </c>
      <c r="I2736" s="133" t="s">
        <v>1223</v>
      </c>
      <c r="J2736" s="158">
        <v>0</v>
      </c>
      <c r="K2736" s="159" t="str">
        <f ca="1">IFERROR(__xludf.DUMMYFUNCTION("GOOGLETRANSLATE(H2736,""th"",""en"")"),"Special shipping by item per SKU product")</f>
        <v>Special shipping by item per SKU product</v>
      </c>
    </row>
    <row r="2737" spans="1:11" ht="15.75" hidden="1" customHeight="1">
      <c r="A2737" s="133" t="s">
        <v>7</v>
      </c>
      <c r="B2737" s="133" t="s">
        <v>452</v>
      </c>
      <c r="C2737" s="133" t="s">
        <v>2811</v>
      </c>
      <c r="D2737" s="133" t="s">
        <v>481</v>
      </c>
      <c r="E2737" s="158">
        <v>5</v>
      </c>
      <c r="F2737" s="158">
        <v>9</v>
      </c>
      <c r="G2737" s="158">
        <v>2</v>
      </c>
      <c r="H2737" s="133" t="s">
        <v>2812</v>
      </c>
      <c r="I2737" s="133" t="s">
        <v>1223</v>
      </c>
      <c r="J2737" s="158">
        <v>0</v>
      </c>
      <c r="K2737" s="159" t="str">
        <f ca="1">IFERROR(__xludf.DUMMYFUNCTION("GOOGLETRANSLATE(H2737,""th"",""en"")"),"Special shipping by item per SKU product before editing")</f>
        <v>Special shipping by item per SKU product before editing</v>
      </c>
    </row>
    <row r="2738" spans="1:11" ht="15.75" hidden="1" customHeight="1">
      <c r="A2738" s="133" t="s">
        <v>7</v>
      </c>
      <c r="B2738" s="133" t="s">
        <v>452</v>
      </c>
      <c r="C2738" s="133" t="s">
        <v>2813</v>
      </c>
      <c r="D2738" s="133" t="s">
        <v>481</v>
      </c>
      <c r="E2738" s="158">
        <v>5</v>
      </c>
      <c r="F2738" s="158">
        <v>9</v>
      </c>
      <c r="G2738" s="158">
        <v>2</v>
      </c>
      <c r="H2738" s="133" t="s">
        <v>2814</v>
      </c>
      <c r="I2738" s="133" t="s">
        <v>1223</v>
      </c>
      <c r="J2738" s="158">
        <v>0</v>
      </c>
      <c r="K2738" s="159" t="str">
        <f ca="1">IFERROR(__xludf.DUMMYFUNCTION("GOOGLETRANSLATE(H2738,""th"",""en"")"),"Cost of product (Before requesting approval)")</f>
        <v>Cost of product (Before requesting approval)</v>
      </c>
    </row>
    <row r="2739" spans="1:11" ht="15.75" hidden="1" customHeight="1">
      <c r="A2739" s="133" t="s">
        <v>7</v>
      </c>
      <c r="B2739" s="133" t="s">
        <v>452</v>
      </c>
      <c r="C2739" s="133" t="s">
        <v>2815</v>
      </c>
      <c r="D2739" s="133" t="s">
        <v>481</v>
      </c>
      <c r="E2739" s="158">
        <v>5</v>
      </c>
      <c r="F2739" s="158">
        <v>9</v>
      </c>
      <c r="G2739" s="158">
        <v>2</v>
      </c>
      <c r="H2739" s="133" t="s">
        <v>2816</v>
      </c>
      <c r="I2739" s="133" t="s">
        <v>1223</v>
      </c>
      <c r="J2739" s="158">
        <v>0</v>
      </c>
      <c r="K2739" s="159" t="str">
        <f ca="1">IFERROR(__xludf.DUMMYFUNCTION("GOOGLETRANSLATE(H2739,""th"",""en"")"),"Cost of product (After requesting approval)")</f>
        <v>Cost of product (After requesting approval)</v>
      </c>
    </row>
    <row r="2740" spans="1:11" ht="15.75" hidden="1" customHeight="1">
      <c r="A2740" s="133" t="s">
        <v>7</v>
      </c>
      <c r="B2740" s="133" t="s">
        <v>452</v>
      </c>
      <c r="C2740" s="133" t="s">
        <v>2817</v>
      </c>
      <c r="D2740" s="133" t="s">
        <v>481</v>
      </c>
      <c r="E2740" s="158">
        <v>5</v>
      </c>
      <c r="F2740" s="158">
        <v>9</v>
      </c>
      <c r="G2740" s="158">
        <v>2</v>
      </c>
      <c r="H2740" s="133" t="s">
        <v>2818</v>
      </c>
      <c r="I2740" s="133" t="s">
        <v>1223</v>
      </c>
      <c r="J2740" s="158">
        <v>0</v>
      </c>
      <c r="K2740" s="159" t="str">
        <f ca="1">IFERROR(__xludf.DUMMYFUNCTION("GOOGLETRANSLATE(H2740,""th"",""en"")"),"Product discounts (including tax) before editing")</f>
        <v>Product discounts (including tax) before editing</v>
      </c>
    </row>
    <row r="2741" spans="1:11" ht="15.75" hidden="1" customHeight="1">
      <c r="A2741" s="133" t="s">
        <v>7</v>
      </c>
      <c r="B2741" s="133" t="s">
        <v>452</v>
      </c>
      <c r="C2741" s="133" t="s">
        <v>2819</v>
      </c>
      <c r="D2741" s="133" t="s">
        <v>481</v>
      </c>
      <c r="E2741" s="158">
        <v>5</v>
      </c>
      <c r="F2741" s="158">
        <v>9</v>
      </c>
      <c r="G2741" s="158">
        <v>2</v>
      </c>
      <c r="H2741" s="133" t="s">
        <v>2820</v>
      </c>
      <c r="I2741" s="133" t="s">
        <v>1223</v>
      </c>
      <c r="J2741" s="158">
        <v>0</v>
      </c>
      <c r="K2741" s="159" t="str">
        <f ca="1">IFERROR(__xludf.DUMMYFUNCTION("GOOGLETRANSLATE(H2741,""th"",""en"")"),"Product discounts (before taxes) before editing")</f>
        <v>Product discounts (before taxes) before editing</v>
      </c>
    </row>
    <row r="2742" spans="1:11" ht="15.75" hidden="1" customHeight="1">
      <c r="A2742" s="133" t="s">
        <v>7</v>
      </c>
      <c r="B2742" s="133" t="s">
        <v>452</v>
      </c>
      <c r="C2742" s="133" t="s">
        <v>2821</v>
      </c>
      <c r="D2742" s="133" t="s">
        <v>481</v>
      </c>
      <c r="E2742" s="158">
        <v>5</v>
      </c>
      <c r="F2742" s="158">
        <v>9</v>
      </c>
      <c r="G2742" s="158">
        <v>2</v>
      </c>
      <c r="H2742" s="133" t="s">
        <v>2822</v>
      </c>
      <c r="I2742" s="133" t="s">
        <v>1223</v>
      </c>
      <c r="J2742" s="158">
        <v>0</v>
      </c>
      <c r="K2742" s="159" t="str">
        <f ca="1">IFERROR(__xludf.DUMMYFUNCTION("GOOGLETRANSLATE(H2742,""th"",""en"")"),"Discounts that are Voucher By Item")</f>
        <v>Discounts that are Voucher By Item</v>
      </c>
    </row>
    <row r="2743" spans="1:11" ht="15.75" hidden="1" customHeight="1">
      <c r="A2743" s="133" t="s">
        <v>7</v>
      </c>
      <c r="B2743" s="133" t="s">
        <v>452</v>
      </c>
      <c r="C2743" s="133" t="s">
        <v>2823</v>
      </c>
      <c r="D2743" s="133" t="s">
        <v>481</v>
      </c>
      <c r="E2743" s="158">
        <v>5</v>
      </c>
      <c r="F2743" s="158">
        <v>9</v>
      </c>
      <c r="G2743" s="158">
        <v>2</v>
      </c>
      <c r="H2743" s="133" t="s">
        <v>2824</v>
      </c>
      <c r="I2743" s="133" t="s">
        <v>1223</v>
      </c>
      <c r="J2743" s="158">
        <v>0</v>
      </c>
      <c r="K2743" s="159" t="str">
        <f ca="1">IFERROR(__xludf.DUMMYFUNCTION("GOOGLETRANSLATE(H2743,""th"",""en"")"),"Coupon discount (Baht) of this product list (including tax)")</f>
        <v>Coupon discount (Baht) of this product list (including tax)</v>
      </c>
    </row>
    <row r="2744" spans="1:11" ht="15.75" hidden="1" customHeight="1">
      <c r="A2744" s="133" t="s">
        <v>7</v>
      </c>
      <c r="B2744" s="133" t="s">
        <v>452</v>
      </c>
      <c r="C2744" s="133" t="s">
        <v>2825</v>
      </c>
      <c r="D2744" s="133" t="s">
        <v>481</v>
      </c>
      <c r="E2744" s="158">
        <v>5</v>
      </c>
      <c r="F2744" s="158">
        <v>9</v>
      </c>
      <c r="G2744" s="158">
        <v>2</v>
      </c>
      <c r="H2744" s="133" t="s">
        <v>2826</v>
      </c>
      <c r="I2744" s="133" t="s">
        <v>1223</v>
      </c>
      <c r="J2744" s="158">
        <v>0</v>
      </c>
      <c r="K2744" s="159" t="str">
        <f ca="1">IFERROR(__xludf.DUMMYFUNCTION("GOOGLETRANSLATE(H2744,""th"",""en"")"),"Coupon discount (Baht) of this product list (excluding tax)")</f>
        <v>Coupon discount (Baht) of this product list (excluding tax)</v>
      </c>
    </row>
    <row r="2745" spans="1:11" ht="15.75" hidden="1" customHeight="1">
      <c r="A2745" s="133" t="s">
        <v>7</v>
      </c>
      <c r="B2745" s="133" t="s">
        <v>452</v>
      </c>
      <c r="C2745" s="133" t="s">
        <v>2827</v>
      </c>
      <c r="D2745" s="133" t="s">
        <v>481</v>
      </c>
      <c r="E2745" s="158">
        <v>5</v>
      </c>
      <c r="F2745" s="158">
        <v>9</v>
      </c>
      <c r="G2745" s="158">
        <v>2</v>
      </c>
      <c r="H2745" s="133" t="s">
        <v>2828</v>
      </c>
      <c r="I2745" s="133" t="s">
        <v>1223</v>
      </c>
      <c r="J2745" s="158">
        <v>0</v>
      </c>
      <c r="K2745" s="159" t="str">
        <f ca="1">IFERROR(__xludf.DUMMYFUNCTION("GOOGLETRANSLATE(H2745,""th"",""en"")"),"Discount coupons per transaction (including tax)")</f>
        <v>Discount coupons per transaction (including tax)</v>
      </c>
    </row>
    <row r="2746" spans="1:11" ht="15.75" hidden="1" customHeight="1">
      <c r="A2746" s="133" t="s">
        <v>7</v>
      </c>
      <c r="B2746" s="133" t="s">
        <v>452</v>
      </c>
      <c r="C2746" s="133" t="s">
        <v>2829</v>
      </c>
      <c r="D2746" s="133" t="s">
        <v>481</v>
      </c>
      <c r="E2746" s="158">
        <v>5</v>
      </c>
      <c r="F2746" s="158">
        <v>9</v>
      </c>
      <c r="G2746" s="158">
        <v>2</v>
      </c>
      <c r="H2746" s="133" t="s">
        <v>2830</v>
      </c>
      <c r="I2746" s="133" t="s">
        <v>1223</v>
      </c>
      <c r="J2746" s="158">
        <v>0</v>
      </c>
      <c r="K2746" s="159" t="str">
        <f ca="1">IFERROR(__xludf.DUMMYFUNCTION("GOOGLETRANSLATE(H2746,""th"",""en"")"),"Discount coupons per item (excluding tax)")</f>
        <v>Discount coupons per item (excluding tax)</v>
      </c>
    </row>
    <row r="2747" spans="1:11" ht="15.75" hidden="1" customHeight="1">
      <c r="A2747" s="133" t="s">
        <v>7</v>
      </c>
      <c r="B2747" s="133" t="s">
        <v>452</v>
      </c>
      <c r="C2747" s="133" t="s">
        <v>2831</v>
      </c>
      <c r="D2747" s="133" t="s">
        <v>481</v>
      </c>
      <c r="E2747" s="158">
        <v>5</v>
      </c>
      <c r="F2747" s="158">
        <v>9</v>
      </c>
      <c r="G2747" s="158">
        <v>2</v>
      </c>
      <c r="H2747" s="133" t="s">
        <v>2832</v>
      </c>
      <c r="I2747" s="133" t="s">
        <v>1223</v>
      </c>
      <c r="J2747" s="158">
        <v>0</v>
      </c>
      <c r="K2747" s="159" t="str">
        <f ca="1">IFERROR(__xludf.DUMMYFUNCTION("GOOGLETRANSLATE(H2747,""th"",""en"")"),"Discount promotions per transaction (including tax)")</f>
        <v>Discount promotions per transaction (including tax)</v>
      </c>
    </row>
    <row r="2748" spans="1:11" ht="15.75" hidden="1" customHeight="1">
      <c r="A2748" s="133" t="s">
        <v>7</v>
      </c>
      <c r="B2748" s="133" t="s">
        <v>452</v>
      </c>
      <c r="C2748" s="133" t="s">
        <v>2833</v>
      </c>
      <c r="D2748" s="133" t="s">
        <v>481</v>
      </c>
      <c r="E2748" s="158">
        <v>5</v>
      </c>
      <c r="F2748" s="158">
        <v>9</v>
      </c>
      <c r="G2748" s="158">
        <v>2</v>
      </c>
      <c r="H2748" s="133" t="s">
        <v>2834</v>
      </c>
      <c r="I2748" s="133" t="s">
        <v>1223</v>
      </c>
      <c r="J2748" s="158">
        <v>0</v>
      </c>
      <c r="K2748" s="159" t="str">
        <f ca="1">IFERROR(__xludf.DUMMYFUNCTION("GOOGLETRANSLATE(H2748,""th"",""en"")"),"Discount promotions per item (excluding tax)")</f>
        <v>Discount promotions per item (excluding tax)</v>
      </c>
    </row>
    <row r="2749" spans="1:11" ht="15.75" hidden="1" customHeight="1">
      <c r="A2749" s="133" t="s">
        <v>7</v>
      </c>
      <c r="B2749" s="133" t="s">
        <v>452</v>
      </c>
      <c r="C2749" s="133" t="s">
        <v>2835</v>
      </c>
      <c r="D2749" s="133" t="s">
        <v>481</v>
      </c>
      <c r="E2749" s="158">
        <v>5</v>
      </c>
      <c r="F2749" s="158">
        <v>9</v>
      </c>
      <c r="G2749" s="158">
        <v>2</v>
      </c>
      <c r="H2749" s="133" t="s">
        <v>2836</v>
      </c>
      <c r="I2749" s="133" t="s">
        <v>1223</v>
      </c>
      <c r="J2749" s="158">
        <v>0</v>
      </c>
      <c r="K2749" s="159" t="str">
        <f ca="1">IFERROR(__xludf.DUMMYFUNCTION("GOOGLETRANSLATE(H2749,""th"",""en"")"),"Discount promotions From the payment type Participating per entry (including tax)")</f>
        <v>Discount promotions From the payment type Participating per entry (including tax)</v>
      </c>
    </row>
    <row r="2750" spans="1:11" ht="15.75" hidden="1" customHeight="1">
      <c r="A2750" s="133" t="s">
        <v>7</v>
      </c>
      <c r="B2750" s="133" t="s">
        <v>452</v>
      </c>
      <c r="C2750" s="133" t="s">
        <v>2837</v>
      </c>
      <c r="D2750" s="133" t="s">
        <v>481</v>
      </c>
      <c r="E2750" s="158">
        <v>5</v>
      </c>
      <c r="F2750" s="158">
        <v>9</v>
      </c>
      <c r="G2750" s="158">
        <v>2</v>
      </c>
      <c r="H2750" s="133" t="s">
        <v>2838</v>
      </c>
      <c r="I2750" s="133" t="s">
        <v>1223</v>
      </c>
      <c r="J2750" s="158">
        <v>0</v>
      </c>
      <c r="K2750" s="159" t="str">
        <f ca="1">IFERROR(__xludf.DUMMYFUNCTION("GOOGLETRANSLATE(H2750,""th"",""en"")"),"Discount promotions From the payment type per item (excluding tax)")</f>
        <v>Discount promotions From the payment type per item (excluding tax)</v>
      </c>
    </row>
    <row r="2751" spans="1:11" ht="15.75" hidden="1" customHeight="1">
      <c r="A2751" s="133" t="s">
        <v>7</v>
      </c>
      <c r="B2751" s="133" t="s">
        <v>452</v>
      </c>
      <c r="C2751" s="133" t="s">
        <v>2839</v>
      </c>
      <c r="D2751" s="133" t="s">
        <v>484</v>
      </c>
      <c r="E2751" s="158">
        <v>4</v>
      </c>
      <c r="F2751" s="158">
        <v>10</v>
      </c>
      <c r="G2751" s="158">
        <v>0</v>
      </c>
      <c r="H2751" s="133" t="s">
        <v>2840</v>
      </c>
      <c r="I2751" s="133" t="s">
        <v>615</v>
      </c>
      <c r="J2751" s="158">
        <v>0</v>
      </c>
      <c r="K2751" s="159" t="str">
        <f ca="1">IFERROR(__xludf.DUMMYFUNCTION("GOOGLETRANSLATE(H2751,""th"",""en"")"),"Number of orders required")</f>
        <v>Number of orders required</v>
      </c>
    </row>
    <row r="2752" spans="1:11" ht="15.75" hidden="1" customHeight="1">
      <c r="A2752" s="133" t="s">
        <v>7</v>
      </c>
      <c r="B2752" s="133" t="s">
        <v>452</v>
      </c>
      <c r="C2752" s="133" t="s">
        <v>2841</v>
      </c>
      <c r="D2752" s="133" t="s">
        <v>484</v>
      </c>
      <c r="E2752" s="158">
        <v>4</v>
      </c>
      <c r="F2752" s="158">
        <v>10</v>
      </c>
      <c r="G2752" s="158">
        <v>0</v>
      </c>
      <c r="H2752" s="133" t="s">
        <v>2842</v>
      </c>
      <c r="I2752" s="133" t="s">
        <v>615</v>
      </c>
      <c r="J2752" s="158">
        <v>0</v>
      </c>
      <c r="K2752" s="159" t="str">
        <f ca="1">IFERROR(__xludf.DUMMYFUNCTION("GOOGLETRANSLATE(H2752,""th"",""en"")"),"Number of stock of products")</f>
        <v>Number of stock of products</v>
      </c>
    </row>
    <row r="2753" spans="1:11" ht="15.75" hidden="1" customHeight="1">
      <c r="A2753" s="133" t="s">
        <v>7</v>
      </c>
      <c r="B2753" s="133" t="s">
        <v>452</v>
      </c>
      <c r="C2753" s="133" t="s">
        <v>2843</v>
      </c>
      <c r="D2753" s="133" t="s">
        <v>484</v>
      </c>
      <c r="E2753" s="158">
        <v>4</v>
      </c>
      <c r="F2753" s="158">
        <v>10</v>
      </c>
      <c r="G2753" s="158">
        <v>0</v>
      </c>
      <c r="H2753" s="133" t="s">
        <v>2844</v>
      </c>
      <c r="I2753" s="133" t="s">
        <v>615</v>
      </c>
      <c r="J2753" s="158">
        <v>0</v>
      </c>
      <c r="K2753" s="159" t="str">
        <f ca="1">IFERROR(__xludf.DUMMYFUNCTION("GOOGLETRANSLATE(H2753,""th"",""en"")"),"Number of products")</f>
        <v>Number of products</v>
      </c>
    </row>
    <row r="2754" spans="1:11" ht="15.75" hidden="1" customHeight="1">
      <c r="A2754" s="133" t="s">
        <v>7</v>
      </c>
      <c r="B2754" s="133" t="s">
        <v>452</v>
      </c>
      <c r="C2754" s="133" t="s">
        <v>2845</v>
      </c>
      <c r="D2754" s="133" t="s">
        <v>484</v>
      </c>
      <c r="E2754" s="158">
        <v>4</v>
      </c>
      <c r="F2754" s="158">
        <v>10</v>
      </c>
      <c r="G2754" s="158">
        <v>0</v>
      </c>
      <c r="H2754" s="133" t="s">
        <v>2846</v>
      </c>
      <c r="I2754" s="133" t="s">
        <v>615</v>
      </c>
      <c r="J2754" s="158">
        <v>0</v>
      </c>
      <c r="K2754" s="159" t="str">
        <f ca="1">IFERROR(__xludf.DUMMYFUNCTION("GOOGLETRANSLATE(H2754,""th"",""en"")"),"Number of ratio products x Product number")</f>
        <v>Number of ratio products x Product number</v>
      </c>
    </row>
    <row r="2755" spans="1:11" ht="15.75" hidden="1" customHeight="1">
      <c r="A2755" s="133" t="s">
        <v>7</v>
      </c>
      <c r="B2755" s="133" t="s">
        <v>452</v>
      </c>
      <c r="C2755" s="133" t="s">
        <v>2847</v>
      </c>
      <c r="D2755" s="133" t="s">
        <v>477</v>
      </c>
      <c r="E2755" s="158">
        <v>20</v>
      </c>
      <c r="F2755" s="158">
        <v>0</v>
      </c>
      <c r="G2755" s="158">
        <v>0</v>
      </c>
      <c r="H2755" s="133" t="s">
        <v>2848</v>
      </c>
      <c r="I2755" s="133" t="s">
        <v>548</v>
      </c>
      <c r="J2755" s="158">
        <v>0</v>
      </c>
      <c r="K2755" s="159" t="str">
        <f ca="1">IFERROR(__xludf.DUMMYFUNCTION("GOOGLETRANSLATE(H2755,""th"",""en"")"),"Unit &amp; Selling Price. Standard Unit Name")</f>
        <v>Unit &amp; Selling Price. Standard Unit Name</v>
      </c>
    </row>
    <row r="2756" spans="1:11" ht="15.75" hidden="1" customHeight="1">
      <c r="A2756" s="133" t="s">
        <v>7</v>
      </c>
      <c r="B2756" s="133" t="s">
        <v>452</v>
      </c>
      <c r="C2756" s="133" t="s">
        <v>2849</v>
      </c>
      <c r="D2756" s="133" t="s">
        <v>484</v>
      </c>
      <c r="E2756" s="158">
        <v>4</v>
      </c>
      <c r="F2756" s="158">
        <v>10</v>
      </c>
      <c r="G2756" s="158">
        <v>0</v>
      </c>
      <c r="H2756" s="133" t="s">
        <v>2850</v>
      </c>
      <c r="I2756" s="133" t="s">
        <v>548</v>
      </c>
      <c r="J2756" s="158">
        <v>0</v>
      </c>
      <c r="K2756" s="159" t="str">
        <f ca="1">IFERROR(__xludf.DUMMYFUNCTION("GOOGLETRANSLATE(H2756,""th"",""en"")"),"Product parts per sales unit")</f>
        <v>Product parts per sales unit</v>
      </c>
    </row>
    <row r="2757" spans="1:11" ht="15.75" hidden="1" customHeight="1">
      <c r="A2757" s="133" t="s">
        <v>7</v>
      </c>
      <c r="B2757" s="133" t="s">
        <v>452</v>
      </c>
      <c r="C2757" s="133" t="s">
        <v>2141</v>
      </c>
      <c r="D2757" s="133" t="s">
        <v>477</v>
      </c>
      <c r="E2757" s="158">
        <v>3</v>
      </c>
      <c r="F2757" s="158">
        <v>0</v>
      </c>
      <c r="G2757" s="158">
        <v>0</v>
      </c>
      <c r="H2757" s="133" t="s">
        <v>2853</v>
      </c>
      <c r="I2757" s="133" t="s">
        <v>548</v>
      </c>
      <c r="J2757" s="158">
        <v>0</v>
      </c>
      <c r="K2757" s="159" t="str">
        <f ca="1">IFERROR(__xludf.DUMMYFUNCTION("GOOGLETRANSLATE(H2757,""th"",""en"")"),"Product category")</f>
        <v>Product category</v>
      </c>
    </row>
    <row r="2758" spans="1:11" ht="15.75" hidden="1" customHeight="1">
      <c r="A2758" s="133" t="s">
        <v>7</v>
      </c>
      <c r="B2758" s="133" t="s">
        <v>452</v>
      </c>
      <c r="C2758" s="133" t="s">
        <v>1849</v>
      </c>
      <c r="D2758" s="133" t="s">
        <v>477</v>
      </c>
      <c r="E2758" s="158">
        <v>20</v>
      </c>
      <c r="F2758" s="158">
        <v>0</v>
      </c>
      <c r="G2758" s="158">
        <v>0</v>
      </c>
      <c r="H2758" s="133" t="s">
        <v>2851</v>
      </c>
      <c r="I2758" s="133" t="s">
        <v>548</v>
      </c>
      <c r="J2758" s="158">
        <v>0</v>
      </c>
      <c r="K2758" s="159" t="str">
        <f ca="1">IFERROR(__xludf.DUMMYFUNCTION("GOOGLETRANSLATE(H2758,""th"",""en"")"),"Product group type (Computer, Furniture, Office Automation, ...")</f>
        <v>Product group type (Computer, Furniture, Office Automation, ...</v>
      </c>
    </row>
    <row r="2759" spans="1:11" ht="15.75" hidden="1" customHeight="1">
      <c r="A2759" s="133" t="s">
        <v>7</v>
      </c>
      <c r="B2759" s="133" t="s">
        <v>452</v>
      </c>
      <c r="C2759" s="133" t="s">
        <v>1835</v>
      </c>
      <c r="D2759" s="133" t="s">
        <v>477</v>
      </c>
      <c r="E2759" s="158">
        <v>10</v>
      </c>
      <c r="F2759" s="158">
        <v>0</v>
      </c>
      <c r="G2759" s="158">
        <v>0</v>
      </c>
      <c r="H2759" s="133" t="s">
        <v>2852</v>
      </c>
      <c r="I2759" s="133" t="s">
        <v>548</v>
      </c>
      <c r="J2759" s="158">
        <v>0</v>
      </c>
      <c r="K2759" s="159" t="str">
        <f ca="1">IFERROR(__xludf.DUMMYFUNCTION("GOOGLETRANSLATE(H2759,""th"",""en"")"),"Product status")</f>
        <v>Product status</v>
      </c>
    </row>
    <row r="2760" spans="1:11" ht="15.75" hidden="1" customHeight="1">
      <c r="A2760" s="133" t="s">
        <v>7</v>
      </c>
      <c r="B2760" s="133" t="s">
        <v>452</v>
      </c>
      <c r="C2760" s="133" t="s">
        <v>2854</v>
      </c>
      <c r="D2760" s="133" t="s">
        <v>477</v>
      </c>
      <c r="E2760" s="158">
        <v>2</v>
      </c>
      <c r="F2760" s="158">
        <v>0</v>
      </c>
      <c r="G2760" s="158">
        <v>0</v>
      </c>
      <c r="H2760" s="133" t="s">
        <v>2855</v>
      </c>
      <c r="I2760" s="133" t="s">
        <v>548</v>
      </c>
      <c r="J2760" s="158">
        <v>0</v>
      </c>
      <c r="K2760" s="159" t="str">
        <f ca="1">IFERROR(__xludf.DUMMYFUNCTION("GOOGLETRANSLATE(H2760,""th"",""en"")"),"Product category code")</f>
        <v>Product category code</v>
      </c>
    </row>
    <row r="2761" spans="1:11" ht="15.75" hidden="1" customHeight="1">
      <c r="A2761" s="133" t="s">
        <v>7</v>
      </c>
      <c r="B2761" s="133" t="s">
        <v>452</v>
      </c>
      <c r="C2761" s="133" t="s">
        <v>2856</v>
      </c>
      <c r="D2761" s="133" t="s">
        <v>477</v>
      </c>
      <c r="E2761" s="158">
        <v>30</v>
      </c>
      <c r="F2761" s="158">
        <v>0</v>
      </c>
      <c r="G2761" s="158">
        <v>0</v>
      </c>
      <c r="H2761" s="133" t="s">
        <v>2857</v>
      </c>
      <c r="I2761" s="133" t="s">
        <v>548</v>
      </c>
      <c r="J2761" s="158">
        <v>0</v>
      </c>
      <c r="K2761" s="159" t="str">
        <f ca="1">IFERROR(__xludf.DUMMYFUNCTION("GOOGLETRANSLATE(H2761,""th"",""en"")"),"Product code")</f>
        <v>Product code</v>
      </c>
    </row>
    <row r="2762" spans="1:11" ht="15.75" hidden="1" customHeight="1">
      <c r="A2762" s="133" t="s">
        <v>7</v>
      </c>
      <c r="B2762" s="133" t="s">
        <v>452</v>
      </c>
      <c r="C2762" s="133" t="s">
        <v>2858</v>
      </c>
      <c r="D2762" s="133" t="s">
        <v>477</v>
      </c>
      <c r="E2762" s="158">
        <v>3</v>
      </c>
      <c r="F2762" s="158">
        <v>0</v>
      </c>
      <c r="G2762" s="158">
        <v>0</v>
      </c>
      <c r="H2762" s="133" t="s">
        <v>2859</v>
      </c>
      <c r="I2762" s="133" t="s">
        <v>548</v>
      </c>
      <c r="J2762" s="158">
        <v>0</v>
      </c>
      <c r="K2762" s="159" t="str">
        <f ca="1">IFERROR(__xludf.DUMMYFUNCTION("GOOGLETRANSLATE(H2762,""th"",""en"")"),"Sub_cls of OD products")</f>
        <v>Sub_cls of OD products</v>
      </c>
    </row>
    <row r="2763" spans="1:11" ht="15.75" hidden="1" customHeight="1">
      <c r="A2763" s="133" t="s">
        <v>7</v>
      </c>
      <c r="B2763" s="133" t="s">
        <v>452</v>
      </c>
      <c r="C2763" s="133" t="s">
        <v>2860</v>
      </c>
      <c r="D2763" s="133" t="s">
        <v>477</v>
      </c>
      <c r="E2763" s="158">
        <v>20</v>
      </c>
      <c r="F2763" s="158">
        <v>0</v>
      </c>
      <c r="G2763" s="158">
        <v>0</v>
      </c>
      <c r="H2763" s="133" t="s">
        <v>2861</v>
      </c>
      <c r="I2763" s="133" t="s">
        <v>548</v>
      </c>
      <c r="J2763" s="158">
        <v>0</v>
      </c>
      <c r="K2763" s="159" t="str">
        <f ca="1">IFERROR(__xludf.DUMMYFUNCTION("GOOGLETRANSLATE(H2763,""th"",""en"")"),"The type of order that comes with the Store (None: Not specified type (for sale) *** Normal: Normal products for sale, VendorStock: Normal products can be sold. Store in the Store Vendor, Customer: Normal product. The product is in the customer store. Cle"&amp;"arance: Normal products, sales, discount, MKP: Normal products for sale. ProductPlace Premium products: Special order products Printing: Raw material for printing Crosssale: Good products for sale (only for sale))")</f>
        <v>The type of order that comes with the Store (None: Not specified type (for sale) *** Normal: Normal products for sale, VendorStock: Normal products can be sold. Store in the Store Vendor, Customer: Normal product. The product is in the customer store. Clearance: Normal products, sales, discount, MKP: Normal products for sale. ProductPlace Premium products: Special order products Printing: Raw material for printing Crosssale: Good products for sale (only for sale))</v>
      </c>
    </row>
    <row r="2764" spans="1:11" ht="15.75" hidden="1" customHeight="1">
      <c r="A2764" s="133" t="s">
        <v>7</v>
      </c>
      <c r="B2764" s="133" t="s">
        <v>452</v>
      </c>
      <c r="C2764" s="133" t="s">
        <v>2862</v>
      </c>
      <c r="D2764" s="133" t="s">
        <v>477</v>
      </c>
      <c r="E2764" s="158">
        <v>20</v>
      </c>
      <c r="F2764" s="158">
        <v>0</v>
      </c>
      <c r="G2764" s="158">
        <v>0</v>
      </c>
      <c r="H2764" s="133" t="s">
        <v>2863</v>
      </c>
      <c r="I2764" s="133" t="s">
        <v>548</v>
      </c>
      <c r="J2764" s="158">
        <v>0</v>
      </c>
      <c r="K2764" s="159" t="str">
        <f ca="1">IFERROR(__xludf.DUMMYFUNCTION("GOOGLETRANSLATE(H2764,""th"",""en"")"),"Lot, Vendor, PickupSpecial, Special")</f>
        <v>Lot, Vendor, PickupSpecial, Special</v>
      </c>
    </row>
    <row r="2765" spans="1:11" ht="15.75" hidden="1" customHeight="1">
      <c r="A2765" s="133" t="s">
        <v>7</v>
      </c>
      <c r="B2765" s="133" t="s">
        <v>452</v>
      </c>
      <c r="C2765" s="133" t="s">
        <v>2771</v>
      </c>
      <c r="D2765" s="133" t="s">
        <v>477</v>
      </c>
      <c r="E2765" s="158">
        <v>20</v>
      </c>
      <c r="F2765" s="158">
        <v>0</v>
      </c>
      <c r="G2765" s="158">
        <v>0</v>
      </c>
      <c r="H2765" s="133" t="s">
        <v>1264</v>
      </c>
      <c r="I2765" s="133" t="s">
        <v>548</v>
      </c>
      <c r="J2765" s="158">
        <v>0</v>
      </c>
      <c r="K2765" s="159" t="str">
        <f ca="1">IFERROR(__xludf.DUMMYFUNCTION("GOOGLETRANSLATE(H2765,""th"",""en"")"),"Warehouse code")</f>
        <v>Warehouse code</v>
      </c>
    </row>
    <row r="2766" spans="1:11" ht="15.75" hidden="1" customHeight="1">
      <c r="A2766" s="133" t="s">
        <v>7</v>
      </c>
      <c r="B2766" s="133" t="s">
        <v>452</v>
      </c>
      <c r="C2766" s="133" t="s">
        <v>2772</v>
      </c>
      <c r="D2766" s="133" t="s">
        <v>477</v>
      </c>
      <c r="E2766" s="158">
        <v>100</v>
      </c>
      <c r="F2766" s="158">
        <v>0</v>
      </c>
      <c r="G2766" s="158">
        <v>0</v>
      </c>
      <c r="H2766" s="133" t="s">
        <v>2864</v>
      </c>
      <c r="I2766" s="133" t="s">
        <v>548</v>
      </c>
      <c r="J2766" s="158">
        <v>0</v>
      </c>
      <c r="K2766" s="159" t="str">
        <f ca="1">IFERROR(__xludf.DUMMYFUNCTION("GOOGLETRANSLATE(H2766,""th"",""en"")"),"Warehouse name")</f>
        <v>Warehouse name</v>
      </c>
    </row>
    <row r="2767" spans="1:11" ht="15.75" hidden="1" customHeight="1">
      <c r="A2767" s="133" t="s">
        <v>7</v>
      </c>
      <c r="B2767" s="133" t="s">
        <v>452</v>
      </c>
      <c r="C2767" s="133" t="s">
        <v>2773</v>
      </c>
      <c r="D2767" s="133" t="s">
        <v>477</v>
      </c>
      <c r="E2767" s="158">
        <v>20</v>
      </c>
      <c r="F2767" s="158">
        <v>0</v>
      </c>
      <c r="G2767" s="158">
        <v>0</v>
      </c>
      <c r="H2767" s="133" t="s">
        <v>2865</v>
      </c>
      <c r="I2767" s="133" t="s">
        <v>548</v>
      </c>
      <c r="J2767" s="158">
        <v>0</v>
      </c>
      <c r="K2767" s="159" t="str">
        <f ca="1">IFERROR(__xludf.DUMMYFUNCTION("GOOGLETRANSLATE(H2767,""th"",""en"")"),"Sub-warehouse code")</f>
        <v>Sub-warehouse code</v>
      </c>
    </row>
    <row r="2768" spans="1:11" ht="15.75" hidden="1" customHeight="1">
      <c r="A2768" s="133" t="s">
        <v>7</v>
      </c>
      <c r="B2768" s="133" t="s">
        <v>452</v>
      </c>
      <c r="C2768" s="133" t="s">
        <v>2774</v>
      </c>
      <c r="D2768" s="133" t="s">
        <v>477</v>
      </c>
      <c r="E2768" s="158">
        <v>100</v>
      </c>
      <c r="F2768" s="158">
        <v>0</v>
      </c>
      <c r="G2768" s="158">
        <v>0</v>
      </c>
      <c r="H2768" s="133" t="s">
        <v>2866</v>
      </c>
      <c r="I2768" s="133" t="s">
        <v>548</v>
      </c>
      <c r="J2768" s="158">
        <v>0</v>
      </c>
      <c r="K2768" s="159" t="str">
        <f ca="1">IFERROR(__xludf.DUMMYFUNCTION("GOOGLETRANSLATE(H2768,""th"",""en"")"),"Sub-warehouse name")</f>
        <v>Sub-warehouse name</v>
      </c>
    </row>
    <row r="2769" spans="1:14" ht="15.75" hidden="1" customHeight="1">
      <c r="A2769" s="133" t="s">
        <v>7</v>
      </c>
      <c r="B2769" s="133" t="s">
        <v>452</v>
      </c>
      <c r="C2769" s="133" t="s">
        <v>3469</v>
      </c>
      <c r="D2769" s="133" t="s">
        <v>477</v>
      </c>
      <c r="E2769" s="158">
        <v>20</v>
      </c>
      <c r="F2769" s="158">
        <v>0</v>
      </c>
      <c r="G2769" s="158">
        <v>0</v>
      </c>
      <c r="H2769" s="133" t="s">
        <v>2285</v>
      </c>
      <c r="I2769" s="133" t="s">
        <v>548</v>
      </c>
      <c r="J2769" s="158">
        <v>0</v>
      </c>
      <c r="K2769" s="159" t="str">
        <f ca="1">IFERROR(__xludf.DUMMYFUNCTION("GOOGLETRANSLATE(H2769,""th"",""en"")"),"Vendor code")</f>
        <v>Vendor code</v>
      </c>
    </row>
    <row r="2770" spans="1:14" ht="15.75" hidden="1" customHeight="1">
      <c r="A2770" s="133" t="s">
        <v>7</v>
      </c>
      <c r="B2770" s="133" t="s">
        <v>452</v>
      </c>
      <c r="C2770" s="133" t="s">
        <v>3016</v>
      </c>
      <c r="D2770" s="133" t="s">
        <v>481</v>
      </c>
      <c r="E2770" s="158">
        <v>5</v>
      </c>
      <c r="F2770" s="158">
        <v>9</v>
      </c>
      <c r="G2770" s="158">
        <v>2</v>
      </c>
      <c r="H2770" s="160"/>
      <c r="I2770" s="133" t="s">
        <v>615</v>
      </c>
      <c r="J2770" s="158">
        <v>0</v>
      </c>
      <c r="K2770" s="159" t="str">
        <f ca="1">IFERROR(__xludf.DUMMYFUNCTION("GOOGLETRANSLATE(H2770,""th"",""en"")"),"#VALUE!")</f>
        <v>#VALUE!</v>
      </c>
    </row>
    <row r="2771" spans="1:14" ht="15.75" hidden="1" customHeight="1">
      <c r="A2771" s="133" t="s">
        <v>7</v>
      </c>
      <c r="B2771" s="133" t="s">
        <v>452</v>
      </c>
      <c r="C2771" s="133" t="s">
        <v>3470</v>
      </c>
      <c r="D2771" s="133" t="s">
        <v>481</v>
      </c>
      <c r="E2771" s="158">
        <v>5</v>
      </c>
      <c r="F2771" s="158">
        <v>9</v>
      </c>
      <c r="G2771" s="158">
        <v>2</v>
      </c>
      <c r="H2771" s="160"/>
      <c r="I2771" s="133" t="s">
        <v>615</v>
      </c>
      <c r="J2771" s="158">
        <v>0</v>
      </c>
      <c r="K2771" s="159" t="str">
        <f ca="1">IFERROR(__xludf.DUMMYFUNCTION("GOOGLETRANSLATE(H2771,""th"",""en"")"),"#VALUE!")</f>
        <v>#VALUE!</v>
      </c>
    </row>
    <row r="2772" spans="1:14" ht="15.75" hidden="1" customHeight="1">
      <c r="A2772" s="133" t="s">
        <v>7</v>
      </c>
      <c r="B2772" s="133" t="s">
        <v>452</v>
      </c>
      <c r="C2772" s="133" t="s">
        <v>2871</v>
      </c>
      <c r="D2772" s="133" t="s">
        <v>481</v>
      </c>
      <c r="E2772" s="158">
        <v>5</v>
      </c>
      <c r="F2772" s="158">
        <v>9</v>
      </c>
      <c r="G2772" s="158">
        <v>2</v>
      </c>
      <c r="H2772" s="133" t="s">
        <v>2872</v>
      </c>
      <c r="I2772" s="133" t="s">
        <v>615</v>
      </c>
      <c r="J2772" s="158">
        <v>0</v>
      </c>
      <c r="K2772" s="159" t="str">
        <f ca="1">IFERROR(__xludf.DUMMYFUNCTION("GOOGLETRANSLATE(H2772,""th"",""en"")"),"Discounts from the Promotion Auto Discount (EXCVAT) (Byitem)")</f>
        <v>Discounts from the Promotion Auto Discount (EXCVAT) (Byitem)</v>
      </c>
    </row>
    <row r="2773" spans="1:14" ht="15.75" hidden="1" customHeight="1">
      <c r="A2773" s="133" t="s">
        <v>7</v>
      </c>
      <c r="B2773" s="133" t="s">
        <v>452</v>
      </c>
      <c r="C2773" s="133" t="s">
        <v>2873</v>
      </c>
      <c r="D2773" s="133" t="s">
        <v>481</v>
      </c>
      <c r="E2773" s="158">
        <v>5</v>
      </c>
      <c r="F2773" s="158">
        <v>9</v>
      </c>
      <c r="G2773" s="158">
        <v>2</v>
      </c>
      <c r="H2773" s="133" t="s">
        <v>2874</v>
      </c>
      <c r="I2773" s="133" t="s">
        <v>615</v>
      </c>
      <c r="J2773" s="158">
        <v>0</v>
      </c>
      <c r="K2773" s="159" t="str">
        <f ca="1">IFERROR(__xludf.DUMMYFUNCTION("GOOGLETRANSLATE(H2773,""th"",""en"")"),"Discounts from the Promotion Auto Discount (Incvat) (Byitem)")</f>
        <v>Discounts from the Promotion Auto Discount (Incvat) (Byitem)</v>
      </c>
    </row>
    <row r="2774" spans="1:14" ht="15.75" hidden="1" customHeight="1">
      <c r="A2774" s="133" t="s">
        <v>7</v>
      </c>
      <c r="B2774" s="133" t="s">
        <v>452</v>
      </c>
      <c r="C2774" s="133" t="s">
        <v>2171</v>
      </c>
      <c r="D2774" s="133" t="s">
        <v>484</v>
      </c>
      <c r="E2774" s="158">
        <v>4</v>
      </c>
      <c r="F2774" s="158">
        <v>10</v>
      </c>
      <c r="G2774" s="158">
        <v>0</v>
      </c>
      <c r="H2774" s="133" t="s">
        <v>3471</v>
      </c>
      <c r="I2774" s="133" t="s">
        <v>615</v>
      </c>
      <c r="J2774" s="158">
        <v>0</v>
      </c>
      <c r="K2774" s="159" t="str">
        <f ca="1">IFERROR(__xludf.DUMMYFUNCTION("GOOGLETRANSLATE(H2774,""th"",""en"")"),"Reserve_Sale_Channel")</f>
        <v>Reserve_Sale_Channel</v>
      </c>
    </row>
    <row r="2775" spans="1:14" ht="15.75" hidden="1" customHeight="1">
      <c r="A2775" s="133" t="s">
        <v>7</v>
      </c>
      <c r="B2775" s="133" t="s">
        <v>452</v>
      </c>
      <c r="C2775" s="133" t="s">
        <v>3472</v>
      </c>
      <c r="D2775" s="133" t="s">
        <v>481</v>
      </c>
      <c r="E2775" s="158">
        <v>5</v>
      </c>
      <c r="F2775" s="158">
        <v>9</v>
      </c>
      <c r="G2775" s="158">
        <v>2</v>
      </c>
      <c r="H2775" s="133" t="s">
        <v>3473</v>
      </c>
      <c r="I2775" s="133" t="s">
        <v>615</v>
      </c>
      <c r="J2775" s="158">
        <v>0</v>
      </c>
      <c r="K2775" s="159" t="str">
        <f ca="1">IFERROR(__xludf.DUMMYFUNCTION("GOOGLETRANSLATE(H2775,""th"",""en"")"),"Net product price (After deduction) x Order amount (To calculate the promotion of orders, men)")</f>
        <v>Net product price (After deduction) x Order amount (To calculate the promotion of orders, men)</v>
      </c>
    </row>
    <row r="2776" spans="1:14" ht="15.75" hidden="1" customHeight="1">
      <c r="A2776" s="133" t="s">
        <v>7</v>
      </c>
      <c r="B2776" s="133" t="s">
        <v>452</v>
      </c>
      <c r="C2776" s="133" t="s">
        <v>3474</v>
      </c>
      <c r="D2776" s="133" t="s">
        <v>481</v>
      </c>
      <c r="E2776" s="158">
        <v>5</v>
      </c>
      <c r="F2776" s="158">
        <v>9</v>
      </c>
      <c r="G2776" s="158">
        <v>2</v>
      </c>
      <c r="H2776" s="133" t="s">
        <v>3475</v>
      </c>
      <c r="I2776" s="133" t="s">
        <v>615</v>
      </c>
      <c r="J2776" s="158">
        <v>0</v>
      </c>
      <c r="K2776" s="159" t="str">
        <f ca="1">IFERROR(__xludf.DUMMYFUNCTION("GOOGLETRANSLATE(H2776,""th"",""en"")"),"Tax value (Baht) (to calculate the promotion of orders, men)")</f>
        <v>Tax value (Baht) (to calculate the promotion of orders, men)</v>
      </c>
    </row>
    <row r="2777" spans="1:14" ht="15.75" hidden="1" customHeight="1">
      <c r="A2777" s="133" t="s">
        <v>7</v>
      </c>
      <c r="B2777" s="133" t="s">
        <v>452</v>
      </c>
      <c r="C2777" s="133" t="s">
        <v>3476</v>
      </c>
      <c r="D2777" s="133" t="s">
        <v>481</v>
      </c>
      <c r="E2777" s="158">
        <v>5</v>
      </c>
      <c r="F2777" s="158">
        <v>9</v>
      </c>
      <c r="G2777" s="158">
        <v>2</v>
      </c>
      <c r="H2777" s="133" t="s">
        <v>3477</v>
      </c>
      <c r="I2777" s="133" t="s">
        <v>615</v>
      </c>
      <c r="J2777" s="158">
        <v>0</v>
      </c>
      <c r="K2777" s="159" t="str">
        <f ca="1">IFERROR(__xludf.DUMMYFUNCTION("GOOGLETRANSLATE(H2777,""th"",""en"")"),"Product price (before tax) / unit (to calculate the promotion of orders, men)")</f>
        <v>Product price (before tax) / unit (to calculate the promotion of orders, men)</v>
      </c>
    </row>
    <row r="2778" spans="1:14" ht="15.75" hidden="1" customHeight="1">
      <c r="A2778" s="161" t="s">
        <v>7</v>
      </c>
      <c r="B2778" s="161" t="s">
        <v>454</v>
      </c>
      <c r="C2778" s="161" t="s">
        <v>2317</v>
      </c>
      <c r="D2778" s="161" t="s">
        <v>477</v>
      </c>
      <c r="E2778" s="162">
        <v>5</v>
      </c>
      <c r="F2778" s="162">
        <v>0</v>
      </c>
      <c r="G2778" s="162">
        <v>0</v>
      </c>
      <c r="H2778" s="161"/>
      <c r="I2778" s="161"/>
      <c r="J2778" s="162">
        <v>0</v>
      </c>
      <c r="K2778" s="163"/>
      <c r="L2778" s="164" t="s">
        <v>2318</v>
      </c>
      <c r="M2778" s="165"/>
      <c r="N2778" s="165"/>
    </row>
    <row r="2779" spans="1:14" ht="15.75" hidden="1" customHeight="1">
      <c r="A2779" s="133" t="s">
        <v>7</v>
      </c>
      <c r="B2779" s="133" t="s">
        <v>454</v>
      </c>
      <c r="C2779" s="133" t="s">
        <v>451</v>
      </c>
      <c r="D2779" s="133" t="s">
        <v>477</v>
      </c>
      <c r="E2779" s="158">
        <v>15</v>
      </c>
      <c r="F2779" s="158">
        <v>0</v>
      </c>
      <c r="G2779" s="158">
        <v>0</v>
      </c>
      <c r="H2779" s="133" t="s">
        <v>1909</v>
      </c>
      <c r="I2779" s="133" t="s">
        <v>548</v>
      </c>
      <c r="J2779" s="158">
        <v>0</v>
      </c>
      <c r="K2779" s="159" t="str">
        <f ca="1">IFERROR(__xludf.DUMMYFUNCTION("GOOGLETRANSLATE(H2779,""th"",""en"")"),"Purchase order number (order)")</f>
        <v>Purchase order number (order)</v>
      </c>
    </row>
    <row r="2780" spans="1:14" ht="15.75" hidden="1" customHeight="1">
      <c r="A2780" s="133" t="s">
        <v>7</v>
      </c>
      <c r="B2780" s="133" t="s">
        <v>454</v>
      </c>
      <c r="C2780" s="133" t="s">
        <v>1910</v>
      </c>
      <c r="D2780" s="133" t="s">
        <v>496</v>
      </c>
      <c r="E2780" s="158">
        <v>4</v>
      </c>
      <c r="F2780" s="158">
        <v>16</v>
      </c>
      <c r="G2780" s="158">
        <v>0</v>
      </c>
      <c r="H2780" s="133" t="s">
        <v>1911</v>
      </c>
      <c r="I2780" s="133" t="s">
        <v>1363</v>
      </c>
      <c r="J2780" s="158">
        <v>0</v>
      </c>
      <c r="K2780" s="159" t="str">
        <f ca="1">IFERROR(__xludf.DUMMYFUNCTION("GOOGLETRANSLATE(H2780,""th"",""en"")"),"Document date")</f>
        <v>Document date</v>
      </c>
    </row>
    <row r="2781" spans="1:14" ht="15.75" hidden="1" customHeight="1">
      <c r="A2781" s="133" t="s">
        <v>7</v>
      </c>
      <c r="B2781" s="133" t="s">
        <v>454</v>
      </c>
      <c r="C2781" s="133" t="s">
        <v>1419</v>
      </c>
      <c r="D2781" s="133" t="s">
        <v>477</v>
      </c>
      <c r="E2781" s="158">
        <v>12</v>
      </c>
      <c r="F2781" s="158">
        <v>0</v>
      </c>
      <c r="G2781" s="158">
        <v>0</v>
      </c>
      <c r="H2781" s="133" t="s">
        <v>2877</v>
      </c>
      <c r="I2781" s="133" t="s">
        <v>548</v>
      </c>
      <c r="J2781" s="158">
        <v>0</v>
      </c>
      <c r="K2781" s="159" t="str">
        <f ca="1">IFERROR(__xludf.DUMMYFUNCTION("GOOGLETRANSLATE(H2781,""th"",""en"")"),"Document status (Open = Booking, Pending = Rule Stick Rule Approval, Approve = Approval, Reject = Not Approved, DELETE = Cancel the Document Refund, Confirm = Confirm the product, Complete = Organize the product with SI documents.")</f>
        <v>Document status (Open = Booking, Pending = Rule Stick Rule Approval, Approve = Approval, Reject = Not Approved, DELETE = Cancel the Document Refund, Confirm = Confirm the product, Complete = Organize the product with SI documents.</v>
      </c>
    </row>
    <row r="2782" spans="1:14" ht="15.75" hidden="1" customHeight="1">
      <c r="A2782" s="133" t="s">
        <v>7</v>
      </c>
      <c r="B2782" s="133" t="s">
        <v>454</v>
      </c>
      <c r="C2782" s="133" t="s">
        <v>2878</v>
      </c>
      <c r="D2782" s="133" t="s">
        <v>477</v>
      </c>
      <c r="E2782" s="158">
        <v>12</v>
      </c>
      <c r="F2782" s="158">
        <v>0</v>
      </c>
      <c r="G2782" s="158">
        <v>0</v>
      </c>
      <c r="H2782" s="133" t="s">
        <v>2879</v>
      </c>
      <c r="I2782" s="133" t="s">
        <v>548</v>
      </c>
      <c r="J2782" s="158">
        <v>0</v>
      </c>
      <c r="K2782" s="159" t="str">
        <f ca="1">IFERROR(__xludf.DUMMYFUNCTION("GOOGLETRANSLATE(H2782,""th"",""en"")"),"Invoice (SI) document number")</f>
        <v>Invoice (SI) document number</v>
      </c>
    </row>
    <row r="2783" spans="1:14" ht="15.75" hidden="1" customHeight="1">
      <c r="A2783" s="133" t="s">
        <v>7</v>
      </c>
      <c r="B2783" s="133" t="s">
        <v>454</v>
      </c>
      <c r="C2783" s="133" t="s">
        <v>1844</v>
      </c>
      <c r="D2783" s="133" t="s">
        <v>477</v>
      </c>
      <c r="E2783" s="158">
        <v>15</v>
      </c>
      <c r="F2783" s="158">
        <v>0</v>
      </c>
      <c r="G2783" s="158">
        <v>0</v>
      </c>
      <c r="H2783" s="133" t="s">
        <v>2880</v>
      </c>
      <c r="I2783" s="133" t="s">
        <v>548</v>
      </c>
      <c r="J2783" s="158">
        <v>0</v>
      </c>
      <c r="K2783" s="159" t="str">
        <f ca="1">IFERROR(__xludf.DUMMYFUNCTION("GOOGLETRANSLATE(H2783,""th"",""en"")"),"Document numbers obtained from Transfer like Qu, So, Do")</f>
        <v>Document numbers obtained from Transfer like Qu, So, Do</v>
      </c>
    </row>
    <row r="2784" spans="1:14" ht="15.75" hidden="1" customHeight="1">
      <c r="A2784" s="133" t="s">
        <v>7</v>
      </c>
      <c r="B2784" s="133" t="s">
        <v>454</v>
      </c>
      <c r="C2784" s="133" t="s">
        <v>1380</v>
      </c>
      <c r="D2784" s="133" t="s">
        <v>477</v>
      </c>
      <c r="E2784" s="158">
        <v>2</v>
      </c>
      <c r="F2784" s="158">
        <v>0</v>
      </c>
      <c r="G2784" s="158">
        <v>0</v>
      </c>
      <c r="H2784" s="133" t="s">
        <v>3478</v>
      </c>
      <c r="I2784" s="133" t="s">
        <v>548</v>
      </c>
      <c r="J2784" s="158">
        <v>0</v>
      </c>
      <c r="K2784" s="159" t="str">
        <f ca="1">IFERROR(__xludf.DUMMYFUNCTION("GOOGLETRANSLATE(H2784,""th"",""en"")"),"Document type (SO, DO)")</f>
        <v>Document type (SO, DO)</v>
      </c>
    </row>
    <row r="2785" spans="1:11" ht="15.75" hidden="1" customHeight="1">
      <c r="A2785" s="133" t="s">
        <v>7</v>
      </c>
      <c r="B2785" s="133" t="s">
        <v>454</v>
      </c>
      <c r="C2785" s="133" t="s">
        <v>2882</v>
      </c>
      <c r="D2785" s="133" t="s">
        <v>477</v>
      </c>
      <c r="E2785" s="158">
        <v>20</v>
      </c>
      <c r="F2785" s="158">
        <v>0</v>
      </c>
      <c r="G2785" s="158">
        <v>0</v>
      </c>
      <c r="H2785" s="133" t="s">
        <v>2883</v>
      </c>
      <c r="I2785" s="133" t="s">
        <v>548</v>
      </c>
      <c r="J2785" s="158">
        <v>0</v>
      </c>
      <c r="K2785" s="159" t="str">
        <f ca="1">IFERROR(__xludf.DUMMYFUNCTION("GOOGLETRANSLATE(H2785,""th"",""en"")"),"Online Order No. (Web OfficesMate.co.th)")</f>
        <v>Online Order No. (Web OfficesMate.co.th)</v>
      </c>
    </row>
    <row r="2786" spans="1:11" ht="15.75" hidden="1" customHeight="1">
      <c r="A2786" s="133" t="s">
        <v>7</v>
      </c>
      <c r="B2786" s="133" t="s">
        <v>454</v>
      </c>
      <c r="C2786" s="133" t="s">
        <v>2884</v>
      </c>
      <c r="D2786" s="133" t="s">
        <v>477</v>
      </c>
      <c r="E2786" s="158">
        <v>12</v>
      </c>
      <c r="F2786" s="158">
        <v>0</v>
      </c>
      <c r="G2786" s="158">
        <v>0</v>
      </c>
      <c r="H2786" s="133" t="s">
        <v>2885</v>
      </c>
      <c r="I2786" s="133" t="s">
        <v>548</v>
      </c>
      <c r="J2786" s="158">
        <v>0</v>
      </c>
      <c r="K2786" s="159" t="str">
        <f ca="1">IFERROR(__xludf.DUMMYFUNCTION("GOOGLETRANSLATE(H2786,""th"",""en"")"),"Document number deposit (SS)")</f>
        <v>Document number deposit (SS)</v>
      </c>
    </row>
    <row r="2787" spans="1:11" ht="15.75" hidden="1" customHeight="1">
      <c r="A2787" s="133" t="s">
        <v>7</v>
      </c>
      <c r="B2787" s="133" t="s">
        <v>454</v>
      </c>
      <c r="C2787" s="133" t="s">
        <v>2886</v>
      </c>
      <c r="D2787" s="133" t="s">
        <v>477</v>
      </c>
      <c r="E2787" s="158">
        <v>20</v>
      </c>
      <c r="F2787" s="158">
        <v>0</v>
      </c>
      <c r="G2787" s="158">
        <v>0</v>
      </c>
      <c r="H2787" s="133" t="s">
        <v>2887</v>
      </c>
      <c r="I2787" s="133" t="s">
        <v>548</v>
      </c>
      <c r="J2787" s="158">
        <v>0</v>
      </c>
      <c r="K2787" s="159" t="str">
        <f ca="1">IFERROR(__xludf.DUMMYFUNCTION("GOOGLETRANSLATE(H2787,""th"",""en"")"),"Reference number (User Key Manual Customer Document)")</f>
        <v>Reference number (User Key Manual Customer Document)</v>
      </c>
    </row>
    <row r="2788" spans="1:11" ht="15.75" hidden="1" customHeight="1">
      <c r="A2788" s="133" t="s">
        <v>7</v>
      </c>
      <c r="B2788" s="133" t="s">
        <v>454</v>
      </c>
      <c r="C2788" s="133" t="s">
        <v>2888</v>
      </c>
      <c r="D2788" s="133" t="s">
        <v>477</v>
      </c>
      <c r="E2788" s="158">
        <v>20</v>
      </c>
      <c r="F2788" s="158">
        <v>0</v>
      </c>
      <c r="G2788" s="158">
        <v>0</v>
      </c>
      <c r="H2788" s="133" t="s">
        <v>2889</v>
      </c>
      <c r="I2788" s="133" t="s">
        <v>548</v>
      </c>
      <c r="J2788" s="158">
        <v>0</v>
      </c>
      <c r="K2788" s="159" t="str">
        <f ca="1">IFERROR(__xludf.DUMMYFUNCTION("GOOGLETRANSLATE(H2788,""th"",""en"")"),"The source of the purchase order is defined at the User Branch Store, such as OFM Store (OSYS), Call Center, Franchise ..)")</f>
        <v>The source of the purchase order is defined at the User Branch Store, such as OFM Store (OSYS), Call Center, Franchise ..)</v>
      </c>
    </row>
    <row r="2789" spans="1:11" ht="15.75" hidden="1" customHeight="1">
      <c r="A2789" s="133" t="s">
        <v>7</v>
      </c>
      <c r="B2789" s="133" t="s">
        <v>454</v>
      </c>
      <c r="C2789" s="133" t="s">
        <v>2890</v>
      </c>
      <c r="D2789" s="133" t="s">
        <v>477</v>
      </c>
      <c r="E2789" s="158">
        <v>16</v>
      </c>
      <c r="F2789" s="158">
        <v>0</v>
      </c>
      <c r="G2789" s="158">
        <v>0</v>
      </c>
      <c r="H2789" s="133" t="s">
        <v>2891</v>
      </c>
      <c r="I2789" s="133" t="s">
        <v>548</v>
      </c>
      <c r="J2789" s="277">
        <v>1</v>
      </c>
      <c r="K2789" s="159" t="str">
        <f ca="1">IFERROR(__xludf.DUMMYFUNCTION("GOOGLETRANSLATE(H2789,""th"",""en"")"),"No. The 1 Card (for receiving Point)")</f>
        <v>No. The 1 Card (for receiving Point)</v>
      </c>
    </row>
    <row r="2790" spans="1:11" ht="15.75" hidden="1" customHeight="1">
      <c r="A2790" s="133" t="s">
        <v>7</v>
      </c>
      <c r="B2790" s="133" t="s">
        <v>454</v>
      </c>
      <c r="C2790" s="133" t="s">
        <v>2892</v>
      </c>
      <c r="D2790" s="133" t="s">
        <v>477</v>
      </c>
      <c r="E2790" s="158">
        <v>50</v>
      </c>
      <c r="F2790" s="158">
        <v>0</v>
      </c>
      <c r="G2790" s="158">
        <v>0</v>
      </c>
      <c r="H2790" s="133" t="s">
        <v>2893</v>
      </c>
      <c r="I2790" s="133" t="s">
        <v>548</v>
      </c>
      <c r="J2790" s="158">
        <v>0</v>
      </c>
      <c r="K2790" s="159" t="str">
        <f ca="1">IFERROR(__xludf.DUMMYFUNCTION("GOOGLETRANSLATE(H2790,""th"",""en"")"),"Document number PO / PR Customer (Key Manual)")</f>
        <v>Document number PO / PR Customer (Key Manual)</v>
      </c>
    </row>
    <row r="2791" spans="1:11" ht="15.75" hidden="1" customHeight="1">
      <c r="A2791" s="133" t="s">
        <v>7</v>
      </c>
      <c r="B2791" s="133" t="s">
        <v>454</v>
      </c>
      <c r="C2791" s="133" t="s">
        <v>2894</v>
      </c>
      <c r="D2791" s="133" t="s">
        <v>477</v>
      </c>
      <c r="E2791" s="158">
        <v>10</v>
      </c>
      <c r="F2791" s="158">
        <v>0</v>
      </c>
      <c r="G2791" s="158">
        <v>0</v>
      </c>
      <c r="H2791" s="133" t="s">
        <v>2895</v>
      </c>
      <c r="I2791" s="133" t="s">
        <v>548</v>
      </c>
      <c r="J2791" s="158">
        <v>0</v>
      </c>
      <c r="K2791" s="159" t="str">
        <f ca="1">IFERROR(__xludf.DUMMYFUNCTION("GOOGLETRANSLATE(H2791,""th"",""en"")"),"PO Reference Status (None: No Po, Complete: Product List Fully PO, Incomplete: Product List is not complete. PO)")</f>
        <v>PO Reference Status (None: No Po, Complete: Product List Fully PO, Incomplete: Product List is not complete. PO)</v>
      </c>
    </row>
    <row r="2792" spans="1:11" ht="15.75" hidden="1" customHeight="1">
      <c r="A2792" s="133" t="s">
        <v>7</v>
      </c>
      <c r="B2792" s="133" t="s">
        <v>454</v>
      </c>
      <c r="C2792" s="133" t="s">
        <v>2896</v>
      </c>
      <c r="D2792" s="133" t="s">
        <v>477</v>
      </c>
      <c r="E2792" s="158">
        <v>200</v>
      </c>
      <c r="F2792" s="158">
        <v>0</v>
      </c>
      <c r="G2792" s="158">
        <v>0</v>
      </c>
      <c r="H2792" s="133" t="s">
        <v>2897</v>
      </c>
      <c r="I2792" s="133" t="s">
        <v>548</v>
      </c>
      <c r="J2792" s="158">
        <v>0</v>
      </c>
      <c r="K2792" s="159" t="str">
        <f ca="1">IFERROR(__xludf.DUMMYFUNCTION("GOOGLETRANSLATE(H2792,""th"",""en"")"),"Note Po Document Customer")</f>
        <v>Note Po Document Customer</v>
      </c>
    </row>
    <row r="2793" spans="1:11" ht="15.75" hidden="1" customHeight="1">
      <c r="A2793" s="133" t="s">
        <v>7</v>
      </c>
      <c r="B2793" s="133" t="s">
        <v>454</v>
      </c>
      <c r="C2793" s="133" t="s">
        <v>2898</v>
      </c>
      <c r="D2793" s="133" t="s">
        <v>477</v>
      </c>
      <c r="E2793" s="158">
        <v>3</v>
      </c>
      <c r="F2793" s="158">
        <v>0</v>
      </c>
      <c r="G2793" s="158">
        <v>0</v>
      </c>
      <c r="H2793" s="133" t="s">
        <v>2899</v>
      </c>
      <c r="I2793" s="133" t="s">
        <v>596</v>
      </c>
      <c r="J2793" s="158">
        <v>0</v>
      </c>
      <c r="K2793" s="159" t="str">
        <f ca="1">IFERROR(__xludf.DUMMYFUNCTION("GOOGLETRANSLATE(H2793,""th"",""en"")"),"When this SCAN PO is going into the Flag system will be update = yes (yes: with PO Scan in the system, No: No)")</f>
        <v>When this SCAN PO is going into the Flag system will be update = yes (yes: with PO Scan in the system, No: No)</v>
      </c>
    </row>
    <row r="2794" spans="1:11" ht="15.75" hidden="1" customHeight="1">
      <c r="A2794" s="133" t="s">
        <v>7</v>
      </c>
      <c r="B2794" s="133" t="s">
        <v>454</v>
      </c>
      <c r="C2794" s="133" t="s">
        <v>2900</v>
      </c>
      <c r="D2794" s="133" t="s">
        <v>496</v>
      </c>
      <c r="E2794" s="158">
        <v>4</v>
      </c>
      <c r="F2794" s="158">
        <v>16</v>
      </c>
      <c r="G2794" s="158">
        <v>0</v>
      </c>
      <c r="H2794" s="133" t="s">
        <v>2901</v>
      </c>
      <c r="I2794" s="133" t="s">
        <v>1363</v>
      </c>
      <c r="J2794" s="158">
        <v>0</v>
      </c>
      <c r="K2794" s="159" t="str">
        <f ca="1">IFERROR(__xludf.DUMMYFUNCTION("GOOGLETRANSLATE(H2794,""th"",""en"")"),"Confirmation date")</f>
        <v>Confirmation date</v>
      </c>
    </row>
    <row r="2795" spans="1:11" ht="15.75" hidden="1" customHeight="1">
      <c r="A2795" s="133" t="s">
        <v>7</v>
      </c>
      <c r="B2795" s="133" t="s">
        <v>454</v>
      </c>
      <c r="C2795" s="133" t="s">
        <v>2902</v>
      </c>
      <c r="D2795" s="133" t="s">
        <v>477</v>
      </c>
      <c r="E2795" s="158">
        <v>-1</v>
      </c>
      <c r="F2795" s="158">
        <v>0</v>
      </c>
      <c r="G2795" s="158">
        <v>0</v>
      </c>
      <c r="H2795" s="133" t="s">
        <v>2903</v>
      </c>
      <c r="I2795" s="133" t="s">
        <v>548</v>
      </c>
      <c r="J2795" s="158">
        <v>0</v>
      </c>
      <c r="K2795" s="159" t="str">
        <f ca="1">IFERROR(__xludf.DUMMYFUNCTION("GOOGLETRANSLATE(H2795,""th"",""en"")"),"Confirm confirmation details")</f>
        <v>Confirm confirmation details</v>
      </c>
    </row>
    <row r="2796" spans="1:11" ht="15.75" hidden="1" customHeight="1">
      <c r="A2796" s="133" t="s">
        <v>7</v>
      </c>
      <c r="B2796" s="133" t="s">
        <v>454</v>
      </c>
      <c r="C2796" s="133" t="s">
        <v>208</v>
      </c>
      <c r="D2796" s="133" t="s">
        <v>1631</v>
      </c>
      <c r="E2796" s="158">
        <v>8</v>
      </c>
      <c r="F2796" s="158">
        <v>19</v>
      </c>
      <c r="G2796" s="158">
        <v>0</v>
      </c>
      <c r="H2796" s="133" t="s">
        <v>2904</v>
      </c>
      <c r="I2796" s="133" t="s">
        <v>615</v>
      </c>
      <c r="J2796" s="158">
        <v>0</v>
      </c>
      <c r="K2796" s="159" t="str">
        <f ca="1">IFERROR(__xludf.DUMMYFUNCTION("GOOGLETRANSLATE(H2796,""th"",""en"")"),"Contact code")</f>
        <v>Contact code</v>
      </c>
    </row>
    <row r="2797" spans="1:11" ht="15.75" hidden="1" customHeight="1">
      <c r="A2797" s="133" t="s">
        <v>7</v>
      </c>
      <c r="B2797" s="133" t="s">
        <v>454</v>
      </c>
      <c r="C2797" s="133" t="s">
        <v>1660</v>
      </c>
      <c r="D2797" s="133" t="s">
        <v>477</v>
      </c>
      <c r="E2797" s="158">
        <v>50</v>
      </c>
      <c r="F2797" s="158">
        <v>0</v>
      </c>
      <c r="G2797" s="158">
        <v>0</v>
      </c>
      <c r="H2797" s="133" t="s">
        <v>2905</v>
      </c>
      <c r="I2797" s="133" t="s">
        <v>548</v>
      </c>
      <c r="J2797" s="158">
        <v>0</v>
      </c>
      <c r="K2797" s="159" t="str">
        <f ca="1">IFERROR(__xludf.DUMMYFUNCTION("GOOGLETRANSLATE(H2797,""th"",""en"")"),"Name-surname, contact")</f>
        <v>Name-surname, contact</v>
      </c>
    </row>
    <row r="2798" spans="1:11" ht="15.75" hidden="1" customHeight="1">
      <c r="A2798" s="133" t="s">
        <v>7</v>
      </c>
      <c r="B2798" s="133" t="s">
        <v>454</v>
      </c>
      <c r="C2798" s="133" t="s">
        <v>2906</v>
      </c>
      <c r="D2798" s="133" t="s">
        <v>477</v>
      </c>
      <c r="E2798" s="158">
        <v>50</v>
      </c>
      <c r="F2798" s="158">
        <v>0</v>
      </c>
      <c r="G2798" s="158">
        <v>0</v>
      </c>
      <c r="H2798" s="133" t="s">
        <v>2907</v>
      </c>
      <c r="I2798" s="133" t="s">
        <v>548</v>
      </c>
      <c r="J2798" s="277">
        <v>1</v>
      </c>
      <c r="K2798" s="159" t="str">
        <f ca="1">IFERROR(__xludf.DUMMYFUNCTION("GOOGLETRANSLATE(H2798,""th"",""en"")"),"Contact number")</f>
        <v>Contact number</v>
      </c>
    </row>
    <row r="2799" spans="1:11" ht="15.75" hidden="1" customHeight="1">
      <c r="A2799" s="133" t="s">
        <v>7</v>
      </c>
      <c r="B2799" s="133" t="s">
        <v>454</v>
      </c>
      <c r="C2799" s="133" t="s">
        <v>1640</v>
      </c>
      <c r="D2799" s="133" t="s">
        <v>477</v>
      </c>
      <c r="E2799" s="158">
        <v>6</v>
      </c>
      <c r="F2799" s="158">
        <v>0</v>
      </c>
      <c r="G2799" s="158">
        <v>0</v>
      </c>
      <c r="H2799" s="133" t="s">
        <v>2908</v>
      </c>
      <c r="I2799" s="133" t="s">
        <v>548</v>
      </c>
      <c r="J2799" s="277">
        <v>1</v>
      </c>
      <c r="K2799" s="159" t="str">
        <f ca="1">IFERROR(__xludf.DUMMYFUNCTION("GOOGLETRANSLATE(H2799,""th"",""en"")"),"Number per contact")</f>
        <v>Number per contact</v>
      </c>
    </row>
    <row r="2800" spans="1:11" ht="15.75" hidden="1" customHeight="1">
      <c r="A2800" s="133" t="s">
        <v>7</v>
      </c>
      <c r="B2800" s="133" t="s">
        <v>454</v>
      </c>
      <c r="C2800" s="133" t="s">
        <v>2909</v>
      </c>
      <c r="D2800" s="133" t="s">
        <v>477</v>
      </c>
      <c r="E2800" s="158">
        <v>50</v>
      </c>
      <c r="F2800" s="158">
        <v>0</v>
      </c>
      <c r="G2800" s="158">
        <v>0</v>
      </c>
      <c r="H2800" s="133" t="s">
        <v>2910</v>
      </c>
      <c r="I2800" s="133" t="s">
        <v>548</v>
      </c>
      <c r="J2800" s="277">
        <v>1</v>
      </c>
      <c r="K2800" s="159" t="str">
        <f ca="1">IFERROR(__xludf.DUMMYFUNCTION("GOOGLETRANSLATE(H2800,""th"",""en"")"),"Fax contact")</f>
        <v>Fax contact</v>
      </c>
    </row>
    <row r="2801" spans="1:11" ht="15.75" hidden="1" customHeight="1">
      <c r="A2801" s="133" t="s">
        <v>7</v>
      </c>
      <c r="B2801" s="133" t="s">
        <v>454</v>
      </c>
      <c r="C2801" s="133" t="s">
        <v>1653</v>
      </c>
      <c r="D2801" s="133" t="s">
        <v>477</v>
      </c>
      <c r="E2801" s="158">
        <v>100</v>
      </c>
      <c r="F2801" s="158">
        <v>0</v>
      </c>
      <c r="G2801" s="158">
        <v>0</v>
      </c>
      <c r="H2801" s="133" t="s">
        <v>2911</v>
      </c>
      <c r="I2801" s="133" t="s">
        <v>548</v>
      </c>
      <c r="J2801" s="158">
        <v>0</v>
      </c>
      <c r="K2801" s="159" t="str">
        <f ca="1">IFERROR(__xludf.DUMMYFUNCTION("GOOGLETRANSLATE(H2801,""th"",""en"")"),"Contact email")</f>
        <v>Contact email</v>
      </c>
    </row>
    <row r="2802" spans="1:11" ht="15.75" hidden="1" customHeight="1">
      <c r="A2802" s="133" t="s">
        <v>7</v>
      </c>
      <c r="B2802" s="133" t="s">
        <v>454</v>
      </c>
      <c r="C2802" s="133" t="s">
        <v>2912</v>
      </c>
      <c r="D2802" s="133" t="s">
        <v>477</v>
      </c>
      <c r="E2802" s="158">
        <v>50</v>
      </c>
      <c r="F2802" s="158">
        <v>0</v>
      </c>
      <c r="G2802" s="158">
        <v>0</v>
      </c>
      <c r="H2802" s="133" t="s">
        <v>2913</v>
      </c>
      <c r="I2802" s="133" t="s">
        <v>548</v>
      </c>
      <c r="J2802" s="277">
        <v>1</v>
      </c>
      <c r="K2802" s="159" t="str">
        <f ca="1">IFERROR(__xludf.DUMMYFUNCTION("GOOGLETRANSLATE(H2802,""th"",""en"")"),"Mobile phone number")</f>
        <v>Mobile phone number</v>
      </c>
    </row>
    <row r="2803" spans="1:11" ht="15.75" hidden="1" customHeight="1">
      <c r="A2803" s="133" t="s">
        <v>7</v>
      </c>
      <c r="B2803" s="133" t="s">
        <v>454</v>
      </c>
      <c r="C2803" s="133" t="s">
        <v>174</v>
      </c>
      <c r="D2803" s="133" t="s">
        <v>477</v>
      </c>
      <c r="E2803" s="158">
        <v>8</v>
      </c>
      <c r="F2803" s="158">
        <v>0</v>
      </c>
      <c r="G2803" s="158">
        <v>0</v>
      </c>
      <c r="H2803" s="133" t="s">
        <v>1292</v>
      </c>
      <c r="I2803" s="133" t="s">
        <v>548</v>
      </c>
      <c r="J2803" s="158">
        <v>0</v>
      </c>
      <c r="K2803" s="159" t="str">
        <f ca="1">IFERROR(__xludf.DUMMYFUNCTION("GOOGLETRANSLATE(H2803,""th"",""en"")"),"Customer code")</f>
        <v>Customer code</v>
      </c>
    </row>
    <row r="2804" spans="1:11" ht="15.75" hidden="1" customHeight="1">
      <c r="A2804" s="133" t="s">
        <v>7</v>
      </c>
      <c r="B2804" s="133" t="s">
        <v>454</v>
      </c>
      <c r="C2804" s="133" t="s">
        <v>1821</v>
      </c>
      <c r="D2804" s="133" t="s">
        <v>477</v>
      </c>
      <c r="E2804" s="158">
        <v>100</v>
      </c>
      <c r="F2804" s="158">
        <v>0</v>
      </c>
      <c r="G2804" s="158">
        <v>0</v>
      </c>
      <c r="H2804" s="133" t="s">
        <v>1563</v>
      </c>
      <c r="I2804" s="133" t="s">
        <v>548</v>
      </c>
      <c r="J2804" s="158">
        <v>0</v>
      </c>
      <c r="K2804" s="159" t="str">
        <f ca="1">IFERROR(__xludf.DUMMYFUNCTION("GOOGLETRANSLATE(H2804,""th"",""en"")"),"Customer name")</f>
        <v>Customer name</v>
      </c>
    </row>
    <row r="2805" spans="1:11" ht="15.75" hidden="1" customHeight="1">
      <c r="A2805" s="133" t="s">
        <v>7</v>
      </c>
      <c r="B2805" s="133" t="s">
        <v>454</v>
      </c>
      <c r="C2805" s="133" t="s">
        <v>1322</v>
      </c>
      <c r="D2805" s="133" t="s">
        <v>477</v>
      </c>
      <c r="E2805" s="158">
        <v>5</v>
      </c>
      <c r="F2805" s="158">
        <v>0</v>
      </c>
      <c r="G2805" s="158">
        <v>0</v>
      </c>
      <c r="H2805" s="133" t="s">
        <v>2914</v>
      </c>
      <c r="I2805" s="133" t="s">
        <v>548</v>
      </c>
      <c r="J2805" s="277">
        <v>1</v>
      </c>
      <c r="K2805" s="159" t="str">
        <f ca="1">IFERROR(__xludf.DUMMYFUNCTION("GOOGLETRANSLATE(H2805,""th"",""en"")"),"Customer branch code")</f>
        <v>Customer branch code</v>
      </c>
    </row>
    <row r="2806" spans="1:11" ht="15.75" hidden="1" customHeight="1">
      <c r="A2806" s="133" t="s">
        <v>7</v>
      </c>
      <c r="B2806" s="133" t="s">
        <v>454</v>
      </c>
      <c r="C2806" s="133" t="s">
        <v>1423</v>
      </c>
      <c r="D2806" s="133" t="s">
        <v>477</v>
      </c>
      <c r="E2806" s="158">
        <v>10</v>
      </c>
      <c r="F2806" s="158">
        <v>0</v>
      </c>
      <c r="G2806" s="158">
        <v>0</v>
      </c>
      <c r="H2806" s="133" t="s">
        <v>2915</v>
      </c>
      <c r="I2806" s="133" t="s">
        <v>548</v>
      </c>
      <c r="J2806" s="158">
        <v>0</v>
      </c>
      <c r="K2806" s="159" t="str">
        <f ca="1">IFERROR(__xludf.DUMMYFUNCTION("GOOGLETRANSLATE(H2806,""th"",""en"")"),"Customer type (Personal, Corporate)")</f>
        <v>Customer type (Personal, Corporate)</v>
      </c>
    </row>
    <row r="2807" spans="1:11" ht="15.75" hidden="1" customHeight="1">
      <c r="A2807" s="133" t="s">
        <v>7</v>
      </c>
      <c r="B2807" s="133" t="s">
        <v>454</v>
      </c>
      <c r="C2807" s="133" t="s">
        <v>1431</v>
      </c>
      <c r="D2807" s="133" t="s">
        <v>477</v>
      </c>
      <c r="E2807" s="158">
        <v>15</v>
      </c>
      <c r="F2807" s="158">
        <v>0</v>
      </c>
      <c r="G2807" s="158">
        <v>0</v>
      </c>
      <c r="H2807" s="133" t="s">
        <v>2916</v>
      </c>
      <c r="I2807" s="133" t="s">
        <v>548</v>
      </c>
      <c r="J2807" s="158">
        <v>0</v>
      </c>
      <c r="K2807" s="159" t="str">
        <f ca="1">IFERROR(__xludf.DUMMYFUNCTION("GOOGLETRANSLATE(H2807,""th"",""en"")"),"Customer status (Active, Expire, Delete, Lock, AutoLock, ...)")</f>
        <v>Customer status (Active, Expire, Delete, Lock, AutoLock, ...)</v>
      </c>
    </row>
    <row r="2808" spans="1:11" ht="15.75" hidden="1" customHeight="1">
      <c r="A2808" s="133" t="s">
        <v>7</v>
      </c>
      <c r="B2808" s="133" t="s">
        <v>454</v>
      </c>
      <c r="C2808" s="133" t="s">
        <v>1444</v>
      </c>
      <c r="D2808" s="133" t="s">
        <v>477</v>
      </c>
      <c r="E2808" s="158">
        <v>50</v>
      </c>
      <c r="F2808" s="158">
        <v>0</v>
      </c>
      <c r="G2808" s="158">
        <v>0</v>
      </c>
      <c r="H2808" s="133" t="s">
        <v>2917</v>
      </c>
      <c r="I2808" s="133" t="s">
        <v>548</v>
      </c>
      <c r="J2808" s="158">
        <v>0</v>
      </c>
      <c r="K2808" s="159" t="str">
        <f ca="1">IFERROR(__xludf.DUMMYFUNCTION("GOOGLETRANSLATE(H2808,""th"",""en"")"),"Segment, Platinum, Gold, Diamond, Beyond Diamond)")</f>
        <v>Segment, Platinum, Gold, Diamond, Beyond Diamond)</v>
      </c>
    </row>
    <row r="2809" spans="1:11" ht="15.75" hidden="1" customHeight="1">
      <c r="A2809" s="133" t="s">
        <v>7</v>
      </c>
      <c r="B2809" s="133" t="s">
        <v>454</v>
      </c>
      <c r="C2809" s="133" t="s">
        <v>2262</v>
      </c>
      <c r="D2809" s="133" t="s">
        <v>477</v>
      </c>
      <c r="E2809" s="158">
        <v>7</v>
      </c>
      <c r="F2809" s="158">
        <v>0</v>
      </c>
      <c r="G2809" s="158">
        <v>0</v>
      </c>
      <c r="H2809" s="133" t="s">
        <v>2918</v>
      </c>
      <c r="I2809" s="133" t="s">
        <v>548</v>
      </c>
      <c r="J2809" s="158">
        <v>0</v>
      </c>
      <c r="K2809" s="159" t="str">
        <f ca="1">IFERROR(__xludf.DUMMYFUNCTION("GOOGLETRANSLATE(H2809,""th"",""en"")"),"Sale REPT Code Customers care such as KA1, KA2, KG1, CRM")</f>
        <v>Sale REPT Code Customers care such as KA1, KA2, KG1, CRM</v>
      </c>
    </row>
    <row r="2810" spans="1:11" ht="15.75" hidden="1" customHeight="1">
      <c r="A2810" s="133" t="s">
        <v>7</v>
      </c>
      <c r="B2810" s="133" t="s">
        <v>454</v>
      </c>
      <c r="C2810" s="133" t="s">
        <v>1339</v>
      </c>
      <c r="D2810" s="133" t="s">
        <v>477</v>
      </c>
      <c r="E2810" s="158">
        <v>3</v>
      </c>
      <c r="F2810" s="158">
        <v>0</v>
      </c>
      <c r="G2810" s="158">
        <v>0</v>
      </c>
      <c r="H2810" s="133" t="s">
        <v>2919</v>
      </c>
      <c r="I2810" s="133" t="s">
        <v>548</v>
      </c>
      <c r="J2810" s="158">
        <v>0</v>
      </c>
      <c r="K2810" s="159" t="str">
        <f ca="1">IFERROR(__xludf.DUMMYFUNCTION("GOOGLETRANSLATE(H2810,""th"",""en"")"),"Customer Cust Class code such as AC1, AC2")</f>
        <v>Customer Cust Class code such as AC1, AC2</v>
      </c>
    </row>
    <row r="2811" spans="1:11" ht="15.75" hidden="1" customHeight="1">
      <c r="A2811" s="133" t="s">
        <v>7</v>
      </c>
      <c r="B2811" s="133" t="s">
        <v>454</v>
      </c>
      <c r="C2811" s="133" t="s">
        <v>2920</v>
      </c>
      <c r="D2811" s="133" t="s">
        <v>477</v>
      </c>
      <c r="E2811" s="158">
        <v>100</v>
      </c>
      <c r="F2811" s="158">
        <v>0</v>
      </c>
      <c r="G2811" s="158">
        <v>0</v>
      </c>
      <c r="H2811" s="133" t="s">
        <v>2921</v>
      </c>
      <c r="I2811" s="133" t="s">
        <v>548</v>
      </c>
      <c r="J2811" s="158">
        <v>0</v>
      </c>
      <c r="K2811" s="159" t="str">
        <f ca="1">IFERROR(__xludf.DUMMYFUNCTION("GOOGLETRANSLATE(H2811,""th"",""en"")"),"Other notes of customers")</f>
        <v>Other notes of customers</v>
      </c>
    </row>
    <row r="2812" spans="1:11" ht="15.75" hidden="1" customHeight="1">
      <c r="A2812" s="133" t="s">
        <v>7</v>
      </c>
      <c r="B2812" s="133" t="s">
        <v>454</v>
      </c>
      <c r="C2812" s="133" t="s">
        <v>1433</v>
      </c>
      <c r="D2812" s="133" t="s">
        <v>477</v>
      </c>
      <c r="E2812" s="158">
        <v>13</v>
      </c>
      <c r="F2812" s="158">
        <v>0</v>
      </c>
      <c r="G2812" s="158">
        <v>0</v>
      </c>
      <c r="H2812" s="133" t="s">
        <v>2922</v>
      </c>
      <c r="I2812" s="133" t="s">
        <v>548</v>
      </c>
      <c r="J2812" s="158">
        <v>0</v>
      </c>
      <c r="K2812" s="159" t="str">
        <f ca="1">IFERROR(__xludf.DUMMYFUNCTION("GOOGLETRANSLATE(H2812,""th"",""en"")"),"Customer tax identification number")</f>
        <v>Customer tax identification number</v>
      </c>
    </row>
    <row r="2813" spans="1:11" ht="15.75" hidden="1" customHeight="1">
      <c r="A2813" s="133" t="s">
        <v>7</v>
      </c>
      <c r="B2813" s="133" t="s">
        <v>454</v>
      </c>
      <c r="C2813" s="133" t="s">
        <v>1879</v>
      </c>
      <c r="D2813" s="133" t="s">
        <v>477</v>
      </c>
      <c r="E2813" s="158">
        <v>55</v>
      </c>
      <c r="F2813" s="158">
        <v>0</v>
      </c>
      <c r="G2813" s="158">
        <v>0</v>
      </c>
      <c r="H2813" s="133" t="s">
        <v>2923</v>
      </c>
      <c r="I2813" s="133" t="s">
        <v>548</v>
      </c>
      <c r="J2813" s="158">
        <v>0</v>
      </c>
      <c r="K2813" s="159" t="str">
        <f ca="1">IFERROR(__xludf.DUMMYFUNCTION("GOOGLETRANSLATE(H2813,""th"",""en"")"),"Address Invoice No. 1")</f>
        <v>Address Invoice No. 1</v>
      </c>
    </row>
    <row r="2814" spans="1:11" ht="15.75" hidden="1" customHeight="1">
      <c r="A2814" s="133" t="s">
        <v>7</v>
      </c>
      <c r="B2814" s="133" t="s">
        <v>454</v>
      </c>
      <c r="C2814" s="133" t="s">
        <v>1880</v>
      </c>
      <c r="D2814" s="133" t="s">
        <v>477</v>
      </c>
      <c r="E2814" s="158">
        <v>110</v>
      </c>
      <c r="F2814" s="158">
        <v>0</v>
      </c>
      <c r="G2814" s="158">
        <v>0</v>
      </c>
      <c r="H2814" s="133" t="s">
        <v>2924</v>
      </c>
      <c r="I2814" s="133" t="s">
        <v>548</v>
      </c>
      <c r="J2814" s="158">
        <v>0</v>
      </c>
      <c r="K2814" s="159" t="str">
        <f ca="1">IFERROR(__xludf.DUMMYFUNCTION("GOOGLETRANSLATE(H2814,""th"",""en"")"),"Address No. 2 tax invoice")</f>
        <v>Address No. 2 tax invoice</v>
      </c>
    </row>
    <row r="2815" spans="1:11" ht="15.75" hidden="1" customHeight="1">
      <c r="A2815" s="133" t="s">
        <v>7</v>
      </c>
      <c r="B2815" s="133" t="s">
        <v>454</v>
      </c>
      <c r="C2815" s="133" t="s">
        <v>1881</v>
      </c>
      <c r="D2815" s="133" t="s">
        <v>477</v>
      </c>
      <c r="E2815" s="158">
        <v>55</v>
      </c>
      <c r="F2815" s="158">
        <v>0</v>
      </c>
      <c r="G2815" s="158">
        <v>0</v>
      </c>
      <c r="H2815" s="133" t="s">
        <v>2925</v>
      </c>
      <c r="I2815" s="133" t="s">
        <v>548</v>
      </c>
      <c r="J2815" s="158">
        <v>0</v>
      </c>
      <c r="K2815" s="159" t="str">
        <f ca="1">IFERROR(__xludf.DUMMYFUNCTION("GOOGLETRANSLATE(H2815,""th"",""en"")"),"Address No. 3 tax invoice")</f>
        <v>Address No. 3 tax invoice</v>
      </c>
    </row>
    <row r="2816" spans="1:11" ht="15.75" hidden="1" customHeight="1">
      <c r="A2816" s="133" t="s">
        <v>7</v>
      </c>
      <c r="B2816" s="133" t="s">
        <v>454</v>
      </c>
      <c r="C2816" s="133" t="s">
        <v>1882</v>
      </c>
      <c r="D2816" s="133" t="s">
        <v>477</v>
      </c>
      <c r="E2816" s="158">
        <v>55</v>
      </c>
      <c r="F2816" s="158">
        <v>0</v>
      </c>
      <c r="G2816" s="158">
        <v>0</v>
      </c>
      <c r="H2816" s="133" t="s">
        <v>2926</v>
      </c>
      <c r="I2816" s="133" t="s">
        <v>548</v>
      </c>
      <c r="J2816" s="158">
        <v>0</v>
      </c>
      <c r="K2816" s="159" t="str">
        <f ca="1">IFERROR(__xludf.DUMMYFUNCTION("GOOGLETRANSLATE(H2816,""th"",""en"")"),"No. 4 tax invoice address")</f>
        <v>No. 4 tax invoice address</v>
      </c>
    </row>
    <row r="2817" spans="1:11" ht="15.75" hidden="1" customHeight="1">
      <c r="A2817" s="133" t="s">
        <v>7</v>
      </c>
      <c r="B2817" s="133" t="s">
        <v>454</v>
      </c>
      <c r="C2817" s="133" t="s">
        <v>1900</v>
      </c>
      <c r="D2817" s="133" t="s">
        <v>477</v>
      </c>
      <c r="E2817" s="158">
        <v>250</v>
      </c>
      <c r="F2817" s="158">
        <v>0</v>
      </c>
      <c r="G2817" s="158">
        <v>0</v>
      </c>
      <c r="H2817" s="133" t="s">
        <v>2927</v>
      </c>
      <c r="I2817" s="133" t="s">
        <v>548</v>
      </c>
      <c r="J2817" s="158">
        <v>0</v>
      </c>
      <c r="K2817" s="159" t="str">
        <f ca="1">IFERROR(__xludf.DUMMYFUNCTION("GOOGLETRANSLATE(H2817,""th"",""en"")"),"Note the documents you want to display in the Invoice document")</f>
        <v>Note the documents you want to display in the Invoice document</v>
      </c>
    </row>
    <row r="2818" spans="1:11" ht="15.75" hidden="1" customHeight="1">
      <c r="A2818" s="133" t="s">
        <v>7</v>
      </c>
      <c r="B2818" s="133" t="s">
        <v>454</v>
      </c>
      <c r="C2818" s="133" t="s">
        <v>2928</v>
      </c>
      <c r="D2818" s="133" t="s">
        <v>477</v>
      </c>
      <c r="E2818" s="158">
        <v>300</v>
      </c>
      <c r="F2818" s="158">
        <v>0</v>
      </c>
      <c r="G2818" s="158">
        <v>0</v>
      </c>
      <c r="H2818" s="133" t="s">
        <v>2929</v>
      </c>
      <c r="I2818" s="133" t="s">
        <v>548</v>
      </c>
      <c r="J2818" s="158">
        <v>0</v>
      </c>
      <c r="K2818" s="159" t="str">
        <f ca="1">IFERROR(__xludf.DUMMYFUNCTION("GOOGLETRANSLATE(H2818,""th"",""en"")"),"Internal notes To inform the warehouse officer")</f>
        <v>Internal notes To inform the warehouse officer</v>
      </c>
    </row>
    <row r="2819" spans="1:11" ht="15.75" hidden="1" customHeight="1">
      <c r="A2819" s="133" t="s">
        <v>7</v>
      </c>
      <c r="B2819" s="133" t="s">
        <v>454</v>
      </c>
      <c r="C2819" s="133" t="s">
        <v>2930</v>
      </c>
      <c r="D2819" s="133" t="s">
        <v>477</v>
      </c>
      <c r="E2819" s="158">
        <v>300</v>
      </c>
      <c r="F2819" s="158">
        <v>0</v>
      </c>
      <c r="G2819" s="158">
        <v>0</v>
      </c>
      <c r="H2819" s="133" t="s">
        <v>2931</v>
      </c>
      <c r="I2819" s="133" t="s">
        <v>548</v>
      </c>
      <c r="J2819" s="158">
        <v>0</v>
      </c>
      <c r="K2819" s="159" t="str">
        <f ca="1">IFERROR(__xludf.DUMMYFUNCTION("GOOGLETRANSLATE(H2819,""th"",""en"")"),"Note used in the statement Or Oasys system quotation")</f>
        <v>Note used in the statement Or Oasys system quotation</v>
      </c>
    </row>
    <row r="2820" spans="1:11" ht="15.75" hidden="1" customHeight="1">
      <c r="A2820" s="133" t="s">
        <v>7</v>
      </c>
      <c r="B2820" s="133" t="s">
        <v>454</v>
      </c>
      <c r="C2820" s="133" t="s">
        <v>2932</v>
      </c>
      <c r="D2820" s="133" t="s">
        <v>496</v>
      </c>
      <c r="E2820" s="158">
        <v>4</v>
      </c>
      <c r="F2820" s="158">
        <v>16</v>
      </c>
      <c r="G2820" s="158">
        <v>0</v>
      </c>
      <c r="H2820" s="133" t="s">
        <v>2933</v>
      </c>
      <c r="I2820" s="133" t="s">
        <v>1363</v>
      </c>
      <c r="J2820" s="158">
        <v>0</v>
      </c>
      <c r="K2820" s="159" t="str">
        <f ca="1">IFERROR(__xludf.DUMMYFUNCTION("GOOGLETRANSLATE(H2820,""th"",""en"")"),"Delivery date")</f>
        <v>Delivery date</v>
      </c>
    </row>
    <row r="2821" spans="1:11" ht="15.75" hidden="1" customHeight="1">
      <c r="A2821" s="133" t="s">
        <v>7</v>
      </c>
      <c r="B2821" s="133" t="s">
        <v>454</v>
      </c>
      <c r="C2821" s="133" t="s">
        <v>2934</v>
      </c>
      <c r="D2821" s="133" t="s">
        <v>477</v>
      </c>
      <c r="E2821" s="158">
        <v>100</v>
      </c>
      <c r="F2821" s="158">
        <v>0</v>
      </c>
      <c r="G2821" s="158">
        <v>0</v>
      </c>
      <c r="H2821" s="133" t="s">
        <v>2512</v>
      </c>
      <c r="I2821" s="133" t="s">
        <v>548</v>
      </c>
      <c r="J2821" s="158">
        <v>0</v>
      </c>
      <c r="K2821" s="159" t="str">
        <f ca="1">IFERROR(__xludf.DUMMYFUNCTION("GOOGLETRANSLATE(H2821,""th"",""en"")"),"Delivery note")</f>
        <v>Delivery note</v>
      </c>
    </row>
    <row r="2822" spans="1:11" ht="15.75" hidden="1" customHeight="1">
      <c r="A2822" s="133" t="s">
        <v>7</v>
      </c>
      <c r="B2822" s="133" t="s">
        <v>454</v>
      </c>
      <c r="C2822" s="133" t="s">
        <v>2184</v>
      </c>
      <c r="D2822" s="133" t="s">
        <v>484</v>
      </c>
      <c r="E2822" s="158">
        <v>4</v>
      </c>
      <c r="F2822" s="158">
        <v>10</v>
      </c>
      <c r="G2822" s="158">
        <v>0</v>
      </c>
      <c r="H2822" s="133" t="s">
        <v>2935</v>
      </c>
      <c r="I2822" s="133" t="s">
        <v>615</v>
      </c>
      <c r="J2822" s="158">
        <v>0</v>
      </c>
      <c r="K2822" s="159" t="str">
        <f ca="1">IFERROR(__xludf.DUMMYFUNCTION("GOOGLETRANSLATE(H2822,""th"",""en"")"),"Location code")</f>
        <v>Location code</v>
      </c>
    </row>
    <row r="2823" spans="1:11" ht="15.75" hidden="1" customHeight="1">
      <c r="A2823" s="133" t="s">
        <v>7</v>
      </c>
      <c r="B2823" s="133" t="s">
        <v>454</v>
      </c>
      <c r="C2823" s="133" t="s">
        <v>2185</v>
      </c>
      <c r="D2823" s="133" t="s">
        <v>477</v>
      </c>
      <c r="E2823" s="158">
        <v>55</v>
      </c>
      <c r="F2823" s="158">
        <v>0</v>
      </c>
      <c r="G2823" s="158">
        <v>0</v>
      </c>
      <c r="H2823" s="133" t="s">
        <v>2936</v>
      </c>
      <c r="I2823" s="133" t="s">
        <v>548</v>
      </c>
      <c r="J2823" s="158">
        <v>0</v>
      </c>
      <c r="K2823" s="159" t="str">
        <f ca="1">IFERROR(__xludf.DUMMYFUNCTION("GOOGLETRANSLATE(H2823,""th"",""en"")"),"Recipient")</f>
        <v>Recipient</v>
      </c>
    </row>
    <row r="2824" spans="1:11" ht="15.75" hidden="1" customHeight="1">
      <c r="A2824" s="133" t="s">
        <v>7</v>
      </c>
      <c r="B2824" s="133" t="s">
        <v>454</v>
      </c>
      <c r="C2824" s="133" t="s">
        <v>2210</v>
      </c>
      <c r="D2824" s="133" t="s">
        <v>477</v>
      </c>
      <c r="E2824" s="158">
        <v>50</v>
      </c>
      <c r="F2824" s="158">
        <v>0</v>
      </c>
      <c r="G2824" s="158">
        <v>0</v>
      </c>
      <c r="H2824" s="133" t="s">
        <v>2937</v>
      </c>
      <c r="I2824" s="133" t="s">
        <v>548</v>
      </c>
      <c r="J2824" s="277">
        <v>1</v>
      </c>
      <c r="K2824" s="159" t="str">
        <f ca="1">IFERROR(__xludf.DUMMYFUNCTION("GOOGLETRANSLATE(H2824,""th"",""en"")"),"Phone number, location")</f>
        <v>Phone number, location</v>
      </c>
    </row>
    <row r="2825" spans="1:11" ht="15.75" hidden="1" customHeight="1">
      <c r="A2825" s="133" t="s">
        <v>7</v>
      </c>
      <c r="B2825" s="133" t="s">
        <v>454</v>
      </c>
      <c r="C2825" s="133" t="s">
        <v>2211</v>
      </c>
      <c r="D2825" s="133" t="s">
        <v>477</v>
      </c>
      <c r="E2825" s="158">
        <v>6</v>
      </c>
      <c r="F2825" s="158">
        <v>0</v>
      </c>
      <c r="G2825" s="158">
        <v>0</v>
      </c>
      <c r="H2825" s="133" t="s">
        <v>2938</v>
      </c>
      <c r="I2825" s="133" t="s">
        <v>548</v>
      </c>
      <c r="J2825" s="277">
        <v>1</v>
      </c>
      <c r="K2825" s="159" t="str">
        <f ca="1">IFERROR(__xludf.DUMMYFUNCTION("GOOGLETRANSLATE(H2825,""th"",""en"")"),"Numbers per delivery location")</f>
        <v>Numbers per delivery location</v>
      </c>
    </row>
    <row r="2826" spans="1:11" ht="15.75" hidden="1" customHeight="1">
      <c r="A2826" s="133" t="s">
        <v>7</v>
      </c>
      <c r="B2826" s="133" t="s">
        <v>454</v>
      </c>
      <c r="C2826" s="133" t="s">
        <v>2212</v>
      </c>
      <c r="D2826" s="133" t="s">
        <v>477</v>
      </c>
      <c r="E2826" s="158">
        <v>50</v>
      </c>
      <c r="F2826" s="158">
        <v>0</v>
      </c>
      <c r="G2826" s="158">
        <v>0</v>
      </c>
      <c r="H2826" s="133" t="s">
        <v>2939</v>
      </c>
      <c r="I2826" s="133" t="s">
        <v>548</v>
      </c>
      <c r="J2826" s="277">
        <v>1</v>
      </c>
      <c r="K2826" s="159" t="str">
        <f ca="1">IFERROR(__xludf.DUMMYFUNCTION("GOOGLETRANSLATE(H2826,""th"",""en"")"),"Mobile number, location")</f>
        <v>Mobile number, location</v>
      </c>
    </row>
    <row r="2827" spans="1:11" ht="15.75" hidden="1" customHeight="1">
      <c r="A2827" s="133" t="s">
        <v>7</v>
      </c>
      <c r="B2827" s="133" t="s">
        <v>454</v>
      </c>
      <c r="C2827" s="133" t="s">
        <v>2213</v>
      </c>
      <c r="D2827" s="133" t="s">
        <v>477</v>
      </c>
      <c r="E2827" s="158">
        <v>20</v>
      </c>
      <c r="F2827" s="158">
        <v>0</v>
      </c>
      <c r="G2827" s="158">
        <v>0</v>
      </c>
      <c r="H2827" s="133" t="s">
        <v>2940</v>
      </c>
      <c r="I2827" s="133" t="s">
        <v>548</v>
      </c>
      <c r="J2827" s="277">
        <v>1</v>
      </c>
      <c r="K2827" s="159" t="str">
        <f ca="1">IFERROR(__xludf.DUMMYFUNCTION("GOOGLETRANSLATE(H2827,""th"",""en"")"),"Fax, delivery location")</f>
        <v>Fax, delivery location</v>
      </c>
    </row>
    <row r="2828" spans="1:11" ht="15.75" hidden="1" customHeight="1">
      <c r="A2828" s="133" t="s">
        <v>7</v>
      </c>
      <c r="B2828" s="133" t="s">
        <v>454</v>
      </c>
      <c r="C2828" s="133" t="s">
        <v>2214</v>
      </c>
      <c r="D2828" s="133" t="s">
        <v>477</v>
      </c>
      <c r="E2828" s="158">
        <v>100</v>
      </c>
      <c r="F2828" s="158">
        <v>0</v>
      </c>
      <c r="G2828" s="158">
        <v>0</v>
      </c>
      <c r="H2828" s="133" t="s">
        <v>2941</v>
      </c>
      <c r="I2828" s="133" t="s">
        <v>548</v>
      </c>
      <c r="J2828" s="158">
        <v>0</v>
      </c>
      <c r="K2828" s="159" t="str">
        <f ca="1">IFERROR(__xludf.DUMMYFUNCTION("GOOGLETRANSLATE(H2828,""th"",""en"")"),"Email contact location")</f>
        <v>Email contact location</v>
      </c>
    </row>
    <row r="2829" spans="1:11" ht="15.75" hidden="1" customHeight="1">
      <c r="A2829" s="133" t="s">
        <v>7</v>
      </c>
      <c r="B2829" s="133" t="s">
        <v>454</v>
      </c>
      <c r="C2829" s="133" t="s">
        <v>2187</v>
      </c>
      <c r="D2829" s="133" t="s">
        <v>477</v>
      </c>
      <c r="E2829" s="158">
        <v>55</v>
      </c>
      <c r="F2829" s="158">
        <v>0</v>
      </c>
      <c r="G2829" s="158">
        <v>0</v>
      </c>
      <c r="H2829" s="133" t="s">
        <v>2942</v>
      </c>
      <c r="I2829" s="133" t="s">
        <v>548</v>
      </c>
      <c r="J2829" s="158">
        <v>0</v>
      </c>
      <c r="K2829" s="159" t="str">
        <f ca="1">IFERROR(__xludf.DUMMYFUNCTION("GOOGLETRANSLATE(H2829,""th"",""en"")"),"Location address No. 1")</f>
        <v>Location address No. 1</v>
      </c>
    </row>
    <row r="2830" spans="1:11" ht="15.75" hidden="1" customHeight="1">
      <c r="A2830" s="133" t="s">
        <v>7</v>
      </c>
      <c r="B2830" s="133" t="s">
        <v>454</v>
      </c>
      <c r="C2830" s="133" t="s">
        <v>2188</v>
      </c>
      <c r="D2830" s="133" t="s">
        <v>477</v>
      </c>
      <c r="E2830" s="158">
        <v>110</v>
      </c>
      <c r="F2830" s="158">
        <v>0</v>
      </c>
      <c r="G2830" s="158">
        <v>0</v>
      </c>
      <c r="H2830" s="133" t="s">
        <v>2943</v>
      </c>
      <c r="I2830" s="133" t="s">
        <v>548</v>
      </c>
      <c r="J2830" s="158">
        <v>0</v>
      </c>
      <c r="K2830" s="159" t="str">
        <f ca="1">IFERROR(__xludf.DUMMYFUNCTION("GOOGLETRANSLATE(H2830,""th"",""en"")"),"Location address No. 2")</f>
        <v>Location address No. 2</v>
      </c>
    </row>
    <row r="2831" spans="1:11" ht="15.75" hidden="1" customHeight="1">
      <c r="A2831" s="133" t="s">
        <v>7</v>
      </c>
      <c r="B2831" s="133" t="s">
        <v>454</v>
      </c>
      <c r="C2831" s="133" t="s">
        <v>2189</v>
      </c>
      <c r="D2831" s="133" t="s">
        <v>477</v>
      </c>
      <c r="E2831" s="158">
        <v>55</v>
      </c>
      <c r="F2831" s="158">
        <v>0</v>
      </c>
      <c r="G2831" s="158">
        <v>0</v>
      </c>
      <c r="H2831" s="133" t="s">
        <v>2944</v>
      </c>
      <c r="I2831" s="133" t="s">
        <v>548</v>
      </c>
      <c r="J2831" s="158">
        <v>0</v>
      </c>
      <c r="K2831" s="159" t="str">
        <f ca="1">IFERROR(__xludf.DUMMYFUNCTION("GOOGLETRANSLATE(H2831,""th"",""en"")"),"Address, location, # 3")</f>
        <v>Address, location, # 3</v>
      </c>
    </row>
    <row r="2832" spans="1:11" ht="15.75" hidden="1" customHeight="1">
      <c r="A2832" s="133" t="s">
        <v>7</v>
      </c>
      <c r="B2832" s="133" t="s">
        <v>454</v>
      </c>
      <c r="C2832" s="133" t="s">
        <v>2190</v>
      </c>
      <c r="D2832" s="133" t="s">
        <v>477</v>
      </c>
      <c r="E2832" s="158">
        <v>55</v>
      </c>
      <c r="F2832" s="158">
        <v>0</v>
      </c>
      <c r="G2832" s="158">
        <v>0</v>
      </c>
      <c r="H2832" s="133" t="s">
        <v>2945</v>
      </c>
      <c r="I2832" s="133" t="s">
        <v>548</v>
      </c>
      <c r="J2832" s="158">
        <v>0</v>
      </c>
      <c r="K2832" s="159" t="str">
        <f ca="1">IFERROR(__xludf.DUMMYFUNCTION("GOOGLETRANSLATE(H2832,""th"",""en"")"),"Address, location, No. 4")</f>
        <v>Address, location, No. 4</v>
      </c>
    </row>
    <row r="2833" spans="1:11" ht="15.75" hidden="1" customHeight="1">
      <c r="A2833" s="133" t="s">
        <v>7</v>
      </c>
      <c r="B2833" s="133" t="s">
        <v>454</v>
      </c>
      <c r="C2833" s="133" t="s">
        <v>2206</v>
      </c>
      <c r="D2833" s="133" t="s">
        <v>477</v>
      </c>
      <c r="E2833" s="158">
        <v>20</v>
      </c>
      <c r="F2833" s="158">
        <v>0</v>
      </c>
      <c r="G2833" s="158">
        <v>0</v>
      </c>
      <c r="H2833" s="133" t="s">
        <v>2946</v>
      </c>
      <c r="I2833" s="133" t="s">
        <v>548</v>
      </c>
      <c r="J2833" s="158">
        <v>0</v>
      </c>
      <c r="K2833" s="159" t="str">
        <f ca="1">IFERROR(__xludf.DUMMYFUNCTION("GOOGLETRANSLATE(H2833,""th"",""en"")"),"Province name, delivery location")</f>
        <v>Province name, delivery location</v>
      </c>
    </row>
    <row r="2834" spans="1:11" ht="15.75" hidden="1" customHeight="1">
      <c r="A2834" s="133" t="s">
        <v>7</v>
      </c>
      <c r="B2834" s="133" t="s">
        <v>454</v>
      </c>
      <c r="C2834" s="133" t="s">
        <v>2209</v>
      </c>
      <c r="D2834" s="133" t="s">
        <v>477</v>
      </c>
      <c r="E2834" s="158">
        <v>7</v>
      </c>
      <c r="F2834" s="158">
        <v>0</v>
      </c>
      <c r="G2834" s="158">
        <v>0</v>
      </c>
      <c r="H2834" s="133" t="s">
        <v>2947</v>
      </c>
      <c r="I2834" s="133" t="s">
        <v>548</v>
      </c>
      <c r="J2834" s="277">
        <v>1</v>
      </c>
      <c r="K2834" s="159" t="str">
        <f ca="1">IFERROR(__xludf.DUMMYFUNCTION("GOOGLETRANSLATE(H2834,""th"",""en"")"),"Delivery zone code")</f>
        <v>Delivery zone code</v>
      </c>
    </row>
    <row r="2835" spans="1:11" ht="15.75" hidden="1" customHeight="1">
      <c r="A2835" s="133" t="s">
        <v>7</v>
      </c>
      <c r="B2835" s="133" t="s">
        <v>454</v>
      </c>
      <c r="C2835" s="133" t="s">
        <v>2192</v>
      </c>
      <c r="D2835" s="133" t="s">
        <v>477</v>
      </c>
      <c r="E2835" s="158">
        <v>20</v>
      </c>
      <c r="F2835" s="158">
        <v>0</v>
      </c>
      <c r="G2835" s="158">
        <v>0</v>
      </c>
      <c r="H2835" s="133" t="s">
        <v>2948</v>
      </c>
      <c r="I2835" s="133" t="s">
        <v>548</v>
      </c>
      <c r="J2835" s="158">
        <v>0</v>
      </c>
      <c r="K2835" s="159" t="str">
        <f ca="1">IFERROR(__xludf.DUMMYFUNCTION("GOOGLETRANSLATE(H2835,""th"",""en"")"),"Location number")</f>
        <v>Location number</v>
      </c>
    </row>
    <row r="2836" spans="1:11" ht="15.75" hidden="1" customHeight="1">
      <c r="A2836" s="133" t="s">
        <v>7</v>
      </c>
      <c r="B2836" s="133" t="s">
        <v>454</v>
      </c>
      <c r="C2836" s="133" t="s">
        <v>2193</v>
      </c>
      <c r="D2836" s="133" t="s">
        <v>477</v>
      </c>
      <c r="E2836" s="158">
        <v>10</v>
      </c>
      <c r="F2836" s="158">
        <v>0</v>
      </c>
      <c r="G2836" s="158">
        <v>0</v>
      </c>
      <c r="H2836" s="133" t="s">
        <v>2949</v>
      </c>
      <c r="I2836" s="133" t="s">
        <v>548</v>
      </c>
      <c r="J2836" s="277">
        <v>1</v>
      </c>
      <c r="K2836" s="159" t="str">
        <f ca="1">IFERROR(__xludf.DUMMYFUNCTION("GOOGLETRANSLATE(H2836,""th"",""en"")"),"Groups at the delivery location")</f>
        <v>Groups at the delivery location</v>
      </c>
    </row>
    <row r="2837" spans="1:11" ht="15.75" hidden="1" customHeight="1">
      <c r="A2837" s="133" t="s">
        <v>7</v>
      </c>
      <c r="B2837" s="133" t="s">
        <v>454</v>
      </c>
      <c r="C2837" s="133" t="s">
        <v>2196</v>
      </c>
      <c r="D2837" s="133" t="s">
        <v>477</v>
      </c>
      <c r="E2837" s="158">
        <v>10</v>
      </c>
      <c r="F2837" s="158">
        <v>0</v>
      </c>
      <c r="G2837" s="158">
        <v>0</v>
      </c>
      <c r="H2837" s="133" t="s">
        <v>2950</v>
      </c>
      <c r="I2837" s="133" t="s">
        <v>548</v>
      </c>
      <c r="J2837" s="158">
        <v>0</v>
      </c>
      <c r="K2837" s="159" t="str">
        <f ca="1">IFERROR(__xludf.DUMMYFUNCTION("GOOGLETRANSLATE(H2837,""th"",""en"")"),"Floor at the delivery location")</f>
        <v>Floor at the delivery location</v>
      </c>
    </row>
    <row r="2838" spans="1:11" ht="15.75" hidden="1" customHeight="1">
      <c r="A2838" s="133" t="s">
        <v>7</v>
      </c>
      <c r="B2838" s="133" t="s">
        <v>454</v>
      </c>
      <c r="C2838" s="133" t="s">
        <v>2197</v>
      </c>
      <c r="D2838" s="133" t="s">
        <v>477</v>
      </c>
      <c r="E2838" s="158">
        <v>10</v>
      </c>
      <c r="F2838" s="158">
        <v>0</v>
      </c>
      <c r="G2838" s="158">
        <v>0</v>
      </c>
      <c r="H2838" s="133" t="s">
        <v>2951</v>
      </c>
      <c r="I2838" s="133" t="s">
        <v>548</v>
      </c>
      <c r="J2838" s="158">
        <v>0</v>
      </c>
      <c r="K2838" s="159" t="str">
        <f ca="1">IFERROR(__xludf.DUMMYFUNCTION("GOOGLETRANSLATE(H2838,""th"",""en"")"),"Room number, location")</f>
        <v>Room number, location</v>
      </c>
    </row>
    <row r="2839" spans="1:11" ht="15.75" hidden="1" customHeight="1">
      <c r="A2839" s="133" t="s">
        <v>7</v>
      </c>
      <c r="B2839" s="133" t="s">
        <v>454</v>
      </c>
      <c r="C2839" s="133" t="s">
        <v>2200</v>
      </c>
      <c r="D2839" s="133" t="s">
        <v>477</v>
      </c>
      <c r="E2839" s="158">
        <v>35</v>
      </c>
      <c r="F2839" s="158">
        <v>0</v>
      </c>
      <c r="G2839" s="158">
        <v>0</v>
      </c>
      <c r="H2839" s="133" t="s">
        <v>2952</v>
      </c>
      <c r="I2839" s="133" t="s">
        <v>548</v>
      </c>
      <c r="J2839" s="158">
        <v>0</v>
      </c>
      <c r="K2839" s="159" t="str">
        <f ca="1">IFERROR(__xludf.DUMMYFUNCTION("GOOGLETRANSLATE(H2839,""th"",""en"")"),"Name, alley, delivery location")</f>
        <v>Name, alley, delivery location</v>
      </c>
    </row>
    <row r="2840" spans="1:11" ht="15.75" hidden="1" customHeight="1">
      <c r="A2840" s="133" t="s">
        <v>7</v>
      </c>
      <c r="B2840" s="133" t="s">
        <v>454</v>
      </c>
      <c r="C2840" s="133" t="s">
        <v>2201</v>
      </c>
      <c r="D2840" s="133" t="s">
        <v>477</v>
      </c>
      <c r="E2840" s="158">
        <v>35</v>
      </c>
      <c r="F2840" s="158">
        <v>0</v>
      </c>
      <c r="G2840" s="158">
        <v>0</v>
      </c>
      <c r="H2840" s="133" t="s">
        <v>2953</v>
      </c>
      <c r="I2840" s="133" t="s">
        <v>548</v>
      </c>
      <c r="J2840" s="158">
        <v>0</v>
      </c>
      <c r="K2840" s="159" t="str">
        <f ca="1">IFERROR(__xludf.DUMMYFUNCTION("GOOGLETRANSLATE(H2840,""th"",""en"")"),"Road name, location, delivery")</f>
        <v>Road name, location, delivery</v>
      </c>
    </row>
    <row r="2841" spans="1:11" ht="15.75" hidden="1" customHeight="1">
      <c r="A2841" s="133" t="s">
        <v>7</v>
      </c>
      <c r="B2841" s="133" t="s">
        <v>454</v>
      </c>
      <c r="C2841" s="133" t="s">
        <v>2202</v>
      </c>
      <c r="D2841" s="133" t="s">
        <v>477</v>
      </c>
      <c r="E2841" s="158">
        <v>50</v>
      </c>
      <c r="F2841" s="158">
        <v>0</v>
      </c>
      <c r="G2841" s="158">
        <v>0</v>
      </c>
      <c r="H2841" s="133" t="s">
        <v>2954</v>
      </c>
      <c r="I2841" s="133" t="s">
        <v>548</v>
      </c>
      <c r="J2841" s="158">
        <v>0</v>
      </c>
      <c r="K2841" s="159" t="str">
        <f ca="1">IFERROR(__xludf.DUMMYFUNCTION("GOOGLETRANSLATE(H2841,""th"",""en"")"),"District / Subdistrict")</f>
        <v>District / Subdistrict</v>
      </c>
    </row>
    <row r="2842" spans="1:11" ht="15.75" hidden="1" customHeight="1">
      <c r="A2842" s="133" t="s">
        <v>7</v>
      </c>
      <c r="B2842" s="133" t="s">
        <v>454</v>
      </c>
      <c r="C2842" s="133" t="s">
        <v>2204</v>
      </c>
      <c r="D2842" s="133" t="s">
        <v>477</v>
      </c>
      <c r="E2842" s="158">
        <v>50</v>
      </c>
      <c r="F2842" s="158">
        <v>0</v>
      </c>
      <c r="G2842" s="158">
        <v>0</v>
      </c>
      <c r="H2842" s="133" t="s">
        <v>2955</v>
      </c>
      <c r="I2842" s="133" t="s">
        <v>548</v>
      </c>
      <c r="J2842" s="158">
        <v>0</v>
      </c>
      <c r="K2842" s="159" t="str">
        <f ca="1">IFERROR(__xludf.DUMMYFUNCTION("GOOGLETRANSLATE(H2842,""th"",""en"")"),"District / District Location")</f>
        <v>District / District Location</v>
      </c>
    </row>
    <row r="2843" spans="1:11" ht="15.75" hidden="1" customHeight="1">
      <c r="A2843" s="133" t="s">
        <v>7</v>
      </c>
      <c r="B2843" s="133" t="s">
        <v>454</v>
      </c>
      <c r="C2843" s="133" t="s">
        <v>2208</v>
      </c>
      <c r="D2843" s="133" t="s">
        <v>477</v>
      </c>
      <c r="E2843" s="158">
        <v>5</v>
      </c>
      <c r="F2843" s="158">
        <v>0</v>
      </c>
      <c r="G2843" s="158">
        <v>0</v>
      </c>
      <c r="H2843" s="133" t="s">
        <v>2956</v>
      </c>
      <c r="I2843" s="133" t="s">
        <v>548</v>
      </c>
      <c r="J2843" s="158">
        <v>0</v>
      </c>
      <c r="K2843" s="159" t="str">
        <f ca="1">IFERROR(__xludf.DUMMYFUNCTION("GOOGLETRANSLATE(H2843,""th"",""en"")"),"Postal code, delivery location")</f>
        <v>Postal code, delivery location</v>
      </c>
    </row>
    <row r="2844" spans="1:11" ht="15.75" hidden="1" customHeight="1">
      <c r="A2844" s="133" t="s">
        <v>7</v>
      </c>
      <c r="B2844" s="133" t="s">
        <v>454</v>
      </c>
      <c r="C2844" s="133" t="s">
        <v>2194</v>
      </c>
      <c r="D2844" s="133" t="s">
        <v>484</v>
      </c>
      <c r="E2844" s="158">
        <v>4</v>
      </c>
      <c r="F2844" s="158">
        <v>10</v>
      </c>
      <c r="G2844" s="158">
        <v>0</v>
      </c>
      <c r="H2844" s="133" t="s">
        <v>2957</v>
      </c>
      <c r="I2844" s="133" t="s">
        <v>615</v>
      </c>
      <c r="J2844" s="158">
        <v>0</v>
      </c>
      <c r="K2844" s="159" t="str">
        <f ca="1">IFERROR(__xludf.DUMMYFUNCTION("GOOGLETRANSLATE(H2844,""th"",""en"")"),"Location building code")</f>
        <v>Location building code</v>
      </c>
    </row>
    <row r="2845" spans="1:11" ht="15.75" hidden="1" customHeight="1">
      <c r="A2845" s="133" t="s">
        <v>7</v>
      </c>
      <c r="B2845" s="133" t="s">
        <v>454</v>
      </c>
      <c r="C2845" s="133" t="s">
        <v>2195</v>
      </c>
      <c r="D2845" s="133" t="s">
        <v>477</v>
      </c>
      <c r="E2845" s="158">
        <v>75</v>
      </c>
      <c r="F2845" s="158">
        <v>0</v>
      </c>
      <c r="G2845" s="158">
        <v>0</v>
      </c>
      <c r="H2845" s="133" t="s">
        <v>2958</v>
      </c>
      <c r="I2845" s="133" t="s">
        <v>548</v>
      </c>
      <c r="J2845" s="158">
        <v>0</v>
      </c>
      <c r="K2845" s="159" t="str">
        <f ca="1">IFERROR(__xludf.DUMMYFUNCTION("GOOGLETRANSLATE(H2845,""th"",""en"")"),"Building name, delivery location")</f>
        <v>Building name, delivery location</v>
      </c>
    </row>
    <row r="2846" spans="1:11" ht="15.75" hidden="1" customHeight="1">
      <c r="A2846" s="133" t="s">
        <v>7</v>
      </c>
      <c r="B2846" s="133" t="s">
        <v>454</v>
      </c>
      <c r="C2846" s="133" t="s">
        <v>2198</v>
      </c>
      <c r="D2846" s="133" t="s">
        <v>484</v>
      </c>
      <c r="E2846" s="158">
        <v>4</v>
      </c>
      <c r="F2846" s="158">
        <v>10</v>
      </c>
      <c r="G2846" s="158">
        <v>0</v>
      </c>
      <c r="H2846" s="133" t="s">
        <v>2959</v>
      </c>
      <c r="I2846" s="133" t="s">
        <v>615</v>
      </c>
      <c r="J2846" s="158">
        <v>0</v>
      </c>
      <c r="K2846" s="159" t="str">
        <f ca="1">IFERROR(__xludf.DUMMYFUNCTION("GOOGLETRANSLATE(H2846,""th"",""en"")"),"Location code near Delivery location")</f>
        <v>Location code near Delivery location</v>
      </c>
    </row>
    <row r="2847" spans="1:11" ht="15.75" hidden="1" customHeight="1">
      <c r="A2847" s="133" t="s">
        <v>7</v>
      </c>
      <c r="B2847" s="133" t="s">
        <v>454</v>
      </c>
      <c r="C2847" s="133" t="s">
        <v>2199</v>
      </c>
      <c r="D2847" s="133" t="s">
        <v>477</v>
      </c>
      <c r="E2847" s="158">
        <v>100</v>
      </c>
      <c r="F2847" s="158">
        <v>0</v>
      </c>
      <c r="G2847" s="158">
        <v>0</v>
      </c>
      <c r="H2847" s="133" t="s">
        <v>2960</v>
      </c>
      <c r="I2847" s="133" t="s">
        <v>548</v>
      </c>
      <c r="J2847" s="158">
        <v>0</v>
      </c>
      <c r="K2847" s="159" t="str">
        <f ca="1">IFERROR(__xludf.DUMMYFUNCTION("GOOGLETRANSLATE(H2847,""th"",""en"")"),"Name Name Delivery location")</f>
        <v>Name Name Delivery location</v>
      </c>
    </row>
    <row r="2848" spans="1:11" ht="15.75" hidden="1" customHeight="1">
      <c r="A2848" s="133" t="s">
        <v>7</v>
      </c>
      <c r="B2848" s="133" t="s">
        <v>454</v>
      </c>
      <c r="C2848" s="133" t="s">
        <v>2961</v>
      </c>
      <c r="D2848" s="133" t="s">
        <v>481</v>
      </c>
      <c r="E2848" s="158">
        <v>9</v>
      </c>
      <c r="F2848" s="158">
        <v>11</v>
      </c>
      <c r="G2848" s="158">
        <v>8</v>
      </c>
      <c r="H2848" s="133" t="s">
        <v>2962</v>
      </c>
      <c r="I2848" s="133" t="s">
        <v>615</v>
      </c>
      <c r="J2848" s="158">
        <v>0</v>
      </c>
      <c r="K2848" s="159" t="str">
        <f ca="1">IFERROR(__xludf.DUMMYFUNCTION("GOOGLETRANSLATE(H2848,""th"",""en"")"),"Latitude coordinates delivery location")</f>
        <v>Latitude coordinates delivery location</v>
      </c>
    </row>
    <row r="2849" spans="1:11" ht="15.75" hidden="1" customHeight="1">
      <c r="A2849" s="133" t="s">
        <v>7</v>
      </c>
      <c r="B2849" s="133" t="s">
        <v>454</v>
      </c>
      <c r="C2849" s="133" t="s">
        <v>2963</v>
      </c>
      <c r="D2849" s="133" t="s">
        <v>481</v>
      </c>
      <c r="E2849" s="158">
        <v>9</v>
      </c>
      <c r="F2849" s="158">
        <v>11</v>
      </c>
      <c r="G2849" s="158">
        <v>8</v>
      </c>
      <c r="H2849" s="133" t="s">
        <v>2964</v>
      </c>
      <c r="I2849" s="133" t="s">
        <v>615</v>
      </c>
      <c r="J2849" s="158">
        <v>0</v>
      </c>
      <c r="K2849" s="159" t="str">
        <f ca="1">IFERROR(__xludf.DUMMYFUNCTION("GOOGLETRANSLATE(H2849,""th"",""en"")"),"Longtitude coordinates, delivery places")</f>
        <v>Longtitude coordinates, delivery places</v>
      </c>
    </row>
    <row r="2850" spans="1:11" ht="15.75" hidden="1" customHeight="1">
      <c r="A2850" s="133" t="s">
        <v>7</v>
      </c>
      <c r="B2850" s="133" t="s">
        <v>454</v>
      </c>
      <c r="C2850" s="133" t="s">
        <v>2965</v>
      </c>
      <c r="D2850" s="133" t="s">
        <v>477</v>
      </c>
      <c r="E2850" s="158">
        <v>100</v>
      </c>
      <c r="F2850" s="158">
        <v>0</v>
      </c>
      <c r="G2850" s="158">
        <v>0</v>
      </c>
      <c r="H2850" s="133" t="s">
        <v>2966</v>
      </c>
      <c r="I2850" s="133" t="s">
        <v>548</v>
      </c>
      <c r="J2850" s="158">
        <v>0</v>
      </c>
      <c r="K2850" s="159" t="str">
        <f ca="1">IFERROR(__xludf.DUMMYFUNCTION("GOOGLETRANSLATE(H2850,""th"",""en"")"),"Timestamp Update Information")</f>
        <v>Timestamp Update Information</v>
      </c>
    </row>
    <row r="2851" spans="1:11" ht="15.75" hidden="1" customHeight="1">
      <c r="A2851" s="133" t="s">
        <v>7</v>
      </c>
      <c r="B2851" s="133" t="s">
        <v>454</v>
      </c>
      <c r="C2851" s="133" t="s">
        <v>2217</v>
      </c>
      <c r="D2851" s="133" t="s">
        <v>477</v>
      </c>
      <c r="E2851" s="158">
        <v>3</v>
      </c>
      <c r="F2851" s="158">
        <v>0</v>
      </c>
      <c r="G2851" s="158">
        <v>0</v>
      </c>
      <c r="H2851" s="133" t="s">
        <v>2967</v>
      </c>
      <c r="I2851" s="133" t="s">
        <v>596</v>
      </c>
      <c r="J2851" s="158">
        <v>0</v>
      </c>
      <c r="K2851" s="159" t="str">
        <f ca="1">IFERROR(__xludf.DUMMYFUNCTION("GOOGLETRANSLATE(H2851,""th"",""en"")"),"Attach PO documents (YES / NO)")</f>
        <v>Attach PO documents (YES / NO)</v>
      </c>
    </row>
    <row r="2852" spans="1:11" ht="15.75" hidden="1" customHeight="1">
      <c r="A2852" s="133" t="s">
        <v>7</v>
      </c>
      <c r="B2852" s="133" t="s">
        <v>454</v>
      </c>
      <c r="C2852" s="133" t="s">
        <v>2219</v>
      </c>
      <c r="D2852" s="133" t="s">
        <v>477</v>
      </c>
      <c r="E2852" s="158">
        <v>3</v>
      </c>
      <c r="F2852" s="158">
        <v>0</v>
      </c>
      <c r="G2852" s="158">
        <v>0</v>
      </c>
      <c r="H2852" s="133" t="s">
        <v>2968</v>
      </c>
      <c r="I2852" s="133" t="s">
        <v>596</v>
      </c>
      <c r="J2852" s="158">
        <v>0</v>
      </c>
      <c r="K2852" s="159" t="str">
        <f ca="1">IFERROR(__xludf.DUMMYFUNCTION("GOOGLETRANSLATE(H2852,""th"",""en"")"),"Attach Bill (YES / NO) documents")</f>
        <v>Attach Bill (YES / NO) documents</v>
      </c>
    </row>
    <row r="2853" spans="1:11" ht="15.75" hidden="1" customHeight="1">
      <c r="A2853" s="133" t="s">
        <v>7</v>
      </c>
      <c r="B2853" s="133" t="s">
        <v>454</v>
      </c>
      <c r="C2853" s="133" t="s">
        <v>2969</v>
      </c>
      <c r="D2853" s="133" t="s">
        <v>477</v>
      </c>
      <c r="E2853" s="158">
        <v>10</v>
      </c>
      <c r="F2853" s="158">
        <v>0</v>
      </c>
      <c r="G2853" s="158">
        <v>0</v>
      </c>
      <c r="H2853" s="133" t="s">
        <v>2970</v>
      </c>
      <c r="I2853" s="133" t="s">
        <v>548</v>
      </c>
      <c r="J2853" s="158">
        <v>0</v>
      </c>
      <c r="K2853" s="159" t="str">
        <f ca="1">IFERROR(__xludf.DUMMYFUNCTION("GOOGLETRANSLATE(H2853,""th"",""en"")"),"Payment (Cash, Credit)")</f>
        <v>Payment (Cash, Credit)</v>
      </c>
    </row>
    <row r="2854" spans="1:11" ht="15.75" hidden="1" customHeight="1">
      <c r="A2854" s="133" t="s">
        <v>7</v>
      </c>
      <c r="B2854" s="133" t="s">
        <v>454</v>
      </c>
      <c r="C2854" s="133" t="s">
        <v>2971</v>
      </c>
      <c r="D2854" s="133" t="s">
        <v>477</v>
      </c>
      <c r="E2854" s="158">
        <v>30</v>
      </c>
      <c r="F2854" s="158">
        <v>0</v>
      </c>
      <c r="G2854" s="158">
        <v>0</v>
      </c>
      <c r="H2854" s="133" t="s">
        <v>2972</v>
      </c>
      <c r="I2854" s="133" t="s">
        <v>548</v>
      </c>
      <c r="J2854" s="158">
        <v>0</v>
      </c>
      <c r="K2854" s="159" t="str">
        <f ca="1">IFERROR(__xludf.DUMMYFUNCTION("GOOGLETRANSLATE(H2854,""th"",""en"")"),"Payment type (Bank Transfer, Cash On Delivery, ...)")</f>
        <v>Payment type (Bank Transfer, Cash On Delivery, ...)</v>
      </c>
    </row>
    <row r="2855" spans="1:11" ht="15.75" hidden="1" customHeight="1">
      <c r="A2855" s="133" t="s">
        <v>7</v>
      </c>
      <c r="B2855" s="133" t="s">
        <v>454</v>
      </c>
      <c r="C2855" s="133" t="s">
        <v>2973</v>
      </c>
      <c r="D2855" s="133" t="s">
        <v>477</v>
      </c>
      <c r="E2855" s="158">
        <v>100</v>
      </c>
      <c r="F2855" s="158">
        <v>0</v>
      </c>
      <c r="G2855" s="158">
        <v>0</v>
      </c>
      <c r="H2855" s="133" t="s">
        <v>2974</v>
      </c>
      <c r="I2855" s="133" t="s">
        <v>548</v>
      </c>
      <c r="J2855" s="158">
        <v>0</v>
      </c>
      <c r="K2855" s="159" t="str">
        <f ca="1">IFERROR(__xludf.DUMMYFUNCTION("GOOGLETRANSLATE(H2855,""th"",""en"")"),"Payment type (cash, money transfer, ...)")</f>
        <v>Payment type (cash, money transfer, ...)</v>
      </c>
    </row>
    <row r="2856" spans="1:11" ht="15.75" hidden="1" customHeight="1">
      <c r="A2856" s="133" t="s">
        <v>7</v>
      </c>
      <c r="B2856" s="133" t="s">
        <v>454</v>
      </c>
      <c r="C2856" s="133" t="s">
        <v>2975</v>
      </c>
      <c r="D2856" s="133" t="s">
        <v>484</v>
      </c>
      <c r="E2856" s="158">
        <v>4</v>
      </c>
      <c r="F2856" s="158">
        <v>10</v>
      </c>
      <c r="G2856" s="158">
        <v>0</v>
      </c>
      <c r="H2856" s="133" t="s">
        <v>2976</v>
      </c>
      <c r="I2856" s="133" t="s">
        <v>548</v>
      </c>
      <c r="J2856" s="158">
        <v>0</v>
      </c>
      <c r="K2856" s="159" t="str">
        <f ca="1">IFERROR(__xludf.DUMMYFUNCTION("GOOGLETRANSLATE(H2856,""th"",""en"")"),"Number of Credit Term's Day Credit")</f>
        <v>Number of Credit Term's Day Credit</v>
      </c>
    </row>
    <row r="2857" spans="1:11" ht="15.75" hidden="1" customHeight="1">
      <c r="A2857" s="133" t="s">
        <v>7</v>
      </c>
      <c r="B2857" s="133" t="s">
        <v>454</v>
      </c>
      <c r="C2857" s="133" t="s">
        <v>2977</v>
      </c>
      <c r="D2857" s="133" t="s">
        <v>477</v>
      </c>
      <c r="E2857" s="158">
        <v>20</v>
      </c>
      <c r="F2857" s="158">
        <v>0</v>
      </c>
      <c r="G2857" s="158">
        <v>0</v>
      </c>
      <c r="H2857" s="133" t="s">
        <v>2978</v>
      </c>
      <c r="I2857" s="133" t="s">
        <v>548</v>
      </c>
      <c r="J2857" s="158">
        <v>0</v>
      </c>
      <c r="K2857" s="159" t="str">
        <f ca="1">IFERROR(__xludf.DUMMYFUNCTION("GOOGLETRANSLATE(H2857,""th"",""en"")"),"How to pay a credit card page (normal swipe, installment swipe)")</f>
        <v>How to pay a credit card page (normal swipe, installment swipe)</v>
      </c>
    </row>
    <row r="2858" spans="1:11" ht="15.75" hidden="1" customHeight="1">
      <c r="A2858" s="133" t="s">
        <v>7</v>
      </c>
      <c r="B2858" s="133" t="s">
        <v>454</v>
      </c>
      <c r="C2858" s="133" t="s">
        <v>2125</v>
      </c>
      <c r="D2858" s="133" t="s">
        <v>484</v>
      </c>
      <c r="E2858" s="158">
        <v>4</v>
      </c>
      <c r="F2858" s="158">
        <v>10</v>
      </c>
      <c r="G2858" s="158">
        <v>0</v>
      </c>
      <c r="H2858" s="133" t="s">
        <v>2979</v>
      </c>
      <c r="I2858" s="133" t="s">
        <v>615</v>
      </c>
      <c r="J2858" s="158">
        <v>0</v>
      </c>
      <c r="K2858" s="159" t="str">
        <f ca="1">IFERROR(__xludf.DUMMYFUNCTION("GOOGLETRANSLATE(H2858,""th"",""en"")"),"Payment code Which bank card?")</f>
        <v>Payment code Which bank card?</v>
      </c>
    </row>
    <row r="2859" spans="1:11" ht="15.75" hidden="1" customHeight="1">
      <c r="A2859" s="133" t="s">
        <v>7</v>
      </c>
      <c r="B2859" s="133" t="s">
        <v>454</v>
      </c>
      <c r="C2859" s="133" t="s">
        <v>2129</v>
      </c>
      <c r="D2859" s="133" t="s">
        <v>477</v>
      </c>
      <c r="E2859" s="158">
        <v>100</v>
      </c>
      <c r="F2859" s="158">
        <v>0</v>
      </c>
      <c r="G2859" s="158">
        <v>0</v>
      </c>
      <c r="H2859" s="133" t="s">
        <v>2980</v>
      </c>
      <c r="I2859" s="133" t="s">
        <v>548</v>
      </c>
      <c r="J2859" s="158">
        <v>0</v>
      </c>
      <c r="K2859" s="159" t="str">
        <f ca="1">IFERROR(__xludf.DUMMYFUNCTION("GOOGLETRANSLATE(H2859,""th"",""en"")"),"What is the bank's credit card name?")</f>
        <v>What is the bank's credit card name?</v>
      </c>
    </row>
    <row r="2860" spans="1:11" ht="15.75" hidden="1" customHeight="1">
      <c r="A2860" s="133" t="s">
        <v>7</v>
      </c>
      <c r="B2860" s="133" t="s">
        <v>454</v>
      </c>
      <c r="C2860" s="133" t="s">
        <v>1440</v>
      </c>
      <c r="D2860" s="133" t="s">
        <v>481</v>
      </c>
      <c r="E2860" s="158">
        <v>5</v>
      </c>
      <c r="F2860" s="158">
        <v>9</v>
      </c>
      <c r="G2860" s="158">
        <v>2</v>
      </c>
      <c r="H2860" s="133" t="s">
        <v>1441</v>
      </c>
      <c r="I2860" s="133" t="s">
        <v>1223</v>
      </c>
      <c r="J2860" s="158">
        <v>0</v>
      </c>
      <c r="K2860" s="159" t="str">
        <f ca="1">IFERROR(__xludf.DUMMYFUNCTION("GOOGLETRANSLATE(H2860,""th"",""en"")"),"Customer discount (%)")</f>
        <v>Customer discount (%)</v>
      </c>
    </row>
    <row r="2861" spans="1:11" ht="15.75" hidden="1" customHeight="1">
      <c r="A2861" s="133" t="s">
        <v>7</v>
      </c>
      <c r="B2861" s="133" t="s">
        <v>454</v>
      </c>
      <c r="C2861" s="133" t="s">
        <v>2981</v>
      </c>
      <c r="D2861" s="133" t="s">
        <v>481</v>
      </c>
      <c r="E2861" s="158">
        <v>5</v>
      </c>
      <c r="F2861" s="158">
        <v>9</v>
      </c>
      <c r="G2861" s="158">
        <v>2</v>
      </c>
      <c r="H2861" s="133" t="s">
        <v>2982</v>
      </c>
      <c r="I2861" s="133" t="s">
        <v>615</v>
      </c>
      <c r="J2861" s="158">
        <v>0</v>
      </c>
      <c r="K2861" s="159" t="str">
        <f ca="1">IFERROR(__xludf.DUMMYFUNCTION("GOOGLETRANSLATE(H2861,""th"",""en"")"),"Discount (baht)")</f>
        <v>Discount (baht)</v>
      </c>
    </row>
    <row r="2862" spans="1:11" ht="15.75" hidden="1" customHeight="1">
      <c r="A2862" s="133" t="s">
        <v>7</v>
      </c>
      <c r="B2862" s="133" t="s">
        <v>454</v>
      </c>
      <c r="C2862" s="133" t="s">
        <v>1442</v>
      </c>
      <c r="D2862" s="133" t="s">
        <v>481</v>
      </c>
      <c r="E2862" s="158">
        <v>5</v>
      </c>
      <c r="F2862" s="158">
        <v>9</v>
      </c>
      <c r="G2862" s="158">
        <v>2</v>
      </c>
      <c r="H2862" s="133" t="s">
        <v>2983</v>
      </c>
      <c r="I2862" s="133" t="s">
        <v>1223</v>
      </c>
      <c r="J2862" s="158">
        <v>0</v>
      </c>
      <c r="K2862" s="159" t="str">
        <f ca="1">IFERROR(__xludf.DUMMYFUNCTION("GOOGLETRANSLATE(H2862,""th"",""en"")"),"tax (%)")</f>
        <v>tax (%)</v>
      </c>
    </row>
    <row r="2863" spans="1:11" ht="15.75" hidden="1" customHeight="1">
      <c r="A2863" s="133" t="s">
        <v>7</v>
      </c>
      <c r="B2863" s="133" t="s">
        <v>454</v>
      </c>
      <c r="C2863" s="133" t="s">
        <v>2801</v>
      </c>
      <c r="D2863" s="133" t="s">
        <v>481</v>
      </c>
      <c r="E2863" s="158">
        <v>5</v>
      </c>
      <c r="F2863" s="158">
        <v>9</v>
      </c>
      <c r="G2863" s="158">
        <v>2</v>
      </c>
      <c r="H2863" s="133" t="s">
        <v>2984</v>
      </c>
      <c r="I2863" s="133" t="s">
        <v>1223</v>
      </c>
      <c r="J2863" s="158">
        <v>0</v>
      </c>
      <c r="K2863" s="159" t="str">
        <f ca="1">IFERROR(__xludf.DUMMYFUNCTION("GOOGLETRANSLATE(H2863,""th"",""en"")"),"Customer discount (%) originally before editing")</f>
        <v>Customer discount (%) originally before editing</v>
      </c>
    </row>
    <row r="2864" spans="1:11" ht="15.75" hidden="1" customHeight="1">
      <c r="A2864" s="133" t="s">
        <v>7</v>
      </c>
      <c r="B2864" s="133" t="s">
        <v>454</v>
      </c>
      <c r="C2864" s="133" t="s">
        <v>2985</v>
      </c>
      <c r="D2864" s="133" t="s">
        <v>481</v>
      </c>
      <c r="E2864" s="158">
        <v>5</v>
      </c>
      <c r="F2864" s="158">
        <v>9</v>
      </c>
      <c r="G2864" s="158">
        <v>2</v>
      </c>
      <c r="H2864" s="133" t="s">
        <v>2986</v>
      </c>
      <c r="I2864" s="133" t="s">
        <v>615</v>
      </c>
      <c r="J2864" s="158">
        <v>0</v>
      </c>
      <c r="K2864" s="159" t="str">
        <f ca="1">IFERROR(__xludf.DUMMYFUNCTION("GOOGLETRANSLATE(H2864,""th"",""en"")"),"Discount (baht) originally before editing")</f>
        <v>Discount (baht) originally before editing</v>
      </c>
    </row>
    <row r="2865" spans="1:11" ht="15.75" hidden="1" customHeight="1">
      <c r="A2865" s="133" t="s">
        <v>7</v>
      </c>
      <c r="B2865" s="133" t="s">
        <v>454</v>
      </c>
      <c r="C2865" s="133" t="s">
        <v>2987</v>
      </c>
      <c r="D2865" s="133" t="s">
        <v>481</v>
      </c>
      <c r="E2865" s="158">
        <v>5</v>
      </c>
      <c r="F2865" s="158">
        <v>9</v>
      </c>
      <c r="G2865" s="158">
        <v>2</v>
      </c>
      <c r="H2865" s="133" t="s">
        <v>2988</v>
      </c>
      <c r="I2865" s="133" t="s">
        <v>1223</v>
      </c>
      <c r="J2865" s="158">
        <v>0</v>
      </c>
      <c r="K2865" s="159" t="str">
        <f ca="1">IFERROR(__xludf.DUMMYFUNCTION("GOOGLETRANSLATE(H2865,""th"",""en"")"),"Tax (%) originally before editing")</f>
        <v>Tax (%) originally before editing</v>
      </c>
    </row>
    <row r="2866" spans="1:11" ht="15.75" hidden="1" customHeight="1">
      <c r="A2866" s="133" t="s">
        <v>7</v>
      </c>
      <c r="B2866" s="133" t="s">
        <v>454</v>
      </c>
      <c r="C2866" s="133" t="s">
        <v>2989</v>
      </c>
      <c r="D2866" s="133" t="s">
        <v>477</v>
      </c>
      <c r="E2866" s="158">
        <v>3</v>
      </c>
      <c r="F2866" s="158">
        <v>0</v>
      </c>
      <c r="G2866" s="158">
        <v>0</v>
      </c>
      <c r="H2866" s="133" t="s">
        <v>2990</v>
      </c>
      <c r="I2866" s="133" t="s">
        <v>596</v>
      </c>
      <c r="J2866" s="158">
        <v>0</v>
      </c>
      <c r="K2866" s="159" t="str">
        <f ca="1">IFERROR(__xludf.DUMMYFUNCTION("GOOGLETRANSLATE(H2866,""th"",""en"")"),"Special shipping, delivery location (YES, NO)")</f>
        <v>Special shipping, delivery location (YES, NO)</v>
      </c>
    </row>
    <row r="2867" spans="1:11" ht="15.75" hidden="1" customHeight="1">
      <c r="A2867" s="133" t="s">
        <v>7</v>
      </c>
      <c r="B2867" s="133" t="s">
        <v>454</v>
      </c>
      <c r="C2867" s="133" t="s">
        <v>1831</v>
      </c>
      <c r="D2867" s="133" t="s">
        <v>481</v>
      </c>
      <c r="E2867" s="158">
        <v>5</v>
      </c>
      <c r="F2867" s="158">
        <v>9</v>
      </c>
      <c r="G2867" s="158">
        <v>2</v>
      </c>
      <c r="H2867" s="133" t="s">
        <v>2991</v>
      </c>
      <c r="I2867" s="133" t="s">
        <v>1223</v>
      </c>
      <c r="J2867" s="158">
        <v>0</v>
      </c>
      <c r="K2867" s="159" t="str">
        <f ca="1">IFERROR(__xludf.DUMMYFUNCTION("GOOGLETRANSLATE(H2867,""th"",""en"")"),"Including special shipping by all items")</f>
        <v>Including special shipping by all items</v>
      </c>
    </row>
    <row r="2868" spans="1:11" ht="15.75" hidden="1" customHeight="1">
      <c r="A2868" s="133" t="s">
        <v>7</v>
      </c>
      <c r="B2868" s="133" t="s">
        <v>454</v>
      </c>
      <c r="C2868" s="133" t="s">
        <v>2811</v>
      </c>
      <c r="D2868" s="133" t="s">
        <v>481</v>
      </c>
      <c r="E2868" s="158">
        <v>5</v>
      </c>
      <c r="F2868" s="158">
        <v>9</v>
      </c>
      <c r="G2868" s="158">
        <v>2</v>
      </c>
      <c r="H2868" s="133" t="s">
        <v>2992</v>
      </c>
      <c r="I2868" s="133" t="s">
        <v>1223</v>
      </c>
      <c r="J2868" s="158">
        <v>0</v>
      </c>
      <c r="K2868" s="159" t="str">
        <f ca="1">IFERROR(__xludf.DUMMYFUNCTION("GOOGLETRANSLATE(H2868,""th"",""en"")"),"Including special shipping by all items before editing")</f>
        <v>Including special shipping by all items before editing</v>
      </c>
    </row>
    <row r="2869" spans="1:11" ht="15.75" hidden="1" customHeight="1">
      <c r="A2869" s="133" t="s">
        <v>7</v>
      </c>
      <c r="B2869" s="133" t="s">
        <v>454</v>
      </c>
      <c r="C2869" s="133" t="s">
        <v>2993</v>
      </c>
      <c r="D2869" s="133" t="s">
        <v>481</v>
      </c>
      <c r="E2869" s="158">
        <v>5</v>
      </c>
      <c r="F2869" s="158">
        <v>9</v>
      </c>
      <c r="G2869" s="158">
        <v>2</v>
      </c>
      <c r="H2869" s="133" t="s">
        <v>2994</v>
      </c>
      <c r="I2869" s="133" t="s">
        <v>1223</v>
      </c>
      <c r="J2869" s="158">
        <v>0</v>
      </c>
      <c r="K2869" s="159" t="str">
        <f ca="1">IFERROR(__xludf.DUMMYFUNCTION("GOOGLETRANSLATE(H2869,""th"",""en"")"),"Transport by Order")</f>
        <v>Transport by Order</v>
      </c>
    </row>
    <row r="2870" spans="1:11" ht="15.75" hidden="1" customHeight="1">
      <c r="A2870" s="133" t="s">
        <v>7</v>
      </c>
      <c r="B2870" s="133" t="s">
        <v>454</v>
      </c>
      <c r="C2870" s="133" t="s">
        <v>2995</v>
      </c>
      <c r="D2870" s="133" t="s">
        <v>481</v>
      </c>
      <c r="E2870" s="158">
        <v>5</v>
      </c>
      <c r="F2870" s="158">
        <v>9</v>
      </c>
      <c r="G2870" s="158">
        <v>2</v>
      </c>
      <c r="H2870" s="133" t="s">
        <v>2996</v>
      </c>
      <c r="I2870" s="133" t="s">
        <v>1223</v>
      </c>
      <c r="J2870" s="158">
        <v>0</v>
      </c>
      <c r="K2870" s="159" t="str">
        <f ca="1">IFERROR(__xludf.DUMMYFUNCTION("GOOGLETRANSLATE(H2870,""th"",""en"")"),"The original Order freight before editing")</f>
        <v>The original Order freight before editing</v>
      </c>
    </row>
    <row r="2871" spans="1:11" ht="15.75" hidden="1" customHeight="1">
      <c r="A2871" s="133" t="s">
        <v>7</v>
      </c>
      <c r="B2871" s="133" t="s">
        <v>454</v>
      </c>
      <c r="C2871" s="133" t="s">
        <v>2997</v>
      </c>
      <c r="D2871" s="133" t="s">
        <v>481</v>
      </c>
      <c r="E2871" s="158">
        <v>5</v>
      </c>
      <c r="F2871" s="158">
        <v>9</v>
      </c>
      <c r="G2871" s="158">
        <v>2</v>
      </c>
      <c r="H2871" s="133" t="s">
        <v>2998</v>
      </c>
      <c r="I2871" s="133" t="s">
        <v>1223</v>
      </c>
      <c r="J2871" s="158">
        <v>0</v>
      </c>
      <c r="K2871" s="159" t="str">
        <f ca="1">IFERROR(__xludf.DUMMYFUNCTION("GOOGLETRANSLATE(H2871,""th"",""en"")"),"Include all BYITEM special shipping with the byorder shipping fee.")</f>
        <v>Include all BYITEM special shipping with the byorder shipping fee.</v>
      </c>
    </row>
    <row r="2872" spans="1:11" ht="15.75" hidden="1" customHeight="1">
      <c r="A2872" s="133" t="s">
        <v>7</v>
      </c>
      <c r="B2872" s="133" t="s">
        <v>454</v>
      </c>
      <c r="C2872" s="133" t="s">
        <v>1913</v>
      </c>
      <c r="D2872" s="133" t="s">
        <v>481</v>
      </c>
      <c r="E2872" s="158">
        <v>5</v>
      </c>
      <c r="F2872" s="158">
        <v>9</v>
      </c>
      <c r="G2872" s="158">
        <v>2</v>
      </c>
      <c r="H2872" s="133" t="s">
        <v>2999</v>
      </c>
      <c r="I2872" s="133" t="s">
        <v>1223</v>
      </c>
      <c r="J2872" s="158">
        <v>0</v>
      </c>
      <c r="K2872" s="159" t="str">
        <f ca="1">IFERROR(__xludf.DUMMYFUNCTION("GOOGLETRANSLATE(H2872,""th"",""en"")"),"The total amount after deducting the discount of the product is not a tax (excluding tax)")</f>
        <v>The total amount after deducting the discount of the product is not a tax (excluding tax)</v>
      </c>
    </row>
    <row r="2873" spans="1:11" ht="15.75" hidden="1" customHeight="1">
      <c r="A2873" s="133" t="s">
        <v>7</v>
      </c>
      <c r="B2873" s="133" t="s">
        <v>454</v>
      </c>
      <c r="C2873" s="133" t="s">
        <v>3000</v>
      </c>
      <c r="D2873" s="133" t="s">
        <v>481</v>
      </c>
      <c r="E2873" s="158">
        <v>5</v>
      </c>
      <c r="F2873" s="158">
        <v>9</v>
      </c>
      <c r="G2873" s="158">
        <v>2</v>
      </c>
      <c r="H2873" s="133" t="s">
        <v>3001</v>
      </c>
      <c r="I2873" s="133" t="s">
        <v>1223</v>
      </c>
      <c r="J2873" s="158">
        <v>0</v>
      </c>
      <c r="K2873" s="159" t="str">
        <f ca="1">IFERROR(__xludf.DUMMYFUNCTION("GOOGLETRANSLATE(H2873,""th"",""en"")"),"The total amount after deducting the discount of goods is not tax (including tax)")</f>
        <v>The total amount after deducting the discount of goods is not tax (including tax)</v>
      </c>
    </row>
    <row r="2874" spans="1:11" ht="15.75" hidden="1" customHeight="1">
      <c r="A2874" s="133" t="s">
        <v>7</v>
      </c>
      <c r="B2874" s="133" t="s">
        <v>454</v>
      </c>
      <c r="C2874" s="133" t="s">
        <v>1912</v>
      </c>
      <c r="D2874" s="133" t="s">
        <v>481</v>
      </c>
      <c r="E2874" s="158">
        <v>9</v>
      </c>
      <c r="F2874" s="158">
        <v>11</v>
      </c>
      <c r="G2874" s="158">
        <v>2</v>
      </c>
      <c r="H2874" s="133" t="s">
        <v>3002</v>
      </c>
      <c r="I2874" s="133" t="s">
        <v>1223</v>
      </c>
      <c r="J2874" s="158">
        <v>0</v>
      </c>
      <c r="K2874" s="159" t="str">
        <f ca="1">IFERROR(__xludf.DUMMYFUNCTION("GOOGLETRANSLATE(H2874,""th"",""en"")"),"Total amount after deducting the discount of goods, tax charged (excluding tax)")</f>
        <v>Total amount after deducting the discount of goods, tax charged (excluding tax)</v>
      </c>
    </row>
    <row r="2875" spans="1:11" ht="15.75" hidden="1" customHeight="1">
      <c r="A2875" s="133" t="s">
        <v>7</v>
      </c>
      <c r="B2875" s="133" t="s">
        <v>454</v>
      </c>
      <c r="C2875" s="133" t="s">
        <v>1920</v>
      </c>
      <c r="D2875" s="133" t="s">
        <v>481</v>
      </c>
      <c r="E2875" s="158">
        <v>9</v>
      </c>
      <c r="F2875" s="158">
        <v>11</v>
      </c>
      <c r="G2875" s="158">
        <v>2</v>
      </c>
      <c r="H2875" s="133" t="s">
        <v>3003</v>
      </c>
      <c r="I2875" s="133" t="s">
        <v>1223</v>
      </c>
      <c r="J2875" s="158">
        <v>0</v>
      </c>
      <c r="K2875" s="159" t="str">
        <f ca="1">IFERROR(__xludf.DUMMYFUNCTION("GOOGLETRANSLATE(H2875,""th"",""en"")"),"Total amount before deducting the total discount (excluding tax)")</f>
        <v>Total amount before deducting the total discount (excluding tax)</v>
      </c>
    </row>
    <row r="2876" spans="1:11" ht="15.75" hidden="1" customHeight="1">
      <c r="A2876" s="133" t="s">
        <v>7</v>
      </c>
      <c r="B2876" s="133" t="s">
        <v>454</v>
      </c>
      <c r="C2876" s="133" t="s">
        <v>1923</v>
      </c>
      <c r="D2876" s="133" t="s">
        <v>481</v>
      </c>
      <c r="E2876" s="158">
        <v>9</v>
      </c>
      <c r="F2876" s="158">
        <v>11</v>
      </c>
      <c r="G2876" s="158">
        <v>2</v>
      </c>
      <c r="H2876" s="133" t="s">
        <v>3004</v>
      </c>
      <c r="I2876" s="133" t="s">
        <v>1223</v>
      </c>
      <c r="J2876" s="158">
        <v>0</v>
      </c>
      <c r="K2876" s="159" t="str">
        <f ca="1">IFERROR(__xludf.DUMMYFUNCTION("GOOGLETRANSLATE(H2876,""th"",""en"")"),"Total amount after deducting the total discount (excluding tax)")</f>
        <v>Total amount after deducting the total discount (excluding tax)</v>
      </c>
    </row>
    <row r="2877" spans="1:11" ht="15.75" hidden="1" customHeight="1">
      <c r="A2877" s="133" t="s">
        <v>7</v>
      </c>
      <c r="B2877" s="133" t="s">
        <v>454</v>
      </c>
      <c r="C2877" s="133" t="s">
        <v>1914</v>
      </c>
      <c r="D2877" s="133" t="s">
        <v>481</v>
      </c>
      <c r="E2877" s="158">
        <v>5</v>
      </c>
      <c r="F2877" s="158">
        <v>9</v>
      </c>
      <c r="G2877" s="158">
        <v>2</v>
      </c>
      <c r="H2877" s="133" t="s">
        <v>3005</v>
      </c>
      <c r="I2877" s="133" t="s">
        <v>1223</v>
      </c>
      <c r="J2877" s="158">
        <v>0</v>
      </c>
      <c r="K2877" s="159" t="str">
        <f ca="1">IFERROR(__xludf.DUMMYFUNCTION("GOOGLETRANSLATE(H2877,""th"",""en"")"),"Tax amount (from VAT_PROD_NET_AMT)")</f>
        <v>Tax amount (from VAT_PROD_NET_AMT)</v>
      </c>
    </row>
    <row r="2878" spans="1:11" ht="15.75" hidden="1" customHeight="1">
      <c r="A2878" s="133" t="s">
        <v>7</v>
      </c>
      <c r="B2878" s="133" t="s">
        <v>454</v>
      </c>
      <c r="C2878" s="133" t="s">
        <v>3006</v>
      </c>
      <c r="D2878" s="133" t="s">
        <v>481</v>
      </c>
      <c r="E2878" s="158">
        <v>5</v>
      </c>
      <c r="F2878" s="158">
        <v>9</v>
      </c>
      <c r="G2878" s="158">
        <v>2</v>
      </c>
      <c r="H2878" s="133" t="s">
        <v>3007</v>
      </c>
      <c r="I2878" s="133" t="s">
        <v>1223</v>
      </c>
      <c r="J2878" s="158">
        <v>0</v>
      </c>
      <c r="K2878" s="159" t="str">
        <f ca="1">IFERROR(__xludf.DUMMYFUNCTION("GOOGLETRANSLATE(H2878,""th"",""en"")"),"Total amount after deducting the total discount (excluding tax) before editing")</f>
        <v>Total amount after deducting the total discount (excluding tax) before editing</v>
      </c>
    </row>
    <row r="2879" spans="1:11" ht="15.75" hidden="1" customHeight="1">
      <c r="A2879" s="133" t="s">
        <v>7</v>
      </c>
      <c r="B2879" s="133" t="s">
        <v>454</v>
      </c>
      <c r="C2879" s="133" t="s">
        <v>3008</v>
      </c>
      <c r="D2879" s="133" t="s">
        <v>481</v>
      </c>
      <c r="E2879" s="158">
        <v>5</v>
      </c>
      <c r="F2879" s="158">
        <v>9</v>
      </c>
      <c r="G2879" s="158">
        <v>2</v>
      </c>
      <c r="H2879" s="133" t="s">
        <v>3009</v>
      </c>
      <c r="I2879" s="133" t="s">
        <v>1223</v>
      </c>
      <c r="J2879" s="158">
        <v>0</v>
      </c>
      <c r="K2879" s="159" t="str">
        <f ca="1">IFERROR(__xludf.DUMMYFUNCTION("GOOGLETRANSLATE(H2879,""th"",""en"")"),"Tax amount (think from VAT_PROD_NET_AMT) before editing")</f>
        <v>Tax amount (think from VAT_PROD_NET_AMT) before editing</v>
      </c>
    </row>
    <row r="2880" spans="1:11" ht="15.75" hidden="1" customHeight="1">
      <c r="A2880" s="133" t="s">
        <v>7</v>
      </c>
      <c r="B2880" s="133" t="s">
        <v>454</v>
      </c>
      <c r="C2880" s="133" t="s">
        <v>3010</v>
      </c>
      <c r="D2880" s="133" t="s">
        <v>481</v>
      </c>
      <c r="E2880" s="158">
        <v>5</v>
      </c>
      <c r="F2880" s="158">
        <v>9</v>
      </c>
      <c r="G2880" s="158">
        <v>2</v>
      </c>
      <c r="H2880" s="133" t="s">
        <v>2585</v>
      </c>
      <c r="I2880" s="133" t="s">
        <v>1223</v>
      </c>
      <c r="J2880" s="158">
        <v>0</v>
      </c>
      <c r="K2880" s="159" t="str">
        <f ca="1">IFERROR(__xludf.DUMMYFUNCTION("GOOGLETRANSLATE(H2880,""th"",""en"")"),"Top products including VAT")</f>
        <v>Top products including VAT</v>
      </c>
    </row>
    <row r="2881" spans="1:11" ht="15.75" hidden="1" customHeight="1">
      <c r="A2881" s="133" t="s">
        <v>7</v>
      </c>
      <c r="B2881" s="133" t="s">
        <v>454</v>
      </c>
      <c r="C2881" s="133" t="s">
        <v>3011</v>
      </c>
      <c r="D2881" s="133" t="s">
        <v>481</v>
      </c>
      <c r="E2881" s="158">
        <v>5</v>
      </c>
      <c r="F2881" s="158">
        <v>9</v>
      </c>
      <c r="G2881" s="158">
        <v>2</v>
      </c>
      <c r="H2881" s="133" t="s">
        <v>2587</v>
      </c>
      <c r="I2881" s="133" t="s">
        <v>1223</v>
      </c>
      <c r="J2881" s="158">
        <v>0</v>
      </c>
      <c r="K2881" s="159" t="str">
        <f ca="1">IFERROR(__xludf.DUMMYFUNCTION("GOOGLETRANSLATE(H2881,""th"",""en"")"),"Product not including VAT")</f>
        <v>Product not including VAT</v>
      </c>
    </row>
    <row r="2882" spans="1:11" ht="15.75" hidden="1" customHeight="1">
      <c r="A2882" s="133" t="s">
        <v>7</v>
      </c>
      <c r="B2882" s="133" t="s">
        <v>454</v>
      </c>
      <c r="C2882" s="133" t="s">
        <v>3012</v>
      </c>
      <c r="D2882" s="133" t="s">
        <v>477</v>
      </c>
      <c r="E2882" s="158">
        <v>2000</v>
      </c>
      <c r="F2882" s="158">
        <v>0</v>
      </c>
      <c r="G2882" s="158">
        <v>0</v>
      </c>
      <c r="H2882" s="133" t="s">
        <v>2696</v>
      </c>
      <c r="I2882" s="133" t="s">
        <v>548</v>
      </c>
      <c r="J2882" s="158">
        <v>0</v>
      </c>
      <c r="K2882" s="159" t="str">
        <f ca="1">IFERROR(__xludf.DUMMYFUNCTION("GOOGLETRANSLATE(H2882,""th"",""en"")"),"Group Voucher code")</f>
        <v>Group Voucher code</v>
      </c>
    </row>
    <row r="2883" spans="1:11" ht="15.75" hidden="1" customHeight="1">
      <c r="A2883" s="133" t="s">
        <v>7</v>
      </c>
      <c r="B2883" s="133" t="s">
        <v>454</v>
      </c>
      <c r="C2883" s="133" t="s">
        <v>3013</v>
      </c>
      <c r="D2883" s="133" t="s">
        <v>477</v>
      </c>
      <c r="E2883" s="158">
        <v>15</v>
      </c>
      <c r="F2883" s="158">
        <v>0</v>
      </c>
      <c r="G2883" s="158">
        <v>0</v>
      </c>
      <c r="H2883" s="133" t="s">
        <v>3014</v>
      </c>
      <c r="I2883" s="133" t="s">
        <v>548</v>
      </c>
      <c r="J2883" s="158">
        <v>0</v>
      </c>
      <c r="K2883" s="159" t="str">
        <f ca="1">IFERROR(__xludf.DUMMYFUNCTION("GOOGLETRANSLATE(H2883,""th"",""en"")"),"Coupon numbers from promotions")</f>
        <v>Coupon numbers from promotions</v>
      </c>
    </row>
    <row r="2884" spans="1:11" ht="15.75" hidden="1" customHeight="1">
      <c r="A2884" s="133" t="s">
        <v>7</v>
      </c>
      <c r="B2884" s="133" t="s">
        <v>454</v>
      </c>
      <c r="C2884" s="133" t="s">
        <v>3015</v>
      </c>
      <c r="D2884" s="133" t="s">
        <v>477</v>
      </c>
      <c r="E2884" s="158">
        <v>2000</v>
      </c>
      <c r="F2884" s="158">
        <v>0</v>
      </c>
      <c r="G2884" s="158">
        <v>0</v>
      </c>
      <c r="H2884" s="133" t="s">
        <v>2156</v>
      </c>
      <c r="I2884" s="133" t="s">
        <v>548</v>
      </c>
      <c r="J2884" s="158">
        <v>0</v>
      </c>
      <c r="K2884" s="159" t="str">
        <f ca="1">IFERROR(__xludf.DUMMYFUNCTION("GOOGLETRANSLATE(H2884,""th"",""en"")"),"Promotion details")</f>
        <v>Promotion details</v>
      </c>
    </row>
    <row r="2885" spans="1:11" ht="15.75" hidden="1" customHeight="1">
      <c r="A2885" s="133" t="s">
        <v>7</v>
      </c>
      <c r="B2885" s="133" t="s">
        <v>454</v>
      </c>
      <c r="C2885" s="133" t="s">
        <v>3016</v>
      </c>
      <c r="D2885" s="133" t="s">
        <v>481</v>
      </c>
      <c r="E2885" s="158">
        <v>5</v>
      </c>
      <c r="F2885" s="158">
        <v>9</v>
      </c>
      <c r="G2885" s="158">
        <v>2</v>
      </c>
      <c r="H2885" s="133" t="s">
        <v>2593</v>
      </c>
      <c r="I2885" s="133" t="s">
        <v>1223</v>
      </c>
      <c r="J2885" s="158">
        <v>0</v>
      </c>
      <c r="K2885" s="159" t="str">
        <f ca="1">IFERROR(__xludf.DUMMYFUNCTION("GOOGLETRANSLATE(H2885,""th"",""en"")"),"All products include VAT")</f>
        <v>All products include VAT</v>
      </c>
    </row>
    <row r="2886" spans="1:11" ht="15.75" hidden="1" customHeight="1">
      <c r="A2886" s="133" t="s">
        <v>7</v>
      </c>
      <c r="B2886" s="133" t="s">
        <v>454</v>
      </c>
      <c r="C2886" s="133" t="s">
        <v>2803</v>
      </c>
      <c r="D2886" s="133" t="s">
        <v>481</v>
      </c>
      <c r="E2886" s="158">
        <v>5</v>
      </c>
      <c r="F2886" s="158">
        <v>9</v>
      </c>
      <c r="G2886" s="158">
        <v>2</v>
      </c>
      <c r="H2886" s="133" t="s">
        <v>3017</v>
      </c>
      <c r="I2886" s="133" t="s">
        <v>1223</v>
      </c>
      <c r="J2886" s="158">
        <v>0</v>
      </c>
      <c r="K2886" s="159" t="str">
        <f ca="1">IFERROR(__xludf.DUMMYFUNCTION("GOOGLETRANSLATE(H2886,""th"",""en"")"),"Discounts that think VAT")</f>
        <v>Discounts that think VAT</v>
      </c>
    </row>
    <row r="2887" spans="1:11" ht="15.75" hidden="1" customHeight="1">
      <c r="A2887" s="133" t="s">
        <v>7</v>
      </c>
      <c r="B2887" s="133" t="s">
        <v>454</v>
      </c>
      <c r="C2887" s="133" t="s">
        <v>3018</v>
      </c>
      <c r="D2887" s="133" t="s">
        <v>481</v>
      </c>
      <c r="E2887" s="158">
        <v>5</v>
      </c>
      <c r="F2887" s="158">
        <v>9</v>
      </c>
      <c r="G2887" s="158">
        <v>2</v>
      </c>
      <c r="H2887" s="133" t="s">
        <v>2708</v>
      </c>
      <c r="I2887" s="133" t="s">
        <v>1223</v>
      </c>
      <c r="J2887" s="158">
        <v>0</v>
      </c>
      <c r="K2887" s="159" t="str">
        <f ca="1">IFERROR(__xludf.DUMMYFUNCTION("GOOGLETRANSLATE(H2887,""th"",""en"")"),"Discount type cashvoucher in the amount of baht")</f>
        <v>Discount type cashvoucher in the amount of baht</v>
      </c>
    </row>
    <row r="2888" spans="1:11" ht="15.75" hidden="1" customHeight="1">
      <c r="A2888" s="133" t="s">
        <v>7</v>
      </c>
      <c r="B2888" s="133" t="s">
        <v>454</v>
      </c>
      <c r="C2888" s="133" t="s">
        <v>3019</v>
      </c>
      <c r="D2888" s="133" t="s">
        <v>481</v>
      </c>
      <c r="E2888" s="158">
        <v>5</v>
      </c>
      <c r="F2888" s="158">
        <v>9</v>
      </c>
      <c r="G2888" s="158">
        <v>2</v>
      </c>
      <c r="H2888" s="133" t="s">
        <v>2591</v>
      </c>
      <c r="I2888" s="133" t="s">
        <v>1223</v>
      </c>
      <c r="J2888" s="158">
        <v>0</v>
      </c>
      <c r="K2888" s="159" t="str">
        <f ca="1">IFERROR(__xludf.DUMMYFUNCTION("GOOGLETRANSLATE(H2888,""th"",""en"")"),"Collect the percentage of voucher")</f>
        <v>Collect the percentage of voucher</v>
      </c>
    </row>
    <row r="2889" spans="1:11" ht="15.75" hidden="1" customHeight="1">
      <c r="A2889" s="133" t="s">
        <v>7</v>
      </c>
      <c r="B2889" s="133" t="s">
        <v>454</v>
      </c>
      <c r="C2889" s="133" t="s">
        <v>3020</v>
      </c>
      <c r="D2889" s="133" t="s">
        <v>481</v>
      </c>
      <c r="E2889" s="158">
        <v>5</v>
      </c>
      <c r="F2889" s="158">
        <v>9</v>
      </c>
      <c r="G2889" s="158">
        <v>2</v>
      </c>
      <c r="H2889" s="133" t="s">
        <v>2589</v>
      </c>
      <c r="I2889" s="133" t="s">
        <v>1223</v>
      </c>
      <c r="J2889" s="158">
        <v>0</v>
      </c>
      <c r="K2889" s="159" t="str">
        <f ca="1">IFERROR(__xludf.DUMMYFUNCTION("GOOGLETRANSLATE(H2889,""th"",""en"")"),"Voucher's balance")</f>
        <v>Voucher's balance</v>
      </c>
    </row>
    <row r="2890" spans="1:11" ht="15.75" hidden="1" customHeight="1">
      <c r="A2890" s="133" t="s">
        <v>7</v>
      </c>
      <c r="B2890" s="133" t="s">
        <v>454</v>
      </c>
      <c r="C2890" s="133" t="s">
        <v>1925</v>
      </c>
      <c r="D2890" s="133" t="s">
        <v>481</v>
      </c>
      <c r="E2890" s="158">
        <v>5</v>
      </c>
      <c r="F2890" s="158">
        <v>9</v>
      </c>
      <c r="G2890" s="158">
        <v>2</v>
      </c>
      <c r="H2890" s="133" t="s">
        <v>2706</v>
      </c>
      <c r="I2890" s="133" t="s">
        <v>1223</v>
      </c>
      <c r="J2890" s="158">
        <v>0</v>
      </c>
      <c r="K2890" s="159" t="str">
        <f ca="1">IFERROR(__xludf.DUMMYFUNCTION("GOOGLETRANSLATE(H2890,""th"",""en"")"),"All discounts (discount byorder + byitem discounts) include taxes.")</f>
        <v>All discounts (discount byorder + byitem discounts) include taxes.</v>
      </c>
    </row>
    <row r="2891" spans="1:11" ht="15.75" hidden="1" customHeight="1">
      <c r="A2891" s="133" t="s">
        <v>7</v>
      </c>
      <c r="B2891" s="133" t="s">
        <v>454</v>
      </c>
      <c r="C2891" s="133" t="s">
        <v>3021</v>
      </c>
      <c r="D2891" s="133" t="s">
        <v>477</v>
      </c>
      <c r="E2891" s="158">
        <v>40</v>
      </c>
      <c r="F2891" s="158">
        <v>0</v>
      </c>
      <c r="G2891" s="158">
        <v>0</v>
      </c>
      <c r="H2891" s="133" t="s">
        <v>2710</v>
      </c>
      <c r="I2891" s="133" t="s">
        <v>548</v>
      </c>
      <c r="J2891" s="158">
        <v>0</v>
      </c>
      <c r="K2891" s="159" t="str">
        <f ca="1">IFERROR(__xludf.DUMMYFUNCTION("GOOGLETRANSLATE(H2891,""th"",""en"")"),"Voucher type")</f>
        <v>Voucher type</v>
      </c>
    </row>
    <row r="2892" spans="1:11" ht="15.75" hidden="1" customHeight="1">
      <c r="A2892" s="133" t="s">
        <v>7</v>
      </c>
      <c r="B2892" s="133" t="s">
        <v>454</v>
      </c>
      <c r="C2892" s="133" t="s">
        <v>3022</v>
      </c>
      <c r="D2892" s="133" t="s">
        <v>481</v>
      </c>
      <c r="E2892" s="158">
        <v>5</v>
      </c>
      <c r="F2892" s="158">
        <v>9</v>
      </c>
      <c r="G2892" s="158">
        <v>2</v>
      </c>
      <c r="H2892" s="133" t="s">
        <v>2702</v>
      </c>
      <c r="I2892" s="133" t="s">
        <v>1223</v>
      </c>
      <c r="J2892" s="158">
        <v>0</v>
      </c>
      <c r="K2892" s="159" t="str">
        <f ca="1">IFERROR(__xludf.DUMMYFUNCTION("GOOGLETRANSLATE(H2892,""th"",""en"")"),"Discounts obtained from BYORDER Voucher")</f>
        <v>Discounts obtained from BYORDER Voucher</v>
      </c>
    </row>
    <row r="2893" spans="1:11" ht="15.75" hidden="1" customHeight="1">
      <c r="A2893" s="133" t="s">
        <v>7</v>
      </c>
      <c r="B2893" s="133" t="s">
        <v>454</v>
      </c>
      <c r="C2893" s="133" t="s">
        <v>3023</v>
      </c>
      <c r="D2893" s="133" t="s">
        <v>481</v>
      </c>
      <c r="E2893" s="158">
        <v>5</v>
      </c>
      <c r="F2893" s="158">
        <v>9</v>
      </c>
      <c r="G2893" s="158">
        <v>2</v>
      </c>
      <c r="H2893" s="133" t="s">
        <v>2704</v>
      </c>
      <c r="I2893" s="133" t="s">
        <v>1223</v>
      </c>
      <c r="J2893" s="158">
        <v>0</v>
      </c>
      <c r="K2893" s="159" t="str">
        <f ca="1">IFERROR(__xludf.DUMMYFUNCTION("GOOGLETRANSLATE(H2893,""th"",""en"")"),"Discounts obtained from the Byorder Exvat type voucher")</f>
        <v>Discounts obtained from the Byorder Exvat type voucher</v>
      </c>
    </row>
    <row r="2894" spans="1:11" ht="15.75" hidden="1" customHeight="1">
      <c r="A2894" s="133" t="s">
        <v>7</v>
      </c>
      <c r="B2894" s="133" t="s">
        <v>454</v>
      </c>
      <c r="C2894" s="133" t="s">
        <v>3024</v>
      </c>
      <c r="D2894" s="133" t="s">
        <v>481</v>
      </c>
      <c r="E2894" s="158">
        <v>5</v>
      </c>
      <c r="F2894" s="158">
        <v>9</v>
      </c>
      <c r="G2894" s="158">
        <v>2</v>
      </c>
      <c r="H2894" s="133" t="s">
        <v>2698</v>
      </c>
      <c r="I2894" s="133" t="s">
        <v>1223</v>
      </c>
      <c r="J2894" s="158">
        <v>0</v>
      </c>
      <c r="K2894" s="159" t="str">
        <f ca="1">IFERROR(__xludf.DUMMYFUNCTION("GOOGLETRANSLATE(H2894,""th"",""en"")"),"Discounts obtained from promotions (Discount byorder + Discounts from Central Creditcard)")</f>
        <v>Discounts obtained from promotions (Discount byorder + Discounts from Central Creditcard)</v>
      </c>
    </row>
    <row r="2895" spans="1:11" ht="15.75" hidden="1" customHeight="1">
      <c r="A2895" s="133" t="s">
        <v>7</v>
      </c>
      <c r="B2895" s="133" t="s">
        <v>454</v>
      </c>
      <c r="C2895" s="133" t="s">
        <v>3025</v>
      </c>
      <c r="D2895" s="133" t="s">
        <v>481</v>
      </c>
      <c r="E2895" s="158">
        <v>5</v>
      </c>
      <c r="F2895" s="158">
        <v>9</v>
      </c>
      <c r="G2895" s="158">
        <v>2</v>
      </c>
      <c r="H2895" s="133" t="s">
        <v>2700</v>
      </c>
      <c r="I2895" s="133" t="s">
        <v>1223</v>
      </c>
      <c r="J2895" s="158">
        <v>0</v>
      </c>
      <c r="K2895" s="159" t="str">
        <f ca="1">IFERROR(__xludf.DUMMYFUNCTION("GOOGLETRANSLATE(H2895,""th"",""en"")"),"Discounts obtained from promotions (Discount byorder + Discounts from Central Creditcard) Exvat")</f>
        <v>Discounts obtained from promotions (Discount byorder + Discounts from Central Creditcard) Exvat</v>
      </c>
    </row>
    <row r="2896" spans="1:11" ht="15.75" hidden="1" customHeight="1">
      <c r="A2896" s="133" t="s">
        <v>7</v>
      </c>
      <c r="B2896" s="133" t="s">
        <v>454</v>
      </c>
      <c r="C2896" s="133" t="s">
        <v>3026</v>
      </c>
      <c r="D2896" s="133" t="s">
        <v>481</v>
      </c>
      <c r="E2896" s="158">
        <v>5</v>
      </c>
      <c r="F2896" s="158">
        <v>9</v>
      </c>
      <c r="G2896" s="158">
        <v>2</v>
      </c>
      <c r="H2896" s="133" t="s">
        <v>2712</v>
      </c>
      <c r="I2896" s="133" t="s">
        <v>1223</v>
      </c>
      <c r="J2896" s="158">
        <v>0</v>
      </c>
      <c r="K2896" s="159" t="str">
        <f ca="1">IFERROR(__xludf.DUMMYFUNCTION("GOOGLETRANSLATE(H2896,""th"",""en"")"),"For credit card payment (now is Central Credit Card)")</f>
        <v>For credit card payment (now is Central Credit Card)</v>
      </c>
    </row>
    <row r="2897" spans="1:11" ht="15.75" hidden="1" customHeight="1">
      <c r="A2897" s="133" t="s">
        <v>7</v>
      </c>
      <c r="B2897" s="133" t="s">
        <v>454</v>
      </c>
      <c r="C2897" s="133" t="s">
        <v>3027</v>
      </c>
      <c r="D2897" s="133" t="s">
        <v>481</v>
      </c>
      <c r="E2897" s="158">
        <v>5</v>
      </c>
      <c r="F2897" s="158">
        <v>9</v>
      </c>
      <c r="G2897" s="158">
        <v>2</v>
      </c>
      <c r="H2897" s="133" t="s">
        <v>2714</v>
      </c>
      <c r="I2897" s="133" t="s">
        <v>1223</v>
      </c>
      <c r="J2897" s="158">
        <v>0</v>
      </c>
      <c r="K2897" s="159" t="str">
        <f ca="1">IFERROR(__xludf.DUMMYFUNCTION("GOOGLETRANSLATE(H2897,""th"",""en"")"),"Discount for credit card payment (now is Central Credit Card) (EXVAT)")</f>
        <v>Discount for credit card payment (now is Central Credit Card) (EXVAT)</v>
      </c>
    </row>
    <row r="2898" spans="1:11" ht="15.75" hidden="1" customHeight="1">
      <c r="A2898" s="133" t="s">
        <v>7</v>
      </c>
      <c r="B2898" s="133" t="s">
        <v>454</v>
      </c>
      <c r="C2898" s="133" t="s">
        <v>3028</v>
      </c>
      <c r="D2898" s="133" t="s">
        <v>481</v>
      </c>
      <c r="E2898" s="158">
        <v>5</v>
      </c>
      <c r="F2898" s="158">
        <v>9</v>
      </c>
      <c r="G2898" s="158">
        <v>2</v>
      </c>
      <c r="H2898" s="133" t="s">
        <v>2716</v>
      </c>
      <c r="I2898" s="133" t="s">
        <v>1223</v>
      </c>
      <c r="J2898" s="158">
        <v>0</v>
      </c>
      <c r="K2898" s="159" t="str">
        <f ca="1">IFERROR(__xludf.DUMMYFUNCTION("GOOGLETRANSLATE(H2898,""th"",""en"")"),"All discounts of voucher byproduct")</f>
        <v>All discounts of voucher byproduct</v>
      </c>
    </row>
    <row r="2899" spans="1:11" ht="15.75" hidden="1" customHeight="1">
      <c r="A2899" s="133" t="s">
        <v>7</v>
      </c>
      <c r="B2899" s="133" t="s">
        <v>454</v>
      </c>
      <c r="C2899" s="133" t="s">
        <v>3029</v>
      </c>
      <c r="D2899" s="133" t="s">
        <v>481</v>
      </c>
      <c r="E2899" s="158">
        <v>5</v>
      </c>
      <c r="F2899" s="158">
        <v>9</v>
      </c>
      <c r="G2899" s="158">
        <v>2</v>
      </c>
      <c r="H2899" s="133" t="s">
        <v>2718</v>
      </c>
      <c r="I2899" s="133" t="s">
        <v>1223</v>
      </c>
      <c r="J2899" s="158">
        <v>0</v>
      </c>
      <c r="K2899" s="159" t="str">
        <f ca="1">IFERROR(__xludf.DUMMYFUNCTION("GOOGLETRANSLATE(H2899,""th"",""en"")"),"All discounts of Voucher Byproduct (EXVAT)")</f>
        <v>All discounts of Voucher Byproduct (EXVAT)</v>
      </c>
    </row>
    <row r="2900" spans="1:11" ht="15.75" hidden="1" customHeight="1">
      <c r="A2900" s="133" t="s">
        <v>7</v>
      </c>
      <c r="B2900" s="133" t="s">
        <v>454</v>
      </c>
      <c r="C2900" s="133" t="s">
        <v>3030</v>
      </c>
      <c r="D2900" s="133" t="s">
        <v>481</v>
      </c>
      <c r="E2900" s="158">
        <v>5</v>
      </c>
      <c r="F2900" s="158">
        <v>9</v>
      </c>
      <c r="G2900" s="158">
        <v>2</v>
      </c>
      <c r="H2900" s="133" t="s">
        <v>3031</v>
      </c>
      <c r="I2900" s="133" t="s">
        <v>1223</v>
      </c>
      <c r="J2900" s="158">
        <v>0</v>
      </c>
      <c r="K2900" s="159" t="str">
        <f ca="1">IFERROR(__xludf.DUMMYFUNCTION("GOOGLETRANSLATE(H2900,""th"",""en"")"),"All discounts of promotion byitem")</f>
        <v>All discounts of promotion byitem</v>
      </c>
    </row>
    <row r="2901" spans="1:11" ht="15.75" hidden="1" customHeight="1">
      <c r="A2901" s="133" t="s">
        <v>7</v>
      </c>
      <c r="B2901" s="133" t="s">
        <v>454</v>
      </c>
      <c r="C2901" s="133" t="s">
        <v>3032</v>
      </c>
      <c r="D2901" s="133" t="s">
        <v>481</v>
      </c>
      <c r="E2901" s="158">
        <v>5</v>
      </c>
      <c r="F2901" s="158">
        <v>9</v>
      </c>
      <c r="G2901" s="158">
        <v>2</v>
      </c>
      <c r="H2901" s="133" t="s">
        <v>3033</v>
      </c>
      <c r="I2901" s="133" t="s">
        <v>1223</v>
      </c>
      <c r="J2901" s="158">
        <v>0</v>
      </c>
      <c r="K2901" s="159" t="str">
        <f ca="1">IFERROR(__xludf.DUMMYFUNCTION("GOOGLETRANSLATE(H2901,""th"",""en"")"),"Prices for all discounts of promotions byitem (exvat)")</f>
        <v>Prices for all discounts of promotions byitem (exvat)</v>
      </c>
    </row>
    <row r="2902" spans="1:11" ht="15.75" hidden="1" customHeight="1">
      <c r="A2902" s="133" t="s">
        <v>7</v>
      </c>
      <c r="B2902" s="133" t="s">
        <v>454</v>
      </c>
      <c r="C2902" s="133" t="s">
        <v>3034</v>
      </c>
      <c r="D2902" s="133" t="s">
        <v>481</v>
      </c>
      <c r="E2902" s="158">
        <v>5</v>
      </c>
      <c r="F2902" s="158">
        <v>9</v>
      </c>
      <c r="G2902" s="158">
        <v>2</v>
      </c>
      <c r="H2902" s="133" t="s">
        <v>3035</v>
      </c>
      <c r="I2902" s="133" t="s">
        <v>1223</v>
      </c>
      <c r="J2902" s="158">
        <v>0</v>
      </c>
      <c r="K2902" s="159" t="str">
        <f ca="1">IFERROR(__xludf.DUMMYFUNCTION("GOOGLETRANSLATE(H2902,""th"",""en"")"),"The amount that must be paid after deduction Point T1C")</f>
        <v>The amount that must be paid after deduction Point T1C</v>
      </c>
    </row>
    <row r="2903" spans="1:11" ht="15.75" hidden="1" customHeight="1">
      <c r="A2903" s="133" t="s">
        <v>7</v>
      </c>
      <c r="B2903" s="133" t="s">
        <v>454</v>
      </c>
      <c r="C2903" s="133" t="s">
        <v>3036</v>
      </c>
      <c r="D2903" s="133" t="s">
        <v>484</v>
      </c>
      <c r="E2903" s="158">
        <v>4</v>
      </c>
      <c r="F2903" s="158">
        <v>10</v>
      </c>
      <c r="G2903" s="158">
        <v>0</v>
      </c>
      <c r="H2903" s="133" t="s">
        <v>3037</v>
      </c>
      <c r="I2903" s="133" t="s">
        <v>615</v>
      </c>
      <c r="J2903" s="158">
        <v>0</v>
      </c>
      <c r="K2903" s="159" t="str">
        <f ca="1">IFERROR(__xludf.DUMMYFUNCTION("GOOGLETRANSLATE(H2903,""th"",""en"")"),"Number of Point T1c in exchange")</f>
        <v>Number of Point T1c in exchange</v>
      </c>
    </row>
    <row r="2904" spans="1:11" ht="15.75" hidden="1" customHeight="1">
      <c r="A2904" s="133" t="s">
        <v>7</v>
      </c>
      <c r="B2904" s="133" t="s">
        <v>454</v>
      </c>
      <c r="C2904" s="133" t="s">
        <v>3038</v>
      </c>
      <c r="D2904" s="133" t="s">
        <v>481</v>
      </c>
      <c r="E2904" s="158">
        <v>5</v>
      </c>
      <c r="F2904" s="158">
        <v>9</v>
      </c>
      <c r="G2904" s="158">
        <v>2</v>
      </c>
      <c r="H2904" s="133" t="s">
        <v>655</v>
      </c>
      <c r="I2904" s="133" t="s">
        <v>1223</v>
      </c>
      <c r="J2904" s="158">
        <v>0</v>
      </c>
      <c r="K2904" s="159" t="str">
        <f ca="1">IFERROR(__xludf.DUMMYFUNCTION("GOOGLETRANSLATE(H2904,""th"",""en"")"),"Value of points")</f>
        <v>Value of points</v>
      </c>
    </row>
    <row r="2905" spans="1:11" ht="15.75" hidden="1" customHeight="1">
      <c r="A2905" s="133" t="s">
        <v>7</v>
      </c>
      <c r="B2905" s="133" t="s">
        <v>454</v>
      </c>
      <c r="C2905" s="133" t="s">
        <v>3039</v>
      </c>
      <c r="D2905" s="133" t="s">
        <v>484</v>
      </c>
      <c r="E2905" s="158">
        <v>4</v>
      </c>
      <c r="F2905" s="158">
        <v>10</v>
      </c>
      <c r="G2905" s="158">
        <v>0</v>
      </c>
      <c r="H2905" s="133" t="s">
        <v>3040</v>
      </c>
      <c r="I2905" s="133" t="s">
        <v>615</v>
      </c>
      <c r="J2905" s="158">
        <v>0</v>
      </c>
      <c r="K2905" s="159" t="str">
        <f ca="1">IFERROR(__xludf.DUMMYFUNCTION("GOOGLETRANSLATE(H2905,""th"",""en"")"),"Rate, redemption, such as 8 points = 1 baht")</f>
        <v>Rate, redemption, such as 8 points = 1 baht</v>
      </c>
    </row>
    <row r="2906" spans="1:11" ht="15.75" hidden="1" customHeight="1">
      <c r="A2906" s="133" t="s">
        <v>7</v>
      </c>
      <c r="B2906" s="133" t="s">
        <v>454</v>
      </c>
      <c r="C2906" s="133" t="s">
        <v>3041</v>
      </c>
      <c r="D2906" s="133" t="s">
        <v>477</v>
      </c>
      <c r="E2906" s="158">
        <v>20</v>
      </c>
      <c r="F2906" s="158">
        <v>0</v>
      </c>
      <c r="G2906" s="158">
        <v>0</v>
      </c>
      <c r="H2906" s="133" t="s">
        <v>3042</v>
      </c>
      <c r="I2906" s="133" t="s">
        <v>548</v>
      </c>
      <c r="J2906" s="158">
        <v>0</v>
      </c>
      <c r="K2906" s="159" t="str">
        <f ca="1">IFERROR(__xludf.DUMMYFUNCTION("GOOGLETRANSLATE(H2906,""th"",""en"")"),"The 1 number 1 caused by the Redeem via the web officemate.co.th")</f>
        <v>The 1 number 1 caused by the Redeem via the web officemate.co.th</v>
      </c>
    </row>
    <row r="2907" spans="1:11" ht="15.75" hidden="1" customHeight="1">
      <c r="A2907" s="133" t="s">
        <v>7</v>
      </c>
      <c r="B2907" s="133" t="s">
        <v>454</v>
      </c>
      <c r="C2907" s="133" t="s">
        <v>3043</v>
      </c>
      <c r="D2907" s="133" t="s">
        <v>477</v>
      </c>
      <c r="E2907" s="158">
        <v>100</v>
      </c>
      <c r="F2907" s="158">
        <v>0</v>
      </c>
      <c r="G2907" s="158">
        <v>0</v>
      </c>
      <c r="H2907" s="133" t="s">
        <v>3044</v>
      </c>
      <c r="I2907" s="133" t="s">
        <v>548</v>
      </c>
      <c r="J2907" s="158">
        <v>0</v>
      </c>
      <c r="K2907" s="159" t="str">
        <f ca="1">IFERROR(__xludf.DUMMYFUNCTION("GOOGLETRANSLATE(H2907,""th"",""en"")"),"T1C reference numbers obtained from Redeem Online, such as 1-IAH629C")</f>
        <v>T1C reference numbers obtained from Redeem Online, such as 1-IAH629C</v>
      </c>
    </row>
    <row r="2908" spans="1:11" ht="15.75" hidden="1" customHeight="1">
      <c r="A2908" s="133" t="s">
        <v>7</v>
      </c>
      <c r="B2908" s="133" t="s">
        <v>454</v>
      </c>
      <c r="C2908" s="133" t="s">
        <v>3045</v>
      </c>
      <c r="D2908" s="133" t="s">
        <v>477</v>
      </c>
      <c r="E2908" s="158">
        <v>3</v>
      </c>
      <c r="F2908" s="158">
        <v>0</v>
      </c>
      <c r="G2908" s="158">
        <v>0</v>
      </c>
      <c r="H2908" s="133" t="s">
        <v>3046</v>
      </c>
      <c r="I2908" s="133" t="s">
        <v>596</v>
      </c>
      <c r="J2908" s="158">
        <v>0</v>
      </c>
      <c r="K2908" s="159" t="str">
        <f ca="1">IFERROR(__xludf.DUMMYFUNCTION("GOOGLETRANSLATE(H2908,""th"",""en"")"),"Set the Bill Print as the next month (Yes / NO)")</f>
        <v>Set the Bill Print as the next month (Yes / NO)</v>
      </c>
    </row>
    <row r="2909" spans="1:11" ht="15.75" hidden="1" customHeight="1">
      <c r="A2909" s="133" t="s">
        <v>7</v>
      </c>
      <c r="B2909" s="133" t="s">
        <v>454</v>
      </c>
      <c r="C2909" s="133" t="s">
        <v>3047</v>
      </c>
      <c r="D2909" s="133" t="s">
        <v>477</v>
      </c>
      <c r="E2909" s="158">
        <v>3</v>
      </c>
      <c r="F2909" s="158">
        <v>0</v>
      </c>
      <c r="G2909" s="158">
        <v>0</v>
      </c>
      <c r="H2909" s="133" t="s">
        <v>3048</v>
      </c>
      <c r="I2909" s="133" t="s">
        <v>596</v>
      </c>
      <c r="J2909" s="158">
        <v>0</v>
      </c>
      <c r="K2909" s="159" t="str">
        <f ca="1">IFERROR(__xludf.DUMMYFUNCTION("GOOGLETRANSLATE(H2909,""th"",""en"")"),"Send Catalog to customers with delivery (yes / no)")</f>
        <v>Send Catalog to customers with delivery (yes / no)</v>
      </c>
    </row>
    <row r="2910" spans="1:11" ht="15.75" hidden="1" customHeight="1">
      <c r="A2910" s="133" t="s">
        <v>7</v>
      </c>
      <c r="B2910" s="133" t="s">
        <v>454</v>
      </c>
      <c r="C2910" s="133" t="s">
        <v>1326</v>
      </c>
      <c r="D2910" s="133" t="s">
        <v>477</v>
      </c>
      <c r="E2910" s="158">
        <v>3</v>
      </c>
      <c r="F2910" s="158">
        <v>0</v>
      </c>
      <c r="G2910" s="158">
        <v>0</v>
      </c>
      <c r="H2910" s="133" t="s">
        <v>3049</v>
      </c>
      <c r="I2910" s="133" t="s">
        <v>596</v>
      </c>
      <c r="J2910" s="277">
        <v>1</v>
      </c>
      <c r="K2910" s="159" t="str">
        <f ca="1">IFERROR(__xludf.DUMMYFUNCTION("GOOGLETRANSLATE(H2910,""th"",""en"")"),"Is a BOI industrial estate customer (Yes / NO)")</f>
        <v>Is a BOI industrial estate customer (Yes / NO)</v>
      </c>
    </row>
    <row r="2911" spans="1:11" ht="15.75" hidden="1" customHeight="1">
      <c r="A2911" s="133" t="s">
        <v>7</v>
      </c>
      <c r="B2911" s="133" t="s">
        <v>454</v>
      </c>
      <c r="C2911" s="133" t="s">
        <v>1328</v>
      </c>
      <c r="D2911" s="133" t="s">
        <v>477</v>
      </c>
      <c r="E2911" s="158">
        <v>3</v>
      </c>
      <c r="F2911" s="158">
        <v>0</v>
      </c>
      <c r="G2911" s="158">
        <v>0</v>
      </c>
      <c r="H2911" s="133" t="s">
        <v>3050</v>
      </c>
      <c r="I2911" s="133" t="s">
        <v>596</v>
      </c>
      <c r="J2911" s="158">
        <v>0</v>
      </c>
      <c r="K2911" s="159" t="str">
        <f ca="1">IFERROR(__xludf.DUMMYFUNCTION("GOOGLETRANSLATE(H2911,""th"",""en"")"),"Is the embassy customer (Yes / NO)")</f>
        <v>Is the embassy customer (Yes / NO)</v>
      </c>
    </row>
    <row r="2912" spans="1:11" ht="15.75" hidden="1" customHeight="1">
      <c r="A2912" s="133" t="s">
        <v>7</v>
      </c>
      <c r="B2912" s="133" t="s">
        <v>454</v>
      </c>
      <c r="C2912" s="133" t="s">
        <v>3051</v>
      </c>
      <c r="D2912" s="133" t="s">
        <v>484</v>
      </c>
      <c r="E2912" s="158">
        <v>4</v>
      </c>
      <c r="F2912" s="158">
        <v>10</v>
      </c>
      <c r="G2912" s="158">
        <v>0</v>
      </c>
      <c r="H2912" s="133" t="s">
        <v>3052</v>
      </c>
      <c r="I2912" s="133" t="s">
        <v>615</v>
      </c>
      <c r="J2912" s="158">
        <v>0</v>
      </c>
      <c r="K2912" s="159" t="str">
        <f ca="1">IFERROR(__xludf.DUMMYFUNCTION("GOOGLETRANSLATE(H2912,""th"",""en"")"),"Number of Catalog books sent to customers with delivery")</f>
        <v>Number of Catalog books sent to customers with delivery</v>
      </c>
    </row>
    <row r="2913" spans="1:11" ht="15.75" hidden="1" customHeight="1">
      <c r="A2913" s="133" t="s">
        <v>7</v>
      </c>
      <c r="B2913" s="133" t="s">
        <v>454</v>
      </c>
      <c r="C2913" s="133" t="s">
        <v>3053</v>
      </c>
      <c r="D2913" s="133" t="s">
        <v>477</v>
      </c>
      <c r="E2913" s="158">
        <v>500</v>
      </c>
      <c r="F2913" s="158">
        <v>0</v>
      </c>
      <c r="G2913" s="158">
        <v>0</v>
      </c>
      <c r="H2913" s="133" t="s">
        <v>3054</v>
      </c>
      <c r="I2913" s="133" t="s">
        <v>548</v>
      </c>
      <c r="J2913" s="158">
        <v>0</v>
      </c>
      <c r="K2913" s="159" t="str">
        <f ca="1">IFERROR(__xludf.DUMMYFUNCTION("GOOGLETRANSLATE(H2913,""th"",""en"")"),"Premium product details from the Web OfficMate")</f>
        <v>Premium product details from the Web OfficMate</v>
      </c>
    </row>
    <row r="2914" spans="1:11" ht="15.75" hidden="1" customHeight="1">
      <c r="A2914" s="133" t="s">
        <v>7</v>
      </c>
      <c r="B2914" s="133" t="s">
        <v>454</v>
      </c>
      <c r="C2914" s="133" t="s">
        <v>3055</v>
      </c>
      <c r="D2914" s="133" t="s">
        <v>481</v>
      </c>
      <c r="E2914" s="158">
        <v>5</v>
      </c>
      <c r="F2914" s="158">
        <v>9</v>
      </c>
      <c r="G2914" s="158">
        <v>2</v>
      </c>
      <c r="H2914" s="133" t="s">
        <v>3058</v>
      </c>
      <c r="I2914" s="133" t="s">
        <v>479</v>
      </c>
      <c r="J2914" s="158">
        <v>1</v>
      </c>
      <c r="K2914" s="159" t="str">
        <f ca="1">IFERROR(__xludf.DUMMYFUNCTION("GOOGLETRANSLATE(H2914,""th"",""en"")"),"Record the case is fixed. ""Special shipping fee"" in the process of making temp so (OASYS)")</f>
        <v>Record the case is fixed. "Special shipping fee" in the process of making temp so (OASYS)</v>
      </c>
    </row>
    <row r="2915" spans="1:11" ht="15.75" hidden="1" customHeight="1">
      <c r="A2915" s="133" t="s">
        <v>7</v>
      </c>
      <c r="B2915" s="133" t="s">
        <v>454</v>
      </c>
      <c r="C2915" s="133" t="s">
        <v>3057</v>
      </c>
      <c r="D2915" s="133" t="s">
        <v>481</v>
      </c>
      <c r="E2915" s="158">
        <v>5</v>
      </c>
      <c r="F2915" s="158">
        <v>9</v>
      </c>
      <c r="G2915" s="158">
        <v>2</v>
      </c>
      <c r="H2915" s="133" t="s">
        <v>3056</v>
      </c>
      <c r="I2915" s="133" t="s">
        <v>479</v>
      </c>
      <c r="J2915" s="158">
        <v>1</v>
      </c>
      <c r="K2915" s="159" t="str">
        <f ca="1">IFERROR(__xludf.DUMMYFUNCTION("GOOGLETRANSLATE(H2915,""th"",""en"")"),"Save the case with the VAT editor in the TEMP SO (OASYS) process.")</f>
        <v>Save the case with the VAT editor in the TEMP SO (OASYS) process.</v>
      </c>
    </row>
    <row r="2916" spans="1:11" ht="15.75" hidden="1" customHeight="1">
      <c r="A2916" s="133" t="s">
        <v>7</v>
      </c>
      <c r="B2916" s="133" t="s">
        <v>454</v>
      </c>
      <c r="C2916" s="133" t="s">
        <v>2860</v>
      </c>
      <c r="D2916" s="133" t="s">
        <v>477</v>
      </c>
      <c r="E2916" s="158">
        <v>20</v>
      </c>
      <c r="F2916" s="158">
        <v>0</v>
      </c>
      <c r="G2916" s="158">
        <v>0</v>
      </c>
      <c r="H2916" s="133" t="s">
        <v>3059</v>
      </c>
      <c r="I2916" s="133" t="s">
        <v>548</v>
      </c>
      <c r="J2916" s="158">
        <v>0</v>
      </c>
      <c r="K2916" s="159" t="str">
        <f ca="1">IFERROR(__xludf.DUMMYFUNCTION("GOOGLETRANSLATE(H2916,""th"",""en"")"),"Document type (Normal, MKP, Clearance, Cross Sale, Customer, Vendorstock)")</f>
        <v>Document type (Normal, MKP, Clearance, Cross Sale, Customer, Vendorstock)</v>
      </c>
    </row>
    <row r="2917" spans="1:11" ht="15.75" hidden="1" customHeight="1">
      <c r="A2917" s="133" t="s">
        <v>7</v>
      </c>
      <c r="B2917" s="133" t="s">
        <v>454</v>
      </c>
      <c r="C2917" s="133" t="s">
        <v>3060</v>
      </c>
      <c r="D2917" s="133" t="s">
        <v>477</v>
      </c>
      <c r="E2917" s="158">
        <v>15</v>
      </c>
      <c r="F2917" s="158">
        <v>0</v>
      </c>
      <c r="G2917" s="158">
        <v>0</v>
      </c>
      <c r="H2917" s="133" t="s">
        <v>3061</v>
      </c>
      <c r="I2917" s="133" t="s">
        <v>548</v>
      </c>
      <c r="J2917" s="158">
        <v>0</v>
      </c>
      <c r="K2917" s="159" t="str">
        <f ca="1">IFERROR(__xludf.DUMMYFUNCTION("GOOGLETRANSLATE(H2917,""th"",""en"")"),"The payment receipt of the OFFICEMATE branch case in front of the store")</f>
        <v>The payment receipt of the OFFICEMATE branch case in front of the store</v>
      </c>
    </row>
    <row r="2918" spans="1:11" ht="15.75" hidden="1" customHeight="1">
      <c r="A2918" s="133" t="s">
        <v>7</v>
      </c>
      <c r="B2918" s="133" t="s">
        <v>454</v>
      </c>
      <c r="C2918" s="133" t="s">
        <v>3062</v>
      </c>
      <c r="D2918" s="133" t="s">
        <v>496</v>
      </c>
      <c r="E2918" s="158">
        <v>4</v>
      </c>
      <c r="F2918" s="158">
        <v>16</v>
      </c>
      <c r="G2918" s="158">
        <v>0</v>
      </c>
      <c r="H2918" s="133" t="s">
        <v>3063</v>
      </c>
      <c r="I2918" s="133" t="s">
        <v>1363</v>
      </c>
      <c r="J2918" s="158">
        <v>0</v>
      </c>
      <c r="K2918" s="159" t="str">
        <f ca="1">IFERROR(__xludf.DUMMYFUNCTION("GOOGLETRANSLATE(H2918,""th"",""en"")"),"RCP document number")</f>
        <v>RCP document number</v>
      </c>
    </row>
    <row r="2919" spans="1:11" ht="15.75" hidden="1" customHeight="1">
      <c r="A2919" s="133" t="s">
        <v>7</v>
      </c>
      <c r="B2919" s="133" t="s">
        <v>454</v>
      </c>
      <c r="C2919" s="133" t="s">
        <v>344</v>
      </c>
      <c r="D2919" s="133" t="s">
        <v>484</v>
      </c>
      <c r="E2919" s="158">
        <v>4</v>
      </c>
      <c r="F2919" s="158">
        <v>10</v>
      </c>
      <c r="G2919" s="158">
        <v>0</v>
      </c>
      <c r="H2919" s="133" t="s">
        <v>1992</v>
      </c>
      <c r="I2919" s="133" t="s">
        <v>615</v>
      </c>
      <c r="J2919" s="158">
        <v>0</v>
      </c>
      <c r="K2919" s="159" t="str">
        <f ca="1">IFERROR(__xludf.DUMMYFUNCTION("GOOGLETRANSLATE(H2919,""th"",""en"")"),"Order channel code")</f>
        <v>Order channel code</v>
      </c>
    </row>
    <row r="2920" spans="1:11" ht="15.75" hidden="1" customHeight="1">
      <c r="A2920" s="133" t="s">
        <v>7</v>
      </c>
      <c r="B2920" s="133" t="s">
        <v>454</v>
      </c>
      <c r="C2920" s="133" t="s">
        <v>2114</v>
      </c>
      <c r="D2920" s="133" t="s">
        <v>477</v>
      </c>
      <c r="E2920" s="158">
        <v>100</v>
      </c>
      <c r="F2920" s="158">
        <v>0</v>
      </c>
      <c r="G2920" s="158">
        <v>0</v>
      </c>
      <c r="H2920" s="133" t="s">
        <v>3064</v>
      </c>
      <c r="I2920" s="133" t="s">
        <v>548</v>
      </c>
      <c r="J2920" s="158">
        <v>0</v>
      </c>
      <c r="K2920" s="159" t="str">
        <f ca="1">IFERROR(__xludf.DUMMYFUNCTION("GOOGLETRANSLATE(H2920,""th"",""en"")"),"Channel name, order like CallCenter, OFM Store, Online")</f>
        <v>Channel name, order like CallCenter, OFM Store, Online</v>
      </c>
    </row>
    <row r="2921" spans="1:11" ht="15.75" hidden="1" customHeight="1">
      <c r="A2921" s="133" t="s">
        <v>7</v>
      </c>
      <c r="B2921" s="133" t="s">
        <v>454</v>
      </c>
      <c r="C2921" s="133" t="s">
        <v>350</v>
      </c>
      <c r="D2921" s="133" t="s">
        <v>484</v>
      </c>
      <c r="E2921" s="158">
        <v>4</v>
      </c>
      <c r="F2921" s="158">
        <v>10</v>
      </c>
      <c r="G2921" s="158">
        <v>0</v>
      </c>
      <c r="H2921" s="133" t="s">
        <v>3065</v>
      </c>
      <c r="I2921" s="133" t="s">
        <v>548</v>
      </c>
      <c r="J2921" s="158">
        <v>0</v>
      </c>
      <c r="K2921" s="159" t="str">
        <f ca="1">IFERROR(__xludf.DUMMYFUNCTION("GOOGLETRANSLATE(H2921,""th"",""en"")"),"How to order")</f>
        <v>How to order</v>
      </c>
    </row>
    <row r="2922" spans="1:11" ht="15.75" hidden="1" customHeight="1">
      <c r="A2922" s="133" t="s">
        <v>7</v>
      </c>
      <c r="B2922" s="133" t="s">
        <v>454</v>
      </c>
      <c r="C2922" s="133" t="s">
        <v>2172</v>
      </c>
      <c r="D2922" s="133" t="s">
        <v>477</v>
      </c>
      <c r="E2922" s="158">
        <v>100</v>
      </c>
      <c r="F2922" s="158">
        <v>0</v>
      </c>
      <c r="G2922" s="158">
        <v>0</v>
      </c>
      <c r="H2922" s="133" t="s">
        <v>3066</v>
      </c>
      <c r="I2922" s="133" t="s">
        <v>548</v>
      </c>
      <c r="J2922" s="158">
        <v>0</v>
      </c>
      <c r="K2922" s="159" t="str">
        <f ca="1">IFERROR(__xludf.DUMMYFUNCTION("GOOGLETRANSLATE(H2922,""th"",""en"")"),"How to order")</f>
        <v>How to order</v>
      </c>
    </row>
    <row r="2923" spans="1:11" ht="15.75" hidden="1" customHeight="1">
      <c r="A2923" s="133" t="s">
        <v>7</v>
      </c>
      <c r="B2923" s="133" t="s">
        <v>454</v>
      </c>
      <c r="C2923" s="133" t="s">
        <v>2261</v>
      </c>
      <c r="D2923" s="133" t="s">
        <v>477</v>
      </c>
      <c r="E2923" s="158">
        <v>3</v>
      </c>
      <c r="F2923" s="158">
        <v>0</v>
      </c>
      <c r="G2923" s="158">
        <v>0</v>
      </c>
      <c r="H2923" s="133" t="s">
        <v>3067</v>
      </c>
      <c r="I2923" s="133" t="s">
        <v>596</v>
      </c>
      <c r="J2923" s="158">
        <v>0</v>
      </c>
      <c r="K2923" s="159" t="str">
        <f ca="1">IFERROR(__xludf.DUMMYFUNCTION("GOOGLETRANSLATE(H2923,""th"",""en"")"),"Is Order Click &amp; Collect (YES / NO)")</f>
        <v>Is Order Click &amp; Collect (YES / NO)</v>
      </c>
    </row>
    <row r="2924" spans="1:11" ht="15.75" hidden="1" customHeight="1">
      <c r="A2924" s="133" t="s">
        <v>7</v>
      </c>
      <c r="B2924" s="133" t="s">
        <v>454</v>
      </c>
      <c r="C2924" s="133" t="s">
        <v>3068</v>
      </c>
      <c r="D2924" s="133" t="s">
        <v>477</v>
      </c>
      <c r="E2924" s="158">
        <v>5</v>
      </c>
      <c r="F2924" s="158">
        <v>0</v>
      </c>
      <c r="G2924" s="158">
        <v>0</v>
      </c>
      <c r="H2924" s="133" t="s">
        <v>3069</v>
      </c>
      <c r="I2924" s="133" t="s">
        <v>548</v>
      </c>
      <c r="J2924" s="277">
        <v>1</v>
      </c>
      <c r="K2924" s="159" t="str">
        <f ca="1">IFERROR(__xludf.DUMMYFUNCTION("GOOGLETRANSLATE(H2924,""th"",""en"")"),"Branch code in front of the store Delivery Click Collect")</f>
        <v>Branch code in front of the store Delivery Click Collect</v>
      </c>
    </row>
    <row r="2925" spans="1:11" ht="15.75" hidden="1" customHeight="1">
      <c r="A2925" s="133" t="s">
        <v>7</v>
      </c>
      <c r="B2925" s="133" t="s">
        <v>454</v>
      </c>
      <c r="C2925" s="133" t="s">
        <v>3070</v>
      </c>
      <c r="D2925" s="133" t="s">
        <v>477</v>
      </c>
      <c r="E2925" s="158">
        <v>20</v>
      </c>
      <c r="F2925" s="158">
        <v>0</v>
      </c>
      <c r="G2925" s="158">
        <v>0</v>
      </c>
      <c r="H2925" s="133" t="s">
        <v>3071</v>
      </c>
      <c r="I2925" s="133" t="s">
        <v>548</v>
      </c>
      <c r="J2925" s="158">
        <v>0</v>
      </c>
      <c r="K2925" s="159" t="str">
        <f ca="1">IFERROR(__xludf.DUMMYFUNCTION("GOOGLETRANSLATE(H2925,""th"",""en"")"),"Magento document number (Order Online)")</f>
        <v>Magento document number (Order Online)</v>
      </c>
    </row>
    <row r="2926" spans="1:11" ht="15.75" hidden="1" customHeight="1">
      <c r="A2926" s="133" t="s">
        <v>7</v>
      </c>
      <c r="B2926" s="133" t="s">
        <v>454</v>
      </c>
      <c r="C2926" s="133" t="s">
        <v>3072</v>
      </c>
      <c r="D2926" s="133" t="s">
        <v>477</v>
      </c>
      <c r="E2926" s="158">
        <v>10</v>
      </c>
      <c r="F2926" s="158">
        <v>0</v>
      </c>
      <c r="G2926" s="158">
        <v>0</v>
      </c>
      <c r="H2926" s="133" t="s">
        <v>3073</v>
      </c>
      <c r="I2926" s="133" t="s">
        <v>548</v>
      </c>
      <c r="J2926" s="158">
        <v>0</v>
      </c>
      <c r="K2926" s="159" t="str">
        <f ca="1">IFERROR(__xludf.DUMMYFUNCTION("GOOGLETRANSLATE(H2926,""th"",""en"")"),"MARGENTO document status (Order Online)")</f>
        <v>MARGENTO document status (Order Online)</v>
      </c>
    </row>
    <row r="2927" spans="1:11" ht="15.75" hidden="1" customHeight="1">
      <c r="A2927" s="133" t="s">
        <v>7</v>
      </c>
      <c r="B2927" s="133" t="s">
        <v>454</v>
      </c>
      <c r="C2927" s="133" t="s">
        <v>2127</v>
      </c>
      <c r="D2927" s="133" t="s">
        <v>477</v>
      </c>
      <c r="E2927" s="158">
        <v>3</v>
      </c>
      <c r="F2927" s="158">
        <v>0</v>
      </c>
      <c r="G2927" s="158">
        <v>0</v>
      </c>
      <c r="H2927" s="133" t="s">
        <v>3074</v>
      </c>
      <c r="I2927" s="133" t="s">
        <v>596</v>
      </c>
      <c r="J2927" s="158">
        <v>0</v>
      </c>
      <c r="K2927" s="159" t="str">
        <f ca="1">IFERROR(__xludf.DUMMYFUNCTION("GOOGLETRANSLATE(H2927,""th"",""en"")"),"Is a Hamper (basket) (YES / NO)")</f>
        <v>Is a Hamper (basket) (YES / NO)</v>
      </c>
    </row>
    <row r="2928" spans="1:11" ht="15.75" hidden="1" customHeight="1">
      <c r="A2928" s="133" t="s">
        <v>7</v>
      </c>
      <c r="B2928" s="133" t="s">
        <v>454</v>
      </c>
      <c r="C2928" s="133" t="s">
        <v>3075</v>
      </c>
      <c r="D2928" s="133" t="s">
        <v>477</v>
      </c>
      <c r="E2928" s="158">
        <v>3</v>
      </c>
      <c r="F2928" s="158">
        <v>0</v>
      </c>
      <c r="G2928" s="158">
        <v>0</v>
      </c>
      <c r="H2928" s="133" t="s">
        <v>3076</v>
      </c>
      <c r="I2928" s="133" t="s">
        <v>596</v>
      </c>
      <c r="J2928" s="158">
        <v>0</v>
      </c>
      <c r="K2928" s="159" t="str">
        <f ca="1">IFERROR(__xludf.DUMMYFUNCTION("GOOGLETRANSLATE(H2928,""th"",""en"")"),"Is a Franchise (YES / NO) client code")</f>
        <v>Is a Franchise (YES / NO) client code</v>
      </c>
    </row>
    <row r="2929" spans="1:11" ht="15.75" hidden="1" customHeight="1">
      <c r="A2929" s="133" t="s">
        <v>7</v>
      </c>
      <c r="B2929" s="133" t="s">
        <v>454</v>
      </c>
      <c r="C2929" s="133" t="s">
        <v>3077</v>
      </c>
      <c r="D2929" s="133" t="s">
        <v>477</v>
      </c>
      <c r="E2929" s="158">
        <v>20</v>
      </c>
      <c r="F2929" s="158">
        <v>0</v>
      </c>
      <c r="G2929" s="158">
        <v>0</v>
      </c>
      <c r="H2929" s="133" t="s">
        <v>3078</v>
      </c>
      <c r="I2929" s="133" t="s">
        <v>548</v>
      </c>
      <c r="J2929" s="158">
        <v>0</v>
      </c>
      <c r="K2929" s="159" t="str">
        <f ca="1">IFERROR(__xludf.DUMMYFUNCTION("GOOGLETRANSLATE(H2929,""th"",""en"")"),"Type Order Franchise (Fulfillment, Dropship)")</f>
        <v>Type Order Franchise (Fulfillment, Dropship)</v>
      </c>
    </row>
    <row r="2930" spans="1:11" ht="15.75" hidden="1" customHeight="1">
      <c r="A2930" s="133" t="s">
        <v>7</v>
      </c>
      <c r="B2930" s="133" t="s">
        <v>454</v>
      </c>
      <c r="C2930" s="133" t="s">
        <v>1500</v>
      </c>
      <c r="D2930" s="133" t="s">
        <v>477</v>
      </c>
      <c r="E2930" s="158">
        <v>20</v>
      </c>
      <c r="F2930" s="158">
        <v>0</v>
      </c>
      <c r="G2930" s="158">
        <v>0</v>
      </c>
      <c r="H2930" s="133" t="s">
        <v>3079</v>
      </c>
      <c r="I2930" s="133" t="s">
        <v>548</v>
      </c>
      <c r="J2930" s="158">
        <v>0</v>
      </c>
      <c r="K2930" s="159" t="str">
        <f ca="1">IFERROR(__xludf.DUMMYFUNCTION("GOOGLETRANSLATE(H2930,""th"",""en"")"),"Used for providing ERP, separating products and issuing documents (Billmerge, BillSpit)")</f>
        <v>Used for providing ERP, separating products and issuing documents (Billmerge, BillSpit)</v>
      </c>
    </row>
    <row r="2931" spans="1:11" ht="15.75" hidden="1" customHeight="1">
      <c r="A2931" s="133" t="s">
        <v>7</v>
      </c>
      <c r="B2931" s="133" t="s">
        <v>454</v>
      </c>
      <c r="C2931" s="133" t="s">
        <v>3080</v>
      </c>
      <c r="D2931" s="133" t="s">
        <v>477</v>
      </c>
      <c r="E2931" s="158">
        <v>3</v>
      </c>
      <c r="F2931" s="158">
        <v>0</v>
      </c>
      <c r="G2931" s="158">
        <v>0</v>
      </c>
      <c r="H2931" s="133" t="s">
        <v>3081</v>
      </c>
      <c r="I2931" s="133" t="s">
        <v>596</v>
      </c>
      <c r="J2931" s="158">
        <v>0</v>
      </c>
      <c r="K2931" s="159" t="str">
        <f ca="1">IFERROR(__xludf.DUMMYFUNCTION("GOOGLETRANSLATE(H2931,""th"",""en"")"),"There are more than 1 product arrangement (YES / NO).")</f>
        <v>There are more than 1 product arrangement (YES / NO).</v>
      </c>
    </row>
    <row r="2932" spans="1:11" ht="15.75" hidden="1" customHeight="1">
      <c r="A2932" s="133" t="s">
        <v>7</v>
      </c>
      <c r="B2932" s="133" t="s">
        <v>454</v>
      </c>
      <c r="C2932" s="133" t="s">
        <v>3082</v>
      </c>
      <c r="D2932" s="133" t="s">
        <v>477</v>
      </c>
      <c r="E2932" s="158">
        <v>3</v>
      </c>
      <c r="F2932" s="158">
        <v>0</v>
      </c>
      <c r="G2932" s="158">
        <v>0</v>
      </c>
      <c r="H2932" s="133" t="s">
        <v>3083</v>
      </c>
      <c r="I2932" s="133" t="s">
        <v>596</v>
      </c>
      <c r="J2932" s="158">
        <v>0</v>
      </c>
      <c r="K2932" s="159" t="str">
        <f ca="1">IFERROR(__xludf.DUMMYFUNCTION("GOOGLETRANSLATE(H2932,""th"",""en"")"),"Is a VIP group (YES / NO)")</f>
        <v>Is a VIP group (YES / NO)</v>
      </c>
    </row>
    <row r="2933" spans="1:11" ht="15.75" hidden="1" customHeight="1">
      <c r="A2933" s="133" t="s">
        <v>7</v>
      </c>
      <c r="B2933" s="133" t="s">
        <v>454</v>
      </c>
      <c r="C2933" s="133" t="s">
        <v>3084</v>
      </c>
      <c r="D2933" s="133" t="s">
        <v>477</v>
      </c>
      <c r="E2933" s="158">
        <v>3</v>
      </c>
      <c r="F2933" s="158">
        <v>0</v>
      </c>
      <c r="G2933" s="158">
        <v>0</v>
      </c>
      <c r="H2933" s="133" t="s">
        <v>3085</v>
      </c>
      <c r="I2933" s="133" t="s">
        <v>596</v>
      </c>
      <c r="J2933" s="158">
        <v>0</v>
      </c>
      <c r="K2933" s="159" t="str">
        <f ca="1">IFERROR(__xludf.DUMMYFUNCTION("GOOGLETRANSLATE(H2933,""th"",""en"")"),"Contact back to customers Send this information from Order Online (yes / no)")</f>
        <v>Contact back to customers Send this information from Order Online (yes / no)</v>
      </c>
    </row>
    <row r="2934" spans="1:11" ht="15.75" hidden="1" customHeight="1">
      <c r="A2934" s="133" t="s">
        <v>7</v>
      </c>
      <c r="B2934" s="133" t="s">
        <v>454</v>
      </c>
      <c r="C2934" s="133" t="s">
        <v>1834</v>
      </c>
      <c r="D2934" s="133" t="s">
        <v>477</v>
      </c>
      <c r="E2934" s="158">
        <v>3</v>
      </c>
      <c r="F2934" s="158">
        <v>0</v>
      </c>
      <c r="G2934" s="158">
        <v>0</v>
      </c>
      <c r="H2934" s="133" t="s">
        <v>3086</v>
      </c>
      <c r="I2934" s="133" t="s">
        <v>596</v>
      </c>
      <c r="J2934" s="158">
        <v>0</v>
      </c>
      <c r="K2934" s="159" t="str">
        <f ca="1">IFERROR(__xludf.DUMMYFUNCTION("GOOGLETRANSLATE(H2934,""th"",""en"")"),"Is a customer standing product price (Yes, NO)")</f>
        <v>Is a customer standing product price (Yes, NO)</v>
      </c>
    </row>
    <row r="2935" spans="1:11" ht="15.75" hidden="1" customHeight="1">
      <c r="A2935" s="133" t="s">
        <v>7</v>
      </c>
      <c r="B2935" s="133" t="s">
        <v>454</v>
      </c>
      <c r="C2935" s="133" t="s">
        <v>3087</v>
      </c>
      <c r="D2935" s="133" t="s">
        <v>477</v>
      </c>
      <c r="E2935" s="158">
        <v>3</v>
      </c>
      <c r="F2935" s="158">
        <v>0</v>
      </c>
      <c r="G2935" s="158">
        <v>0</v>
      </c>
      <c r="H2935" s="133" t="s">
        <v>3088</v>
      </c>
      <c r="I2935" s="133" t="s">
        <v>596</v>
      </c>
      <c r="J2935" s="158">
        <v>0</v>
      </c>
      <c r="K2935" s="159" t="str">
        <f ca="1">IFERROR(__xludf.DUMMYFUNCTION("GOOGLETRANSLATE(H2935,""th"",""en"")"),"Document waiting for Rule approval (yes, no)")</f>
        <v>Document waiting for Rule approval (yes, no)</v>
      </c>
    </row>
    <row r="2936" spans="1:11" ht="15.75" hidden="1" customHeight="1">
      <c r="A2936" s="133" t="s">
        <v>7</v>
      </c>
      <c r="B2936" s="133" t="s">
        <v>454</v>
      </c>
      <c r="C2936" s="133" t="s">
        <v>3089</v>
      </c>
      <c r="D2936" s="133" t="s">
        <v>484</v>
      </c>
      <c r="E2936" s="158">
        <v>4</v>
      </c>
      <c r="F2936" s="158">
        <v>10</v>
      </c>
      <c r="G2936" s="158">
        <v>0</v>
      </c>
      <c r="H2936" s="133" t="s">
        <v>3090</v>
      </c>
      <c r="I2936" s="133" t="s">
        <v>548</v>
      </c>
      <c r="J2936" s="158">
        <v>0</v>
      </c>
      <c r="K2936" s="159" t="str">
        <f ca="1">IFERROR(__xludf.DUMMYFUNCTION("GOOGLETRANSLATE(H2936,""th"",""en"")"),"Rule number that must be approved")</f>
        <v>Rule number that must be approved</v>
      </c>
    </row>
    <row r="2937" spans="1:11" ht="15.75" hidden="1" customHeight="1">
      <c r="A2937" s="133" t="s">
        <v>7</v>
      </c>
      <c r="B2937" s="133" t="s">
        <v>454</v>
      </c>
      <c r="C2937" s="133" t="s">
        <v>1866</v>
      </c>
      <c r="D2937" s="133" t="s">
        <v>477</v>
      </c>
      <c r="E2937" s="158">
        <v>200</v>
      </c>
      <c r="F2937" s="158">
        <v>0</v>
      </c>
      <c r="G2937" s="158">
        <v>0</v>
      </c>
      <c r="H2937" s="133" t="s">
        <v>3091</v>
      </c>
      <c r="I2937" s="133" t="s">
        <v>548</v>
      </c>
      <c r="J2937" s="158">
        <v>0</v>
      </c>
      <c r="K2937" s="159" t="str">
        <f ca="1">IFERROR(__xludf.DUMMYFUNCTION("GOOGLETRANSLATE(H2937,""th"",""en"")"),"Order notification messages determined by the owner of the order")</f>
        <v>Order notification messages determined by the owner of the order</v>
      </c>
    </row>
    <row r="2938" spans="1:11" ht="15.75" hidden="1" customHeight="1">
      <c r="A2938" s="133" t="s">
        <v>7</v>
      </c>
      <c r="B2938" s="133" t="s">
        <v>454</v>
      </c>
      <c r="C2938" s="133" t="s">
        <v>1867</v>
      </c>
      <c r="D2938" s="133" t="s">
        <v>496</v>
      </c>
      <c r="E2938" s="158">
        <v>4</v>
      </c>
      <c r="F2938" s="158">
        <v>16</v>
      </c>
      <c r="G2938" s="158">
        <v>0</v>
      </c>
      <c r="H2938" s="133" t="s">
        <v>3092</v>
      </c>
      <c r="I2938" s="133" t="s">
        <v>1363</v>
      </c>
      <c r="J2938" s="158">
        <v>0</v>
      </c>
      <c r="K2938" s="159" t="str">
        <f ca="1">IFERROR(__xludf.DUMMYFUNCTION("GOOGLETRANSLATE(H2938,""th"",""en"")"),"Reeminder Order notification date")</f>
        <v>Reeminder Order notification date</v>
      </c>
    </row>
    <row r="2939" spans="1:11" ht="15.75" hidden="1" customHeight="1">
      <c r="A2939" s="133" t="s">
        <v>7</v>
      </c>
      <c r="B2939" s="133" t="s">
        <v>454</v>
      </c>
      <c r="C2939" s="133" t="s">
        <v>1868</v>
      </c>
      <c r="D2939" s="133" t="s">
        <v>477</v>
      </c>
      <c r="E2939" s="158">
        <v>20</v>
      </c>
      <c r="F2939" s="158">
        <v>0</v>
      </c>
      <c r="G2939" s="158">
        <v>0</v>
      </c>
      <c r="H2939" s="133" t="s">
        <v>3093</v>
      </c>
      <c r="I2939" s="133" t="s">
        <v>548</v>
      </c>
      <c r="J2939" s="158">
        <v>0</v>
      </c>
      <c r="K2939" s="159" t="str">
        <f ca="1">IFERROR(__xludf.DUMMYFUNCTION("GOOGLETRANSLATE(H2939,""th"",""en"")"),"Notification status (Pending = is under notification, dismiss = acknowledgment notification)")</f>
        <v>Notification status (Pending = is under notification, dismiss = acknowledgment notification)</v>
      </c>
    </row>
    <row r="2940" spans="1:11" ht="15.75" hidden="1" customHeight="1">
      <c r="A2940" s="133" t="s">
        <v>7</v>
      </c>
      <c r="B2940" s="133" t="s">
        <v>454</v>
      </c>
      <c r="C2940" s="133" t="s">
        <v>357</v>
      </c>
      <c r="D2940" s="133" t="s">
        <v>484</v>
      </c>
      <c r="E2940" s="158">
        <v>4</v>
      </c>
      <c r="F2940" s="158">
        <v>10</v>
      </c>
      <c r="G2940" s="158">
        <v>0</v>
      </c>
      <c r="H2940" s="133" t="s">
        <v>3094</v>
      </c>
      <c r="I2940" s="133" t="s">
        <v>615</v>
      </c>
      <c r="J2940" s="158">
        <v>0</v>
      </c>
      <c r="K2940" s="159" t="str">
        <f ca="1">IFERROR(__xludf.DUMMYFUNCTION("GOOGLETRANSLATE(H2940,""th"",""en"")"),"Salesperson's branch code")</f>
        <v>Salesperson's branch code</v>
      </c>
    </row>
    <row r="2941" spans="1:11" ht="15.75" hidden="1" customHeight="1">
      <c r="A2941" s="133" t="s">
        <v>7</v>
      </c>
      <c r="B2941" s="133" t="s">
        <v>454</v>
      </c>
      <c r="C2941" s="133" t="s">
        <v>1871</v>
      </c>
      <c r="D2941" s="133" t="s">
        <v>477</v>
      </c>
      <c r="E2941" s="158">
        <v>100</v>
      </c>
      <c r="F2941" s="158">
        <v>0</v>
      </c>
      <c r="G2941" s="158">
        <v>0</v>
      </c>
      <c r="H2941" s="133" t="s">
        <v>3095</v>
      </c>
      <c r="I2941" s="133" t="s">
        <v>548</v>
      </c>
      <c r="J2941" s="158">
        <v>0</v>
      </c>
      <c r="K2941" s="159" t="str">
        <f ca="1">IFERROR(__xludf.DUMMYFUNCTION("GOOGLETRANSLATE(H2941,""th"",""en"")"),"Branch names that are affiliated with salespeople such as Callcenter, Office Mate, Seacon Branch, ...")</f>
        <v>Branch names that are affiliated with salespeople such as Callcenter, Office Mate, Seacon Branch, ...</v>
      </c>
    </row>
    <row r="2942" spans="1:11" ht="15.75" hidden="1" customHeight="1">
      <c r="A2942" s="133" t="s">
        <v>7</v>
      </c>
      <c r="B2942" s="133" t="s">
        <v>454</v>
      </c>
      <c r="C2942" s="133" t="s">
        <v>1414</v>
      </c>
      <c r="D2942" s="133" t="s">
        <v>477</v>
      </c>
      <c r="E2942" s="158">
        <v>8</v>
      </c>
      <c r="F2942" s="158">
        <v>0</v>
      </c>
      <c r="G2942" s="158">
        <v>0</v>
      </c>
      <c r="H2942" s="133" t="s">
        <v>3096</v>
      </c>
      <c r="I2942" s="133" t="s">
        <v>548</v>
      </c>
      <c r="J2942" s="277">
        <v>1</v>
      </c>
      <c r="K2942" s="159" t="str">
        <f ca="1">IFERROR(__xludf.DUMMYFUNCTION("GOOGLETRANSLATE(H2942,""th"",""en"")"),"Salesperson code")</f>
        <v>Salesperson code</v>
      </c>
    </row>
    <row r="2943" spans="1:11" ht="15.75" hidden="1" customHeight="1">
      <c r="A2943" s="133" t="s">
        <v>7</v>
      </c>
      <c r="B2943" s="133" t="s">
        <v>454</v>
      </c>
      <c r="C2943" s="133" t="s">
        <v>3097</v>
      </c>
      <c r="D2943" s="133" t="s">
        <v>477</v>
      </c>
      <c r="E2943" s="158">
        <v>100</v>
      </c>
      <c r="F2943" s="158">
        <v>0</v>
      </c>
      <c r="G2943" s="158">
        <v>0</v>
      </c>
      <c r="H2943" s="133" t="s">
        <v>3098</v>
      </c>
      <c r="I2943" s="133" t="s">
        <v>548</v>
      </c>
      <c r="J2943" s="158">
        <v>0</v>
      </c>
      <c r="K2943" s="159" t="str">
        <f ca="1">IFERROR(__xludf.DUMMYFUNCTION("GOOGLETRANSLATE(H2943,""th"",""en"")"),"Name-surname, salesman")</f>
        <v>Name-surname, salesman</v>
      </c>
    </row>
    <row r="2944" spans="1:11" ht="15.75" hidden="1" customHeight="1">
      <c r="A2944" s="133" t="s">
        <v>7</v>
      </c>
      <c r="B2944" s="133" t="s">
        <v>454</v>
      </c>
      <c r="C2944" s="133" t="s">
        <v>1872</v>
      </c>
      <c r="D2944" s="133" t="s">
        <v>477</v>
      </c>
      <c r="E2944" s="158">
        <v>8</v>
      </c>
      <c r="F2944" s="158">
        <v>0</v>
      </c>
      <c r="G2944" s="158">
        <v>0</v>
      </c>
      <c r="H2944" s="133" t="s">
        <v>3099</v>
      </c>
      <c r="I2944" s="133" t="s">
        <v>548</v>
      </c>
      <c r="J2944" s="277">
        <v>1</v>
      </c>
      <c r="K2944" s="159" t="str">
        <f ca="1">IFERROR(__xludf.DUMMYFUNCTION("GOOGLETRANSLATE(H2944,""th"",""en"")"),"Level Employee Code, Owner's Owner (ORDER)")</f>
        <v>Level Employee Code, Owner's Owner (ORDER)</v>
      </c>
    </row>
    <row r="2945" spans="1:11" ht="15.75" hidden="1" customHeight="1">
      <c r="A2945" s="133" t="s">
        <v>7</v>
      </c>
      <c r="B2945" s="133" t="s">
        <v>454</v>
      </c>
      <c r="C2945" s="133" t="s">
        <v>377</v>
      </c>
      <c r="D2945" s="133" t="s">
        <v>477</v>
      </c>
      <c r="E2945" s="158">
        <v>10</v>
      </c>
      <c r="F2945" s="158">
        <v>0</v>
      </c>
      <c r="G2945" s="158">
        <v>0</v>
      </c>
      <c r="H2945" s="133" t="s">
        <v>3100</v>
      </c>
      <c r="I2945" s="133" t="s">
        <v>548</v>
      </c>
      <c r="J2945" s="158">
        <v>0</v>
      </c>
      <c r="K2945" s="159" t="str">
        <f ca="1">IFERROR(__xludf.DUMMYFUNCTION("GOOGLETRANSLATE(H2945,""th"",""en"")"),"Team code of the Creator ORDER, such as KA1, KA2,")</f>
        <v>Team code of the Creator ORDER, such as KA1, KA2,</v>
      </c>
    </row>
    <row r="2946" spans="1:11" ht="15.75" hidden="1" customHeight="1">
      <c r="A2946" s="133" t="s">
        <v>7</v>
      </c>
      <c r="B2946" s="133" t="s">
        <v>454</v>
      </c>
      <c r="C2946" s="133" t="s">
        <v>1333</v>
      </c>
      <c r="D2946" s="133" t="s">
        <v>477</v>
      </c>
      <c r="E2946" s="158">
        <v>100</v>
      </c>
      <c r="F2946" s="158">
        <v>0</v>
      </c>
      <c r="G2946" s="158">
        <v>0</v>
      </c>
      <c r="H2946" s="133" t="s">
        <v>734</v>
      </c>
      <c r="I2946" s="133" t="s">
        <v>548</v>
      </c>
      <c r="J2946" s="158">
        <v>0</v>
      </c>
      <c r="K2946" s="159" t="str">
        <f ca="1">IFERROR(__xludf.DUMMYFUNCTION("GOOGLETRANSLATE(H2946,""th"",""en"")"),"Creator name")</f>
        <v>Creator name</v>
      </c>
    </row>
    <row r="2947" spans="1:11" ht="15.75" hidden="1" customHeight="1">
      <c r="A2947" s="133" t="s">
        <v>7</v>
      </c>
      <c r="B2947" s="133" t="s">
        <v>454</v>
      </c>
      <c r="C2947" s="133" t="s">
        <v>1334</v>
      </c>
      <c r="D2947" s="133" t="s">
        <v>477</v>
      </c>
      <c r="E2947" s="158">
        <v>8</v>
      </c>
      <c r="F2947" s="158">
        <v>0</v>
      </c>
      <c r="G2947" s="158">
        <v>0</v>
      </c>
      <c r="H2947" s="133" t="s">
        <v>1282</v>
      </c>
      <c r="I2947" s="133" t="s">
        <v>548</v>
      </c>
      <c r="J2947" s="158">
        <v>0</v>
      </c>
      <c r="K2947" s="159" t="str">
        <f ca="1">IFERROR(__xludf.DUMMYFUNCTION("GOOGLETRANSLATE(H2947,""th"",""en"")"),"Creator code")</f>
        <v>Creator code</v>
      </c>
    </row>
    <row r="2948" spans="1:11" ht="15.75" hidden="1" customHeight="1">
      <c r="A2948" s="133" t="s">
        <v>7</v>
      </c>
      <c r="B2948" s="133" t="s">
        <v>454</v>
      </c>
      <c r="C2948" s="133" t="s">
        <v>184</v>
      </c>
      <c r="D2948" s="133" t="s">
        <v>538</v>
      </c>
      <c r="E2948" s="158">
        <v>8</v>
      </c>
      <c r="F2948" s="158">
        <v>23</v>
      </c>
      <c r="G2948" s="158">
        <v>3</v>
      </c>
      <c r="H2948" s="133" t="s">
        <v>735</v>
      </c>
      <c r="I2948" s="133" t="s">
        <v>1284</v>
      </c>
      <c r="J2948" s="158">
        <v>0</v>
      </c>
      <c r="K2948" s="159" t="str">
        <f ca="1">IFERROR(__xludf.DUMMYFUNCTION("GOOGLETRANSLATE(H2948,""th"",""en"")"),"Date created")</f>
        <v>Date created</v>
      </c>
    </row>
    <row r="2949" spans="1:11" ht="15.75" hidden="1" customHeight="1">
      <c r="A2949" s="133" t="s">
        <v>7</v>
      </c>
      <c r="B2949" s="133" t="s">
        <v>454</v>
      </c>
      <c r="C2949" s="133" t="s">
        <v>1335</v>
      </c>
      <c r="D2949" s="133" t="s">
        <v>477</v>
      </c>
      <c r="E2949" s="158">
        <v>100</v>
      </c>
      <c r="F2949" s="158">
        <v>0</v>
      </c>
      <c r="G2949" s="158">
        <v>0</v>
      </c>
      <c r="H2949" s="133" t="s">
        <v>802</v>
      </c>
      <c r="I2949" s="133" t="s">
        <v>548</v>
      </c>
      <c r="J2949" s="158">
        <v>0</v>
      </c>
      <c r="K2949" s="159" t="str">
        <f ca="1">IFERROR(__xludf.DUMMYFUNCTION("GOOGLETRANSLATE(H2949,""th"",""en"")"),"Editor")</f>
        <v>Editor</v>
      </c>
    </row>
    <row r="2950" spans="1:11" ht="15.75" hidden="1" customHeight="1">
      <c r="A2950" s="133" t="s">
        <v>7</v>
      </c>
      <c r="B2950" s="133" t="s">
        <v>454</v>
      </c>
      <c r="C2950" s="133" t="s">
        <v>1336</v>
      </c>
      <c r="D2950" s="133" t="s">
        <v>477</v>
      </c>
      <c r="E2950" s="158">
        <v>8</v>
      </c>
      <c r="F2950" s="158">
        <v>0</v>
      </c>
      <c r="G2950" s="158">
        <v>0</v>
      </c>
      <c r="H2950" s="133" t="s">
        <v>1922</v>
      </c>
      <c r="I2950" s="133" t="s">
        <v>548</v>
      </c>
      <c r="J2950" s="158">
        <v>0</v>
      </c>
      <c r="K2950" s="159" t="str">
        <f ca="1">IFERROR(__xludf.DUMMYFUNCTION("GOOGLETRANSLATE(H2950,""th"",""en"")"),"Edit code")</f>
        <v>Edit code</v>
      </c>
    </row>
    <row r="2951" spans="1:11" ht="15.75" hidden="1" customHeight="1">
      <c r="A2951" s="133" t="s">
        <v>7</v>
      </c>
      <c r="B2951" s="133" t="s">
        <v>454</v>
      </c>
      <c r="C2951" s="133" t="s">
        <v>175</v>
      </c>
      <c r="D2951" s="133" t="s">
        <v>538</v>
      </c>
      <c r="E2951" s="158">
        <v>8</v>
      </c>
      <c r="F2951" s="158">
        <v>23</v>
      </c>
      <c r="G2951" s="158">
        <v>3</v>
      </c>
      <c r="H2951" s="133" t="s">
        <v>803</v>
      </c>
      <c r="I2951" s="133" t="s">
        <v>548</v>
      </c>
      <c r="J2951" s="158">
        <v>0</v>
      </c>
      <c r="K2951" s="159" t="str">
        <f ca="1">IFERROR(__xludf.DUMMYFUNCTION("GOOGLETRANSLATE(H2951,""th"",""en"")"),"Edit date")</f>
        <v>Edit date</v>
      </c>
    </row>
    <row r="2952" spans="1:11" ht="15.75" hidden="1" customHeight="1">
      <c r="A2952" s="133" t="s">
        <v>7</v>
      </c>
      <c r="B2952" s="133" t="s">
        <v>454</v>
      </c>
      <c r="C2952" s="133" t="s">
        <v>1918</v>
      </c>
      <c r="D2952" s="133" t="s">
        <v>481</v>
      </c>
      <c r="E2952" s="158">
        <v>5</v>
      </c>
      <c r="F2952" s="158">
        <v>9</v>
      </c>
      <c r="G2952" s="158">
        <v>2</v>
      </c>
      <c r="H2952" s="133" t="s">
        <v>479</v>
      </c>
      <c r="I2952" s="133" t="s">
        <v>1223</v>
      </c>
      <c r="J2952" s="158">
        <v>0</v>
      </c>
      <c r="K2952" s="159" t="str">
        <f ca="1">IFERROR(__xludf.DUMMYFUNCTION("GOOGLETRANSLATE(H2952,""th"",""en"")"),"Null")</f>
        <v>Null</v>
      </c>
    </row>
    <row r="2953" spans="1:11" ht="15.75" hidden="1" customHeight="1">
      <c r="A2953" s="133" t="s">
        <v>7</v>
      </c>
      <c r="B2953" s="133" t="s">
        <v>454</v>
      </c>
      <c r="C2953" s="133" t="s">
        <v>1916</v>
      </c>
      <c r="D2953" s="133" t="s">
        <v>481</v>
      </c>
      <c r="E2953" s="158">
        <v>5</v>
      </c>
      <c r="F2953" s="158">
        <v>9</v>
      </c>
      <c r="G2953" s="158">
        <v>2</v>
      </c>
      <c r="H2953" s="133" t="s">
        <v>479</v>
      </c>
      <c r="I2953" s="133" t="s">
        <v>1223</v>
      </c>
      <c r="J2953" s="158">
        <v>0</v>
      </c>
      <c r="K2953" s="159" t="str">
        <f ca="1">IFERROR(__xludf.DUMMYFUNCTION("GOOGLETRANSLATE(H2953,""th"",""en"")"),"Null")</f>
        <v>Null</v>
      </c>
    </row>
    <row r="2954" spans="1:11" ht="15.75" hidden="1" customHeight="1">
      <c r="A2954" s="133" t="s">
        <v>7</v>
      </c>
      <c r="B2954" s="133" t="s">
        <v>454</v>
      </c>
      <c r="C2954" s="133" t="s">
        <v>3479</v>
      </c>
      <c r="D2954" s="133" t="s">
        <v>477</v>
      </c>
      <c r="E2954" s="158">
        <v>3</v>
      </c>
      <c r="F2954" s="158">
        <v>0</v>
      </c>
      <c r="G2954" s="158">
        <v>0</v>
      </c>
      <c r="H2954" s="133" t="s">
        <v>479</v>
      </c>
      <c r="I2954" s="133" t="s">
        <v>596</v>
      </c>
      <c r="J2954" s="158">
        <v>0</v>
      </c>
      <c r="K2954" s="159" t="str">
        <f ca="1">IFERROR(__xludf.DUMMYFUNCTION("GOOGLETRANSLATE(H2954,""th"",""en"")"),"Null")</f>
        <v>Null</v>
      </c>
    </row>
    <row r="2955" spans="1:11" ht="15.75" hidden="1" customHeight="1">
      <c r="A2955" s="133" t="s">
        <v>7</v>
      </c>
      <c r="B2955" s="133" t="s">
        <v>454</v>
      </c>
      <c r="C2955" s="133" t="s">
        <v>1341</v>
      </c>
      <c r="D2955" s="133" t="s">
        <v>477</v>
      </c>
      <c r="E2955" s="158">
        <v>20</v>
      </c>
      <c r="F2955" s="158">
        <v>0</v>
      </c>
      <c r="G2955" s="158">
        <v>0</v>
      </c>
      <c r="H2955" s="133" t="s">
        <v>479</v>
      </c>
      <c r="I2955" s="133" t="s">
        <v>548</v>
      </c>
      <c r="J2955" s="158">
        <v>0</v>
      </c>
      <c r="K2955" s="159" t="str">
        <f ca="1">IFERROR(__xludf.DUMMYFUNCTION("GOOGLETRANSLATE(H2955,""th"",""en"")"),"Null")</f>
        <v>Null</v>
      </c>
    </row>
    <row r="2956" spans="1:11" ht="15.75" hidden="1" customHeight="1">
      <c r="A2956" s="133" t="s">
        <v>7</v>
      </c>
      <c r="B2956" s="133" t="s">
        <v>454</v>
      </c>
      <c r="C2956" s="133" t="s">
        <v>3105</v>
      </c>
      <c r="D2956" s="133" t="s">
        <v>481</v>
      </c>
      <c r="E2956" s="158">
        <v>5</v>
      </c>
      <c r="F2956" s="158">
        <v>9</v>
      </c>
      <c r="G2956" s="158">
        <v>2</v>
      </c>
      <c r="H2956" s="133" t="s">
        <v>3106</v>
      </c>
      <c r="I2956" s="133" t="s">
        <v>1223</v>
      </c>
      <c r="J2956" s="158">
        <v>0</v>
      </c>
      <c r="K2956" s="159" t="str">
        <f ca="1">IFERROR(__xludf.DUMMYFUNCTION("GOOGLETRANSLATE(H2956,""th"",""en"")"),"Total total tax (Collect data without changing after confirm status)")</f>
        <v>Total total tax (Collect data without changing after confirm status)</v>
      </c>
    </row>
    <row r="2957" spans="1:11" ht="15.75" hidden="1" customHeight="1">
      <c r="A2957" s="133" t="s">
        <v>7</v>
      </c>
      <c r="B2957" s="133" t="s">
        <v>454</v>
      </c>
      <c r="C2957" s="133" t="s">
        <v>3107</v>
      </c>
      <c r="D2957" s="133" t="s">
        <v>477</v>
      </c>
      <c r="E2957" s="158">
        <v>50</v>
      </c>
      <c r="F2957" s="158">
        <v>0</v>
      </c>
      <c r="G2957" s="158">
        <v>0</v>
      </c>
      <c r="H2957" s="133" t="s">
        <v>3108</v>
      </c>
      <c r="I2957" s="133" t="s">
        <v>548</v>
      </c>
      <c r="J2957" s="158">
        <v>0</v>
      </c>
      <c r="K2957" s="159" t="str">
        <f ca="1">IFERROR(__xludf.DUMMYFUNCTION("GOOGLETRANSLATE(H2957,""th"",""en"")"),"Main Zone in delivery")</f>
        <v>Main Zone in delivery</v>
      </c>
    </row>
    <row r="2958" spans="1:11" ht="15.75" hidden="1" customHeight="1">
      <c r="A2958" s="133" t="s">
        <v>7</v>
      </c>
      <c r="B2958" s="133" t="s">
        <v>454</v>
      </c>
      <c r="C2958" s="133" t="s">
        <v>1875</v>
      </c>
      <c r="D2958" s="133" t="s">
        <v>477</v>
      </c>
      <c r="E2958" s="158">
        <v>20</v>
      </c>
      <c r="F2958" s="158">
        <v>0</v>
      </c>
      <c r="G2958" s="158">
        <v>0</v>
      </c>
      <c r="H2958" s="160"/>
      <c r="I2958" s="133" t="s">
        <v>548</v>
      </c>
      <c r="J2958" s="277">
        <v>1</v>
      </c>
      <c r="K2958" s="159" t="str">
        <f ca="1">IFERROR(__xludf.DUMMYFUNCTION("GOOGLETRANSLATE(H2958,""th"",""en"")"),"#VALUE!")</f>
        <v>#VALUE!</v>
      </c>
    </row>
    <row r="2959" spans="1:11" ht="15.75" hidden="1" customHeight="1">
      <c r="A2959" s="133" t="s">
        <v>7</v>
      </c>
      <c r="B2959" s="133" t="s">
        <v>454</v>
      </c>
      <c r="C2959" s="133" t="s">
        <v>3480</v>
      </c>
      <c r="D2959" s="133" t="s">
        <v>477</v>
      </c>
      <c r="E2959" s="158">
        <v>20</v>
      </c>
      <c r="F2959" s="158">
        <v>0</v>
      </c>
      <c r="G2959" s="158">
        <v>0</v>
      </c>
      <c r="H2959" s="133" t="s">
        <v>3481</v>
      </c>
      <c r="I2959" s="133" t="s">
        <v>548</v>
      </c>
      <c r="J2959" s="158">
        <v>0</v>
      </c>
      <c r="K2959" s="159" t="str">
        <f ca="1">IFERROR(__xludf.DUMMYFUNCTION("GOOGLETRANSLATE(H2959,""th"",""en"")"),"SELLER Purchase Order No.")</f>
        <v>SELLER Purchase Order No.</v>
      </c>
    </row>
    <row r="2960" spans="1:11" ht="15.75" hidden="1" customHeight="1">
      <c r="A2960" s="133" t="s">
        <v>7</v>
      </c>
      <c r="B2960" s="133" t="s">
        <v>454</v>
      </c>
      <c r="C2960" s="133" t="s">
        <v>3482</v>
      </c>
      <c r="D2960" s="133" t="s">
        <v>477</v>
      </c>
      <c r="E2960" s="158">
        <v>20</v>
      </c>
      <c r="F2960" s="158">
        <v>0</v>
      </c>
      <c r="G2960" s="158">
        <v>0</v>
      </c>
      <c r="H2960" s="133" t="s">
        <v>3483</v>
      </c>
      <c r="I2960" s="133" t="s">
        <v>548</v>
      </c>
      <c r="J2960" s="158">
        <v>0</v>
      </c>
      <c r="K2960" s="159" t="str">
        <f ca="1">IFERROR(__xludf.DUMMYFUNCTION("GOOGLETRANSLATE(H2960,""th"",""en"")"),"SELLER (WAITING, ONPROCESS, Complete)")</f>
        <v>SELLER (WAITING, ONPROCESS, Complete)</v>
      </c>
    </row>
    <row r="2961" spans="1:11" ht="15.75" hidden="1" customHeight="1">
      <c r="A2961" s="133" t="s">
        <v>7</v>
      </c>
      <c r="B2961" s="133" t="s">
        <v>454</v>
      </c>
      <c r="C2961" s="133" t="s">
        <v>1904</v>
      </c>
      <c r="D2961" s="133" t="s">
        <v>477</v>
      </c>
      <c r="E2961" s="158">
        <v>3</v>
      </c>
      <c r="F2961" s="158">
        <v>0</v>
      </c>
      <c r="G2961" s="158">
        <v>0</v>
      </c>
      <c r="H2961" s="133" t="s">
        <v>1905</v>
      </c>
      <c r="I2961" s="133" t="s">
        <v>596</v>
      </c>
      <c r="J2961" s="158">
        <v>0</v>
      </c>
      <c r="K2961" s="159" t="str">
        <f ca="1">IFERROR(__xludf.DUMMYFUNCTION("GOOGLETRANSLATE(H2961,""th"",""en"")"),"Receive E-Tax information: [yes, no]")</f>
        <v>Receive E-Tax information: [yes, no]</v>
      </c>
    </row>
    <row r="2962" spans="1:11" ht="15.75" hidden="1" customHeight="1">
      <c r="A2962" s="133" t="s">
        <v>7</v>
      </c>
      <c r="B2962" s="133" t="s">
        <v>454</v>
      </c>
      <c r="C2962" s="133" t="s">
        <v>1906</v>
      </c>
      <c r="D2962" s="133" t="s">
        <v>477</v>
      </c>
      <c r="E2962" s="158">
        <v>3</v>
      </c>
      <c r="F2962" s="158">
        <v>0</v>
      </c>
      <c r="G2962" s="158">
        <v>0</v>
      </c>
      <c r="H2962" s="133" t="s">
        <v>1907</v>
      </c>
      <c r="I2962" s="133" t="s">
        <v>596</v>
      </c>
      <c r="J2962" s="158">
        <v>0</v>
      </c>
      <c r="K2962" s="159" t="str">
        <f ca="1">IFERROR(__xludf.DUMMYFUNCTION("GOOGLETRANSLATE(H2962,""th"",""en"")"),"Want PRINT PAPER E-TAX [YES, NO]")</f>
        <v>Want PRINT PAPER E-TAX [YES, NO]</v>
      </c>
    </row>
    <row r="2963" spans="1:11" ht="15.75" hidden="1" customHeight="1">
      <c r="A2963" s="133" t="s">
        <v>7</v>
      </c>
      <c r="B2963" s="133" t="s">
        <v>454</v>
      </c>
      <c r="C2963" s="133" t="s">
        <v>3109</v>
      </c>
      <c r="D2963" s="133" t="s">
        <v>477</v>
      </c>
      <c r="E2963" s="158">
        <v>256</v>
      </c>
      <c r="F2963" s="158">
        <v>0</v>
      </c>
      <c r="G2963" s="158">
        <v>0</v>
      </c>
      <c r="H2963" s="133" t="s">
        <v>3110</v>
      </c>
      <c r="I2963" s="133" t="s">
        <v>548</v>
      </c>
      <c r="J2963" s="158">
        <v>0</v>
      </c>
      <c r="K2963" s="159" t="str">
        <f ca="1">IFERROR(__xludf.DUMMYFUNCTION("GOOGLETRANSLATE(H2963,""th"",""en"")"),"Email Receive E-Tax")</f>
        <v>Email Receive E-Tax</v>
      </c>
    </row>
    <row r="2964" spans="1:11" ht="15.75" hidden="1" customHeight="1">
      <c r="A2964" s="133" t="s">
        <v>7</v>
      </c>
      <c r="B2964" s="133" t="s">
        <v>454</v>
      </c>
      <c r="C2964" s="133" t="s">
        <v>3484</v>
      </c>
      <c r="D2964" s="133" t="s">
        <v>477</v>
      </c>
      <c r="E2964" s="158">
        <v>100</v>
      </c>
      <c r="F2964" s="158">
        <v>0</v>
      </c>
      <c r="G2964" s="158">
        <v>0</v>
      </c>
      <c r="H2964" s="133" t="s">
        <v>3485</v>
      </c>
      <c r="I2964" s="133" t="s">
        <v>548</v>
      </c>
      <c r="J2964" s="158">
        <v>0</v>
      </c>
      <c r="K2964" s="159" t="str">
        <f ca="1">IFERROR(__xludf.DUMMYFUNCTION("GOOGLETRANSLATE(H2964,""th"",""en"")"),"Channel name for receiving money instead")</f>
        <v>Channel name for receiving money instead</v>
      </c>
    </row>
    <row r="2965" spans="1:11" ht="15.75" hidden="1" customHeight="1">
      <c r="A2965" s="133" t="s">
        <v>7</v>
      </c>
      <c r="B2965" s="133" t="s">
        <v>454</v>
      </c>
      <c r="C2965" s="133" t="s">
        <v>3486</v>
      </c>
      <c r="D2965" s="133" t="s">
        <v>477</v>
      </c>
      <c r="E2965" s="158">
        <v>3</v>
      </c>
      <c r="F2965" s="158">
        <v>0</v>
      </c>
      <c r="G2965" s="158">
        <v>0</v>
      </c>
      <c r="H2965" s="133" t="s">
        <v>3487</v>
      </c>
      <c r="I2965" s="133" t="s">
        <v>596</v>
      </c>
      <c r="J2965" s="158">
        <v>0</v>
      </c>
      <c r="K2965" s="159" t="str">
        <f ca="1">IFERROR(__xludf.DUMMYFUNCTION("GOOGLETRANSLATE(H2965,""th"",""en"")"),"Is so fix the INV government")</f>
        <v>Is so fix the INV government</v>
      </c>
    </row>
    <row r="2966" spans="1:11" ht="15.75" hidden="1" customHeight="1">
      <c r="A2966" s="133" t="s">
        <v>7</v>
      </c>
      <c r="B2966" s="133" t="s">
        <v>454</v>
      </c>
      <c r="C2966" s="133" t="s">
        <v>3111</v>
      </c>
      <c r="D2966" s="133" t="s">
        <v>481</v>
      </c>
      <c r="E2966" s="158">
        <v>5</v>
      </c>
      <c r="F2966" s="158">
        <v>9</v>
      </c>
      <c r="G2966" s="158">
        <v>2</v>
      </c>
      <c r="H2966" s="133" t="s">
        <v>3112</v>
      </c>
      <c r="I2966" s="133" t="s">
        <v>615</v>
      </c>
      <c r="J2966" s="158">
        <v>0</v>
      </c>
      <c r="K2966" s="159" t="str">
        <f ca="1">IFERROR(__xludf.DUMMYFUNCTION("GOOGLETRANSLATE(H2966,""th"",""en"")"),"Discounts from Promotion Auto Discount (Excvat)")</f>
        <v>Discounts from Promotion Auto Discount (Excvat)</v>
      </c>
    </row>
    <row r="2967" spans="1:11" ht="15.75" hidden="1" customHeight="1">
      <c r="A2967" s="133" t="s">
        <v>7</v>
      </c>
      <c r="B2967" s="133" t="s">
        <v>454</v>
      </c>
      <c r="C2967" s="133" t="s">
        <v>3113</v>
      </c>
      <c r="D2967" s="133" t="s">
        <v>481</v>
      </c>
      <c r="E2967" s="158">
        <v>5</v>
      </c>
      <c r="F2967" s="158">
        <v>9</v>
      </c>
      <c r="G2967" s="158">
        <v>2</v>
      </c>
      <c r="H2967" s="133" t="s">
        <v>3114</v>
      </c>
      <c r="I2967" s="133" t="s">
        <v>615</v>
      </c>
      <c r="J2967" s="158">
        <v>0</v>
      </c>
      <c r="K2967" s="159" t="str">
        <f ca="1">IFERROR(__xludf.DUMMYFUNCTION("GOOGLETRANSLATE(H2967,""th"",""en"")"),"Discounts from Promotion Auto Discount (Incvat)")</f>
        <v>Discounts from Promotion Auto Discount (Incvat)</v>
      </c>
    </row>
    <row r="2968" spans="1:11" ht="15.75" hidden="1" customHeight="1">
      <c r="A2968" s="133" t="s">
        <v>7</v>
      </c>
      <c r="B2968" s="133" t="s">
        <v>454</v>
      </c>
      <c r="C2968" s="133" t="s">
        <v>1455</v>
      </c>
      <c r="D2968" s="133" t="s">
        <v>477</v>
      </c>
      <c r="E2968" s="158">
        <v>50</v>
      </c>
      <c r="F2968" s="158">
        <v>0</v>
      </c>
      <c r="G2968" s="158">
        <v>0</v>
      </c>
      <c r="H2968" s="133" t="s">
        <v>3488</v>
      </c>
      <c r="I2968" s="133" t="s">
        <v>548</v>
      </c>
      <c r="J2968" s="158">
        <v>0</v>
      </c>
      <c r="K2968" s="159" t="str">
        <f ca="1">IFERROR(__xludf.DUMMYFUNCTION("GOOGLETRANSLATE(H2968,""th"",""en"")"),"PROSPECTID")</f>
        <v>PROSPECTID</v>
      </c>
    </row>
    <row r="2969" spans="1:11" ht="15.75" hidden="1" customHeight="1">
      <c r="A2969" s="133" t="s">
        <v>7</v>
      </c>
      <c r="B2969" s="133" t="s">
        <v>454</v>
      </c>
      <c r="C2969" s="133" t="s">
        <v>3489</v>
      </c>
      <c r="D2969" s="133" t="s">
        <v>477</v>
      </c>
      <c r="E2969" s="158">
        <v>20</v>
      </c>
      <c r="F2969" s="158">
        <v>0</v>
      </c>
      <c r="G2969" s="158">
        <v>0</v>
      </c>
      <c r="H2969" s="133" t="s">
        <v>3490</v>
      </c>
      <c r="I2969" s="133" t="s">
        <v>548</v>
      </c>
      <c r="J2969" s="158">
        <v>0</v>
      </c>
      <c r="K2969" s="159" t="str">
        <f ca="1">IFERROR(__xludf.DUMMYFUNCTION("GOOGLETRANSLATE(H2969,""th"",""en"")"),"SaleForce Campaign ID")</f>
        <v>SaleForce Campaign ID</v>
      </c>
    </row>
    <row r="2970" spans="1:11" ht="15.75" hidden="1" customHeight="1">
      <c r="A2970" s="133" t="s">
        <v>7</v>
      </c>
      <c r="B2970" s="133" t="s">
        <v>454</v>
      </c>
      <c r="C2970" s="133" t="s">
        <v>3491</v>
      </c>
      <c r="D2970" s="133" t="s">
        <v>477</v>
      </c>
      <c r="E2970" s="158">
        <v>50</v>
      </c>
      <c r="F2970" s="158">
        <v>0</v>
      </c>
      <c r="G2970" s="158">
        <v>0</v>
      </c>
      <c r="H2970" s="133" t="s">
        <v>3492</v>
      </c>
      <c r="I2970" s="133" t="s">
        <v>548</v>
      </c>
      <c r="J2970" s="158">
        <v>0</v>
      </c>
      <c r="K2970" s="159" t="str">
        <f ca="1">IFERROR(__xludf.DUMMYFUNCTION("GOOGLETRANSLATE(H2970,""th"",""en"")"),"Campaign Reference Code")</f>
        <v>Campaign Reference Code</v>
      </c>
    </row>
    <row r="2971" spans="1:11" ht="15.75" hidden="1" customHeight="1">
      <c r="A2971" s="133" t="s">
        <v>7</v>
      </c>
      <c r="B2971" s="133" t="s">
        <v>454</v>
      </c>
      <c r="C2971" s="133" t="s">
        <v>3115</v>
      </c>
      <c r="D2971" s="133" t="s">
        <v>477</v>
      </c>
      <c r="E2971" s="158">
        <v>3</v>
      </c>
      <c r="F2971" s="158">
        <v>0</v>
      </c>
      <c r="G2971" s="158">
        <v>0</v>
      </c>
      <c r="H2971" s="133" t="s">
        <v>3116</v>
      </c>
      <c r="I2971" s="133" t="s">
        <v>596</v>
      </c>
      <c r="J2971" s="158">
        <v>0</v>
      </c>
      <c r="K2971" s="159" t="str">
        <f ca="1">IFERROR(__xludf.DUMMYFUNCTION("GOOGLETRANSLATE(H2971,""th"",""en"")"),"Flag Collection Press Generate QR Code")</f>
        <v>Flag Collection Press Generate QR Code</v>
      </c>
    </row>
    <row r="2972" spans="1:11" ht="15.75" hidden="1" customHeight="1">
      <c r="A2972" s="133" t="s">
        <v>7</v>
      </c>
      <c r="B2972" s="133" t="s">
        <v>454</v>
      </c>
      <c r="C2972" s="133" t="s">
        <v>3117</v>
      </c>
      <c r="D2972" s="133" t="s">
        <v>477</v>
      </c>
      <c r="E2972" s="158">
        <v>3</v>
      </c>
      <c r="F2972" s="158">
        <v>0</v>
      </c>
      <c r="G2972" s="158">
        <v>0</v>
      </c>
      <c r="H2972" s="133" t="s">
        <v>3118</v>
      </c>
      <c r="I2972" s="133" t="s">
        <v>596</v>
      </c>
      <c r="J2972" s="158">
        <v>0</v>
      </c>
      <c r="K2972" s="159" t="str">
        <f ca="1">IFERROR(__xludf.DUMMYFUNCTION("GOOGLETRANSLATE(H2972,""th"",""en"")"),"Flag Collection Payment through QR Code Scanning")</f>
        <v>Flag Collection Payment through QR Code Scanning</v>
      </c>
    </row>
    <row r="2973" spans="1:11" ht="15.75" hidden="1" customHeight="1">
      <c r="A2973" s="133" t="s">
        <v>7</v>
      </c>
      <c r="B2973" s="133" t="s">
        <v>454</v>
      </c>
      <c r="C2973" s="133" t="s">
        <v>3119</v>
      </c>
      <c r="D2973" s="133" t="s">
        <v>481</v>
      </c>
      <c r="E2973" s="158">
        <v>5</v>
      </c>
      <c r="F2973" s="158">
        <v>9</v>
      </c>
      <c r="G2973" s="158">
        <v>2</v>
      </c>
      <c r="H2973" s="133" t="s">
        <v>3120</v>
      </c>
      <c r="I2973" s="133" t="s">
        <v>615</v>
      </c>
      <c r="J2973" s="158">
        <v>0</v>
      </c>
      <c r="K2973" s="159" t="str">
        <f ca="1">IFERROR(__xludf.DUMMYFUNCTION("GOOGLETRANSLATE(H2973,""th"",""en"")"),"The amount that is paid through the QR Code scanning")</f>
        <v>The amount that is paid through the QR Code scanning</v>
      </c>
    </row>
    <row r="2974" spans="1:11" ht="15.75" hidden="1" customHeight="1">
      <c r="A2974" s="133" t="s">
        <v>7</v>
      </c>
      <c r="B2974" s="133" t="s">
        <v>454</v>
      </c>
      <c r="C2974" s="133" t="s">
        <v>3121</v>
      </c>
      <c r="D2974" s="133" t="s">
        <v>477</v>
      </c>
      <c r="E2974" s="158">
        <v>100</v>
      </c>
      <c r="F2974" s="158">
        <v>0</v>
      </c>
      <c r="G2974" s="158">
        <v>0</v>
      </c>
      <c r="H2974" s="133" t="s">
        <v>3122</v>
      </c>
      <c r="I2974" s="133" t="s">
        <v>548</v>
      </c>
      <c r="J2974" s="158">
        <v>0</v>
      </c>
      <c r="K2974" s="159" t="str">
        <f ca="1">IFERROR(__xludf.DUMMYFUNCTION("GOOGLETRANSLATE(H2974,""th"",""en"")"),"QR UID")</f>
        <v>QR UID</v>
      </c>
    </row>
    <row r="2975" spans="1:11" ht="15.75" hidden="1" customHeight="1">
      <c r="A2975" s="133" t="s">
        <v>7</v>
      </c>
      <c r="B2975" s="133" t="s">
        <v>454</v>
      </c>
      <c r="C2975" s="133" t="s">
        <v>3123</v>
      </c>
      <c r="D2975" s="133" t="s">
        <v>538</v>
      </c>
      <c r="E2975" s="158">
        <v>8</v>
      </c>
      <c r="F2975" s="158">
        <v>23</v>
      </c>
      <c r="G2975" s="158">
        <v>3</v>
      </c>
      <c r="H2975" s="133" t="s">
        <v>3124</v>
      </c>
      <c r="I2975" s="133" t="s">
        <v>548</v>
      </c>
      <c r="J2975" s="158">
        <v>0</v>
      </c>
      <c r="K2975" s="159" t="str">
        <f ca="1">IFERROR(__xludf.DUMMYFUNCTION("GOOGLETRANSLATE(H2975,""th"",""en"")"),"Date Gen QR Code")</f>
        <v>Date Gen QR Code</v>
      </c>
    </row>
    <row r="2976" spans="1:11" ht="15.75" hidden="1" customHeight="1">
      <c r="A2976" s="133" t="s">
        <v>7</v>
      </c>
      <c r="B2976" s="133" t="s">
        <v>454</v>
      </c>
      <c r="C2976" s="133" t="s">
        <v>3125</v>
      </c>
      <c r="D2976" s="133" t="s">
        <v>538</v>
      </c>
      <c r="E2976" s="158">
        <v>8</v>
      </c>
      <c r="F2976" s="158">
        <v>23</v>
      </c>
      <c r="G2976" s="158">
        <v>3</v>
      </c>
      <c r="H2976" s="133" t="s">
        <v>3126</v>
      </c>
      <c r="I2976" s="133" t="s">
        <v>548</v>
      </c>
      <c r="J2976" s="158">
        <v>0</v>
      </c>
      <c r="K2976" s="159" t="str">
        <f ca="1">IFERROR(__xludf.DUMMYFUNCTION("GOOGLETRANSLATE(H2976,""th"",""en"")"),"The date that the customer pays with QR Code")</f>
        <v>The date that the customer pays with QR Code</v>
      </c>
    </row>
    <row r="2977" spans="1:11" ht="15.75" hidden="1" customHeight="1">
      <c r="A2977" s="133" t="s">
        <v>7</v>
      </c>
      <c r="B2977" s="133" t="s">
        <v>454</v>
      </c>
      <c r="C2977" s="133" t="s">
        <v>3127</v>
      </c>
      <c r="D2977" s="133" t="s">
        <v>538</v>
      </c>
      <c r="E2977" s="158">
        <v>8</v>
      </c>
      <c r="F2977" s="158">
        <v>23</v>
      </c>
      <c r="G2977" s="158">
        <v>3</v>
      </c>
      <c r="H2977" s="133" t="s">
        <v>3128</v>
      </c>
      <c r="I2977" s="133" t="s">
        <v>548</v>
      </c>
      <c r="J2977" s="158">
        <v>0</v>
      </c>
      <c r="K2977" s="159" t="str">
        <f ca="1">IFERROR(__xludf.DUMMYFUNCTION("GOOGLETRANSLATE(H2977,""th"",""en"")"),"The date of the QR Code expires")</f>
        <v>The date of the QR Code expires</v>
      </c>
    </row>
    <row r="2978" spans="1:11" ht="15.75" hidden="1" customHeight="1">
      <c r="A2978" s="133" t="s">
        <v>7</v>
      </c>
      <c r="B2978" s="133" t="s">
        <v>454</v>
      </c>
      <c r="C2978" s="133" t="s">
        <v>3129</v>
      </c>
      <c r="D2978" s="133" t="s">
        <v>477</v>
      </c>
      <c r="E2978" s="158">
        <v>200</v>
      </c>
      <c r="F2978" s="158">
        <v>0</v>
      </c>
      <c r="G2978" s="158">
        <v>0</v>
      </c>
      <c r="H2978" s="133" t="s">
        <v>3130</v>
      </c>
      <c r="I2978" s="133" t="s">
        <v>548</v>
      </c>
      <c r="J2978" s="158">
        <v>0</v>
      </c>
      <c r="K2978" s="159" t="str">
        <f ca="1">IFERROR(__xludf.DUMMYFUNCTION("GOOGLETRANSLATE(H2978,""th"",""en"")"),"Reasons for deleting documents")</f>
        <v>Reasons for deleting documents</v>
      </c>
    </row>
    <row r="2979" spans="1:11" ht="15.75" hidden="1" customHeight="1">
      <c r="A2979" s="133" t="s">
        <v>7</v>
      </c>
      <c r="B2979" s="133" t="s">
        <v>3493</v>
      </c>
      <c r="C2979" s="133" t="s">
        <v>371</v>
      </c>
      <c r="D2979" s="133" t="s">
        <v>477</v>
      </c>
      <c r="E2979" s="158">
        <v>7</v>
      </c>
      <c r="F2979" s="158">
        <v>0</v>
      </c>
      <c r="G2979" s="158">
        <v>0</v>
      </c>
      <c r="H2979" s="133" t="s">
        <v>479</v>
      </c>
      <c r="I2979" s="133" t="s">
        <v>479</v>
      </c>
      <c r="J2979" s="158">
        <v>0</v>
      </c>
      <c r="K2979" s="159" t="str">
        <f ca="1">IFERROR(__xludf.DUMMYFUNCTION("GOOGLETRANSLATE(H2979,""th"",""en"")"),"Null")</f>
        <v>Null</v>
      </c>
    </row>
    <row r="2980" spans="1:11" ht="15.75" hidden="1" customHeight="1">
      <c r="A2980" s="133" t="s">
        <v>7</v>
      </c>
      <c r="B2980" s="133" t="s">
        <v>3493</v>
      </c>
      <c r="C2980" s="133" t="s">
        <v>3494</v>
      </c>
      <c r="D2980" s="133" t="s">
        <v>477</v>
      </c>
      <c r="E2980" s="158">
        <v>7</v>
      </c>
      <c r="F2980" s="158">
        <v>0</v>
      </c>
      <c r="G2980" s="158">
        <v>0</v>
      </c>
      <c r="H2980" s="133" t="s">
        <v>479</v>
      </c>
      <c r="I2980" s="133" t="s">
        <v>479</v>
      </c>
      <c r="J2980" s="158">
        <v>0</v>
      </c>
      <c r="K2980" s="159" t="str">
        <f ca="1">IFERROR(__xludf.DUMMYFUNCTION("GOOGLETRANSLATE(H2980,""th"",""en"")"),"Null")</f>
        <v>Null</v>
      </c>
    </row>
    <row r="2981" spans="1:11" ht="15.75" hidden="1" customHeight="1">
      <c r="A2981" s="133" t="s">
        <v>7</v>
      </c>
      <c r="B2981" s="133" t="s">
        <v>3493</v>
      </c>
      <c r="C2981" s="133" t="s">
        <v>3495</v>
      </c>
      <c r="D2981" s="133" t="s">
        <v>484</v>
      </c>
      <c r="E2981" s="158">
        <v>4</v>
      </c>
      <c r="F2981" s="158">
        <v>10</v>
      </c>
      <c r="G2981" s="158">
        <v>0</v>
      </c>
      <c r="H2981" s="133" t="s">
        <v>479</v>
      </c>
      <c r="I2981" s="133" t="s">
        <v>479</v>
      </c>
      <c r="J2981" s="158">
        <v>0</v>
      </c>
      <c r="K2981" s="159" t="str">
        <f ca="1">IFERROR(__xludf.DUMMYFUNCTION("GOOGLETRANSLATE(H2981,""th"",""en"")"),"Null")</f>
        <v>Null</v>
      </c>
    </row>
    <row r="2982" spans="1:11" ht="15.75" hidden="1" customHeight="1">
      <c r="A2982" s="133" t="s">
        <v>7</v>
      </c>
      <c r="B2982" s="133" t="s">
        <v>3493</v>
      </c>
      <c r="C2982" s="133" t="s">
        <v>1403</v>
      </c>
      <c r="D2982" s="133" t="s">
        <v>496</v>
      </c>
      <c r="E2982" s="158">
        <v>4</v>
      </c>
      <c r="F2982" s="158">
        <v>16</v>
      </c>
      <c r="G2982" s="158">
        <v>0</v>
      </c>
      <c r="H2982" s="133" t="s">
        <v>479</v>
      </c>
      <c r="I2982" s="133" t="s">
        <v>479</v>
      </c>
      <c r="J2982" s="158">
        <v>0</v>
      </c>
      <c r="K2982" s="159" t="str">
        <f ca="1">IFERROR(__xludf.DUMMYFUNCTION("GOOGLETRANSLATE(H2982,""th"",""en"")"),"Null")</f>
        <v>Null</v>
      </c>
    </row>
    <row r="2983" spans="1:11" ht="15.75" hidden="1" customHeight="1">
      <c r="A2983" s="133" t="s">
        <v>7</v>
      </c>
      <c r="B2983" s="133" t="s">
        <v>3493</v>
      </c>
      <c r="C2983" s="133" t="s">
        <v>3496</v>
      </c>
      <c r="D2983" s="133" t="s">
        <v>496</v>
      </c>
      <c r="E2983" s="158">
        <v>4</v>
      </c>
      <c r="F2983" s="158">
        <v>16</v>
      </c>
      <c r="G2983" s="158">
        <v>0</v>
      </c>
      <c r="H2983" s="133" t="s">
        <v>479</v>
      </c>
      <c r="I2983" s="133" t="s">
        <v>479</v>
      </c>
      <c r="J2983" s="158">
        <v>0</v>
      </c>
      <c r="K2983" s="159" t="str">
        <f ca="1">IFERROR(__xludf.DUMMYFUNCTION("GOOGLETRANSLATE(H2983,""th"",""en"")"),"Null")</f>
        <v>Null</v>
      </c>
    </row>
    <row r="2984" spans="1:11" ht="15.75" hidden="1" customHeight="1">
      <c r="A2984" s="133" t="s">
        <v>7</v>
      </c>
      <c r="B2984" s="133" t="s">
        <v>3493</v>
      </c>
      <c r="C2984" s="133" t="s">
        <v>3497</v>
      </c>
      <c r="D2984" s="133" t="s">
        <v>481</v>
      </c>
      <c r="E2984" s="158">
        <v>5</v>
      </c>
      <c r="F2984" s="158">
        <v>9</v>
      </c>
      <c r="G2984" s="158">
        <v>2</v>
      </c>
      <c r="H2984" s="133" t="s">
        <v>479</v>
      </c>
      <c r="I2984" s="133" t="s">
        <v>479</v>
      </c>
      <c r="J2984" s="158">
        <v>0</v>
      </c>
      <c r="K2984" s="159" t="str">
        <f ca="1">IFERROR(__xludf.DUMMYFUNCTION("GOOGLETRANSLATE(H2984,""th"",""en"")"),"Null")</f>
        <v>Null</v>
      </c>
    </row>
    <row r="2985" spans="1:11" ht="15.75" hidden="1" customHeight="1">
      <c r="A2985" s="133" t="s">
        <v>7</v>
      </c>
      <c r="B2985" s="133" t="s">
        <v>3493</v>
      </c>
      <c r="C2985" s="133" t="s">
        <v>1391</v>
      </c>
      <c r="D2985" s="133" t="s">
        <v>477</v>
      </c>
      <c r="E2985" s="158">
        <v>1</v>
      </c>
      <c r="F2985" s="158">
        <v>0</v>
      </c>
      <c r="G2985" s="158">
        <v>0</v>
      </c>
      <c r="H2985" s="133" t="s">
        <v>479</v>
      </c>
      <c r="I2985" s="133" t="s">
        <v>479</v>
      </c>
      <c r="J2985" s="158">
        <v>0</v>
      </c>
      <c r="K2985" s="159" t="str">
        <f ca="1">IFERROR(__xludf.DUMMYFUNCTION("GOOGLETRANSLATE(H2985,""th"",""en"")"),"Null")</f>
        <v>Null</v>
      </c>
    </row>
    <row r="2986" spans="1:11" ht="15.75" hidden="1" customHeight="1">
      <c r="A2986" s="133" t="s">
        <v>7</v>
      </c>
      <c r="B2986" s="133" t="s">
        <v>3493</v>
      </c>
      <c r="C2986" s="133" t="s">
        <v>1419</v>
      </c>
      <c r="D2986" s="133" t="s">
        <v>477</v>
      </c>
      <c r="E2986" s="158">
        <v>1</v>
      </c>
      <c r="F2986" s="158">
        <v>0</v>
      </c>
      <c r="G2986" s="158">
        <v>0</v>
      </c>
      <c r="H2986" s="133" t="s">
        <v>479</v>
      </c>
      <c r="I2986" s="133" t="s">
        <v>479</v>
      </c>
      <c r="J2986" s="158">
        <v>0</v>
      </c>
      <c r="K2986" s="159" t="str">
        <f ca="1">IFERROR(__xludf.DUMMYFUNCTION("GOOGLETRANSLATE(H2986,""th"",""en"")"),"Null")</f>
        <v>Null</v>
      </c>
    </row>
    <row r="2987" spans="1:11" ht="15.75" hidden="1" customHeight="1">
      <c r="A2987" s="133" t="s">
        <v>7</v>
      </c>
      <c r="B2987" s="133" t="s">
        <v>3493</v>
      </c>
      <c r="C2987" s="133" t="s">
        <v>3498</v>
      </c>
      <c r="D2987" s="133" t="s">
        <v>477</v>
      </c>
      <c r="E2987" s="158">
        <v>1</v>
      </c>
      <c r="F2987" s="158">
        <v>0</v>
      </c>
      <c r="G2987" s="158">
        <v>0</v>
      </c>
      <c r="H2987" s="133" t="s">
        <v>479</v>
      </c>
      <c r="I2987" s="133" t="s">
        <v>479</v>
      </c>
      <c r="J2987" s="158">
        <v>0</v>
      </c>
      <c r="K2987" s="159" t="str">
        <f ca="1">IFERROR(__xludf.DUMMYFUNCTION("GOOGLETRANSLATE(H2987,""th"",""en"")"),"Null")</f>
        <v>Null</v>
      </c>
    </row>
    <row r="2988" spans="1:11" ht="15.75" hidden="1" customHeight="1">
      <c r="A2988" s="133" t="s">
        <v>7</v>
      </c>
      <c r="B2988" s="133" t="s">
        <v>3493</v>
      </c>
      <c r="C2988" s="133" t="s">
        <v>3499</v>
      </c>
      <c r="D2988" s="133" t="s">
        <v>481</v>
      </c>
      <c r="E2988" s="158">
        <v>5</v>
      </c>
      <c r="F2988" s="158">
        <v>9</v>
      </c>
      <c r="G2988" s="158">
        <v>2</v>
      </c>
      <c r="H2988" s="133" t="s">
        <v>479</v>
      </c>
      <c r="I2988" s="133" t="s">
        <v>479</v>
      </c>
      <c r="J2988" s="158">
        <v>0</v>
      </c>
      <c r="K2988" s="159" t="str">
        <f ca="1">IFERROR(__xludf.DUMMYFUNCTION("GOOGLETRANSLATE(H2988,""th"",""en"")"),"Null")</f>
        <v>Null</v>
      </c>
    </row>
    <row r="2989" spans="1:11" ht="15.75" hidden="1" customHeight="1">
      <c r="A2989" s="133" t="s">
        <v>7</v>
      </c>
      <c r="B2989" s="133" t="s">
        <v>3493</v>
      </c>
      <c r="C2989" s="133" t="s">
        <v>3500</v>
      </c>
      <c r="D2989" s="133" t="s">
        <v>477</v>
      </c>
      <c r="E2989" s="158">
        <v>8</v>
      </c>
      <c r="F2989" s="158">
        <v>0</v>
      </c>
      <c r="G2989" s="158">
        <v>0</v>
      </c>
      <c r="H2989" s="133" t="s">
        <v>479</v>
      </c>
      <c r="I2989" s="133" t="s">
        <v>479</v>
      </c>
      <c r="J2989" s="158">
        <v>0</v>
      </c>
      <c r="K2989" s="159" t="str">
        <f ca="1">IFERROR(__xludf.DUMMYFUNCTION("GOOGLETRANSLATE(H2989,""th"",""en"")"),"Null")</f>
        <v>Null</v>
      </c>
    </row>
    <row r="2990" spans="1:11" ht="15.75" hidden="1" customHeight="1">
      <c r="A2990" s="133" t="s">
        <v>7</v>
      </c>
      <c r="B2990" s="133" t="s">
        <v>3493</v>
      </c>
      <c r="C2990" s="133" t="s">
        <v>3501</v>
      </c>
      <c r="D2990" s="133" t="s">
        <v>800</v>
      </c>
      <c r="E2990" s="158">
        <v>8</v>
      </c>
      <c r="F2990" s="158">
        <v>27</v>
      </c>
      <c r="G2990" s="158">
        <v>7</v>
      </c>
      <c r="H2990" s="133" t="s">
        <v>479</v>
      </c>
      <c r="I2990" s="133" t="s">
        <v>479</v>
      </c>
      <c r="J2990" s="158">
        <v>0</v>
      </c>
      <c r="K2990" s="159" t="str">
        <f ca="1">IFERROR(__xludf.DUMMYFUNCTION("GOOGLETRANSLATE(H2990,""th"",""en"")"),"Null")</f>
        <v>Null</v>
      </c>
    </row>
    <row r="2991" spans="1:11" ht="15.75" hidden="1" customHeight="1">
      <c r="A2991" s="133" t="s">
        <v>7</v>
      </c>
      <c r="B2991" s="133" t="s">
        <v>3493</v>
      </c>
      <c r="C2991" s="133" t="s">
        <v>3502</v>
      </c>
      <c r="D2991" s="133" t="s">
        <v>477</v>
      </c>
      <c r="E2991" s="158">
        <v>8</v>
      </c>
      <c r="F2991" s="158">
        <v>0</v>
      </c>
      <c r="G2991" s="158">
        <v>0</v>
      </c>
      <c r="H2991" s="133" t="s">
        <v>479</v>
      </c>
      <c r="I2991" s="133" t="s">
        <v>479</v>
      </c>
      <c r="J2991" s="158">
        <v>0</v>
      </c>
      <c r="K2991" s="159" t="str">
        <f ca="1">IFERROR(__xludf.DUMMYFUNCTION("GOOGLETRANSLATE(H2991,""th"",""en"")"),"Null")</f>
        <v>Null</v>
      </c>
    </row>
    <row r="2992" spans="1:11" ht="15.75" hidden="1" customHeight="1">
      <c r="A2992" s="133" t="s">
        <v>7</v>
      </c>
      <c r="B2992" s="133" t="s">
        <v>3493</v>
      </c>
      <c r="C2992" s="133" t="s">
        <v>465</v>
      </c>
      <c r="D2992" s="133" t="s">
        <v>800</v>
      </c>
      <c r="E2992" s="158">
        <v>8</v>
      </c>
      <c r="F2992" s="158">
        <v>27</v>
      </c>
      <c r="G2992" s="158">
        <v>7</v>
      </c>
      <c r="H2992" s="133" t="s">
        <v>479</v>
      </c>
      <c r="I2992" s="133" t="s">
        <v>479</v>
      </c>
      <c r="J2992" s="158">
        <v>0</v>
      </c>
      <c r="K2992" s="159" t="str">
        <f ca="1">IFERROR(__xludf.DUMMYFUNCTION("GOOGLETRANSLATE(H2992,""th"",""en"")"),"Null")</f>
        <v>Null</v>
      </c>
    </row>
    <row r="2993" spans="1:11" ht="15.75" hidden="1" customHeight="1">
      <c r="A2993" s="133" t="s">
        <v>7</v>
      </c>
      <c r="B2993" s="133" t="s">
        <v>3503</v>
      </c>
      <c r="C2993" s="133" t="s">
        <v>2460</v>
      </c>
      <c r="D2993" s="133" t="s">
        <v>477</v>
      </c>
      <c r="E2993" s="158">
        <v>12</v>
      </c>
      <c r="F2993" s="158">
        <v>0</v>
      </c>
      <c r="G2993" s="158">
        <v>0</v>
      </c>
      <c r="H2993" s="133" t="s">
        <v>2461</v>
      </c>
      <c r="I2993" s="133" t="s">
        <v>548</v>
      </c>
      <c r="J2993" s="158">
        <v>0</v>
      </c>
      <c r="K2993" s="159" t="str">
        <f ca="1">IFERROR(__xludf.DUMMYFUNCTION("GOOGLETRANSLATE(H2993,""th"",""en"")"),"Order number")</f>
        <v>Order number</v>
      </c>
    </row>
    <row r="2994" spans="1:11" ht="15.75" hidden="1" customHeight="1">
      <c r="A2994" s="133" t="s">
        <v>7</v>
      </c>
      <c r="B2994" s="133" t="s">
        <v>3503</v>
      </c>
      <c r="C2994" s="133" t="s">
        <v>793</v>
      </c>
      <c r="D2994" s="133" t="s">
        <v>477</v>
      </c>
      <c r="E2994" s="158">
        <v>10</v>
      </c>
      <c r="F2994" s="158">
        <v>0</v>
      </c>
      <c r="G2994" s="158">
        <v>0</v>
      </c>
      <c r="H2994" s="133" t="s">
        <v>3504</v>
      </c>
      <c r="I2994" s="133" t="s">
        <v>548</v>
      </c>
      <c r="J2994" s="158">
        <v>0</v>
      </c>
      <c r="K2994" s="159" t="str">
        <f ca="1">IFERROR(__xludf.DUMMYFUNCTION("GOOGLETRANSLATE(H2994,""th"",""en"")"),"Branch code")</f>
        <v>Branch code</v>
      </c>
    </row>
    <row r="2995" spans="1:11" ht="15.75" hidden="1" customHeight="1">
      <c r="A2995" s="133" t="s">
        <v>7</v>
      </c>
      <c r="B2995" s="133" t="s">
        <v>3503</v>
      </c>
      <c r="C2995" s="133" t="s">
        <v>3438</v>
      </c>
      <c r="D2995" s="133" t="s">
        <v>477</v>
      </c>
      <c r="E2995" s="158">
        <v>50</v>
      </c>
      <c r="F2995" s="158">
        <v>0</v>
      </c>
      <c r="G2995" s="158">
        <v>0</v>
      </c>
      <c r="H2995" s="133" t="s">
        <v>3505</v>
      </c>
      <c r="I2995" s="133" t="s">
        <v>548</v>
      </c>
      <c r="J2995" s="158">
        <v>0</v>
      </c>
      <c r="K2995" s="159" t="str">
        <f ca="1">IFERROR(__xludf.DUMMYFUNCTION("GOOGLETRANSLATE(H2995,""th"",""en"")"),"Name ofm Store")</f>
        <v>Name ofm Store</v>
      </c>
    </row>
    <row r="2996" spans="1:11" ht="15.75" hidden="1" customHeight="1">
      <c r="A2996" s="133" t="s">
        <v>7</v>
      </c>
      <c r="B2996" s="133" t="s">
        <v>3503</v>
      </c>
      <c r="C2996" s="133" t="s">
        <v>3506</v>
      </c>
      <c r="D2996" s="133" t="s">
        <v>496</v>
      </c>
      <c r="E2996" s="158">
        <v>4</v>
      </c>
      <c r="F2996" s="158">
        <v>16</v>
      </c>
      <c r="G2996" s="158">
        <v>0</v>
      </c>
      <c r="H2996" s="133" t="s">
        <v>3507</v>
      </c>
      <c r="I2996" s="133" t="s">
        <v>479</v>
      </c>
      <c r="J2996" s="158">
        <v>0</v>
      </c>
      <c r="K2996" s="159" t="str">
        <f ca="1">IFERROR(__xludf.DUMMYFUNCTION("GOOGLETRANSLATE(H2996,""th"",""en"")"),"Order date")</f>
        <v>Order date</v>
      </c>
    </row>
    <row r="2997" spans="1:11" ht="15.75" hidden="1" customHeight="1">
      <c r="A2997" s="133" t="s">
        <v>7</v>
      </c>
      <c r="B2997" s="133" t="s">
        <v>3503</v>
      </c>
      <c r="C2997" s="133" t="s">
        <v>536</v>
      </c>
      <c r="D2997" s="133" t="s">
        <v>477</v>
      </c>
      <c r="E2997" s="158">
        <v>12</v>
      </c>
      <c r="F2997" s="158">
        <v>0</v>
      </c>
      <c r="G2997" s="158">
        <v>0</v>
      </c>
      <c r="H2997" s="133" t="s">
        <v>3508</v>
      </c>
      <c r="I2997" s="133" t="s">
        <v>548</v>
      </c>
      <c r="J2997" s="158">
        <v>0</v>
      </c>
      <c r="K2997" s="159" t="str">
        <f ca="1">IFERROR(__xludf.DUMMYFUNCTION("GOOGLETRANSLATE(H2997,""th"",""en"")"),"Receipt document number")</f>
        <v>Receipt document number</v>
      </c>
    </row>
    <row r="2998" spans="1:11" ht="15.75" hidden="1" customHeight="1">
      <c r="A2998" s="133" t="s">
        <v>7</v>
      </c>
      <c r="B2998" s="133" t="s">
        <v>3503</v>
      </c>
      <c r="C2998" s="133" t="s">
        <v>712</v>
      </c>
      <c r="D2998" s="133" t="s">
        <v>477</v>
      </c>
      <c r="E2998" s="158">
        <v>30</v>
      </c>
      <c r="F2998" s="158">
        <v>0</v>
      </c>
      <c r="G2998" s="158">
        <v>0</v>
      </c>
      <c r="H2998" s="133" t="s">
        <v>1740</v>
      </c>
      <c r="I2998" s="133" t="s">
        <v>548</v>
      </c>
      <c r="J2998" s="158">
        <v>0</v>
      </c>
      <c r="K2998" s="159" t="str">
        <f ca="1">IFERROR(__xludf.DUMMYFUNCTION("GOOGLETRANSLATE(H2998,""th"",""en"")"),"Payment details")</f>
        <v>Payment details</v>
      </c>
    </row>
    <row r="2999" spans="1:11" ht="15.75" hidden="1" customHeight="1">
      <c r="A2999" s="133" t="s">
        <v>7</v>
      </c>
      <c r="B2999" s="133" t="s">
        <v>3503</v>
      </c>
      <c r="C2999" s="133" t="s">
        <v>3509</v>
      </c>
      <c r="D2999" s="133" t="s">
        <v>481</v>
      </c>
      <c r="E2999" s="158">
        <v>9</v>
      </c>
      <c r="F2999" s="158">
        <v>11</v>
      </c>
      <c r="G2999" s="158">
        <v>2</v>
      </c>
      <c r="H2999" s="133" t="s">
        <v>3510</v>
      </c>
      <c r="I2999" s="133" t="s">
        <v>479</v>
      </c>
      <c r="J2999" s="158">
        <v>0</v>
      </c>
      <c r="K2999" s="159" t="str">
        <f ca="1">IFERROR(__xludf.DUMMYFUNCTION("GOOGLETRANSLATE(H2999,""th"",""en"")"),"Total amount of VAT")</f>
        <v>Total amount of VAT</v>
      </c>
    </row>
    <row r="3000" spans="1:11" ht="15.75" hidden="1" customHeight="1">
      <c r="A3000" s="133" t="s">
        <v>7</v>
      </c>
      <c r="B3000" s="133" t="s">
        <v>3503</v>
      </c>
      <c r="C3000" s="133" t="s">
        <v>271</v>
      </c>
      <c r="D3000" s="133" t="s">
        <v>477</v>
      </c>
      <c r="E3000" s="158">
        <v>8</v>
      </c>
      <c r="F3000" s="158">
        <v>0</v>
      </c>
      <c r="G3000" s="158">
        <v>0</v>
      </c>
      <c r="H3000" s="133" t="s">
        <v>3511</v>
      </c>
      <c r="I3000" s="133" t="s">
        <v>548</v>
      </c>
      <c r="J3000" s="158">
        <v>0</v>
      </c>
      <c r="K3000" s="159" t="str">
        <f ca="1">IFERROR(__xludf.DUMMYFUNCTION("GOOGLETRANSLATE(H3000,""th"",""en"")"),"Employee code")</f>
        <v>Employee code</v>
      </c>
    </row>
    <row r="3001" spans="1:11" ht="15.75" hidden="1" customHeight="1">
      <c r="A3001" s="133" t="s">
        <v>7</v>
      </c>
      <c r="B3001" s="133" t="s">
        <v>3503</v>
      </c>
      <c r="C3001" s="133" t="s">
        <v>3512</v>
      </c>
      <c r="D3001" s="133" t="s">
        <v>477</v>
      </c>
      <c r="E3001" s="158">
        <v>60</v>
      </c>
      <c r="F3001" s="158">
        <v>0</v>
      </c>
      <c r="G3001" s="158">
        <v>0</v>
      </c>
      <c r="H3001" s="133" t="s">
        <v>3513</v>
      </c>
      <c r="I3001" s="133" t="s">
        <v>548</v>
      </c>
      <c r="J3001" s="158">
        <v>0</v>
      </c>
      <c r="K3001" s="159" t="str">
        <f ca="1">IFERROR(__xludf.DUMMYFUNCTION("GOOGLETRANSLATE(H3001,""th"",""en"")"),"Employee name")</f>
        <v>Employee name</v>
      </c>
    </row>
    <row r="3002" spans="1:11" ht="15.75" hidden="1" customHeight="1">
      <c r="A3002" s="133" t="s">
        <v>7</v>
      </c>
      <c r="B3002" s="133" t="s">
        <v>3503</v>
      </c>
      <c r="C3002" s="133" t="s">
        <v>523</v>
      </c>
      <c r="D3002" s="133" t="s">
        <v>477</v>
      </c>
      <c r="E3002" s="158">
        <v>8</v>
      </c>
      <c r="F3002" s="158">
        <v>0</v>
      </c>
      <c r="G3002" s="158">
        <v>0</v>
      </c>
      <c r="H3002" s="133" t="s">
        <v>1282</v>
      </c>
      <c r="I3002" s="133" t="s">
        <v>548</v>
      </c>
      <c r="J3002" s="158">
        <v>0</v>
      </c>
      <c r="K3002" s="159" t="str">
        <f ca="1">IFERROR(__xludf.DUMMYFUNCTION("GOOGLETRANSLATE(H3002,""th"",""en"")"),"Creator code")</f>
        <v>Creator code</v>
      </c>
    </row>
    <row r="3003" spans="1:11" ht="15.75" hidden="1" customHeight="1">
      <c r="A3003" s="133" t="s">
        <v>7</v>
      </c>
      <c r="B3003" s="133" t="s">
        <v>3503</v>
      </c>
      <c r="C3003" s="133" t="s">
        <v>669</v>
      </c>
      <c r="D3003" s="133" t="s">
        <v>496</v>
      </c>
      <c r="E3003" s="158">
        <v>4</v>
      </c>
      <c r="F3003" s="158">
        <v>16</v>
      </c>
      <c r="G3003" s="158">
        <v>0</v>
      </c>
      <c r="H3003" s="133" t="s">
        <v>735</v>
      </c>
      <c r="I3003" s="133" t="s">
        <v>479</v>
      </c>
      <c r="J3003" s="158">
        <v>0</v>
      </c>
      <c r="K3003" s="159" t="str">
        <f ca="1">IFERROR(__xludf.DUMMYFUNCTION("GOOGLETRANSLATE(H3003,""th"",""en"")"),"Date created")</f>
        <v>Date created</v>
      </c>
    </row>
    <row r="3004" spans="1:11" ht="15.75" hidden="1" customHeight="1">
      <c r="A3004" s="133" t="s">
        <v>7</v>
      </c>
      <c r="B3004" s="133" t="s">
        <v>3503</v>
      </c>
      <c r="C3004" s="133" t="s">
        <v>670</v>
      </c>
      <c r="D3004" s="133" t="s">
        <v>477</v>
      </c>
      <c r="E3004" s="158">
        <v>8</v>
      </c>
      <c r="F3004" s="158">
        <v>0</v>
      </c>
      <c r="G3004" s="158">
        <v>0</v>
      </c>
      <c r="H3004" s="133" t="s">
        <v>1285</v>
      </c>
      <c r="I3004" s="133" t="s">
        <v>548</v>
      </c>
      <c r="J3004" s="158">
        <v>0</v>
      </c>
      <c r="K3004" s="159" t="str">
        <f ca="1">IFERROR(__xludf.DUMMYFUNCTION("GOOGLETRANSLATE(H3004,""th"",""en"")"),"Editor code")</f>
        <v>Editor code</v>
      </c>
    </row>
    <row r="3005" spans="1:11" ht="15.75" hidden="1" customHeight="1">
      <c r="A3005" s="133" t="s">
        <v>7</v>
      </c>
      <c r="B3005" s="133" t="s">
        <v>3503</v>
      </c>
      <c r="C3005" s="133" t="s">
        <v>215</v>
      </c>
      <c r="D3005" s="133" t="s">
        <v>496</v>
      </c>
      <c r="E3005" s="158">
        <v>4</v>
      </c>
      <c r="F3005" s="158">
        <v>16</v>
      </c>
      <c r="G3005" s="158">
        <v>0</v>
      </c>
      <c r="H3005" s="133" t="s">
        <v>803</v>
      </c>
      <c r="I3005" s="133" t="s">
        <v>479</v>
      </c>
      <c r="J3005" s="158">
        <v>0</v>
      </c>
      <c r="K3005" s="159" t="str">
        <f ca="1">IFERROR(__xludf.DUMMYFUNCTION("GOOGLETRANSLATE(H3005,""th"",""en"")"),"Edit date")</f>
        <v>Edit date</v>
      </c>
    </row>
    <row r="3006" spans="1:11" ht="15.75" hidden="1" customHeight="1">
      <c r="A3006" s="133" t="s">
        <v>7</v>
      </c>
      <c r="B3006" s="133" t="s">
        <v>3503</v>
      </c>
      <c r="C3006" s="133" t="s">
        <v>316</v>
      </c>
      <c r="D3006" s="133" t="s">
        <v>484</v>
      </c>
      <c r="E3006" s="158">
        <v>4</v>
      </c>
      <c r="F3006" s="158">
        <v>10</v>
      </c>
      <c r="G3006" s="158">
        <v>0</v>
      </c>
      <c r="H3006" s="133" t="s">
        <v>479</v>
      </c>
      <c r="I3006" s="133" t="s">
        <v>615</v>
      </c>
      <c r="J3006" s="158">
        <v>0</v>
      </c>
      <c r="K3006" s="159" t="str">
        <f ca="1">IFERROR(__xludf.DUMMYFUNCTION("GOOGLETRANSLATE(H3006,""th"",""en"")"),"Null")</f>
        <v>Null</v>
      </c>
    </row>
    <row r="3007" spans="1:11" ht="15.75" hidden="1" customHeight="1">
      <c r="A3007" s="133" t="s">
        <v>7</v>
      </c>
      <c r="B3007" s="133" t="s">
        <v>3503</v>
      </c>
      <c r="C3007" s="133" t="s">
        <v>708</v>
      </c>
      <c r="D3007" s="133" t="s">
        <v>477</v>
      </c>
      <c r="E3007" s="158">
        <v>10</v>
      </c>
      <c r="F3007" s="158">
        <v>0</v>
      </c>
      <c r="G3007" s="158">
        <v>0</v>
      </c>
      <c r="H3007" s="133" t="s">
        <v>479</v>
      </c>
      <c r="I3007" s="133" t="s">
        <v>548</v>
      </c>
      <c r="J3007" s="158">
        <v>0</v>
      </c>
      <c r="K3007" s="159" t="str">
        <f ca="1">IFERROR(__xludf.DUMMYFUNCTION("GOOGLETRANSLATE(H3007,""th"",""en"")"),"Null")</f>
        <v>Null</v>
      </c>
    </row>
    <row r="3008" spans="1:11" ht="15.75" hidden="1" customHeight="1">
      <c r="A3008" s="133" t="s">
        <v>7</v>
      </c>
      <c r="B3008" s="133" t="s">
        <v>3503</v>
      </c>
      <c r="C3008" s="133" t="s">
        <v>1741</v>
      </c>
      <c r="D3008" s="133" t="s">
        <v>477</v>
      </c>
      <c r="E3008" s="158">
        <v>100</v>
      </c>
      <c r="F3008" s="158">
        <v>0</v>
      </c>
      <c r="G3008" s="158">
        <v>0</v>
      </c>
      <c r="H3008" s="133" t="s">
        <v>479</v>
      </c>
      <c r="I3008" s="133" t="s">
        <v>548</v>
      </c>
      <c r="J3008" s="158">
        <v>0</v>
      </c>
      <c r="K3008" s="159" t="str">
        <f ca="1">IFERROR(__xludf.DUMMYFUNCTION("GOOGLETRANSLATE(H3008,""th"",""en"")"),"Null")</f>
        <v>Null</v>
      </c>
    </row>
    <row r="3009" spans="1:11" ht="15.75" hidden="1" customHeight="1">
      <c r="A3009" s="133" t="s">
        <v>7</v>
      </c>
      <c r="B3009" s="133" t="s">
        <v>3503</v>
      </c>
      <c r="C3009" s="133" t="s">
        <v>1727</v>
      </c>
      <c r="D3009" s="133" t="s">
        <v>477</v>
      </c>
      <c r="E3009" s="158">
        <v>20</v>
      </c>
      <c r="F3009" s="158">
        <v>0</v>
      </c>
      <c r="G3009" s="158">
        <v>0</v>
      </c>
      <c r="H3009" s="133" t="s">
        <v>479</v>
      </c>
      <c r="I3009" s="133" t="s">
        <v>548</v>
      </c>
      <c r="J3009" s="158">
        <v>0</v>
      </c>
      <c r="K3009" s="159" t="str">
        <f ca="1">IFERROR(__xludf.DUMMYFUNCTION("GOOGLETRANSLATE(H3009,""th"",""en"")"),"Null")</f>
        <v>Null</v>
      </c>
    </row>
    <row r="3010" spans="1:11" ht="15.75" hidden="1" customHeight="1">
      <c r="A3010" s="133" t="s">
        <v>7</v>
      </c>
      <c r="B3010" s="133" t="s">
        <v>3503</v>
      </c>
      <c r="C3010" s="133" t="s">
        <v>313</v>
      </c>
      <c r="D3010" s="133" t="s">
        <v>484</v>
      </c>
      <c r="E3010" s="158">
        <v>4</v>
      </c>
      <c r="F3010" s="158">
        <v>10</v>
      </c>
      <c r="G3010" s="158">
        <v>0</v>
      </c>
      <c r="H3010" s="133" t="s">
        <v>479</v>
      </c>
      <c r="I3010" s="133" t="s">
        <v>615</v>
      </c>
      <c r="J3010" s="158">
        <v>0</v>
      </c>
      <c r="K3010" s="159" t="str">
        <f ca="1">IFERROR(__xludf.DUMMYFUNCTION("GOOGLETRANSLATE(H3010,""th"",""en"")"),"Null")</f>
        <v>Null</v>
      </c>
    </row>
    <row r="3011" spans="1:11" ht="15.75" hidden="1" customHeight="1">
      <c r="A3011" s="133" t="s">
        <v>7</v>
      </c>
      <c r="B3011" s="133" t="s">
        <v>3503</v>
      </c>
      <c r="C3011" s="133" t="s">
        <v>3514</v>
      </c>
      <c r="D3011" s="133" t="s">
        <v>477</v>
      </c>
      <c r="E3011" s="158">
        <v>50</v>
      </c>
      <c r="F3011" s="158">
        <v>0</v>
      </c>
      <c r="G3011" s="158">
        <v>0</v>
      </c>
      <c r="H3011" s="133" t="s">
        <v>479</v>
      </c>
      <c r="I3011" s="133" t="s">
        <v>548</v>
      </c>
      <c r="J3011" s="158">
        <v>0</v>
      </c>
      <c r="K3011" s="159" t="str">
        <f ca="1">IFERROR(__xludf.DUMMYFUNCTION("GOOGLETRANSLATE(H3011,""th"",""en"")"),"Null")</f>
        <v>Null</v>
      </c>
    </row>
    <row r="3012" spans="1:11" ht="15.75" hidden="1" customHeight="1">
      <c r="A3012" s="133" t="s">
        <v>7</v>
      </c>
      <c r="B3012" s="133" t="s">
        <v>3503</v>
      </c>
      <c r="C3012" s="133" t="s">
        <v>3515</v>
      </c>
      <c r="D3012" s="133" t="s">
        <v>477</v>
      </c>
      <c r="E3012" s="158">
        <v>100</v>
      </c>
      <c r="F3012" s="158">
        <v>0</v>
      </c>
      <c r="G3012" s="158">
        <v>0</v>
      </c>
      <c r="H3012" s="133" t="s">
        <v>479</v>
      </c>
      <c r="I3012" s="133" t="s">
        <v>548</v>
      </c>
      <c r="J3012" s="158">
        <v>0</v>
      </c>
      <c r="K3012" s="159" t="str">
        <f ca="1">IFERROR(__xludf.DUMMYFUNCTION("GOOGLETRANSLATE(H3012,""th"",""en"")"),"Null")</f>
        <v>Null</v>
      </c>
    </row>
    <row r="3013" spans="1:11" ht="15.75" hidden="1" customHeight="1">
      <c r="A3013" s="133" t="s">
        <v>7</v>
      </c>
      <c r="B3013" s="133" t="s">
        <v>3503</v>
      </c>
      <c r="C3013" s="133" t="s">
        <v>3516</v>
      </c>
      <c r="D3013" s="133" t="s">
        <v>477</v>
      </c>
      <c r="E3013" s="158">
        <v>100</v>
      </c>
      <c r="F3013" s="158">
        <v>0</v>
      </c>
      <c r="G3013" s="158">
        <v>0</v>
      </c>
      <c r="H3013" s="133" t="s">
        <v>479</v>
      </c>
      <c r="I3013" s="133" t="s">
        <v>548</v>
      </c>
      <c r="J3013" s="158">
        <v>0</v>
      </c>
      <c r="K3013" s="159" t="str">
        <f ca="1">IFERROR(__xludf.DUMMYFUNCTION("GOOGLETRANSLATE(H3013,""th"",""en"")"),"Null")</f>
        <v>Null</v>
      </c>
    </row>
    <row r="3014" spans="1:11" ht="15.75" hidden="1" customHeight="1">
      <c r="A3014" s="133" t="s">
        <v>7</v>
      </c>
      <c r="B3014" s="133" t="s">
        <v>3503</v>
      </c>
      <c r="C3014" s="133" t="s">
        <v>3517</v>
      </c>
      <c r="D3014" s="133" t="s">
        <v>477</v>
      </c>
      <c r="E3014" s="158">
        <v>20</v>
      </c>
      <c r="F3014" s="158">
        <v>0</v>
      </c>
      <c r="G3014" s="158">
        <v>0</v>
      </c>
      <c r="H3014" s="133" t="s">
        <v>479</v>
      </c>
      <c r="I3014" s="133" t="s">
        <v>548</v>
      </c>
      <c r="J3014" s="158">
        <v>0</v>
      </c>
      <c r="K3014" s="159" t="str">
        <f ca="1">IFERROR(__xludf.DUMMYFUNCTION("GOOGLETRANSLATE(H3014,""th"",""en"")"),"Null")</f>
        <v>Null</v>
      </c>
    </row>
    <row r="3015" spans="1:11" ht="15.75" hidden="1" customHeight="1">
      <c r="A3015" s="133" t="s">
        <v>7</v>
      </c>
      <c r="B3015" s="133" t="s">
        <v>3503</v>
      </c>
      <c r="C3015" s="133" t="s">
        <v>2569</v>
      </c>
      <c r="D3015" s="133" t="s">
        <v>477</v>
      </c>
      <c r="E3015" s="158">
        <v>20</v>
      </c>
      <c r="F3015" s="158">
        <v>0</v>
      </c>
      <c r="G3015" s="158">
        <v>0</v>
      </c>
      <c r="H3015" s="133" t="s">
        <v>479</v>
      </c>
      <c r="I3015" s="133" t="s">
        <v>548</v>
      </c>
      <c r="J3015" s="158">
        <v>0</v>
      </c>
      <c r="K3015" s="159" t="str">
        <f ca="1">IFERROR(__xludf.DUMMYFUNCTION("GOOGLETRANSLATE(H3015,""th"",""en"")"),"Null")</f>
        <v>Null</v>
      </c>
    </row>
    <row r="3016" spans="1:11" ht="15.75" hidden="1" customHeight="1">
      <c r="A3016" s="133" t="s">
        <v>7</v>
      </c>
      <c r="B3016" s="133" t="s">
        <v>3503</v>
      </c>
      <c r="C3016" s="133" t="s">
        <v>2402</v>
      </c>
      <c r="D3016" s="133" t="s">
        <v>496</v>
      </c>
      <c r="E3016" s="158">
        <v>4</v>
      </c>
      <c r="F3016" s="158">
        <v>16</v>
      </c>
      <c r="G3016" s="158">
        <v>0</v>
      </c>
      <c r="H3016" s="133" t="s">
        <v>479</v>
      </c>
      <c r="I3016" s="133" t="s">
        <v>548</v>
      </c>
      <c r="J3016" s="158">
        <v>0</v>
      </c>
      <c r="K3016" s="159" t="str">
        <f ca="1">IFERROR(__xludf.DUMMYFUNCTION("GOOGLETRANSLATE(H3016,""th"",""en"")"),"Null")</f>
        <v>Null</v>
      </c>
    </row>
    <row r="3017" spans="1:11" ht="15.75" hidden="1" customHeight="1">
      <c r="A3017" s="133" t="s">
        <v>7</v>
      </c>
      <c r="B3017" s="133" t="s">
        <v>3503</v>
      </c>
      <c r="C3017" s="133" t="s">
        <v>3518</v>
      </c>
      <c r="D3017" s="133" t="s">
        <v>477</v>
      </c>
      <c r="E3017" s="158">
        <v>100</v>
      </c>
      <c r="F3017" s="158">
        <v>0</v>
      </c>
      <c r="G3017" s="158">
        <v>0</v>
      </c>
      <c r="H3017" s="133" t="s">
        <v>479</v>
      </c>
      <c r="I3017" s="133" t="s">
        <v>548</v>
      </c>
      <c r="J3017" s="158">
        <v>0</v>
      </c>
      <c r="K3017" s="159" t="str">
        <f ca="1">IFERROR(__xludf.DUMMYFUNCTION("GOOGLETRANSLATE(H3017,""th"",""en"")"),"Null")</f>
        <v>Null</v>
      </c>
    </row>
    <row r="3018" spans="1:11" ht="15.75" hidden="1" customHeight="1">
      <c r="A3018" s="133" t="s">
        <v>7</v>
      </c>
      <c r="B3018" s="133" t="s">
        <v>3503</v>
      </c>
      <c r="C3018" s="133" t="s">
        <v>3519</v>
      </c>
      <c r="D3018" s="133" t="s">
        <v>484</v>
      </c>
      <c r="E3018" s="158">
        <v>4</v>
      </c>
      <c r="F3018" s="158">
        <v>10</v>
      </c>
      <c r="G3018" s="158">
        <v>0</v>
      </c>
      <c r="H3018" s="133" t="s">
        <v>479</v>
      </c>
      <c r="I3018" s="133" t="s">
        <v>615</v>
      </c>
      <c r="J3018" s="158">
        <v>0</v>
      </c>
      <c r="K3018" s="159" t="str">
        <f ca="1">IFERROR(__xludf.DUMMYFUNCTION("GOOGLETRANSLATE(H3018,""th"",""en"")"),"Null")</f>
        <v>Null</v>
      </c>
    </row>
    <row r="3019" spans="1:11" ht="15.75" hidden="1" customHeight="1">
      <c r="A3019" s="133" t="s">
        <v>7</v>
      </c>
      <c r="B3019" s="133" t="s">
        <v>3503</v>
      </c>
      <c r="C3019" s="133" t="s">
        <v>2595</v>
      </c>
      <c r="D3019" s="133" t="s">
        <v>477</v>
      </c>
      <c r="E3019" s="158">
        <v>20</v>
      </c>
      <c r="F3019" s="158">
        <v>0</v>
      </c>
      <c r="G3019" s="158">
        <v>0</v>
      </c>
      <c r="H3019" s="160"/>
      <c r="I3019" s="133" t="s">
        <v>548</v>
      </c>
      <c r="J3019" s="158">
        <v>0</v>
      </c>
      <c r="K3019" s="159" t="str">
        <f ca="1">IFERROR(__xludf.DUMMYFUNCTION("GOOGLETRANSLATE(H3019,""th"",""en"")"),"#VALUE!")</f>
        <v>#VALUE!</v>
      </c>
    </row>
    <row r="3020" spans="1:11" ht="15.75" hidden="1" customHeight="1">
      <c r="A3020" s="133" t="s">
        <v>7</v>
      </c>
      <c r="B3020" s="133" t="s">
        <v>252</v>
      </c>
      <c r="C3020" s="133" t="s">
        <v>253</v>
      </c>
      <c r="D3020" s="133" t="s">
        <v>3520</v>
      </c>
      <c r="E3020" s="158">
        <v>14</v>
      </c>
      <c r="F3020" s="158">
        <v>0</v>
      </c>
      <c r="G3020" s="158">
        <v>0</v>
      </c>
      <c r="H3020" s="133" t="s">
        <v>479</v>
      </c>
      <c r="I3020" s="133" t="s">
        <v>479</v>
      </c>
      <c r="J3020" s="158">
        <v>0</v>
      </c>
      <c r="K3020" s="159" t="str">
        <f ca="1">IFERROR(__xludf.DUMMYFUNCTION("GOOGLETRANSLATE(H3020,""th"",""en"")"),"Null")</f>
        <v>Null</v>
      </c>
    </row>
    <row r="3021" spans="1:11" ht="15.75" hidden="1" customHeight="1">
      <c r="A3021" s="133" t="s">
        <v>7</v>
      </c>
      <c r="B3021" s="133" t="s">
        <v>252</v>
      </c>
      <c r="C3021" s="133" t="s">
        <v>3521</v>
      </c>
      <c r="D3021" s="133" t="s">
        <v>477</v>
      </c>
      <c r="E3021" s="158">
        <v>8</v>
      </c>
      <c r="F3021" s="158">
        <v>0</v>
      </c>
      <c r="G3021" s="158">
        <v>0</v>
      </c>
      <c r="H3021" s="133" t="s">
        <v>479</v>
      </c>
      <c r="I3021" s="133" t="s">
        <v>479</v>
      </c>
      <c r="J3021" s="158">
        <v>1</v>
      </c>
      <c r="K3021" s="159" t="str">
        <f ca="1">IFERROR(__xludf.DUMMYFUNCTION("GOOGLETRANSLATE(H3021,""th"",""en"")"),"Null")</f>
        <v>Null</v>
      </c>
    </row>
    <row r="3022" spans="1:11" ht="15.75" hidden="1" customHeight="1">
      <c r="A3022" s="133" t="s">
        <v>7</v>
      </c>
      <c r="B3022" s="133" t="s">
        <v>252</v>
      </c>
      <c r="C3022" s="133" t="s">
        <v>3522</v>
      </c>
      <c r="D3022" s="133" t="s">
        <v>477</v>
      </c>
      <c r="E3022" s="158">
        <v>100</v>
      </c>
      <c r="F3022" s="158">
        <v>0</v>
      </c>
      <c r="G3022" s="158">
        <v>0</v>
      </c>
      <c r="H3022" s="133" t="s">
        <v>479</v>
      </c>
      <c r="I3022" s="133" t="s">
        <v>479</v>
      </c>
      <c r="J3022" s="158">
        <v>1</v>
      </c>
      <c r="K3022" s="159" t="str">
        <f ca="1">IFERROR(__xludf.DUMMYFUNCTION("GOOGLETRANSLATE(H3022,""th"",""en"")"),"Null")</f>
        <v>Null</v>
      </c>
    </row>
    <row r="3023" spans="1:11" ht="15.75" hidden="1" customHeight="1">
      <c r="A3023" s="133" t="s">
        <v>7</v>
      </c>
      <c r="B3023" s="133" t="s">
        <v>252</v>
      </c>
      <c r="C3023" s="133" t="s">
        <v>287</v>
      </c>
      <c r="D3023" s="133" t="s">
        <v>3520</v>
      </c>
      <c r="E3023" s="158">
        <v>10</v>
      </c>
      <c r="F3023" s="158">
        <v>0</v>
      </c>
      <c r="G3023" s="158">
        <v>0</v>
      </c>
      <c r="H3023" s="133" t="s">
        <v>479</v>
      </c>
      <c r="I3023" s="133" t="s">
        <v>479</v>
      </c>
      <c r="J3023" s="158">
        <v>1</v>
      </c>
      <c r="K3023" s="159" t="str">
        <f ca="1">IFERROR(__xludf.DUMMYFUNCTION("GOOGLETRANSLATE(H3023,""th"",""en"")"),"Null")</f>
        <v>Null</v>
      </c>
    </row>
    <row r="3024" spans="1:11" ht="15.75" hidden="1" customHeight="1">
      <c r="A3024" s="133" t="s">
        <v>7</v>
      </c>
      <c r="B3024" s="133" t="s">
        <v>252</v>
      </c>
      <c r="C3024" s="133" t="s">
        <v>3523</v>
      </c>
      <c r="D3024" s="133" t="s">
        <v>477</v>
      </c>
      <c r="E3024" s="158">
        <v>100</v>
      </c>
      <c r="F3024" s="158">
        <v>0</v>
      </c>
      <c r="G3024" s="158">
        <v>0</v>
      </c>
      <c r="H3024" s="133" t="s">
        <v>479</v>
      </c>
      <c r="I3024" s="133" t="s">
        <v>479</v>
      </c>
      <c r="J3024" s="158">
        <v>1</v>
      </c>
      <c r="K3024" s="159" t="str">
        <f ca="1">IFERROR(__xludf.DUMMYFUNCTION("GOOGLETRANSLATE(H3024,""th"",""en"")"),"Null")</f>
        <v>Null</v>
      </c>
    </row>
    <row r="3025" spans="1:12" ht="15.75" hidden="1" customHeight="1">
      <c r="A3025" s="133" t="s">
        <v>7</v>
      </c>
      <c r="B3025" s="133" t="s">
        <v>252</v>
      </c>
      <c r="C3025" s="133" t="s">
        <v>971</v>
      </c>
      <c r="D3025" s="133" t="s">
        <v>477</v>
      </c>
      <c r="E3025" s="158">
        <v>7</v>
      </c>
      <c r="F3025" s="158">
        <v>0</v>
      </c>
      <c r="G3025" s="158">
        <v>0</v>
      </c>
      <c r="H3025" s="133" t="s">
        <v>479</v>
      </c>
      <c r="I3025" s="133" t="s">
        <v>479</v>
      </c>
      <c r="J3025" s="158">
        <v>1</v>
      </c>
      <c r="K3025" s="159" t="str">
        <f ca="1">IFERROR(__xludf.DUMMYFUNCTION("GOOGLETRANSLATE(H3025,""th"",""en"")"),"Null")</f>
        <v>Null</v>
      </c>
    </row>
    <row r="3026" spans="1:12" ht="15.75" hidden="1" customHeight="1">
      <c r="A3026" s="133" t="s">
        <v>7</v>
      </c>
      <c r="B3026" s="133" t="s">
        <v>252</v>
      </c>
      <c r="C3026" s="133" t="s">
        <v>3524</v>
      </c>
      <c r="D3026" s="133" t="s">
        <v>477</v>
      </c>
      <c r="E3026" s="158">
        <v>50</v>
      </c>
      <c r="F3026" s="158">
        <v>0</v>
      </c>
      <c r="G3026" s="158">
        <v>0</v>
      </c>
      <c r="H3026" s="133" t="s">
        <v>479</v>
      </c>
      <c r="I3026" s="133" t="s">
        <v>479</v>
      </c>
      <c r="J3026" s="158">
        <v>1</v>
      </c>
      <c r="K3026" s="159" t="str">
        <f ca="1">IFERROR(__xludf.DUMMYFUNCTION("GOOGLETRANSLATE(H3026,""th"",""en"")"),"Null")</f>
        <v>Null</v>
      </c>
    </row>
    <row r="3027" spans="1:12" ht="15.75" hidden="1" customHeight="1">
      <c r="A3027" s="133" t="s">
        <v>7</v>
      </c>
      <c r="B3027" s="133" t="s">
        <v>252</v>
      </c>
      <c r="C3027" s="133" t="s">
        <v>3525</v>
      </c>
      <c r="D3027" s="133" t="s">
        <v>484</v>
      </c>
      <c r="E3027" s="158">
        <v>4</v>
      </c>
      <c r="F3027" s="158">
        <v>10</v>
      </c>
      <c r="G3027" s="158">
        <v>0</v>
      </c>
      <c r="H3027" s="133" t="s">
        <v>479</v>
      </c>
      <c r="I3027" s="133" t="s">
        <v>479</v>
      </c>
      <c r="J3027" s="158">
        <v>1</v>
      </c>
      <c r="K3027" s="159" t="str">
        <f ca="1">IFERROR(__xludf.DUMMYFUNCTION("GOOGLETRANSLATE(H3027,""th"",""en"")"),"Null")</f>
        <v>Null</v>
      </c>
    </row>
    <row r="3028" spans="1:12" ht="15.75" hidden="1" customHeight="1">
      <c r="A3028" s="133" t="s">
        <v>7</v>
      </c>
      <c r="B3028" s="133" t="s">
        <v>252</v>
      </c>
      <c r="C3028" s="133" t="s">
        <v>3204</v>
      </c>
      <c r="D3028" s="133" t="s">
        <v>477</v>
      </c>
      <c r="E3028" s="158">
        <v>50</v>
      </c>
      <c r="F3028" s="158">
        <v>0</v>
      </c>
      <c r="G3028" s="158">
        <v>0</v>
      </c>
      <c r="H3028" s="133" t="s">
        <v>479</v>
      </c>
      <c r="I3028" s="133" t="s">
        <v>479</v>
      </c>
      <c r="J3028" s="158">
        <v>1</v>
      </c>
      <c r="K3028" s="159" t="str">
        <f ca="1">IFERROR(__xludf.DUMMYFUNCTION("GOOGLETRANSLATE(H3028,""th"",""en"")"),"Null")</f>
        <v>Null</v>
      </c>
    </row>
    <row r="3029" spans="1:12" ht="15.75" hidden="1" customHeight="1">
      <c r="A3029" s="133" t="s">
        <v>7</v>
      </c>
      <c r="B3029" s="133" t="s">
        <v>252</v>
      </c>
      <c r="C3029" s="133" t="s">
        <v>3526</v>
      </c>
      <c r="D3029" s="133" t="s">
        <v>477</v>
      </c>
      <c r="E3029" s="158">
        <v>50</v>
      </c>
      <c r="F3029" s="158">
        <v>0</v>
      </c>
      <c r="G3029" s="158">
        <v>0</v>
      </c>
      <c r="H3029" s="133" t="s">
        <v>479</v>
      </c>
      <c r="I3029" s="133" t="s">
        <v>479</v>
      </c>
      <c r="J3029" s="158">
        <v>1</v>
      </c>
      <c r="K3029" s="159" t="str">
        <f ca="1">IFERROR(__xludf.DUMMYFUNCTION("GOOGLETRANSLATE(H3029,""th"",""en"")"),"Null")</f>
        <v>Null</v>
      </c>
    </row>
    <row r="3030" spans="1:12" ht="15.75" hidden="1" customHeight="1">
      <c r="A3030" s="133" t="s">
        <v>7</v>
      </c>
      <c r="B3030" s="133" t="s">
        <v>252</v>
      </c>
      <c r="C3030" s="133" t="s">
        <v>3527</v>
      </c>
      <c r="D3030" s="133" t="s">
        <v>484</v>
      </c>
      <c r="E3030" s="158">
        <v>4</v>
      </c>
      <c r="F3030" s="158">
        <v>10</v>
      </c>
      <c r="G3030" s="158">
        <v>0</v>
      </c>
      <c r="H3030" s="133" t="s">
        <v>479</v>
      </c>
      <c r="I3030" s="133" t="s">
        <v>479</v>
      </c>
      <c r="J3030" s="158">
        <v>1</v>
      </c>
      <c r="K3030" s="159" t="str">
        <f ca="1">IFERROR(__xludf.DUMMYFUNCTION("GOOGLETRANSLATE(H3030,""th"",""en"")"),"Null")</f>
        <v>Null</v>
      </c>
    </row>
    <row r="3031" spans="1:12" ht="15.75" hidden="1" customHeight="1">
      <c r="A3031" s="133" t="s">
        <v>7</v>
      </c>
      <c r="B3031" s="133" t="s">
        <v>252</v>
      </c>
      <c r="C3031" s="133" t="s">
        <v>3528</v>
      </c>
      <c r="D3031" s="133" t="s">
        <v>481</v>
      </c>
      <c r="E3031" s="158">
        <v>9</v>
      </c>
      <c r="F3031" s="158">
        <v>15</v>
      </c>
      <c r="G3031" s="158">
        <v>2</v>
      </c>
      <c r="H3031" s="133" t="s">
        <v>479</v>
      </c>
      <c r="I3031" s="133" t="s">
        <v>479</v>
      </c>
      <c r="J3031" s="158">
        <v>1</v>
      </c>
      <c r="K3031" s="159" t="str">
        <f ca="1">IFERROR(__xludf.DUMMYFUNCTION("GOOGLETRANSLATE(H3031,""th"",""en"")"),"Null")</f>
        <v>Null</v>
      </c>
    </row>
    <row r="3032" spans="1:12" ht="15.75" hidden="1" customHeight="1">
      <c r="A3032" s="133" t="s">
        <v>7</v>
      </c>
      <c r="B3032" s="133" t="s">
        <v>252</v>
      </c>
      <c r="C3032" s="133" t="s">
        <v>3529</v>
      </c>
      <c r="D3032" s="133" t="s">
        <v>481</v>
      </c>
      <c r="E3032" s="158">
        <v>5</v>
      </c>
      <c r="F3032" s="158">
        <v>9</v>
      </c>
      <c r="G3032" s="158">
        <v>3</v>
      </c>
      <c r="H3032" s="133" t="s">
        <v>479</v>
      </c>
      <c r="I3032" s="133" t="s">
        <v>479</v>
      </c>
      <c r="J3032" s="158">
        <v>1</v>
      </c>
      <c r="K3032" s="159" t="str">
        <f ca="1">IFERROR(__xludf.DUMMYFUNCTION("GOOGLETRANSLATE(H3032,""th"",""en"")"),"Null")</f>
        <v>Null</v>
      </c>
    </row>
    <row r="3033" spans="1:12" ht="15.75" hidden="1" customHeight="1">
      <c r="A3033" s="133" t="s">
        <v>7</v>
      </c>
      <c r="B3033" s="133" t="s">
        <v>252</v>
      </c>
      <c r="C3033" s="133" t="s">
        <v>3530</v>
      </c>
      <c r="D3033" s="133" t="s">
        <v>481</v>
      </c>
      <c r="E3033" s="158">
        <v>5</v>
      </c>
      <c r="F3033" s="158">
        <v>9</v>
      </c>
      <c r="G3033" s="158">
        <v>3</v>
      </c>
      <c r="H3033" s="133" t="s">
        <v>479</v>
      </c>
      <c r="I3033" s="133" t="s">
        <v>479</v>
      </c>
      <c r="J3033" s="158">
        <v>1</v>
      </c>
      <c r="K3033" s="159" t="str">
        <f ca="1">IFERROR(__xludf.DUMMYFUNCTION("GOOGLETRANSLATE(H3033,""th"",""en"")"),"Null")</f>
        <v>Null</v>
      </c>
    </row>
    <row r="3034" spans="1:12" ht="15.75" hidden="1" customHeight="1">
      <c r="A3034" s="133" t="s">
        <v>7</v>
      </c>
      <c r="B3034" s="133" t="s">
        <v>252</v>
      </c>
      <c r="C3034" s="133" t="s">
        <v>3531</v>
      </c>
      <c r="D3034" s="133" t="s">
        <v>481</v>
      </c>
      <c r="E3034" s="158">
        <v>5</v>
      </c>
      <c r="F3034" s="158">
        <v>9</v>
      </c>
      <c r="G3034" s="158">
        <v>3</v>
      </c>
      <c r="H3034" s="133" t="s">
        <v>479</v>
      </c>
      <c r="I3034" s="133" t="s">
        <v>479</v>
      </c>
      <c r="J3034" s="158">
        <v>1</v>
      </c>
      <c r="K3034" s="159" t="str">
        <f ca="1">IFERROR(__xludf.DUMMYFUNCTION("GOOGLETRANSLATE(H3034,""th"",""en"")"),"Null")</f>
        <v>Null</v>
      </c>
    </row>
    <row r="3035" spans="1:12" ht="15.75" hidden="1" customHeight="1">
      <c r="A3035" s="133" t="s">
        <v>7</v>
      </c>
      <c r="B3035" s="133" t="s">
        <v>252</v>
      </c>
      <c r="C3035" s="133" t="s">
        <v>3532</v>
      </c>
      <c r="D3035" s="133" t="s">
        <v>481</v>
      </c>
      <c r="E3035" s="158">
        <v>5</v>
      </c>
      <c r="F3035" s="158">
        <v>9</v>
      </c>
      <c r="G3035" s="158">
        <v>3</v>
      </c>
      <c r="H3035" s="133" t="s">
        <v>479</v>
      </c>
      <c r="I3035" s="133" t="s">
        <v>479</v>
      </c>
      <c r="J3035" s="158">
        <v>1</v>
      </c>
      <c r="K3035" s="159" t="str">
        <f ca="1">IFERROR(__xludf.DUMMYFUNCTION("GOOGLETRANSLATE(H3035,""th"",""en"")"),"Null")</f>
        <v>Null</v>
      </c>
    </row>
    <row r="3036" spans="1:12" ht="15.75" hidden="1" customHeight="1">
      <c r="A3036" s="133" t="s">
        <v>7</v>
      </c>
      <c r="B3036" s="133" t="s">
        <v>252</v>
      </c>
      <c r="C3036" s="133" t="s">
        <v>3533</v>
      </c>
      <c r="D3036" s="133" t="s">
        <v>481</v>
      </c>
      <c r="E3036" s="158">
        <v>9</v>
      </c>
      <c r="F3036" s="158">
        <v>15</v>
      </c>
      <c r="G3036" s="158">
        <v>2</v>
      </c>
      <c r="H3036" s="133" t="s">
        <v>479</v>
      </c>
      <c r="I3036" s="133" t="s">
        <v>615</v>
      </c>
      <c r="J3036" s="158">
        <v>0</v>
      </c>
      <c r="K3036" s="159" t="str">
        <f ca="1">IFERROR(__xludf.DUMMYFUNCTION("GOOGLETRANSLATE(H3036,""th"",""en"")"),"Null")</f>
        <v>Null</v>
      </c>
    </row>
    <row r="3037" spans="1:12" ht="15.75" hidden="1" customHeight="1">
      <c r="A3037" s="133" t="s">
        <v>7</v>
      </c>
      <c r="B3037" s="133" t="s">
        <v>252</v>
      </c>
      <c r="C3037" s="133" t="s">
        <v>215</v>
      </c>
      <c r="D3037" s="279" t="s">
        <v>477</v>
      </c>
      <c r="E3037" s="158">
        <v>4</v>
      </c>
      <c r="F3037" s="158">
        <v>16</v>
      </c>
      <c r="G3037" s="158">
        <v>0</v>
      </c>
      <c r="H3037" s="133" t="s">
        <v>479</v>
      </c>
      <c r="I3037" s="133" t="s">
        <v>479</v>
      </c>
      <c r="J3037" s="158">
        <v>1</v>
      </c>
      <c r="K3037" s="159" t="str">
        <f ca="1">IFERROR(__xludf.DUMMYFUNCTION("GOOGLETRANSLATE(H3037,""th"",""en"")"),"Null")</f>
        <v>Null</v>
      </c>
      <c r="L3037" s="228" t="s">
        <v>496</v>
      </c>
    </row>
    <row r="3038" spans="1:12" ht="15.75" hidden="1" customHeight="1">
      <c r="A3038" s="133" t="s">
        <v>7</v>
      </c>
      <c r="B3038" s="133" t="s">
        <v>252</v>
      </c>
      <c r="C3038" s="133" t="s">
        <v>3534</v>
      </c>
      <c r="D3038" s="133" t="s">
        <v>477</v>
      </c>
      <c r="E3038" s="158">
        <v>12</v>
      </c>
      <c r="F3038" s="158">
        <v>0</v>
      </c>
      <c r="G3038" s="158">
        <v>0</v>
      </c>
      <c r="H3038" s="133" t="s">
        <v>479</v>
      </c>
      <c r="I3038" s="133" t="s">
        <v>479</v>
      </c>
      <c r="J3038" s="158">
        <v>1</v>
      </c>
      <c r="K3038" s="159" t="str">
        <f ca="1">IFERROR(__xludf.DUMMYFUNCTION("GOOGLETRANSLATE(H3038,""th"",""en"")"),"Null")</f>
        <v>Null</v>
      </c>
    </row>
    <row r="3039" spans="1:12" ht="15.75" hidden="1" customHeight="1">
      <c r="A3039" s="133" t="s">
        <v>7</v>
      </c>
      <c r="B3039" s="133" t="s">
        <v>252</v>
      </c>
      <c r="C3039" s="133" t="s">
        <v>3535</v>
      </c>
      <c r="D3039" s="133" t="s">
        <v>477</v>
      </c>
      <c r="E3039" s="158">
        <v>12</v>
      </c>
      <c r="F3039" s="158">
        <v>0</v>
      </c>
      <c r="G3039" s="158">
        <v>0</v>
      </c>
      <c r="H3039" s="133" t="s">
        <v>479</v>
      </c>
      <c r="I3039" s="133" t="s">
        <v>479</v>
      </c>
      <c r="J3039" s="158">
        <v>1</v>
      </c>
      <c r="K3039" s="159" t="str">
        <f ca="1">IFERROR(__xludf.DUMMYFUNCTION("GOOGLETRANSLATE(H3039,""th"",""en"")"),"Null")</f>
        <v>Null</v>
      </c>
    </row>
    <row r="3040" spans="1:12" ht="15.75" hidden="1" customHeight="1">
      <c r="A3040" s="133" t="s">
        <v>7</v>
      </c>
      <c r="B3040" s="133" t="s">
        <v>252</v>
      </c>
      <c r="C3040" s="133" t="s">
        <v>3536</v>
      </c>
      <c r="D3040" s="279" t="s">
        <v>477</v>
      </c>
      <c r="E3040" s="158">
        <v>4</v>
      </c>
      <c r="F3040" s="158">
        <v>16</v>
      </c>
      <c r="G3040" s="158">
        <v>0</v>
      </c>
      <c r="H3040" s="133" t="s">
        <v>479</v>
      </c>
      <c r="I3040" s="133" t="s">
        <v>479</v>
      </c>
      <c r="J3040" s="158">
        <v>1</v>
      </c>
      <c r="K3040" s="159" t="str">
        <f ca="1">IFERROR(__xludf.DUMMYFUNCTION("GOOGLETRANSLATE(H3040,""th"",""en"")"),"Null")</f>
        <v>Null</v>
      </c>
      <c r="L3040" s="228" t="s">
        <v>496</v>
      </c>
    </row>
    <row r="3041" spans="1:11" ht="15.75" hidden="1" customHeight="1">
      <c r="A3041" s="133" t="s">
        <v>7</v>
      </c>
      <c r="B3041" s="133" t="s">
        <v>252</v>
      </c>
      <c r="C3041" s="133" t="s">
        <v>1067</v>
      </c>
      <c r="D3041" s="133" t="s">
        <v>477</v>
      </c>
      <c r="E3041" s="158">
        <v>6</v>
      </c>
      <c r="F3041" s="158">
        <v>0</v>
      </c>
      <c r="G3041" s="158">
        <v>0</v>
      </c>
      <c r="H3041" s="133" t="s">
        <v>3537</v>
      </c>
      <c r="I3041" s="133" t="s">
        <v>548</v>
      </c>
      <c r="J3041" s="158">
        <v>0</v>
      </c>
      <c r="K3041" s="159" t="str">
        <f ca="1">IFERROR(__xludf.DUMMYFUNCTION("GOOGLETRANSLATE(H3041,""th"",""en"")"),"OD Supplier Code")</f>
        <v>OD Supplier Code</v>
      </c>
    </row>
    <row r="3042" spans="1:11" ht="15.75" hidden="1" customHeight="1">
      <c r="A3042" s="133" t="s">
        <v>7</v>
      </c>
      <c r="B3042" s="133" t="s">
        <v>252</v>
      </c>
      <c r="C3042" s="133" t="s">
        <v>1217</v>
      </c>
      <c r="D3042" s="133" t="s">
        <v>477</v>
      </c>
      <c r="E3042" s="158">
        <v>20</v>
      </c>
      <c r="F3042" s="158">
        <v>0</v>
      </c>
      <c r="G3042" s="158">
        <v>0</v>
      </c>
      <c r="H3042" s="133" t="s">
        <v>1218</v>
      </c>
      <c r="I3042" s="133" t="s">
        <v>548</v>
      </c>
      <c r="J3042" s="158">
        <v>0</v>
      </c>
      <c r="K3042" s="159" t="str">
        <f ca="1">IFERROR(__xludf.DUMMYFUNCTION("GOOGLETRANSLATE(H3042,""th"",""en"")"),"Vendor's Inv or CN tax invoice number")</f>
        <v>Vendor's Inv or CN tax invoice number</v>
      </c>
    </row>
    <row r="3043" spans="1:11" ht="15.75" hidden="1" customHeight="1">
      <c r="A3043" s="133" t="s">
        <v>7</v>
      </c>
      <c r="B3043" s="133" t="s">
        <v>3538</v>
      </c>
      <c r="C3043" s="133" t="s">
        <v>377</v>
      </c>
      <c r="D3043" s="133" t="s">
        <v>477</v>
      </c>
      <c r="E3043" s="158">
        <v>10</v>
      </c>
      <c r="F3043" s="158">
        <v>0</v>
      </c>
      <c r="G3043" s="158">
        <v>0</v>
      </c>
      <c r="H3043" s="133" t="s">
        <v>1648</v>
      </c>
      <c r="I3043" s="133" t="s">
        <v>548</v>
      </c>
      <c r="J3043" s="158">
        <v>0</v>
      </c>
      <c r="K3043" s="159" t="str">
        <f ca="1">IFERROR(__xludf.DUMMYFUNCTION("GOOGLETRANSLATE(H3043,""th"",""en"")"),"Trial")</f>
        <v>Trial</v>
      </c>
    </row>
    <row r="3044" spans="1:11" ht="15.75" hidden="1" customHeight="1">
      <c r="A3044" s="133" t="s">
        <v>7</v>
      </c>
      <c r="B3044" s="133" t="s">
        <v>3538</v>
      </c>
      <c r="C3044" s="133" t="s">
        <v>3539</v>
      </c>
      <c r="D3044" s="133" t="s">
        <v>477</v>
      </c>
      <c r="E3044" s="158">
        <v>50</v>
      </c>
      <c r="F3044" s="158">
        <v>0</v>
      </c>
      <c r="G3044" s="158">
        <v>0</v>
      </c>
      <c r="H3044" s="133" t="s">
        <v>1648</v>
      </c>
      <c r="I3044" s="133" t="s">
        <v>548</v>
      </c>
      <c r="J3044" s="158">
        <v>0</v>
      </c>
      <c r="K3044" s="159" t="str">
        <f ca="1">IFERROR(__xludf.DUMMYFUNCTION("GOOGLETRANSLATE(H3044,""th"",""en"")"),"Trial")</f>
        <v>Trial</v>
      </c>
    </row>
    <row r="3045" spans="1:11" ht="15.75" hidden="1" customHeight="1">
      <c r="A3045" s="133" t="s">
        <v>7</v>
      </c>
      <c r="B3045" s="133" t="s">
        <v>3538</v>
      </c>
      <c r="C3045" s="133" t="s">
        <v>357</v>
      </c>
      <c r="D3045" s="133" t="s">
        <v>484</v>
      </c>
      <c r="E3045" s="158">
        <v>4</v>
      </c>
      <c r="F3045" s="158">
        <v>10</v>
      </c>
      <c r="G3045" s="158">
        <v>0</v>
      </c>
      <c r="H3045" s="133" t="s">
        <v>479</v>
      </c>
      <c r="I3045" s="133" t="s">
        <v>615</v>
      </c>
      <c r="J3045" s="158">
        <v>0</v>
      </c>
      <c r="K3045" s="159" t="str">
        <f ca="1">IFERROR(__xludf.DUMMYFUNCTION("GOOGLETRANSLATE(H3045,""th"",""en"")"),"Null")</f>
        <v>Null</v>
      </c>
    </row>
    <row r="3046" spans="1:11" ht="15.75" hidden="1" customHeight="1">
      <c r="A3046" s="133" t="s">
        <v>7</v>
      </c>
      <c r="B3046" s="133" t="s">
        <v>3538</v>
      </c>
      <c r="C3046" s="133" t="s">
        <v>1333</v>
      </c>
      <c r="D3046" s="133" t="s">
        <v>477</v>
      </c>
      <c r="E3046" s="158">
        <v>100</v>
      </c>
      <c r="F3046" s="158">
        <v>0</v>
      </c>
      <c r="G3046" s="158">
        <v>0</v>
      </c>
      <c r="H3046" s="133" t="s">
        <v>1648</v>
      </c>
      <c r="I3046" s="133" t="s">
        <v>548</v>
      </c>
      <c r="J3046" s="158">
        <v>0</v>
      </c>
      <c r="K3046" s="159" t="str">
        <f ca="1">IFERROR(__xludf.DUMMYFUNCTION("GOOGLETRANSLATE(H3046,""th"",""en"")"),"Trial")</f>
        <v>Trial</v>
      </c>
    </row>
    <row r="3047" spans="1:11" ht="15.75" hidden="1" customHeight="1">
      <c r="A3047" s="133" t="s">
        <v>7</v>
      </c>
      <c r="B3047" s="133" t="s">
        <v>3538</v>
      </c>
      <c r="C3047" s="133" t="s">
        <v>1334</v>
      </c>
      <c r="D3047" s="133" t="s">
        <v>477</v>
      </c>
      <c r="E3047" s="158">
        <v>8</v>
      </c>
      <c r="F3047" s="158">
        <v>0</v>
      </c>
      <c r="G3047" s="158">
        <v>0</v>
      </c>
      <c r="H3047" s="133" t="s">
        <v>1648</v>
      </c>
      <c r="I3047" s="133" t="s">
        <v>548</v>
      </c>
      <c r="J3047" s="158">
        <v>0</v>
      </c>
      <c r="K3047" s="159" t="str">
        <f ca="1">IFERROR(__xludf.DUMMYFUNCTION("GOOGLETRANSLATE(H3047,""th"",""en"")"),"Trial")</f>
        <v>Trial</v>
      </c>
    </row>
    <row r="3048" spans="1:11" ht="15.75" hidden="1" customHeight="1">
      <c r="A3048" s="133" t="s">
        <v>7</v>
      </c>
      <c r="B3048" s="133" t="s">
        <v>3538</v>
      </c>
      <c r="C3048" s="133" t="s">
        <v>184</v>
      </c>
      <c r="D3048" s="133" t="s">
        <v>538</v>
      </c>
      <c r="E3048" s="158">
        <v>8</v>
      </c>
      <c r="F3048" s="158">
        <v>23</v>
      </c>
      <c r="G3048" s="158">
        <v>3</v>
      </c>
      <c r="H3048" s="133" t="s">
        <v>1648</v>
      </c>
      <c r="I3048" s="133" t="s">
        <v>1284</v>
      </c>
      <c r="J3048" s="158">
        <v>0</v>
      </c>
      <c r="K3048" s="159" t="str">
        <f ca="1">IFERROR(__xludf.DUMMYFUNCTION("GOOGLETRANSLATE(H3048,""th"",""en"")"),"Trial")</f>
        <v>Trial</v>
      </c>
    </row>
    <row r="3049" spans="1:11" ht="15.75" hidden="1" customHeight="1">
      <c r="A3049" s="133" t="s">
        <v>7</v>
      </c>
      <c r="B3049" s="133" t="s">
        <v>3538</v>
      </c>
      <c r="C3049" s="133" t="s">
        <v>1335</v>
      </c>
      <c r="D3049" s="133" t="s">
        <v>477</v>
      </c>
      <c r="E3049" s="158">
        <v>100</v>
      </c>
      <c r="F3049" s="158">
        <v>0</v>
      </c>
      <c r="G3049" s="158">
        <v>0</v>
      </c>
      <c r="H3049" s="133" t="s">
        <v>1648</v>
      </c>
      <c r="I3049" s="133" t="s">
        <v>548</v>
      </c>
      <c r="J3049" s="158">
        <v>0</v>
      </c>
      <c r="K3049" s="159" t="str">
        <f ca="1">IFERROR(__xludf.DUMMYFUNCTION("GOOGLETRANSLATE(H3049,""th"",""en"")"),"Trial")</f>
        <v>Trial</v>
      </c>
    </row>
    <row r="3050" spans="1:11" ht="15.75" hidden="1" customHeight="1">
      <c r="A3050" s="133" t="s">
        <v>7</v>
      </c>
      <c r="B3050" s="133" t="s">
        <v>3538</v>
      </c>
      <c r="C3050" s="133" t="s">
        <v>1336</v>
      </c>
      <c r="D3050" s="133" t="s">
        <v>477</v>
      </c>
      <c r="E3050" s="158">
        <v>8</v>
      </c>
      <c r="F3050" s="158">
        <v>0</v>
      </c>
      <c r="G3050" s="158">
        <v>0</v>
      </c>
      <c r="H3050" s="133" t="s">
        <v>1648</v>
      </c>
      <c r="I3050" s="133" t="s">
        <v>548</v>
      </c>
      <c r="J3050" s="158">
        <v>0</v>
      </c>
      <c r="K3050" s="159" t="str">
        <f ca="1">IFERROR(__xludf.DUMMYFUNCTION("GOOGLETRANSLATE(H3050,""th"",""en"")"),"Trial")</f>
        <v>Trial</v>
      </c>
    </row>
    <row r="3051" spans="1:11" ht="15.75" hidden="1" customHeight="1">
      <c r="A3051" s="133" t="s">
        <v>7</v>
      </c>
      <c r="B3051" s="133" t="s">
        <v>3538</v>
      </c>
      <c r="C3051" s="133" t="s">
        <v>175</v>
      </c>
      <c r="D3051" s="133" t="s">
        <v>538</v>
      </c>
      <c r="E3051" s="158">
        <v>8</v>
      </c>
      <c r="F3051" s="158">
        <v>23</v>
      </c>
      <c r="G3051" s="158">
        <v>3</v>
      </c>
      <c r="H3051" s="133" t="s">
        <v>1648</v>
      </c>
      <c r="I3051" s="133" t="s">
        <v>1284</v>
      </c>
      <c r="J3051" s="158">
        <v>0</v>
      </c>
      <c r="K3051" s="159" t="str">
        <f ca="1">IFERROR(__xludf.DUMMYFUNCTION("GOOGLETRANSLATE(H3051,""th"",""en"")"),"Trial")</f>
        <v>Trial</v>
      </c>
    </row>
    <row r="3052" spans="1:11" ht="15.75" hidden="1" customHeight="1">
      <c r="A3052" s="133" t="s">
        <v>7</v>
      </c>
      <c r="B3052" s="133" t="s">
        <v>3538</v>
      </c>
      <c r="C3052" s="133" t="s">
        <v>1872</v>
      </c>
      <c r="D3052" s="133" t="s">
        <v>477</v>
      </c>
      <c r="E3052" s="158">
        <v>8</v>
      </c>
      <c r="F3052" s="158">
        <v>0</v>
      </c>
      <c r="G3052" s="158">
        <v>0</v>
      </c>
      <c r="H3052" s="133" t="s">
        <v>3540</v>
      </c>
      <c r="I3052" s="133" t="s">
        <v>548</v>
      </c>
      <c r="J3052" s="158">
        <v>0</v>
      </c>
      <c r="K3052" s="159" t="str">
        <f ca="1">IFERROR(__xludf.DUMMYFUNCTION("GOOGLETRANSLATE(H3052,""th"",""en"")"),"Team leader")</f>
        <v>Team leader</v>
      </c>
    </row>
    <row r="3053" spans="1:11" ht="15.75" hidden="1" customHeight="1">
      <c r="A3053" s="133" t="s">
        <v>7</v>
      </c>
      <c r="B3053" s="133" t="s">
        <v>3538</v>
      </c>
      <c r="C3053" s="133" t="s">
        <v>3541</v>
      </c>
      <c r="D3053" s="133" t="s">
        <v>477</v>
      </c>
      <c r="E3053" s="158">
        <v>3</v>
      </c>
      <c r="F3053" s="158">
        <v>0</v>
      </c>
      <c r="G3053" s="158">
        <v>0</v>
      </c>
      <c r="H3053" s="133" t="s">
        <v>3542</v>
      </c>
      <c r="I3053" s="133" t="s">
        <v>596</v>
      </c>
      <c r="J3053" s="158">
        <v>0</v>
      </c>
      <c r="K3053" s="159" t="str">
        <f ca="1">IFERROR(__xludf.DUMMYFUNCTION("GOOGLETRANSLATE(H3053,""th"",""en"")"),"The team can accept orders online.")</f>
        <v>The team can accept orders online.</v>
      </c>
    </row>
    <row r="3054" spans="1:11" ht="15.75" hidden="1" customHeight="1">
      <c r="A3054" s="133" t="s">
        <v>7</v>
      </c>
      <c r="B3054" s="133" t="s">
        <v>3543</v>
      </c>
      <c r="C3054" s="133" t="s">
        <v>381</v>
      </c>
      <c r="D3054" s="133" t="s">
        <v>477</v>
      </c>
      <c r="E3054" s="158">
        <v>8</v>
      </c>
      <c r="F3054" s="158">
        <v>0</v>
      </c>
      <c r="G3054" s="158">
        <v>0</v>
      </c>
      <c r="H3054" s="133" t="s">
        <v>1648</v>
      </c>
      <c r="I3054" s="133" t="s">
        <v>548</v>
      </c>
      <c r="J3054" s="277">
        <v>1</v>
      </c>
      <c r="K3054" s="159" t="str">
        <f ca="1">IFERROR(__xludf.DUMMYFUNCTION("GOOGLETRANSLATE(H3054,""th"",""en"")"),"Trial")</f>
        <v>Trial</v>
      </c>
    </row>
    <row r="3055" spans="1:11" ht="15.75" hidden="1" customHeight="1">
      <c r="A3055" s="133" t="s">
        <v>7</v>
      </c>
      <c r="B3055" s="133" t="s">
        <v>3543</v>
      </c>
      <c r="C3055" s="133" t="s">
        <v>1416</v>
      </c>
      <c r="D3055" s="133" t="s">
        <v>477</v>
      </c>
      <c r="E3055" s="158">
        <v>20</v>
      </c>
      <c r="F3055" s="158">
        <v>0</v>
      </c>
      <c r="G3055" s="158">
        <v>0</v>
      </c>
      <c r="H3055" s="160"/>
      <c r="I3055" s="133" t="s">
        <v>548</v>
      </c>
      <c r="J3055" s="158">
        <v>0</v>
      </c>
      <c r="K3055" s="159" t="str">
        <f ca="1">IFERROR(__xludf.DUMMYFUNCTION("GOOGLETRANSLATE(H3055,""th"",""en"")"),"#VALUE!")</f>
        <v>#VALUE!</v>
      </c>
    </row>
    <row r="3056" spans="1:11" ht="15.75" hidden="1" customHeight="1">
      <c r="A3056" s="133" t="s">
        <v>7</v>
      </c>
      <c r="B3056" s="133" t="s">
        <v>3543</v>
      </c>
      <c r="C3056" s="133" t="s">
        <v>357</v>
      </c>
      <c r="D3056" s="133" t="s">
        <v>484</v>
      </c>
      <c r="E3056" s="158">
        <v>4</v>
      </c>
      <c r="F3056" s="158">
        <v>10</v>
      </c>
      <c r="G3056" s="158">
        <v>0</v>
      </c>
      <c r="H3056" s="133" t="s">
        <v>479</v>
      </c>
      <c r="I3056" s="133" t="s">
        <v>615</v>
      </c>
      <c r="J3056" s="158">
        <v>0</v>
      </c>
      <c r="K3056" s="159" t="str">
        <f ca="1">IFERROR(__xludf.DUMMYFUNCTION("GOOGLETRANSLATE(H3056,""th"",""en"")"),"Null")</f>
        <v>Null</v>
      </c>
    </row>
    <row r="3057" spans="1:11" ht="15.75" hidden="1" customHeight="1">
      <c r="A3057" s="133" t="s">
        <v>7</v>
      </c>
      <c r="B3057" s="133" t="s">
        <v>3543</v>
      </c>
      <c r="C3057" s="133" t="s">
        <v>3544</v>
      </c>
      <c r="D3057" s="133" t="s">
        <v>477</v>
      </c>
      <c r="E3057" s="158">
        <v>20</v>
      </c>
      <c r="F3057" s="158">
        <v>0</v>
      </c>
      <c r="G3057" s="158">
        <v>0</v>
      </c>
      <c r="H3057" s="160"/>
      <c r="I3057" s="133" t="s">
        <v>548</v>
      </c>
      <c r="J3057" s="158">
        <v>0</v>
      </c>
      <c r="K3057" s="159" t="str">
        <f ca="1">IFERROR(__xludf.DUMMYFUNCTION("GOOGLETRANSLATE(H3057,""th"",""en"")"),"#VALUE!")</f>
        <v>#VALUE!</v>
      </c>
    </row>
    <row r="3058" spans="1:11" ht="15.75" hidden="1" customHeight="1">
      <c r="A3058" s="133" t="s">
        <v>7</v>
      </c>
      <c r="B3058" s="133" t="s">
        <v>3543</v>
      </c>
      <c r="C3058" s="133" t="s">
        <v>359</v>
      </c>
      <c r="D3058" s="133" t="s">
        <v>477</v>
      </c>
      <c r="E3058" s="158">
        <v>10</v>
      </c>
      <c r="F3058" s="158">
        <v>0</v>
      </c>
      <c r="G3058" s="158">
        <v>0</v>
      </c>
      <c r="H3058" s="133" t="s">
        <v>479</v>
      </c>
      <c r="I3058" s="133" t="s">
        <v>548</v>
      </c>
      <c r="J3058" s="158">
        <v>0</v>
      </c>
      <c r="K3058" s="159" t="str">
        <f ca="1">IFERROR(__xludf.DUMMYFUNCTION("GOOGLETRANSLATE(H3058,""th"",""en"")"),"Null")</f>
        <v>Null</v>
      </c>
    </row>
    <row r="3059" spans="1:11" ht="15.75" hidden="1" customHeight="1">
      <c r="A3059" s="133" t="s">
        <v>7</v>
      </c>
      <c r="B3059" s="133" t="s">
        <v>3543</v>
      </c>
      <c r="C3059" s="133" t="s">
        <v>377</v>
      </c>
      <c r="D3059" s="133" t="s">
        <v>477</v>
      </c>
      <c r="E3059" s="158">
        <v>20</v>
      </c>
      <c r="F3059" s="158">
        <v>0</v>
      </c>
      <c r="G3059" s="158">
        <v>0</v>
      </c>
      <c r="H3059" s="133" t="s">
        <v>1648</v>
      </c>
      <c r="I3059" s="133" t="s">
        <v>548</v>
      </c>
      <c r="J3059" s="158">
        <v>0</v>
      </c>
      <c r="K3059" s="159" t="str">
        <f ca="1">IFERROR(__xludf.DUMMYFUNCTION("GOOGLETRANSLATE(H3059,""th"",""en"")"),"Trial")</f>
        <v>Trial</v>
      </c>
    </row>
    <row r="3060" spans="1:11" ht="15.75" hidden="1" customHeight="1">
      <c r="A3060" s="133" t="s">
        <v>7</v>
      </c>
      <c r="B3060" s="133" t="s">
        <v>3543</v>
      </c>
      <c r="C3060" s="133" t="s">
        <v>3545</v>
      </c>
      <c r="D3060" s="133" t="s">
        <v>477</v>
      </c>
      <c r="E3060" s="158">
        <v>100</v>
      </c>
      <c r="F3060" s="158">
        <v>0</v>
      </c>
      <c r="G3060" s="158">
        <v>0</v>
      </c>
      <c r="H3060" s="133" t="s">
        <v>479</v>
      </c>
      <c r="I3060" s="133" t="s">
        <v>548</v>
      </c>
      <c r="J3060" s="158">
        <v>0</v>
      </c>
      <c r="K3060" s="159" t="str">
        <f ca="1">IFERROR(__xludf.DUMMYFUNCTION("GOOGLETRANSLATE(H3060,""th"",""en"")"),"Null")</f>
        <v>Null</v>
      </c>
    </row>
    <row r="3061" spans="1:11" ht="15.75" hidden="1" customHeight="1">
      <c r="A3061" s="133" t="s">
        <v>7</v>
      </c>
      <c r="B3061" s="133" t="s">
        <v>3543</v>
      </c>
      <c r="C3061" s="133" t="s">
        <v>3546</v>
      </c>
      <c r="D3061" s="133" t="s">
        <v>477</v>
      </c>
      <c r="E3061" s="158">
        <v>100</v>
      </c>
      <c r="F3061" s="158">
        <v>0</v>
      </c>
      <c r="G3061" s="158">
        <v>0</v>
      </c>
      <c r="H3061" s="133" t="s">
        <v>1648</v>
      </c>
      <c r="I3061" s="133" t="s">
        <v>548</v>
      </c>
      <c r="J3061" s="158">
        <v>0</v>
      </c>
      <c r="K3061" s="159" t="str">
        <f ca="1">IFERROR(__xludf.DUMMYFUNCTION("GOOGLETRANSLATE(H3061,""th"",""en"")"),"Trial")</f>
        <v>Trial</v>
      </c>
    </row>
    <row r="3062" spans="1:11" ht="15.75" hidden="1" customHeight="1">
      <c r="A3062" s="133" t="s">
        <v>7</v>
      </c>
      <c r="B3062" s="133" t="s">
        <v>3543</v>
      </c>
      <c r="C3062" s="133" t="s">
        <v>3547</v>
      </c>
      <c r="D3062" s="133" t="s">
        <v>477</v>
      </c>
      <c r="E3062" s="158">
        <v>100</v>
      </c>
      <c r="F3062" s="158">
        <v>0</v>
      </c>
      <c r="G3062" s="158">
        <v>0</v>
      </c>
      <c r="H3062" s="133" t="s">
        <v>479</v>
      </c>
      <c r="I3062" s="133" t="s">
        <v>548</v>
      </c>
      <c r="J3062" s="158">
        <v>0</v>
      </c>
      <c r="K3062" s="159" t="str">
        <f ca="1">IFERROR(__xludf.DUMMYFUNCTION("GOOGLETRANSLATE(H3062,""th"",""en"")"),"Null")</f>
        <v>Null</v>
      </c>
    </row>
    <row r="3063" spans="1:11" ht="15.75" hidden="1" customHeight="1">
      <c r="A3063" s="133" t="s">
        <v>7</v>
      </c>
      <c r="B3063" s="133" t="s">
        <v>3543</v>
      </c>
      <c r="C3063" s="133" t="s">
        <v>3548</v>
      </c>
      <c r="D3063" s="133" t="s">
        <v>477</v>
      </c>
      <c r="E3063" s="158">
        <v>100</v>
      </c>
      <c r="F3063" s="158">
        <v>0</v>
      </c>
      <c r="G3063" s="158">
        <v>0</v>
      </c>
      <c r="H3063" s="133" t="s">
        <v>3549</v>
      </c>
      <c r="I3063" s="133" t="s">
        <v>548</v>
      </c>
      <c r="J3063" s="158">
        <v>0</v>
      </c>
      <c r="K3063" s="159" t="str">
        <f ca="1">IFERROR(__xludf.DUMMYFUNCTION("GOOGLETRANSLATE(H3063,""th"",""en"")"),"Agency")</f>
        <v>Agency</v>
      </c>
    </row>
    <row r="3064" spans="1:11" ht="15.75" hidden="1" customHeight="1">
      <c r="A3064" s="133" t="s">
        <v>7</v>
      </c>
      <c r="B3064" s="133" t="s">
        <v>3543</v>
      </c>
      <c r="C3064" s="133" t="s">
        <v>3550</v>
      </c>
      <c r="D3064" s="133" t="s">
        <v>538</v>
      </c>
      <c r="E3064" s="158">
        <v>8</v>
      </c>
      <c r="F3064" s="158">
        <v>23</v>
      </c>
      <c r="G3064" s="158">
        <v>3</v>
      </c>
      <c r="H3064" s="133" t="s">
        <v>479</v>
      </c>
      <c r="I3064" s="133" t="s">
        <v>1284</v>
      </c>
      <c r="J3064" s="158">
        <v>0</v>
      </c>
      <c r="K3064" s="159" t="str">
        <f ca="1">IFERROR(__xludf.DUMMYFUNCTION("GOOGLETRANSLATE(H3064,""th"",""en"")"),"Null")</f>
        <v>Null</v>
      </c>
    </row>
    <row r="3065" spans="1:11" ht="15.75" hidden="1" customHeight="1">
      <c r="A3065" s="133" t="s">
        <v>7</v>
      </c>
      <c r="B3065" s="133" t="s">
        <v>3543</v>
      </c>
      <c r="C3065" s="133" t="s">
        <v>3551</v>
      </c>
      <c r="D3065" s="133" t="s">
        <v>477</v>
      </c>
      <c r="E3065" s="158">
        <v>20</v>
      </c>
      <c r="F3065" s="158">
        <v>0</v>
      </c>
      <c r="G3065" s="158">
        <v>0</v>
      </c>
      <c r="H3065" s="133" t="s">
        <v>1648</v>
      </c>
      <c r="I3065" s="133" t="s">
        <v>548</v>
      </c>
      <c r="J3065" s="158">
        <v>0</v>
      </c>
      <c r="K3065" s="159" t="str">
        <f ca="1">IFERROR(__xludf.DUMMYFUNCTION("GOOGLETRANSLATE(H3065,""th"",""en"")"),"Trial")</f>
        <v>Trial</v>
      </c>
    </row>
    <row r="3066" spans="1:11" ht="15.75" hidden="1" customHeight="1">
      <c r="A3066" s="133" t="s">
        <v>7</v>
      </c>
      <c r="B3066" s="133" t="s">
        <v>3543</v>
      </c>
      <c r="C3066" s="133" t="s">
        <v>1419</v>
      </c>
      <c r="D3066" s="133" t="s">
        <v>477</v>
      </c>
      <c r="E3066" s="158">
        <v>10</v>
      </c>
      <c r="F3066" s="158">
        <v>0</v>
      </c>
      <c r="G3066" s="158">
        <v>0</v>
      </c>
      <c r="H3066" s="133" t="s">
        <v>479</v>
      </c>
      <c r="I3066" s="133" t="s">
        <v>548</v>
      </c>
      <c r="J3066" s="158">
        <v>0</v>
      </c>
      <c r="K3066" s="159" t="str">
        <f ca="1">IFERROR(__xludf.DUMMYFUNCTION("GOOGLETRANSLATE(H3066,""th"",""en"")"),"Null")</f>
        <v>Null</v>
      </c>
    </row>
    <row r="3067" spans="1:11" ht="15.75" hidden="1" customHeight="1">
      <c r="A3067" s="133" t="s">
        <v>7</v>
      </c>
      <c r="B3067" s="133" t="s">
        <v>3543</v>
      </c>
      <c r="C3067" s="133" t="s">
        <v>1333</v>
      </c>
      <c r="D3067" s="133" t="s">
        <v>477</v>
      </c>
      <c r="E3067" s="158">
        <v>100</v>
      </c>
      <c r="F3067" s="158">
        <v>0</v>
      </c>
      <c r="G3067" s="158">
        <v>0</v>
      </c>
      <c r="H3067" s="133" t="s">
        <v>1648</v>
      </c>
      <c r="I3067" s="133" t="s">
        <v>548</v>
      </c>
      <c r="J3067" s="158">
        <v>0</v>
      </c>
      <c r="K3067" s="159" t="str">
        <f ca="1">IFERROR(__xludf.DUMMYFUNCTION("GOOGLETRANSLATE(H3067,""th"",""en"")"),"Trial")</f>
        <v>Trial</v>
      </c>
    </row>
    <row r="3068" spans="1:11" ht="15.75" hidden="1" customHeight="1">
      <c r="A3068" s="133" t="s">
        <v>7</v>
      </c>
      <c r="B3068" s="133" t="s">
        <v>3543</v>
      </c>
      <c r="C3068" s="133" t="s">
        <v>1334</v>
      </c>
      <c r="D3068" s="133" t="s">
        <v>477</v>
      </c>
      <c r="E3068" s="158">
        <v>8</v>
      </c>
      <c r="F3068" s="158">
        <v>0</v>
      </c>
      <c r="G3068" s="158">
        <v>0</v>
      </c>
      <c r="H3068" s="133" t="s">
        <v>1648</v>
      </c>
      <c r="I3068" s="133" t="s">
        <v>548</v>
      </c>
      <c r="J3068" s="158">
        <v>0</v>
      </c>
      <c r="K3068" s="159" t="str">
        <f ca="1">IFERROR(__xludf.DUMMYFUNCTION("GOOGLETRANSLATE(H3068,""th"",""en"")"),"Trial")</f>
        <v>Trial</v>
      </c>
    </row>
    <row r="3069" spans="1:11" ht="15.75" hidden="1" customHeight="1">
      <c r="A3069" s="133" t="s">
        <v>7</v>
      </c>
      <c r="B3069" s="133" t="s">
        <v>3543</v>
      </c>
      <c r="C3069" s="133" t="s">
        <v>184</v>
      </c>
      <c r="D3069" s="133" t="s">
        <v>538</v>
      </c>
      <c r="E3069" s="158">
        <v>8</v>
      </c>
      <c r="F3069" s="158">
        <v>23</v>
      </c>
      <c r="G3069" s="158">
        <v>3</v>
      </c>
      <c r="H3069" s="133" t="s">
        <v>1648</v>
      </c>
      <c r="I3069" s="133" t="s">
        <v>1284</v>
      </c>
      <c r="J3069" s="158">
        <v>0</v>
      </c>
      <c r="K3069" s="159" t="str">
        <f ca="1">IFERROR(__xludf.DUMMYFUNCTION("GOOGLETRANSLATE(H3069,""th"",""en"")"),"Trial")</f>
        <v>Trial</v>
      </c>
    </row>
    <row r="3070" spans="1:11" ht="15.75" hidden="1" customHeight="1">
      <c r="A3070" s="133" t="s">
        <v>7</v>
      </c>
      <c r="B3070" s="133" t="s">
        <v>3543</v>
      </c>
      <c r="C3070" s="133" t="s">
        <v>1335</v>
      </c>
      <c r="D3070" s="133" t="s">
        <v>477</v>
      </c>
      <c r="E3070" s="158">
        <v>100</v>
      </c>
      <c r="F3070" s="158">
        <v>0</v>
      </c>
      <c r="G3070" s="158">
        <v>0</v>
      </c>
      <c r="H3070" s="133" t="s">
        <v>1648</v>
      </c>
      <c r="I3070" s="133" t="s">
        <v>548</v>
      </c>
      <c r="J3070" s="158">
        <v>0</v>
      </c>
      <c r="K3070" s="159" t="str">
        <f ca="1">IFERROR(__xludf.DUMMYFUNCTION("GOOGLETRANSLATE(H3070,""th"",""en"")"),"Trial")</f>
        <v>Trial</v>
      </c>
    </row>
    <row r="3071" spans="1:11" ht="15.75" hidden="1" customHeight="1">
      <c r="A3071" s="133" t="s">
        <v>7</v>
      </c>
      <c r="B3071" s="133" t="s">
        <v>3543</v>
      </c>
      <c r="C3071" s="133" t="s">
        <v>1336</v>
      </c>
      <c r="D3071" s="133" t="s">
        <v>477</v>
      </c>
      <c r="E3071" s="158">
        <v>8</v>
      </c>
      <c r="F3071" s="158">
        <v>0</v>
      </c>
      <c r="G3071" s="158">
        <v>0</v>
      </c>
      <c r="H3071" s="133" t="s">
        <v>1648</v>
      </c>
      <c r="I3071" s="133" t="s">
        <v>548</v>
      </c>
      <c r="J3071" s="158">
        <v>0</v>
      </c>
      <c r="K3071" s="159" t="str">
        <f ca="1">IFERROR(__xludf.DUMMYFUNCTION("GOOGLETRANSLATE(H3071,""th"",""en"")"),"Trial")</f>
        <v>Trial</v>
      </c>
    </row>
    <row r="3072" spans="1:11" ht="15.75" hidden="1" customHeight="1">
      <c r="A3072" s="133" t="s">
        <v>7</v>
      </c>
      <c r="B3072" s="133" t="s">
        <v>3543</v>
      </c>
      <c r="C3072" s="133" t="s">
        <v>175</v>
      </c>
      <c r="D3072" s="133" t="s">
        <v>538</v>
      </c>
      <c r="E3072" s="158">
        <v>8</v>
      </c>
      <c r="F3072" s="158">
        <v>23</v>
      </c>
      <c r="G3072" s="158">
        <v>3</v>
      </c>
      <c r="H3072" s="133" t="s">
        <v>1648</v>
      </c>
      <c r="I3072" s="133" t="s">
        <v>1284</v>
      </c>
      <c r="J3072" s="158">
        <v>0</v>
      </c>
      <c r="K3072" s="159" t="str">
        <f ca="1">IFERROR(__xludf.DUMMYFUNCTION("GOOGLETRANSLATE(H3072,""th"",""en"")"),"Trial")</f>
        <v>Trial</v>
      </c>
    </row>
    <row r="3073" spans="1:14" ht="15.75" hidden="1" customHeight="1">
      <c r="A3073" s="133" t="s">
        <v>7</v>
      </c>
      <c r="B3073" s="133" t="s">
        <v>3543</v>
      </c>
      <c r="C3073" s="133" t="s">
        <v>1872</v>
      </c>
      <c r="D3073" s="133" t="s">
        <v>477</v>
      </c>
      <c r="E3073" s="158">
        <v>8</v>
      </c>
      <c r="F3073" s="158">
        <v>0</v>
      </c>
      <c r="G3073" s="158">
        <v>0</v>
      </c>
      <c r="H3073" s="133" t="s">
        <v>3540</v>
      </c>
      <c r="I3073" s="133" t="s">
        <v>548</v>
      </c>
      <c r="J3073" s="277">
        <v>1</v>
      </c>
      <c r="K3073" s="159" t="str">
        <f ca="1">IFERROR(__xludf.DUMMYFUNCTION("GOOGLETRANSLATE(H3073,""th"",""en"")"),"Team leader")</f>
        <v>Team leader</v>
      </c>
    </row>
    <row r="3074" spans="1:14" ht="15.75" hidden="1" customHeight="1">
      <c r="A3074" s="133" t="s">
        <v>7</v>
      </c>
      <c r="B3074" s="133" t="s">
        <v>3543</v>
      </c>
      <c r="C3074" s="133" t="s">
        <v>3552</v>
      </c>
      <c r="D3074" s="133" t="s">
        <v>477</v>
      </c>
      <c r="E3074" s="158">
        <v>50</v>
      </c>
      <c r="F3074" s="158">
        <v>0</v>
      </c>
      <c r="G3074" s="158">
        <v>0</v>
      </c>
      <c r="H3074" s="133" t="s">
        <v>3553</v>
      </c>
      <c r="I3074" s="133" t="s">
        <v>548</v>
      </c>
      <c r="J3074" s="158">
        <v>0</v>
      </c>
      <c r="K3074" s="159" t="str">
        <f ca="1">IFERROR(__xludf.DUMMYFUNCTION("GOOGLETRANSLATE(H3074,""th"",""en"")"),"User level")</f>
        <v>User level</v>
      </c>
    </row>
    <row r="3075" spans="1:14" ht="15.75" hidden="1" customHeight="1">
      <c r="A3075" s="133" t="s">
        <v>7</v>
      </c>
      <c r="B3075" s="133" t="s">
        <v>3543</v>
      </c>
      <c r="C3075" s="133" t="s">
        <v>3554</v>
      </c>
      <c r="D3075" s="133" t="s">
        <v>477</v>
      </c>
      <c r="E3075" s="158">
        <v>100</v>
      </c>
      <c r="F3075" s="158">
        <v>0</v>
      </c>
      <c r="G3075" s="158">
        <v>0</v>
      </c>
      <c r="H3075" s="133" t="s">
        <v>479</v>
      </c>
      <c r="I3075" s="133" t="s">
        <v>548</v>
      </c>
      <c r="J3075" s="158">
        <v>0</v>
      </c>
      <c r="K3075" s="159" t="str">
        <f ca="1">IFERROR(__xludf.DUMMYFUNCTION("GOOGLETRANSLATE(H3075,""th"",""en"")"),"Null")</f>
        <v>Null</v>
      </c>
    </row>
    <row r="3076" spans="1:14" ht="15.75" hidden="1" customHeight="1">
      <c r="A3076" s="133" t="s">
        <v>7</v>
      </c>
      <c r="B3076" s="133" t="s">
        <v>3543</v>
      </c>
      <c r="C3076" s="133" t="s">
        <v>3555</v>
      </c>
      <c r="D3076" s="133" t="s">
        <v>477</v>
      </c>
      <c r="E3076" s="158">
        <v>20</v>
      </c>
      <c r="F3076" s="158">
        <v>0</v>
      </c>
      <c r="G3076" s="158">
        <v>0</v>
      </c>
      <c r="H3076" s="133" t="s">
        <v>479</v>
      </c>
      <c r="I3076" s="133" t="s">
        <v>548</v>
      </c>
      <c r="J3076" s="158">
        <v>0</v>
      </c>
      <c r="K3076" s="159" t="str">
        <f ca="1">IFERROR(__xludf.DUMMYFUNCTION("GOOGLETRANSLATE(H3076,""th"",""en"")"),"Null")</f>
        <v>Null</v>
      </c>
    </row>
    <row r="3077" spans="1:14" ht="15.75" hidden="1" customHeight="1">
      <c r="A3077" s="133" t="s">
        <v>7</v>
      </c>
      <c r="B3077" s="133" t="s">
        <v>3543</v>
      </c>
      <c r="C3077" s="133" t="s">
        <v>3556</v>
      </c>
      <c r="D3077" s="133" t="s">
        <v>477</v>
      </c>
      <c r="E3077" s="158">
        <v>3</v>
      </c>
      <c r="F3077" s="158">
        <v>0</v>
      </c>
      <c r="G3077" s="158">
        <v>0</v>
      </c>
      <c r="H3077" s="133" t="s">
        <v>3557</v>
      </c>
      <c r="I3077" s="133" t="s">
        <v>2011</v>
      </c>
      <c r="J3077" s="158">
        <v>0</v>
      </c>
      <c r="K3077" s="159" t="str">
        <f ca="1">IFERROR(__xludf.DUMMYFUNCTION("GOOGLETRANSLATE(H3077,""th"",""en"")"),"REQUIRE OTP CODE")</f>
        <v>REQUIRE OTP CODE</v>
      </c>
    </row>
    <row r="3078" spans="1:14" ht="15.75" hidden="1" customHeight="1">
      <c r="A3078" s="161" t="s">
        <v>7</v>
      </c>
      <c r="B3078" s="161" t="s">
        <v>3558</v>
      </c>
      <c r="C3078" s="161" t="s">
        <v>2317</v>
      </c>
      <c r="D3078" s="161" t="s">
        <v>477</v>
      </c>
      <c r="E3078" s="162">
        <v>5</v>
      </c>
      <c r="F3078" s="162">
        <v>0</v>
      </c>
      <c r="G3078" s="162">
        <v>0</v>
      </c>
      <c r="H3078" s="161"/>
      <c r="I3078" s="161"/>
      <c r="J3078" s="162">
        <v>0</v>
      </c>
      <c r="K3078" s="163"/>
      <c r="L3078" s="164" t="s">
        <v>2318</v>
      </c>
      <c r="M3078" s="165"/>
      <c r="N3078" s="165"/>
    </row>
    <row r="3079" spans="1:14" ht="15.75" hidden="1" customHeight="1">
      <c r="A3079" s="133" t="s">
        <v>7</v>
      </c>
      <c r="B3079" s="133" t="s">
        <v>3558</v>
      </c>
      <c r="C3079" s="133" t="s">
        <v>1070</v>
      </c>
      <c r="D3079" s="133" t="s">
        <v>491</v>
      </c>
      <c r="E3079" s="158">
        <v>5</v>
      </c>
      <c r="F3079" s="158">
        <v>0</v>
      </c>
      <c r="G3079" s="158">
        <v>0</v>
      </c>
      <c r="H3079" s="133" t="s">
        <v>479</v>
      </c>
      <c r="I3079" s="133" t="s">
        <v>479</v>
      </c>
      <c r="J3079" s="158">
        <v>0</v>
      </c>
      <c r="K3079" s="159" t="str">
        <f ca="1">IFERROR(__xludf.DUMMYFUNCTION("GOOGLETRANSLATE(H3079,""th"",""en"")"),"Null")</f>
        <v>Null</v>
      </c>
    </row>
    <row r="3080" spans="1:14" ht="15.75" hidden="1" customHeight="1">
      <c r="A3080" s="133" t="s">
        <v>7</v>
      </c>
      <c r="B3080" s="133" t="s">
        <v>3558</v>
      </c>
      <c r="C3080" s="133" t="s">
        <v>3559</v>
      </c>
      <c r="D3080" s="133" t="s">
        <v>484</v>
      </c>
      <c r="E3080" s="158">
        <v>4</v>
      </c>
      <c r="F3080" s="158">
        <v>10</v>
      </c>
      <c r="G3080" s="158">
        <v>0</v>
      </c>
      <c r="H3080" s="133" t="s">
        <v>479</v>
      </c>
      <c r="I3080" s="133" t="s">
        <v>479</v>
      </c>
      <c r="J3080" s="158">
        <v>1</v>
      </c>
      <c r="K3080" s="159" t="str">
        <f ca="1">IFERROR(__xludf.DUMMYFUNCTION("GOOGLETRANSLATE(H3080,""th"",""en"")"),"Null")</f>
        <v>Null</v>
      </c>
    </row>
    <row r="3081" spans="1:14" ht="15.75" hidden="1" customHeight="1">
      <c r="A3081" s="133" t="s">
        <v>7</v>
      </c>
      <c r="B3081" s="133" t="s">
        <v>3558</v>
      </c>
      <c r="C3081" s="133" t="s">
        <v>3560</v>
      </c>
      <c r="D3081" s="133" t="s">
        <v>538</v>
      </c>
      <c r="E3081" s="158">
        <v>8</v>
      </c>
      <c r="F3081" s="158">
        <v>23</v>
      </c>
      <c r="G3081" s="158">
        <v>3</v>
      </c>
      <c r="H3081" s="133" t="s">
        <v>3561</v>
      </c>
      <c r="I3081" s="133" t="s">
        <v>548</v>
      </c>
      <c r="J3081" s="158">
        <v>0</v>
      </c>
      <c r="K3081" s="159" t="str">
        <f ca="1">IFERROR(__xludf.DUMMYFUNCTION("GOOGLETRANSLATE(H3081,""th"",""en"")"),"Date of change Company name")</f>
        <v>Date of change Company name</v>
      </c>
    </row>
    <row r="3082" spans="1:14" ht="15.75" hidden="1" customHeight="1">
      <c r="A3082" s="133" t="s">
        <v>7</v>
      </c>
      <c r="B3082" s="133" t="s">
        <v>3558</v>
      </c>
      <c r="C3082" s="133" t="s">
        <v>383</v>
      </c>
      <c r="D3082" s="133" t="s">
        <v>1796</v>
      </c>
      <c r="E3082" s="158">
        <v>16</v>
      </c>
      <c r="F3082" s="158">
        <v>0</v>
      </c>
      <c r="G3082" s="158">
        <v>0</v>
      </c>
      <c r="H3082" s="133" t="s">
        <v>479</v>
      </c>
      <c r="I3082" s="133" t="s">
        <v>479</v>
      </c>
      <c r="J3082" s="158">
        <v>0</v>
      </c>
      <c r="K3082" s="159" t="str">
        <f ca="1">IFERROR(__xludf.DUMMYFUNCTION("GOOGLETRANSLATE(H3082,""th"",""en"")"),"Null")</f>
        <v>Null</v>
      </c>
    </row>
    <row r="3083" spans="1:14" ht="15.75" hidden="1" customHeight="1">
      <c r="A3083" s="133" t="s">
        <v>7</v>
      </c>
      <c r="B3083" s="133" t="s">
        <v>3558</v>
      </c>
      <c r="C3083" s="133" t="s">
        <v>3562</v>
      </c>
      <c r="D3083" s="133" t="s">
        <v>477</v>
      </c>
      <c r="E3083" s="158">
        <v>200</v>
      </c>
      <c r="F3083" s="158">
        <v>0</v>
      </c>
      <c r="G3083" s="158">
        <v>0</v>
      </c>
      <c r="H3083" s="133" t="s">
        <v>3563</v>
      </c>
      <c r="I3083" s="133" t="s">
        <v>479</v>
      </c>
      <c r="J3083" s="158">
        <v>1</v>
      </c>
      <c r="K3083" s="159" t="str">
        <f ca="1">IFERROR(__xludf.DUMMYFUNCTION("GOOGLETRANSLATE(H3083,""th"",""en"")"),"Company address")</f>
        <v>Company address</v>
      </c>
    </row>
    <row r="3084" spans="1:14" ht="15.75" hidden="1" customHeight="1">
      <c r="A3084" s="133" t="s">
        <v>7</v>
      </c>
      <c r="B3084" s="133" t="s">
        <v>3558</v>
      </c>
      <c r="C3084" s="133" t="s">
        <v>3564</v>
      </c>
      <c r="D3084" s="133" t="s">
        <v>477</v>
      </c>
      <c r="E3084" s="158">
        <v>200</v>
      </c>
      <c r="F3084" s="158">
        <v>0</v>
      </c>
      <c r="G3084" s="158">
        <v>0</v>
      </c>
      <c r="H3084" s="133" t="s">
        <v>479</v>
      </c>
      <c r="I3084" s="133" t="s">
        <v>548</v>
      </c>
      <c r="J3084" s="158">
        <v>0</v>
      </c>
      <c r="K3084" s="159" t="str">
        <f ca="1">IFERROR(__xludf.DUMMYFUNCTION("GOOGLETRANSLATE(H3084,""th"",""en"")"),"Null")</f>
        <v>Null</v>
      </c>
    </row>
    <row r="3085" spans="1:14" ht="15.75" hidden="1" customHeight="1">
      <c r="A3085" s="133" t="s">
        <v>7</v>
      </c>
      <c r="B3085" s="133" t="s">
        <v>3558</v>
      </c>
      <c r="C3085" s="133" t="s">
        <v>3565</v>
      </c>
      <c r="D3085" s="133" t="s">
        <v>477</v>
      </c>
      <c r="E3085" s="158">
        <v>200</v>
      </c>
      <c r="F3085" s="158">
        <v>0</v>
      </c>
      <c r="G3085" s="158">
        <v>0</v>
      </c>
      <c r="H3085" s="133" t="s">
        <v>3566</v>
      </c>
      <c r="I3085" s="133" t="s">
        <v>479</v>
      </c>
      <c r="J3085" s="158">
        <v>1</v>
      </c>
      <c r="K3085" s="159" t="str">
        <f ca="1">IFERROR(__xludf.DUMMYFUNCTION("GOOGLETRANSLATE(H3085,""th"",""en"")"),"Fax Company")</f>
        <v>Fax Company</v>
      </c>
    </row>
    <row r="3086" spans="1:14" ht="15.75" hidden="1" customHeight="1">
      <c r="A3086" s="133" t="s">
        <v>7</v>
      </c>
      <c r="B3086" s="133" t="s">
        <v>3558</v>
      </c>
      <c r="C3086" s="133" t="s">
        <v>3567</v>
      </c>
      <c r="D3086" s="133" t="s">
        <v>477</v>
      </c>
      <c r="E3086" s="158">
        <v>200</v>
      </c>
      <c r="F3086" s="158">
        <v>0</v>
      </c>
      <c r="G3086" s="158">
        <v>0</v>
      </c>
      <c r="H3086" s="133" t="s">
        <v>3568</v>
      </c>
      <c r="I3086" s="133" t="s">
        <v>479</v>
      </c>
      <c r="J3086" s="158">
        <v>1</v>
      </c>
      <c r="K3086" s="159" t="str">
        <f ca="1">IFERROR(__xludf.DUMMYFUNCTION("GOOGLETRANSLATE(H3086,""th"",""en"")"),"English company name")</f>
        <v>English company name</v>
      </c>
    </row>
    <row r="3087" spans="1:14" ht="15.75" hidden="1" customHeight="1">
      <c r="A3087" s="133" t="s">
        <v>7</v>
      </c>
      <c r="B3087" s="133" t="s">
        <v>3558</v>
      </c>
      <c r="C3087" s="133" t="s">
        <v>3569</v>
      </c>
      <c r="D3087" s="133" t="s">
        <v>477</v>
      </c>
      <c r="E3087" s="158">
        <v>200</v>
      </c>
      <c r="F3087" s="158">
        <v>0</v>
      </c>
      <c r="G3087" s="158">
        <v>0</v>
      </c>
      <c r="H3087" s="133" t="s">
        <v>3570</v>
      </c>
      <c r="I3087" s="133" t="s">
        <v>479</v>
      </c>
      <c r="J3087" s="158">
        <v>1</v>
      </c>
      <c r="K3087" s="159" t="str">
        <f ca="1">IFERROR(__xludf.DUMMYFUNCTION("GOOGLETRANSLATE(H3087,""th"",""en"")"),"Thai Company Name")</f>
        <v>Thai Company Name</v>
      </c>
    </row>
    <row r="3088" spans="1:14" ht="15.75" hidden="1" customHeight="1">
      <c r="A3088" s="133" t="s">
        <v>7</v>
      </c>
      <c r="B3088" s="133" t="s">
        <v>3558</v>
      </c>
      <c r="C3088" s="133" t="s">
        <v>3571</v>
      </c>
      <c r="D3088" s="133" t="s">
        <v>477</v>
      </c>
      <c r="E3088" s="158">
        <v>200</v>
      </c>
      <c r="F3088" s="158">
        <v>0</v>
      </c>
      <c r="G3088" s="158">
        <v>0</v>
      </c>
      <c r="H3088" s="133" t="s">
        <v>3572</v>
      </c>
      <c r="I3088" s="133" t="s">
        <v>479</v>
      </c>
      <c r="J3088" s="158">
        <v>1</v>
      </c>
      <c r="K3088" s="159" t="str">
        <f ca="1">IFERROR(__xludf.DUMMYFUNCTION("GOOGLETRANSLATE(H3088,""th"",""en"")"),"Company phone number")</f>
        <v>Company phone number</v>
      </c>
    </row>
    <row r="3089" spans="1:11" ht="15.75" hidden="1" customHeight="1">
      <c r="A3089" s="133" t="s">
        <v>7</v>
      </c>
      <c r="B3089" s="133" t="s">
        <v>3558</v>
      </c>
      <c r="C3089" s="133" t="s">
        <v>523</v>
      </c>
      <c r="D3089" s="133" t="s">
        <v>1796</v>
      </c>
      <c r="E3089" s="158">
        <v>16</v>
      </c>
      <c r="F3089" s="158">
        <v>0</v>
      </c>
      <c r="G3089" s="158">
        <v>0</v>
      </c>
      <c r="H3089" s="133" t="s">
        <v>479</v>
      </c>
      <c r="I3089" s="133" t="s">
        <v>479</v>
      </c>
      <c r="J3089" s="158">
        <v>1</v>
      </c>
      <c r="K3089" s="159" t="str">
        <f ca="1">IFERROR(__xludf.DUMMYFUNCTION("GOOGLETRANSLATE(H3089,""th"",""en"")"),"Null")</f>
        <v>Null</v>
      </c>
    </row>
    <row r="3090" spans="1:11" ht="15.75" hidden="1" customHeight="1">
      <c r="A3090" s="133" t="s">
        <v>7</v>
      </c>
      <c r="B3090" s="133" t="s">
        <v>3558</v>
      </c>
      <c r="C3090" s="133" t="s">
        <v>669</v>
      </c>
      <c r="D3090" s="133" t="s">
        <v>538</v>
      </c>
      <c r="E3090" s="158">
        <v>8</v>
      </c>
      <c r="F3090" s="158">
        <v>23</v>
      </c>
      <c r="G3090" s="158">
        <v>3</v>
      </c>
      <c r="H3090" s="133" t="s">
        <v>479</v>
      </c>
      <c r="I3090" s="133" t="s">
        <v>479</v>
      </c>
      <c r="J3090" s="158">
        <v>1</v>
      </c>
      <c r="K3090" s="159" t="str">
        <f ca="1">IFERROR(__xludf.DUMMYFUNCTION("GOOGLETRANSLATE(H3090,""th"",""en"")"),"Null")</f>
        <v>Null</v>
      </c>
    </row>
    <row r="3091" spans="1:11" ht="15.75" hidden="1" customHeight="1">
      <c r="A3091" s="133" t="s">
        <v>7</v>
      </c>
      <c r="B3091" s="133" t="s">
        <v>3558</v>
      </c>
      <c r="C3091" s="133" t="s">
        <v>3573</v>
      </c>
      <c r="D3091" s="133" t="s">
        <v>538</v>
      </c>
      <c r="E3091" s="158">
        <v>8</v>
      </c>
      <c r="F3091" s="158">
        <v>23</v>
      </c>
      <c r="G3091" s="158">
        <v>3</v>
      </c>
      <c r="H3091" s="133" t="s">
        <v>479</v>
      </c>
      <c r="I3091" s="133" t="s">
        <v>479</v>
      </c>
      <c r="J3091" s="158">
        <v>1</v>
      </c>
      <c r="K3091" s="159" t="str">
        <f ca="1">IFERROR(__xludf.DUMMYFUNCTION("GOOGLETRANSLATE(H3091,""th"",""en"")"),"Null")</f>
        <v>Null</v>
      </c>
    </row>
    <row r="3092" spans="1:11" ht="15.75" hidden="1" customHeight="1">
      <c r="A3092" s="133" t="s">
        <v>7</v>
      </c>
      <c r="B3092" s="133" t="s">
        <v>3558</v>
      </c>
      <c r="C3092" s="133" t="s">
        <v>3574</v>
      </c>
      <c r="D3092" s="133" t="s">
        <v>538</v>
      </c>
      <c r="E3092" s="158">
        <v>8</v>
      </c>
      <c r="F3092" s="158">
        <v>23</v>
      </c>
      <c r="G3092" s="158">
        <v>3</v>
      </c>
      <c r="H3092" s="133" t="s">
        <v>3575</v>
      </c>
      <c r="I3092" s="133" t="s">
        <v>548</v>
      </c>
      <c r="J3092" s="158">
        <v>0</v>
      </c>
      <c r="K3092" s="159" t="str">
        <f ca="1">IFERROR(__xludf.DUMMYFUNCTION("GOOGLETRANSLATE(H3092,""th"",""en"")"),"Date on the current working day to issue documents")</f>
        <v>Date on the current working day to issue documents</v>
      </c>
    </row>
    <row r="3093" spans="1:11" ht="15.75" hidden="1" customHeight="1">
      <c r="A3093" s="133" t="s">
        <v>7</v>
      </c>
      <c r="B3093" s="133" t="s">
        <v>3558</v>
      </c>
      <c r="C3093" s="133" t="s">
        <v>3576</v>
      </c>
      <c r="D3093" s="133" t="s">
        <v>1796</v>
      </c>
      <c r="E3093" s="158">
        <v>12</v>
      </c>
      <c r="F3093" s="158">
        <v>0</v>
      </c>
      <c r="G3093" s="158">
        <v>0</v>
      </c>
      <c r="H3093" s="133" t="s">
        <v>479</v>
      </c>
      <c r="I3093" s="133" t="s">
        <v>479</v>
      </c>
      <c r="J3093" s="158">
        <v>1</v>
      </c>
      <c r="K3093" s="159" t="str">
        <f ca="1">IFERROR(__xludf.DUMMYFUNCTION("GOOGLETRANSLATE(H3093,""th"",""en"")"),"Null")</f>
        <v>Null</v>
      </c>
    </row>
    <row r="3094" spans="1:11" ht="15.75" hidden="1" customHeight="1">
      <c r="A3094" s="133" t="s">
        <v>7</v>
      </c>
      <c r="B3094" s="133" t="s">
        <v>3558</v>
      </c>
      <c r="C3094" s="133" t="s">
        <v>3577</v>
      </c>
      <c r="D3094" s="133" t="s">
        <v>978</v>
      </c>
      <c r="E3094" s="158">
        <v>2</v>
      </c>
      <c r="F3094" s="158">
        <v>5</v>
      </c>
      <c r="G3094" s="158">
        <v>0</v>
      </c>
      <c r="H3094" s="133" t="s">
        <v>479</v>
      </c>
      <c r="I3094" s="133" t="s">
        <v>479</v>
      </c>
      <c r="J3094" s="158">
        <v>1</v>
      </c>
      <c r="K3094" s="159" t="str">
        <f ca="1">IFERROR(__xludf.DUMMYFUNCTION("GOOGLETRANSLATE(H3094,""th"",""en"")"),"Null")</f>
        <v>Null</v>
      </c>
    </row>
    <row r="3095" spans="1:11" ht="15.75" hidden="1" customHeight="1">
      <c r="A3095" s="133" t="s">
        <v>7</v>
      </c>
      <c r="B3095" s="133" t="s">
        <v>3558</v>
      </c>
      <c r="C3095" s="133" t="s">
        <v>3578</v>
      </c>
      <c r="D3095" s="133" t="s">
        <v>1796</v>
      </c>
      <c r="E3095" s="158">
        <v>4</v>
      </c>
      <c r="F3095" s="158">
        <v>0</v>
      </c>
      <c r="G3095" s="158">
        <v>0</v>
      </c>
      <c r="H3095" s="133" t="s">
        <v>479</v>
      </c>
      <c r="I3095" s="133" t="s">
        <v>479</v>
      </c>
      <c r="J3095" s="158">
        <v>1</v>
      </c>
      <c r="K3095" s="159" t="str">
        <f ca="1">IFERROR(__xludf.DUMMYFUNCTION("GOOGLETRANSLATE(H3095,""th"",""en"")"),"Null")</f>
        <v>Null</v>
      </c>
    </row>
    <row r="3096" spans="1:11" ht="15.75" hidden="1" customHeight="1">
      <c r="A3096" s="133" t="s">
        <v>7</v>
      </c>
      <c r="B3096" s="133" t="s">
        <v>3558</v>
      </c>
      <c r="C3096" s="133" t="s">
        <v>3579</v>
      </c>
      <c r="D3096" s="133" t="s">
        <v>1796</v>
      </c>
      <c r="E3096" s="158">
        <v>6</v>
      </c>
      <c r="F3096" s="158">
        <v>0</v>
      </c>
      <c r="G3096" s="158">
        <v>0</v>
      </c>
      <c r="H3096" s="133" t="s">
        <v>479</v>
      </c>
      <c r="I3096" s="133" t="s">
        <v>479</v>
      </c>
      <c r="J3096" s="158">
        <v>1</v>
      </c>
      <c r="K3096" s="159" t="str">
        <f ca="1">IFERROR(__xludf.DUMMYFUNCTION("GOOGLETRANSLATE(H3096,""th"",""en"")"),"Null")</f>
        <v>Null</v>
      </c>
    </row>
    <row r="3097" spans="1:11" ht="15.75" hidden="1" customHeight="1">
      <c r="A3097" s="133" t="s">
        <v>7</v>
      </c>
      <c r="B3097" s="133" t="s">
        <v>3558</v>
      </c>
      <c r="C3097" s="133" t="s">
        <v>3580</v>
      </c>
      <c r="D3097" s="133" t="s">
        <v>1796</v>
      </c>
      <c r="E3097" s="158">
        <v>60</v>
      </c>
      <c r="F3097" s="158">
        <v>0</v>
      </c>
      <c r="G3097" s="158">
        <v>0</v>
      </c>
      <c r="H3097" s="133" t="s">
        <v>479</v>
      </c>
      <c r="I3097" s="133" t="s">
        <v>479</v>
      </c>
      <c r="J3097" s="158">
        <v>1</v>
      </c>
      <c r="K3097" s="159" t="str">
        <f ca="1">IFERROR(__xludf.DUMMYFUNCTION("GOOGLETRANSLATE(H3097,""th"",""en"")"),"Null")</f>
        <v>Null</v>
      </c>
    </row>
    <row r="3098" spans="1:11" ht="15.75" hidden="1" customHeight="1">
      <c r="A3098" s="133" t="s">
        <v>7</v>
      </c>
      <c r="B3098" s="133" t="s">
        <v>3558</v>
      </c>
      <c r="C3098" s="133" t="s">
        <v>3581</v>
      </c>
      <c r="D3098" s="133" t="s">
        <v>477</v>
      </c>
      <c r="E3098" s="158">
        <v>50</v>
      </c>
      <c r="F3098" s="158">
        <v>0</v>
      </c>
      <c r="G3098" s="158">
        <v>0</v>
      </c>
      <c r="H3098" s="133" t="s">
        <v>3581</v>
      </c>
      <c r="I3098" s="133" t="s">
        <v>3582</v>
      </c>
      <c r="J3098" s="158">
        <v>0</v>
      </c>
      <c r="K3098" s="159" t="str">
        <f ca="1">IFERROR(__xludf.DUMMYFUNCTION("GOOGLETRANSLATE(H3098,""th"",""en"")"),"GPDBName")</f>
        <v>GPDBName</v>
      </c>
    </row>
    <row r="3099" spans="1:11" ht="15.75" hidden="1" customHeight="1">
      <c r="A3099" s="133" t="s">
        <v>7</v>
      </c>
      <c r="B3099" s="133" t="s">
        <v>3558</v>
      </c>
      <c r="C3099" s="133" t="s">
        <v>3583</v>
      </c>
      <c r="D3099" s="133" t="s">
        <v>477</v>
      </c>
      <c r="E3099" s="158">
        <v>50</v>
      </c>
      <c r="F3099" s="158">
        <v>0</v>
      </c>
      <c r="G3099" s="158">
        <v>0</v>
      </c>
      <c r="H3099" s="133" t="s">
        <v>3583</v>
      </c>
      <c r="I3099" s="133" t="s">
        <v>3584</v>
      </c>
      <c r="J3099" s="158">
        <v>0</v>
      </c>
      <c r="K3099" s="159" t="str">
        <f ca="1">IFERROR(__xludf.DUMMYFUNCTION("GOOGLETRANSLATE(H3099,""th"",""en"")"),"GPPASSWORD")</f>
        <v>GPPASSWORD</v>
      </c>
    </row>
    <row r="3100" spans="1:11" ht="15.75" hidden="1" customHeight="1">
      <c r="A3100" s="133" t="s">
        <v>7</v>
      </c>
      <c r="B3100" s="133" t="s">
        <v>3558</v>
      </c>
      <c r="C3100" s="133" t="s">
        <v>3585</v>
      </c>
      <c r="D3100" s="133" t="s">
        <v>477</v>
      </c>
      <c r="E3100" s="158">
        <v>50</v>
      </c>
      <c r="F3100" s="158">
        <v>0</v>
      </c>
      <c r="G3100" s="158">
        <v>0</v>
      </c>
      <c r="H3100" s="133" t="s">
        <v>3585</v>
      </c>
      <c r="I3100" s="133" t="s">
        <v>3586</v>
      </c>
      <c r="J3100" s="158">
        <v>0</v>
      </c>
      <c r="K3100" s="159" t="str">
        <f ca="1">IFERROR(__xludf.DUMMYFUNCTION("GOOGLETRANSLATE(H3100,""th"",""en"")"),"GPSERVERNAME")</f>
        <v>GPSERVERNAME</v>
      </c>
    </row>
    <row r="3101" spans="1:11" ht="15.75" hidden="1" customHeight="1">
      <c r="A3101" s="133" t="s">
        <v>7</v>
      </c>
      <c r="B3101" s="133" t="s">
        <v>3558</v>
      </c>
      <c r="C3101" s="133" t="s">
        <v>3587</v>
      </c>
      <c r="D3101" s="133" t="s">
        <v>477</v>
      </c>
      <c r="E3101" s="158">
        <v>50</v>
      </c>
      <c r="F3101" s="158">
        <v>0</v>
      </c>
      <c r="G3101" s="158">
        <v>0</v>
      </c>
      <c r="H3101" s="133" t="s">
        <v>3587</v>
      </c>
      <c r="I3101" s="133" t="s">
        <v>3588</v>
      </c>
      <c r="J3101" s="158">
        <v>0</v>
      </c>
      <c r="K3101" s="159" t="str">
        <f ca="1">IFERROR(__xludf.DUMMYFUNCTION("GOOGLETRANSLATE(H3101,""th"",""en"")"),"GPUSERNAME")</f>
        <v>GPUSERNAME</v>
      </c>
    </row>
    <row r="3102" spans="1:11" ht="15.75" hidden="1" customHeight="1">
      <c r="A3102" s="133" t="s">
        <v>7</v>
      </c>
      <c r="B3102" s="133" t="s">
        <v>3558</v>
      </c>
      <c r="C3102" s="133" t="s">
        <v>3589</v>
      </c>
      <c r="D3102" s="133" t="s">
        <v>978</v>
      </c>
      <c r="E3102" s="158">
        <v>2</v>
      </c>
      <c r="F3102" s="158">
        <v>5</v>
      </c>
      <c r="G3102" s="158">
        <v>0</v>
      </c>
      <c r="H3102" s="133" t="s">
        <v>479</v>
      </c>
      <c r="I3102" s="133" t="s">
        <v>479</v>
      </c>
      <c r="J3102" s="158">
        <v>1</v>
      </c>
      <c r="K3102" s="159" t="str">
        <f ca="1">IFERROR(__xludf.DUMMYFUNCTION("GOOGLETRANSLATE(H3102,""th"",""en"")"),"Null")</f>
        <v>Null</v>
      </c>
    </row>
    <row r="3103" spans="1:11" ht="15.75" hidden="1" customHeight="1">
      <c r="A3103" s="133" t="s">
        <v>7</v>
      </c>
      <c r="B3103" s="133" t="s">
        <v>3558</v>
      </c>
      <c r="C3103" s="133" t="s">
        <v>3590</v>
      </c>
      <c r="D3103" s="133" t="s">
        <v>1796</v>
      </c>
      <c r="E3103" s="158">
        <v>2</v>
      </c>
      <c r="F3103" s="158">
        <v>0</v>
      </c>
      <c r="G3103" s="158">
        <v>0</v>
      </c>
      <c r="H3103" s="133" t="s">
        <v>479</v>
      </c>
      <c r="I3103" s="133" t="s">
        <v>479</v>
      </c>
      <c r="J3103" s="158">
        <v>1</v>
      </c>
      <c r="K3103" s="159" t="str">
        <f ca="1">IFERROR(__xludf.DUMMYFUNCTION("GOOGLETRANSLATE(H3103,""th"",""en"")"),"Null")</f>
        <v>Null</v>
      </c>
    </row>
    <row r="3104" spans="1:11" ht="15.75" hidden="1" customHeight="1">
      <c r="A3104" s="133" t="s">
        <v>7</v>
      </c>
      <c r="B3104" s="133" t="s">
        <v>3558</v>
      </c>
      <c r="C3104" s="133" t="s">
        <v>3591</v>
      </c>
      <c r="D3104" s="133" t="s">
        <v>1796</v>
      </c>
      <c r="E3104" s="158">
        <v>2</v>
      </c>
      <c r="F3104" s="158">
        <v>0</v>
      </c>
      <c r="G3104" s="158">
        <v>0</v>
      </c>
      <c r="H3104" s="133" t="s">
        <v>479</v>
      </c>
      <c r="I3104" s="133" t="s">
        <v>479</v>
      </c>
      <c r="J3104" s="158">
        <v>1</v>
      </c>
      <c r="K3104" s="159" t="str">
        <f ca="1">IFERROR(__xludf.DUMMYFUNCTION("GOOGLETRANSLATE(H3104,""th"",""en"")"),"Null")</f>
        <v>Null</v>
      </c>
    </row>
    <row r="3105" spans="1:11" ht="15.75" hidden="1" customHeight="1">
      <c r="A3105" s="133" t="s">
        <v>7</v>
      </c>
      <c r="B3105" s="133" t="s">
        <v>3558</v>
      </c>
      <c r="C3105" s="133" t="s">
        <v>3592</v>
      </c>
      <c r="D3105" s="133" t="s">
        <v>477</v>
      </c>
      <c r="E3105" s="158">
        <v>1</v>
      </c>
      <c r="F3105" s="158">
        <v>0</v>
      </c>
      <c r="G3105" s="158">
        <v>0</v>
      </c>
      <c r="H3105" s="133" t="s">
        <v>479</v>
      </c>
      <c r="I3105" s="133" t="s">
        <v>479</v>
      </c>
      <c r="J3105" s="158">
        <v>1</v>
      </c>
      <c r="K3105" s="159" t="str">
        <f ca="1">IFERROR(__xludf.DUMMYFUNCTION("GOOGLETRANSLATE(H3105,""th"",""en"")"),"Null")</f>
        <v>Null</v>
      </c>
    </row>
    <row r="3106" spans="1:11" ht="15.75" hidden="1" customHeight="1">
      <c r="A3106" s="133" t="s">
        <v>7</v>
      </c>
      <c r="B3106" s="133" t="s">
        <v>3558</v>
      </c>
      <c r="C3106" s="133" t="s">
        <v>3593</v>
      </c>
      <c r="D3106" s="133" t="s">
        <v>477</v>
      </c>
      <c r="E3106" s="158">
        <v>1</v>
      </c>
      <c r="F3106" s="158">
        <v>0</v>
      </c>
      <c r="G3106" s="158">
        <v>0</v>
      </c>
      <c r="H3106" s="133" t="s">
        <v>479</v>
      </c>
      <c r="I3106" s="133" t="s">
        <v>479</v>
      </c>
      <c r="J3106" s="158">
        <v>1</v>
      </c>
      <c r="K3106" s="159" t="str">
        <f ca="1">IFERROR(__xludf.DUMMYFUNCTION("GOOGLETRANSLATE(H3106,""th"",""en"")"),"Null")</f>
        <v>Null</v>
      </c>
    </row>
    <row r="3107" spans="1:11" ht="15.75" hidden="1" customHeight="1">
      <c r="A3107" s="133" t="s">
        <v>7</v>
      </c>
      <c r="B3107" s="133" t="s">
        <v>3558</v>
      </c>
      <c r="C3107" s="133" t="s">
        <v>3594</v>
      </c>
      <c r="D3107" s="133" t="s">
        <v>477</v>
      </c>
      <c r="E3107" s="158">
        <v>1</v>
      </c>
      <c r="F3107" s="158">
        <v>0</v>
      </c>
      <c r="G3107" s="158">
        <v>0</v>
      </c>
      <c r="H3107" s="133" t="s">
        <v>479</v>
      </c>
      <c r="I3107" s="133" t="s">
        <v>479</v>
      </c>
      <c r="J3107" s="158">
        <v>1</v>
      </c>
      <c r="K3107" s="159" t="str">
        <f ca="1">IFERROR(__xludf.DUMMYFUNCTION("GOOGLETRANSLATE(H3107,""th"",""en"")"),"Null")</f>
        <v>Null</v>
      </c>
    </row>
    <row r="3108" spans="1:11" ht="15.75" hidden="1" customHeight="1">
      <c r="A3108" s="133" t="s">
        <v>7</v>
      </c>
      <c r="B3108" s="133" t="s">
        <v>3558</v>
      </c>
      <c r="C3108" s="133" t="s">
        <v>3595</v>
      </c>
      <c r="D3108" s="133" t="s">
        <v>477</v>
      </c>
      <c r="E3108" s="158">
        <v>1</v>
      </c>
      <c r="F3108" s="158">
        <v>0</v>
      </c>
      <c r="G3108" s="158">
        <v>0</v>
      </c>
      <c r="H3108" s="133" t="s">
        <v>479</v>
      </c>
      <c r="I3108" s="133" t="s">
        <v>479</v>
      </c>
      <c r="J3108" s="158">
        <v>1</v>
      </c>
      <c r="K3108" s="159" t="str">
        <f ca="1">IFERROR(__xludf.DUMMYFUNCTION("GOOGLETRANSLATE(H3108,""th"",""en"")"),"Null")</f>
        <v>Null</v>
      </c>
    </row>
    <row r="3109" spans="1:11" ht="15.75" hidden="1" customHeight="1">
      <c r="A3109" s="133" t="s">
        <v>7</v>
      </c>
      <c r="B3109" s="133" t="s">
        <v>3558</v>
      </c>
      <c r="C3109" s="133" t="s">
        <v>3596</v>
      </c>
      <c r="D3109" s="133" t="s">
        <v>477</v>
      </c>
      <c r="E3109" s="158">
        <v>100</v>
      </c>
      <c r="F3109" s="158">
        <v>0</v>
      </c>
      <c r="G3109" s="158">
        <v>0</v>
      </c>
      <c r="H3109" s="133" t="s">
        <v>479</v>
      </c>
      <c r="I3109" s="133" t="s">
        <v>479</v>
      </c>
      <c r="J3109" s="158">
        <v>1</v>
      </c>
      <c r="K3109" s="159" t="str">
        <f ca="1">IFERROR(__xludf.DUMMYFUNCTION("GOOGLETRANSLATE(H3109,""th"",""en"")"),"Null")</f>
        <v>Null</v>
      </c>
    </row>
    <row r="3110" spans="1:11" ht="15.75" hidden="1" customHeight="1">
      <c r="A3110" s="133" t="s">
        <v>7</v>
      </c>
      <c r="B3110" s="133" t="s">
        <v>3558</v>
      </c>
      <c r="C3110" s="133" t="s">
        <v>3597</v>
      </c>
      <c r="D3110" s="133" t="s">
        <v>477</v>
      </c>
      <c r="E3110" s="158">
        <v>100</v>
      </c>
      <c r="F3110" s="158">
        <v>0</v>
      </c>
      <c r="G3110" s="158">
        <v>0</v>
      </c>
      <c r="H3110" s="133" t="s">
        <v>479</v>
      </c>
      <c r="I3110" s="133" t="s">
        <v>479</v>
      </c>
      <c r="J3110" s="158">
        <v>1</v>
      </c>
      <c r="K3110" s="159" t="str">
        <f ca="1">IFERROR(__xludf.DUMMYFUNCTION("GOOGLETRANSLATE(H3110,""th"",""en"")"),"Null")</f>
        <v>Null</v>
      </c>
    </row>
    <row r="3111" spans="1:11" ht="15.75" hidden="1" customHeight="1">
      <c r="A3111" s="133" t="s">
        <v>7</v>
      </c>
      <c r="B3111" s="133" t="s">
        <v>3558</v>
      </c>
      <c r="C3111" s="133" t="s">
        <v>3598</v>
      </c>
      <c r="D3111" s="133" t="s">
        <v>477</v>
      </c>
      <c r="E3111" s="158">
        <v>50</v>
      </c>
      <c r="F3111" s="158">
        <v>0</v>
      </c>
      <c r="G3111" s="158">
        <v>0</v>
      </c>
      <c r="H3111" s="133" t="s">
        <v>479</v>
      </c>
      <c r="I3111" s="133" t="s">
        <v>548</v>
      </c>
      <c r="J3111" s="158">
        <v>0</v>
      </c>
      <c r="K3111" s="159" t="str">
        <f ca="1">IFERROR(__xludf.DUMMYFUNCTION("GOOGLETRANSLATE(H3111,""th"",""en"")"),"Null")</f>
        <v>Null</v>
      </c>
    </row>
    <row r="3112" spans="1:11" ht="15.75" hidden="1" customHeight="1">
      <c r="A3112" s="133" t="s">
        <v>7</v>
      </c>
      <c r="B3112" s="133" t="s">
        <v>3558</v>
      </c>
      <c r="C3112" s="133" t="s">
        <v>3599</v>
      </c>
      <c r="D3112" s="133" t="s">
        <v>477</v>
      </c>
      <c r="E3112" s="158">
        <v>50</v>
      </c>
      <c r="F3112" s="158">
        <v>0</v>
      </c>
      <c r="G3112" s="158">
        <v>0</v>
      </c>
      <c r="H3112" s="133" t="s">
        <v>479</v>
      </c>
      <c r="I3112" s="133" t="s">
        <v>548</v>
      </c>
      <c r="J3112" s="158">
        <v>0</v>
      </c>
      <c r="K3112" s="159" t="str">
        <f ca="1">IFERROR(__xludf.DUMMYFUNCTION("GOOGLETRANSLATE(H3112,""th"",""en"")"),"Null")</f>
        <v>Null</v>
      </c>
    </row>
    <row r="3113" spans="1:11" ht="15.75" hidden="1" customHeight="1">
      <c r="A3113" s="133" t="s">
        <v>7</v>
      </c>
      <c r="B3113" s="133" t="s">
        <v>3558</v>
      </c>
      <c r="C3113" s="133" t="s">
        <v>3600</v>
      </c>
      <c r="D3113" s="133" t="s">
        <v>477</v>
      </c>
      <c r="E3113" s="158">
        <v>60</v>
      </c>
      <c r="F3113" s="158">
        <v>0</v>
      </c>
      <c r="G3113" s="158">
        <v>0</v>
      </c>
      <c r="H3113" s="133" t="s">
        <v>479</v>
      </c>
      <c r="I3113" s="133" t="s">
        <v>479</v>
      </c>
      <c r="J3113" s="158">
        <v>1</v>
      </c>
      <c r="K3113" s="159" t="str">
        <f ca="1">IFERROR(__xludf.DUMMYFUNCTION("GOOGLETRANSLATE(H3113,""th"",""en"")"),"Null")</f>
        <v>Null</v>
      </c>
    </row>
    <row r="3114" spans="1:11" ht="15.75" hidden="1" customHeight="1">
      <c r="A3114" s="133" t="s">
        <v>7</v>
      </c>
      <c r="B3114" s="133" t="s">
        <v>3558</v>
      </c>
      <c r="C3114" s="133" t="s">
        <v>3601</v>
      </c>
      <c r="D3114" s="133" t="s">
        <v>538</v>
      </c>
      <c r="E3114" s="158">
        <v>8</v>
      </c>
      <c r="F3114" s="158">
        <v>23</v>
      </c>
      <c r="G3114" s="158">
        <v>3</v>
      </c>
      <c r="H3114" s="133" t="s">
        <v>479</v>
      </c>
      <c r="I3114" s="133" t="s">
        <v>479</v>
      </c>
      <c r="J3114" s="158">
        <v>1</v>
      </c>
      <c r="K3114" s="159" t="str">
        <f ca="1">IFERROR(__xludf.DUMMYFUNCTION("GOOGLETRANSLATE(H3114,""th"",""en"")"),"Null")</f>
        <v>Null</v>
      </c>
    </row>
    <row r="3115" spans="1:11" ht="15.75" hidden="1" customHeight="1">
      <c r="A3115" s="133" t="s">
        <v>7</v>
      </c>
      <c r="B3115" s="133" t="s">
        <v>3558</v>
      </c>
      <c r="C3115" s="133" t="s">
        <v>3602</v>
      </c>
      <c r="D3115" s="133" t="s">
        <v>538</v>
      </c>
      <c r="E3115" s="158">
        <v>8</v>
      </c>
      <c r="F3115" s="158">
        <v>23</v>
      </c>
      <c r="G3115" s="158">
        <v>3</v>
      </c>
      <c r="H3115" s="133" t="s">
        <v>3603</v>
      </c>
      <c r="I3115" s="133" t="s">
        <v>548</v>
      </c>
      <c r="J3115" s="158">
        <v>0</v>
      </c>
      <c r="K3115" s="159" t="str">
        <f ca="1">IFERROR(__xludf.DUMMYFUNCTION("GOOGLETRANSLATE(H3115,""th"",""en"")"),"The next day of the work day to issue various documents")</f>
        <v>The next day of the work day to issue various documents</v>
      </c>
    </row>
    <row r="3116" spans="1:11" ht="15.75" hidden="1" customHeight="1">
      <c r="A3116" s="133" t="s">
        <v>7</v>
      </c>
      <c r="B3116" s="133" t="s">
        <v>3558</v>
      </c>
      <c r="C3116" s="133" t="s">
        <v>3604</v>
      </c>
      <c r="D3116" s="133" t="s">
        <v>1796</v>
      </c>
      <c r="E3116" s="158">
        <v>12</v>
      </c>
      <c r="F3116" s="158">
        <v>0</v>
      </c>
      <c r="G3116" s="158">
        <v>0</v>
      </c>
      <c r="H3116" s="133" t="s">
        <v>479</v>
      </c>
      <c r="I3116" s="133" t="s">
        <v>479</v>
      </c>
      <c r="J3116" s="158">
        <v>1</v>
      </c>
      <c r="K3116" s="159" t="str">
        <f ca="1">IFERROR(__xludf.DUMMYFUNCTION("GOOGLETRANSLATE(H3116,""th"",""en"")"),"Null")</f>
        <v>Null</v>
      </c>
    </row>
    <row r="3117" spans="1:11" ht="15.75" hidden="1" customHeight="1">
      <c r="A3117" s="133" t="s">
        <v>7</v>
      </c>
      <c r="B3117" s="133" t="s">
        <v>3558</v>
      </c>
      <c r="C3117" s="133" t="s">
        <v>3605</v>
      </c>
      <c r="D3117" s="133" t="s">
        <v>477</v>
      </c>
      <c r="E3117" s="158">
        <v>13</v>
      </c>
      <c r="F3117" s="158">
        <v>0</v>
      </c>
      <c r="G3117" s="158">
        <v>0</v>
      </c>
      <c r="H3117" s="133" t="s">
        <v>3606</v>
      </c>
      <c r="I3117" s="133" t="s">
        <v>548</v>
      </c>
      <c r="J3117" s="158">
        <v>0</v>
      </c>
      <c r="K3117" s="159" t="str">
        <f ca="1">IFERROR(__xludf.DUMMYFUNCTION("GOOGLETRANSLATE(H3117,""th"",""en"")"),"Company number")</f>
        <v>Company number</v>
      </c>
    </row>
    <row r="3118" spans="1:11" ht="15.75" hidden="1" customHeight="1">
      <c r="A3118" s="133" t="s">
        <v>7</v>
      </c>
      <c r="B3118" s="133" t="s">
        <v>3558</v>
      </c>
      <c r="C3118" s="133" t="s">
        <v>3607</v>
      </c>
      <c r="D3118" s="133" t="s">
        <v>481</v>
      </c>
      <c r="E3118" s="158">
        <v>9</v>
      </c>
      <c r="F3118" s="158">
        <v>11</v>
      </c>
      <c r="G3118" s="158">
        <v>2</v>
      </c>
      <c r="H3118" s="133" t="s">
        <v>479</v>
      </c>
      <c r="I3118" s="133" t="s">
        <v>479</v>
      </c>
      <c r="J3118" s="158">
        <v>1</v>
      </c>
      <c r="K3118" s="159" t="str">
        <f ca="1">IFERROR(__xludf.DUMMYFUNCTION("GOOGLETRANSLATE(H3118,""th"",""en"")"),"Null")</f>
        <v>Null</v>
      </c>
    </row>
    <row r="3119" spans="1:11" ht="15.75" hidden="1" customHeight="1">
      <c r="A3119" s="133" t="s">
        <v>7</v>
      </c>
      <c r="B3119" s="133" t="s">
        <v>3558</v>
      </c>
      <c r="C3119" s="133" t="s">
        <v>3608</v>
      </c>
      <c r="D3119" s="133" t="s">
        <v>491</v>
      </c>
      <c r="E3119" s="158">
        <v>13</v>
      </c>
      <c r="F3119" s="158">
        <v>0</v>
      </c>
      <c r="G3119" s="158">
        <v>0</v>
      </c>
      <c r="H3119" s="133" t="s">
        <v>479</v>
      </c>
      <c r="I3119" s="133" t="s">
        <v>479</v>
      </c>
      <c r="J3119" s="158">
        <v>1</v>
      </c>
      <c r="K3119" s="159" t="str">
        <f ca="1">IFERROR(__xludf.DUMMYFUNCTION("GOOGLETRANSLATE(H3119,""th"",""en"")"),"Null")</f>
        <v>Null</v>
      </c>
    </row>
    <row r="3120" spans="1:11" ht="15.75" hidden="1" customHeight="1">
      <c r="A3120" s="133" t="s">
        <v>7</v>
      </c>
      <c r="B3120" s="133" t="s">
        <v>3558</v>
      </c>
      <c r="C3120" s="133" t="s">
        <v>670</v>
      </c>
      <c r="D3120" s="133" t="s">
        <v>1796</v>
      </c>
      <c r="E3120" s="158">
        <v>16</v>
      </c>
      <c r="F3120" s="158">
        <v>0</v>
      </c>
      <c r="G3120" s="158">
        <v>0</v>
      </c>
      <c r="H3120" s="133" t="s">
        <v>479</v>
      </c>
      <c r="I3120" s="133" t="s">
        <v>479</v>
      </c>
      <c r="J3120" s="158">
        <v>1</v>
      </c>
      <c r="K3120" s="159" t="str">
        <f ca="1">IFERROR(__xludf.DUMMYFUNCTION("GOOGLETRANSLATE(H3120,""th"",""en"")"),"Null")</f>
        <v>Null</v>
      </c>
    </row>
    <row r="3121" spans="1:11" ht="15.75" hidden="1" customHeight="1">
      <c r="A3121" s="133" t="s">
        <v>7</v>
      </c>
      <c r="B3121" s="133" t="s">
        <v>3558</v>
      </c>
      <c r="C3121" s="133" t="s">
        <v>215</v>
      </c>
      <c r="D3121" s="133" t="s">
        <v>538</v>
      </c>
      <c r="E3121" s="158">
        <v>8</v>
      </c>
      <c r="F3121" s="158">
        <v>23</v>
      </c>
      <c r="G3121" s="158">
        <v>3</v>
      </c>
      <c r="H3121" s="133" t="s">
        <v>479</v>
      </c>
      <c r="I3121" s="133" t="s">
        <v>479</v>
      </c>
      <c r="J3121" s="158">
        <v>1</v>
      </c>
      <c r="K3121" s="159" t="str">
        <f ca="1">IFERROR(__xludf.DUMMYFUNCTION("GOOGLETRANSLATE(H3121,""th"",""en"")"),"Null")</f>
        <v>Null</v>
      </c>
    </row>
    <row r="3122" spans="1:11" ht="15.75" hidden="1" customHeight="1">
      <c r="A3122" s="133" t="s">
        <v>7</v>
      </c>
      <c r="B3122" s="133" t="s">
        <v>3558</v>
      </c>
      <c r="C3122" s="133" t="s">
        <v>3609</v>
      </c>
      <c r="D3122" s="133" t="s">
        <v>978</v>
      </c>
      <c r="E3122" s="158">
        <v>2</v>
      </c>
      <c r="F3122" s="158">
        <v>5</v>
      </c>
      <c r="G3122" s="158">
        <v>0</v>
      </c>
      <c r="H3122" s="133" t="s">
        <v>479</v>
      </c>
      <c r="I3122" s="133" t="s">
        <v>479</v>
      </c>
      <c r="J3122" s="158">
        <v>1</v>
      </c>
      <c r="K3122" s="159" t="str">
        <f ca="1">IFERROR(__xludf.DUMMYFUNCTION("GOOGLETRANSLATE(H3122,""th"",""en"")"),"Null")</f>
        <v>Null</v>
      </c>
    </row>
    <row r="3123" spans="1:11" ht="15.75" hidden="1" customHeight="1">
      <c r="A3123" s="133" t="s">
        <v>7</v>
      </c>
      <c r="B3123" s="133" t="s">
        <v>3558</v>
      </c>
      <c r="C3123" s="133" t="s">
        <v>3610</v>
      </c>
      <c r="D3123" s="133" t="s">
        <v>477</v>
      </c>
      <c r="E3123" s="158">
        <v>50</v>
      </c>
      <c r="F3123" s="158">
        <v>0</v>
      </c>
      <c r="G3123" s="158">
        <v>0</v>
      </c>
      <c r="H3123" s="133" t="s">
        <v>3611</v>
      </c>
      <c r="I3123" s="133" t="s">
        <v>479</v>
      </c>
      <c r="J3123" s="158">
        <v>1</v>
      </c>
      <c r="K3123" s="159" t="str">
        <f ca="1">IFERROR(__xludf.DUMMYFUNCTION("GOOGLETRANSLATE(H3123,""th"",""en"")"),"Database warehouse name")</f>
        <v>Database warehouse name</v>
      </c>
    </row>
    <row r="3124" spans="1:11" ht="15.75" hidden="1" customHeight="1">
      <c r="A3124" s="133" t="s">
        <v>7</v>
      </c>
      <c r="B3124" s="133" t="s">
        <v>3558</v>
      </c>
      <c r="C3124" s="133" t="s">
        <v>3612</v>
      </c>
      <c r="D3124" s="133" t="s">
        <v>477</v>
      </c>
      <c r="E3124" s="158">
        <v>50</v>
      </c>
      <c r="F3124" s="158">
        <v>0</v>
      </c>
      <c r="G3124" s="158">
        <v>0</v>
      </c>
      <c r="H3124" s="133" t="s">
        <v>479</v>
      </c>
      <c r="I3124" s="133" t="s">
        <v>479</v>
      </c>
      <c r="J3124" s="158">
        <v>1</v>
      </c>
      <c r="K3124" s="159" t="str">
        <f ca="1">IFERROR(__xludf.DUMMYFUNCTION("GOOGLETRANSLATE(H3124,""th"",""en"")"),"Null")</f>
        <v>Null</v>
      </c>
    </row>
    <row r="3125" spans="1:11" ht="15.75" hidden="1" customHeight="1">
      <c r="A3125" s="133" t="s">
        <v>7</v>
      </c>
      <c r="B3125" s="133" t="s">
        <v>3558</v>
      </c>
      <c r="C3125" s="133" t="s">
        <v>3613</v>
      </c>
      <c r="D3125" s="133" t="s">
        <v>481</v>
      </c>
      <c r="E3125" s="158">
        <v>9</v>
      </c>
      <c r="F3125" s="158">
        <v>11</v>
      </c>
      <c r="G3125" s="158">
        <v>2</v>
      </c>
      <c r="H3125" s="133" t="s">
        <v>479</v>
      </c>
      <c r="I3125" s="133" t="s">
        <v>479</v>
      </c>
      <c r="J3125" s="158">
        <v>1</v>
      </c>
      <c r="K3125" s="159" t="str">
        <f ca="1">IFERROR(__xludf.DUMMYFUNCTION("GOOGLETRANSLATE(H3125,""th"",""en"")"),"Null")</f>
        <v>Null</v>
      </c>
    </row>
    <row r="3126" spans="1:11" ht="15.75" hidden="1" customHeight="1">
      <c r="A3126" s="133" t="s">
        <v>7</v>
      </c>
      <c r="B3126" s="133" t="s">
        <v>261</v>
      </c>
      <c r="C3126" s="133" t="s">
        <v>2317</v>
      </c>
      <c r="D3126" s="133" t="s">
        <v>477</v>
      </c>
      <c r="E3126" s="158">
        <v>20</v>
      </c>
      <c r="F3126" s="158">
        <v>0</v>
      </c>
      <c r="G3126" s="160"/>
      <c r="H3126" s="133" t="s">
        <v>3614</v>
      </c>
      <c r="I3126" s="160"/>
      <c r="J3126" s="160"/>
      <c r="K3126" s="159" t="str">
        <f ca="1">IFERROR(__xludf.DUMMYFUNCTION("GOOGLETRANSLATE(H3126,""th"",""en"")"),"Source Data Col, OMT")</f>
        <v>Source Data Col, OMT</v>
      </c>
    </row>
    <row r="3127" spans="1:11" ht="15.75" hidden="1" customHeight="1">
      <c r="A3127" s="133" t="s">
        <v>7</v>
      </c>
      <c r="B3127" s="133" t="s">
        <v>261</v>
      </c>
      <c r="C3127" s="133" t="s">
        <v>3615</v>
      </c>
      <c r="D3127" s="133" t="s">
        <v>477</v>
      </c>
      <c r="E3127" s="158">
        <v>7</v>
      </c>
      <c r="F3127" s="158">
        <v>0</v>
      </c>
      <c r="G3127" s="160"/>
      <c r="H3127" s="133" t="s">
        <v>3616</v>
      </c>
      <c r="I3127" s="160"/>
      <c r="J3127" s="160"/>
      <c r="K3127" s="159" t="str">
        <f ca="1">IFERROR(__xludf.DUMMYFUNCTION("GOOGLETRANSLATE(H3127,""th"",""en"")"),"Year-Month")</f>
        <v>Year-Month</v>
      </c>
    </row>
    <row r="3128" spans="1:11" ht="15.75" hidden="1" customHeight="1">
      <c r="A3128" s="133" t="s">
        <v>7</v>
      </c>
      <c r="B3128" s="133" t="s">
        <v>261</v>
      </c>
      <c r="C3128" s="133" t="s">
        <v>257</v>
      </c>
      <c r="D3128" s="133" t="s">
        <v>477</v>
      </c>
      <c r="E3128" s="158">
        <v>7</v>
      </c>
      <c r="F3128" s="158">
        <v>0</v>
      </c>
      <c r="G3128" s="158">
        <v>0</v>
      </c>
      <c r="H3128" s="133" t="s">
        <v>1130</v>
      </c>
      <c r="I3128" s="133" t="s">
        <v>548</v>
      </c>
      <c r="J3128" s="158">
        <v>0</v>
      </c>
      <c r="K3128" s="159" t="str">
        <f ca="1">IFERROR(__xludf.DUMMYFUNCTION("GOOGLETRANSLATE(H3128,""th"",""en"")"),"Product code")</f>
        <v>Product code</v>
      </c>
    </row>
    <row r="3129" spans="1:11" ht="15.75" hidden="1" customHeight="1">
      <c r="A3129" s="133" t="s">
        <v>7</v>
      </c>
      <c r="B3129" s="133" t="s">
        <v>261</v>
      </c>
      <c r="C3129" s="133" t="s">
        <v>3132</v>
      </c>
      <c r="D3129" s="133" t="s">
        <v>484</v>
      </c>
      <c r="E3129" s="158">
        <v>4</v>
      </c>
      <c r="F3129" s="158">
        <v>10</v>
      </c>
      <c r="G3129" s="158">
        <v>0</v>
      </c>
      <c r="H3129" s="133" t="s">
        <v>3133</v>
      </c>
      <c r="I3129" s="133" t="s">
        <v>615</v>
      </c>
      <c r="J3129" s="158">
        <v>0</v>
      </c>
      <c r="K3129" s="159" t="str">
        <f ca="1">IFERROR(__xludf.DUMMYFUNCTION("GOOGLETRANSLATE(H3129,""th"",""en"")"),"The number of products lifted from last month")</f>
        <v>The number of products lifted from last month</v>
      </c>
    </row>
    <row r="3130" spans="1:11" ht="15.75" hidden="1" customHeight="1">
      <c r="A3130" s="133" t="s">
        <v>7</v>
      </c>
      <c r="B3130" s="133" t="s">
        <v>261</v>
      </c>
      <c r="C3130" s="133" t="s">
        <v>3134</v>
      </c>
      <c r="D3130" s="133" t="s">
        <v>481</v>
      </c>
      <c r="E3130" s="158">
        <v>5</v>
      </c>
      <c r="F3130" s="158">
        <v>9</v>
      </c>
      <c r="G3130" s="158">
        <v>2</v>
      </c>
      <c r="H3130" s="133" t="s">
        <v>3135</v>
      </c>
      <c r="I3130" s="133" t="s">
        <v>615</v>
      </c>
      <c r="J3130" s="158">
        <v>0</v>
      </c>
      <c r="K3130" s="159" t="str">
        <f ca="1">IFERROR(__xludf.DUMMYFUNCTION("GOOGLETRANSLATE(H3130,""th"",""en"")"),"Product costs in Basic Unit units are quoted from last month.")</f>
        <v>Product costs in Basic Unit units are quoted from last month.</v>
      </c>
    </row>
    <row r="3131" spans="1:11" ht="15.75" hidden="1" customHeight="1">
      <c r="A3131" s="133" t="s">
        <v>7</v>
      </c>
      <c r="B3131" s="133" t="s">
        <v>261</v>
      </c>
      <c r="C3131" s="133" t="s">
        <v>3136</v>
      </c>
      <c r="D3131" s="133" t="s">
        <v>481</v>
      </c>
      <c r="E3131" s="158">
        <v>9</v>
      </c>
      <c r="F3131" s="158">
        <v>18</v>
      </c>
      <c r="G3131" s="158">
        <v>2</v>
      </c>
      <c r="H3131" s="133" t="s">
        <v>3137</v>
      </c>
      <c r="I3131" s="133" t="s">
        <v>615</v>
      </c>
      <c r="J3131" s="158">
        <v>0</v>
      </c>
      <c r="K3131" s="159" t="str">
        <f ca="1">IFERROR(__xludf.DUMMYFUNCTION("GOOGLETRANSLATE(H3131,""th"",""en"")"),"All products Quoted from last month")</f>
        <v>All products Quoted from last month</v>
      </c>
    </row>
    <row r="3132" spans="1:11" ht="15.75" hidden="1" customHeight="1">
      <c r="A3132" s="133" t="s">
        <v>7</v>
      </c>
      <c r="B3132" s="133" t="s">
        <v>261</v>
      </c>
      <c r="C3132" s="133" t="s">
        <v>3138</v>
      </c>
      <c r="D3132" s="133" t="s">
        <v>484</v>
      </c>
      <c r="E3132" s="158">
        <v>4</v>
      </c>
      <c r="F3132" s="158">
        <v>10</v>
      </c>
      <c r="G3132" s="158">
        <v>0</v>
      </c>
      <c r="H3132" s="133" t="s">
        <v>3139</v>
      </c>
      <c r="I3132" s="133" t="s">
        <v>615</v>
      </c>
      <c r="J3132" s="158">
        <v>0</v>
      </c>
      <c r="K3132" s="159" t="str">
        <f ca="1">IFERROR(__xludf.DUMMYFUNCTION("GOOGLETRANSLATE(H3132,""th"",""en"")"),"The amount of Basic that we can buy, such as having to buy 10 boxes, Vendor to sell")</f>
        <v>The amount of Basic that we can buy, such as having to buy 10 boxes, Vendor to sell</v>
      </c>
    </row>
    <row r="3133" spans="1:11" ht="15.75" hidden="1" customHeight="1">
      <c r="A3133" s="133" t="s">
        <v>7</v>
      </c>
      <c r="B3133" s="133" t="s">
        <v>261</v>
      </c>
      <c r="C3133" s="133" t="s">
        <v>3140</v>
      </c>
      <c r="D3133" s="133" t="s">
        <v>484</v>
      </c>
      <c r="E3133" s="158">
        <v>4</v>
      </c>
      <c r="F3133" s="158">
        <v>10</v>
      </c>
      <c r="G3133" s="158">
        <v>0</v>
      </c>
      <c r="H3133" s="133" t="s">
        <v>3141</v>
      </c>
      <c r="I3133" s="133" t="s">
        <v>615</v>
      </c>
      <c r="J3133" s="158">
        <v>0</v>
      </c>
      <c r="K3133" s="159" t="str">
        <f ca="1">IFERROR(__xludf.DUMMYFUNCTION("GOOGLETRANSLATE(H3133,""th"",""en"")"),"Purchasing. The minimum quantity of products in stock (but still ordered as round)")</f>
        <v>Purchasing. The minimum quantity of products in stock (but still ordered as round)</v>
      </c>
    </row>
    <row r="3134" spans="1:11" ht="15.75" hidden="1" customHeight="1">
      <c r="A3134" s="133" t="s">
        <v>7</v>
      </c>
      <c r="B3134" s="133" t="s">
        <v>261</v>
      </c>
      <c r="C3134" s="133" t="s">
        <v>3142</v>
      </c>
      <c r="D3134" s="133" t="s">
        <v>484</v>
      </c>
      <c r="E3134" s="158">
        <v>4</v>
      </c>
      <c r="F3134" s="158">
        <v>10</v>
      </c>
      <c r="G3134" s="158">
        <v>0</v>
      </c>
      <c r="H3134" s="133" t="s">
        <v>3143</v>
      </c>
      <c r="I3134" s="133" t="s">
        <v>615</v>
      </c>
      <c r="J3134" s="158">
        <v>0</v>
      </c>
      <c r="K3134" s="159" t="str">
        <f ca="1">IFERROR(__xludf.DUMMYFUNCTION("GOOGLETRANSLATE(H3134,""th"",""en"")"),"Purchasing. Maximum amount of products in stock")</f>
        <v>Purchasing. Maximum amount of products in stock</v>
      </c>
    </row>
    <row r="3135" spans="1:11" ht="15.75" hidden="1" customHeight="1">
      <c r="A3135" s="133" t="s">
        <v>7</v>
      </c>
      <c r="B3135" s="133" t="s">
        <v>261</v>
      </c>
      <c r="C3135" s="133" t="s">
        <v>3144</v>
      </c>
      <c r="D3135" s="133" t="s">
        <v>484</v>
      </c>
      <c r="E3135" s="158">
        <v>4</v>
      </c>
      <c r="F3135" s="158">
        <v>10</v>
      </c>
      <c r="G3135" s="158">
        <v>0</v>
      </c>
      <c r="H3135" s="133" t="s">
        <v>3145</v>
      </c>
      <c r="I3135" s="133" t="s">
        <v>615</v>
      </c>
      <c r="J3135" s="158">
        <v>0</v>
      </c>
      <c r="K3135" s="159" t="str">
        <f ca="1">IFERROR(__xludf.DUMMYFUNCTION("GOOGLETRANSLATE(H3135,""th"",""en"")"),"Critical Qty points if the number of products in stock is lower than this must be ordered immediately.")</f>
        <v>Critical Qty points if the number of products in stock is lower than this must be ordered immediately.</v>
      </c>
    </row>
    <row r="3136" spans="1:11" ht="15.75" hidden="1" customHeight="1">
      <c r="A3136" s="133" t="s">
        <v>7</v>
      </c>
      <c r="B3136" s="133" t="s">
        <v>261</v>
      </c>
      <c r="C3136" s="133" t="s">
        <v>3146</v>
      </c>
      <c r="D3136" s="133" t="s">
        <v>496</v>
      </c>
      <c r="E3136" s="158">
        <v>4</v>
      </c>
      <c r="F3136" s="158">
        <v>16</v>
      </c>
      <c r="G3136" s="158">
        <v>0</v>
      </c>
      <c r="H3136" s="133" t="s">
        <v>3147</v>
      </c>
      <c r="I3136" s="133" t="s">
        <v>548</v>
      </c>
      <c r="J3136" s="158">
        <v>0</v>
      </c>
      <c r="K3136" s="159" t="str">
        <f ca="1">IFERROR(__xludf.DUMMYFUNCTION("GOOGLETRANSLATE(H3136,""th"",""en"")"),"Last purchase date")</f>
        <v>Last purchase date</v>
      </c>
    </row>
    <row r="3137" spans="1:11" ht="15.75" hidden="1" customHeight="1">
      <c r="A3137" s="133" t="s">
        <v>7</v>
      </c>
      <c r="B3137" s="133" t="s">
        <v>261</v>
      </c>
      <c r="C3137" s="133" t="s">
        <v>3148</v>
      </c>
      <c r="D3137" s="133" t="s">
        <v>481</v>
      </c>
      <c r="E3137" s="158">
        <v>5</v>
      </c>
      <c r="F3137" s="158">
        <v>9</v>
      </c>
      <c r="G3137" s="158">
        <v>2</v>
      </c>
      <c r="H3137" s="133" t="s">
        <v>3149</v>
      </c>
      <c r="I3137" s="133" t="s">
        <v>1223</v>
      </c>
      <c r="J3137" s="158">
        <v>0</v>
      </c>
      <c r="K3137" s="159" t="str">
        <f ca="1">IFERROR(__xludf.DUMMYFUNCTION("GOOGLETRANSLATE(H3137,""th"",""en"")"),"The cost of the latest purchase")</f>
        <v>The cost of the latest purchase</v>
      </c>
    </row>
    <row r="3138" spans="1:11" ht="15.75" hidden="1" customHeight="1">
      <c r="A3138" s="133" t="s">
        <v>7</v>
      </c>
      <c r="B3138" s="133" t="s">
        <v>261</v>
      </c>
      <c r="C3138" s="133" t="s">
        <v>3150</v>
      </c>
      <c r="D3138" s="133" t="s">
        <v>496</v>
      </c>
      <c r="E3138" s="158">
        <v>4</v>
      </c>
      <c r="F3138" s="158">
        <v>16</v>
      </c>
      <c r="G3138" s="158">
        <v>0</v>
      </c>
      <c r="H3138" s="133" t="s">
        <v>3151</v>
      </c>
      <c r="I3138" s="133" t="s">
        <v>548</v>
      </c>
      <c r="J3138" s="158">
        <v>0</v>
      </c>
      <c r="K3138" s="159" t="str">
        <f ca="1">IFERROR(__xludf.DUMMYFUNCTION("GOOGLETRANSLATE(H3138,""th"",""en"")"),"Last selling products")</f>
        <v>Last selling products</v>
      </c>
    </row>
    <row r="3139" spans="1:11" ht="15.75" hidden="1" customHeight="1">
      <c r="A3139" s="133" t="s">
        <v>7</v>
      </c>
      <c r="B3139" s="133" t="s">
        <v>261</v>
      </c>
      <c r="C3139" s="133" t="s">
        <v>3152</v>
      </c>
      <c r="D3139" s="133" t="s">
        <v>484</v>
      </c>
      <c r="E3139" s="158">
        <v>4</v>
      </c>
      <c r="F3139" s="158">
        <v>10</v>
      </c>
      <c r="G3139" s="158">
        <v>0</v>
      </c>
      <c r="H3139" s="133" t="s">
        <v>3153</v>
      </c>
      <c r="I3139" s="133" t="s">
        <v>615</v>
      </c>
      <c r="J3139" s="158">
        <v>0</v>
      </c>
      <c r="K3139" s="159" t="str">
        <f ca="1">IFERROR(__xludf.DUMMYFUNCTION("GOOGLETRANSLATE(H3139,""th"",""en"")"),"Quantity. The number of products that are in the order")</f>
        <v>Quantity. The number of products that are in the order</v>
      </c>
    </row>
    <row r="3140" spans="1:11" ht="15.75" hidden="1" customHeight="1">
      <c r="A3140" s="133" t="s">
        <v>7</v>
      </c>
      <c r="B3140" s="133" t="s">
        <v>261</v>
      </c>
      <c r="C3140" s="133" t="s">
        <v>3154</v>
      </c>
      <c r="D3140" s="133" t="s">
        <v>477</v>
      </c>
      <c r="E3140" s="158">
        <v>3</v>
      </c>
      <c r="F3140" s="158">
        <v>0</v>
      </c>
      <c r="G3140" s="158">
        <v>0</v>
      </c>
      <c r="H3140" s="133" t="s">
        <v>3155</v>
      </c>
      <c r="I3140" s="133" t="s">
        <v>548</v>
      </c>
      <c r="J3140" s="158">
        <v>0</v>
      </c>
      <c r="K3140" s="159" t="str">
        <f ca="1">IFERROR(__xludf.DUMMYFUNCTION("GOOGLETRANSLATE(H3140,""th"",""en"")"),"Which product is in the quadrant? (Q1-Q4)")</f>
        <v>Which product is in the quadrant? (Q1-Q4)</v>
      </c>
    </row>
    <row r="3141" spans="1:11" ht="15.75" hidden="1" customHeight="1">
      <c r="A3141" s="133" t="s">
        <v>7</v>
      </c>
      <c r="B3141" s="133" t="s">
        <v>261</v>
      </c>
      <c r="C3141" s="133" t="s">
        <v>523</v>
      </c>
      <c r="D3141" s="133" t="s">
        <v>477</v>
      </c>
      <c r="E3141" s="158">
        <v>8</v>
      </c>
      <c r="F3141" s="158">
        <v>0</v>
      </c>
      <c r="G3141" s="158">
        <v>0</v>
      </c>
      <c r="H3141" s="133" t="s">
        <v>3156</v>
      </c>
      <c r="I3141" s="133" t="s">
        <v>548</v>
      </c>
      <c r="J3141" s="158">
        <v>0</v>
      </c>
      <c r="K3141" s="159" t="str">
        <f ca="1">IFERROR(__xludf.DUMMYFUNCTION("GOOGLETRANSLATE(H3141,""th"",""en"")"),"Employee code created")</f>
        <v>Employee code created</v>
      </c>
    </row>
    <row r="3142" spans="1:11" ht="15.75" hidden="1" customHeight="1">
      <c r="A3142" s="133" t="s">
        <v>7</v>
      </c>
      <c r="B3142" s="133" t="s">
        <v>261</v>
      </c>
      <c r="C3142" s="133" t="s">
        <v>669</v>
      </c>
      <c r="D3142" s="133" t="s">
        <v>800</v>
      </c>
      <c r="E3142" s="158">
        <v>8</v>
      </c>
      <c r="F3142" s="158">
        <v>27</v>
      </c>
      <c r="G3142" s="158">
        <v>7</v>
      </c>
      <c r="H3142" s="133" t="s">
        <v>735</v>
      </c>
      <c r="I3142" s="133" t="s">
        <v>801</v>
      </c>
      <c r="J3142" s="158">
        <v>0</v>
      </c>
      <c r="K3142" s="159" t="str">
        <f ca="1">IFERROR(__xludf.DUMMYFUNCTION("GOOGLETRANSLATE(H3142,""th"",""en"")"),"Date created")</f>
        <v>Date created</v>
      </c>
    </row>
    <row r="3143" spans="1:11" ht="15.75" hidden="1" customHeight="1">
      <c r="A3143" s="133" t="s">
        <v>7</v>
      </c>
      <c r="B3143" s="133" t="s">
        <v>261</v>
      </c>
      <c r="C3143" s="133" t="s">
        <v>670</v>
      </c>
      <c r="D3143" s="133" t="s">
        <v>477</v>
      </c>
      <c r="E3143" s="158">
        <v>8</v>
      </c>
      <c r="F3143" s="158">
        <v>0</v>
      </c>
      <c r="G3143" s="158">
        <v>0</v>
      </c>
      <c r="H3143" s="133" t="s">
        <v>3157</v>
      </c>
      <c r="I3143" s="133" t="s">
        <v>548</v>
      </c>
      <c r="J3143" s="158">
        <v>0</v>
      </c>
      <c r="K3143" s="159" t="str">
        <f ca="1">IFERROR(__xludf.DUMMYFUNCTION("GOOGLETRANSLATE(H3143,""th"",""en"")"),"Employee code fixed")</f>
        <v>Employee code fixed</v>
      </c>
    </row>
    <row r="3144" spans="1:11" ht="15.75" hidden="1" customHeight="1">
      <c r="A3144" s="133" t="s">
        <v>7</v>
      </c>
      <c r="B3144" s="133" t="s">
        <v>261</v>
      </c>
      <c r="C3144" s="133" t="s">
        <v>215</v>
      </c>
      <c r="D3144" s="133" t="s">
        <v>800</v>
      </c>
      <c r="E3144" s="158">
        <v>8</v>
      </c>
      <c r="F3144" s="158">
        <v>27</v>
      </c>
      <c r="G3144" s="158">
        <v>7</v>
      </c>
      <c r="H3144" s="133" t="s">
        <v>803</v>
      </c>
      <c r="I3144" s="133" t="s">
        <v>801</v>
      </c>
      <c r="J3144" s="158">
        <v>0</v>
      </c>
      <c r="K3144" s="159" t="str">
        <f ca="1">IFERROR(__xludf.DUMMYFUNCTION("GOOGLETRANSLATE(H3144,""th"",""en"")"),"Edit date")</f>
        <v>Edit date</v>
      </c>
    </row>
    <row r="3145" spans="1:11" ht="15.75" hidden="1" customHeight="1">
      <c r="A3145" s="133" t="s">
        <v>7</v>
      </c>
      <c r="B3145" s="133" t="s">
        <v>261</v>
      </c>
      <c r="C3145" s="133" t="s">
        <v>1147</v>
      </c>
      <c r="D3145" s="133" t="s">
        <v>481</v>
      </c>
      <c r="E3145" s="158">
        <v>5</v>
      </c>
      <c r="F3145" s="158">
        <v>9</v>
      </c>
      <c r="G3145" s="158">
        <v>2</v>
      </c>
      <c r="H3145" s="133" t="s">
        <v>3158</v>
      </c>
      <c r="I3145" s="133" t="s">
        <v>1223</v>
      </c>
      <c r="J3145" s="158">
        <v>0</v>
      </c>
      <c r="K3145" s="159" t="str">
        <f ca="1">IFERROR(__xludf.DUMMYFUNCTION("GOOGLETRANSLATE(H3145,""th"",""en"")"),"Average Cost average cost price")</f>
        <v>Average Cost average cost price</v>
      </c>
    </row>
    <row r="3146" spans="1:11" ht="15.75" hidden="1" customHeight="1">
      <c r="A3146" s="133" t="s">
        <v>7</v>
      </c>
      <c r="B3146" s="133" t="s">
        <v>261</v>
      </c>
      <c r="C3146" s="133" t="s">
        <v>3159</v>
      </c>
      <c r="D3146" s="133" t="s">
        <v>481</v>
      </c>
      <c r="E3146" s="158">
        <v>9</v>
      </c>
      <c r="F3146" s="158">
        <v>18</v>
      </c>
      <c r="G3146" s="158">
        <v>2</v>
      </c>
      <c r="H3146" s="133" t="s">
        <v>3160</v>
      </c>
      <c r="I3146" s="133" t="s">
        <v>1223</v>
      </c>
      <c r="J3146" s="158">
        <v>0</v>
      </c>
      <c r="K3146" s="159" t="str">
        <f ca="1">IFERROR(__xludf.DUMMYFUNCTION("GOOGLETRANSLATE(H3146,""th"",""en"")"),"Average Amount, total cost price")</f>
        <v>Average Amount, total cost price</v>
      </c>
    </row>
    <row r="3147" spans="1:11" ht="15.75" hidden="1" customHeight="1">
      <c r="A3147" s="133" t="s">
        <v>7</v>
      </c>
      <c r="B3147" s="133" t="s">
        <v>261</v>
      </c>
      <c r="C3147" s="133" t="s">
        <v>3161</v>
      </c>
      <c r="D3147" s="133" t="s">
        <v>477</v>
      </c>
      <c r="E3147" s="158">
        <v>20</v>
      </c>
      <c r="F3147" s="158">
        <v>0</v>
      </c>
      <c r="G3147" s="158">
        <v>0</v>
      </c>
      <c r="H3147" s="133" t="s">
        <v>3162</v>
      </c>
      <c r="I3147" s="133" t="s">
        <v>548</v>
      </c>
      <c r="J3147" s="158">
        <v>0</v>
      </c>
      <c r="K3147" s="159" t="str">
        <f ca="1">IFERROR(__xludf.DUMMYFUNCTION("GOOGLETRANSLATE(H3147,""th"",""en"")"),"Products attached Obsolete (NEW = will provide flag n before WARNING = 30 days, WARNING will provide the flag w product before attaching o = 30 days, obsolescence products. OBS already in accordance with the conditions in the system (can't be corrected).")</f>
        <v>Products attached Obsolete (NEW = will provide flag n before WARNING = 30 days, WARNING will provide the flag w product before attaching o = 30 days, obsolescence products. OBS already in accordance with the conditions in the system (can't be corrected).</v>
      </c>
    </row>
    <row r="3148" spans="1:11" ht="15.75" hidden="1" customHeight="1">
      <c r="A3148" s="133" t="s">
        <v>7</v>
      </c>
      <c r="B3148" s="133" t="s">
        <v>261</v>
      </c>
      <c r="C3148" s="133" t="s">
        <v>3163</v>
      </c>
      <c r="D3148" s="133" t="s">
        <v>477</v>
      </c>
      <c r="E3148" s="158">
        <v>20</v>
      </c>
      <c r="F3148" s="158">
        <v>0</v>
      </c>
      <c r="G3148" s="158">
        <v>0</v>
      </c>
      <c r="H3148" s="133" t="s">
        <v>3162</v>
      </c>
      <c r="I3148" s="133" t="s">
        <v>548</v>
      </c>
      <c r="J3148" s="158">
        <v>0</v>
      </c>
      <c r="K3148" s="159" t="str">
        <f ca="1">IFERROR(__xludf.DUMMYFUNCTION("GOOGLETRANSLATE(H3148,""th"",""en"")"),"Products attached Obsolete (NEW = will provide flag n before WARNING = 30 days, WARNING will provide the flag w product before attaching o = 30 days, obsolescence products. OBS already in accordance with the conditions in the system (can't be corrected).")</f>
        <v>Products attached Obsolete (NEW = will provide flag n before WARNING = 30 days, WARNING will provide the flag w product before attaching o = 30 days, obsolescence products. OBS already in accordance with the conditions in the system (can't be corrected).</v>
      </c>
    </row>
    <row r="3149" spans="1:11" ht="15.75" hidden="1" customHeight="1">
      <c r="A3149" s="133" t="s">
        <v>7</v>
      </c>
      <c r="B3149" s="133" t="s">
        <v>261</v>
      </c>
      <c r="C3149" s="133" t="s">
        <v>3164</v>
      </c>
      <c r="D3149" s="133" t="s">
        <v>496</v>
      </c>
      <c r="E3149" s="158">
        <v>4</v>
      </c>
      <c r="F3149" s="158">
        <v>16</v>
      </c>
      <c r="G3149" s="158">
        <v>0</v>
      </c>
      <c r="H3149" s="133" t="s">
        <v>3165</v>
      </c>
      <c r="I3149" s="133" t="s">
        <v>548</v>
      </c>
      <c r="J3149" s="158">
        <v>0</v>
      </c>
      <c r="K3149" s="159" t="str">
        <f ca="1">IFERROR(__xludf.DUMMYFUNCTION("GOOGLETRANSLATE(H3149,""th"",""en"")"),"Date of the latest Adj in")</f>
        <v>Date of the latest Adj in</v>
      </c>
    </row>
    <row r="3150" spans="1:11" ht="15.75" hidden="1" customHeight="1">
      <c r="A3150" s="133" t="s">
        <v>7</v>
      </c>
      <c r="B3150" s="133" t="s">
        <v>261</v>
      </c>
      <c r="C3150" s="133" t="s">
        <v>3166</v>
      </c>
      <c r="D3150" s="133" t="s">
        <v>496</v>
      </c>
      <c r="E3150" s="158">
        <v>4</v>
      </c>
      <c r="F3150" s="158">
        <v>16</v>
      </c>
      <c r="G3150" s="158">
        <v>0</v>
      </c>
      <c r="H3150" s="133" t="s">
        <v>3167</v>
      </c>
      <c r="I3150" s="133" t="s">
        <v>548</v>
      </c>
      <c r="J3150" s="158">
        <v>0</v>
      </c>
      <c r="K3150" s="159" t="str">
        <f ca="1">IFERROR(__xludf.DUMMYFUNCTION("GOOGLETRANSLATE(H3150,""th"",""en"")"),"The latest Adj Out date")</f>
        <v>The latest Adj Out date</v>
      </c>
    </row>
    <row r="3151" spans="1:11" ht="15.75" hidden="1" customHeight="1">
      <c r="A3151" s="133" t="s">
        <v>7</v>
      </c>
      <c r="B3151" s="133" t="s">
        <v>261</v>
      </c>
      <c r="C3151" s="133" t="s">
        <v>3168</v>
      </c>
      <c r="D3151" s="133" t="s">
        <v>496</v>
      </c>
      <c r="E3151" s="158">
        <v>4</v>
      </c>
      <c r="F3151" s="158">
        <v>16</v>
      </c>
      <c r="G3151" s="158">
        <v>0</v>
      </c>
      <c r="H3151" s="133" t="s">
        <v>3169</v>
      </c>
      <c r="I3151" s="133" t="s">
        <v>548</v>
      </c>
      <c r="J3151" s="158">
        <v>0</v>
      </c>
      <c r="K3151" s="159" t="str">
        <f ca="1">IFERROR(__xludf.DUMMYFUNCTION("GOOGLETRANSLATE(H3151,""th"",""en"")"),"Last Transfer In Date")</f>
        <v>Last Transfer In Date</v>
      </c>
    </row>
    <row r="3152" spans="1:11" ht="15.75" hidden="1" customHeight="1">
      <c r="A3152" s="133" t="s">
        <v>7</v>
      </c>
      <c r="B3152" s="133" t="s">
        <v>261</v>
      </c>
      <c r="C3152" s="133" t="s">
        <v>3170</v>
      </c>
      <c r="D3152" s="133" t="s">
        <v>496</v>
      </c>
      <c r="E3152" s="158">
        <v>4</v>
      </c>
      <c r="F3152" s="158">
        <v>16</v>
      </c>
      <c r="G3152" s="158">
        <v>0</v>
      </c>
      <c r="H3152" s="133" t="s">
        <v>3171</v>
      </c>
      <c r="I3152" s="133" t="s">
        <v>548</v>
      </c>
      <c r="J3152" s="158">
        <v>0</v>
      </c>
      <c r="K3152" s="159" t="str">
        <f ca="1">IFERROR(__xludf.DUMMYFUNCTION("GOOGLETRANSLATE(H3152,""th"",""en"")"),"Last Transfer Out Date")</f>
        <v>Last Transfer Out Date</v>
      </c>
    </row>
    <row r="3153" spans="1:11" ht="15.75" hidden="1" customHeight="1">
      <c r="A3153" s="133" t="s">
        <v>7</v>
      </c>
      <c r="B3153" s="133" t="s">
        <v>261</v>
      </c>
      <c r="C3153" s="133" t="s">
        <v>3172</v>
      </c>
      <c r="D3153" s="133" t="s">
        <v>496</v>
      </c>
      <c r="E3153" s="158">
        <v>4</v>
      </c>
      <c r="F3153" s="158">
        <v>16</v>
      </c>
      <c r="G3153" s="158">
        <v>0</v>
      </c>
      <c r="H3153" s="133" t="s">
        <v>3173</v>
      </c>
      <c r="I3153" s="133" t="s">
        <v>548</v>
      </c>
      <c r="J3153" s="158">
        <v>0</v>
      </c>
      <c r="K3153" s="159" t="str">
        <f ca="1">IFERROR(__xludf.DUMMYFUNCTION("GOOGLETRANSLATE(H3153,""th"",""en"")"),"Latest RTV")</f>
        <v>Latest RTV</v>
      </c>
    </row>
    <row r="3154" spans="1:11" ht="15.75" hidden="1" customHeight="1">
      <c r="A3154" s="133" t="s">
        <v>7</v>
      </c>
      <c r="B3154" s="133" t="s">
        <v>261</v>
      </c>
      <c r="C3154" s="133" t="s">
        <v>3174</v>
      </c>
      <c r="D3154" s="133" t="s">
        <v>496</v>
      </c>
      <c r="E3154" s="158">
        <v>4</v>
      </c>
      <c r="F3154" s="158">
        <v>16</v>
      </c>
      <c r="G3154" s="158">
        <v>0</v>
      </c>
      <c r="H3154" s="133" t="s">
        <v>3175</v>
      </c>
      <c r="I3154" s="133" t="s">
        <v>548</v>
      </c>
      <c r="J3154" s="158">
        <v>0</v>
      </c>
      <c r="K3154" s="159" t="str">
        <f ca="1">IFERROR(__xludf.DUMMYFUNCTION("GOOGLETRANSLATE(H3154,""th"",""en"")"),"Last salereturn date")</f>
        <v>Last salereturn date</v>
      </c>
    </row>
    <row r="3155" spans="1:11" ht="15.75" hidden="1" customHeight="1">
      <c r="A3155" s="133" t="s">
        <v>7</v>
      </c>
      <c r="B3155" s="133" t="s">
        <v>261</v>
      </c>
      <c r="C3155" s="133" t="s">
        <v>814</v>
      </c>
      <c r="D3155" s="133" t="s">
        <v>477</v>
      </c>
      <c r="E3155" s="158">
        <v>100</v>
      </c>
      <c r="F3155" s="158">
        <v>0</v>
      </c>
      <c r="G3155" s="158">
        <v>0</v>
      </c>
      <c r="H3155" s="133" t="s">
        <v>815</v>
      </c>
      <c r="I3155" s="133" t="s">
        <v>548</v>
      </c>
      <c r="J3155" s="158">
        <v>0</v>
      </c>
      <c r="K3155" s="159" t="str">
        <f ca="1">IFERROR(__xludf.DUMMYFUNCTION("GOOGLETRANSLATE(H3155,""th"",""en"")"),"Information Creator Name")</f>
        <v>Information Creator Name</v>
      </c>
    </row>
    <row r="3156" spans="1:11" ht="15.75" hidden="1" customHeight="1">
      <c r="A3156" s="133" t="s">
        <v>7</v>
      </c>
      <c r="B3156" s="133" t="s">
        <v>261</v>
      </c>
      <c r="C3156" s="133" t="s">
        <v>816</v>
      </c>
      <c r="D3156" s="133" t="s">
        <v>477</v>
      </c>
      <c r="E3156" s="158">
        <v>100</v>
      </c>
      <c r="F3156" s="158">
        <v>0</v>
      </c>
      <c r="G3156" s="158">
        <v>0</v>
      </c>
      <c r="H3156" s="133" t="s">
        <v>817</v>
      </c>
      <c r="I3156" s="133" t="s">
        <v>548</v>
      </c>
      <c r="J3156" s="158">
        <v>0</v>
      </c>
      <c r="K3156" s="159" t="str">
        <f ca="1">IFERROR(__xludf.DUMMYFUNCTION("GOOGLETRANSLATE(H3156,""th"",""en"")"),"Latest information")</f>
        <v>Latest information</v>
      </c>
    </row>
    <row r="3157" spans="1:11" ht="15.75" hidden="1" customHeight="1">
      <c r="A3157" s="133" t="s">
        <v>7</v>
      </c>
      <c r="B3157" s="133" t="s">
        <v>3617</v>
      </c>
      <c r="C3157" s="133" t="s">
        <v>2317</v>
      </c>
      <c r="D3157" s="133" t="s">
        <v>477</v>
      </c>
      <c r="E3157" s="158">
        <v>20</v>
      </c>
      <c r="F3157" s="158">
        <v>0</v>
      </c>
      <c r="G3157" s="160"/>
      <c r="H3157" s="133" t="s">
        <v>3614</v>
      </c>
      <c r="I3157" s="160"/>
      <c r="J3157" s="160"/>
      <c r="K3157" s="159" t="str">
        <f ca="1">IFERROR(__xludf.DUMMYFUNCTION("GOOGLETRANSLATE(H3157,""th"",""en"")"),"Source Data Col, OMT")</f>
        <v>Source Data Col, OMT</v>
      </c>
    </row>
    <row r="3158" spans="1:11" ht="15.75" hidden="1" customHeight="1">
      <c r="A3158" s="133" t="s">
        <v>7</v>
      </c>
      <c r="B3158" s="133" t="s">
        <v>3617</v>
      </c>
      <c r="C3158" s="133" t="s">
        <v>3615</v>
      </c>
      <c r="D3158" s="133" t="s">
        <v>477</v>
      </c>
      <c r="E3158" s="158">
        <v>7</v>
      </c>
      <c r="F3158" s="158">
        <v>0</v>
      </c>
      <c r="G3158" s="160"/>
      <c r="H3158" s="133" t="s">
        <v>3616</v>
      </c>
      <c r="I3158" s="160"/>
      <c r="J3158" s="160"/>
      <c r="K3158" s="159" t="str">
        <f ca="1">IFERROR(__xludf.DUMMYFUNCTION("GOOGLETRANSLATE(H3158,""th"",""en"")"),"Year-Month")</f>
        <v>Year-Month</v>
      </c>
    </row>
    <row r="3159" spans="1:11" ht="15.75" hidden="1" customHeight="1">
      <c r="A3159" s="133" t="s">
        <v>7</v>
      </c>
      <c r="B3159" s="133" t="s">
        <v>3617</v>
      </c>
      <c r="C3159" s="133" t="s">
        <v>253</v>
      </c>
      <c r="D3159" s="133" t="s">
        <v>477</v>
      </c>
      <c r="E3159" s="158">
        <v>7</v>
      </c>
      <c r="F3159" s="158">
        <v>0</v>
      </c>
      <c r="G3159" s="158">
        <v>0</v>
      </c>
      <c r="H3159" s="133" t="s">
        <v>1130</v>
      </c>
      <c r="I3159" s="133" t="s">
        <v>548</v>
      </c>
      <c r="J3159" s="158">
        <v>0</v>
      </c>
      <c r="K3159" s="159" t="str">
        <f ca="1">IFERROR(__xludf.DUMMYFUNCTION("GOOGLETRANSLATE(H3159,""th"",""en"")"),"Product code")</f>
        <v>Product code</v>
      </c>
    </row>
    <row r="3160" spans="1:11" ht="15.75" hidden="1" customHeight="1">
      <c r="A3160" s="133" t="s">
        <v>7</v>
      </c>
      <c r="B3160" s="133" t="s">
        <v>3617</v>
      </c>
      <c r="C3160" s="133" t="s">
        <v>3177</v>
      </c>
      <c r="D3160" s="133" t="s">
        <v>477</v>
      </c>
      <c r="E3160" s="158">
        <v>55</v>
      </c>
      <c r="F3160" s="158">
        <v>0</v>
      </c>
      <c r="G3160" s="158">
        <v>0</v>
      </c>
      <c r="H3160" s="133" t="s">
        <v>3178</v>
      </c>
      <c r="I3160" s="133" t="s">
        <v>548</v>
      </c>
      <c r="J3160" s="158">
        <v>0</v>
      </c>
      <c r="K3160" s="159" t="str">
        <f ca="1">IFERROR(__xludf.DUMMYFUNCTION("GOOGLETRANSLATE(H3160,""th"",""en"")"),"Product name Thai (short)")</f>
        <v>Product name Thai (short)</v>
      </c>
    </row>
    <row r="3161" spans="1:11" ht="15.75" hidden="1" customHeight="1">
      <c r="A3161" s="133" t="s">
        <v>7</v>
      </c>
      <c r="B3161" s="133" t="s">
        <v>3617</v>
      </c>
      <c r="C3161" s="133" t="s">
        <v>3179</v>
      </c>
      <c r="D3161" s="133" t="s">
        <v>477</v>
      </c>
      <c r="E3161" s="158">
        <v>200</v>
      </c>
      <c r="F3161" s="158">
        <v>0</v>
      </c>
      <c r="G3161" s="158">
        <v>0</v>
      </c>
      <c r="H3161" s="133" t="s">
        <v>3180</v>
      </c>
      <c r="I3161" s="133" t="s">
        <v>548</v>
      </c>
      <c r="J3161" s="158">
        <v>0</v>
      </c>
      <c r="K3161" s="159" t="str">
        <f ca="1">IFERROR(__xludf.DUMMYFUNCTION("GOOGLETRANSLATE(H3161,""th"",""en"")"),"Product name Thai (long)")</f>
        <v>Product name Thai (long)</v>
      </c>
    </row>
    <row r="3162" spans="1:11" ht="15.75" hidden="1" customHeight="1">
      <c r="A3162" s="133" t="s">
        <v>7</v>
      </c>
      <c r="B3162" s="133" t="s">
        <v>3617</v>
      </c>
      <c r="C3162" s="133" t="s">
        <v>3181</v>
      </c>
      <c r="D3162" s="133" t="s">
        <v>477</v>
      </c>
      <c r="E3162" s="158">
        <v>55</v>
      </c>
      <c r="F3162" s="158">
        <v>0</v>
      </c>
      <c r="G3162" s="158">
        <v>0</v>
      </c>
      <c r="H3162" s="133" t="s">
        <v>3182</v>
      </c>
      <c r="I3162" s="133" t="s">
        <v>548</v>
      </c>
      <c r="J3162" s="158">
        <v>0</v>
      </c>
      <c r="K3162" s="159" t="str">
        <f ca="1">IFERROR(__xludf.DUMMYFUNCTION("GOOGLETRANSLATE(H3162,""th"",""en"")"),"Product name used in various documents (Shortname + Brand + Series)")</f>
        <v>Product name used in various documents (Shortname + Brand + Series)</v>
      </c>
    </row>
    <row r="3163" spans="1:11" ht="15.75" hidden="1" customHeight="1">
      <c r="A3163" s="133" t="s">
        <v>7</v>
      </c>
      <c r="B3163" s="133" t="s">
        <v>3617</v>
      </c>
      <c r="C3163" s="133" t="s">
        <v>3183</v>
      </c>
      <c r="D3163" s="133" t="s">
        <v>477</v>
      </c>
      <c r="E3163" s="158">
        <v>155</v>
      </c>
      <c r="F3163" s="158">
        <v>0</v>
      </c>
      <c r="G3163" s="158">
        <v>0</v>
      </c>
      <c r="H3163" s="133" t="s">
        <v>3184</v>
      </c>
      <c r="I3163" s="133" t="s">
        <v>548</v>
      </c>
      <c r="J3163" s="158">
        <v>0</v>
      </c>
      <c r="K3163" s="159" t="str">
        <f ca="1">IFERROR(__xludf.DUMMYFUNCTION("GOOGLETRANSLATE(H3163,""th"",""en"")"),"English product name")</f>
        <v>English product name</v>
      </c>
    </row>
    <row r="3164" spans="1:11" ht="15.75" hidden="1" customHeight="1">
      <c r="A3164" s="133" t="s">
        <v>7</v>
      </c>
      <c r="B3164" s="133" t="s">
        <v>3617</v>
      </c>
      <c r="C3164" s="133" t="s">
        <v>3185</v>
      </c>
      <c r="D3164" s="133" t="s">
        <v>477</v>
      </c>
      <c r="E3164" s="158">
        <v>10</v>
      </c>
      <c r="F3164" s="158">
        <v>0</v>
      </c>
      <c r="G3164" s="158">
        <v>0</v>
      </c>
      <c r="H3164" s="133" t="s">
        <v>3186</v>
      </c>
      <c r="I3164" s="133" t="s">
        <v>548</v>
      </c>
      <c r="J3164" s="158">
        <v>0</v>
      </c>
      <c r="K3164" s="159" t="str">
        <f ca="1">IFERROR(__xludf.DUMMYFUNCTION("GOOGLETRANSLATE(H3164,""th"",""en"")"),"Product Status (New: New Product [Refrigeration Information / Product / Stock Information], Stock: Ready to sell, nonstock: Products ready to sell, not stock, clearance: Product Clearance, Preorder: Preorder products (waiting for production / import) , Ho"&amp;"ld: The product is not ready for sale, free: free gift, delete: product, cancel, limited: products ready to sell With a limited number)")</f>
        <v>Product Status (New: New Product [Refrigeration Information / Product / Stock Information], Stock: Ready to sell, nonstock: Products ready to sell, not stock, clearance: Product Clearance, Preorder: Preorder products (waiting for production / import) , Hold: The product is not ready for sale, free: free gift, delete: product, cancel, limited: products ready to sell With a limited number)</v>
      </c>
    </row>
    <row r="3165" spans="1:11" ht="15.75" hidden="1" customHeight="1">
      <c r="A3165" s="133" t="s">
        <v>7</v>
      </c>
      <c r="B3165" s="133" t="s">
        <v>3617</v>
      </c>
      <c r="C3165" s="133" t="s">
        <v>3187</v>
      </c>
      <c r="D3165" s="133" t="s">
        <v>477</v>
      </c>
      <c r="E3165" s="158">
        <v>500</v>
      </c>
      <c r="F3165" s="158">
        <v>0</v>
      </c>
      <c r="G3165" s="158">
        <v>0</v>
      </c>
      <c r="H3165" s="133" t="s">
        <v>3188</v>
      </c>
      <c r="I3165" s="133" t="s">
        <v>548</v>
      </c>
      <c r="J3165" s="158">
        <v>0</v>
      </c>
      <c r="K3165" s="159" t="str">
        <f ca="1">IFERROR(__xludf.DUMMYFUNCTION("GOOGLETRANSLATE(H3165,""th"",""en"")"),"Note of product status")</f>
        <v>Note of product status</v>
      </c>
    </row>
    <row r="3166" spans="1:11" ht="15.75" hidden="1" customHeight="1">
      <c r="A3166" s="133" t="s">
        <v>7</v>
      </c>
      <c r="B3166" s="133" t="s">
        <v>3617</v>
      </c>
      <c r="C3166" s="133" t="s">
        <v>3189</v>
      </c>
      <c r="D3166" s="133" t="s">
        <v>477</v>
      </c>
      <c r="E3166" s="158">
        <v>1000</v>
      </c>
      <c r="F3166" s="158">
        <v>0</v>
      </c>
      <c r="G3166" s="158">
        <v>0</v>
      </c>
      <c r="H3166" s="133" t="s">
        <v>3190</v>
      </c>
      <c r="I3166" s="133" t="s">
        <v>548</v>
      </c>
      <c r="J3166" s="158">
        <v>0</v>
      </c>
      <c r="K3166" s="159" t="str">
        <f ca="1">IFERROR(__xludf.DUMMYFUNCTION("GOOGLETRANSLATE(H3166,""th"",""en"")"),"Internal notes")</f>
        <v>Internal notes</v>
      </c>
    </row>
    <row r="3167" spans="1:11" ht="15.75" hidden="1" customHeight="1">
      <c r="A3167" s="133" t="s">
        <v>7</v>
      </c>
      <c r="B3167" s="133" t="s">
        <v>3617</v>
      </c>
      <c r="C3167" s="133" t="s">
        <v>3191</v>
      </c>
      <c r="D3167" s="133" t="s">
        <v>477</v>
      </c>
      <c r="E3167" s="158">
        <v>450</v>
      </c>
      <c r="F3167" s="158">
        <v>0</v>
      </c>
      <c r="G3167" s="158">
        <v>0</v>
      </c>
      <c r="H3167" s="133" t="s">
        <v>3192</v>
      </c>
      <c r="I3167" s="133" t="s">
        <v>548</v>
      </c>
      <c r="J3167" s="158">
        <v>0</v>
      </c>
      <c r="K3167" s="159" t="str">
        <f ca="1">IFERROR(__xludf.DUMMYFUNCTION("GOOGLETRANSLATE(H3167,""th"",""en"")"),"Thai product description (short)")</f>
        <v>Thai product description (short)</v>
      </c>
    </row>
    <row r="3168" spans="1:11" ht="15.75" hidden="1" customHeight="1">
      <c r="A3168" s="133" t="s">
        <v>7</v>
      </c>
      <c r="B3168" s="133" t="s">
        <v>3617</v>
      </c>
      <c r="C3168" s="133" t="s">
        <v>3193</v>
      </c>
      <c r="D3168" s="133" t="s">
        <v>477</v>
      </c>
      <c r="E3168" s="158">
        <v>450</v>
      </c>
      <c r="F3168" s="158">
        <v>0</v>
      </c>
      <c r="G3168" s="158">
        <v>0</v>
      </c>
      <c r="H3168" s="133" t="s">
        <v>3194</v>
      </c>
      <c r="I3168" s="133" t="s">
        <v>548</v>
      </c>
      <c r="J3168" s="158">
        <v>0</v>
      </c>
      <c r="K3168" s="159" t="str">
        <f ca="1">IFERROR(__xludf.DUMMYFUNCTION("GOOGLETRANSLATE(H3168,""th"",""en"")"),"English product description (short)")</f>
        <v>English product description (short)</v>
      </c>
    </row>
    <row r="3169" spans="1:11" ht="15.75" hidden="1" customHeight="1">
      <c r="A3169" s="133" t="s">
        <v>7</v>
      </c>
      <c r="B3169" s="133" t="s">
        <v>3617</v>
      </c>
      <c r="C3169" s="133" t="s">
        <v>3195</v>
      </c>
      <c r="D3169" s="133" t="s">
        <v>477</v>
      </c>
      <c r="E3169" s="158">
        <v>-1</v>
      </c>
      <c r="F3169" s="158">
        <v>0</v>
      </c>
      <c r="G3169" s="158">
        <v>0</v>
      </c>
      <c r="H3169" s="133" t="s">
        <v>3196</v>
      </c>
      <c r="I3169" s="133" t="s">
        <v>548</v>
      </c>
      <c r="J3169" s="158">
        <v>0</v>
      </c>
      <c r="K3169" s="159" t="str">
        <f ca="1">IFERROR(__xludf.DUMMYFUNCTION("GOOGLETRANSLATE(H3169,""th"",""en"")"),"Thai product description (long)")</f>
        <v>Thai product description (long)</v>
      </c>
    </row>
    <row r="3170" spans="1:11" ht="15.75" hidden="1" customHeight="1">
      <c r="A3170" s="133" t="s">
        <v>7</v>
      </c>
      <c r="B3170" s="133" t="s">
        <v>3617</v>
      </c>
      <c r="C3170" s="133" t="s">
        <v>3197</v>
      </c>
      <c r="D3170" s="133" t="s">
        <v>477</v>
      </c>
      <c r="E3170" s="158">
        <v>-1</v>
      </c>
      <c r="F3170" s="158">
        <v>0</v>
      </c>
      <c r="G3170" s="158">
        <v>0</v>
      </c>
      <c r="H3170" s="133" t="s">
        <v>3198</v>
      </c>
      <c r="I3170" s="133" t="s">
        <v>548</v>
      </c>
      <c r="J3170" s="158">
        <v>0</v>
      </c>
      <c r="K3170" s="159" t="str">
        <f ca="1">IFERROR(__xludf.DUMMYFUNCTION("GOOGLETRANSLATE(H3170,""th"",""en"")"),"English product description (long)")</f>
        <v>English product description (long)</v>
      </c>
    </row>
    <row r="3171" spans="1:11" ht="15.75" hidden="1" customHeight="1">
      <c r="A3171" s="133" t="s">
        <v>7</v>
      </c>
      <c r="B3171" s="133" t="s">
        <v>3617</v>
      </c>
      <c r="C3171" s="133" t="s">
        <v>2694</v>
      </c>
      <c r="D3171" s="133" t="s">
        <v>477</v>
      </c>
      <c r="E3171" s="158">
        <v>1000</v>
      </c>
      <c r="F3171" s="158">
        <v>0</v>
      </c>
      <c r="G3171" s="158">
        <v>0</v>
      </c>
      <c r="H3171" s="133" t="s">
        <v>3199</v>
      </c>
      <c r="I3171" s="133" t="s">
        <v>548</v>
      </c>
      <c r="J3171" s="158">
        <v>0</v>
      </c>
      <c r="K3171" s="159" t="str">
        <f ca="1">IFERROR(__xludf.DUMMYFUNCTION("GOOGLETRANSLATE(H3171,""th"",""en"")"),"Free information")</f>
        <v>Free information</v>
      </c>
    </row>
    <row r="3172" spans="1:11" ht="15.75" hidden="1" customHeight="1">
      <c r="A3172" s="133" t="s">
        <v>7</v>
      </c>
      <c r="B3172" s="133" t="s">
        <v>3617</v>
      </c>
      <c r="C3172" s="133" t="s">
        <v>3200</v>
      </c>
      <c r="D3172" s="133" t="s">
        <v>477</v>
      </c>
      <c r="E3172" s="158">
        <v>20</v>
      </c>
      <c r="F3172" s="158">
        <v>0</v>
      </c>
      <c r="G3172" s="158">
        <v>0</v>
      </c>
      <c r="H3172" s="133" t="s">
        <v>3201</v>
      </c>
      <c r="I3172" s="133" t="s">
        <v>548</v>
      </c>
      <c r="J3172" s="158">
        <v>0</v>
      </c>
      <c r="K3172" s="159" t="str">
        <f ca="1">IFERROR(__xludf.DUMMYFUNCTION("GOOGLETRANSLATE(H3172,""th"",""en"")"),"Barcode number of this product")</f>
        <v>Barcode number of this product</v>
      </c>
    </row>
    <row r="3173" spans="1:11" ht="15.75" hidden="1" customHeight="1">
      <c r="A3173" s="133" t="s">
        <v>7</v>
      </c>
      <c r="B3173" s="133" t="s">
        <v>3617</v>
      </c>
      <c r="C3173" s="133" t="s">
        <v>3202</v>
      </c>
      <c r="D3173" s="133" t="s">
        <v>477</v>
      </c>
      <c r="E3173" s="158">
        <v>20</v>
      </c>
      <c r="F3173" s="158">
        <v>0</v>
      </c>
      <c r="G3173" s="158">
        <v>0</v>
      </c>
      <c r="H3173" s="133" t="s">
        <v>3203</v>
      </c>
      <c r="I3173" s="133" t="s">
        <v>548</v>
      </c>
      <c r="J3173" s="158">
        <v>0</v>
      </c>
      <c r="K3173" s="159" t="str">
        <f ca="1">IFERROR(__xludf.DUMMYFUNCTION("GOOGLETRANSLATE(H3173,""th"",""en"")"),"Barcode number of shop")</f>
        <v>Barcode number of shop</v>
      </c>
    </row>
    <row r="3174" spans="1:11" ht="15.75" hidden="1" customHeight="1">
      <c r="A3174" s="133" t="s">
        <v>7</v>
      </c>
      <c r="B3174" s="133" t="s">
        <v>3617</v>
      </c>
      <c r="C3174" s="133" t="s">
        <v>3204</v>
      </c>
      <c r="D3174" s="133" t="s">
        <v>477</v>
      </c>
      <c r="E3174" s="158">
        <v>7</v>
      </c>
      <c r="F3174" s="158">
        <v>0</v>
      </c>
      <c r="G3174" s="158">
        <v>0</v>
      </c>
      <c r="H3174" s="133" t="s">
        <v>2848</v>
      </c>
      <c r="I3174" s="133" t="s">
        <v>548</v>
      </c>
      <c r="J3174" s="158">
        <v>0</v>
      </c>
      <c r="K3174" s="159" t="str">
        <f ca="1">IFERROR(__xludf.DUMMYFUNCTION("GOOGLETRANSLATE(H3174,""th"",""en"")"),"Unit &amp; Selling Price. Standard Unit Name")</f>
        <v>Unit &amp; Selling Price. Standard Unit Name</v>
      </c>
    </row>
    <row r="3175" spans="1:11" ht="15.75" hidden="1" customHeight="1">
      <c r="A3175" s="133" t="s">
        <v>7</v>
      </c>
      <c r="B3175" s="133" t="s">
        <v>3617</v>
      </c>
      <c r="C3175" s="133" t="s">
        <v>3205</v>
      </c>
      <c r="D3175" s="133" t="s">
        <v>477</v>
      </c>
      <c r="E3175" s="158">
        <v>3</v>
      </c>
      <c r="F3175" s="158">
        <v>0</v>
      </c>
      <c r="G3175" s="158">
        <v>0</v>
      </c>
      <c r="H3175" s="133" t="s">
        <v>825</v>
      </c>
      <c r="I3175" s="133" t="s">
        <v>548</v>
      </c>
      <c r="J3175" s="158">
        <v>0</v>
      </c>
      <c r="K3175" s="159" t="str">
        <f ca="1">IFERROR(__xludf.DUMMYFUNCTION("GOOGLETRANSLATE(H3175,""th"",""en"")"),"Category Category")</f>
        <v>Category Category</v>
      </c>
    </row>
    <row r="3176" spans="1:11" ht="15.75" hidden="1" customHeight="1">
      <c r="A3176" s="133" t="s">
        <v>7</v>
      </c>
      <c r="B3176" s="133" t="s">
        <v>3617</v>
      </c>
      <c r="C3176" s="133" t="s">
        <v>1949</v>
      </c>
      <c r="D3176" s="133" t="s">
        <v>477</v>
      </c>
      <c r="E3176" s="158">
        <v>2</v>
      </c>
      <c r="F3176" s="158">
        <v>0</v>
      </c>
      <c r="G3176" s="158">
        <v>0</v>
      </c>
      <c r="H3176" s="133" t="s">
        <v>827</v>
      </c>
      <c r="I3176" s="133" t="s">
        <v>548</v>
      </c>
      <c r="J3176" s="158">
        <v>0</v>
      </c>
      <c r="K3176" s="159" t="str">
        <f ca="1">IFERROR(__xludf.DUMMYFUNCTION("GOOGLETRANSLATE(H3176,""th"",""en"")"),"Subcategory code")</f>
        <v>Subcategory code</v>
      </c>
    </row>
    <row r="3177" spans="1:11" ht="15.75" hidden="1" customHeight="1">
      <c r="A3177" s="133" t="s">
        <v>7</v>
      </c>
      <c r="B3177" s="133" t="s">
        <v>3617</v>
      </c>
      <c r="C3177" s="133" t="s">
        <v>3206</v>
      </c>
      <c r="D3177" s="133" t="s">
        <v>484</v>
      </c>
      <c r="E3177" s="158">
        <v>4</v>
      </c>
      <c r="F3177" s="158">
        <v>10</v>
      </c>
      <c r="G3177" s="158">
        <v>0</v>
      </c>
      <c r="H3177" s="133" t="s">
        <v>3207</v>
      </c>
      <c r="I3177" s="133" t="s">
        <v>615</v>
      </c>
      <c r="J3177" s="158">
        <v>0</v>
      </c>
      <c r="K3177" s="159" t="str">
        <f ca="1">IFERROR(__xludf.DUMMYFUNCTION("GOOGLETRANSLATE(H3177,""th"",""en"")"),"Disclaimer: Brand and model code")</f>
        <v>Disclaimer: Brand and model code</v>
      </c>
    </row>
    <row r="3178" spans="1:11" ht="15.75" hidden="1" customHeight="1">
      <c r="A3178" s="133" t="s">
        <v>7</v>
      </c>
      <c r="B3178" s="133" t="s">
        <v>3617</v>
      </c>
      <c r="C3178" s="133" t="s">
        <v>1954</v>
      </c>
      <c r="D3178" s="133" t="s">
        <v>477</v>
      </c>
      <c r="E3178" s="158">
        <v>30</v>
      </c>
      <c r="F3178" s="158">
        <v>0</v>
      </c>
      <c r="G3178" s="158">
        <v>0</v>
      </c>
      <c r="H3178" s="133" t="s">
        <v>3208</v>
      </c>
      <c r="I3178" s="133" t="s">
        <v>548</v>
      </c>
      <c r="J3178" s="158">
        <v>0</v>
      </c>
      <c r="K3178" s="159" t="str">
        <f ca="1">IFERROR(__xludf.DUMMYFUNCTION("GOOGLETRANSLATE(H3178,""th"",""en"")"),"Product brand (from PIM)")</f>
        <v>Product brand (from PIM)</v>
      </c>
    </row>
    <row r="3179" spans="1:11" ht="15.75" hidden="1" customHeight="1">
      <c r="A3179" s="133" t="s">
        <v>7</v>
      </c>
      <c r="B3179" s="133" t="s">
        <v>3617</v>
      </c>
      <c r="C3179" s="133" t="s">
        <v>1956</v>
      </c>
      <c r="D3179" s="133" t="s">
        <v>477</v>
      </c>
      <c r="E3179" s="158">
        <v>30</v>
      </c>
      <c r="F3179" s="158">
        <v>0</v>
      </c>
      <c r="G3179" s="158">
        <v>0</v>
      </c>
      <c r="H3179" s="133" t="s">
        <v>3209</v>
      </c>
      <c r="I3179" s="133" t="s">
        <v>548</v>
      </c>
      <c r="J3179" s="158">
        <v>0</v>
      </c>
      <c r="K3179" s="159" t="str">
        <f ca="1">IFERROR(__xludf.DUMMYFUNCTION("GOOGLETRANSLATE(H3179,""th"",""en"")"),"Brand name Thai product")</f>
        <v>Brand name Thai product</v>
      </c>
    </row>
    <row r="3180" spans="1:11" ht="15.75" hidden="1" customHeight="1">
      <c r="A3180" s="133" t="s">
        <v>7</v>
      </c>
      <c r="B3180" s="133" t="s">
        <v>3617</v>
      </c>
      <c r="C3180" s="133" t="s">
        <v>1958</v>
      </c>
      <c r="D3180" s="133" t="s">
        <v>477</v>
      </c>
      <c r="E3180" s="158">
        <v>30</v>
      </c>
      <c r="F3180" s="158">
        <v>0</v>
      </c>
      <c r="G3180" s="158">
        <v>0</v>
      </c>
      <c r="H3180" s="133" t="s">
        <v>3210</v>
      </c>
      <c r="I3180" s="133" t="s">
        <v>548</v>
      </c>
      <c r="J3180" s="158">
        <v>0</v>
      </c>
      <c r="K3180" s="159" t="str">
        <f ca="1">IFERROR(__xludf.DUMMYFUNCTION("GOOGLETRANSLATE(H3180,""th"",""en"")"),"Brand name English products")</f>
        <v>Brand name English products</v>
      </c>
    </row>
    <row r="3181" spans="1:11" ht="15.75" hidden="1" customHeight="1">
      <c r="A3181" s="133" t="s">
        <v>7</v>
      </c>
      <c r="B3181" s="133" t="s">
        <v>3617</v>
      </c>
      <c r="C3181" s="133" t="s">
        <v>2182</v>
      </c>
      <c r="D3181" s="133" t="s">
        <v>477</v>
      </c>
      <c r="E3181" s="158">
        <v>30</v>
      </c>
      <c r="F3181" s="158">
        <v>0</v>
      </c>
      <c r="G3181" s="158">
        <v>0</v>
      </c>
      <c r="H3181" s="133" t="s">
        <v>2183</v>
      </c>
      <c r="I3181" s="133" t="s">
        <v>548</v>
      </c>
      <c r="J3181" s="158">
        <v>0</v>
      </c>
      <c r="K3181" s="159" t="str">
        <f ca="1">IFERROR(__xludf.DUMMYFUNCTION("GOOGLETRANSLATE(H3181,""th"",""en"")"),"Product version code (from PIM)")</f>
        <v>Product version code (from PIM)</v>
      </c>
    </row>
    <row r="3182" spans="1:11" ht="15.75" hidden="1" customHeight="1">
      <c r="A3182" s="133" t="s">
        <v>7</v>
      </c>
      <c r="B3182" s="133" t="s">
        <v>3617</v>
      </c>
      <c r="C3182" s="133" t="s">
        <v>2175</v>
      </c>
      <c r="D3182" s="133" t="s">
        <v>477</v>
      </c>
      <c r="E3182" s="158">
        <v>30</v>
      </c>
      <c r="F3182" s="158">
        <v>0</v>
      </c>
      <c r="G3182" s="158">
        <v>0</v>
      </c>
      <c r="H3182" s="133" t="s">
        <v>2176</v>
      </c>
      <c r="I3182" s="133" t="s">
        <v>548</v>
      </c>
      <c r="J3182" s="158">
        <v>0</v>
      </c>
      <c r="K3182" s="159" t="str">
        <f ca="1">IFERROR(__xludf.DUMMYFUNCTION("GOOGLETRANSLATE(H3182,""th"",""en"")"),"Thai product model name")</f>
        <v>Thai product model name</v>
      </c>
    </row>
    <row r="3183" spans="1:11" ht="15.75" hidden="1" customHeight="1">
      <c r="A3183" s="133" t="s">
        <v>7</v>
      </c>
      <c r="B3183" s="133" t="s">
        <v>3617</v>
      </c>
      <c r="C3183" s="133" t="s">
        <v>2177</v>
      </c>
      <c r="D3183" s="133" t="s">
        <v>477</v>
      </c>
      <c r="E3183" s="158">
        <v>30</v>
      </c>
      <c r="F3183" s="158">
        <v>0</v>
      </c>
      <c r="G3183" s="158">
        <v>0</v>
      </c>
      <c r="H3183" s="133" t="s">
        <v>2178</v>
      </c>
      <c r="I3183" s="133" t="s">
        <v>548</v>
      </c>
      <c r="J3183" s="158">
        <v>0</v>
      </c>
      <c r="K3183" s="159" t="str">
        <f ca="1">IFERROR(__xludf.DUMMYFUNCTION("GOOGLETRANSLATE(H3183,""th"",""en"")"),"English product model name")</f>
        <v>English product model name</v>
      </c>
    </row>
    <row r="3184" spans="1:11" ht="15.75" hidden="1" customHeight="1">
      <c r="A3184" s="133" t="s">
        <v>7</v>
      </c>
      <c r="B3184" s="133" t="s">
        <v>3617</v>
      </c>
      <c r="C3184" s="133" t="s">
        <v>3211</v>
      </c>
      <c r="D3184" s="133" t="s">
        <v>477</v>
      </c>
      <c r="E3184" s="158">
        <v>3</v>
      </c>
      <c r="F3184" s="158">
        <v>0</v>
      </c>
      <c r="G3184" s="158">
        <v>0</v>
      </c>
      <c r="H3184" s="133" t="s">
        <v>3212</v>
      </c>
      <c r="I3184" s="133" t="s">
        <v>2011</v>
      </c>
      <c r="J3184" s="158">
        <v>0</v>
      </c>
      <c r="K3184" s="159" t="str">
        <f ca="1">IFERROR(__xludf.DUMMYFUNCTION("GOOGLETRANSLATE(H3184,""th"",""en"")"),"Determine the name shown at the prodtlname (no = shortname, yes = shortname + brand + series)")</f>
        <v>Determine the name shown at the prodtlname (no = shortname, yes = shortname + brand + series)</v>
      </c>
    </row>
    <row r="3185" spans="1:11" ht="15.75" hidden="1" customHeight="1">
      <c r="A3185" s="133" t="s">
        <v>7</v>
      </c>
      <c r="B3185" s="133" t="s">
        <v>3617</v>
      </c>
      <c r="C3185" s="133" t="s">
        <v>3213</v>
      </c>
      <c r="D3185" s="133" t="s">
        <v>477</v>
      </c>
      <c r="E3185" s="158">
        <v>3</v>
      </c>
      <c r="F3185" s="158">
        <v>0</v>
      </c>
      <c r="G3185" s="158">
        <v>0</v>
      </c>
      <c r="H3185" s="133" t="s">
        <v>3214</v>
      </c>
      <c r="I3185" s="133" t="s">
        <v>596</v>
      </c>
      <c r="J3185" s="158">
        <v>0</v>
      </c>
      <c r="K3185" s="159" t="str">
        <f ca="1">IFERROR(__xludf.DUMMYFUNCTION("GOOGLETRANSLATE(H3185,""th"",""en"")"),"Product Collecting Housbrands (Y: Product Housebrands, N: Not the product housebrands)")</f>
        <v>Product Collecting Housbrands (Y: Product Housebrands, N: Not the product housebrands)</v>
      </c>
    </row>
    <row r="3186" spans="1:11" ht="15.75" hidden="1" customHeight="1">
      <c r="A3186" s="133" t="s">
        <v>7</v>
      </c>
      <c r="B3186" s="133" t="s">
        <v>3617</v>
      </c>
      <c r="C3186" s="133" t="s">
        <v>3215</v>
      </c>
      <c r="D3186" s="133" t="s">
        <v>477</v>
      </c>
      <c r="E3186" s="158">
        <v>255</v>
      </c>
      <c r="F3186" s="158">
        <v>0</v>
      </c>
      <c r="G3186" s="158">
        <v>0</v>
      </c>
      <c r="H3186" s="133" t="s">
        <v>3216</v>
      </c>
      <c r="I3186" s="133" t="s">
        <v>548</v>
      </c>
      <c r="J3186" s="158">
        <v>0</v>
      </c>
      <c r="K3186" s="159" t="str">
        <f ca="1">IFERROR(__xludf.DUMMYFUNCTION("GOOGLETRANSLATE(H3186,""th"",""en"")"),"Product QC Note")</f>
        <v>Product QC Note</v>
      </c>
    </row>
    <row r="3187" spans="1:11" ht="15.75" hidden="1" customHeight="1">
      <c r="A3187" s="133" t="s">
        <v>7</v>
      </c>
      <c r="B3187" s="133" t="s">
        <v>3617</v>
      </c>
      <c r="C3187" s="133" t="s">
        <v>3217</v>
      </c>
      <c r="D3187" s="133" t="s">
        <v>477</v>
      </c>
      <c r="E3187" s="158">
        <v>5</v>
      </c>
      <c r="F3187" s="158">
        <v>0</v>
      </c>
      <c r="G3187" s="158">
        <v>0</v>
      </c>
      <c r="H3187" s="133" t="s">
        <v>3218</v>
      </c>
      <c r="I3187" s="133" t="s">
        <v>3219</v>
      </c>
      <c r="J3187" s="158">
        <v>0</v>
      </c>
      <c r="K3187" s="159" t="str">
        <f ca="1">IFERROR(__xludf.DUMMYFUNCTION("GOOGLETRANSLATE(H3187,""th"",""en"")"),"Standing product price (3m / 6m / 12m / no)")</f>
        <v>Standing product price (3m / 6m / 12m / no)</v>
      </c>
    </row>
    <row r="3188" spans="1:11" ht="15.75" hidden="1" customHeight="1">
      <c r="A3188" s="133" t="s">
        <v>7</v>
      </c>
      <c r="B3188" s="133" t="s">
        <v>3617</v>
      </c>
      <c r="C3188" s="133" t="s">
        <v>2437</v>
      </c>
      <c r="D3188" s="133" t="s">
        <v>477</v>
      </c>
      <c r="E3188" s="158">
        <v>20</v>
      </c>
      <c r="F3188" s="158">
        <v>0</v>
      </c>
      <c r="G3188" s="158">
        <v>0</v>
      </c>
      <c r="H3188" s="133" t="s">
        <v>3220</v>
      </c>
      <c r="I3188" s="133" t="s">
        <v>548</v>
      </c>
      <c r="J3188" s="158">
        <v>0</v>
      </c>
      <c r="K3188" s="159" t="str">
        <f ca="1">IFERROR(__xludf.DUMMYFUNCTION("GOOGLETRANSLATE(H3188,""th"",""en"")"),"Product Type (B: Book, C: Computer, F: Furniture, O: Office Automation, T: Trendy, i: Ink)")</f>
        <v>Product Type (B: Book, C: Computer, F: Furniture, O: Office Automation, T: Trendy, i: Ink)</v>
      </c>
    </row>
    <row r="3189" spans="1:11" ht="15.75" hidden="1" customHeight="1">
      <c r="A3189" s="133" t="s">
        <v>7</v>
      </c>
      <c r="B3189" s="133" t="s">
        <v>3617</v>
      </c>
      <c r="C3189" s="133" t="s">
        <v>2345</v>
      </c>
      <c r="D3189" s="133" t="s">
        <v>477</v>
      </c>
      <c r="E3189" s="158">
        <v>3</v>
      </c>
      <c r="F3189" s="158">
        <v>0</v>
      </c>
      <c r="G3189" s="158">
        <v>0</v>
      </c>
      <c r="H3189" s="133" t="s">
        <v>3221</v>
      </c>
      <c r="I3189" s="133" t="s">
        <v>596</v>
      </c>
      <c r="J3189" s="158">
        <v>0</v>
      </c>
      <c r="K3189" s="159" t="str">
        <f ca="1">IFERROR(__xludf.DUMMYFUNCTION("GOOGLETRANSLATE(H3189,""th"",""en"")"),"Determined to be a deposit (Y: Consignment / N: Normal product)")</f>
        <v>Determined to be a deposit (Y: Consignment / N: Normal product)</v>
      </c>
    </row>
    <row r="3190" spans="1:11" ht="15.75" hidden="1" customHeight="1">
      <c r="A3190" s="133" t="s">
        <v>7</v>
      </c>
      <c r="B3190" s="133" t="s">
        <v>3617</v>
      </c>
      <c r="C3190" s="133" t="s">
        <v>3222</v>
      </c>
      <c r="D3190" s="133" t="s">
        <v>477</v>
      </c>
      <c r="E3190" s="158">
        <v>3</v>
      </c>
      <c r="F3190" s="158">
        <v>0</v>
      </c>
      <c r="G3190" s="158">
        <v>0</v>
      </c>
      <c r="H3190" s="133" t="s">
        <v>3223</v>
      </c>
      <c r="I3190" s="133" t="s">
        <v>596</v>
      </c>
      <c r="J3190" s="158">
        <v>0</v>
      </c>
      <c r="K3190" s="159" t="str">
        <f ca="1">IFERROR(__xludf.DUMMYFUNCTION("GOOGLETRANSLATE(H3190,""th"",""en"")"),"Y = genuine ink products and paper products (as BidPrice products), n = not as genuine ink and paper products (not be BidPrice)")</f>
        <v>Y = genuine ink products and paper products (as BidPrice products), n = not as genuine ink and paper products (not be BidPrice)</v>
      </c>
    </row>
    <row r="3191" spans="1:11" ht="15.75" hidden="1" customHeight="1">
      <c r="A3191" s="133" t="s">
        <v>7</v>
      </c>
      <c r="B3191" s="133" t="s">
        <v>3617</v>
      </c>
      <c r="C3191" s="133" t="s">
        <v>3224</v>
      </c>
      <c r="D3191" s="133" t="s">
        <v>477</v>
      </c>
      <c r="E3191" s="158">
        <v>3</v>
      </c>
      <c r="F3191" s="158">
        <v>0</v>
      </c>
      <c r="G3191" s="158">
        <v>0</v>
      </c>
      <c r="H3191" s="133" t="s">
        <v>3225</v>
      </c>
      <c r="I3191" s="133" t="s">
        <v>596</v>
      </c>
      <c r="J3191" s="158">
        <v>0</v>
      </c>
      <c r="K3191" s="159" t="str">
        <f ca="1">IFERROR(__xludf.DUMMYFUNCTION("GOOGLETRANSLATE(H3191,""th"",""en"")"),"Control Flag. Is the product available in Catalog? (Y = is in the current catalog, n = not in the current catalog)")</f>
        <v>Control Flag. Is the product available in Catalog? (Y = is in the current catalog, n = not in the current catalog)</v>
      </c>
    </row>
    <row r="3192" spans="1:11" ht="15.75" hidden="1" customHeight="1">
      <c r="A3192" s="133" t="s">
        <v>7</v>
      </c>
      <c r="B3192" s="133" t="s">
        <v>3617</v>
      </c>
      <c r="C3192" s="133" t="s">
        <v>3226</v>
      </c>
      <c r="D3192" s="133" t="s">
        <v>477</v>
      </c>
      <c r="E3192" s="158">
        <v>3</v>
      </c>
      <c r="F3192" s="158">
        <v>0</v>
      </c>
      <c r="G3192" s="158">
        <v>0</v>
      </c>
      <c r="H3192" s="133" t="s">
        <v>3227</v>
      </c>
      <c r="I3192" s="133" t="s">
        <v>596</v>
      </c>
      <c r="J3192" s="158">
        <v>0</v>
      </c>
      <c r="K3192" s="159" t="str">
        <f ca="1">IFERROR(__xludf.DUMMYFUNCTION("GOOGLETRANSLATE(H3192,""th"",""en"")"),"Keep data in the Catalog next year? (Yes: next year NO: Not in the next year)")</f>
        <v>Keep data in the Catalog next year? (Yes: next year NO: Not in the next year)</v>
      </c>
    </row>
    <row r="3193" spans="1:11" ht="15.75" hidden="1" customHeight="1">
      <c r="A3193" s="133" t="s">
        <v>7</v>
      </c>
      <c r="B3193" s="133" t="s">
        <v>3617</v>
      </c>
      <c r="C3193" s="133" t="s">
        <v>3228</v>
      </c>
      <c r="D3193" s="133" t="s">
        <v>477</v>
      </c>
      <c r="E3193" s="158">
        <v>20</v>
      </c>
      <c r="F3193" s="158">
        <v>0</v>
      </c>
      <c r="G3193" s="158">
        <v>0</v>
      </c>
      <c r="H3193" s="133" t="s">
        <v>3229</v>
      </c>
      <c r="I3193" s="133" t="s">
        <v>548</v>
      </c>
      <c r="J3193" s="158">
        <v>0</v>
      </c>
      <c r="K3193" s="159" t="str">
        <f ca="1">IFERROR(__xludf.DUMMYFUNCTION("GOOGLETRANSLATE(H3193,""th"",""en"")"),"Catalog page number")</f>
        <v>Catalog page number</v>
      </c>
    </row>
    <row r="3194" spans="1:11" ht="15.75" hidden="1" customHeight="1">
      <c r="A3194" s="133" t="s">
        <v>7</v>
      </c>
      <c r="B3194" s="133" t="s">
        <v>3617</v>
      </c>
      <c r="C3194" s="133" t="s">
        <v>3230</v>
      </c>
      <c r="D3194" s="133" t="s">
        <v>477</v>
      </c>
      <c r="E3194" s="158">
        <v>7</v>
      </c>
      <c r="F3194" s="158">
        <v>0</v>
      </c>
      <c r="G3194" s="158">
        <v>0</v>
      </c>
      <c r="H3194" s="133" t="s">
        <v>3231</v>
      </c>
      <c r="I3194" s="133" t="s">
        <v>548</v>
      </c>
      <c r="J3194" s="158">
        <v>0</v>
      </c>
      <c r="K3194" s="159" t="str">
        <f ca="1">IFERROR(__xludf.DUMMYFUNCTION("GOOGLETRANSLATE(H3194,""th"",""en"")"),"Which product has ever been in the latest Magazine?")</f>
        <v>Which product has ever been in the latest Magazine?</v>
      </c>
    </row>
    <row r="3195" spans="1:11" ht="15.75" hidden="1" customHeight="1">
      <c r="A3195" s="133" t="s">
        <v>7</v>
      </c>
      <c r="B3195" s="133" t="s">
        <v>3617</v>
      </c>
      <c r="C3195" s="133" t="s">
        <v>3232</v>
      </c>
      <c r="D3195" s="133" t="s">
        <v>484</v>
      </c>
      <c r="E3195" s="158">
        <v>4</v>
      </c>
      <c r="F3195" s="158">
        <v>10</v>
      </c>
      <c r="G3195" s="158">
        <v>0</v>
      </c>
      <c r="H3195" s="133" t="s">
        <v>3233</v>
      </c>
      <c r="I3195" s="133" t="s">
        <v>615</v>
      </c>
      <c r="J3195" s="158">
        <v>0</v>
      </c>
      <c r="K3195" s="159" t="str">
        <f ca="1">IFERROR(__xludf.DUMMYFUNCTION("GOOGLETRANSLATE(H3195,""th"",""en"")"),"Description. Page number in Magazine")</f>
        <v>Description. Page number in Magazine</v>
      </c>
    </row>
    <row r="3196" spans="1:11" ht="15.75" hidden="1" customHeight="1">
      <c r="A3196" s="133" t="s">
        <v>7</v>
      </c>
      <c r="B3196" s="133" t="s">
        <v>3617</v>
      </c>
      <c r="C3196" s="133" t="s">
        <v>3234</v>
      </c>
      <c r="D3196" s="133" t="s">
        <v>477</v>
      </c>
      <c r="E3196" s="158">
        <v>6</v>
      </c>
      <c r="F3196" s="158">
        <v>0</v>
      </c>
      <c r="G3196" s="158">
        <v>0</v>
      </c>
      <c r="H3196" s="133" t="s">
        <v>3235</v>
      </c>
      <c r="I3196" s="133" t="s">
        <v>548</v>
      </c>
      <c r="J3196" s="158">
        <v>0</v>
      </c>
      <c r="K3196" s="159" t="str">
        <f ca="1">IFERROR(__xludf.DUMMYFUNCTION("GOOGLETRANSLATE(H3196,""th"",""en"")"),"Vendor that sells this product for us last")</f>
        <v>Vendor that sells this product for us last</v>
      </c>
    </row>
    <row r="3197" spans="1:11" ht="15.75" hidden="1" customHeight="1">
      <c r="A3197" s="133" t="s">
        <v>7</v>
      </c>
      <c r="B3197" s="133" t="s">
        <v>3617</v>
      </c>
      <c r="C3197" s="133" t="s">
        <v>3236</v>
      </c>
      <c r="D3197" s="133" t="s">
        <v>481</v>
      </c>
      <c r="E3197" s="158">
        <v>5</v>
      </c>
      <c r="F3197" s="158">
        <v>6</v>
      </c>
      <c r="G3197" s="158">
        <v>4</v>
      </c>
      <c r="H3197" s="133" t="s">
        <v>3237</v>
      </c>
      <c r="I3197" s="133" t="s">
        <v>615</v>
      </c>
      <c r="J3197" s="158">
        <v>0</v>
      </c>
      <c r="K3197" s="159" t="str">
        <f ca="1">IFERROR(__xludf.DUMMYFUNCTION("GOOGLETRANSLATE(H3197,""th"",""en"")"),"Discount in the product")</f>
        <v>Discount in the product</v>
      </c>
    </row>
    <row r="3198" spans="1:11" ht="15.75" hidden="1" customHeight="1">
      <c r="A3198" s="133" t="s">
        <v>7</v>
      </c>
      <c r="B3198" s="133" t="s">
        <v>3617</v>
      </c>
      <c r="C3198" s="133" t="s">
        <v>3238</v>
      </c>
      <c r="D3198" s="133" t="s">
        <v>484</v>
      </c>
      <c r="E3198" s="158">
        <v>4</v>
      </c>
      <c r="F3198" s="158">
        <v>10</v>
      </c>
      <c r="G3198" s="158">
        <v>0</v>
      </c>
      <c r="H3198" s="133" t="s">
        <v>3239</v>
      </c>
      <c r="I3198" s="133" t="s">
        <v>615</v>
      </c>
      <c r="J3198" s="158">
        <v>0</v>
      </c>
      <c r="K3198" s="159" t="str">
        <f ca="1">IFERROR(__xludf.DUMMYFUNCTION("GOOGLETRANSLATE(H3198,""th"",""en"")"),"To sort productgroup")</f>
        <v>To sort productgroup</v>
      </c>
    </row>
    <row r="3199" spans="1:11" ht="15.75" hidden="1" customHeight="1">
      <c r="A3199" s="133" t="s">
        <v>7</v>
      </c>
      <c r="B3199" s="133" t="s">
        <v>3617</v>
      </c>
      <c r="C3199" s="133" t="s">
        <v>3240</v>
      </c>
      <c r="D3199" s="133" t="s">
        <v>484</v>
      </c>
      <c r="E3199" s="158">
        <v>4</v>
      </c>
      <c r="F3199" s="158">
        <v>10</v>
      </c>
      <c r="G3199" s="158">
        <v>0</v>
      </c>
      <c r="H3199" s="133" t="s">
        <v>3241</v>
      </c>
      <c r="I3199" s="133" t="s">
        <v>615</v>
      </c>
      <c r="J3199" s="158">
        <v>0</v>
      </c>
      <c r="K3199" s="159" t="str">
        <f ca="1">IFERROR(__xludf.DUMMYFUNCTION("GOOGLETRANSLATE(H3199,""th"",""en"")"),"To sort the product")</f>
        <v>To sort the product</v>
      </c>
    </row>
    <row r="3200" spans="1:11" ht="15.75" hidden="1" customHeight="1">
      <c r="A3200" s="133" t="s">
        <v>7</v>
      </c>
      <c r="B3200" s="133" t="s">
        <v>3617</v>
      </c>
      <c r="C3200" s="133" t="s">
        <v>852</v>
      </c>
      <c r="D3200" s="133" t="s">
        <v>477</v>
      </c>
      <c r="E3200" s="158">
        <v>2000</v>
      </c>
      <c r="F3200" s="158">
        <v>0</v>
      </c>
      <c r="G3200" s="158">
        <v>0</v>
      </c>
      <c r="H3200" s="133" t="s">
        <v>3242</v>
      </c>
      <c r="I3200" s="133" t="s">
        <v>548</v>
      </c>
      <c r="J3200" s="158">
        <v>0</v>
      </c>
      <c r="K3200" s="159" t="str">
        <f ca="1">IFERROR(__xludf.DUMMYFUNCTION("GOOGLETRANSLATE(H3200,""th"",""en"")"),"Keep keyword used to search for products")</f>
        <v>Keep keyword used to search for products</v>
      </c>
    </row>
    <row r="3201" spans="1:11" ht="15.75" hidden="1" customHeight="1">
      <c r="A3201" s="133" t="s">
        <v>7</v>
      </c>
      <c r="B3201" s="133" t="s">
        <v>3617</v>
      </c>
      <c r="C3201" s="133" t="s">
        <v>854</v>
      </c>
      <c r="D3201" s="133" t="s">
        <v>477</v>
      </c>
      <c r="E3201" s="158">
        <v>2000</v>
      </c>
      <c r="F3201" s="158">
        <v>0</v>
      </c>
      <c r="G3201" s="158">
        <v>0</v>
      </c>
      <c r="H3201" s="133" t="s">
        <v>3243</v>
      </c>
      <c r="I3201" s="133" t="s">
        <v>548</v>
      </c>
      <c r="J3201" s="158">
        <v>0</v>
      </c>
      <c r="K3201" s="159" t="str">
        <f ca="1">IFERROR(__xludf.DUMMYFUNCTION("GOOGLETRANSLATE(H3201,""th"",""en"")"),"Keep the product shared")</f>
        <v>Keep the product shared</v>
      </c>
    </row>
    <row r="3202" spans="1:11" ht="15.75" hidden="1" customHeight="1">
      <c r="A3202" s="133" t="s">
        <v>7</v>
      </c>
      <c r="B3202" s="133" t="s">
        <v>3617</v>
      </c>
      <c r="C3202" s="133" t="s">
        <v>856</v>
      </c>
      <c r="D3202" s="133" t="s">
        <v>477</v>
      </c>
      <c r="E3202" s="158">
        <v>2000</v>
      </c>
      <c r="F3202" s="158">
        <v>0</v>
      </c>
      <c r="G3202" s="158">
        <v>0</v>
      </c>
      <c r="H3202" s="133" t="s">
        <v>3244</v>
      </c>
      <c r="I3202" s="133" t="s">
        <v>548</v>
      </c>
      <c r="J3202" s="158">
        <v>0</v>
      </c>
      <c r="K3202" s="159" t="str">
        <f ca="1">IFERROR(__xludf.DUMMYFUNCTION("GOOGLETRANSLATE(H3202,""th"",""en"")"),"Keep KEY related products")</f>
        <v>Keep KEY related products</v>
      </c>
    </row>
    <row r="3203" spans="1:11" ht="15.75" hidden="1" customHeight="1">
      <c r="A3203" s="133" t="s">
        <v>7</v>
      </c>
      <c r="B3203" s="133" t="s">
        <v>3617</v>
      </c>
      <c r="C3203" s="133" t="s">
        <v>858</v>
      </c>
      <c r="D3203" s="133" t="s">
        <v>477</v>
      </c>
      <c r="E3203" s="158">
        <v>2000</v>
      </c>
      <c r="F3203" s="158">
        <v>0</v>
      </c>
      <c r="G3203" s="158">
        <v>0</v>
      </c>
      <c r="H3203" s="133" t="s">
        <v>3245</v>
      </c>
      <c r="I3203" s="133" t="s">
        <v>548</v>
      </c>
      <c r="J3203" s="158">
        <v>0</v>
      </c>
      <c r="K3203" s="159" t="str">
        <f ca="1">IFERROR(__xludf.DUMMYFUNCTION("GOOGLETRANSLATE(H3203,""th"",""en"")"),"Keep the product that is replaced")</f>
        <v>Keep the product that is replaced</v>
      </c>
    </row>
    <row r="3204" spans="1:11" ht="15.75" hidden="1" customHeight="1">
      <c r="A3204" s="133" t="s">
        <v>7</v>
      </c>
      <c r="B3204" s="133" t="s">
        <v>3617</v>
      </c>
      <c r="C3204" s="133" t="s">
        <v>3246</v>
      </c>
      <c r="D3204" s="133" t="s">
        <v>477</v>
      </c>
      <c r="E3204" s="158">
        <v>255</v>
      </c>
      <c r="F3204" s="158">
        <v>0</v>
      </c>
      <c r="G3204" s="158">
        <v>0</v>
      </c>
      <c r="H3204" s="133" t="s">
        <v>3247</v>
      </c>
      <c r="I3204" s="133" t="s">
        <v>548</v>
      </c>
      <c r="J3204" s="158">
        <v>0</v>
      </c>
      <c r="K3204" s="159" t="str">
        <f ca="1">IFERROR(__xludf.DUMMYFUNCTION("GOOGLETRANSLATE(H3204,""th"",""en"")"),"Discount information of this product (TEXT)")</f>
        <v>Discount information of this product (TEXT)</v>
      </c>
    </row>
    <row r="3205" spans="1:11" ht="15.75" hidden="1" customHeight="1">
      <c r="A3205" s="133" t="s">
        <v>7</v>
      </c>
      <c r="B3205" s="133" t="s">
        <v>3617</v>
      </c>
      <c r="C3205" s="133" t="s">
        <v>3248</v>
      </c>
      <c r="D3205" s="133" t="s">
        <v>477</v>
      </c>
      <c r="E3205" s="158">
        <v>255</v>
      </c>
      <c r="F3205" s="158">
        <v>0</v>
      </c>
      <c r="G3205" s="158">
        <v>0</v>
      </c>
      <c r="H3205" s="133" t="s">
        <v>3249</v>
      </c>
      <c r="I3205" s="133" t="s">
        <v>548</v>
      </c>
      <c r="J3205" s="158">
        <v>0</v>
      </c>
      <c r="K3205" s="159" t="str">
        <f ca="1">IFERROR(__xludf.DUMMYFUNCTION("GOOGLETRANSLATE(H3205,""th"",""en"")"),"Packing information of this product (Text)")</f>
        <v>Packing information of this product (Text)</v>
      </c>
    </row>
    <row r="3206" spans="1:11" ht="15.75" hidden="1" customHeight="1">
      <c r="A3206" s="133" t="s">
        <v>7</v>
      </c>
      <c r="B3206" s="133" t="s">
        <v>3617</v>
      </c>
      <c r="C3206" s="133" t="s">
        <v>3250</v>
      </c>
      <c r="D3206" s="133" t="s">
        <v>484</v>
      </c>
      <c r="E3206" s="158">
        <v>4</v>
      </c>
      <c r="F3206" s="158">
        <v>10</v>
      </c>
      <c r="G3206" s="158">
        <v>0</v>
      </c>
      <c r="H3206" s="133" t="s">
        <v>3251</v>
      </c>
      <c r="I3206" s="133" t="s">
        <v>615</v>
      </c>
      <c r="J3206" s="158">
        <v>0</v>
      </c>
      <c r="K3206" s="159" t="str">
        <f ca="1">IFERROR(__xludf.DUMMYFUNCTION("GOOGLETRANSLATE(H3206,""th"",""en"")"),"Fulfill number")</f>
        <v>Fulfill number</v>
      </c>
    </row>
    <row r="3207" spans="1:11" ht="15.75" hidden="1" customHeight="1">
      <c r="A3207" s="133" t="s">
        <v>7</v>
      </c>
      <c r="B3207" s="133" t="s">
        <v>3617</v>
      </c>
      <c r="C3207" s="133" t="s">
        <v>3252</v>
      </c>
      <c r="D3207" s="133" t="s">
        <v>484</v>
      </c>
      <c r="E3207" s="158">
        <v>4</v>
      </c>
      <c r="F3207" s="158">
        <v>10</v>
      </c>
      <c r="G3207" s="158">
        <v>0</v>
      </c>
      <c r="H3207" s="133" t="s">
        <v>3253</v>
      </c>
      <c r="I3207" s="133" t="s">
        <v>615</v>
      </c>
      <c r="J3207" s="158">
        <v>0</v>
      </c>
      <c r="K3207" s="159" t="str">
        <f ca="1">IFERROR(__xludf.DUMMYFUNCTION("GOOGLETRANSLATE(H3207,""th"",""en"")"),"Warning point")</f>
        <v>Warning point</v>
      </c>
    </row>
    <row r="3208" spans="1:11" ht="15.75" hidden="1" customHeight="1">
      <c r="A3208" s="133" t="s">
        <v>7</v>
      </c>
      <c r="B3208" s="133" t="s">
        <v>3617</v>
      </c>
      <c r="C3208" s="133" t="s">
        <v>3254</v>
      </c>
      <c r="D3208" s="133" t="s">
        <v>484</v>
      </c>
      <c r="E3208" s="158">
        <v>4</v>
      </c>
      <c r="F3208" s="158">
        <v>10</v>
      </c>
      <c r="G3208" s="158">
        <v>0</v>
      </c>
      <c r="H3208" s="133" t="s">
        <v>3255</v>
      </c>
      <c r="I3208" s="133" t="s">
        <v>548</v>
      </c>
      <c r="J3208" s="158">
        <v>0</v>
      </c>
      <c r="K3208" s="159" t="str">
        <f ca="1">IFERROR(__xludf.DUMMYFUNCTION("GOOGLETRANSLATE(H3208,""th"",""en"")"),"Period Aging of the product for storage reminder Supplier (90, 120, 360)")</f>
        <v>Period Aging of the product for storage reminder Supplier (90, 120, 360)</v>
      </c>
    </row>
    <row r="3209" spans="1:11" ht="15.75" hidden="1" customHeight="1">
      <c r="A3209" s="133" t="s">
        <v>7</v>
      </c>
      <c r="B3209" s="133" t="s">
        <v>3617</v>
      </c>
      <c r="C3209" s="133" t="s">
        <v>3256</v>
      </c>
      <c r="D3209" s="133" t="s">
        <v>477</v>
      </c>
      <c r="E3209" s="158">
        <v>3</v>
      </c>
      <c r="F3209" s="158">
        <v>0</v>
      </c>
      <c r="G3209" s="158">
        <v>0</v>
      </c>
      <c r="H3209" s="133" t="s">
        <v>3257</v>
      </c>
      <c r="I3209" s="133" t="s">
        <v>596</v>
      </c>
      <c r="J3209" s="158">
        <v>0</v>
      </c>
      <c r="K3209" s="159" t="str">
        <f ca="1">IFERROR(__xludf.DUMMYFUNCTION("GOOGLETRANSLATE(H3209,""th"",""en"")"),"Is a product that is sold at megashop")</f>
        <v>Is a product that is sold at megashop</v>
      </c>
    </row>
    <row r="3210" spans="1:11" ht="15.75" hidden="1" customHeight="1">
      <c r="A3210" s="133" t="s">
        <v>7</v>
      </c>
      <c r="B3210" s="133" t="s">
        <v>3617</v>
      </c>
      <c r="C3210" s="133" t="s">
        <v>3258</v>
      </c>
      <c r="D3210" s="133" t="s">
        <v>477</v>
      </c>
      <c r="E3210" s="158">
        <v>100</v>
      </c>
      <c r="F3210" s="158">
        <v>0</v>
      </c>
      <c r="G3210" s="158">
        <v>0</v>
      </c>
      <c r="H3210" s="133" t="s">
        <v>3259</v>
      </c>
      <c r="I3210" s="133" t="s">
        <v>548</v>
      </c>
      <c r="J3210" s="158">
        <v>0</v>
      </c>
      <c r="K3210" s="159" t="str">
        <f ca="1">IFERROR(__xludf.DUMMYFUNCTION("GOOGLETRANSLATE(H3210,""th"",""en"")"),"Note Promotion")</f>
        <v>Note Promotion</v>
      </c>
    </row>
    <row r="3211" spans="1:11" ht="15.75" hidden="1" customHeight="1">
      <c r="A3211" s="133" t="s">
        <v>7</v>
      </c>
      <c r="B3211" s="133" t="s">
        <v>3617</v>
      </c>
      <c r="C3211" s="133" t="s">
        <v>3260</v>
      </c>
      <c r="D3211" s="133" t="s">
        <v>477</v>
      </c>
      <c r="E3211" s="158">
        <v>3</v>
      </c>
      <c r="F3211" s="158">
        <v>0</v>
      </c>
      <c r="G3211" s="158">
        <v>0</v>
      </c>
      <c r="H3211" s="133" t="s">
        <v>3261</v>
      </c>
      <c r="I3211" s="133" t="s">
        <v>596</v>
      </c>
      <c r="J3211" s="158">
        <v>0</v>
      </c>
      <c r="K3211" s="159" t="str">
        <f ca="1">IFERROR(__xludf.DUMMYFUNCTION("GOOGLETRANSLATE(H3211,""th"",""en"")"),"No = normal, yes = product order or order")</f>
        <v>No = normal, yes = product order or order</v>
      </c>
    </row>
    <row r="3212" spans="1:11" ht="15.75" hidden="1" customHeight="1">
      <c r="A3212" s="133" t="s">
        <v>7</v>
      </c>
      <c r="B3212" s="133" t="s">
        <v>3617</v>
      </c>
      <c r="C3212" s="133" t="s">
        <v>3262</v>
      </c>
      <c r="D3212" s="133" t="s">
        <v>477</v>
      </c>
      <c r="E3212" s="158">
        <v>3</v>
      </c>
      <c r="F3212" s="158">
        <v>0</v>
      </c>
      <c r="G3212" s="158">
        <v>0</v>
      </c>
      <c r="H3212" s="133" t="s">
        <v>3263</v>
      </c>
      <c r="I3212" s="133" t="s">
        <v>596</v>
      </c>
      <c r="J3212" s="158">
        <v>0</v>
      </c>
      <c r="K3212" s="159" t="str">
        <f ca="1">IFERROR(__xludf.DUMMYFUNCTION("GOOGLETRANSLATE(H3212,""th"",""en"")"),"NO = normal, yes = products that are assembled / installed")</f>
        <v>NO = normal, yes = products that are assembled / installed</v>
      </c>
    </row>
    <row r="3213" spans="1:11" ht="15.75" hidden="1" customHeight="1">
      <c r="A3213" s="133" t="s">
        <v>7</v>
      </c>
      <c r="B3213" s="133" t="s">
        <v>3617</v>
      </c>
      <c r="C3213" s="133" t="s">
        <v>3264</v>
      </c>
      <c r="D3213" s="133" t="s">
        <v>477</v>
      </c>
      <c r="E3213" s="158">
        <v>3</v>
      </c>
      <c r="F3213" s="158">
        <v>0</v>
      </c>
      <c r="G3213" s="158">
        <v>0</v>
      </c>
      <c r="H3213" s="133" t="s">
        <v>3265</v>
      </c>
      <c r="I3213" s="133" t="s">
        <v>596</v>
      </c>
      <c r="J3213" s="158">
        <v>0</v>
      </c>
      <c r="K3213" s="159" t="str">
        <f ca="1">IFERROR(__xludf.DUMMYFUNCTION("GOOGLETRANSLATE(H3213,""th"",""en"")"),"No = normal, yes = product is guaranteed")</f>
        <v>No = normal, yes = product is guaranteed</v>
      </c>
    </row>
    <row r="3214" spans="1:11" ht="15.75" hidden="1" customHeight="1">
      <c r="A3214" s="133" t="s">
        <v>7</v>
      </c>
      <c r="B3214" s="133" t="s">
        <v>3617</v>
      </c>
      <c r="C3214" s="133" t="s">
        <v>2481</v>
      </c>
      <c r="D3214" s="133" t="s">
        <v>477</v>
      </c>
      <c r="E3214" s="158">
        <v>3</v>
      </c>
      <c r="F3214" s="158">
        <v>0</v>
      </c>
      <c r="G3214" s="158">
        <v>0</v>
      </c>
      <c r="H3214" s="133" t="s">
        <v>3266</v>
      </c>
      <c r="I3214" s="133" t="s">
        <v>596</v>
      </c>
      <c r="J3214" s="158">
        <v>0</v>
      </c>
      <c r="K3214" s="159" t="str">
        <f ca="1">IFERROR(__xludf.DUMMYFUNCTION("GOOGLETRANSLATE(H3214,""th"",""en"")"),"NO = normal, yes = Products shipped within 3-7 days")</f>
        <v>NO = normal, yes = Products shipped within 3-7 days</v>
      </c>
    </row>
    <row r="3215" spans="1:11" ht="15.75" hidden="1" customHeight="1">
      <c r="A3215" s="133" t="s">
        <v>7</v>
      </c>
      <c r="B3215" s="133" t="s">
        <v>3617</v>
      </c>
      <c r="C3215" s="133" t="s">
        <v>3267</v>
      </c>
      <c r="D3215" s="133" t="s">
        <v>477</v>
      </c>
      <c r="E3215" s="158">
        <v>3</v>
      </c>
      <c r="F3215" s="158">
        <v>0</v>
      </c>
      <c r="G3215" s="158">
        <v>0</v>
      </c>
      <c r="H3215" s="133" t="s">
        <v>3268</v>
      </c>
      <c r="I3215" s="133" t="s">
        <v>596</v>
      </c>
      <c r="J3215" s="158">
        <v>0</v>
      </c>
      <c r="K3215" s="159" t="str">
        <f ca="1">IFERROR(__xludf.DUMMYFUNCTION("GOOGLETRANSLATE(H3215,""th"",""en"")"),"The product is charged for additional shipping [NO = normally, no additional shipping fees, yes = with additional shipping charges or products with special shipping charges for the provinces]")</f>
        <v>The product is charged for additional shipping [NO = normally, no additional shipping fees, yes = with additional shipping charges or products with special shipping charges for the provinces]</v>
      </c>
    </row>
    <row r="3216" spans="1:11" ht="15.75" hidden="1" customHeight="1">
      <c r="A3216" s="133" t="s">
        <v>7</v>
      </c>
      <c r="B3216" s="133" t="s">
        <v>3617</v>
      </c>
      <c r="C3216" s="133" t="s">
        <v>3269</v>
      </c>
      <c r="D3216" s="133" t="s">
        <v>477</v>
      </c>
      <c r="E3216" s="158">
        <v>3</v>
      </c>
      <c r="F3216" s="158">
        <v>0</v>
      </c>
      <c r="G3216" s="158">
        <v>0</v>
      </c>
      <c r="H3216" s="133" t="s">
        <v>3270</v>
      </c>
      <c r="I3216" s="133" t="s">
        <v>596</v>
      </c>
      <c r="J3216" s="158">
        <v>0</v>
      </c>
      <c r="K3216" s="159" t="str">
        <f ca="1">IFERROR(__xludf.DUMMYFUNCTION("GOOGLETRANSLATE(H3216,""th"",""en"")"),"No = normal, yes = environmental protection products")</f>
        <v>No = normal, yes = environmental protection products</v>
      </c>
    </row>
    <row r="3217" spans="1:11" ht="15.75" hidden="1" customHeight="1">
      <c r="A3217" s="133" t="s">
        <v>7</v>
      </c>
      <c r="B3217" s="133" t="s">
        <v>3617</v>
      </c>
      <c r="C3217" s="133" t="s">
        <v>3271</v>
      </c>
      <c r="D3217" s="133" t="s">
        <v>481</v>
      </c>
      <c r="E3217" s="158">
        <v>5</v>
      </c>
      <c r="F3217" s="158">
        <v>9</v>
      </c>
      <c r="G3217" s="158">
        <v>2</v>
      </c>
      <c r="H3217" s="133" t="s">
        <v>3272</v>
      </c>
      <c r="I3217" s="133" t="s">
        <v>615</v>
      </c>
      <c r="J3217" s="158">
        <v>0</v>
      </c>
      <c r="K3217" s="159" t="str">
        <f ca="1">IFERROR(__xludf.DUMMYFUNCTION("GOOGLETRANSLATE(H3217,""th"",""en"")"),"wide")</f>
        <v>wide</v>
      </c>
    </row>
    <row r="3218" spans="1:11" ht="15.75" hidden="1" customHeight="1">
      <c r="A3218" s="133" t="s">
        <v>7</v>
      </c>
      <c r="B3218" s="133" t="s">
        <v>3617</v>
      </c>
      <c r="C3218" s="133" t="s">
        <v>3273</v>
      </c>
      <c r="D3218" s="133" t="s">
        <v>481</v>
      </c>
      <c r="E3218" s="158">
        <v>5</v>
      </c>
      <c r="F3218" s="158">
        <v>9</v>
      </c>
      <c r="G3218" s="158">
        <v>2</v>
      </c>
      <c r="H3218" s="133" t="s">
        <v>3274</v>
      </c>
      <c r="I3218" s="133" t="s">
        <v>615</v>
      </c>
      <c r="J3218" s="158">
        <v>0</v>
      </c>
      <c r="K3218" s="159" t="str">
        <f ca="1">IFERROR(__xludf.DUMMYFUNCTION("GOOGLETRANSLATE(H3218,""th"",""en"")"),"long")</f>
        <v>long</v>
      </c>
    </row>
    <row r="3219" spans="1:11" ht="15.75" hidden="1" customHeight="1">
      <c r="A3219" s="133" t="s">
        <v>7</v>
      </c>
      <c r="B3219" s="133" t="s">
        <v>3617</v>
      </c>
      <c r="C3219" s="133" t="s">
        <v>3275</v>
      </c>
      <c r="D3219" s="133" t="s">
        <v>481</v>
      </c>
      <c r="E3219" s="158">
        <v>5</v>
      </c>
      <c r="F3219" s="158">
        <v>9</v>
      </c>
      <c r="G3219" s="158">
        <v>2</v>
      </c>
      <c r="H3219" s="133" t="s">
        <v>3276</v>
      </c>
      <c r="I3219" s="133" t="s">
        <v>615</v>
      </c>
      <c r="J3219" s="158">
        <v>0</v>
      </c>
      <c r="K3219" s="159" t="str">
        <f ca="1">IFERROR(__xludf.DUMMYFUNCTION("GOOGLETRANSLATE(H3219,""th"",""en"")"),"high")</f>
        <v>high</v>
      </c>
    </row>
    <row r="3220" spans="1:11" ht="15.75" hidden="1" customHeight="1">
      <c r="A3220" s="133" t="s">
        <v>7</v>
      </c>
      <c r="B3220" s="133" t="s">
        <v>3617</v>
      </c>
      <c r="C3220" s="133" t="s">
        <v>3277</v>
      </c>
      <c r="D3220" s="133" t="s">
        <v>481</v>
      </c>
      <c r="E3220" s="158">
        <v>5</v>
      </c>
      <c r="F3220" s="158">
        <v>9</v>
      </c>
      <c r="G3220" s="158">
        <v>3</v>
      </c>
      <c r="H3220" s="133" t="s">
        <v>3278</v>
      </c>
      <c r="I3220" s="133" t="s">
        <v>615</v>
      </c>
      <c r="J3220" s="158">
        <v>0</v>
      </c>
      <c r="K3220" s="159" t="str">
        <f ca="1">IFERROR(__xludf.DUMMYFUNCTION("GOOGLETRANSLATE(H3220,""th"",""en"")"),"weight")</f>
        <v>weight</v>
      </c>
    </row>
    <row r="3221" spans="1:11" ht="15.75" hidden="1" customHeight="1">
      <c r="A3221" s="133" t="s">
        <v>7</v>
      </c>
      <c r="B3221" s="133" t="s">
        <v>3617</v>
      </c>
      <c r="C3221" s="133" t="s">
        <v>3279</v>
      </c>
      <c r="D3221" s="133" t="s">
        <v>477</v>
      </c>
      <c r="E3221" s="158">
        <v>3</v>
      </c>
      <c r="F3221" s="158">
        <v>0</v>
      </c>
      <c r="G3221" s="158">
        <v>0</v>
      </c>
      <c r="H3221" s="133" t="s">
        <v>3280</v>
      </c>
      <c r="I3221" s="133" t="s">
        <v>596</v>
      </c>
      <c r="J3221" s="158">
        <v>0</v>
      </c>
      <c r="K3221" s="159" t="str">
        <f ca="1">IFERROR(__xludf.DUMMYFUNCTION("GOOGLETRANSLATE(H3221,""th"",""en"")"),"Yes, no as spare parts")</f>
        <v>Yes, no as spare parts</v>
      </c>
    </row>
    <row r="3222" spans="1:11" ht="15.75" hidden="1" customHeight="1">
      <c r="A3222" s="133" t="s">
        <v>7</v>
      </c>
      <c r="B3222" s="133" t="s">
        <v>3617</v>
      </c>
      <c r="C3222" s="133" t="s">
        <v>3281</v>
      </c>
      <c r="D3222" s="133" t="s">
        <v>477</v>
      </c>
      <c r="E3222" s="158">
        <v>3</v>
      </c>
      <c r="F3222" s="158">
        <v>0</v>
      </c>
      <c r="G3222" s="158">
        <v>0</v>
      </c>
      <c r="H3222" s="133" t="s">
        <v>3282</v>
      </c>
      <c r="I3222" s="133" t="s">
        <v>2011</v>
      </c>
      <c r="J3222" s="158">
        <v>0</v>
      </c>
      <c r="K3222" s="159" t="str">
        <f ca="1">IFERROR(__xludf.DUMMYFUNCTION("GOOGLETRANSLATE(H3222,""th"",""en"")"),"Yes = send, no = not sent outside the delivery area")</f>
        <v>Yes = send, no = not sent outside the delivery area</v>
      </c>
    </row>
    <row r="3223" spans="1:11" ht="15.75" hidden="1" customHeight="1">
      <c r="A3223" s="133" t="s">
        <v>7</v>
      </c>
      <c r="B3223" s="133" t="s">
        <v>3617</v>
      </c>
      <c r="C3223" s="133" t="s">
        <v>523</v>
      </c>
      <c r="D3223" s="133" t="s">
        <v>477</v>
      </c>
      <c r="E3223" s="158">
        <v>8</v>
      </c>
      <c r="F3223" s="158">
        <v>0</v>
      </c>
      <c r="G3223" s="158">
        <v>0</v>
      </c>
      <c r="H3223" s="133" t="s">
        <v>2046</v>
      </c>
      <c r="I3223" s="133" t="s">
        <v>548</v>
      </c>
      <c r="J3223" s="158">
        <v>0</v>
      </c>
      <c r="K3223" s="159" t="str">
        <f ca="1">IFERROR(__xludf.DUMMYFUNCTION("GOOGLETRANSLATE(H3223,""th"",""en"")"),"Product Creator")</f>
        <v>Product Creator</v>
      </c>
    </row>
    <row r="3224" spans="1:11" ht="15.75" hidden="1" customHeight="1">
      <c r="A3224" s="133" t="s">
        <v>7</v>
      </c>
      <c r="B3224" s="133" t="s">
        <v>3617</v>
      </c>
      <c r="C3224" s="133" t="s">
        <v>669</v>
      </c>
      <c r="D3224" s="133" t="s">
        <v>800</v>
      </c>
      <c r="E3224" s="158">
        <v>8</v>
      </c>
      <c r="F3224" s="158">
        <v>27</v>
      </c>
      <c r="G3224" s="158">
        <v>7</v>
      </c>
      <c r="H3224" s="133" t="s">
        <v>2047</v>
      </c>
      <c r="I3224" s="133" t="s">
        <v>801</v>
      </c>
      <c r="J3224" s="158">
        <v>0</v>
      </c>
      <c r="K3224" s="159" t="str">
        <f ca="1">IFERROR(__xludf.DUMMYFUNCTION("GOOGLETRANSLATE(H3224,""th"",""en"")"),"Date of creating products")</f>
        <v>Date of creating products</v>
      </c>
    </row>
    <row r="3225" spans="1:11" ht="15.75" hidden="1" customHeight="1">
      <c r="A3225" s="133" t="s">
        <v>7</v>
      </c>
      <c r="B3225" s="133" t="s">
        <v>3617</v>
      </c>
      <c r="C3225" s="133" t="s">
        <v>670</v>
      </c>
      <c r="D3225" s="133" t="s">
        <v>477</v>
      </c>
      <c r="E3225" s="158">
        <v>8</v>
      </c>
      <c r="F3225" s="158">
        <v>0</v>
      </c>
      <c r="G3225" s="158">
        <v>0</v>
      </c>
      <c r="H3225" s="133" t="s">
        <v>2048</v>
      </c>
      <c r="I3225" s="133" t="s">
        <v>548</v>
      </c>
      <c r="J3225" s="158">
        <v>0</v>
      </c>
      <c r="K3225" s="159" t="str">
        <f ca="1">IFERROR(__xludf.DUMMYFUNCTION("GOOGLETRANSLATE(H3225,""th"",""en"")"),"Product Information Editor")</f>
        <v>Product Information Editor</v>
      </c>
    </row>
    <row r="3226" spans="1:11" ht="15.75" hidden="1" customHeight="1">
      <c r="A3226" s="133" t="s">
        <v>7</v>
      </c>
      <c r="B3226" s="133" t="s">
        <v>3617</v>
      </c>
      <c r="C3226" s="133" t="s">
        <v>215</v>
      </c>
      <c r="D3226" s="133" t="s">
        <v>800</v>
      </c>
      <c r="E3226" s="158">
        <v>8</v>
      </c>
      <c r="F3226" s="158">
        <v>27</v>
      </c>
      <c r="G3226" s="158">
        <v>7</v>
      </c>
      <c r="H3226" s="133" t="s">
        <v>2049</v>
      </c>
      <c r="I3226" s="133" t="s">
        <v>801</v>
      </c>
      <c r="J3226" s="158">
        <v>0</v>
      </c>
      <c r="K3226" s="159" t="str">
        <f ca="1">IFERROR(__xludf.DUMMYFUNCTION("GOOGLETRANSLATE(H3226,""th"",""en"")"),"Product Editing Date")</f>
        <v>Product Editing Date</v>
      </c>
    </row>
    <row r="3227" spans="1:11" ht="15.75" hidden="1" customHeight="1">
      <c r="A3227" s="133" t="s">
        <v>7</v>
      </c>
      <c r="B3227" s="133" t="s">
        <v>3617</v>
      </c>
      <c r="C3227" s="133" t="s">
        <v>2347</v>
      </c>
      <c r="D3227" s="133" t="s">
        <v>477</v>
      </c>
      <c r="E3227" s="158">
        <v>6</v>
      </c>
      <c r="F3227" s="158">
        <v>0</v>
      </c>
      <c r="G3227" s="158">
        <v>0</v>
      </c>
      <c r="H3227" s="133" t="s">
        <v>3283</v>
      </c>
      <c r="I3227" s="133" t="s">
        <v>548</v>
      </c>
      <c r="J3227" s="158">
        <v>0</v>
      </c>
      <c r="K3227" s="159" t="str">
        <f ca="1">IFERROR(__xludf.DUMMYFUNCTION("GOOGLETRANSLATE(H3227,""th"",""en"")"),"OD Production Code")</f>
        <v>OD Production Code</v>
      </c>
    </row>
    <row r="3228" spans="1:11" ht="15.75" hidden="1" customHeight="1">
      <c r="A3228" s="133" t="s">
        <v>7</v>
      </c>
      <c r="B3228" s="133" t="s">
        <v>3617</v>
      </c>
      <c r="C3228" s="133" t="s">
        <v>3284</v>
      </c>
      <c r="D3228" s="133" t="s">
        <v>481</v>
      </c>
      <c r="E3228" s="158">
        <v>5</v>
      </c>
      <c r="F3228" s="158">
        <v>9</v>
      </c>
      <c r="G3228" s="158">
        <v>3</v>
      </c>
      <c r="H3228" s="133" t="s">
        <v>3285</v>
      </c>
      <c r="I3228" s="133" t="s">
        <v>615</v>
      </c>
      <c r="J3228" s="158">
        <v>0</v>
      </c>
      <c r="K3228" s="159" t="str">
        <f ca="1">IFERROR(__xludf.DUMMYFUNCTION("GOOGLETRANSLATE(H3228,""th"",""en"")"),"cube")</f>
        <v>cube</v>
      </c>
    </row>
    <row r="3229" spans="1:11" ht="15.75" hidden="1" customHeight="1">
      <c r="A3229" s="133" t="s">
        <v>7</v>
      </c>
      <c r="B3229" s="133" t="s">
        <v>3617</v>
      </c>
      <c r="C3229" s="133" t="s">
        <v>1770</v>
      </c>
      <c r="D3229" s="133" t="s">
        <v>477</v>
      </c>
      <c r="E3229" s="158">
        <v>3</v>
      </c>
      <c r="F3229" s="158">
        <v>0</v>
      </c>
      <c r="G3229" s="158">
        <v>0</v>
      </c>
      <c r="H3229" s="133" t="s">
        <v>3286</v>
      </c>
      <c r="I3229" s="133" t="s">
        <v>548</v>
      </c>
      <c r="J3229" s="158">
        <v>0</v>
      </c>
      <c r="K3229" s="159" t="str">
        <f ca="1">IFERROR(__xludf.DUMMYFUNCTION("GOOGLETRANSLATE(H3229,""th"",""en"")"),"DEPT of OD products")</f>
        <v>DEPT of OD products</v>
      </c>
    </row>
    <row r="3230" spans="1:11" ht="15.75" hidden="1" customHeight="1">
      <c r="A3230" s="133" t="s">
        <v>7</v>
      </c>
      <c r="B3230" s="133" t="s">
        <v>3617</v>
      </c>
      <c r="C3230" s="133" t="s">
        <v>1774</v>
      </c>
      <c r="D3230" s="133" t="s">
        <v>477</v>
      </c>
      <c r="E3230" s="158">
        <v>3</v>
      </c>
      <c r="F3230" s="158">
        <v>0</v>
      </c>
      <c r="G3230" s="158">
        <v>0</v>
      </c>
      <c r="H3230" s="133" t="s">
        <v>3287</v>
      </c>
      <c r="I3230" s="133" t="s">
        <v>548</v>
      </c>
      <c r="J3230" s="158">
        <v>0</v>
      </c>
      <c r="K3230" s="159" t="str">
        <f ca="1">IFERROR(__xludf.DUMMYFUNCTION("GOOGLETRANSLATE(H3230,""th"",""en"")"),"Sub_DPT of OD products")</f>
        <v>Sub_DPT of OD products</v>
      </c>
    </row>
    <row r="3231" spans="1:11" ht="15.75" hidden="1" customHeight="1">
      <c r="A3231" s="133" t="s">
        <v>7</v>
      </c>
      <c r="B3231" s="133" t="s">
        <v>3617</v>
      </c>
      <c r="C3231" s="133" t="s">
        <v>1127</v>
      </c>
      <c r="D3231" s="133" t="s">
        <v>477</v>
      </c>
      <c r="E3231" s="158">
        <v>3</v>
      </c>
      <c r="F3231" s="158">
        <v>0</v>
      </c>
      <c r="G3231" s="158">
        <v>0</v>
      </c>
      <c r="H3231" s="133" t="s">
        <v>3288</v>
      </c>
      <c r="I3231" s="133" t="s">
        <v>548</v>
      </c>
      <c r="J3231" s="158">
        <v>0</v>
      </c>
      <c r="K3231" s="159" t="str">
        <f ca="1">IFERROR(__xludf.DUMMYFUNCTION("GOOGLETRANSLATE(H3231,""th"",""en"")"),"Class of OD products")</f>
        <v>Class of OD products</v>
      </c>
    </row>
    <row r="3232" spans="1:11" ht="15.75" hidden="1" customHeight="1">
      <c r="A3232" s="133" t="s">
        <v>7</v>
      </c>
      <c r="B3232" s="133" t="s">
        <v>3617</v>
      </c>
      <c r="C3232" s="133" t="s">
        <v>1781</v>
      </c>
      <c r="D3232" s="133" t="s">
        <v>477</v>
      </c>
      <c r="E3232" s="158">
        <v>3</v>
      </c>
      <c r="F3232" s="158">
        <v>0</v>
      </c>
      <c r="G3232" s="158">
        <v>0</v>
      </c>
      <c r="H3232" s="133" t="s">
        <v>2859</v>
      </c>
      <c r="I3232" s="133" t="s">
        <v>548</v>
      </c>
      <c r="J3232" s="158">
        <v>0</v>
      </c>
      <c r="K3232" s="159" t="str">
        <f ca="1">IFERROR(__xludf.DUMMYFUNCTION("GOOGLETRANSLATE(H3232,""th"",""en"")"),"Sub_cls of OD products")</f>
        <v>Sub_cls of OD products</v>
      </c>
    </row>
    <row r="3233" spans="1:11" ht="15.75" hidden="1" customHeight="1">
      <c r="A3233" s="133" t="s">
        <v>7</v>
      </c>
      <c r="B3233" s="133" t="s">
        <v>3617</v>
      </c>
      <c r="C3233" s="133" t="s">
        <v>3289</v>
      </c>
      <c r="D3233" s="133" t="s">
        <v>477</v>
      </c>
      <c r="E3233" s="158">
        <v>20</v>
      </c>
      <c r="F3233" s="158">
        <v>0</v>
      </c>
      <c r="G3233" s="158">
        <v>0</v>
      </c>
      <c r="H3233" s="133" t="s">
        <v>3290</v>
      </c>
      <c r="I3233" s="133" t="s">
        <v>548</v>
      </c>
      <c r="J3233" s="158">
        <v>0</v>
      </c>
      <c r="K3233" s="159" t="str">
        <f ca="1">IFERROR(__xludf.DUMMYFUNCTION("GOOGLETRANSLATE(H3233,""th"",""en"")"),"Barcode Shop OD")</f>
        <v>Barcode Shop OD</v>
      </c>
    </row>
    <row r="3234" spans="1:11" ht="15.75" hidden="1" customHeight="1">
      <c r="A3234" s="133" t="s">
        <v>7</v>
      </c>
      <c r="B3234" s="133" t="s">
        <v>3617</v>
      </c>
      <c r="C3234" s="133" t="s">
        <v>3291</v>
      </c>
      <c r="D3234" s="133" t="s">
        <v>477</v>
      </c>
      <c r="E3234" s="158">
        <v>3</v>
      </c>
      <c r="F3234" s="158">
        <v>0</v>
      </c>
      <c r="G3234" s="158">
        <v>0</v>
      </c>
      <c r="H3234" s="133" t="s">
        <v>3292</v>
      </c>
      <c r="I3234" s="133" t="s">
        <v>596</v>
      </c>
      <c r="J3234" s="158">
        <v>0</v>
      </c>
      <c r="K3234" s="159" t="str">
        <f ca="1">IFERROR(__xludf.DUMMYFUNCTION("GOOGLETRANSLATE(H3234,""th"",""en"")"),"Products affiliates (MPS, I-PRO, CRC products)")</f>
        <v>Products affiliates (MPS, I-PRO, CRC products)</v>
      </c>
    </row>
    <row r="3235" spans="1:11" ht="15.75" hidden="1" customHeight="1">
      <c r="A3235" s="133" t="s">
        <v>7</v>
      </c>
      <c r="B3235" s="133" t="s">
        <v>3617</v>
      </c>
      <c r="C3235" s="133" t="s">
        <v>3293</v>
      </c>
      <c r="D3235" s="133" t="s">
        <v>477</v>
      </c>
      <c r="E3235" s="158">
        <v>5</v>
      </c>
      <c r="F3235" s="158">
        <v>0</v>
      </c>
      <c r="G3235" s="158">
        <v>0</v>
      </c>
      <c r="H3235" s="133" t="s">
        <v>3294</v>
      </c>
      <c r="I3235" s="133" t="s">
        <v>548</v>
      </c>
      <c r="J3235" s="158">
        <v>0</v>
      </c>
      <c r="K3235" s="159" t="str">
        <f ca="1">IFERROR(__xludf.DUMMYFUNCTION("GOOGLETRANSLATE(H3235,""th"",""en"")"),"The acquisition of CPCID comes from the assignment of the DEPT SUBDEPT Class subclass of the product and has to send CPCID to the FAST (if there is no CPCID program that cannot be sent to the FAST, so Default 26100)")</f>
        <v>The acquisition of CPCID comes from the assignment of the DEPT SUBDEPT Class subclass of the product and has to send CPCID to the FAST (if there is no CPCID program that cannot be sent to the FAST, so Default 26100)</v>
      </c>
    </row>
    <row r="3236" spans="1:11" ht="15.75" hidden="1" customHeight="1">
      <c r="A3236" s="133" t="s">
        <v>7</v>
      </c>
      <c r="B3236" s="133" t="s">
        <v>3617</v>
      </c>
      <c r="C3236" s="133" t="s">
        <v>3295</v>
      </c>
      <c r="D3236" s="133" t="s">
        <v>477</v>
      </c>
      <c r="E3236" s="158">
        <v>3</v>
      </c>
      <c r="F3236" s="158">
        <v>0</v>
      </c>
      <c r="G3236" s="158">
        <v>0</v>
      </c>
      <c r="H3236" s="133" t="s">
        <v>3296</v>
      </c>
      <c r="I3236" s="133" t="s">
        <v>596</v>
      </c>
      <c r="J3236" s="158">
        <v>0</v>
      </c>
      <c r="K3236" s="159" t="str">
        <f ca="1">IFERROR(__xludf.DUMMYFUNCTION("GOOGLETRANSLATE(H3236,""th"",""en"")"),"Flag Catalog OD")</f>
        <v>Flag Catalog OD</v>
      </c>
    </row>
    <row r="3237" spans="1:11" ht="15.75" hidden="1" customHeight="1">
      <c r="A3237" s="133" t="s">
        <v>7</v>
      </c>
      <c r="B3237" s="133" t="s">
        <v>3617</v>
      </c>
      <c r="C3237" s="133" t="s">
        <v>3297</v>
      </c>
      <c r="D3237" s="133" t="s">
        <v>477</v>
      </c>
      <c r="E3237" s="158">
        <v>30</v>
      </c>
      <c r="F3237" s="158">
        <v>0</v>
      </c>
      <c r="G3237" s="158">
        <v>0</v>
      </c>
      <c r="H3237" s="133" t="s">
        <v>3298</v>
      </c>
      <c r="I3237" s="133" t="s">
        <v>548</v>
      </c>
      <c r="J3237" s="158">
        <v>0</v>
      </c>
      <c r="K3237" s="159" t="str">
        <f ca="1">IFERROR(__xludf.DUMMYFUNCTION("GOOGLETRANSLATE(H3237,""th"",""en"")"),"BU product code")</f>
        <v>BU product code</v>
      </c>
    </row>
    <row r="3238" spans="1:11" ht="15.75" hidden="1" customHeight="1">
      <c r="A3238" s="133" t="s">
        <v>7</v>
      </c>
      <c r="B3238" s="133" t="s">
        <v>3617</v>
      </c>
      <c r="C3238" s="133" t="s">
        <v>1787</v>
      </c>
      <c r="D3238" s="133" t="s">
        <v>477</v>
      </c>
      <c r="E3238" s="158">
        <v>10</v>
      </c>
      <c r="F3238" s="158">
        <v>0</v>
      </c>
      <c r="G3238" s="158">
        <v>0</v>
      </c>
      <c r="H3238" s="133" t="s">
        <v>3299</v>
      </c>
      <c r="I3238" s="133" t="s">
        <v>548</v>
      </c>
      <c r="J3238" s="158">
        <v>0</v>
      </c>
      <c r="K3238" s="159" t="str">
        <f ca="1">IFERROR(__xludf.DUMMYFUNCTION("GOOGLETRANSLATE(H3238,""th"",""en"")"),"What is the product of BU?")</f>
        <v>What is the product of BU?</v>
      </c>
    </row>
    <row r="3239" spans="1:11" ht="15.75" hidden="1" customHeight="1">
      <c r="A3239" s="133" t="s">
        <v>7</v>
      </c>
      <c r="B3239" s="133" t="s">
        <v>3617</v>
      </c>
      <c r="C3239" s="133" t="s">
        <v>3300</v>
      </c>
      <c r="D3239" s="133" t="s">
        <v>477</v>
      </c>
      <c r="E3239" s="158">
        <v>3</v>
      </c>
      <c r="F3239" s="158">
        <v>0</v>
      </c>
      <c r="G3239" s="158">
        <v>0</v>
      </c>
      <c r="H3239" s="133" t="s">
        <v>3301</v>
      </c>
      <c r="I3239" s="133" t="s">
        <v>596</v>
      </c>
      <c r="J3239" s="158">
        <v>0</v>
      </c>
      <c r="K3239" s="159" t="str">
        <f ca="1">IFERROR(__xludf.DUMMYFUNCTION("GOOGLETRANSLATE(H3239,""th"",""en"")"),"Return conditions (yes = night, no = night)")</f>
        <v>Return conditions (yes = night, no = night)</v>
      </c>
    </row>
    <row r="3240" spans="1:11" ht="15.75" hidden="1" customHeight="1">
      <c r="A3240" s="133" t="s">
        <v>7</v>
      </c>
      <c r="B3240" s="133" t="s">
        <v>3617</v>
      </c>
      <c r="C3240" s="133" t="s">
        <v>3302</v>
      </c>
      <c r="D3240" s="133" t="s">
        <v>477</v>
      </c>
      <c r="E3240" s="158">
        <v>10</v>
      </c>
      <c r="F3240" s="158">
        <v>0</v>
      </c>
      <c r="G3240" s="158">
        <v>0</v>
      </c>
      <c r="H3240" s="133" t="s">
        <v>3303</v>
      </c>
      <c r="I3240" s="133" t="s">
        <v>3304</v>
      </c>
      <c r="J3240" s="158">
        <v>0</v>
      </c>
      <c r="K3240" s="159" t="str">
        <f ca="1">IFERROR(__xludf.DUMMYFUNCTION("GOOGLETRANSLATE(H3240,""th"",""en"")"),"Shipping conditions (col = col Delivery, Vendor = Vendor delivery)")</f>
        <v>Shipping conditions (col = col Delivery, Vendor = Vendor delivery)</v>
      </c>
    </row>
    <row r="3241" spans="1:11" ht="15.75" hidden="1" customHeight="1">
      <c r="A3241" s="133" t="s">
        <v>7</v>
      </c>
      <c r="B3241" s="133" t="s">
        <v>3617</v>
      </c>
      <c r="C3241" s="133" t="s">
        <v>3305</v>
      </c>
      <c r="D3241" s="133" t="s">
        <v>477</v>
      </c>
      <c r="E3241" s="158">
        <v>3</v>
      </c>
      <c r="F3241" s="158">
        <v>0</v>
      </c>
      <c r="G3241" s="158">
        <v>0</v>
      </c>
      <c r="H3241" s="133" t="s">
        <v>3306</v>
      </c>
      <c r="I3241" s="133" t="s">
        <v>596</v>
      </c>
      <c r="J3241" s="158">
        <v>0</v>
      </c>
      <c r="K3241" s="159" t="str">
        <f ca="1">IFERROR(__xludf.DUMMYFUNCTION("GOOGLETRANSLATE(H3241,""th"",""en"")"),"The product has an expiration date.")</f>
        <v>The product has an expiration date.</v>
      </c>
    </row>
    <row r="3242" spans="1:11" ht="15.75" hidden="1" customHeight="1">
      <c r="A3242" s="133" t="s">
        <v>7</v>
      </c>
      <c r="B3242" s="133" t="s">
        <v>3617</v>
      </c>
      <c r="C3242" s="133" t="s">
        <v>1072</v>
      </c>
      <c r="D3242" s="133" t="s">
        <v>477</v>
      </c>
      <c r="E3242" s="158">
        <v>3</v>
      </c>
      <c r="F3242" s="158">
        <v>0</v>
      </c>
      <c r="G3242" s="158">
        <v>0</v>
      </c>
      <c r="H3242" s="133" t="s">
        <v>3307</v>
      </c>
      <c r="I3242" s="133" t="s">
        <v>596</v>
      </c>
      <c r="J3242" s="158">
        <v>0</v>
      </c>
      <c r="K3242" s="159" t="str">
        <f ca="1">IFERROR(__xludf.DUMMYFUNCTION("GOOGLETRANSLATE(H3242,""th"",""en"")"),"Imported products (This is about showing sales information), (part CMSSUPPLIER..ISIMPORT VENDOR This is a foreign vendor or not. This will be related to the payment of FAST).")</f>
        <v>Imported products (This is about showing sales information), (part CMSSUPPLIER..ISIMPORT VENDOR This is a foreign vendor or not. This will be related to the payment of FAST).</v>
      </c>
    </row>
    <row r="3243" spans="1:11" ht="15.75" hidden="1" customHeight="1">
      <c r="A3243" s="133" t="s">
        <v>7</v>
      </c>
      <c r="B3243" s="133" t="s">
        <v>3617</v>
      </c>
      <c r="C3243" s="133" t="s">
        <v>3308</v>
      </c>
      <c r="D3243" s="133" t="s">
        <v>477</v>
      </c>
      <c r="E3243" s="158">
        <v>3</v>
      </c>
      <c r="F3243" s="158">
        <v>0</v>
      </c>
      <c r="G3243" s="158">
        <v>0</v>
      </c>
      <c r="H3243" s="133" t="s">
        <v>3309</v>
      </c>
      <c r="I3243" s="133" t="s">
        <v>596</v>
      </c>
      <c r="J3243" s="158">
        <v>0</v>
      </c>
      <c r="K3243" s="159" t="str">
        <f ca="1">IFERROR(__xludf.DUMMYFUNCTION("GOOGLETRANSLATE(H3243,""th"",""en"")"),"Products with components")</f>
        <v>Products with components</v>
      </c>
    </row>
    <row r="3244" spans="1:11" ht="15.75" hidden="1" customHeight="1">
      <c r="A3244" s="133" t="s">
        <v>7</v>
      </c>
      <c r="B3244" s="133" t="s">
        <v>3617</v>
      </c>
      <c r="C3244" s="133" t="s">
        <v>3310</v>
      </c>
      <c r="D3244" s="133" t="s">
        <v>477</v>
      </c>
      <c r="E3244" s="158">
        <v>20</v>
      </c>
      <c r="F3244" s="158">
        <v>0</v>
      </c>
      <c r="G3244" s="158">
        <v>0</v>
      </c>
      <c r="H3244" s="133" t="s">
        <v>3311</v>
      </c>
      <c r="I3244" s="133" t="s">
        <v>548</v>
      </c>
      <c r="J3244" s="158">
        <v>0</v>
      </c>
      <c r="K3244" s="159" t="str">
        <f ca="1">IFERROR(__xludf.DUMMYFUNCTION("GOOGLETRANSLATE(H3244,""th"",""en"")"),"Product name for handhel")</f>
        <v>Product name for handhel</v>
      </c>
    </row>
    <row r="3245" spans="1:11" ht="15.75" hidden="1" customHeight="1">
      <c r="A3245" s="133" t="s">
        <v>7</v>
      </c>
      <c r="B3245" s="133" t="s">
        <v>3617</v>
      </c>
      <c r="C3245" s="133" t="s">
        <v>369</v>
      </c>
      <c r="D3245" s="133" t="s">
        <v>477</v>
      </c>
      <c r="E3245" s="158">
        <v>2</v>
      </c>
      <c r="F3245" s="158">
        <v>0</v>
      </c>
      <c r="G3245" s="158">
        <v>0</v>
      </c>
      <c r="H3245" s="133" t="s">
        <v>1184</v>
      </c>
      <c r="I3245" s="133" t="s">
        <v>1185</v>
      </c>
      <c r="J3245" s="158">
        <v>0</v>
      </c>
      <c r="K3245" s="159" t="str">
        <f ca="1">IFERROR(__xludf.DUMMYFUNCTION("GOOGLETRANSLATE(H3245,""th"",""en"")"),"Warehouse (1: Office of the Office (Nong Chok), 3: Bangna Warehouse, 4: Warehouse Virgin, 5: Suwinwong Warehouse)")</f>
        <v>Warehouse (1: Office of the Office (Nong Chok), 3: Bangna Warehouse, 4: Warehouse Virgin, 5: Suwinwong Warehouse)</v>
      </c>
    </row>
    <row r="3246" spans="1:11" ht="15.75" hidden="1" customHeight="1">
      <c r="A3246" s="133" t="s">
        <v>7</v>
      </c>
      <c r="B3246" s="133" t="s">
        <v>3617</v>
      </c>
      <c r="C3246" s="133" t="s">
        <v>3312</v>
      </c>
      <c r="D3246" s="133" t="s">
        <v>477</v>
      </c>
      <c r="E3246" s="158">
        <v>20</v>
      </c>
      <c r="F3246" s="158">
        <v>0</v>
      </c>
      <c r="G3246" s="158">
        <v>0</v>
      </c>
      <c r="H3246" s="133" t="s">
        <v>2865</v>
      </c>
      <c r="I3246" s="133" t="s">
        <v>548</v>
      </c>
      <c r="J3246" s="158">
        <v>0</v>
      </c>
      <c r="K3246" s="159" t="str">
        <f ca="1">IFERROR(__xludf.DUMMYFUNCTION("GOOGLETRANSLATE(H3246,""th"",""en"")"),"Sub-warehouse code")</f>
        <v>Sub-warehouse code</v>
      </c>
    </row>
    <row r="3247" spans="1:11" ht="15.75" hidden="1" customHeight="1">
      <c r="A3247" s="133" t="s">
        <v>7</v>
      </c>
      <c r="B3247" s="133" t="s">
        <v>3617</v>
      </c>
      <c r="C3247" s="133" t="s">
        <v>3313</v>
      </c>
      <c r="D3247" s="133" t="s">
        <v>484</v>
      </c>
      <c r="E3247" s="158">
        <v>4</v>
      </c>
      <c r="F3247" s="158">
        <v>10</v>
      </c>
      <c r="G3247" s="158">
        <v>0</v>
      </c>
      <c r="H3247" s="133" t="s">
        <v>3314</v>
      </c>
      <c r="I3247" s="133" t="s">
        <v>615</v>
      </c>
      <c r="J3247" s="158">
        <v>0</v>
      </c>
      <c r="K3247" s="159" t="str">
        <f ca="1">IFERROR(__xludf.DUMMYFUNCTION("GOOGLETRANSLATE(H3247,""th"",""en"")"),"Maximum number of orders to orders")</f>
        <v>Maximum number of orders to orders</v>
      </c>
    </row>
    <row r="3248" spans="1:11" ht="15.75" hidden="1" customHeight="1">
      <c r="A3248" s="133" t="s">
        <v>7</v>
      </c>
      <c r="B3248" s="133" t="s">
        <v>3617</v>
      </c>
      <c r="C3248" s="133" t="s">
        <v>3315</v>
      </c>
      <c r="D3248" s="133" t="s">
        <v>484</v>
      </c>
      <c r="E3248" s="158">
        <v>4</v>
      </c>
      <c r="F3248" s="158">
        <v>10</v>
      </c>
      <c r="G3248" s="158">
        <v>0</v>
      </c>
      <c r="H3248" s="133" t="s">
        <v>3316</v>
      </c>
      <c r="I3248" s="133" t="s">
        <v>615</v>
      </c>
      <c r="J3248" s="158">
        <v>0</v>
      </c>
      <c r="K3248" s="159" t="str">
        <f ca="1">IFERROR(__xludf.DUMMYFUNCTION("GOOGLETRANSLATE(H3248,""th"",""en"")"),"The minimum number of order per order")</f>
        <v>The minimum number of order per order</v>
      </c>
    </row>
    <row r="3249" spans="1:11" ht="15.75" hidden="1" customHeight="1">
      <c r="A3249" s="133" t="s">
        <v>7</v>
      </c>
      <c r="B3249" s="133" t="s">
        <v>3617</v>
      </c>
      <c r="C3249" s="133" t="s">
        <v>3317</v>
      </c>
      <c r="D3249" s="133" t="s">
        <v>477</v>
      </c>
      <c r="E3249" s="158">
        <v>3</v>
      </c>
      <c r="F3249" s="158">
        <v>0</v>
      </c>
      <c r="G3249" s="158">
        <v>0</v>
      </c>
      <c r="H3249" s="133" t="s">
        <v>3318</v>
      </c>
      <c r="I3249" s="133" t="s">
        <v>2011</v>
      </c>
      <c r="J3249" s="158">
        <v>0</v>
      </c>
      <c r="K3249" s="159" t="str">
        <f ca="1">IFERROR(__xludf.DUMMYFUNCTION("GOOGLETRANSLATE(H3249,""th"",""en"")"),"The product is protected from the Office of the Consumer Protection Commission. (Sor.) [Yes = have")</f>
        <v>The product is protected from the Office of the Consumer Protection Commission. (Sor.) [Yes = have</v>
      </c>
    </row>
    <row r="3250" spans="1:11" ht="15.75" hidden="1" customHeight="1">
      <c r="A3250" s="133" t="s">
        <v>7</v>
      </c>
      <c r="B3250" s="133" t="s">
        <v>3617</v>
      </c>
      <c r="C3250" s="133" t="s">
        <v>3319</v>
      </c>
      <c r="D3250" s="133" t="s">
        <v>477</v>
      </c>
      <c r="E3250" s="158">
        <v>50</v>
      </c>
      <c r="F3250" s="158">
        <v>0</v>
      </c>
      <c r="G3250" s="158">
        <v>0</v>
      </c>
      <c r="H3250" s="133" t="s">
        <v>3320</v>
      </c>
      <c r="I3250" s="133" t="s">
        <v>3321</v>
      </c>
      <c r="J3250" s="158">
        <v>0</v>
      </c>
      <c r="K3250" s="159" t="str">
        <f ca="1">IFERROR(__xludf.DUMMYFUNCTION("GOOGLETRANSLATE(H3250,""th"",""en"")"),"Product type according to the seller [OFMSTOCK, Dropship, Marketplace]")</f>
        <v>Product type according to the seller [OFMSTOCK, Dropship, Marketplace]</v>
      </c>
    </row>
    <row r="3251" spans="1:11" ht="15.75" hidden="1" customHeight="1">
      <c r="A3251" s="133" t="s">
        <v>7</v>
      </c>
      <c r="B3251" s="133" t="s">
        <v>3617</v>
      </c>
      <c r="C3251" s="133" t="s">
        <v>860</v>
      </c>
      <c r="D3251" s="133" t="s">
        <v>481</v>
      </c>
      <c r="E3251" s="158">
        <v>5</v>
      </c>
      <c r="F3251" s="158">
        <v>9</v>
      </c>
      <c r="G3251" s="158">
        <v>2</v>
      </c>
      <c r="H3251" s="133" t="s">
        <v>3322</v>
      </c>
      <c r="I3251" s="133" t="s">
        <v>615</v>
      </c>
      <c r="J3251" s="158">
        <v>0</v>
      </c>
      <c r="K3251" s="159" t="str">
        <f ca="1">IFERROR(__xludf.DUMMYFUNCTION("GOOGLETRANSLATE(H3251,""th"",""en"")"),"Product commission")</f>
        <v>Product commission</v>
      </c>
    </row>
    <row r="3252" spans="1:11" ht="15.75" hidden="1" customHeight="1">
      <c r="A3252" s="133" t="s">
        <v>7</v>
      </c>
      <c r="B3252" s="133" t="s">
        <v>3617</v>
      </c>
      <c r="C3252" s="133" t="s">
        <v>3323</v>
      </c>
      <c r="D3252" s="133" t="s">
        <v>484</v>
      </c>
      <c r="E3252" s="158">
        <v>4</v>
      </c>
      <c r="F3252" s="158">
        <v>10</v>
      </c>
      <c r="G3252" s="158">
        <v>0</v>
      </c>
      <c r="H3252" s="133" t="s">
        <v>3324</v>
      </c>
      <c r="I3252" s="133" t="s">
        <v>615</v>
      </c>
      <c r="J3252" s="158">
        <v>0</v>
      </c>
      <c r="K3252" s="159" t="str">
        <f ca="1">IFERROR(__xludf.DUMMYFUNCTION("GOOGLETRANSLATE(H3252,""th"",""en"")"),"The minimum number of days used in delivery")</f>
        <v>The minimum number of days used in delivery</v>
      </c>
    </row>
    <row r="3253" spans="1:11" ht="15.75" hidden="1" customHeight="1">
      <c r="A3253" s="133" t="s">
        <v>7</v>
      </c>
      <c r="B3253" s="133" t="s">
        <v>3617</v>
      </c>
      <c r="C3253" s="133" t="s">
        <v>3325</v>
      </c>
      <c r="D3253" s="133" t="s">
        <v>484</v>
      </c>
      <c r="E3253" s="158">
        <v>4</v>
      </c>
      <c r="F3253" s="158">
        <v>10</v>
      </c>
      <c r="G3253" s="158">
        <v>0</v>
      </c>
      <c r="H3253" s="133" t="s">
        <v>3326</v>
      </c>
      <c r="I3253" s="133" t="s">
        <v>615</v>
      </c>
      <c r="J3253" s="158">
        <v>0</v>
      </c>
      <c r="K3253" s="159" t="str">
        <f ca="1">IFERROR(__xludf.DUMMYFUNCTION("GOOGLETRANSLATE(H3253,""th"",""en"")"),"The most days used in the delivery")</f>
        <v>The most days used in the delivery</v>
      </c>
    </row>
    <row r="3254" spans="1:11" ht="15.75" hidden="1" customHeight="1">
      <c r="A3254" s="133" t="s">
        <v>7</v>
      </c>
      <c r="B3254" s="133" t="s">
        <v>3617</v>
      </c>
      <c r="C3254" s="133" t="s">
        <v>3327</v>
      </c>
      <c r="D3254" s="133" t="s">
        <v>477</v>
      </c>
      <c r="E3254" s="158">
        <v>3</v>
      </c>
      <c r="F3254" s="158">
        <v>0</v>
      </c>
      <c r="G3254" s="158">
        <v>0</v>
      </c>
      <c r="H3254" s="133" t="s">
        <v>3328</v>
      </c>
      <c r="I3254" s="133" t="s">
        <v>2011</v>
      </c>
      <c r="J3254" s="158">
        <v>0</v>
      </c>
      <c r="K3254" s="159" t="str">
        <f ca="1">IFERROR(__xludf.DUMMYFUNCTION("GOOGLETRANSLATE(H3254,""th"",""en"")"),"Product ofm delivery")</f>
        <v>Product ofm delivery</v>
      </c>
    </row>
    <row r="3255" spans="1:11" ht="15.75" hidden="1" customHeight="1">
      <c r="A3255" s="133" t="s">
        <v>7</v>
      </c>
      <c r="B3255" s="133" t="s">
        <v>3617</v>
      </c>
      <c r="C3255" s="133" t="s">
        <v>3329</v>
      </c>
      <c r="D3255" s="133" t="s">
        <v>477</v>
      </c>
      <c r="E3255" s="158">
        <v>3</v>
      </c>
      <c r="F3255" s="158">
        <v>0</v>
      </c>
      <c r="G3255" s="158">
        <v>0</v>
      </c>
      <c r="H3255" s="133" t="s">
        <v>3330</v>
      </c>
      <c r="I3255" s="133" t="s">
        <v>596</v>
      </c>
      <c r="J3255" s="158">
        <v>0</v>
      </c>
      <c r="K3255" s="159" t="str">
        <f ca="1">IFERROR(__xludf.DUMMYFUNCTION("GOOGLETRANSLATE(H3255,""th"",""en"")"),"Join the CLICK and COLLECT delivery service")</f>
        <v>Join the CLICK and COLLECT delivery service</v>
      </c>
    </row>
    <row r="3256" spans="1:11" ht="15.75" hidden="1" customHeight="1">
      <c r="A3256" s="133" t="s">
        <v>7</v>
      </c>
      <c r="B3256" s="133" t="s">
        <v>3617</v>
      </c>
      <c r="C3256" s="133" t="s">
        <v>3331</v>
      </c>
      <c r="D3256" s="133" t="s">
        <v>477</v>
      </c>
      <c r="E3256" s="158">
        <v>3</v>
      </c>
      <c r="F3256" s="158">
        <v>0</v>
      </c>
      <c r="G3256" s="158">
        <v>0</v>
      </c>
      <c r="H3256" s="133" t="s">
        <v>3332</v>
      </c>
      <c r="I3256" s="133" t="s">
        <v>596</v>
      </c>
      <c r="J3256" s="158">
        <v>0</v>
      </c>
      <c r="K3256" s="159" t="str">
        <f ca="1">IFERROR(__xludf.DUMMYFUNCTION("GOOGLETRANSLATE(H3256,""th"",""en"")"),"Basket")</f>
        <v>Basket</v>
      </c>
    </row>
    <row r="3257" spans="1:11" ht="15.75" hidden="1" customHeight="1">
      <c r="A3257" s="133" t="s">
        <v>7</v>
      </c>
      <c r="B3257" s="133" t="s">
        <v>3617</v>
      </c>
      <c r="C3257" s="133" t="s">
        <v>3333</v>
      </c>
      <c r="D3257" s="133" t="s">
        <v>477</v>
      </c>
      <c r="E3257" s="158">
        <v>100</v>
      </c>
      <c r="F3257" s="158">
        <v>0</v>
      </c>
      <c r="G3257" s="158">
        <v>0</v>
      </c>
      <c r="H3257" s="133" t="s">
        <v>3334</v>
      </c>
      <c r="I3257" s="133" t="s">
        <v>548</v>
      </c>
      <c r="J3257" s="158">
        <v>0</v>
      </c>
      <c r="K3257" s="159" t="str">
        <f ca="1">IFERROR(__xludf.DUMMYFUNCTION("GOOGLETRANSLATE(H3257,""th"",""en"")"),"Cluster group name")</f>
        <v>Cluster group name</v>
      </c>
    </row>
    <row r="3258" spans="1:11" ht="15.75" hidden="1" customHeight="1">
      <c r="A3258" s="133" t="s">
        <v>7</v>
      </c>
      <c r="B3258" s="133" t="s">
        <v>3617</v>
      </c>
      <c r="C3258" s="133" t="s">
        <v>814</v>
      </c>
      <c r="D3258" s="133" t="s">
        <v>477</v>
      </c>
      <c r="E3258" s="158">
        <v>100</v>
      </c>
      <c r="F3258" s="158">
        <v>0</v>
      </c>
      <c r="G3258" s="158">
        <v>0</v>
      </c>
      <c r="H3258" s="133" t="s">
        <v>815</v>
      </c>
      <c r="I3258" s="133" t="s">
        <v>548</v>
      </c>
      <c r="J3258" s="158">
        <v>0</v>
      </c>
      <c r="K3258" s="159" t="str">
        <f ca="1">IFERROR(__xludf.DUMMYFUNCTION("GOOGLETRANSLATE(H3258,""th"",""en"")"),"Information Creator Name")</f>
        <v>Information Creator Name</v>
      </c>
    </row>
    <row r="3259" spans="1:11" ht="15.75" hidden="1" customHeight="1">
      <c r="A3259" s="133" t="s">
        <v>7</v>
      </c>
      <c r="B3259" s="133" t="s">
        <v>3617</v>
      </c>
      <c r="C3259" s="133" t="s">
        <v>816</v>
      </c>
      <c r="D3259" s="133" t="s">
        <v>477</v>
      </c>
      <c r="E3259" s="158">
        <v>100</v>
      </c>
      <c r="F3259" s="158">
        <v>0</v>
      </c>
      <c r="G3259" s="158">
        <v>0</v>
      </c>
      <c r="H3259" s="133" t="s">
        <v>817</v>
      </c>
      <c r="I3259" s="133" t="s">
        <v>548</v>
      </c>
      <c r="J3259" s="158">
        <v>0</v>
      </c>
      <c r="K3259" s="159" t="str">
        <f ca="1">IFERROR(__xludf.DUMMYFUNCTION("GOOGLETRANSLATE(H3259,""th"",""en"")"),"Latest information")</f>
        <v>Latest information</v>
      </c>
    </row>
    <row r="3260" spans="1:11" ht="15.75" hidden="1" customHeight="1">
      <c r="A3260" s="133" t="s">
        <v>7</v>
      </c>
      <c r="B3260" s="133" t="s">
        <v>3617</v>
      </c>
      <c r="C3260" s="133" t="s">
        <v>2060</v>
      </c>
      <c r="D3260" s="133" t="s">
        <v>477</v>
      </c>
      <c r="E3260" s="158">
        <v>50</v>
      </c>
      <c r="F3260" s="158">
        <v>0</v>
      </c>
      <c r="G3260" s="158">
        <v>0</v>
      </c>
      <c r="H3260" s="133" t="s">
        <v>2061</v>
      </c>
      <c r="I3260" s="133" t="s">
        <v>548</v>
      </c>
      <c r="J3260" s="158">
        <v>0</v>
      </c>
      <c r="K3260" s="159" t="str">
        <f ca="1">IFERROR(__xludf.DUMMYFUNCTION("GOOGLETRANSLATE(H3260,""th"",""en"")"),"Product group code")</f>
        <v>Product group code</v>
      </c>
    </row>
    <row r="3261" spans="1:11" ht="15.75" hidden="1" customHeight="1">
      <c r="A3261" s="133" t="s">
        <v>7</v>
      </c>
      <c r="B3261" s="133" t="s">
        <v>3618</v>
      </c>
      <c r="C3261" s="133" t="s">
        <v>2317</v>
      </c>
      <c r="D3261" s="133" t="s">
        <v>477</v>
      </c>
      <c r="E3261" s="158">
        <v>20</v>
      </c>
      <c r="F3261" s="158">
        <v>0</v>
      </c>
      <c r="G3261" s="160"/>
      <c r="H3261" s="133" t="s">
        <v>3614</v>
      </c>
      <c r="I3261" s="160"/>
      <c r="J3261" s="160"/>
      <c r="K3261" s="159" t="str">
        <f ca="1">IFERROR(__xludf.DUMMYFUNCTION("GOOGLETRANSLATE(H3261,""th"",""en"")"),"Source Data Col, OMT")</f>
        <v>Source Data Col, OMT</v>
      </c>
    </row>
    <row r="3262" spans="1:11" ht="15.75" hidden="1" customHeight="1">
      <c r="A3262" s="133" t="s">
        <v>7</v>
      </c>
      <c r="B3262" s="133" t="s">
        <v>3618</v>
      </c>
      <c r="C3262" s="133" t="s">
        <v>3615</v>
      </c>
      <c r="D3262" s="133" t="s">
        <v>477</v>
      </c>
      <c r="E3262" s="158">
        <v>7</v>
      </c>
      <c r="F3262" s="158">
        <v>0</v>
      </c>
      <c r="G3262" s="160"/>
      <c r="H3262" s="133" t="s">
        <v>3616</v>
      </c>
      <c r="I3262" s="160"/>
      <c r="J3262" s="160"/>
      <c r="K3262" s="159" t="str">
        <f ca="1">IFERROR(__xludf.DUMMYFUNCTION("GOOGLETRANSLATE(H3262,""th"",""en"")"),"Year-Month")</f>
        <v>Year-Month</v>
      </c>
    </row>
    <row r="3263" spans="1:11" ht="15.75" hidden="1" customHeight="1">
      <c r="A3263" s="133" t="s">
        <v>7</v>
      </c>
      <c r="B3263" s="133" t="s">
        <v>3618</v>
      </c>
      <c r="C3263" s="133" t="s">
        <v>253</v>
      </c>
      <c r="D3263" s="133" t="s">
        <v>477</v>
      </c>
      <c r="E3263" s="158">
        <v>7</v>
      </c>
      <c r="F3263" s="158">
        <v>0</v>
      </c>
      <c r="G3263" s="158">
        <v>0</v>
      </c>
      <c r="H3263" s="133" t="s">
        <v>479</v>
      </c>
      <c r="I3263" s="133" t="s">
        <v>479</v>
      </c>
      <c r="J3263" s="158">
        <v>0</v>
      </c>
      <c r="K3263" s="159" t="str">
        <f ca="1">IFERROR(__xludf.DUMMYFUNCTION("GOOGLETRANSLATE(H3263,""th"",""en"")"),"Null")</f>
        <v>Null</v>
      </c>
    </row>
    <row r="3264" spans="1:11" ht="15.75" hidden="1" customHeight="1">
      <c r="A3264" s="133" t="s">
        <v>7</v>
      </c>
      <c r="B3264" s="133" t="s">
        <v>3618</v>
      </c>
      <c r="C3264" s="133" t="s">
        <v>3132</v>
      </c>
      <c r="D3264" s="133" t="s">
        <v>484</v>
      </c>
      <c r="E3264" s="158">
        <v>4</v>
      </c>
      <c r="F3264" s="158">
        <v>10</v>
      </c>
      <c r="G3264" s="158">
        <v>0</v>
      </c>
      <c r="H3264" s="133" t="s">
        <v>479</v>
      </c>
      <c r="I3264" s="133" t="s">
        <v>479</v>
      </c>
      <c r="J3264" s="158">
        <v>0</v>
      </c>
      <c r="K3264" s="159" t="str">
        <f ca="1">IFERROR(__xludf.DUMMYFUNCTION("GOOGLETRANSLATE(H3264,""th"",""en"")"),"Null")</f>
        <v>Null</v>
      </c>
    </row>
    <row r="3265" spans="1:11" ht="15.75" hidden="1" customHeight="1">
      <c r="A3265" s="133" t="s">
        <v>7</v>
      </c>
      <c r="B3265" s="133" t="s">
        <v>3618</v>
      </c>
      <c r="C3265" s="133" t="s">
        <v>3134</v>
      </c>
      <c r="D3265" s="133" t="s">
        <v>481</v>
      </c>
      <c r="E3265" s="158">
        <v>5</v>
      </c>
      <c r="F3265" s="158">
        <v>9</v>
      </c>
      <c r="G3265" s="158">
        <v>2</v>
      </c>
      <c r="H3265" s="133" t="s">
        <v>479</v>
      </c>
      <c r="I3265" s="133" t="s">
        <v>479</v>
      </c>
      <c r="J3265" s="158">
        <v>0</v>
      </c>
      <c r="K3265" s="159" t="str">
        <f ca="1">IFERROR(__xludf.DUMMYFUNCTION("GOOGLETRANSLATE(H3265,""th"",""en"")"),"Null")</f>
        <v>Null</v>
      </c>
    </row>
    <row r="3266" spans="1:11" ht="15.75" hidden="1" customHeight="1">
      <c r="A3266" s="133" t="s">
        <v>7</v>
      </c>
      <c r="B3266" s="133" t="s">
        <v>3618</v>
      </c>
      <c r="C3266" s="133" t="s">
        <v>3136</v>
      </c>
      <c r="D3266" s="133" t="s">
        <v>481</v>
      </c>
      <c r="E3266" s="158">
        <v>9</v>
      </c>
      <c r="F3266" s="158">
        <v>18</v>
      </c>
      <c r="G3266" s="158">
        <v>2</v>
      </c>
      <c r="H3266" s="133" t="s">
        <v>479</v>
      </c>
      <c r="I3266" s="133" t="s">
        <v>479</v>
      </c>
      <c r="J3266" s="158">
        <v>0</v>
      </c>
      <c r="K3266" s="159" t="str">
        <f ca="1">IFERROR(__xludf.DUMMYFUNCTION("GOOGLETRANSLATE(H3266,""th"",""en"")"),"Null")</f>
        <v>Null</v>
      </c>
    </row>
    <row r="3267" spans="1:11" ht="15.75" hidden="1" customHeight="1">
      <c r="A3267" s="133" t="s">
        <v>7</v>
      </c>
      <c r="B3267" s="133" t="s">
        <v>3618</v>
      </c>
      <c r="C3267" s="133" t="s">
        <v>3138</v>
      </c>
      <c r="D3267" s="133" t="s">
        <v>484</v>
      </c>
      <c r="E3267" s="158">
        <v>4</v>
      </c>
      <c r="F3267" s="158">
        <v>10</v>
      </c>
      <c r="G3267" s="158">
        <v>0</v>
      </c>
      <c r="H3267" s="133" t="s">
        <v>479</v>
      </c>
      <c r="I3267" s="133" t="s">
        <v>479</v>
      </c>
      <c r="J3267" s="158">
        <v>0</v>
      </c>
      <c r="K3267" s="159" t="str">
        <f ca="1">IFERROR(__xludf.DUMMYFUNCTION("GOOGLETRANSLATE(H3267,""th"",""en"")"),"Null")</f>
        <v>Null</v>
      </c>
    </row>
    <row r="3268" spans="1:11" ht="15.75" hidden="1" customHeight="1">
      <c r="A3268" s="133" t="s">
        <v>7</v>
      </c>
      <c r="B3268" s="133" t="s">
        <v>3618</v>
      </c>
      <c r="C3268" s="133" t="s">
        <v>3140</v>
      </c>
      <c r="D3268" s="133" t="s">
        <v>484</v>
      </c>
      <c r="E3268" s="158">
        <v>4</v>
      </c>
      <c r="F3268" s="158">
        <v>10</v>
      </c>
      <c r="G3268" s="158">
        <v>0</v>
      </c>
      <c r="H3268" s="133" t="s">
        <v>479</v>
      </c>
      <c r="I3268" s="133" t="s">
        <v>479</v>
      </c>
      <c r="J3268" s="158">
        <v>0</v>
      </c>
      <c r="K3268" s="159" t="str">
        <f ca="1">IFERROR(__xludf.DUMMYFUNCTION("GOOGLETRANSLATE(H3268,""th"",""en"")"),"Null")</f>
        <v>Null</v>
      </c>
    </row>
    <row r="3269" spans="1:11" ht="15.75" hidden="1" customHeight="1">
      <c r="A3269" s="133" t="s">
        <v>7</v>
      </c>
      <c r="B3269" s="133" t="s">
        <v>3618</v>
      </c>
      <c r="C3269" s="133" t="s">
        <v>3142</v>
      </c>
      <c r="D3269" s="133" t="s">
        <v>484</v>
      </c>
      <c r="E3269" s="158">
        <v>4</v>
      </c>
      <c r="F3269" s="158">
        <v>10</v>
      </c>
      <c r="G3269" s="158">
        <v>0</v>
      </c>
      <c r="H3269" s="133" t="s">
        <v>479</v>
      </c>
      <c r="I3269" s="133" t="s">
        <v>479</v>
      </c>
      <c r="J3269" s="158">
        <v>0</v>
      </c>
      <c r="K3269" s="159" t="str">
        <f ca="1">IFERROR(__xludf.DUMMYFUNCTION("GOOGLETRANSLATE(H3269,""th"",""en"")"),"Null")</f>
        <v>Null</v>
      </c>
    </row>
    <row r="3270" spans="1:11" ht="15.75" hidden="1" customHeight="1">
      <c r="A3270" s="133" t="s">
        <v>7</v>
      </c>
      <c r="B3270" s="133" t="s">
        <v>3618</v>
      </c>
      <c r="C3270" s="133" t="s">
        <v>3144</v>
      </c>
      <c r="D3270" s="133" t="s">
        <v>484</v>
      </c>
      <c r="E3270" s="158">
        <v>4</v>
      </c>
      <c r="F3270" s="158">
        <v>10</v>
      </c>
      <c r="G3270" s="158">
        <v>0</v>
      </c>
      <c r="H3270" s="133" t="s">
        <v>479</v>
      </c>
      <c r="I3270" s="133" t="s">
        <v>479</v>
      </c>
      <c r="J3270" s="158">
        <v>0</v>
      </c>
      <c r="K3270" s="159" t="str">
        <f ca="1">IFERROR(__xludf.DUMMYFUNCTION("GOOGLETRANSLATE(H3270,""th"",""en"")"),"Null")</f>
        <v>Null</v>
      </c>
    </row>
    <row r="3271" spans="1:11" ht="15.75" hidden="1" customHeight="1">
      <c r="A3271" s="133" t="s">
        <v>7</v>
      </c>
      <c r="B3271" s="133" t="s">
        <v>3618</v>
      </c>
      <c r="C3271" s="133" t="s">
        <v>1147</v>
      </c>
      <c r="D3271" s="133" t="s">
        <v>481</v>
      </c>
      <c r="E3271" s="158">
        <v>5</v>
      </c>
      <c r="F3271" s="158">
        <v>9</v>
      </c>
      <c r="G3271" s="158">
        <v>2</v>
      </c>
      <c r="H3271" s="133" t="s">
        <v>479</v>
      </c>
      <c r="I3271" s="133" t="s">
        <v>479</v>
      </c>
      <c r="J3271" s="158">
        <v>0</v>
      </c>
      <c r="K3271" s="159" t="str">
        <f ca="1">IFERROR(__xludf.DUMMYFUNCTION("GOOGLETRANSLATE(H3271,""th"",""en"")"),"Null")</f>
        <v>Null</v>
      </c>
    </row>
    <row r="3272" spans="1:11" ht="15.75" hidden="1" customHeight="1">
      <c r="A3272" s="133" t="s">
        <v>7</v>
      </c>
      <c r="B3272" s="133" t="s">
        <v>3618</v>
      </c>
      <c r="C3272" s="133" t="s">
        <v>3159</v>
      </c>
      <c r="D3272" s="133" t="s">
        <v>481</v>
      </c>
      <c r="E3272" s="158">
        <v>9</v>
      </c>
      <c r="F3272" s="158">
        <v>18</v>
      </c>
      <c r="G3272" s="158">
        <v>2</v>
      </c>
      <c r="H3272" s="133" t="s">
        <v>479</v>
      </c>
      <c r="I3272" s="133" t="s">
        <v>479</v>
      </c>
      <c r="J3272" s="158">
        <v>0</v>
      </c>
      <c r="K3272" s="159" t="str">
        <f ca="1">IFERROR(__xludf.DUMMYFUNCTION("GOOGLETRANSLATE(H3272,""th"",""en"")"),"Null")</f>
        <v>Null</v>
      </c>
    </row>
    <row r="3273" spans="1:11" ht="15.75" hidden="1" customHeight="1">
      <c r="A3273" s="133" t="s">
        <v>7</v>
      </c>
      <c r="B3273" s="133" t="s">
        <v>3618</v>
      </c>
      <c r="C3273" s="133" t="s">
        <v>3148</v>
      </c>
      <c r="D3273" s="133" t="s">
        <v>481</v>
      </c>
      <c r="E3273" s="158">
        <v>5</v>
      </c>
      <c r="F3273" s="158">
        <v>9</v>
      </c>
      <c r="G3273" s="158">
        <v>2</v>
      </c>
      <c r="H3273" s="133" t="s">
        <v>479</v>
      </c>
      <c r="I3273" s="133" t="s">
        <v>479</v>
      </c>
      <c r="J3273" s="158">
        <v>0</v>
      </c>
      <c r="K3273" s="159" t="str">
        <f ca="1">IFERROR(__xludf.DUMMYFUNCTION("GOOGLETRANSLATE(H3273,""th"",""en"")"),"Null")</f>
        <v>Null</v>
      </c>
    </row>
    <row r="3274" spans="1:11" ht="15.75" hidden="1" customHeight="1">
      <c r="A3274" s="133" t="s">
        <v>7</v>
      </c>
      <c r="B3274" s="133" t="s">
        <v>3618</v>
      </c>
      <c r="C3274" s="133" t="s">
        <v>3150</v>
      </c>
      <c r="D3274" s="133" t="s">
        <v>496</v>
      </c>
      <c r="E3274" s="158">
        <v>4</v>
      </c>
      <c r="F3274" s="158">
        <v>16</v>
      </c>
      <c r="G3274" s="158">
        <v>0</v>
      </c>
      <c r="H3274" s="133" t="s">
        <v>479</v>
      </c>
      <c r="I3274" s="133" t="s">
        <v>479</v>
      </c>
      <c r="J3274" s="158">
        <v>0</v>
      </c>
      <c r="K3274" s="159" t="str">
        <f ca="1">IFERROR(__xludf.DUMMYFUNCTION("GOOGLETRANSLATE(H3274,""th"",""en"")"),"Null")</f>
        <v>Null</v>
      </c>
    </row>
    <row r="3275" spans="1:11" ht="15.75" hidden="1" customHeight="1">
      <c r="A3275" s="133" t="s">
        <v>7</v>
      </c>
      <c r="B3275" s="133" t="s">
        <v>3618</v>
      </c>
      <c r="C3275" s="133" t="s">
        <v>3146</v>
      </c>
      <c r="D3275" s="133" t="s">
        <v>496</v>
      </c>
      <c r="E3275" s="158">
        <v>4</v>
      </c>
      <c r="F3275" s="158">
        <v>16</v>
      </c>
      <c r="G3275" s="158">
        <v>0</v>
      </c>
      <c r="H3275" s="133" t="s">
        <v>479</v>
      </c>
      <c r="I3275" s="133" t="s">
        <v>479</v>
      </c>
      <c r="J3275" s="158">
        <v>0</v>
      </c>
      <c r="K3275" s="159" t="str">
        <f ca="1">IFERROR(__xludf.DUMMYFUNCTION("GOOGLETRANSLATE(H3275,""th"",""en"")"),"Null")</f>
        <v>Null</v>
      </c>
    </row>
    <row r="3276" spans="1:11" ht="15.75" hidden="1" customHeight="1">
      <c r="A3276" s="133" t="s">
        <v>7</v>
      </c>
      <c r="B3276" s="133" t="s">
        <v>3618</v>
      </c>
      <c r="C3276" s="133" t="s">
        <v>2340</v>
      </c>
      <c r="D3276" s="133" t="s">
        <v>538</v>
      </c>
      <c r="E3276" s="158">
        <v>8</v>
      </c>
      <c r="F3276" s="158">
        <v>23</v>
      </c>
      <c r="G3276" s="158">
        <v>3</v>
      </c>
      <c r="H3276" s="133" t="s">
        <v>479</v>
      </c>
      <c r="I3276" s="133" t="s">
        <v>479</v>
      </c>
      <c r="J3276" s="158">
        <v>0</v>
      </c>
      <c r="K3276" s="159" t="str">
        <f ca="1">IFERROR(__xludf.DUMMYFUNCTION("GOOGLETRANSLATE(H3276,""th"",""en"")"),"Null")</f>
        <v>Null</v>
      </c>
    </row>
    <row r="3277" spans="1:11" ht="15.75" hidden="1" customHeight="1">
      <c r="A3277" s="133" t="s">
        <v>7</v>
      </c>
      <c r="B3277" s="133" t="s">
        <v>3618</v>
      </c>
      <c r="C3277" s="133" t="s">
        <v>3366</v>
      </c>
      <c r="D3277" s="133" t="s">
        <v>484</v>
      </c>
      <c r="E3277" s="158">
        <v>4</v>
      </c>
      <c r="F3277" s="158">
        <v>10</v>
      </c>
      <c r="G3277" s="158">
        <v>0</v>
      </c>
      <c r="H3277" s="133" t="s">
        <v>479</v>
      </c>
      <c r="I3277" s="133" t="s">
        <v>479</v>
      </c>
      <c r="J3277" s="158">
        <v>0</v>
      </c>
      <c r="K3277" s="159" t="str">
        <f ca="1">IFERROR(__xludf.DUMMYFUNCTION("GOOGLETRANSLATE(H3277,""th"",""en"")"),"Null")</f>
        <v>Null</v>
      </c>
    </row>
    <row r="3278" spans="1:11" ht="15.75" hidden="1" customHeight="1">
      <c r="A3278" s="133" t="s">
        <v>7</v>
      </c>
      <c r="B3278" s="133" t="s">
        <v>3618</v>
      </c>
      <c r="C3278" s="133" t="s">
        <v>3368</v>
      </c>
      <c r="D3278" s="133" t="s">
        <v>484</v>
      </c>
      <c r="E3278" s="158">
        <v>4</v>
      </c>
      <c r="F3278" s="158">
        <v>10</v>
      </c>
      <c r="G3278" s="158">
        <v>0</v>
      </c>
      <c r="H3278" s="133" t="s">
        <v>479</v>
      </c>
      <c r="I3278" s="133" t="s">
        <v>479</v>
      </c>
      <c r="J3278" s="158">
        <v>0</v>
      </c>
      <c r="K3278" s="159" t="str">
        <f ca="1">IFERROR(__xludf.DUMMYFUNCTION("GOOGLETRANSLATE(H3278,""th"",""en"")"),"Null")</f>
        <v>Null</v>
      </c>
    </row>
    <row r="3279" spans="1:11" ht="15.75" hidden="1" customHeight="1">
      <c r="A3279" s="133" t="s">
        <v>7</v>
      </c>
      <c r="B3279" s="133" t="s">
        <v>3618</v>
      </c>
      <c r="C3279" s="133" t="s">
        <v>3370</v>
      </c>
      <c r="D3279" s="133" t="s">
        <v>484</v>
      </c>
      <c r="E3279" s="158">
        <v>4</v>
      </c>
      <c r="F3279" s="158">
        <v>10</v>
      </c>
      <c r="G3279" s="158">
        <v>0</v>
      </c>
      <c r="H3279" s="133" t="s">
        <v>479</v>
      </c>
      <c r="I3279" s="133" t="s">
        <v>479</v>
      </c>
      <c r="J3279" s="158">
        <v>0</v>
      </c>
      <c r="K3279" s="159" t="str">
        <f ca="1">IFERROR(__xludf.DUMMYFUNCTION("GOOGLETRANSLATE(H3279,""th"",""en"")"),"Null")</f>
        <v>Null</v>
      </c>
    </row>
    <row r="3280" spans="1:11" ht="15.75" hidden="1" customHeight="1">
      <c r="A3280" s="133" t="s">
        <v>7</v>
      </c>
      <c r="B3280" s="133" t="s">
        <v>3618</v>
      </c>
      <c r="C3280" s="133" t="s">
        <v>3152</v>
      </c>
      <c r="D3280" s="133" t="s">
        <v>484</v>
      </c>
      <c r="E3280" s="158">
        <v>4</v>
      </c>
      <c r="F3280" s="158">
        <v>10</v>
      </c>
      <c r="G3280" s="158">
        <v>0</v>
      </c>
      <c r="H3280" s="133" t="s">
        <v>479</v>
      </c>
      <c r="I3280" s="133" t="s">
        <v>479</v>
      </c>
      <c r="J3280" s="158">
        <v>0</v>
      </c>
      <c r="K3280" s="159" t="str">
        <f ca="1">IFERROR(__xludf.DUMMYFUNCTION("GOOGLETRANSLATE(H3280,""th"",""en"")"),"Null")</f>
        <v>Null</v>
      </c>
    </row>
    <row r="3281" spans="1:11" ht="15.75" hidden="1" customHeight="1">
      <c r="A3281" s="133" t="s">
        <v>7</v>
      </c>
      <c r="B3281" s="133" t="s">
        <v>3618</v>
      </c>
      <c r="C3281" s="133" t="s">
        <v>3154</v>
      </c>
      <c r="D3281" s="133" t="s">
        <v>477</v>
      </c>
      <c r="E3281" s="158">
        <v>3</v>
      </c>
      <c r="F3281" s="158">
        <v>0</v>
      </c>
      <c r="G3281" s="158">
        <v>0</v>
      </c>
      <c r="H3281" s="133" t="s">
        <v>479</v>
      </c>
      <c r="I3281" s="133" t="s">
        <v>479</v>
      </c>
      <c r="J3281" s="158">
        <v>0</v>
      </c>
      <c r="K3281" s="159" t="str">
        <f ca="1">IFERROR(__xludf.DUMMYFUNCTION("GOOGLETRANSLATE(H3281,""th"",""en"")"),"Null")</f>
        <v>Null</v>
      </c>
    </row>
    <row r="3282" spans="1:11" ht="15.75" hidden="1" customHeight="1">
      <c r="A3282" s="133" t="s">
        <v>7</v>
      </c>
      <c r="B3282" s="133" t="s">
        <v>3618</v>
      </c>
      <c r="C3282" s="133" t="s">
        <v>523</v>
      </c>
      <c r="D3282" s="133" t="s">
        <v>477</v>
      </c>
      <c r="E3282" s="158">
        <v>8</v>
      </c>
      <c r="F3282" s="158">
        <v>0</v>
      </c>
      <c r="G3282" s="158">
        <v>0</v>
      </c>
      <c r="H3282" s="133" t="s">
        <v>479</v>
      </c>
      <c r="I3282" s="133" t="s">
        <v>479</v>
      </c>
      <c r="J3282" s="158">
        <v>0</v>
      </c>
      <c r="K3282" s="159" t="str">
        <f ca="1">IFERROR(__xludf.DUMMYFUNCTION("GOOGLETRANSLATE(H3282,""th"",""en"")"),"Null")</f>
        <v>Null</v>
      </c>
    </row>
    <row r="3283" spans="1:11" ht="15.75" hidden="1" customHeight="1">
      <c r="A3283" s="133" t="s">
        <v>7</v>
      </c>
      <c r="B3283" s="133" t="s">
        <v>3618</v>
      </c>
      <c r="C3283" s="133" t="s">
        <v>669</v>
      </c>
      <c r="D3283" s="133" t="s">
        <v>496</v>
      </c>
      <c r="E3283" s="158">
        <v>4</v>
      </c>
      <c r="F3283" s="158">
        <v>16</v>
      </c>
      <c r="G3283" s="158">
        <v>0</v>
      </c>
      <c r="H3283" s="133" t="s">
        <v>479</v>
      </c>
      <c r="I3283" s="133" t="s">
        <v>479</v>
      </c>
      <c r="J3283" s="158">
        <v>0</v>
      </c>
      <c r="K3283" s="159" t="str">
        <f ca="1">IFERROR(__xludf.DUMMYFUNCTION("GOOGLETRANSLATE(H3283,""th"",""en"")"),"Null")</f>
        <v>Null</v>
      </c>
    </row>
    <row r="3284" spans="1:11" ht="15.75" hidden="1" customHeight="1">
      <c r="A3284" s="133" t="s">
        <v>7</v>
      </c>
      <c r="B3284" s="133" t="s">
        <v>3618</v>
      </c>
      <c r="C3284" s="133" t="s">
        <v>670</v>
      </c>
      <c r="D3284" s="133" t="s">
        <v>477</v>
      </c>
      <c r="E3284" s="158">
        <v>8</v>
      </c>
      <c r="F3284" s="158">
        <v>0</v>
      </c>
      <c r="G3284" s="158">
        <v>0</v>
      </c>
      <c r="H3284" s="133" t="s">
        <v>479</v>
      </c>
      <c r="I3284" s="133" t="s">
        <v>479</v>
      </c>
      <c r="J3284" s="158">
        <v>0</v>
      </c>
      <c r="K3284" s="159" t="str">
        <f ca="1">IFERROR(__xludf.DUMMYFUNCTION("GOOGLETRANSLATE(H3284,""th"",""en"")"),"Null")</f>
        <v>Null</v>
      </c>
    </row>
    <row r="3285" spans="1:11" ht="15.75" hidden="1" customHeight="1">
      <c r="A3285" s="133" t="s">
        <v>7</v>
      </c>
      <c r="B3285" s="133" t="s">
        <v>3618</v>
      </c>
      <c r="C3285" s="133" t="s">
        <v>215</v>
      </c>
      <c r="D3285" s="133" t="s">
        <v>496</v>
      </c>
      <c r="E3285" s="158">
        <v>4</v>
      </c>
      <c r="F3285" s="158">
        <v>16</v>
      </c>
      <c r="G3285" s="158">
        <v>0</v>
      </c>
      <c r="H3285" s="133" t="s">
        <v>479</v>
      </c>
      <c r="I3285" s="133" t="s">
        <v>479</v>
      </c>
      <c r="J3285" s="158">
        <v>0</v>
      </c>
      <c r="K3285" s="159" t="str">
        <f ca="1">IFERROR(__xludf.DUMMYFUNCTION("GOOGLETRANSLATE(H3285,""th"",""en"")"),"Null")</f>
        <v>Null</v>
      </c>
    </row>
    <row r="3286" spans="1:11" ht="15.75" hidden="1" customHeight="1">
      <c r="A3286" s="133" t="s">
        <v>7</v>
      </c>
      <c r="B3286" s="133" t="s">
        <v>3618</v>
      </c>
      <c r="C3286" s="133" t="s">
        <v>3374</v>
      </c>
      <c r="D3286" s="133" t="s">
        <v>484</v>
      </c>
      <c r="E3286" s="158">
        <v>4</v>
      </c>
      <c r="F3286" s="158">
        <v>10</v>
      </c>
      <c r="G3286" s="158">
        <v>0</v>
      </c>
      <c r="H3286" s="133" t="s">
        <v>479</v>
      </c>
      <c r="I3286" s="133" t="s">
        <v>479</v>
      </c>
      <c r="J3286" s="158">
        <v>0</v>
      </c>
      <c r="K3286" s="159" t="str">
        <f ca="1">IFERROR(__xludf.DUMMYFUNCTION("GOOGLETRANSLATE(H3286,""th"",""en"")"),"Null")</f>
        <v>Null</v>
      </c>
    </row>
    <row r="3287" spans="1:11" ht="15.75" hidden="1" customHeight="1">
      <c r="A3287" s="133" t="s">
        <v>7</v>
      </c>
      <c r="B3287" s="133" t="s">
        <v>3618</v>
      </c>
      <c r="C3287" s="133" t="s">
        <v>3375</v>
      </c>
      <c r="D3287" s="133" t="s">
        <v>484</v>
      </c>
      <c r="E3287" s="158">
        <v>4</v>
      </c>
      <c r="F3287" s="158">
        <v>10</v>
      </c>
      <c r="G3287" s="158">
        <v>0</v>
      </c>
      <c r="H3287" s="133" t="s">
        <v>479</v>
      </c>
      <c r="I3287" s="133" t="s">
        <v>479</v>
      </c>
      <c r="J3287" s="158">
        <v>0</v>
      </c>
      <c r="K3287" s="159" t="str">
        <f ca="1">IFERROR(__xludf.DUMMYFUNCTION("GOOGLETRANSLATE(H3287,""th"",""en"")"),"Null")</f>
        <v>Null</v>
      </c>
    </row>
    <row r="3288" spans="1:11" ht="15.75" hidden="1" customHeight="1">
      <c r="A3288" s="133" t="s">
        <v>7</v>
      </c>
      <c r="B3288" s="133" t="s">
        <v>3618</v>
      </c>
      <c r="C3288" s="133" t="s">
        <v>3376</v>
      </c>
      <c r="D3288" s="133" t="s">
        <v>484</v>
      </c>
      <c r="E3288" s="158">
        <v>4</v>
      </c>
      <c r="F3288" s="158">
        <v>10</v>
      </c>
      <c r="G3288" s="158">
        <v>0</v>
      </c>
      <c r="H3288" s="133" t="s">
        <v>479</v>
      </c>
      <c r="I3288" s="133" t="s">
        <v>479</v>
      </c>
      <c r="J3288" s="158">
        <v>0</v>
      </c>
      <c r="K3288" s="159" t="str">
        <f ca="1">IFERROR(__xludf.DUMMYFUNCTION("GOOGLETRANSLATE(H3288,""th"",""en"")"),"Null")</f>
        <v>Null</v>
      </c>
    </row>
    <row r="3289" spans="1:11" ht="15.75" hidden="1" customHeight="1">
      <c r="A3289" s="133" t="s">
        <v>7</v>
      </c>
      <c r="B3289" s="133" t="s">
        <v>3618</v>
      </c>
      <c r="C3289" s="133" t="s">
        <v>3377</v>
      </c>
      <c r="D3289" s="133" t="s">
        <v>484</v>
      </c>
      <c r="E3289" s="158">
        <v>4</v>
      </c>
      <c r="F3289" s="158">
        <v>10</v>
      </c>
      <c r="G3289" s="158">
        <v>0</v>
      </c>
      <c r="H3289" s="133" t="s">
        <v>479</v>
      </c>
      <c r="I3289" s="133" t="s">
        <v>479</v>
      </c>
      <c r="J3289" s="158">
        <v>0</v>
      </c>
      <c r="K3289" s="159" t="str">
        <f ca="1">IFERROR(__xludf.DUMMYFUNCTION("GOOGLETRANSLATE(H3289,""th"",""en"")"),"Null")</f>
        <v>Null</v>
      </c>
    </row>
    <row r="3290" spans="1:11" ht="15.75" hidden="1" customHeight="1">
      <c r="A3290" s="133" t="s">
        <v>7</v>
      </c>
      <c r="B3290" s="133" t="s">
        <v>3618</v>
      </c>
      <c r="C3290" s="133" t="s">
        <v>3378</v>
      </c>
      <c r="D3290" s="133" t="s">
        <v>484</v>
      </c>
      <c r="E3290" s="158">
        <v>4</v>
      </c>
      <c r="F3290" s="158">
        <v>10</v>
      </c>
      <c r="G3290" s="158">
        <v>0</v>
      </c>
      <c r="H3290" s="133" t="s">
        <v>479</v>
      </c>
      <c r="I3290" s="133" t="s">
        <v>479</v>
      </c>
      <c r="J3290" s="158">
        <v>0</v>
      </c>
      <c r="K3290" s="159" t="str">
        <f ca="1">IFERROR(__xludf.DUMMYFUNCTION("GOOGLETRANSLATE(H3290,""th"",""en"")"),"Null")</f>
        <v>Null</v>
      </c>
    </row>
    <row r="3291" spans="1:11" ht="15.75" hidden="1" customHeight="1">
      <c r="A3291" s="133" t="s">
        <v>7</v>
      </c>
      <c r="B3291" s="133" t="s">
        <v>3618</v>
      </c>
      <c r="C3291" s="133" t="s">
        <v>3164</v>
      </c>
      <c r="D3291" s="133" t="s">
        <v>496</v>
      </c>
      <c r="E3291" s="158">
        <v>4</v>
      </c>
      <c r="F3291" s="158">
        <v>16</v>
      </c>
      <c r="G3291" s="158">
        <v>0</v>
      </c>
      <c r="H3291" s="133" t="s">
        <v>479</v>
      </c>
      <c r="I3291" s="133" t="s">
        <v>479</v>
      </c>
      <c r="J3291" s="158">
        <v>0</v>
      </c>
      <c r="K3291" s="159" t="str">
        <f ca="1">IFERROR(__xludf.DUMMYFUNCTION("GOOGLETRANSLATE(H3291,""th"",""en"")"),"Null")</f>
        <v>Null</v>
      </c>
    </row>
    <row r="3292" spans="1:11" ht="15.75" hidden="1" customHeight="1">
      <c r="A3292" s="133" t="s">
        <v>7</v>
      </c>
      <c r="B3292" s="133" t="s">
        <v>3618</v>
      </c>
      <c r="C3292" s="133" t="s">
        <v>3166</v>
      </c>
      <c r="D3292" s="133" t="s">
        <v>496</v>
      </c>
      <c r="E3292" s="158">
        <v>4</v>
      </c>
      <c r="F3292" s="158">
        <v>16</v>
      </c>
      <c r="G3292" s="158">
        <v>0</v>
      </c>
      <c r="H3292" s="133" t="s">
        <v>479</v>
      </c>
      <c r="I3292" s="133" t="s">
        <v>479</v>
      </c>
      <c r="J3292" s="158">
        <v>0</v>
      </c>
      <c r="K3292" s="159" t="str">
        <f ca="1">IFERROR(__xludf.DUMMYFUNCTION("GOOGLETRANSLATE(H3292,""th"",""en"")"),"Null")</f>
        <v>Null</v>
      </c>
    </row>
    <row r="3293" spans="1:11" ht="15.75" hidden="1" customHeight="1">
      <c r="A3293" s="133" t="s">
        <v>7</v>
      </c>
      <c r="B3293" s="133" t="s">
        <v>3618</v>
      </c>
      <c r="C3293" s="133" t="s">
        <v>3168</v>
      </c>
      <c r="D3293" s="133" t="s">
        <v>496</v>
      </c>
      <c r="E3293" s="158">
        <v>4</v>
      </c>
      <c r="F3293" s="158">
        <v>16</v>
      </c>
      <c r="G3293" s="158">
        <v>0</v>
      </c>
      <c r="H3293" s="133" t="s">
        <v>479</v>
      </c>
      <c r="I3293" s="133" t="s">
        <v>479</v>
      </c>
      <c r="J3293" s="158">
        <v>0</v>
      </c>
      <c r="K3293" s="159" t="str">
        <f ca="1">IFERROR(__xludf.DUMMYFUNCTION("GOOGLETRANSLATE(H3293,""th"",""en"")"),"Null")</f>
        <v>Null</v>
      </c>
    </row>
    <row r="3294" spans="1:11" ht="15.75" hidden="1" customHeight="1">
      <c r="A3294" s="133" t="s">
        <v>7</v>
      </c>
      <c r="B3294" s="133" t="s">
        <v>3618</v>
      </c>
      <c r="C3294" s="133" t="s">
        <v>3170</v>
      </c>
      <c r="D3294" s="133" t="s">
        <v>496</v>
      </c>
      <c r="E3294" s="158">
        <v>4</v>
      </c>
      <c r="F3294" s="158">
        <v>16</v>
      </c>
      <c r="G3294" s="158">
        <v>0</v>
      </c>
      <c r="H3294" s="133" t="s">
        <v>479</v>
      </c>
      <c r="I3294" s="133" t="s">
        <v>479</v>
      </c>
      <c r="J3294" s="158">
        <v>0</v>
      </c>
      <c r="K3294" s="159" t="str">
        <f ca="1">IFERROR(__xludf.DUMMYFUNCTION("GOOGLETRANSLATE(H3294,""th"",""en"")"),"Null")</f>
        <v>Null</v>
      </c>
    </row>
    <row r="3295" spans="1:11" ht="15.75" hidden="1" customHeight="1">
      <c r="A3295" s="133" t="s">
        <v>7</v>
      </c>
      <c r="B3295" s="133" t="s">
        <v>3618</v>
      </c>
      <c r="C3295" s="133" t="s">
        <v>3172</v>
      </c>
      <c r="D3295" s="133" t="s">
        <v>496</v>
      </c>
      <c r="E3295" s="158">
        <v>4</v>
      </c>
      <c r="F3295" s="158">
        <v>16</v>
      </c>
      <c r="G3295" s="158">
        <v>0</v>
      </c>
      <c r="H3295" s="133" t="s">
        <v>479</v>
      </c>
      <c r="I3295" s="133" t="s">
        <v>479</v>
      </c>
      <c r="J3295" s="158">
        <v>0</v>
      </c>
      <c r="K3295" s="159" t="str">
        <f ca="1">IFERROR(__xludf.DUMMYFUNCTION("GOOGLETRANSLATE(H3295,""th"",""en"")"),"Null")</f>
        <v>Null</v>
      </c>
    </row>
    <row r="3296" spans="1:11" ht="15.75" hidden="1" customHeight="1">
      <c r="A3296" s="133" t="s">
        <v>7</v>
      </c>
      <c r="B3296" s="133" t="s">
        <v>3618</v>
      </c>
      <c r="C3296" s="133" t="s">
        <v>3174</v>
      </c>
      <c r="D3296" s="133" t="s">
        <v>496</v>
      </c>
      <c r="E3296" s="158">
        <v>4</v>
      </c>
      <c r="F3296" s="158">
        <v>16</v>
      </c>
      <c r="G3296" s="158">
        <v>0</v>
      </c>
      <c r="H3296" s="133" t="s">
        <v>479</v>
      </c>
      <c r="I3296" s="133" t="s">
        <v>479</v>
      </c>
      <c r="J3296" s="158">
        <v>0</v>
      </c>
      <c r="K3296" s="159" t="str">
        <f ca="1">IFERROR(__xludf.DUMMYFUNCTION("GOOGLETRANSLATE(H3296,""th"",""en"")"),"Null")</f>
        <v>Null</v>
      </c>
    </row>
    <row r="3297" spans="1:11" ht="15.75" hidden="1" customHeight="1">
      <c r="A3297" s="133" t="s">
        <v>7</v>
      </c>
      <c r="B3297" s="133" t="s">
        <v>3619</v>
      </c>
      <c r="C3297" s="133" t="s">
        <v>2317</v>
      </c>
      <c r="D3297" s="133" t="s">
        <v>477</v>
      </c>
      <c r="E3297" s="158">
        <v>20</v>
      </c>
      <c r="F3297" s="158">
        <v>0</v>
      </c>
      <c r="G3297" s="160"/>
      <c r="H3297" s="133" t="s">
        <v>3614</v>
      </c>
      <c r="I3297" s="160"/>
      <c r="J3297" s="160"/>
      <c r="K3297" s="159" t="str">
        <f ca="1">IFERROR(__xludf.DUMMYFUNCTION("GOOGLETRANSLATE(H3297,""th"",""en"")"),"Source Data Col, OMT")</f>
        <v>Source Data Col, OMT</v>
      </c>
    </row>
    <row r="3298" spans="1:11" ht="15.75" hidden="1" customHeight="1">
      <c r="A3298" s="133" t="s">
        <v>7</v>
      </c>
      <c r="B3298" s="133" t="s">
        <v>3619</v>
      </c>
      <c r="C3298" s="133" t="s">
        <v>3615</v>
      </c>
      <c r="D3298" s="133" t="s">
        <v>477</v>
      </c>
      <c r="E3298" s="158">
        <v>7</v>
      </c>
      <c r="F3298" s="158">
        <v>0</v>
      </c>
      <c r="G3298" s="160"/>
      <c r="H3298" s="133" t="s">
        <v>3616</v>
      </c>
      <c r="I3298" s="160"/>
      <c r="J3298" s="160"/>
      <c r="K3298" s="159" t="str">
        <f ca="1">IFERROR(__xludf.DUMMYFUNCTION("GOOGLETRANSLATE(H3298,""th"",""en"")"),"Year-Month")</f>
        <v>Year-Month</v>
      </c>
    </row>
    <row r="3299" spans="1:11" ht="15.75" hidden="1" customHeight="1">
      <c r="A3299" s="133" t="s">
        <v>7</v>
      </c>
      <c r="B3299" s="133" t="s">
        <v>3619</v>
      </c>
      <c r="C3299" s="133" t="s">
        <v>369</v>
      </c>
      <c r="D3299" s="133" t="s">
        <v>477</v>
      </c>
      <c r="E3299" s="158">
        <v>20</v>
      </c>
      <c r="F3299" s="158">
        <v>0</v>
      </c>
      <c r="G3299" s="158">
        <v>0</v>
      </c>
      <c r="H3299" s="133" t="s">
        <v>1264</v>
      </c>
      <c r="I3299" s="133" t="s">
        <v>548</v>
      </c>
      <c r="J3299" s="158">
        <v>0</v>
      </c>
      <c r="K3299" s="159" t="str">
        <f ca="1">IFERROR(__xludf.DUMMYFUNCTION("GOOGLETRANSLATE(H3299,""th"",""en"")"),"Warehouse code")</f>
        <v>Warehouse code</v>
      </c>
    </row>
    <row r="3300" spans="1:11" ht="15.75" hidden="1" customHeight="1">
      <c r="A3300" s="133" t="s">
        <v>7</v>
      </c>
      <c r="B3300" s="133" t="s">
        <v>3619</v>
      </c>
      <c r="C3300" s="133" t="s">
        <v>2290</v>
      </c>
      <c r="D3300" s="133" t="s">
        <v>477</v>
      </c>
      <c r="E3300" s="158">
        <v>100</v>
      </c>
      <c r="F3300" s="158">
        <v>0</v>
      </c>
      <c r="G3300" s="158">
        <v>0</v>
      </c>
      <c r="H3300" s="133" t="s">
        <v>2864</v>
      </c>
      <c r="I3300" s="133" t="s">
        <v>548</v>
      </c>
      <c r="J3300" s="158">
        <v>0</v>
      </c>
      <c r="K3300" s="159" t="str">
        <f ca="1">IFERROR(__xludf.DUMMYFUNCTION("GOOGLETRANSLATE(H3300,""th"",""en"")"),"Warehouse name")</f>
        <v>Warehouse name</v>
      </c>
    </row>
    <row r="3301" spans="1:11" ht="15.75" hidden="1" customHeight="1">
      <c r="A3301" s="133" t="s">
        <v>7</v>
      </c>
      <c r="B3301" s="133" t="s">
        <v>3619</v>
      </c>
      <c r="C3301" s="133" t="s">
        <v>793</v>
      </c>
      <c r="D3301" s="133" t="s">
        <v>477</v>
      </c>
      <c r="E3301" s="158">
        <v>20</v>
      </c>
      <c r="F3301" s="158">
        <v>0</v>
      </c>
      <c r="G3301" s="158">
        <v>0</v>
      </c>
      <c r="H3301" s="133" t="s">
        <v>3437</v>
      </c>
      <c r="I3301" s="133" t="s">
        <v>548</v>
      </c>
      <c r="J3301" s="158">
        <v>0</v>
      </c>
      <c r="K3301" s="159" t="str">
        <f ca="1">IFERROR(__xludf.DUMMYFUNCTION("GOOGLETRANSLATE(H3301,""th"",""en"")"),"Store code")</f>
        <v>Store code</v>
      </c>
    </row>
    <row r="3302" spans="1:11" ht="15.75" hidden="1" customHeight="1">
      <c r="A3302" s="133" t="s">
        <v>7</v>
      </c>
      <c r="B3302" s="133" t="s">
        <v>3619</v>
      </c>
      <c r="C3302" s="133" t="s">
        <v>3438</v>
      </c>
      <c r="D3302" s="133" t="s">
        <v>477</v>
      </c>
      <c r="E3302" s="158">
        <v>100</v>
      </c>
      <c r="F3302" s="158">
        <v>0</v>
      </c>
      <c r="G3302" s="158">
        <v>0</v>
      </c>
      <c r="H3302" s="133" t="s">
        <v>3439</v>
      </c>
      <c r="I3302" s="133" t="s">
        <v>548</v>
      </c>
      <c r="J3302" s="158">
        <v>0</v>
      </c>
      <c r="K3302" s="159" t="str">
        <f ca="1">IFERROR(__xludf.DUMMYFUNCTION("GOOGLETRANSLATE(H3302,""th"",""en"")"),"Store name")</f>
        <v>Store name</v>
      </c>
    </row>
    <row r="3303" spans="1:11" ht="15.75" hidden="1" customHeight="1">
      <c r="A3303" s="133" t="s">
        <v>7</v>
      </c>
      <c r="B3303" s="133" t="s">
        <v>3619</v>
      </c>
      <c r="C3303" s="133" t="s">
        <v>2569</v>
      </c>
      <c r="D3303" s="133" t="s">
        <v>477</v>
      </c>
      <c r="E3303" s="158">
        <v>50</v>
      </c>
      <c r="F3303" s="158">
        <v>0</v>
      </c>
      <c r="G3303" s="158">
        <v>0</v>
      </c>
      <c r="H3303" s="133" t="s">
        <v>3440</v>
      </c>
      <c r="I3303" s="133" t="s">
        <v>548</v>
      </c>
      <c r="J3303" s="158">
        <v>0</v>
      </c>
      <c r="K3303" s="159" t="str">
        <f ca="1">IFERROR(__xludf.DUMMYFUNCTION("GOOGLETRANSLATE(H3303,""th"",""en"")"),"Store type")</f>
        <v>Store type</v>
      </c>
    </row>
    <row r="3304" spans="1:11" ht="15.75" hidden="1" customHeight="1">
      <c r="A3304" s="133" t="s">
        <v>7</v>
      </c>
      <c r="B3304" s="133" t="s">
        <v>3619</v>
      </c>
      <c r="C3304" s="133" t="s">
        <v>257</v>
      </c>
      <c r="D3304" s="133" t="s">
        <v>477</v>
      </c>
      <c r="E3304" s="158">
        <v>20</v>
      </c>
      <c r="F3304" s="158">
        <v>0</v>
      </c>
      <c r="G3304" s="158">
        <v>0</v>
      </c>
      <c r="H3304" s="133" t="s">
        <v>1130</v>
      </c>
      <c r="I3304" s="133" t="s">
        <v>548</v>
      </c>
      <c r="J3304" s="158">
        <v>0</v>
      </c>
      <c r="K3304" s="159" t="str">
        <f ca="1">IFERROR(__xludf.DUMMYFUNCTION("GOOGLETRANSLATE(H3304,""th"",""en"")"),"Product code")</f>
        <v>Product code</v>
      </c>
    </row>
    <row r="3305" spans="1:11" ht="15.75" hidden="1" customHeight="1">
      <c r="A3305" s="133" t="s">
        <v>7</v>
      </c>
      <c r="B3305" s="133" t="s">
        <v>3619</v>
      </c>
      <c r="C3305" s="133" t="s">
        <v>3441</v>
      </c>
      <c r="D3305" s="133" t="s">
        <v>477</v>
      </c>
      <c r="E3305" s="158">
        <v>100</v>
      </c>
      <c r="F3305" s="158">
        <v>0</v>
      </c>
      <c r="G3305" s="158">
        <v>0</v>
      </c>
      <c r="H3305" s="133" t="s">
        <v>1132</v>
      </c>
      <c r="I3305" s="133" t="s">
        <v>548</v>
      </c>
      <c r="J3305" s="158">
        <v>0</v>
      </c>
      <c r="K3305" s="159" t="str">
        <f ca="1">IFERROR(__xludf.DUMMYFUNCTION("GOOGLETRANSLATE(H3305,""th"",""en"")"),"Product name")</f>
        <v>Product name</v>
      </c>
    </row>
    <row r="3306" spans="1:11" ht="15.75" hidden="1" customHeight="1">
      <c r="A3306" s="133" t="s">
        <v>7</v>
      </c>
      <c r="B3306" s="133" t="s">
        <v>3619</v>
      </c>
      <c r="C3306" s="133" t="s">
        <v>1139</v>
      </c>
      <c r="D3306" s="133" t="s">
        <v>477</v>
      </c>
      <c r="E3306" s="158">
        <v>20</v>
      </c>
      <c r="F3306" s="158">
        <v>0</v>
      </c>
      <c r="G3306" s="158">
        <v>0</v>
      </c>
      <c r="H3306" s="133" t="s">
        <v>3442</v>
      </c>
      <c r="I3306" s="133" t="s">
        <v>548</v>
      </c>
      <c r="J3306" s="158">
        <v>0</v>
      </c>
      <c r="K3306" s="159" t="str">
        <f ca="1">IFERROR(__xludf.DUMMYFUNCTION("GOOGLETRANSLATE(H3306,""th"",""en"")"),"Product unit")</f>
        <v>Product unit</v>
      </c>
    </row>
    <row r="3307" spans="1:11" ht="15.75" hidden="1" customHeight="1">
      <c r="A3307" s="133" t="s">
        <v>7</v>
      </c>
      <c r="B3307" s="133" t="s">
        <v>3619</v>
      </c>
      <c r="C3307" s="133" t="s">
        <v>1147</v>
      </c>
      <c r="D3307" s="133" t="s">
        <v>481</v>
      </c>
      <c r="E3307" s="158">
        <v>5</v>
      </c>
      <c r="F3307" s="158">
        <v>9</v>
      </c>
      <c r="G3307" s="158">
        <v>2</v>
      </c>
      <c r="H3307" s="133" t="s">
        <v>3443</v>
      </c>
      <c r="I3307" s="133" t="s">
        <v>615</v>
      </c>
      <c r="J3307" s="158">
        <v>0</v>
      </c>
      <c r="K3307" s="159" t="str">
        <f ca="1">IFERROR(__xludf.DUMMYFUNCTION("GOOGLETRANSLATE(H3307,""th"",""en"")"),"Average price of products")</f>
        <v>Average price of products</v>
      </c>
    </row>
    <row r="3308" spans="1:11" ht="15.75" hidden="1" customHeight="1">
      <c r="A3308" s="133" t="s">
        <v>7</v>
      </c>
      <c r="B3308" s="133" t="s">
        <v>3619</v>
      </c>
      <c r="C3308" s="133" t="s">
        <v>3444</v>
      </c>
      <c r="D3308" s="133" t="s">
        <v>481</v>
      </c>
      <c r="E3308" s="158">
        <v>5</v>
      </c>
      <c r="F3308" s="158">
        <v>9</v>
      </c>
      <c r="G3308" s="158">
        <v>2</v>
      </c>
      <c r="H3308" s="133" t="s">
        <v>3445</v>
      </c>
      <c r="I3308" s="133" t="s">
        <v>615</v>
      </c>
      <c r="J3308" s="158">
        <v>0</v>
      </c>
      <c r="K3308" s="159" t="str">
        <f ca="1">IFERROR(__xludf.DUMMYFUNCTION("GOOGLETRANSLATE(H3308,""th"",""en"")"),"Product total")</f>
        <v>Product total</v>
      </c>
    </row>
    <row r="3309" spans="1:11" ht="15.75" hidden="1" customHeight="1">
      <c r="A3309" s="133" t="s">
        <v>7</v>
      </c>
      <c r="B3309" s="133" t="s">
        <v>3619</v>
      </c>
      <c r="C3309" s="133" t="s">
        <v>3366</v>
      </c>
      <c r="D3309" s="133" t="s">
        <v>484</v>
      </c>
      <c r="E3309" s="158">
        <v>4</v>
      </c>
      <c r="F3309" s="158">
        <v>10</v>
      </c>
      <c r="G3309" s="158">
        <v>0</v>
      </c>
      <c r="H3309" s="133" t="s">
        <v>3446</v>
      </c>
      <c r="I3309" s="133" t="s">
        <v>615</v>
      </c>
      <c r="J3309" s="158">
        <v>0</v>
      </c>
      <c r="K3309" s="159" t="str">
        <f ca="1">IFERROR(__xludf.DUMMYFUNCTION("GOOGLETRANSLATE(H3309,""th"",""en"")"),"Number of products")</f>
        <v>Number of products</v>
      </c>
    </row>
    <row r="3310" spans="1:11" ht="15.75" hidden="1" customHeight="1">
      <c r="A3310" s="133" t="s">
        <v>7</v>
      </c>
      <c r="B3310" s="133" t="s">
        <v>3619</v>
      </c>
      <c r="C3310" s="133" t="s">
        <v>3447</v>
      </c>
      <c r="D3310" s="133" t="s">
        <v>484</v>
      </c>
      <c r="E3310" s="158">
        <v>4</v>
      </c>
      <c r="F3310" s="158">
        <v>10</v>
      </c>
      <c r="G3310" s="158">
        <v>0</v>
      </c>
      <c r="H3310" s="133" t="s">
        <v>3448</v>
      </c>
      <c r="I3310" s="133" t="s">
        <v>615</v>
      </c>
      <c r="J3310" s="158">
        <v>0</v>
      </c>
      <c r="K3310" s="159" t="str">
        <f ca="1">IFERROR(__xludf.DUMMYFUNCTION("GOOGLETRANSLATE(H3310,""th"",""en"")"),"The number of products that are booked from sales (SO, DO, MR)")</f>
        <v>The number of products that are booked from sales (SO, DO, MR)</v>
      </c>
    </row>
    <row r="3311" spans="1:11" ht="15.75" hidden="1" customHeight="1">
      <c r="A3311" s="133" t="s">
        <v>7</v>
      </c>
      <c r="B3311" s="133" t="s">
        <v>3619</v>
      </c>
      <c r="C3311" s="133" t="s">
        <v>3449</v>
      </c>
      <c r="D3311" s="133" t="s">
        <v>484</v>
      </c>
      <c r="E3311" s="158">
        <v>4</v>
      </c>
      <c r="F3311" s="158">
        <v>10</v>
      </c>
      <c r="G3311" s="158">
        <v>0</v>
      </c>
      <c r="H3311" s="133" t="s">
        <v>3450</v>
      </c>
      <c r="I3311" s="133" t="s">
        <v>615</v>
      </c>
      <c r="J3311" s="158">
        <v>0</v>
      </c>
      <c r="K3311" s="159" t="str">
        <f ca="1">IFERROR(__xludf.DUMMYFUNCTION("GOOGLETRANSLATE(H3311,""th"",""en"")"),"The number of products that are booked in RT documents")</f>
        <v>The number of products that are booked in RT documents</v>
      </c>
    </row>
    <row r="3312" spans="1:11" ht="15.75" hidden="1" customHeight="1">
      <c r="A3312" s="133" t="s">
        <v>7</v>
      </c>
      <c r="B3312" s="133" t="s">
        <v>3619</v>
      </c>
      <c r="C3312" s="133" t="s">
        <v>3451</v>
      </c>
      <c r="D3312" s="133" t="s">
        <v>484</v>
      </c>
      <c r="E3312" s="158">
        <v>4</v>
      </c>
      <c r="F3312" s="158">
        <v>10</v>
      </c>
      <c r="G3312" s="158">
        <v>0</v>
      </c>
      <c r="H3312" s="133" t="s">
        <v>3452</v>
      </c>
      <c r="I3312" s="133" t="s">
        <v>615</v>
      </c>
      <c r="J3312" s="158">
        <v>0</v>
      </c>
      <c r="K3312" s="159" t="str">
        <f ca="1">IFERROR(__xludf.DUMMYFUNCTION("GOOGLETRANSLATE(H3312,""th"",""en"")"),"The number of products that are booked in the TD document")</f>
        <v>The number of products that are booked in the TD document</v>
      </c>
    </row>
    <row r="3313" spans="1:11" ht="15.75" hidden="1" customHeight="1">
      <c r="A3313" s="133" t="s">
        <v>7</v>
      </c>
      <c r="B3313" s="133" t="s">
        <v>3619</v>
      </c>
      <c r="C3313" s="133" t="s">
        <v>3453</v>
      </c>
      <c r="D3313" s="133" t="s">
        <v>484</v>
      </c>
      <c r="E3313" s="158">
        <v>4</v>
      </c>
      <c r="F3313" s="158">
        <v>10</v>
      </c>
      <c r="G3313" s="158">
        <v>0</v>
      </c>
      <c r="H3313" s="133" t="s">
        <v>3454</v>
      </c>
      <c r="I3313" s="133" t="s">
        <v>615</v>
      </c>
      <c r="J3313" s="158">
        <v>0</v>
      </c>
      <c r="K3313" s="159" t="str">
        <f ca="1">IFERROR(__xludf.DUMMYFUNCTION("GOOGLETRANSLATE(H3313,""th"",""en"")"),"The number of products that are booked in the WT document")</f>
        <v>The number of products that are booked in the WT document</v>
      </c>
    </row>
    <row r="3314" spans="1:11" ht="15.75" hidden="1" customHeight="1">
      <c r="A3314" s="133" t="s">
        <v>7</v>
      </c>
      <c r="B3314" s="133" t="s">
        <v>3619</v>
      </c>
      <c r="C3314" s="133" t="s">
        <v>3455</v>
      </c>
      <c r="D3314" s="133" t="s">
        <v>484</v>
      </c>
      <c r="E3314" s="158">
        <v>4</v>
      </c>
      <c r="F3314" s="158">
        <v>10</v>
      </c>
      <c r="G3314" s="158">
        <v>0</v>
      </c>
      <c r="H3314" s="133" t="s">
        <v>3456</v>
      </c>
      <c r="I3314" s="133" t="s">
        <v>615</v>
      </c>
      <c r="J3314" s="158">
        <v>0</v>
      </c>
      <c r="K3314" s="159" t="str">
        <f ca="1">IFERROR(__xludf.DUMMYFUNCTION("GOOGLETRANSLATE(H3314,""th"",""en"")"),"The number of products that are booked in the RU document")</f>
        <v>The number of products that are booked in the RU document</v>
      </c>
    </row>
    <row r="3315" spans="1:11" ht="15.75" hidden="1" customHeight="1">
      <c r="A3315" s="133" t="s">
        <v>7</v>
      </c>
      <c r="B3315" s="133" t="s">
        <v>3619</v>
      </c>
      <c r="C3315" s="133" t="s">
        <v>3457</v>
      </c>
      <c r="D3315" s="133" t="s">
        <v>484</v>
      </c>
      <c r="E3315" s="158">
        <v>4</v>
      </c>
      <c r="F3315" s="158">
        <v>10</v>
      </c>
      <c r="G3315" s="158">
        <v>0</v>
      </c>
      <c r="H3315" s="133" t="s">
        <v>3458</v>
      </c>
      <c r="I3315" s="133" t="s">
        <v>615</v>
      </c>
      <c r="J3315" s="158">
        <v>0</v>
      </c>
      <c r="K3315" s="159" t="str">
        <f ca="1">IFERROR(__xludf.DUMMYFUNCTION("GOOGLETRANSLATE(H3315,""th"",""en"")"),"Number of products in RD documents")</f>
        <v>Number of products in RD documents</v>
      </c>
    </row>
    <row r="3316" spans="1:11" ht="15.75" hidden="1" customHeight="1">
      <c r="A3316" s="133" t="s">
        <v>7</v>
      </c>
      <c r="B3316" s="133" t="s">
        <v>3619</v>
      </c>
      <c r="C3316" s="133" t="s">
        <v>3459</v>
      </c>
      <c r="D3316" s="133" t="s">
        <v>484</v>
      </c>
      <c r="E3316" s="158">
        <v>4</v>
      </c>
      <c r="F3316" s="158">
        <v>10</v>
      </c>
      <c r="G3316" s="158">
        <v>0</v>
      </c>
      <c r="H3316" s="133" t="s">
        <v>3460</v>
      </c>
      <c r="I3316" s="133" t="s">
        <v>615</v>
      </c>
      <c r="J3316" s="158">
        <v>0</v>
      </c>
      <c r="K3316" s="159" t="str">
        <f ca="1">IFERROR(__xludf.DUMMYFUNCTION("GOOGLETRANSLATE(H3316,""th"",""en"")"),"The number of products that are booked in the PLT document")</f>
        <v>The number of products that are booked in the PLT document</v>
      </c>
    </row>
    <row r="3317" spans="1:11" ht="15.75" hidden="1" customHeight="1">
      <c r="A3317" s="133" t="s">
        <v>7</v>
      </c>
      <c r="B3317" s="133" t="s">
        <v>3619</v>
      </c>
      <c r="C3317" s="133" t="s">
        <v>669</v>
      </c>
      <c r="D3317" s="133" t="s">
        <v>538</v>
      </c>
      <c r="E3317" s="158">
        <v>8</v>
      </c>
      <c r="F3317" s="158">
        <v>23</v>
      </c>
      <c r="G3317" s="158">
        <v>3</v>
      </c>
      <c r="H3317" s="133" t="s">
        <v>3461</v>
      </c>
      <c r="I3317" s="133" t="s">
        <v>548</v>
      </c>
      <c r="J3317" s="158">
        <v>0</v>
      </c>
      <c r="K3317" s="159" t="str">
        <f ca="1">IFERROR(__xludf.DUMMYFUNCTION("GOOGLETRANSLATE(H3317,""th"",""en"")"),"Date of creation")</f>
        <v>Date of creation</v>
      </c>
    </row>
    <row r="3318" spans="1:11" ht="15.75" hidden="1" customHeight="1">
      <c r="A3318" s="133" t="s">
        <v>7</v>
      </c>
      <c r="B3318" s="133" t="s">
        <v>3619</v>
      </c>
      <c r="C3318" s="133" t="s">
        <v>523</v>
      </c>
      <c r="D3318" s="133" t="s">
        <v>477</v>
      </c>
      <c r="E3318" s="158">
        <v>20</v>
      </c>
      <c r="F3318" s="158">
        <v>0</v>
      </c>
      <c r="G3318" s="158">
        <v>0</v>
      </c>
      <c r="H3318" s="133" t="s">
        <v>3462</v>
      </c>
      <c r="I3318" s="133" t="s">
        <v>548</v>
      </c>
      <c r="J3318" s="158">
        <v>0</v>
      </c>
      <c r="K3318" s="159" t="str">
        <f ca="1">IFERROR(__xludf.DUMMYFUNCTION("GOOGLETRANSLATE(H3318,""th"",""en"")"),"Document Creator ID")</f>
        <v>Document Creator ID</v>
      </c>
    </row>
    <row r="3319" spans="1:11" ht="15.75" hidden="1" customHeight="1">
      <c r="A3319" s="133" t="s">
        <v>7</v>
      </c>
      <c r="B3319" s="133" t="s">
        <v>3619</v>
      </c>
      <c r="C3319" s="133" t="s">
        <v>814</v>
      </c>
      <c r="D3319" s="133" t="s">
        <v>477</v>
      </c>
      <c r="E3319" s="158">
        <v>100</v>
      </c>
      <c r="F3319" s="158">
        <v>0</v>
      </c>
      <c r="G3319" s="158">
        <v>0</v>
      </c>
      <c r="H3319" s="133" t="s">
        <v>3463</v>
      </c>
      <c r="I3319" s="133" t="s">
        <v>548</v>
      </c>
      <c r="J3319" s="158">
        <v>0</v>
      </c>
      <c r="K3319" s="159" t="str">
        <f ca="1">IFERROR(__xludf.DUMMYFUNCTION("GOOGLETRANSLATE(H3319,""th"",""en"")"),"Document Creator Name")</f>
        <v>Document Creator Name</v>
      </c>
    </row>
    <row r="3320" spans="1:11" ht="15.75" hidden="1" customHeight="1">
      <c r="A3320" s="133" t="s">
        <v>7</v>
      </c>
      <c r="B3320" s="133" t="s">
        <v>3619</v>
      </c>
      <c r="C3320" s="133" t="s">
        <v>215</v>
      </c>
      <c r="D3320" s="133" t="s">
        <v>538</v>
      </c>
      <c r="E3320" s="158">
        <v>8</v>
      </c>
      <c r="F3320" s="158">
        <v>23</v>
      </c>
      <c r="G3320" s="158">
        <v>3</v>
      </c>
      <c r="H3320" s="133" t="s">
        <v>3464</v>
      </c>
      <c r="I3320" s="133" t="s">
        <v>548</v>
      </c>
      <c r="J3320" s="158">
        <v>0</v>
      </c>
      <c r="K3320" s="159" t="str">
        <f ca="1">IFERROR(__xludf.DUMMYFUNCTION("GOOGLETRANSLATE(H3320,""th"",""en"")"),"Last edited date")</f>
        <v>Last edited date</v>
      </c>
    </row>
    <row r="3321" spans="1:11" ht="15.75" hidden="1" customHeight="1">
      <c r="A3321" s="133" t="s">
        <v>7</v>
      </c>
      <c r="B3321" s="133" t="s">
        <v>3619</v>
      </c>
      <c r="C3321" s="133" t="s">
        <v>670</v>
      </c>
      <c r="D3321" s="133" t="s">
        <v>477</v>
      </c>
      <c r="E3321" s="158">
        <v>20</v>
      </c>
      <c r="F3321" s="158">
        <v>0</v>
      </c>
      <c r="G3321" s="158">
        <v>0</v>
      </c>
      <c r="H3321" s="133" t="s">
        <v>3465</v>
      </c>
      <c r="I3321" s="133" t="s">
        <v>548</v>
      </c>
      <c r="J3321" s="158">
        <v>0</v>
      </c>
      <c r="K3321" s="159" t="str">
        <f ca="1">IFERROR(__xludf.DUMMYFUNCTION("GOOGLETRANSLATE(H3321,""th"",""en"")"),"Recent document editor")</f>
        <v>Recent document editor</v>
      </c>
    </row>
    <row r="3322" spans="1:11" ht="15.75" hidden="1" customHeight="1">
      <c r="A3322" s="133" t="s">
        <v>7</v>
      </c>
      <c r="B3322" s="133" t="s">
        <v>3619</v>
      </c>
      <c r="C3322" s="133" t="s">
        <v>816</v>
      </c>
      <c r="D3322" s="133" t="s">
        <v>477</v>
      </c>
      <c r="E3322" s="158">
        <v>100</v>
      </c>
      <c r="F3322" s="158">
        <v>0</v>
      </c>
      <c r="G3322" s="158">
        <v>0</v>
      </c>
      <c r="H3322" s="133" t="s">
        <v>3466</v>
      </c>
      <c r="I3322" s="133" t="s">
        <v>548</v>
      </c>
      <c r="J3322" s="158">
        <v>0</v>
      </c>
      <c r="K3322" s="159" t="str">
        <f ca="1">IFERROR(__xludf.DUMMYFUNCTION("GOOGLETRANSLATE(H3322,""th"",""en"")"),"Latest document editor")</f>
        <v>Latest document editor</v>
      </c>
    </row>
    <row r="3323" spans="1:11" ht="15.75" hidden="1" customHeight="1">
      <c r="A3323" s="133" t="s">
        <v>7</v>
      </c>
      <c r="B3323" s="133" t="s">
        <v>3619</v>
      </c>
      <c r="C3323" s="133" t="s">
        <v>3467</v>
      </c>
      <c r="D3323" s="133" t="s">
        <v>538</v>
      </c>
      <c r="E3323" s="158">
        <v>8</v>
      </c>
      <c r="F3323" s="158">
        <v>23</v>
      </c>
      <c r="G3323" s="158">
        <v>3</v>
      </c>
      <c r="H3323" s="133" t="s">
        <v>3468</v>
      </c>
      <c r="I3323" s="133" t="s">
        <v>548</v>
      </c>
      <c r="J3323" s="158">
        <v>0</v>
      </c>
      <c r="K3323" s="159" t="str">
        <f ca="1">IFERROR(__xludf.DUMMYFUNCTION("GOOGLETRANSLATE(H3323,""th"",""en"")"),"The date of receiving the latest product from the purchase")</f>
        <v>The date of receiving the latest product from the purchase</v>
      </c>
    </row>
    <row r="3324" spans="1:11" ht="15.75" hidden="1" customHeight="1">
      <c r="A3324" s="133" t="s">
        <v>7</v>
      </c>
      <c r="B3324" s="133" t="s">
        <v>3620</v>
      </c>
      <c r="C3324" s="133" t="s">
        <v>2317</v>
      </c>
      <c r="D3324" s="133" t="s">
        <v>477</v>
      </c>
      <c r="E3324" s="158">
        <v>20</v>
      </c>
      <c r="F3324" s="158">
        <v>0</v>
      </c>
      <c r="G3324" s="160"/>
      <c r="H3324" s="133" t="s">
        <v>3614</v>
      </c>
      <c r="I3324" s="160"/>
      <c r="J3324" s="160"/>
      <c r="K3324" s="159" t="str">
        <f ca="1">IFERROR(__xludf.DUMMYFUNCTION("GOOGLETRANSLATE(H3324,""th"",""en"")"),"Source Data Col, OMT")</f>
        <v>Source Data Col, OMT</v>
      </c>
    </row>
    <row r="3325" spans="1:11" ht="15.75" hidden="1" customHeight="1">
      <c r="A3325" s="133" t="s">
        <v>7</v>
      </c>
      <c r="B3325" s="133" t="s">
        <v>3620</v>
      </c>
      <c r="C3325" s="133" t="s">
        <v>3615</v>
      </c>
      <c r="D3325" s="133" t="s">
        <v>477</v>
      </c>
      <c r="E3325" s="158">
        <v>7</v>
      </c>
      <c r="F3325" s="158">
        <v>0</v>
      </c>
      <c r="G3325" s="160"/>
      <c r="H3325" s="133" t="s">
        <v>3616</v>
      </c>
      <c r="I3325" s="160"/>
      <c r="J3325" s="160"/>
      <c r="K3325" s="159" t="str">
        <f ca="1">IFERROR(__xludf.DUMMYFUNCTION("GOOGLETRANSLATE(H3325,""th"",""en"")"),"Year-Month")</f>
        <v>Year-Month</v>
      </c>
    </row>
    <row r="3326" spans="1:11" ht="15.75" hidden="1" customHeight="1">
      <c r="A3326" s="133" t="s">
        <v>7</v>
      </c>
      <c r="B3326" s="133" t="s">
        <v>3620</v>
      </c>
      <c r="C3326" s="133" t="s">
        <v>369</v>
      </c>
      <c r="D3326" s="133" t="s">
        <v>477</v>
      </c>
      <c r="E3326" s="158">
        <v>20</v>
      </c>
      <c r="F3326" s="158">
        <v>0</v>
      </c>
      <c r="G3326" s="158">
        <v>0</v>
      </c>
      <c r="H3326" s="133" t="s">
        <v>1264</v>
      </c>
      <c r="I3326" s="133" t="s">
        <v>548</v>
      </c>
      <c r="J3326" s="158">
        <v>0</v>
      </c>
      <c r="K3326" s="159" t="str">
        <f ca="1">IFERROR(__xludf.DUMMYFUNCTION("GOOGLETRANSLATE(H3326,""th"",""en"")"),"Warehouse code")</f>
        <v>Warehouse code</v>
      </c>
    </row>
    <row r="3327" spans="1:11" ht="15.75" hidden="1" customHeight="1">
      <c r="A3327" s="133" t="s">
        <v>7</v>
      </c>
      <c r="B3327" s="133" t="s">
        <v>3620</v>
      </c>
      <c r="C3327" s="133" t="s">
        <v>2290</v>
      </c>
      <c r="D3327" s="133" t="s">
        <v>477</v>
      </c>
      <c r="E3327" s="158">
        <v>100</v>
      </c>
      <c r="F3327" s="158">
        <v>0</v>
      </c>
      <c r="G3327" s="158">
        <v>0</v>
      </c>
      <c r="H3327" s="133" t="s">
        <v>2864</v>
      </c>
      <c r="I3327" s="133" t="s">
        <v>548</v>
      </c>
      <c r="J3327" s="158">
        <v>0</v>
      </c>
      <c r="K3327" s="159" t="str">
        <f ca="1">IFERROR(__xludf.DUMMYFUNCTION("GOOGLETRANSLATE(H3327,""th"",""en"")"),"Warehouse name")</f>
        <v>Warehouse name</v>
      </c>
    </row>
    <row r="3328" spans="1:11" ht="15.75" hidden="1" customHeight="1">
      <c r="A3328" s="133" t="s">
        <v>7</v>
      </c>
      <c r="B3328" s="133" t="s">
        <v>3620</v>
      </c>
      <c r="C3328" s="133" t="s">
        <v>793</v>
      </c>
      <c r="D3328" s="133" t="s">
        <v>477</v>
      </c>
      <c r="E3328" s="158">
        <v>20</v>
      </c>
      <c r="F3328" s="158">
        <v>0</v>
      </c>
      <c r="G3328" s="158">
        <v>0</v>
      </c>
      <c r="H3328" s="133" t="s">
        <v>3437</v>
      </c>
      <c r="I3328" s="133" t="s">
        <v>548</v>
      </c>
      <c r="J3328" s="158">
        <v>0</v>
      </c>
      <c r="K3328" s="159" t="str">
        <f ca="1">IFERROR(__xludf.DUMMYFUNCTION("GOOGLETRANSLATE(H3328,""th"",""en"")"),"Store code")</f>
        <v>Store code</v>
      </c>
    </row>
    <row r="3329" spans="1:11" ht="15.75" hidden="1" customHeight="1">
      <c r="A3329" s="133" t="s">
        <v>7</v>
      </c>
      <c r="B3329" s="133" t="s">
        <v>3620</v>
      </c>
      <c r="C3329" s="133" t="s">
        <v>3438</v>
      </c>
      <c r="D3329" s="133" t="s">
        <v>477</v>
      </c>
      <c r="E3329" s="158">
        <v>100</v>
      </c>
      <c r="F3329" s="158">
        <v>0</v>
      </c>
      <c r="G3329" s="158">
        <v>0</v>
      </c>
      <c r="H3329" s="133" t="s">
        <v>3439</v>
      </c>
      <c r="I3329" s="133" t="s">
        <v>548</v>
      </c>
      <c r="J3329" s="158">
        <v>0</v>
      </c>
      <c r="K3329" s="159" t="str">
        <f ca="1">IFERROR(__xludf.DUMMYFUNCTION("GOOGLETRANSLATE(H3329,""th"",""en"")"),"Store name")</f>
        <v>Store name</v>
      </c>
    </row>
    <row r="3330" spans="1:11" ht="15.75" hidden="1" customHeight="1">
      <c r="A3330" s="133" t="s">
        <v>7</v>
      </c>
      <c r="B3330" s="133" t="s">
        <v>3620</v>
      </c>
      <c r="C3330" s="133" t="s">
        <v>2569</v>
      </c>
      <c r="D3330" s="133" t="s">
        <v>477</v>
      </c>
      <c r="E3330" s="158">
        <v>50</v>
      </c>
      <c r="F3330" s="158">
        <v>0</v>
      </c>
      <c r="G3330" s="158">
        <v>0</v>
      </c>
      <c r="H3330" s="133" t="s">
        <v>3440</v>
      </c>
      <c r="I3330" s="133" t="s">
        <v>548</v>
      </c>
      <c r="J3330" s="158">
        <v>0</v>
      </c>
      <c r="K3330" s="159" t="str">
        <f ca="1">IFERROR(__xludf.DUMMYFUNCTION("GOOGLETRANSLATE(H3330,""th"",""en"")"),"Store type")</f>
        <v>Store type</v>
      </c>
    </row>
    <row r="3331" spans="1:11" ht="15.75" hidden="1" customHeight="1">
      <c r="A3331" s="133" t="s">
        <v>7</v>
      </c>
      <c r="B3331" s="133" t="s">
        <v>3620</v>
      </c>
      <c r="C3331" s="133" t="s">
        <v>257</v>
      </c>
      <c r="D3331" s="133" t="s">
        <v>477</v>
      </c>
      <c r="E3331" s="158">
        <v>20</v>
      </c>
      <c r="F3331" s="158">
        <v>0</v>
      </c>
      <c r="G3331" s="158">
        <v>0</v>
      </c>
      <c r="H3331" s="133" t="s">
        <v>1130</v>
      </c>
      <c r="I3331" s="133" t="s">
        <v>548</v>
      </c>
      <c r="J3331" s="158">
        <v>0</v>
      </c>
      <c r="K3331" s="159" t="str">
        <f ca="1">IFERROR(__xludf.DUMMYFUNCTION("GOOGLETRANSLATE(H3331,""th"",""en"")"),"Product code")</f>
        <v>Product code</v>
      </c>
    </row>
    <row r="3332" spans="1:11" ht="15.75" hidden="1" customHeight="1">
      <c r="A3332" s="133" t="s">
        <v>7</v>
      </c>
      <c r="B3332" s="133" t="s">
        <v>3620</v>
      </c>
      <c r="C3332" s="133" t="s">
        <v>3441</v>
      </c>
      <c r="D3332" s="133" t="s">
        <v>477</v>
      </c>
      <c r="E3332" s="158">
        <v>100</v>
      </c>
      <c r="F3332" s="158">
        <v>0</v>
      </c>
      <c r="G3332" s="158">
        <v>0</v>
      </c>
      <c r="H3332" s="133" t="s">
        <v>1132</v>
      </c>
      <c r="I3332" s="133" t="s">
        <v>548</v>
      </c>
      <c r="J3332" s="158">
        <v>0</v>
      </c>
      <c r="K3332" s="159" t="str">
        <f ca="1">IFERROR(__xludf.DUMMYFUNCTION("GOOGLETRANSLATE(H3332,""th"",""en"")"),"Product name")</f>
        <v>Product name</v>
      </c>
    </row>
    <row r="3333" spans="1:11" ht="15.75" hidden="1" customHeight="1">
      <c r="A3333" s="133" t="s">
        <v>7</v>
      </c>
      <c r="B3333" s="133" t="s">
        <v>3620</v>
      </c>
      <c r="C3333" s="133" t="s">
        <v>1139</v>
      </c>
      <c r="D3333" s="133" t="s">
        <v>477</v>
      </c>
      <c r="E3333" s="158">
        <v>20</v>
      </c>
      <c r="F3333" s="158">
        <v>0</v>
      </c>
      <c r="G3333" s="158">
        <v>0</v>
      </c>
      <c r="H3333" s="133" t="s">
        <v>3442</v>
      </c>
      <c r="I3333" s="133" t="s">
        <v>548</v>
      </c>
      <c r="J3333" s="158">
        <v>0</v>
      </c>
      <c r="K3333" s="159" t="str">
        <f ca="1">IFERROR(__xludf.DUMMYFUNCTION("GOOGLETRANSLATE(H3333,""th"",""en"")"),"Product unit")</f>
        <v>Product unit</v>
      </c>
    </row>
    <row r="3334" spans="1:11" ht="15.75" hidden="1" customHeight="1">
      <c r="A3334" s="133" t="s">
        <v>7</v>
      </c>
      <c r="B3334" s="133" t="s">
        <v>3620</v>
      </c>
      <c r="C3334" s="133" t="s">
        <v>1147</v>
      </c>
      <c r="D3334" s="133" t="s">
        <v>481</v>
      </c>
      <c r="E3334" s="158">
        <v>5</v>
      </c>
      <c r="F3334" s="158">
        <v>9</v>
      </c>
      <c r="G3334" s="158">
        <v>2</v>
      </c>
      <c r="H3334" s="133" t="s">
        <v>3443</v>
      </c>
      <c r="I3334" s="133" t="s">
        <v>615</v>
      </c>
      <c r="J3334" s="158">
        <v>0</v>
      </c>
      <c r="K3334" s="159" t="str">
        <f ca="1">IFERROR(__xludf.DUMMYFUNCTION("GOOGLETRANSLATE(H3334,""th"",""en"")"),"Average price of products")</f>
        <v>Average price of products</v>
      </c>
    </row>
    <row r="3335" spans="1:11" ht="15.75" hidden="1" customHeight="1">
      <c r="A3335" s="133" t="s">
        <v>7</v>
      </c>
      <c r="B3335" s="133" t="s">
        <v>3620</v>
      </c>
      <c r="C3335" s="133" t="s">
        <v>3444</v>
      </c>
      <c r="D3335" s="133" t="s">
        <v>481</v>
      </c>
      <c r="E3335" s="158">
        <v>5</v>
      </c>
      <c r="F3335" s="158">
        <v>9</v>
      </c>
      <c r="G3335" s="158">
        <v>2</v>
      </c>
      <c r="H3335" s="133" t="s">
        <v>3445</v>
      </c>
      <c r="I3335" s="133" t="s">
        <v>615</v>
      </c>
      <c r="J3335" s="158">
        <v>0</v>
      </c>
      <c r="K3335" s="159" t="str">
        <f ca="1">IFERROR(__xludf.DUMMYFUNCTION("GOOGLETRANSLATE(H3335,""th"",""en"")"),"Product total")</f>
        <v>Product total</v>
      </c>
    </row>
    <row r="3336" spans="1:11" ht="15.75" hidden="1" customHeight="1">
      <c r="A3336" s="133" t="s">
        <v>7</v>
      </c>
      <c r="B3336" s="133" t="s">
        <v>3620</v>
      </c>
      <c r="C3336" s="133" t="s">
        <v>3366</v>
      </c>
      <c r="D3336" s="133" t="s">
        <v>484</v>
      </c>
      <c r="E3336" s="158">
        <v>4</v>
      </c>
      <c r="F3336" s="158">
        <v>10</v>
      </c>
      <c r="G3336" s="158">
        <v>0</v>
      </c>
      <c r="H3336" s="133" t="s">
        <v>3446</v>
      </c>
      <c r="I3336" s="133" t="s">
        <v>615</v>
      </c>
      <c r="J3336" s="158">
        <v>0</v>
      </c>
      <c r="K3336" s="159" t="str">
        <f ca="1">IFERROR(__xludf.DUMMYFUNCTION("GOOGLETRANSLATE(H3336,""th"",""en"")"),"Number of products")</f>
        <v>Number of products</v>
      </c>
    </row>
    <row r="3337" spans="1:11" ht="15.75" hidden="1" customHeight="1">
      <c r="A3337" s="133" t="s">
        <v>7</v>
      </c>
      <c r="B3337" s="133" t="s">
        <v>3620</v>
      </c>
      <c r="C3337" s="133" t="s">
        <v>3447</v>
      </c>
      <c r="D3337" s="133" t="s">
        <v>484</v>
      </c>
      <c r="E3337" s="158">
        <v>4</v>
      </c>
      <c r="F3337" s="158">
        <v>10</v>
      </c>
      <c r="G3337" s="158">
        <v>0</v>
      </c>
      <c r="H3337" s="133" t="s">
        <v>3448</v>
      </c>
      <c r="I3337" s="133" t="s">
        <v>615</v>
      </c>
      <c r="J3337" s="158">
        <v>0</v>
      </c>
      <c r="K3337" s="159" t="str">
        <f ca="1">IFERROR(__xludf.DUMMYFUNCTION("GOOGLETRANSLATE(H3337,""th"",""en"")"),"The number of products that are booked from sales (SO, DO, MR)")</f>
        <v>The number of products that are booked from sales (SO, DO, MR)</v>
      </c>
    </row>
    <row r="3338" spans="1:11" ht="15.75" hidden="1" customHeight="1">
      <c r="A3338" s="133" t="s">
        <v>7</v>
      </c>
      <c r="B3338" s="133" t="s">
        <v>3620</v>
      </c>
      <c r="C3338" s="133" t="s">
        <v>3449</v>
      </c>
      <c r="D3338" s="133" t="s">
        <v>484</v>
      </c>
      <c r="E3338" s="158">
        <v>4</v>
      </c>
      <c r="F3338" s="158">
        <v>10</v>
      </c>
      <c r="G3338" s="158">
        <v>0</v>
      </c>
      <c r="H3338" s="133" t="s">
        <v>3450</v>
      </c>
      <c r="I3338" s="133" t="s">
        <v>615</v>
      </c>
      <c r="J3338" s="158">
        <v>0</v>
      </c>
      <c r="K3338" s="159" t="str">
        <f ca="1">IFERROR(__xludf.DUMMYFUNCTION("GOOGLETRANSLATE(H3338,""th"",""en"")"),"The number of products that are booked in RT documents")</f>
        <v>The number of products that are booked in RT documents</v>
      </c>
    </row>
    <row r="3339" spans="1:11" ht="15.75" hidden="1" customHeight="1">
      <c r="A3339" s="133" t="s">
        <v>7</v>
      </c>
      <c r="B3339" s="133" t="s">
        <v>3620</v>
      </c>
      <c r="C3339" s="133" t="s">
        <v>3451</v>
      </c>
      <c r="D3339" s="133" t="s">
        <v>484</v>
      </c>
      <c r="E3339" s="158">
        <v>4</v>
      </c>
      <c r="F3339" s="158">
        <v>10</v>
      </c>
      <c r="G3339" s="158">
        <v>0</v>
      </c>
      <c r="H3339" s="133" t="s">
        <v>3452</v>
      </c>
      <c r="I3339" s="133" t="s">
        <v>615</v>
      </c>
      <c r="J3339" s="158">
        <v>0</v>
      </c>
      <c r="K3339" s="159" t="str">
        <f ca="1">IFERROR(__xludf.DUMMYFUNCTION("GOOGLETRANSLATE(H3339,""th"",""en"")"),"The number of products that are booked in the TD document")</f>
        <v>The number of products that are booked in the TD document</v>
      </c>
    </row>
    <row r="3340" spans="1:11" ht="15.75" hidden="1" customHeight="1">
      <c r="A3340" s="133" t="s">
        <v>7</v>
      </c>
      <c r="B3340" s="133" t="s">
        <v>3620</v>
      </c>
      <c r="C3340" s="133" t="s">
        <v>3453</v>
      </c>
      <c r="D3340" s="133" t="s">
        <v>484</v>
      </c>
      <c r="E3340" s="158">
        <v>4</v>
      </c>
      <c r="F3340" s="158">
        <v>10</v>
      </c>
      <c r="G3340" s="158">
        <v>0</v>
      </c>
      <c r="H3340" s="133" t="s">
        <v>3454</v>
      </c>
      <c r="I3340" s="133" t="s">
        <v>615</v>
      </c>
      <c r="J3340" s="158">
        <v>0</v>
      </c>
      <c r="K3340" s="159" t="str">
        <f ca="1">IFERROR(__xludf.DUMMYFUNCTION("GOOGLETRANSLATE(H3340,""th"",""en"")"),"The number of products that are booked in the WT document")</f>
        <v>The number of products that are booked in the WT document</v>
      </c>
    </row>
    <row r="3341" spans="1:11" ht="15.75" hidden="1" customHeight="1">
      <c r="A3341" s="133" t="s">
        <v>7</v>
      </c>
      <c r="B3341" s="133" t="s">
        <v>3620</v>
      </c>
      <c r="C3341" s="133" t="s">
        <v>3455</v>
      </c>
      <c r="D3341" s="133" t="s">
        <v>484</v>
      </c>
      <c r="E3341" s="158">
        <v>4</v>
      </c>
      <c r="F3341" s="158">
        <v>10</v>
      </c>
      <c r="G3341" s="158">
        <v>0</v>
      </c>
      <c r="H3341" s="133" t="s">
        <v>3456</v>
      </c>
      <c r="I3341" s="133" t="s">
        <v>615</v>
      </c>
      <c r="J3341" s="158">
        <v>0</v>
      </c>
      <c r="K3341" s="159" t="str">
        <f ca="1">IFERROR(__xludf.DUMMYFUNCTION("GOOGLETRANSLATE(H3341,""th"",""en"")"),"The number of products that are booked in the RU document")</f>
        <v>The number of products that are booked in the RU document</v>
      </c>
    </row>
    <row r="3342" spans="1:11" ht="15.75" hidden="1" customHeight="1">
      <c r="A3342" s="133" t="s">
        <v>7</v>
      </c>
      <c r="B3342" s="133" t="s">
        <v>3620</v>
      </c>
      <c r="C3342" s="133" t="s">
        <v>3457</v>
      </c>
      <c r="D3342" s="133" t="s">
        <v>484</v>
      </c>
      <c r="E3342" s="158">
        <v>4</v>
      </c>
      <c r="F3342" s="158">
        <v>10</v>
      </c>
      <c r="G3342" s="158">
        <v>0</v>
      </c>
      <c r="H3342" s="133" t="s">
        <v>3458</v>
      </c>
      <c r="I3342" s="133" t="s">
        <v>615</v>
      </c>
      <c r="J3342" s="158">
        <v>0</v>
      </c>
      <c r="K3342" s="159" t="str">
        <f ca="1">IFERROR(__xludf.DUMMYFUNCTION("GOOGLETRANSLATE(H3342,""th"",""en"")"),"Number of products in RD documents")</f>
        <v>Number of products in RD documents</v>
      </c>
    </row>
    <row r="3343" spans="1:11" ht="15.75" hidden="1" customHeight="1">
      <c r="A3343" s="133" t="s">
        <v>7</v>
      </c>
      <c r="B3343" s="133" t="s">
        <v>3620</v>
      </c>
      <c r="C3343" s="133" t="s">
        <v>3459</v>
      </c>
      <c r="D3343" s="133" t="s">
        <v>484</v>
      </c>
      <c r="E3343" s="158">
        <v>4</v>
      </c>
      <c r="F3343" s="158">
        <v>10</v>
      </c>
      <c r="G3343" s="158">
        <v>0</v>
      </c>
      <c r="H3343" s="133" t="s">
        <v>3460</v>
      </c>
      <c r="I3343" s="133" t="s">
        <v>615</v>
      </c>
      <c r="J3343" s="158">
        <v>0</v>
      </c>
      <c r="K3343" s="159" t="str">
        <f ca="1">IFERROR(__xludf.DUMMYFUNCTION("GOOGLETRANSLATE(H3343,""th"",""en"")"),"The number of products that are booked in the PLT document")</f>
        <v>The number of products that are booked in the PLT document</v>
      </c>
    </row>
    <row r="3344" spans="1:11" ht="15.75" hidden="1" customHeight="1">
      <c r="A3344" s="133" t="s">
        <v>7</v>
      </c>
      <c r="B3344" s="133" t="s">
        <v>3620</v>
      </c>
      <c r="C3344" s="133" t="s">
        <v>669</v>
      </c>
      <c r="D3344" s="133" t="s">
        <v>538</v>
      </c>
      <c r="E3344" s="158">
        <v>8</v>
      </c>
      <c r="F3344" s="158">
        <v>23</v>
      </c>
      <c r="G3344" s="158">
        <v>3</v>
      </c>
      <c r="H3344" s="133" t="s">
        <v>3461</v>
      </c>
      <c r="I3344" s="133" t="s">
        <v>548</v>
      </c>
      <c r="J3344" s="158">
        <v>0</v>
      </c>
      <c r="K3344" s="159" t="str">
        <f ca="1">IFERROR(__xludf.DUMMYFUNCTION("GOOGLETRANSLATE(H3344,""th"",""en"")"),"Date of creation")</f>
        <v>Date of creation</v>
      </c>
    </row>
    <row r="3345" spans="1:14" ht="15.75" hidden="1" customHeight="1">
      <c r="A3345" s="133" t="s">
        <v>7</v>
      </c>
      <c r="B3345" s="133" t="s">
        <v>3620</v>
      </c>
      <c r="C3345" s="133" t="s">
        <v>523</v>
      </c>
      <c r="D3345" s="133" t="s">
        <v>477</v>
      </c>
      <c r="E3345" s="158">
        <v>20</v>
      </c>
      <c r="F3345" s="158">
        <v>0</v>
      </c>
      <c r="G3345" s="158">
        <v>0</v>
      </c>
      <c r="H3345" s="133" t="s">
        <v>3462</v>
      </c>
      <c r="I3345" s="133" t="s">
        <v>548</v>
      </c>
      <c r="J3345" s="158">
        <v>0</v>
      </c>
      <c r="K3345" s="159" t="str">
        <f ca="1">IFERROR(__xludf.DUMMYFUNCTION("GOOGLETRANSLATE(H3345,""th"",""en"")"),"Document Creator ID")</f>
        <v>Document Creator ID</v>
      </c>
    </row>
    <row r="3346" spans="1:14" ht="15.75" hidden="1" customHeight="1">
      <c r="A3346" s="133" t="s">
        <v>7</v>
      </c>
      <c r="B3346" s="133" t="s">
        <v>3620</v>
      </c>
      <c r="C3346" s="133" t="s">
        <v>814</v>
      </c>
      <c r="D3346" s="133" t="s">
        <v>477</v>
      </c>
      <c r="E3346" s="158">
        <v>100</v>
      </c>
      <c r="F3346" s="158">
        <v>0</v>
      </c>
      <c r="G3346" s="158">
        <v>0</v>
      </c>
      <c r="H3346" s="133" t="s">
        <v>3463</v>
      </c>
      <c r="I3346" s="133" t="s">
        <v>548</v>
      </c>
      <c r="J3346" s="158">
        <v>0</v>
      </c>
      <c r="K3346" s="159" t="str">
        <f ca="1">IFERROR(__xludf.DUMMYFUNCTION("GOOGLETRANSLATE(H3346,""th"",""en"")"),"Document Creator Name")</f>
        <v>Document Creator Name</v>
      </c>
    </row>
    <row r="3347" spans="1:14" ht="15.75" hidden="1" customHeight="1">
      <c r="A3347" s="133" t="s">
        <v>7</v>
      </c>
      <c r="B3347" s="133" t="s">
        <v>3620</v>
      </c>
      <c r="C3347" s="133" t="s">
        <v>215</v>
      </c>
      <c r="D3347" s="133" t="s">
        <v>538</v>
      </c>
      <c r="E3347" s="158">
        <v>8</v>
      </c>
      <c r="F3347" s="158">
        <v>23</v>
      </c>
      <c r="G3347" s="158">
        <v>3</v>
      </c>
      <c r="H3347" s="133" t="s">
        <v>3464</v>
      </c>
      <c r="I3347" s="133" t="s">
        <v>548</v>
      </c>
      <c r="J3347" s="158">
        <v>0</v>
      </c>
      <c r="K3347" s="159" t="str">
        <f ca="1">IFERROR(__xludf.DUMMYFUNCTION("GOOGLETRANSLATE(H3347,""th"",""en"")"),"Last edited date")</f>
        <v>Last edited date</v>
      </c>
    </row>
    <row r="3348" spans="1:14" ht="15.75" hidden="1" customHeight="1">
      <c r="A3348" s="133" t="s">
        <v>7</v>
      </c>
      <c r="B3348" s="133" t="s">
        <v>3620</v>
      </c>
      <c r="C3348" s="133" t="s">
        <v>670</v>
      </c>
      <c r="D3348" s="133" t="s">
        <v>477</v>
      </c>
      <c r="E3348" s="158">
        <v>20</v>
      </c>
      <c r="F3348" s="158">
        <v>0</v>
      </c>
      <c r="G3348" s="158">
        <v>0</v>
      </c>
      <c r="H3348" s="133" t="s">
        <v>3465</v>
      </c>
      <c r="I3348" s="133" t="s">
        <v>548</v>
      </c>
      <c r="J3348" s="158">
        <v>0</v>
      </c>
      <c r="K3348" s="159" t="str">
        <f ca="1">IFERROR(__xludf.DUMMYFUNCTION("GOOGLETRANSLATE(H3348,""th"",""en"")"),"Recent document editor")</f>
        <v>Recent document editor</v>
      </c>
    </row>
    <row r="3349" spans="1:14" ht="15.75" hidden="1" customHeight="1">
      <c r="A3349" s="133" t="s">
        <v>7</v>
      </c>
      <c r="B3349" s="133" t="s">
        <v>3620</v>
      </c>
      <c r="C3349" s="133" t="s">
        <v>816</v>
      </c>
      <c r="D3349" s="133" t="s">
        <v>477</v>
      </c>
      <c r="E3349" s="158">
        <v>100</v>
      </c>
      <c r="F3349" s="158">
        <v>0</v>
      </c>
      <c r="G3349" s="158">
        <v>0</v>
      </c>
      <c r="H3349" s="133" t="s">
        <v>3466</v>
      </c>
      <c r="I3349" s="133" t="s">
        <v>548</v>
      </c>
      <c r="J3349" s="158">
        <v>0</v>
      </c>
      <c r="K3349" s="159" t="str">
        <f ca="1">IFERROR(__xludf.DUMMYFUNCTION("GOOGLETRANSLATE(H3349,""th"",""en"")"),"Latest document editor")</f>
        <v>Latest document editor</v>
      </c>
    </row>
    <row r="3350" spans="1:14" ht="15.75" hidden="1" customHeight="1">
      <c r="A3350" s="133" t="s">
        <v>7</v>
      </c>
      <c r="B3350" s="133" t="s">
        <v>3620</v>
      </c>
      <c r="C3350" s="133" t="s">
        <v>3467</v>
      </c>
      <c r="D3350" s="133" t="s">
        <v>538</v>
      </c>
      <c r="E3350" s="158">
        <v>8</v>
      </c>
      <c r="F3350" s="158">
        <v>23</v>
      </c>
      <c r="G3350" s="158">
        <v>3</v>
      </c>
      <c r="H3350" s="133" t="s">
        <v>3468</v>
      </c>
      <c r="I3350" s="133" t="s">
        <v>548</v>
      </c>
      <c r="J3350" s="158">
        <v>0</v>
      </c>
      <c r="K3350" s="159" t="str">
        <f ca="1">IFERROR(__xludf.DUMMYFUNCTION("GOOGLETRANSLATE(H3350,""th"",""en"")"),"The date of receiving the latest product from the purchase")</f>
        <v>The date of receiving the latest product from the purchase</v>
      </c>
    </row>
    <row r="3351" spans="1:14" ht="15.75" hidden="1" customHeight="1">
      <c r="A3351" s="161" t="s">
        <v>7</v>
      </c>
      <c r="B3351" s="169" t="s">
        <v>461</v>
      </c>
      <c r="C3351" s="170" t="s">
        <v>462</v>
      </c>
      <c r="D3351" s="170" t="s">
        <v>477</v>
      </c>
      <c r="E3351" s="170">
        <v>10</v>
      </c>
      <c r="F3351" s="163"/>
      <c r="G3351" s="163"/>
      <c r="H3351" s="165"/>
      <c r="I3351" s="163"/>
      <c r="J3351" s="162">
        <v>0</v>
      </c>
      <c r="K3351" s="163"/>
      <c r="L3351" s="164" t="s">
        <v>2318</v>
      </c>
      <c r="M3351" s="164"/>
      <c r="N3351" s="165"/>
    </row>
    <row r="3352" spans="1:14" ht="15.75" hidden="1" customHeight="1">
      <c r="A3352" s="161" t="s">
        <v>7</v>
      </c>
      <c r="B3352" s="169" t="s">
        <v>461</v>
      </c>
      <c r="C3352" s="170" t="s">
        <v>3621</v>
      </c>
      <c r="D3352" s="170" t="s">
        <v>477</v>
      </c>
      <c r="E3352" s="170">
        <v>50</v>
      </c>
      <c r="F3352" s="163"/>
      <c r="G3352" s="163"/>
      <c r="H3352" s="165"/>
      <c r="I3352" s="163"/>
      <c r="J3352" s="162">
        <v>0</v>
      </c>
      <c r="K3352" s="163"/>
      <c r="L3352" s="164" t="s">
        <v>2318</v>
      </c>
      <c r="M3352" s="164"/>
      <c r="N3352" s="165"/>
    </row>
    <row r="3353" spans="1:14" ht="15.75" hidden="1" customHeight="1">
      <c r="A3353" s="161" t="s">
        <v>7</v>
      </c>
      <c r="B3353" s="169" t="s">
        <v>461</v>
      </c>
      <c r="C3353" s="170" t="s">
        <v>3622</v>
      </c>
      <c r="D3353" s="170" t="s">
        <v>477</v>
      </c>
      <c r="E3353" s="170">
        <v>50</v>
      </c>
      <c r="F3353" s="163"/>
      <c r="G3353" s="163"/>
      <c r="H3353" s="165"/>
      <c r="I3353" s="163"/>
      <c r="J3353" s="162">
        <v>0</v>
      </c>
      <c r="K3353" s="163"/>
      <c r="L3353" s="164" t="s">
        <v>2318</v>
      </c>
      <c r="M3353" s="164"/>
      <c r="N3353" s="165"/>
    </row>
    <row r="3354" spans="1:14" ht="15.75" hidden="1" customHeight="1">
      <c r="A3354" s="161" t="s">
        <v>7</v>
      </c>
      <c r="B3354" s="169" t="s">
        <v>461</v>
      </c>
      <c r="C3354" s="170" t="s">
        <v>1461</v>
      </c>
      <c r="D3354" s="170" t="s">
        <v>477</v>
      </c>
      <c r="E3354" s="170">
        <v>50</v>
      </c>
      <c r="F3354" s="163"/>
      <c r="G3354" s="163"/>
      <c r="H3354" s="165"/>
      <c r="I3354" s="163"/>
      <c r="J3354" s="162">
        <v>0</v>
      </c>
      <c r="K3354" s="163"/>
      <c r="L3354" s="164" t="s">
        <v>2318</v>
      </c>
      <c r="M3354" s="164"/>
      <c r="N3354" s="165"/>
    </row>
    <row r="3355" spans="1:14" ht="15.75" hidden="1" customHeight="1">
      <c r="A3355" s="161" t="s">
        <v>7</v>
      </c>
      <c r="B3355" s="169" t="s">
        <v>461</v>
      </c>
      <c r="C3355" s="170" t="s">
        <v>1462</v>
      </c>
      <c r="D3355" s="170" t="s">
        <v>477</v>
      </c>
      <c r="E3355" s="170">
        <v>255</v>
      </c>
      <c r="F3355" s="163"/>
      <c r="G3355" s="163"/>
      <c r="H3355" s="165"/>
      <c r="I3355" s="163"/>
      <c r="J3355" s="162">
        <v>0</v>
      </c>
      <c r="K3355" s="163"/>
      <c r="L3355" s="164" t="s">
        <v>2318</v>
      </c>
      <c r="M3355" s="164"/>
      <c r="N3355" s="165"/>
    </row>
    <row r="3356" spans="1:14" ht="15.75" hidden="1" customHeight="1">
      <c r="A3356" s="161" t="s">
        <v>7</v>
      </c>
      <c r="B3356" s="169" t="s">
        <v>461</v>
      </c>
      <c r="C3356" s="170" t="s">
        <v>1333</v>
      </c>
      <c r="D3356" s="170" t="s">
        <v>477</v>
      </c>
      <c r="E3356" s="170">
        <v>100</v>
      </c>
      <c r="F3356" s="163"/>
      <c r="G3356" s="163"/>
      <c r="H3356" s="165"/>
      <c r="I3356" s="163"/>
      <c r="J3356" s="162">
        <v>0</v>
      </c>
      <c r="K3356" s="163"/>
      <c r="L3356" s="164" t="s">
        <v>2318</v>
      </c>
      <c r="M3356" s="164"/>
      <c r="N3356" s="165"/>
    </row>
    <row r="3357" spans="1:14" ht="15.75" hidden="1" customHeight="1">
      <c r="A3357" s="161" t="s">
        <v>7</v>
      </c>
      <c r="B3357" s="169" t="s">
        <v>461</v>
      </c>
      <c r="C3357" s="170" t="s">
        <v>1334</v>
      </c>
      <c r="D3357" s="170" t="s">
        <v>477</v>
      </c>
      <c r="E3357" s="170">
        <v>8</v>
      </c>
      <c r="F3357" s="163"/>
      <c r="G3357" s="163"/>
      <c r="H3357" s="165"/>
      <c r="I3357" s="163"/>
      <c r="J3357" s="162">
        <v>0</v>
      </c>
      <c r="K3357" s="163"/>
      <c r="L3357" s="164" t="s">
        <v>2318</v>
      </c>
      <c r="M3357" s="164"/>
      <c r="N3357" s="165"/>
    </row>
    <row r="3358" spans="1:14" ht="15.75" hidden="1" customHeight="1">
      <c r="A3358" s="161" t="s">
        <v>7</v>
      </c>
      <c r="B3358" s="169" t="s">
        <v>461</v>
      </c>
      <c r="C3358" s="170" t="s">
        <v>184</v>
      </c>
      <c r="D3358" s="170" t="s">
        <v>538</v>
      </c>
      <c r="E3358" s="170">
        <v>8</v>
      </c>
      <c r="F3358" s="163"/>
      <c r="G3358" s="163"/>
      <c r="H3358" s="165"/>
      <c r="I3358" s="163"/>
      <c r="J3358" s="162">
        <v>0</v>
      </c>
      <c r="K3358" s="163"/>
      <c r="L3358" s="164" t="s">
        <v>2318</v>
      </c>
      <c r="M3358" s="164"/>
      <c r="N3358" s="165"/>
    </row>
    <row r="3359" spans="1:14" ht="15.75" hidden="1" customHeight="1">
      <c r="A3359" s="161" t="s">
        <v>7</v>
      </c>
      <c r="B3359" s="169" t="s">
        <v>461</v>
      </c>
      <c r="C3359" s="170" t="s">
        <v>1335</v>
      </c>
      <c r="D3359" s="170" t="s">
        <v>477</v>
      </c>
      <c r="E3359" s="170">
        <v>100</v>
      </c>
      <c r="F3359" s="163"/>
      <c r="G3359" s="163"/>
      <c r="H3359" s="165"/>
      <c r="I3359" s="163"/>
      <c r="J3359" s="162">
        <v>0</v>
      </c>
      <c r="K3359" s="163"/>
      <c r="L3359" s="164" t="s">
        <v>2318</v>
      </c>
      <c r="M3359" s="164"/>
      <c r="N3359" s="165"/>
    </row>
    <row r="3360" spans="1:14" ht="15.75" hidden="1" customHeight="1">
      <c r="A3360" s="161" t="s">
        <v>7</v>
      </c>
      <c r="B3360" s="169" t="s">
        <v>461</v>
      </c>
      <c r="C3360" s="170" t="s">
        <v>1336</v>
      </c>
      <c r="D3360" s="170" t="s">
        <v>477</v>
      </c>
      <c r="E3360" s="170">
        <v>8</v>
      </c>
      <c r="F3360" s="163"/>
      <c r="G3360" s="163"/>
      <c r="H3360" s="165"/>
      <c r="I3360" s="163"/>
      <c r="J3360" s="162">
        <v>0</v>
      </c>
      <c r="K3360" s="163"/>
      <c r="L3360" s="164" t="s">
        <v>2318</v>
      </c>
      <c r="M3360" s="164"/>
      <c r="N3360" s="165"/>
    </row>
    <row r="3361" spans="1:14" ht="15.75" hidden="1" customHeight="1">
      <c r="A3361" s="161" t="s">
        <v>7</v>
      </c>
      <c r="B3361" s="169" t="s">
        <v>461</v>
      </c>
      <c r="C3361" s="170" t="s">
        <v>175</v>
      </c>
      <c r="D3361" s="170" t="s">
        <v>538</v>
      </c>
      <c r="E3361" s="170">
        <v>8</v>
      </c>
      <c r="F3361" s="163"/>
      <c r="G3361" s="163"/>
      <c r="H3361" s="165"/>
      <c r="I3361" s="163"/>
      <c r="J3361" s="162">
        <v>0</v>
      </c>
      <c r="K3361" s="163"/>
      <c r="L3361" s="164" t="s">
        <v>2318</v>
      </c>
      <c r="M3361" s="164"/>
      <c r="N3361" s="165"/>
    </row>
    <row r="3362" spans="1:14" ht="15.75" hidden="1" customHeight="1">
      <c r="A3362" s="161" t="s">
        <v>7</v>
      </c>
      <c r="B3362" s="171" t="s">
        <v>463</v>
      </c>
      <c r="C3362" s="172" t="s">
        <v>3623</v>
      </c>
      <c r="D3362" s="284" t="s">
        <v>477</v>
      </c>
      <c r="E3362" s="170">
        <v>4</v>
      </c>
      <c r="F3362" s="163"/>
      <c r="G3362" s="163"/>
      <c r="H3362" s="165"/>
      <c r="I3362" s="163"/>
      <c r="J3362" s="162">
        <v>0</v>
      </c>
      <c r="K3362" s="163"/>
      <c r="L3362" s="288" t="s">
        <v>13157</v>
      </c>
      <c r="M3362" s="164"/>
      <c r="N3362" s="165"/>
    </row>
    <row r="3363" spans="1:14" ht="15.75" hidden="1" customHeight="1">
      <c r="A3363" s="161" t="s">
        <v>7</v>
      </c>
      <c r="B3363" s="171" t="s">
        <v>463</v>
      </c>
      <c r="C3363" s="172" t="s">
        <v>3624</v>
      </c>
      <c r="D3363" s="170" t="s">
        <v>477</v>
      </c>
      <c r="E3363" s="170">
        <v>112</v>
      </c>
      <c r="F3363" s="163"/>
      <c r="G3363" s="163"/>
      <c r="H3363" s="165"/>
      <c r="I3363" s="163"/>
      <c r="J3363" s="162">
        <v>0</v>
      </c>
      <c r="K3363" s="163"/>
      <c r="L3363" s="164" t="s">
        <v>2318</v>
      </c>
      <c r="M3363" s="164"/>
      <c r="N3363" s="165"/>
    </row>
    <row r="3364" spans="1:14" ht="15.75" hidden="1" customHeight="1">
      <c r="A3364" s="161" t="s">
        <v>7</v>
      </c>
      <c r="B3364" s="171" t="s">
        <v>463</v>
      </c>
      <c r="C3364" s="172" t="s">
        <v>669</v>
      </c>
      <c r="D3364" s="284" t="s">
        <v>477</v>
      </c>
      <c r="E3364" s="170">
        <v>8</v>
      </c>
      <c r="F3364" s="170">
        <v>27</v>
      </c>
      <c r="G3364" s="170">
        <v>7</v>
      </c>
      <c r="H3364" s="165"/>
      <c r="I3364" s="163"/>
      <c r="J3364" s="162">
        <v>0</v>
      </c>
      <c r="K3364" s="163"/>
      <c r="L3364" s="288" t="s">
        <v>13156</v>
      </c>
      <c r="M3364" s="164"/>
      <c r="N3364" s="165"/>
    </row>
    <row r="3365" spans="1:14" ht="15.75" hidden="1" customHeight="1">
      <c r="A3365" s="161" t="s">
        <v>7</v>
      </c>
      <c r="B3365" s="171" t="s">
        <v>463</v>
      </c>
      <c r="C3365" s="172" t="s">
        <v>523</v>
      </c>
      <c r="D3365" s="170" t="s">
        <v>477</v>
      </c>
      <c r="E3365" s="170">
        <v>8</v>
      </c>
      <c r="F3365" s="163"/>
      <c r="G3365" s="163"/>
      <c r="H3365" s="165"/>
      <c r="I3365" s="163"/>
      <c r="J3365" s="162">
        <v>0</v>
      </c>
      <c r="K3365" s="163"/>
      <c r="L3365" s="164" t="s">
        <v>2318</v>
      </c>
      <c r="M3365" s="164"/>
      <c r="N3365" s="165"/>
    </row>
    <row r="3366" spans="1:14" ht="15.75" hidden="1" customHeight="1">
      <c r="A3366" s="161" t="s">
        <v>7</v>
      </c>
      <c r="B3366" s="171" t="s">
        <v>463</v>
      </c>
      <c r="C3366" s="172" t="s">
        <v>814</v>
      </c>
      <c r="D3366" s="170" t="s">
        <v>477</v>
      </c>
      <c r="E3366" s="170">
        <v>100</v>
      </c>
      <c r="F3366" s="163"/>
      <c r="G3366" s="163"/>
      <c r="H3366" s="165"/>
      <c r="I3366" s="163"/>
      <c r="J3366" s="162">
        <v>0</v>
      </c>
      <c r="K3366" s="163"/>
      <c r="L3366" s="164" t="s">
        <v>2318</v>
      </c>
      <c r="M3366" s="164"/>
      <c r="N3366" s="165"/>
    </row>
    <row r="3367" spans="1:14" ht="15.75" hidden="1" customHeight="1">
      <c r="A3367" s="161" t="s">
        <v>7</v>
      </c>
      <c r="B3367" s="171" t="s">
        <v>463</v>
      </c>
      <c r="C3367" s="172" t="s">
        <v>215</v>
      </c>
      <c r="D3367" s="284" t="s">
        <v>477</v>
      </c>
      <c r="E3367" s="170">
        <v>8</v>
      </c>
      <c r="F3367" s="170">
        <v>27</v>
      </c>
      <c r="G3367" s="170">
        <v>7</v>
      </c>
      <c r="H3367" s="165"/>
      <c r="I3367" s="163"/>
      <c r="J3367" s="162">
        <v>0</v>
      </c>
      <c r="K3367" s="163"/>
      <c r="L3367" s="288" t="s">
        <v>13156</v>
      </c>
      <c r="M3367" s="164"/>
      <c r="N3367" s="165"/>
    </row>
    <row r="3368" spans="1:14" ht="15.75" hidden="1" customHeight="1">
      <c r="A3368" s="161" t="s">
        <v>7</v>
      </c>
      <c r="B3368" s="171" t="s">
        <v>463</v>
      </c>
      <c r="C3368" s="172" t="s">
        <v>670</v>
      </c>
      <c r="D3368" s="170" t="s">
        <v>477</v>
      </c>
      <c r="E3368" s="170">
        <v>8</v>
      </c>
      <c r="F3368" s="163"/>
      <c r="G3368" s="163"/>
      <c r="H3368" s="165"/>
      <c r="I3368" s="163"/>
      <c r="J3368" s="162">
        <v>0</v>
      </c>
      <c r="K3368" s="163"/>
      <c r="L3368" s="164" t="s">
        <v>2318</v>
      </c>
      <c r="M3368" s="164"/>
      <c r="N3368" s="165"/>
    </row>
    <row r="3369" spans="1:14" ht="15.75" hidden="1" customHeight="1">
      <c r="A3369" s="161" t="s">
        <v>7</v>
      </c>
      <c r="B3369" s="171" t="s">
        <v>463</v>
      </c>
      <c r="C3369" s="172" t="s">
        <v>816</v>
      </c>
      <c r="D3369" s="170" t="s">
        <v>477</v>
      </c>
      <c r="E3369" s="170">
        <v>100</v>
      </c>
      <c r="F3369" s="163"/>
      <c r="G3369" s="163"/>
      <c r="H3369" s="165"/>
      <c r="I3369" s="163"/>
      <c r="J3369" s="162">
        <v>0</v>
      </c>
      <c r="K3369" s="163"/>
      <c r="L3369" s="164" t="s">
        <v>2318</v>
      </c>
      <c r="M3369" s="164"/>
      <c r="N3369" s="165"/>
    </row>
    <row r="3370" spans="1:14" ht="15.75" hidden="1" customHeight="1">
      <c r="A3370" s="161" t="s">
        <v>7</v>
      </c>
      <c r="B3370" s="161" t="s">
        <v>3625</v>
      </c>
      <c r="C3370" s="161" t="s">
        <v>253</v>
      </c>
      <c r="D3370" s="161" t="s">
        <v>477</v>
      </c>
      <c r="E3370" s="162">
        <v>7</v>
      </c>
      <c r="F3370" s="162">
        <v>0</v>
      </c>
      <c r="G3370" s="162">
        <v>0</v>
      </c>
      <c r="H3370" s="161" t="s">
        <v>1130</v>
      </c>
      <c r="I3370" s="161" t="s">
        <v>548</v>
      </c>
      <c r="J3370" s="162">
        <v>0</v>
      </c>
      <c r="K3370" s="163" t="str">
        <f ca="1">IFERROR(__xludf.DUMMYFUNCTION("GOOGLETRANSLATE(H3370,""th"",""en"")"),"Product code")</f>
        <v>Product code</v>
      </c>
      <c r="L3370" s="168" t="s">
        <v>3626</v>
      </c>
      <c r="M3370" s="168"/>
    </row>
    <row r="3371" spans="1:14" ht="15.75" hidden="1" customHeight="1">
      <c r="A3371" s="161" t="s">
        <v>7</v>
      </c>
      <c r="B3371" s="161" t="s">
        <v>3625</v>
      </c>
      <c r="C3371" s="161" t="s">
        <v>3380</v>
      </c>
      <c r="D3371" s="161" t="s">
        <v>477</v>
      </c>
      <c r="E3371" s="162">
        <v>7</v>
      </c>
      <c r="F3371" s="162">
        <v>0</v>
      </c>
      <c r="G3371" s="162">
        <v>0</v>
      </c>
      <c r="H3371" s="161" t="s">
        <v>3381</v>
      </c>
      <c r="I3371" s="161" t="s">
        <v>548</v>
      </c>
      <c r="J3371" s="162">
        <v>0</v>
      </c>
      <c r="K3371" s="163" t="str">
        <f ca="1">IFERROR(__xludf.DUMMYFUNCTION("GOOGLETRANSLATE(H3371,""th"",""en"")"),"Thai product unit")</f>
        <v>Thai product unit</v>
      </c>
      <c r="L3371" s="164" t="s">
        <v>3626</v>
      </c>
      <c r="M3371" s="164"/>
    </row>
    <row r="3372" spans="1:14" ht="15.75" hidden="1" customHeight="1">
      <c r="A3372" s="161" t="s">
        <v>7</v>
      </c>
      <c r="B3372" s="161" t="s">
        <v>3625</v>
      </c>
      <c r="C3372" s="161" t="s">
        <v>3382</v>
      </c>
      <c r="D3372" s="161" t="s">
        <v>477</v>
      </c>
      <c r="E3372" s="162">
        <v>7</v>
      </c>
      <c r="F3372" s="162">
        <v>0</v>
      </c>
      <c r="G3372" s="162">
        <v>0</v>
      </c>
      <c r="H3372" s="161" t="s">
        <v>3383</v>
      </c>
      <c r="I3372" s="161" t="s">
        <v>548</v>
      </c>
      <c r="J3372" s="162">
        <v>0</v>
      </c>
      <c r="K3372" s="163" t="str">
        <f ca="1">IFERROR(__xludf.DUMMYFUNCTION("GOOGLETRANSLATE(H3372,""th"",""en"")"),"English product unit")</f>
        <v>English product unit</v>
      </c>
      <c r="L3372" s="164" t="s">
        <v>3626</v>
      </c>
      <c r="M3372" s="164"/>
    </row>
    <row r="3373" spans="1:14" ht="15.75" hidden="1" customHeight="1">
      <c r="A3373" s="161" t="s">
        <v>7</v>
      </c>
      <c r="B3373" s="161" t="s">
        <v>3625</v>
      </c>
      <c r="C3373" s="161" t="s">
        <v>3384</v>
      </c>
      <c r="D3373" s="161" t="s">
        <v>484</v>
      </c>
      <c r="E3373" s="162">
        <v>4</v>
      </c>
      <c r="F3373" s="162">
        <v>10</v>
      </c>
      <c r="G3373" s="162">
        <v>0</v>
      </c>
      <c r="H3373" s="161" t="s">
        <v>3385</v>
      </c>
      <c r="I3373" s="161" t="s">
        <v>615</v>
      </c>
      <c r="J3373" s="162">
        <v>0</v>
      </c>
      <c r="K3373" s="163" t="str">
        <f ca="1">IFERROR(__xludf.DUMMYFUNCTION("GOOGLETRANSLATE(H3373,""th"",""en"")"),"Product part")</f>
        <v>Product part</v>
      </c>
      <c r="L3373" s="164" t="s">
        <v>3626</v>
      </c>
      <c r="M3373" s="164"/>
    </row>
    <row r="3374" spans="1:14" ht="15.75" hidden="1" customHeight="1">
      <c r="A3374" s="161" t="s">
        <v>7</v>
      </c>
      <c r="B3374" s="161" t="s">
        <v>3625</v>
      </c>
      <c r="C3374" s="161" t="s">
        <v>3386</v>
      </c>
      <c r="D3374" s="161" t="s">
        <v>477</v>
      </c>
      <c r="E3374" s="162">
        <v>15</v>
      </c>
      <c r="F3374" s="162">
        <v>0</v>
      </c>
      <c r="G3374" s="162">
        <v>0</v>
      </c>
      <c r="H3374" s="161" t="s">
        <v>3387</v>
      </c>
      <c r="I3374" s="161" t="s">
        <v>548</v>
      </c>
      <c r="J3374" s="162">
        <v>0</v>
      </c>
      <c r="K3374" s="163" t="str">
        <f ca="1">IFERROR(__xludf.DUMMYFUNCTION("GOOGLETRANSLATE(H3374,""th"",""en"")"),"Product Unit Type (Sale: Sales Unit, Purchase: Buy Unit, SaleandPurchase: Buy Unit and Sales Unit, None: Don't Use")</f>
        <v>Product Unit Type (Sale: Sales Unit, Purchase: Buy Unit, SaleandPurchase: Buy Unit and Sales Unit, None: Don't Use</v>
      </c>
      <c r="L3374" s="164" t="s">
        <v>3626</v>
      </c>
      <c r="M3374" s="164"/>
    </row>
    <row r="3375" spans="1:14" ht="15.75" hidden="1" customHeight="1">
      <c r="A3375" s="161" t="s">
        <v>7</v>
      </c>
      <c r="B3375" s="161" t="s">
        <v>3625</v>
      </c>
      <c r="C3375" s="161" t="s">
        <v>3388</v>
      </c>
      <c r="D3375" s="161" t="s">
        <v>481</v>
      </c>
      <c r="E3375" s="162">
        <v>5</v>
      </c>
      <c r="F3375" s="162">
        <v>9</v>
      </c>
      <c r="G3375" s="162">
        <v>2</v>
      </c>
      <c r="H3375" s="161" t="s">
        <v>3389</v>
      </c>
      <c r="I3375" s="161" t="s">
        <v>615</v>
      </c>
      <c r="J3375" s="162">
        <v>0</v>
      </c>
      <c r="K3375" s="163" t="str">
        <f ca="1">IFERROR(__xludf.DUMMYFUNCTION("GOOGLETRANSLATE(H3375,""th"",""en"")"),"The selling price does not include VAT.")</f>
        <v>The selling price does not include VAT.</v>
      </c>
      <c r="L3375" s="164" t="s">
        <v>3626</v>
      </c>
      <c r="M3375" s="164"/>
    </row>
    <row r="3376" spans="1:14" ht="15.75" hidden="1" customHeight="1">
      <c r="A3376" s="161" t="s">
        <v>7</v>
      </c>
      <c r="B3376" s="161" t="s">
        <v>3625</v>
      </c>
      <c r="C3376" s="161" t="s">
        <v>3390</v>
      </c>
      <c r="D3376" s="161" t="s">
        <v>481</v>
      </c>
      <c r="E3376" s="162">
        <v>5</v>
      </c>
      <c r="F3376" s="162">
        <v>9</v>
      </c>
      <c r="G3376" s="162">
        <v>2</v>
      </c>
      <c r="H3376" s="161" t="s">
        <v>3391</v>
      </c>
      <c r="I3376" s="161" t="s">
        <v>615</v>
      </c>
      <c r="J3376" s="162">
        <v>0</v>
      </c>
      <c r="K3376" s="163" t="str">
        <f ca="1">IFERROR(__xludf.DUMMYFUNCTION("GOOGLETRANSLATE(H3376,""th"",""en"")"),"Selling price, including VAT")</f>
        <v>Selling price, including VAT</v>
      </c>
      <c r="L3376" s="164" t="s">
        <v>3626</v>
      </c>
      <c r="M3376" s="164"/>
    </row>
    <row r="3377" spans="1:13" ht="15.75" hidden="1" customHeight="1">
      <c r="A3377" s="161" t="s">
        <v>7</v>
      </c>
      <c r="B3377" s="161" t="s">
        <v>3625</v>
      </c>
      <c r="C3377" s="161" t="s">
        <v>3392</v>
      </c>
      <c r="D3377" s="161" t="s">
        <v>481</v>
      </c>
      <c r="E3377" s="162">
        <v>5</v>
      </c>
      <c r="F3377" s="162">
        <v>9</v>
      </c>
      <c r="G3377" s="162">
        <v>2</v>
      </c>
      <c r="H3377" s="161" t="s">
        <v>3393</v>
      </c>
      <c r="I3377" s="161" t="s">
        <v>615</v>
      </c>
      <c r="J3377" s="162">
        <v>0</v>
      </c>
      <c r="K3377" s="163" t="str">
        <f ca="1">IFERROR(__xludf.DUMMYFUNCTION("GOOGLETRANSLATE(H3377,""th"",""en"")"),"Full selling price of products")</f>
        <v>Full selling price of products</v>
      </c>
      <c r="L3377" s="164" t="s">
        <v>3626</v>
      </c>
      <c r="M3377" s="164"/>
    </row>
    <row r="3378" spans="1:13" ht="15.75" hidden="1" customHeight="1">
      <c r="A3378" s="161" t="s">
        <v>7</v>
      </c>
      <c r="B3378" s="161" t="s">
        <v>3625</v>
      </c>
      <c r="C3378" s="161" t="s">
        <v>3394</v>
      </c>
      <c r="D3378" s="161" t="s">
        <v>481</v>
      </c>
      <c r="E3378" s="162">
        <v>5</v>
      </c>
      <c r="F3378" s="162">
        <v>9</v>
      </c>
      <c r="G3378" s="162">
        <v>2</v>
      </c>
      <c r="H3378" s="161" t="s">
        <v>3395</v>
      </c>
      <c r="I3378" s="161" t="s">
        <v>615</v>
      </c>
      <c r="J3378" s="162">
        <v>0</v>
      </c>
      <c r="K3378" s="163" t="str">
        <f ca="1">IFERROR(__xludf.DUMMYFUNCTION("GOOGLETRANSLATE(H3378,""th"",""en"")"),"Product price")</f>
        <v>Product price</v>
      </c>
      <c r="L3378" s="164" t="s">
        <v>3626</v>
      </c>
      <c r="M3378" s="164"/>
    </row>
    <row r="3379" spans="1:13" ht="15.75" hidden="1" customHeight="1">
      <c r="A3379" s="161" t="s">
        <v>7</v>
      </c>
      <c r="B3379" s="161" t="s">
        <v>3625</v>
      </c>
      <c r="C3379" s="161" t="s">
        <v>2442</v>
      </c>
      <c r="D3379" s="161" t="s">
        <v>481</v>
      </c>
      <c r="E3379" s="162">
        <v>5</v>
      </c>
      <c r="F3379" s="162">
        <v>9</v>
      </c>
      <c r="G3379" s="162">
        <v>2</v>
      </c>
      <c r="H3379" s="161" t="s">
        <v>3396</v>
      </c>
      <c r="I3379" s="161" t="s">
        <v>615</v>
      </c>
      <c r="J3379" s="162">
        <v>0</v>
      </c>
      <c r="K3379" s="163" t="str">
        <f ca="1">IFERROR(__xludf.DUMMYFUNCTION("GOOGLETRANSLATE(H3379,""th"",""en"")"),"Shipping price")</f>
        <v>Shipping price</v>
      </c>
      <c r="L3379" s="164" t="s">
        <v>3626</v>
      </c>
      <c r="M3379" s="164"/>
    </row>
    <row r="3380" spans="1:13" ht="15.75" hidden="1" customHeight="1">
      <c r="A3380" s="161" t="s">
        <v>7</v>
      </c>
      <c r="B3380" s="161" t="s">
        <v>3625</v>
      </c>
      <c r="C3380" s="161" t="s">
        <v>3397</v>
      </c>
      <c r="D3380" s="161" t="s">
        <v>484</v>
      </c>
      <c r="E3380" s="162">
        <v>4</v>
      </c>
      <c r="F3380" s="162">
        <v>10</v>
      </c>
      <c r="G3380" s="162">
        <v>0</v>
      </c>
      <c r="H3380" s="161" t="s">
        <v>3398</v>
      </c>
      <c r="I3380" s="161" t="s">
        <v>615</v>
      </c>
      <c r="J3380" s="162">
        <v>0</v>
      </c>
      <c r="K3380" s="163" t="str">
        <f ca="1">IFERROR(__xludf.DUMMYFUNCTION("GOOGLETRANSLATE(H3380,""th"",""en"")"),"Point of products")</f>
        <v>Point of products</v>
      </c>
      <c r="L3380" s="164" t="s">
        <v>3626</v>
      </c>
      <c r="M3380" s="164"/>
    </row>
    <row r="3381" spans="1:13" ht="15.75" hidden="1" customHeight="1">
      <c r="A3381" s="161" t="s">
        <v>7</v>
      </c>
      <c r="B3381" s="161" t="s">
        <v>3625</v>
      </c>
      <c r="C3381" s="161" t="s">
        <v>1206</v>
      </c>
      <c r="D3381" s="161" t="s">
        <v>477</v>
      </c>
      <c r="E3381" s="162">
        <v>3</v>
      </c>
      <c r="F3381" s="162">
        <v>0</v>
      </c>
      <c r="G3381" s="162">
        <v>0</v>
      </c>
      <c r="H3381" s="161" t="s">
        <v>3399</v>
      </c>
      <c r="I3381" s="161" t="s">
        <v>2011</v>
      </c>
      <c r="J3381" s="162">
        <v>0</v>
      </c>
      <c r="K3381" s="163" t="str">
        <f ca="1">IFERROR(__xludf.DUMMYFUNCTION("GOOGLETRANSLATE(H3381,""th"",""en"")"),"VAT product thinking Y = VAT, N = not thinking VAT")</f>
        <v>VAT product thinking Y = VAT, N = not thinking VAT</v>
      </c>
      <c r="L3381" s="164" t="s">
        <v>3626</v>
      </c>
      <c r="M3381" s="164"/>
    </row>
    <row r="3382" spans="1:13" ht="15.75" hidden="1" customHeight="1">
      <c r="A3382" s="161" t="s">
        <v>7</v>
      </c>
      <c r="B3382" s="161" t="s">
        <v>3625</v>
      </c>
      <c r="C3382" s="161" t="s">
        <v>3400</v>
      </c>
      <c r="D3382" s="161" t="s">
        <v>477</v>
      </c>
      <c r="E3382" s="162">
        <v>3</v>
      </c>
      <c r="F3382" s="162">
        <v>0</v>
      </c>
      <c r="G3382" s="162">
        <v>0</v>
      </c>
      <c r="H3382" s="161" t="s">
        <v>3401</v>
      </c>
      <c r="I3382" s="161" t="s">
        <v>596</v>
      </c>
      <c r="J3382" s="162">
        <v>0</v>
      </c>
      <c r="K3382" s="163" t="str">
        <f ca="1">IFERROR(__xludf.DUMMYFUNCTION("GOOGLETRANSLATE(H3382,""th"",""en"")"),"Bestdeal Flag Product Y = Best Deal, N = No Best")</f>
        <v>Bestdeal Flag Product Y = Best Deal, N = No Best</v>
      </c>
      <c r="L3382" s="164" t="s">
        <v>3626</v>
      </c>
      <c r="M3382" s="164"/>
    </row>
    <row r="3383" spans="1:13" ht="15.75" hidden="1" customHeight="1">
      <c r="A3383" s="161" t="s">
        <v>7</v>
      </c>
      <c r="B3383" s="161" t="s">
        <v>3625</v>
      </c>
      <c r="C3383" s="161" t="s">
        <v>3402</v>
      </c>
      <c r="D3383" s="289" t="s">
        <v>477</v>
      </c>
      <c r="E3383" s="162">
        <v>3</v>
      </c>
      <c r="F3383" s="162">
        <v>0</v>
      </c>
      <c r="G3383" s="162">
        <v>0</v>
      </c>
      <c r="H3383" s="161" t="s">
        <v>3403</v>
      </c>
      <c r="I3383" s="161" t="s">
        <v>596</v>
      </c>
      <c r="J3383" s="162">
        <v>0</v>
      </c>
      <c r="K3383" s="163" t="str">
        <f ca="1">IFERROR(__xludf.DUMMYFUNCTION("GOOGLETRANSLATE(H3383,""th"",""en"")"),"Is the product available in the current Magazine? Y = is in the current book Magazine, N = is not in the current Magazine Volume")</f>
        <v>Is the product available in the current Magazine? Y = is in the current book Magazine, N = is not in the current Magazine Volume</v>
      </c>
      <c r="L3383" s="164" t="s">
        <v>3626</v>
      </c>
      <c r="M3383" s="164"/>
    </row>
    <row r="3384" spans="1:13" ht="15.75" hidden="1" customHeight="1">
      <c r="A3384" s="161" t="s">
        <v>7</v>
      </c>
      <c r="B3384" s="161" t="s">
        <v>3625</v>
      </c>
      <c r="C3384" s="161" t="s">
        <v>3404</v>
      </c>
      <c r="D3384" s="161" t="s">
        <v>481</v>
      </c>
      <c r="E3384" s="162">
        <v>5</v>
      </c>
      <c r="F3384" s="162">
        <v>9</v>
      </c>
      <c r="G3384" s="162">
        <v>2</v>
      </c>
      <c r="H3384" s="161" t="s">
        <v>3405</v>
      </c>
      <c r="I3384" s="161" t="s">
        <v>615</v>
      </c>
      <c r="J3384" s="162">
        <v>0</v>
      </c>
      <c r="K3384" s="163" t="str">
        <f ca="1">IFERROR(__xludf.DUMMYFUNCTION("GOOGLETRANSLATE(H3384,""th"",""en"")"),"Selling price by date not including VAT")</f>
        <v>Selling price by date not including VAT</v>
      </c>
      <c r="L3384" s="164" t="s">
        <v>3626</v>
      </c>
      <c r="M3384" s="164"/>
    </row>
    <row r="3385" spans="1:13" ht="15.75" hidden="1" customHeight="1">
      <c r="A3385" s="161" t="s">
        <v>7</v>
      </c>
      <c r="B3385" s="161" t="s">
        <v>3625</v>
      </c>
      <c r="C3385" s="161" t="s">
        <v>3406</v>
      </c>
      <c r="D3385" s="161" t="s">
        <v>481</v>
      </c>
      <c r="E3385" s="162">
        <v>5</v>
      </c>
      <c r="F3385" s="162">
        <v>9</v>
      </c>
      <c r="G3385" s="162">
        <v>2</v>
      </c>
      <c r="H3385" s="161" t="s">
        <v>3407</v>
      </c>
      <c r="I3385" s="161" t="s">
        <v>615</v>
      </c>
      <c r="J3385" s="162">
        <v>0</v>
      </c>
      <c r="K3385" s="163" t="str">
        <f ca="1">IFERROR(__xludf.DUMMYFUNCTION("GOOGLETRANSLATE(H3385,""th"",""en"")"),"Sell ​​price by date including VAT")</f>
        <v>Sell ​​price by date including VAT</v>
      </c>
      <c r="L3385" s="164" t="s">
        <v>3626</v>
      </c>
      <c r="M3385" s="164"/>
    </row>
    <row r="3386" spans="1:13" ht="15.75" hidden="1" customHeight="1">
      <c r="A3386" s="161" t="s">
        <v>7</v>
      </c>
      <c r="B3386" s="161" t="s">
        <v>3625</v>
      </c>
      <c r="C3386" s="161" t="s">
        <v>3408</v>
      </c>
      <c r="D3386" s="284" t="s">
        <v>477</v>
      </c>
      <c r="E3386" s="162">
        <v>4</v>
      </c>
      <c r="F3386" s="162">
        <v>16</v>
      </c>
      <c r="G3386" s="162">
        <v>0</v>
      </c>
      <c r="H3386" s="161" t="s">
        <v>3409</v>
      </c>
      <c r="I3386" s="161" t="s">
        <v>548</v>
      </c>
      <c r="J3386" s="162">
        <v>0</v>
      </c>
      <c r="K3386" s="163" t="str">
        <f ca="1">IFERROR(__xludf.DUMMYFUNCTION("GOOGLETRANSLATE(H3386,""th"",""en"")"),"Start date, promotion, BYDATE")</f>
        <v>Start date, promotion, BYDATE</v>
      </c>
      <c r="L3386" s="288" t="s">
        <v>13158</v>
      </c>
      <c r="M3386" s="164"/>
    </row>
    <row r="3387" spans="1:13" ht="15.75" hidden="1" customHeight="1">
      <c r="A3387" s="161" t="s">
        <v>7</v>
      </c>
      <c r="B3387" s="161" t="s">
        <v>3625</v>
      </c>
      <c r="C3387" s="161" t="s">
        <v>3410</v>
      </c>
      <c r="D3387" s="284" t="s">
        <v>477</v>
      </c>
      <c r="E3387" s="162">
        <v>4</v>
      </c>
      <c r="F3387" s="162">
        <v>16</v>
      </c>
      <c r="G3387" s="162">
        <v>0</v>
      </c>
      <c r="H3387" s="161" t="s">
        <v>3411</v>
      </c>
      <c r="I3387" s="161" t="s">
        <v>548</v>
      </c>
      <c r="J3387" s="162">
        <v>0</v>
      </c>
      <c r="K3387" s="163" t="str">
        <f ca="1">IFERROR(__xludf.DUMMYFUNCTION("GOOGLETRANSLATE(H3387,""th"",""en"")"),"End date, promotion, price bydat")</f>
        <v>End date, promotion, price bydat</v>
      </c>
      <c r="L3387" s="288" t="s">
        <v>13158</v>
      </c>
      <c r="M3387" s="164"/>
    </row>
    <row r="3388" spans="1:13" ht="15.75" hidden="1" customHeight="1">
      <c r="A3388" s="161" t="s">
        <v>7</v>
      </c>
      <c r="B3388" s="161" t="s">
        <v>3625</v>
      </c>
      <c r="C3388" s="161" t="s">
        <v>3412</v>
      </c>
      <c r="D3388" s="161" t="s">
        <v>481</v>
      </c>
      <c r="E3388" s="162">
        <v>5</v>
      </c>
      <c r="F3388" s="162">
        <v>9</v>
      </c>
      <c r="G3388" s="162">
        <v>2</v>
      </c>
      <c r="H3388" s="161" t="s">
        <v>3413</v>
      </c>
      <c r="I3388" s="161" t="s">
        <v>615</v>
      </c>
      <c r="J3388" s="162">
        <v>0</v>
      </c>
      <c r="K3388" s="163" t="str">
        <f ca="1">IFERROR(__xludf.DUMMYFUNCTION("GOOGLETRANSLATE(H3388,""th"",""en"")"),"Stand 3 months")</f>
        <v>Stand 3 months</v>
      </c>
      <c r="L3388" s="164" t="s">
        <v>3626</v>
      </c>
      <c r="M3388" s="164"/>
    </row>
    <row r="3389" spans="1:13" ht="15.75" hidden="1" customHeight="1">
      <c r="A3389" s="161" t="s">
        <v>7</v>
      </c>
      <c r="B3389" s="161" t="s">
        <v>3625</v>
      </c>
      <c r="C3389" s="161" t="s">
        <v>3414</v>
      </c>
      <c r="D3389" s="161" t="s">
        <v>481</v>
      </c>
      <c r="E3389" s="162">
        <v>5</v>
      </c>
      <c r="F3389" s="162">
        <v>9</v>
      </c>
      <c r="G3389" s="162">
        <v>2</v>
      </c>
      <c r="H3389" s="161" t="s">
        <v>3415</v>
      </c>
      <c r="I3389" s="161" t="s">
        <v>615</v>
      </c>
      <c r="J3389" s="162">
        <v>0</v>
      </c>
      <c r="K3389" s="163" t="str">
        <f ca="1">IFERROR(__xludf.DUMMYFUNCTION("GOOGLETRANSLATE(H3389,""th"",""en"")"),"Stand for 6 months")</f>
        <v>Stand for 6 months</v>
      </c>
      <c r="L3389" s="164" t="s">
        <v>3626</v>
      </c>
      <c r="M3389" s="164"/>
    </row>
    <row r="3390" spans="1:13" ht="15.75" hidden="1" customHeight="1">
      <c r="A3390" s="161" t="s">
        <v>7</v>
      </c>
      <c r="B3390" s="161" t="s">
        <v>3625</v>
      </c>
      <c r="C3390" s="161" t="s">
        <v>3416</v>
      </c>
      <c r="D3390" s="161" t="s">
        <v>481</v>
      </c>
      <c r="E3390" s="162">
        <v>5</v>
      </c>
      <c r="F3390" s="162">
        <v>9</v>
      </c>
      <c r="G3390" s="162">
        <v>2</v>
      </c>
      <c r="H3390" s="161" t="s">
        <v>3417</v>
      </c>
      <c r="I3390" s="161" t="s">
        <v>615</v>
      </c>
      <c r="J3390" s="162">
        <v>0</v>
      </c>
      <c r="K3390" s="163" t="str">
        <f ca="1">IFERROR(__xludf.DUMMYFUNCTION("GOOGLETRANSLATE(H3390,""th"",""en"")"),"Stand for 12 months")</f>
        <v>Stand for 12 months</v>
      </c>
      <c r="L3390" s="164" t="s">
        <v>3626</v>
      </c>
      <c r="M3390" s="164"/>
    </row>
    <row r="3391" spans="1:13" ht="15.75" hidden="1" customHeight="1">
      <c r="A3391" s="161" t="s">
        <v>7</v>
      </c>
      <c r="B3391" s="161" t="s">
        <v>3625</v>
      </c>
      <c r="C3391" s="161" t="s">
        <v>3418</v>
      </c>
      <c r="D3391" s="161" t="s">
        <v>481</v>
      </c>
      <c r="E3391" s="162">
        <v>5</v>
      </c>
      <c r="F3391" s="162">
        <v>9</v>
      </c>
      <c r="G3391" s="162">
        <v>2</v>
      </c>
      <c r="H3391" s="161" t="s">
        <v>3419</v>
      </c>
      <c r="I3391" s="161" t="s">
        <v>615</v>
      </c>
      <c r="J3391" s="162">
        <v>0</v>
      </c>
      <c r="K3391" s="163" t="str">
        <f ca="1">IFERROR(__xludf.DUMMYFUNCTION("GOOGLETRANSLATE(H3391,""th"",""en"")"),"Fix price price 3 months total vat")</f>
        <v>Fix price price 3 months total vat</v>
      </c>
      <c r="L3391" s="164" t="s">
        <v>3626</v>
      </c>
      <c r="M3391" s="164"/>
    </row>
    <row r="3392" spans="1:13" ht="15.75" hidden="1" customHeight="1">
      <c r="A3392" s="161" t="s">
        <v>7</v>
      </c>
      <c r="B3392" s="161" t="s">
        <v>3625</v>
      </c>
      <c r="C3392" s="161" t="s">
        <v>3420</v>
      </c>
      <c r="D3392" s="161" t="s">
        <v>481</v>
      </c>
      <c r="E3392" s="162">
        <v>5</v>
      </c>
      <c r="F3392" s="162">
        <v>9</v>
      </c>
      <c r="G3392" s="162">
        <v>2</v>
      </c>
      <c r="H3392" s="161" t="s">
        <v>3421</v>
      </c>
      <c r="I3392" s="161" t="s">
        <v>615</v>
      </c>
      <c r="J3392" s="162">
        <v>0</v>
      </c>
      <c r="K3392" s="163" t="str">
        <f ca="1">IFERROR(__xludf.DUMMYFUNCTION("GOOGLETRANSLATE(H3392,""th"",""en"")"),"Fix price Price 6 months total VAT")</f>
        <v>Fix price Price 6 months total VAT</v>
      </c>
      <c r="L3392" s="164" t="s">
        <v>3626</v>
      </c>
      <c r="M3392" s="164"/>
    </row>
    <row r="3393" spans="1:13" ht="15.75" hidden="1" customHeight="1">
      <c r="A3393" s="161" t="s">
        <v>7</v>
      </c>
      <c r="B3393" s="161" t="s">
        <v>3625</v>
      </c>
      <c r="C3393" s="161" t="s">
        <v>3422</v>
      </c>
      <c r="D3393" s="161" t="s">
        <v>481</v>
      </c>
      <c r="E3393" s="162">
        <v>5</v>
      </c>
      <c r="F3393" s="162">
        <v>9</v>
      </c>
      <c r="G3393" s="162">
        <v>2</v>
      </c>
      <c r="H3393" s="161" t="s">
        <v>3423</v>
      </c>
      <c r="I3393" s="161" t="s">
        <v>615</v>
      </c>
      <c r="J3393" s="162">
        <v>0</v>
      </c>
      <c r="K3393" s="163" t="str">
        <f ca="1">IFERROR(__xludf.DUMMYFUNCTION("GOOGLETRANSLATE(H3393,""th"",""en"")"),"Fix price price 12 months total VAT")</f>
        <v>Fix price price 12 months total VAT</v>
      </c>
      <c r="L3393" s="164" t="s">
        <v>3626</v>
      </c>
      <c r="M3393" s="164"/>
    </row>
    <row r="3394" spans="1:13" ht="15.75" hidden="1" customHeight="1">
      <c r="A3394" s="161" t="s">
        <v>7</v>
      </c>
      <c r="B3394" s="161" t="s">
        <v>3625</v>
      </c>
      <c r="C3394" s="161" t="s">
        <v>3424</v>
      </c>
      <c r="D3394" s="161" t="s">
        <v>477</v>
      </c>
      <c r="E3394" s="162">
        <v>3</v>
      </c>
      <c r="F3394" s="162">
        <v>0</v>
      </c>
      <c r="G3394" s="162">
        <v>0</v>
      </c>
      <c r="H3394" s="161" t="s">
        <v>3425</v>
      </c>
      <c r="I3394" s="161" t="s">
        <v>596</v>
      </c>
      <c r="J3394" s="162">
        <v>0</v>
      </c>
      <c r="K3394" s="163" t="str">
        <f ca="1">IFERROR(__xludf.DUMMYFUNCTION("GOOGLETRANSLATE(H3394,""th"",""en"")"),"Fix price refrain from discount? (Y = Bestdeal, N = No Best)")</f>
        <v>Fix price refrain from discount? (Y = Bestdeal, N = No Best)</v>
      </c>
      <c r="L3394" s="164" t="s">
        <v>3626</v>
      </c>
      <c r="M3394" s="164"/>
    </row>
    <row r="3395" spans="1:13" ht="15.75" hidden="1" customHeight="1">
      <c r="A3395" s="161" t="s">
        <v>7</v>
      </c>
      <c r="B3395" s="161" t="s">
        <v>3625</v>
      </c>
      <c r="C3395" s="161" t="s">
        <v>3426</v>
      </c>
      <c r="D3395" s="284" t="s">
        <v>477</v>
      </c>
      <c r="E3395" s="162">
        <v>4</v>
      </c>
      <c r="F3395" s="162">
        <v>16</v>
      </c>
      <c r="G3395" s="162">
        <v>0</v>
      </c>
      <c r="H3395" s="161" t="s">
        <v>3427</v>
      </c>
      <c r="I3395" s="161" t="s">
        <v>548</v>
      </c>
      <c r="J3395" s="162">
        <v>0</v>
      </c>
      <c r="K3395" s="163" t="str">
        <f ca="1">IFERROR(__xludf.DUMMYFUNCTION("GOOGLETRANSLATE(H3395,""th"",""en"")"),"Last selling price")</f>
        <v>Last selling price</v>
      </c>
      <c r="L3395" s="288" t="s">
        <v>13158</v>
      </c>
      <c r="M3395" s="164"/>
    </row>
    <row r="3396" spans="1:13" ht="15.75" hidden="1" customHeight="1">
      <c r="A3396" s="161" t="s">
        <v>7</v>
      </c>
      <c r="B3396" s="161" t="s">
        <v>3625</v>
      </c>
      <c r="C3396" s="161" t="s">
        <v>3428</v>
      </c>
      <c r="D3396" s="161" t="s">
        <v>477</v>
      </c>
      <c r="E3396" s="162">
        <v>255</v>
      </c>
      <c r="F3396" s="162">
        <v>0</v>
      </c>
      <c r="G3396" s="162">
        <v>0</v>
      </c>
      <c r="H3396" s="161" t="s">
        <v>3429</v>
      </c>
      <c r="I3396" s="161" t="s">
        <v>548</v>
      </c>
      <c r="J3396" s="162">
        <v>0</v>
      </c>
      <c r="K3396" s="163" t="str">
        <f ca="1">IFERROR(__xludf.DUMMYFUNCTION("GOOGLETRANSLATE(H3396,""th"",""en"")"),"Price note")</f>
        <v>Price note</v>
      </c>
      <c r="L3396" s="164" t="s">
        <v>3626</v>
      </c>
      <c r="M3396" s="164"/>
    </row>
    <row r="3397" spans="1:13" ht="15.75" hidden="1" customHeight="1">
      <c r="A3397" s="161" t="s">
        <v>7</v>
      </c>
      <c r="B3397" s="161" t="s">
        <v>3625</v>
      </c>
      <c r="C3397" s="161" t="s">
        <v>523</v>
      </c>
      <c r="D3397" s="161" t="s">
        <v>477</v>
      </c>
      <c r="E3397" s="162">
        <v>8</v>
      </c>
      <c r="F3397" s="162">
        <v>0</v>
      </c>
      <c r="G3397" s="162">
        <v>0</v>
      </c>
      <c r="H3397" s="161" t="s">
        <v>2046</v>
      </c>
      <c r="I3397" s="161" t="s">
        <v>548</v>
      </c>
      <c r="J3397" s="162">
        <v>0</v>
      </c>
      <c r="K3397" s="163" t="str">
        <f ca="1">IFERROR(__xludf.DUMMYFUNCTION("GOOGLETRANSLATE(H3397,""th"",""en"")"),"Product Creator")</f>
        <v>Product Creator</v>
      </c>
      <c r="L3397" s="164" t="s">
        <v>3626</v>
      </c>
      <c r="M3397" s="164"/>
    </row>
    <row r="3398" spans="1:13" ht="15.75" hidden="1" customHeight="1">
      <c r="A3398" s="161" t="s">
        <v>7</v>
      </c>
      <c r="B3398" s="161" t="s">
        <v>3625</v>
      </c>
      <c r="C3398" s="161" t="s">
        <v>669</v>
      </c>
      <c r="D3398" s="284" t="s">
        <v>477</v>
      </c>
      <c r="E3398" s="162">
        <v>8</v>
      </c>
      <c r="F3398" s="162">
        <v>27</v>
      </c>
      <c r="G3398" s="162">
        <v>7</v>
      </c>
      <c r="H3398" s="161" t="s">
        <v>2047</v>
      </c>
      <c r="I3398" s="161" t="s">
        <v>801</v>
      </c>
      <c r="J3398" s="162">
        <v>0</v>
      </c>
      <c r="K3398" s="163" t="str">
        <f ca="1">IFERROR(__xludf.DUMMYFUNCTION("GOOGLETRANSLATE(H3398,""th"",""en"")"),"Date of creating products")</f>
        <v>Date of creating products</v>
      </c>
      <c r="L3398" s="288" t="s">
        <v>13159</v>
      </c>
      <c r="M3398" s="164"/>
    </row>
    <row r="3399" spans="1:13" ht="15.75" hidden="1" customHeight="1">
      <c r="A3399" s="161" t="s">
        <v>7</v>
      </c>
      <c r="B3399" s="161" t="s">
        <v>3625</v>
      </c>
      <c r="C3399" s="161" t="s">
        <v>670</v>
      </c>
      <c r="D3399" s="161" t="s">
        <v>477</v>
      </c>
      <c r="E3399" s="162">
        <v>8</v>
      </c>
      <c r="F3399" s="162">
        <v>0</v>
      </c>
      <c r="G3399" s="162">
        <v>0</v>
      </c>
      <c r="H3399" s="161" t="s">
        <v>2048</v>
      </c>
      <c r="I3399" s="161" t="s">
        <v>548</v>
      </c>
      <c r="J3399" s="162">
        <v>0</v>
      </c>
      <c r="K3399" s="163" t="str">
        <f ca="1">IFERROR(__xludf.DUMMYFUNCTION("GOOGLETRANSLATE(H3399,""th"",""en"")"),"Product Information Editor")</f>
        <v>Product Information Editor</v>
      </c>
      <c r="L3399" s="164" t="s">
        <v>3626</v>
      </c>
      <c r="M3399" s="164"/>
    </row>
    <row r="3400" spans="1:13" ht="15.75" hidden="1" customHeight="1">
      <c r="A3400" s="161" t="s">
        <v>7</v>
      </c>
      <c r="B3400" s="161" t="s">
        <v>3625</v>
      </c>
      <c r="C3400" s="161" t="s">
        <v>215</v>
      </c>
      <c r="D3400" s="284" t="s">
        <v>477</v>
      </c>
      <c r="E3400" s="162">
        <v>8</v>
      </c>
      <c r="F3400" s="162">
        <v>27</v>
      </c>
      <c r="G3400" s="162">
        <v>7</v>
      </c>
      <c r="H3400" s="161" t="s">
        <v>2049</v>
      </c>
      <c r="I3400" s="161" t="s">
        <v>801</v>
      </c>
      <c r="J3400" s="162">
        <v>0</v>
      </c>
      <c r="K3400" s="163" t="str">
        <f ca="1">IFERROR(__xludf.DUMMYFUNCTION("GOOGLETRANSLATE(H3400,""th"",""en"")"),"Product Editing Date")</f>
        <v>Product Editing Date</v>
      </c>
      <c r="L3400" s="288" t="s">
        <v>13159</v>
      </c>
      <c r="M3400" s="164"/>
    </row>
    <row r="3401" spans="1:13" ht="15.75" hidden="1" customHeight="1">
      <c r="A3401" s="161" t="s">
        <v>7</v>
      </c>
      <c r="B3401" s="161" t="s">
        <v>3625</v>
      </c>
      <c r="C3401" s="161" t="s">
        <v>3430</v>
      </c>
      <c r="D3401" s="161" t="s">
        <v>481</v>
      </c>
      <c r="E3401" s="162">
        <v>5</v>
      </c>
      <c r="F3401" s="162">
        <v>9</v>
      </c>
      <c r="G3401" s="162">
        <v>2</v>
      </c>
      <c r="H3401" s="161" t="s">
        <v>3431</v>
      </c>
      <c r="I3401" s="161" t="s">
        <v>615</v>
      </c>
      <c r="J3401" s="162">
        <v>0</v>
      </c>
      <c r="K3401" s="163" t="str">
        <f ca="1">IFERROR(__xludf.DUMMYFUNCTION("GOOGLETRANSLATE(H3401,""th"",""en"")"),"Cost, promotion, not including VAT")</f>
        <v>Cost, promotion, not including VAT</v>
      </c>
      <c r="L3401" s="164" t="s">
        <v>3626</v>
      </c>
      <c r="M3401" s="164"/>
    </row>
    <row r="3402" spans="1:13" ht="15.75" hidden="1" customHeight="1">
      <c r="A3402" s="161" t="s">
        <v>7</v>
      </c>
      <c r="B3402" s="161" t="s">
        <v>3625</v>
      </c>
      <c r="C3402" s="161" t="s">
        <v>3432</v>
      </c>
      <c r="D3402" s="284" t="s">
        <v>477</v>
      </c>
      <c r="E3402" s="162">
        <v>4</v>
      </c>
      <c r="F3402" s="162">
        <v>16</v>
      </c>
      <c r="G3402" s="162">
        <v>0</v>
      </c>
      <c r="H3402" s="161" t="s">
        <v>3433</v>
      </c>
      <c r="I3402" s="161" t="s">
        <v>1363</v>
      </c>
      <c r="J3402" s="162">
        <v>0</v>
      </c>
      <c r="K3402" s="163" t="str">
        <f ca="1">IFERROR(__xludf.DUMMYFUNCTION("GOOGLETRANSLATE(H3402,""th"",""en"")"),"Start date, cost, promotion")</f>
        <v>Start date, cost, promotion</v>
      </c>
      <c r="L3402" s="288" t="s">
        <v>13158</v>
      </c>
      <c r="M3402" s="164"/>
    </row>
    <row r="3403" spans="1:13" ht="15.75" hidden="1" customHeight="1">
      <c r="A3403" s="161" t="s">
        <v>7</v>
      </c>
      <c r="B3403" s="161" t="s">
        <v>3625</v>
      </c>
      <c r="C3403" s="161" t="s">
        <v>3434</v>
      </c>
      <c r="D3403" s="284" t="s">
        <v>477</v>
      </c>
      <c r="E3403" s="162">
        <v>4</v>
      </c>
      <c r="F3403" s="162">
        <v>16</v>
      </c>
      <c r="G3403" s="162">
        <v>0</v>
      </c>
      <c r="H3403" s="161" t="s">
        <v>3435</v>
      </c>
      <c r="I3403" s="161" t="s">
        <v>1363</v>
      </c>
      <c r="J3403" s="162">
        <v>0</v>
      </c>
      <c r="K3403" s="163" t="str">
        <f ca="1">IFERROR(__xludf.DUMMYFUNCTION("GOOGLETRANSLATE(H3403,""th"",""en"")"),"End date, price, promotion")</f>
        <v>End date, price, promotion</v>
      </c>
      <c r="L3403" s="288" t="s">
        <v>13158</v>
      </c>
      <c r="M3403" s="164"/>
    </row>
    <row r="3404" spans="1:13" ht="15.75" hidden="1" customHeight="1">
      <c r="A3404" s="161" t="s">
        <v>7</v>
      </c>
      <c r="B3404" s="161" t="s">
        <v>3625</v>
      </c>
      <c r="C3404" s="161" t="s">
        <v>814</v>
      </c>
      <c r="D3404" s="161" t="s">
        <v>477</v>
      </c>
      <c r="E3404" s="162">
        <v>100</v>
      </c>
      <c r="F3404" s="162">
        <v>0</v>
      </c>
      <c r="G3404" s="162">
        <v>0</v>
      </c>
      <c r="H3404" s="161" t="s">
        <v>815</v>
      </c>
      <c r="I3404" s="161" t="s">
        <v>548</v>
      </c>
      <c r="J3404" s="162">
        <v>0</v>
      </c>
      <c r="K3404" s="163" t="str">
        <f ca="1">IFERROR(__xludf.DUMMYFUNCTION("GOOGLETRANSLATE(H3404,""th"",""en"")"),"Information Creator Name")</f>
        <v>Information Creator Name</v>
      </c>
      <c r="L3404" s="164" t="s">
        <v>3626</v>
      </c>
      <c r="M3404" s="164"/>
    </row>
    <row r="3405" spans="1:13" ht="15.75" hidden="1" customHeight="1">
      <c r="A3405" s="161" t="s">
        <v>7</v>
      </c>
      <c r="B3405" s="161" t="s">
        <v>3625</v>
      </c>
      <c r="C3405" s="161" t="s">
        <v>816</v>
      </c>
      <c r="D3405" s="161" t="s">
        <v>477</v>
      </c>
      <c r="E3405" s="162">
        <v>100</v>
      </c>
      <c r="F3405" s="162">
        <v>0</v>
      </c>
      <c r="G3405" s="162">
        <v>0</v>
      </c>
      <c r="H3405" s="161" t="s">
        <v>817</v>
      </c>
      <c r="I3405" s="161" t="s">
        <v>548</v>
      </c>
      <c r="J3405" s="162">
        <v>0</v>
      </c>
      <c r="K3405" s="163" t="str">
        <f ca="1">IFERROR(__xludf.DUMMYFUNCTION("GOOGLETRANSLATE(H3405,""th"",""en"")"),"Latest information")</f>
        <v>Latest information</v>
      </c>
      <c r="L3405" s="164" t="s">
        <v>3626</v>
      </c>
      <c r="M3405" s="164"/>
    </row>
    <row r="3406" spans="1:13" hidden="1">
      <c r="A3406" s="161" t="s">
        <v>7</v>
      </c>
      <c r="B3406" s="161" t="s">
        <v>3625</v>
      </c>
      <c r="C3406" s="173" t="s">
        <v>3627</v>
      </c>
      <c r="D3406" s="161" t="s">
        <v>477</v>
      </c>
      <c r="E3406" s="169">
        <v>10</v>
      </c>
      <c r="F3406" s="165"/>
      <c r="G3406" s="165"/>
      <c r="H3406" s="165"/>
      <c r="I3406" s="165"/>
      <c r="J3406" s="165"/>
      <c r="K3406" s="165"/>
      <c r="L3406" s="164" t="s">
        <v>3626</v>
      </c>
      <c r="M3406" s="164"/>
    </row>
  </sheetData>
  <autoFilter ref="A1:N3406" xr:uid="{00000000-0001-0000-0300-000000000000}">
    <filterColumn colId="1">
      <filters>
        <filter val="tbinvoice_address"/>
      </filters>
    </filterColumn>
  </autoFilter>
  <sortState xmlns:xlrd2="http://schemas.microsoft.com/office/spreadsheetml/2017/richdata2" ref="A1281:L1316">
    <sortCondition ref="C1288:C3406"/>
  </sortState>
  <customSheetViews>
    <customSheetView guid="{B6CC7702-36CF-47B7-ADA2-1CC0A983C11D}" filter="1" showAutoFilter="1">
      <pageMargins left="0.7" right="0.7" top="0.75" bottom="0.75" header="0.3" footer="0.3"/>
      <autoFilter ref="A1:K3406" xr:uid="{5A1B3B80-92F1-9646-B106-0314089DF91B}">
        <filterColumn colId="1">
          <filters>
            <filter val="OFM_SoIvDetl"/>
            <filter val="OFM_SoIvHead"/>
            <filter val="tbbusiness_type_master"/>
            <filter val="TBHoliday"/>
            <filter val="TBProductUnit_history"/>
            <filter val="TBSumProdMst"/>
          </filters>
        </filterColumn>
      </autoFilter>
    </customSheetView>
    <customSheetView guid="{FE7867AD-1D49-48D8-B79F-E8F0C7D87759}" filter="1" showAutoFilter="1">
      <pageMargins left="0.7" right="0.7" top="0.75" bottom="0.75" header="0.3" footer="0.3"/>
      <autoFilter ref="A1:K3350" xr:uid="{B015AA18-18D8-AF42-AB85-7070B362602B}">
        <filterColumn colId="2">
          <filters>
            <filter val="Actcode"/>
            <filter val="cat_id"/>
            <filter val="CatID"/>
            <filter val="Company"/>
            <filter val="Createby"/>
            <filter val="CreateOn"/>
            <filter val="Currcode"/>
            <filter val="custID"/>
            <filter val="Custname"/>
            <filter val="DeleteRemark"/>
            <filter val="DeliverFee"/>
            <filter val="Enddate"/>
            <filter val="EtaxMobile"/>
            <filter val="Feedback"/>
            <filter val="IsBestDeal"/>
            <filter val="LastRCVDate"/>
            <filter val="pid"/>
            <filter val="ProdStatus"/>
            <filter val="ProdTLName"/>
            <filter val="ProductName"/>
            <filter val="Punit"/>
            <filter val="Qty"/>
            <filter val="Ratio"/>
            <filter val="remark"/>
            <filter val="seq"/>
            <filter val="Seqno"/>
            <filter val="settledamt"/>
            <filter val="ShippingStatus"/>
            <filter val="StartDate"/>
            <filter val="status"/>
            <filter val="SubAreaCode"/>
            <filter val="supplierName"/>
            <filter val="Trandate"/>
            <filter val="TYPE"/>
            <filter val="UpdateBy"/>
            <filter val="updateon"/>
            <filter val="vat"/>
            <filter val="VATAmt"/>
            <filter val="VATRate"/>
            <filter val="VoucherNO"/>
            <filter val="WebOrderID"/>
          </filters>
        </filterColumn>
      </autoFilter>
    </customSheetView>
    <customSheetView guid="{D2464F85-EDE4-4567-AE99-72086A9419EC}" filter="1" showAutoFilter="1">
      <pageMargins left="0.7" right="0.7" top="0.75" bottom="0.75" header="0.3" footer="0.3"/>
      <autoFilter ref="A1:K3350" xr:uid="{1F9B3585-24AE-D24C-9EA9-908544F68033}">
        <filterColumn colId="1">
          <filters>
            <filter val="OFM_SoIvDetl"/>
            <filter val="OFM_SoIvHead"/>
            <filter val="OFM_TBProductWarehouse"/>
            <filter val="TBSumProdMst"/>
          </filters>
        </filterColumn>
      </autoFilter>
    </customSheetView>
    <customSheetView guid="{F05A81A4-6578-44A4-8272-038EE39689EA}" filter="1" showAutoFilter="1">
      <pageMargins left="0.7" right="0.7" top="0.75" bottom="0.75" header="0.3" footer="0.3"/>
      <autoFilter ref="A1:K3350" xr:uid="{89B6CF09-D613-CB48-925D-384A2B99D1C6}">
        <filterColumn colId="1">
          <filters>
            <filter val="tbpromotion_campaign"/>
            <filter val="tbpromotion_channel"/>
            <filter val="TBSumProdMst"/>
          </filters>
        </filterColumn>
        <filterColumn colId="2">
          <filters>
            <filter val="Abbreviation"/>
            <filter val="absorb_rate"/>
            <filter val="absorb_type"/>
            <filter val="account_active_date"/>
            <filter val="account_branch_id"/>
            <filter val="account_business_desc"/>
            <filter val="account_business_type"/>
            <filter val="account_class"/>
            <filter val="account_class_old"/>
            <filter val="account_condition"/>
            <filter val="account_copy_flag"/>
            <filter val="account_credit_limit"/>
            <filter val="account_credit_remark"/>
            <filter val="account_credit_term"/>
            <filter val="account_data"/>
            <filter val="account_eng_name"/>
            <filter val="account_fixprice_flag"/>
            <filter val="account_group_id"/>
            <filter val="account_group_name"/>
            <filter val="account_id"/>
            <filter val="account_lock_day"/>
            <filter val="account_lock_reason"/>
            <filter val="account_matrix_class"/>
            <filter val="account_matrix_status"/>
            <filter val="account_name"/>
            <filter val="account_payment_code"/>
            <filter val="account_payment_name"/>
            <filter val="account_payment_remark"/>
            <filter val="account_payment_type"/>
            <filter val="account_remark"/>
            <filter val="account_reptsale_group"/>
            <filter val="account_reptsale_id"/>
            <filter val="account_reptsale_old"/>
            <filter val="account_segment"/>
            <filter val="account_segment_recommend"/>
            <filter val="account_sort"/>
            <filter val="account_source"/>
            <filter val="account_source_type"/>
            <filter val="account_stamp_flag"/>
            <filter val="account_status"/>
            <filter val="account_status_company"/>
            <filter val="account_status_newchannel"/>
            <filter val="account_status_newnew"/>
            <filter val="account_store_flag"/>
            <filter val="account_tax_id"/>
            <filter val="account_thai_name"/>
            <filter val="account_title"/>
            <filter val="account_type"/>
            <filter val="account_vip_flag"/>
            <filter val="account_website"/>
            <filter val="AccountCode"/>
            <filter val="accounting_remark"/>
            <filter val="AccountName"/>
            <filter val="AccountNumber"/>
            <filter val="AccountOwner"/>
            <filter val="AccountSeq"/>
            <filter val="AccountType"/>
            <filter val="across_month_flag"/>
            <filter val="ACTCATEGORY"/>
            <filter val="ActCatg"/>
            <filter val="ActCode"/>
            <filter val="ActEngName"/>
            <filter val="ActivityID"/>
            <filter val="ActLocalName"/>
            <filter val="ActOFINName"/>
            <filter val="ActOFMName"/>
            <filter val="ActType"/>
            <filter val="ActualRetDate"/>
            <filter val="AdditionalAmt"/>
            <filter val="after_credit_amt"/>
            <filter val="Aging_day"/>
            <filter val="allocate_status"/>
            <filter val="allocate_type"/>
            <filter val="AltPayee"/>
            <filter val="AmdPNameBy"/>
            <filter val="Ampur"/>
            <filter val="AmpurEN"/>
            <filter val="Amt"/>
            <filter val="APALLOWFLAG"/>
            <filter val="approve_rule_flag"/>
            <filter val="ApproveID"/>
            <filter val="APTranControlActCode"/>
            <filter val="APTranControlNature"/>
            <filter val="AQfg"/>
            <filter val="ARALLOWFLAG"/>
            <filter val="AreaCode"/>
            <filter val="AreaDistrict"/>
            <filter val="avg_cost_after_approve"/>
            <filter val="avg_cost_before_approve"/>
            <filter val="AvgAmt"/>
            <filter val="AvgCost"/>
            <filter val="BackOrderRemark"/>
            <filter val="Bag3"/>
            <filter val="BankAccountName"/>
            <filter val="BankAcct"/>
            <filter val="BankAcctType"/>
            <filter val="BankCode"/>
            <filter val="BankGuaranteeAmt"/>
            <filter val="BankGuaranteeExpDate"/>
            <filter val="BankGuaranteeRemark"/>
            <filter val="BankName"/>
            <filter val="BankNumber"/>
            <filter val="BankStatus"/>
            <filter val="BarcodeInner"/>
            <filter val="barcodeonstore"/>
            <filter val="BarcodeOuter"/>
            <filter val="BarcodePiece"/>
            <filter val="BarcodeShop"/>
            <filter val="base_qty"/>
            <filter val="base_unit"/>
            <filter val="BaseQty"/>
            <filter val="BaseUnit"/>
            <filter val="BasicUnit"/>
            <filter val="BdtActCode"/>
            <filter val="BdtAmt"/>
            <filter val="BdtCurAmt"/>
            <filter val="BdtCurCode"/>
            <filter val="BdtCurRate"/>
            <filter val="BdtDptCode"/>
            <filter val="BdtInvAmt"/>
            <filter val="BdtInvCurAmt"/>
            <filter val="BdtInvDate"/>
            <filter val="BdtInvNo"/>
            <filter val="BdtJobNo"/>
            <filter val="Bdtnature"/>
            <filter val="BdtRemk"/>
            <filter val="BdtStatus"/>
            <filter val="BdtSubSeqn"/>
            <filter val="BdtSupplier_Debtor"/>
            <filter val="BdtTranDate"/>
            <filter val="BdtVchNo"/>
            <filter val="BdtVchSeqn"/>
            <filter val="BDTVNDCODE"/>
            <filter val="BdtVoucherNo"/>
            <filter val="before_credit_amt"/>
            <filter val="bestdeal_flag"/>
            <filter val="BestDealAmt"/>
            <filter val="BestDealFlag"/>
            <filter val="BFAmt"/>
            <filter val="BFCost"/>
            <filter val="BFQty"/>
            <filter val="bill_attach_po_flag"/>
            <filter val="bill_condition"/>
            <filter val="BillAddr1"/>
            <filter val="BillAddr2"/>
            <filter val="BillAddr3"/>
            <filter val="BillAddr4"/>
            <filter val="BillAddr5"/>
            <filter val="BillDate"/>
            <filter val="BillDesc"/>
            <filter val="billdtlPrvStatus"/>
            <filter val="BillDtlStatus"/>
            <filter val="BillMainZone"/>
            <filter val="BillNo"/>
            <filter val="BillPrefix"/>
            <filter val="billPrvStatus"/>
            <filter val="BillSeqn"/>
            <filter val="BillStatus"/>
            <filter val="BillToDeliverUserID"/>
            <filter val="BkChrgBaseAmt"/>
            <filter val="BkChrgCurAmt"/>
            <filter val="BkCurrCode"/>
            <filter val="boi_flag"/>
            <filter val="Box3"/>
            <filter val="BranchGenInv"/>
            <filter val="BranchID"/>
            <filter val="brand_id"/>
            <filter val="BrandENG"/>
            <filter val="BrandID"/>
            <filter val="BrandID_Old"/>
            <filter val="BrandIDOD"/>
            <filter val="BrandTH"/>
            <filter val="BU"/>
            <filter val="business_type"/>
            <filter val="BussinessDay"/>
            <filter val="Cal_Date"/>
            <filter val="CalculateDate"/>
            <filter val="campaign_refer_code"/>
            <filter val="CancelRemark"/>
            <filter val="CancelType"/>
            <filter val="capital"/>
            <filter val="cash_voucher_type"/>
            <filter val="CashAmt"/>
            <filter val="CashCurAmt"/>
            <filter val="CashVoucher"/>
            <filter val="CAT_ID"/>
            <filter val="catalog_qty"/>
            <filter val="CatalogDescription"/>
            <filter val="CatalogDisplayID"/>
            <filter val="CatalogDisplayName"/>
            <filter val="CatalogID"/>
            <filter val="CatalogName"/>
            <filter val="CatalogQty"/>
            <filter val="CatalogStatus"/>
            <filter val="CatID"/>
            <filter val="CatPageNo"/>
            <filter val="CatType"/>
            <filter val="caution"/>
            <filter val="cBillAreaCode"/>
            <filter val="cBillAttachPO"/>
            <filter val="cCustID"/>
            <filter val="central_group_id"/>
            <filter val="CFStatus"/>
            <filter val="ChangeNameDate"/>
            <filter val="Channel"/>
            <filter val="ChannelID"/>
            <filter val="ChargeID"/>
            <filter val="check_account_credit_flag"/>
            <filter val="cheque_condition"/>
            <filter val="ChequeAmt"/>
            <filter val="ChequeCurAmt"/>
            <filter val="ChequeDate"/>
            <filter val="ChequeNo"/>
            <filter val="ChqAmt"/>
            <filter val="ChqAreaCode"/>
            <filter val="ChqCurAmt"/>
            <filter val="ChqDate"/>
            <filter val="ChqMainZone"/>
            <filter val="ChqNo"/>
            <filter val="ChqPrn"/>
            <filter val="ChqStatus"/>
            <filter val="City"/>
            <filter val="CityEN"/>
            <filter val="CLASS"/>
            <filter val="class_description"/>
            <filter val="CLASS_NAME"/>
            <filter val="ClearingNo"/>
            <filter val="click_collect_flag"/>
            <filter val="CLSS_NAME"/>
            <filter val="ClusterGroup"/>
            <filter val="ClusterID"/>
            <filter val="CmpyCode"/>
            <filter val="CNCode"/>
            <filter val="CNEtaxCode"/>
            <filter val="CNEtaxName"/>
            <filter val="CNType"/>
            <filter val="CodeID"/>
            <filter val="CodeOracleID"/>
            <filter val="ColCode"/>
            <filter val="ColDesc"/>
            <filter val="collect_store_no"/>
            <filter val="collection_remark"/>
            <filter val="Comment"/>
            <filter val="CommissionRate"/>
            <filter val="Company"/>
            <filter val="company_epro_id"/>
            <filter val="company_id"/>
            <filter val="CompanyAddress"/>
            <filter val="CompanyAddressEng"/>
            <filter val="CompanyFax"/>
            <filter val="CompanyNameEng"/>
            <filter val="CompanyNameThai"/>
            <filter val="CompanyPhone"/>
            <filter val="confirm_date"/>
            <filter val="confirm_status_desc"/>
            <filter val="ConfirmDate"/>
            <filter val="ConfirmDesc"/>
            <filter val="consent_status"/>
            <filter val="ConsignmentFlag"/>
            <filter val="contact_address_1"/>
            <filter val="contact_address_2"/>
            <filter val="contact_address_no"/>
            <filter val="contact_area"/>
            <filter val="contact_birthdate"/>
            <filter val="contact_building"/>
            <filter val="contact_building_id"/>
            <filter val="contact_data"/>
            <filter val="contact_district"/>
            <filter val="contact_duty"/>
            <filter val="contact_email"/>
            <filter val="contact_extension"/>
            <filter val="contact_fax"/>
            <filter val="contact_first_name"/>
            <filter val="contact_floor"/>
            <filter val="contact_id"/>
            <filter val="contact_idcard"/>
            <filter val="contact_last_name"/>
            <filter val="contact_mobile"/>
            <filter val="contact_moo"/>
            <filter val="contact_name"/>
            <filter val="contact_phone"/>
            <filter val="contact_phoneno"/>
            <filter val="contact_poi"/>
            <filter val="contact_poi_id"/>
            <filter val="contact_position"/>
            <filter val="contact_province"/>
            <filter val="contact_remark"/>
            <filter val="contact_room_no"/>
            <filter val="contact_sex"/>
            <filter val="contact_soi"/>
            <filter val="contact_status"/>
            <filter val="contact_street"/>
            <filter val="contact_sub_area"/>
            <filter val="contact_subdistrict"/>
            <filter val="contact_title"/>
            <filter val="contact_type"/>
            <filter val="contact_zipcode"/>
            <filter val="ContactorFax"/>
            <filter val="ContactorName"/>
            <filter val="ContactorPhone"/>
            <filter val="ContactorSeqNo"/>
            <filter val="contract_flag"/>
            <filter val="ConvContainer"/>
            <filter val="conversionfactor"/>
            <filter val="ConvFactor"/>
            <filter val="count_product_cancel_nextyear"/>
            <filter val="count_product_fix"/>
            <filter val="count_product_notfix"/>
            <filter val="Country"/>
            <filter val="CPCID"/>
            <filter val="cr_id"/>
            <filter val="Createby"/>
            <filter val="CreateByName"/>
            <filter val="CreateName"/>
            <filter val="CreateOn"/>
            <filter val="credit_amt"/>
            <filter val="credit_card_id"/>
            <filter val="credit_card_method"/>
            <filter val="credit_card_name"/>
            <filter val="credit_limit"/>
            <filter val="credit_remark"/>
            <filter val="credit_reserve"/>
            <filter val="credit_term"/>
            <filter val="credit_used"/>
            <filter val="CreditCardID"/>
            <filter val="CreditCardMethod"/>
            <filter val="CreditCardName"/>
            <filter val="CreditCardNameEN"/>
            <filter val="CreditCardNameTH"/>
            <filter val="CreditLimit"/>
            <filter val="creditnote_remark"/>
            <filter val="CreditRemark"/>
            <filter val="CreditTerm"/>
            <filter val="cRemark1"/>
            <filter val="cRemark2"/>
            <filter val="cRemark3"/>
            <filter val="cRemark4"/>
            <filter val="cReptSaleID"/>
            <filter val="CriticalFullFill"/>
            <filter val="CriticalQty"/>
            <filter val="Cube"/>
            <filter val="CurCode"/>
            <filter val="CurRate"/>
            <filter val="CurrCode"/>
            <filter val="CurrDate"/>
            <filter val="CurrDate_Temp"/>
            <filter val="CurrPeriod"/>
            <filter val="CusReptDay"/>
            <filter val="CustCode"/>
            <filter val="custID"/>
            <filter val="CustName"/>
            <filter val="CustOld"/>
            <filter val="CustRefNo"/>
            <filter val="CustTaxID"/>
            <filter val="CustType"/>
            <filter val="CustVIPFlag"/>
            <filter val="data_source"/>
            <filter val="DayForCancel"/>
            <filter val="DayForReturn"/>
            <filter val="dbd_business_name"/>
            <filter val="dbd_business_type"/>
            <filter val="DCID"/>
            <filter val="default_contact_type"/>
            <filter val="default_flag"/>
            <filter val="DefaultLocationID"/>
            <filter val="DefaultStoreID"/>
            <filter val="DeleteNetAmt"/>
            <filter val="DeleteRemark"/>
            <filter val="Deliverfee"/>
            <filter val="Delivery"/>
            <filter val="delivery_date"/>
            <filter val="delivery_remark"/>
            <filter val="delivery_split_flag"/>
            <filter val="delivery_type"/>
            <filter val="DeliveryBy"/>
            <filter val="DeliveryCBM"/>
            <filter val="deliveryfee_fix"/>
            <filter val="deliveryfee_flag"/>
            <filter val="DeliveryLocation"/>
            <filter val="DeliveryLocationRemark"/>
            <filter val="DeliveryMethodSeqNo"/>
            <filter val="DeliveryPlace"/>
            <filter val="department"/>
            <filter val="department_name"/>
            <filter val="DEPT"/>
            <filter val="DEPT_NAME"/>
            <filter val="DeptEAbb"/>
            <filter val="DeptEName"/>
            <filter val="DeptID"/>
            <filter val="DeptTName"/>
            <filter val="Description"/>
            <filter val="disc_amt"/>
            <filter val="disc_amt_excvat"/>
            <filter val="disc_amt_excvat_old"/>
            <filter val="disc_amt_incvat"/>
            <filter val="disc_amt_incvat_old"/>
            <filter val="disc_amt_old"/>
            <filter val="disc_rate"/>
            <filter val="disc_rate_old"/>
            <filter val="Disc1"/>
            <filter val="Disc2"/>
            <filter val="Disc3"/>
            <filter val="Disc4"/>
            <filter val="DiscAmt"/>
            <filter val="DiscAmt1"/>
            <filter val="DiscAmt2"/>
            <filter val="DiscAmt3"/>
            <filter val="DiscAmtIncVat"/>
            <filter val="DiscFg"/>
            <filter val="discount_amt"/>
            <filter val="discount_type"/>
            <filter val="DiscountRate"/>
            <filter val="DiscRate"/>
            <filter val="DiscRate1"/>
            <filter val="DiscRate2"/>
            <filter val="DiscRate3"/>
            <filter val="DisStatus"/>
            <filter val="District"/>
            <filter val="DistrictCode"/>
            <filter val="DistrictEN"/>
            <filter val="DistrictName"/>
            <filter val="DLHeader"/>
            <filter val="DliAmt"/>
            <filter val="DliArngDate"/>
            <filter val="DliDate"/>
            <filter val="DliRemark"/>
            <filter val="DliStat"/>
            <filter val="DliTime"/>
            <filter val="DliType"/>
            <filter val="doc_amt"/>
            <filter val="doc_date"/>
            <filter val="doc_no"/>
            <filter val="doc_ref_no"/>
            <filter val="doc_type"/>
            <filter val="DocDate"/>
            <filter val="DocID"/>
            <filter val="DocNo"/>
            <filter val="DocStatus"/>
            <filter val="DocType"/>
            <filter val="document_cancel_remark"/>
            <filter val="document_referenece_1"/>
            <filter val="document_referenece_2"/>
            <filter val="document_referenece_3"/>
            <filter val="document_remark"/>
            <filter val="DoItYourSelf"/>
            <filter val="DptAddress1"/>
            <filter val="DptAddress2"/>
            <filter val="DptCode"/>
            <filter val="DptEngDesc"/>
            <filter val="DptLocalDesc"/>
            <filter val="DPTNAM"/>
            <filter val="DPTSTATUS"/>
            <filter val="DPTTYPE"/>
            <filter val="DueDate"/>
            <filter val="DueDateType"/>
            <filter val="DummStatus"/>
            <filter val="eAccessLevel"/>
            <filter val="eDepartment"/>
            <filter val="edit_order_gov_flag"/>
            <filter val="eDivision"/>
            <filter val="eEMailAddr"/>
            <filter val="eEMailExternal"/>
            <filter val="eEMailInternal"/>
            <filter val="eEmpID"/>
            <filter val="eEmpName"/>
            <filter val="eEncryptPW"/>
            <filter val="eEngName"/>
            <filter val="eEngSurName"/>
            <filter val="eLevelID"/>
            <filter val="email"/>
            <filter val="email_contact"/>
            <filter val="email_store"/>
            <filter val="eManagerID"/>
            <filter val="embassy_flag"/>
            <filter val="emp_id"/>
            <filter val="emp_name"/>
            <filter val="emp_name_thai"/>
            <filter val="EmpCRCID"/>
            <filter val="employee_total"/>
            <filter val="eName"/>
            <filter val="enddate"/>
            <filter val="eo_date"/>
            <filter val="eo_no"/>
            <filter val="eo_service_id"/>
            <filter val="eo_service_type"/>
            <filter val="eo_sub_type"/>
            <filter val="eo_type"/>
            <filter val="EoSubType"/>
            <filter val="ePassword"/>
            <filter val="ePCT"/>
            <filter val="ePermanentEmp"/>
            <filter val="ePosition"/>
            <filter val="ePrefix"/>
            <filter val="eSex"/>
            <filter val="eStatus"/>
            <filter val="eSurname"/>
            <filter val="etax_email"/>
            <filter val="EtaxEmail"/>
            <filter val="EtaxMobile"/>
            <filter val="eTeleFlag"/>
            <filter val="eWorkStatus"/>
            <filter val="except_vat_flag"/>
            <filter val="ExRate"/>
            <filter val="ExtraShippingFee"/>
            <filter val="Feedback"/>
            <filter val="FeedBackGrpID"/>
            <filter val="FirstName"/>
            <filter val="FirstRcvDate"/>
            <filter val="fix_format"/>
            <filter val="fix_period"/>
            <filter val="fix_price_excvat"/>
            <filter val="fix_price_incvat"/>
            <filter val="fix_price_remark"/>
            <filter val="fix_type"/>
            <filter val="Fix12MPriceExVat"/>
            <filter val="Fix12MpriceIncVat"/>
            <filter val="Fix3MPriceExVat"/>
            <filter val="Fix3MpriceIncVat"/>
            <filter val="Fix6MPriceExVat"/>
            <filter val="Fix6MpriceIncVat"/>
            <filter val="fixprice_flag"/>
            <filter val="fixprice_product_type"/>
            <filter val="FixPricePeriod"/>
            <filter val="FormHeader"/>
            <filter val="FPrice"/>
            <filter val="franchise_account_flag"/>
            <filter val="franchise_order_type"/>
            <filter val="free_flag"/>
            <filter val="frequency_order_value"/>
            <filter val="FullPrice"/>
            <filter val="FullTaxDate"/>
            <filter val="FullTaxNo"/>
            <filter val="gen_qr"/>
            <filter val="GetVoucherNo"/>
            <filter val="GiftMessage"/>
            <filter val="GLALLOWFLAG"/>
            <filter val="Glstat"/>
            <filter val="gov_flag"/>
            <filter val="GPDBName"/>
            <filter val="GPPassWord"/>
            <filter val="GPSC"/>
            <filter val="GPServerName"/>
            <filter val="GPStandard"/>
            <filter val="GPUserName"/>
            <filter val="GreenProduct"/>
            <filter val="group_bill_type"/>
            <filter val="group_vouch_no"/>
            <filter val="GroupBillType"/>
            <filter val="GrpID"/>
            <filter val="GrpName"/>
            <filter val="hamper_flag"/>
            <filter val="HamperFlag"/>
            <filter val="Height"/>
            <filter val="HeightInner"/>
            <filter val="HeightOuter"/>
            <filter val="HeightPiece"/>
            <filter val="HoldQty"/>
            <filter val="howknow_ofm"/>
            <filter val="howknow_ofm_oth"/>
            <filter val="I"/>
            <filter val="ICLAS"/>
            <filter val="ID"/>
            <filter val="identity_id"/>
            <filter val="IDEPT"/>
            <filter val="InBuFlag"/>
            <filter val="InCatalog"/>
            <filter val="InCatODFlag"/>
            <filter val="InClosing"/>
            <filter val="IncVatAmt"/>
            <filter val="IncvatbydatePrice"/>
            <filter val="IncVatPrice"/>
            <filter val="InNextCatalog"/>
            <filter val="instead_channel_name"/>
            <filter val="InsteadChannelName"/>
            <filter val="internal_remark"/>
            <filter val="InternalRemark"/>
            <filter val="Intgstat"/>
            <filter val="InvAddr1"/>
            <filter val="InvAddr2"/>
            <filter val="InvAddr3"/>
            <filter val="InvAddr4"/>
            <filter val="InvAddr5"/>
            <filter val="InvAmt"/>
            <filter val="InvDate"/>
            <filter val="InvNo"/>
            <filter val="invoice_address_1"/>
            <filter val="invoice_address_2"/>
            <filter val="invoice_address_3"/>
            <filter val="invoice_address_4"/>
            <filter val="invoice_address_id"/>
            <filter val="invoice_address_no"/>
            <filter val="invoice_area"/>
            <filter val="invoice_branch_id"/>
            <filter val="invoice_building"/>
            <filter val="invoice_building_id"/>
            <filter val="invoice_default_flag"/>
            <filter val="invoice_district"/>
            <filter val="invoice_floor"/>
            <filter val="invoice_moo"/>
            <filter val="invoice_no"/>
            <filter val="invoice_poi"/>
            <filter val="invoice_poi_id"/>
            <filter val="invoice_province"/>
            <filter val="invoice_remark"/>
            <filter val="invoice_room_no"/>
            <filter val="invoice_soi"/>
            <filter val="invoice_street"/>
            <filter val="invoice_sub_area"/>
            <filter val="invoice_subdistrict"/>
            <filter val="invoice_zip_code"/>
            <filter val="InvoiceItem"/>
            <filter val="InvTime"/>
            <filter val="InvType"/>
            <filter val="InvVATAmt"/>
            <filter val="is_cutofforder_flag"/>
            <filter val="is21DayFlag"/>
            <filter val="is5DayFlag"/>
            <filter val="IsBestDeal"/>
            <filter val="Isbestdealbydate"/>
            <filter val="IsBestDealFixPrice"/>
            <filter val="IsBidPrice"/>
            <filter val="ISCLAS"/>
            <filter val="IsClickAndCollect"/>
            <filter val="ISCloseJob"/>
            <filter val="IsComponent"/>
            <filter val="IsConCatName"/>
            <filter val="IsConsignment"/>
            <filter val="IsConsumerProtection"/>
            <filter val="IsDefault"/>
            <filter val="IsDeliver"/>
            <filter val="IsDeliveryFee"/>
            <filter val="ISDEPT"/>
            <filter val="IsEditOrderGov"/>
            <filter val="IsEditPO"/>
            <filter val="IsEtax"/>
            <filter val="IsFree"/>
            <filter val="IsGenBill"/>
            <filter val="IsGenCoupon"/>
            <filter val="IsHamper"/>
            <filter val="IsHasExpiryDate"/>
            <filter val="IsHouseBrands"/>
            <filter val="IsImport"/>
            <filter val="IsInnerBox"/>
            <filter val="IsMainLinkDoc"/>
            <filter val="IsMove"/>
            <filter val="IsMove_Drop"/>
            <filter val="IsMoveFinish"/>
            <filter val="IsNonStock"/>
            <filter val="IsOffline"/>
            <filter val="IsOffset"/>
            <filter val="IsOFMDelivery"/>
            <filter val="IsOnline"/>
            <filter val="IsOnProcessCM"/>
            <filter val="IsOnShop"/>
            <filter val="IsOuterBox"/>
            <filter val="IsOwnBrand"/>
            <filter val="IsPaymentOnline"/>
            <filter val="IsPiece"/>
            <filter val="ISPOST"/>
            <filter val="IsPromotion"/>
            <filter val="IsPureCat"/>
            <filter val="IsRawMaterial"/>
            <filter val="IsReqDetl"/>
            <filter val="IsRequestPaperEtax"/>
            <filter val="IsRequireJob"/>
            <filter val="IsReturnToVendor"/>
            <filter val="IsRevisePO"/>
            <filter val="IsSameDayDeli"/>
            <filter val="IsSettled"/>
            <filter val="IsShowOnDoc"/>
            <filter val="IsSkip"/>
            <filter val="IsSpare"/>
            <filter val="isStartDay"/>
            <filter val="isStartPeriod"/>
            <filter val="isStEnDay"/>
            <filter val="isStEnPeriod"/>
            <filter val="IsStockMove"/>
            <filter val="IsThaiPost"/>
            <filter val="IsUploadEDI"/>
            <filter val="IsVat"/>
            <filter val="IsVerify"/>
            <filter val="item_deliveryfee"/>
            <filter val="item_deliveryfee_old"/>
            <filter val="IUCode"/>
            <filter val="JobNo"/>
            <filter val="JoinID"/>
            <filter val="KeyJoinProduct"/>
            <filter val="KeyRelateProduct"/>
            <filter val="KeyReplaceProduct"/>
            <filter val="Keyword"/>
            <filter val="last_credit_amt"/>
            <filter val="last_credit_date"/>
            <filter val="last_credit_doc"/>
            <filter val="last_debit_amt"/>
            <filter val="last_debit_date"/>
            <filter val="last_debit_doc"/>
            <filter val="last_login"/>
            <filter val="last_purchase_date"/>
            <filter val="last_update"/>
            <filter val="last_update_ship"/>
            <filter val="lastactive_onweb"/>
            <filter val="LastAdjInDate"/>
            <filter val="LastAdjOutDate"/>
            <filter val="LastDocNo"/>
            <filter val="LastPurDate"/>
            <filter val="LastRcvCost"/>
            <filter val="LastRcvDate"/>
            <filter val="LastRptSlibDate"/>
            <filter val="LastRTVDate"/>
            <filter val="LastSaleDate"/>
            <filter val="LastSaleReturnDate"/>
            <filter val="LastSettledDate"/>
            <filter val="LastSupplierDisc"/>
            <filter val="LastSupplierID"/>
            <filter val="LastTransferInDate"/>
            <filter val="LastTransferOutDate"/>
            <filter val="LastUpdate"/>
            <filter val="LastUpdateBy"/>
            <filter val="LastUpdatePrice"/>
            <filter val="latitude"/>
            <filter val="LeadTime"/>
            <filter val="LeadTimeEnd"/>
            <filter val="LeadTimeStart"/>
            <filter val="Lenght"/>
            <filter val="LengthInner"/>
            <filter val="LengthOuter"/>
            <filter val="LengthPiece"/>
            <filter val="limit_quota"/>
            <filter val="limit_stock"/>
            <filter val="limit_value"/>
            <filter val="LimitOrderMax"/>
            <filter val="LimitOrderMin"/>
            <filter val="LinkDatawarehouse"/>
            <filter val="LinkDatawarehouse2"/>
            <filter val="LinkDoc"/>
            <filter val="LinkERP"/>
            <filter val="LinkTMS"/>
            <filter val="LocalName"/>
            <filter val="LocationID"/>
            <filter val="LocationRUID"/>
            <filter val="lock_telesale_flag"/>
            <filter val="LockReason"/>
            <filter val="LockStatus"/>
            <filter val="log_id"/>
            <filter val="longitude"/>
            <filter val="lot_no"/>
            <filter val="MainZone"/>
            <filter val="MainZoneBillChq"/>
            <filter val="MakeToOrder"/>
            <filter val="manager_id"/>
            <filter val="margin_cost"/>
            <filter val="margin_grade"/>
            <filter val="margin_percent"/>
            <filter val="MatchPrepaidDate"/>
            <filter val="MAX_AGING"/>
            <filter val="max_amt"/>
            <filter val="max_order_value"/>
            <filter val="max_qty"/>
            <filter val="MaxQty"/>
            <filter val="MaxQtyFulfill"/>
            <filter val="MIN_AGING"/>
            <filter val="min_order_value"/>
            <filter val="MinAmt"/>
            <filter val="MiniPageNo"/>
            <filter val="MiniPeiord"/>
            <filter val="MinOrder"/>
            <filter val="MinQty"/>
            <filter val="MinQtyFulfill"/>
            <filter val="MiscAmt"/>
            <filter val="MiscCurrAmt"/>
            <filter val="mo_no"/>
            <filter val="mo_status"/>
            <filter val="mr_id"/>
            <filter val="mr_name"/>
            <filter val="MRPoint"/>
            <filter val="Nature"/>
            <filter val="net_amt"/>
            <filter val="net_amt_old"/>
            <filter val="net_deliveryfee"/>
            <filter val="net_deliveryfee_excvat"/>
            <filter val="NetAmt"/>
            <filter val="NetDeliveryFee"/>
            <filter val="NetDeliveryFeeExcVat"/>
            <filter val="NetUnitPrice"/>
            <filter val="NetVatAmt"/>
            <filter val="new_item_flag"/>
            <filter val="new_product_id"/>
            <filter val="NewCNPrice"/>
            <filter val="NextDate"/>
            <filter val="NextDate_Temp"/>
            <filter val="NextPeriod"/>
            <filter val="NonDefinedAmt"/>
            <filter val="NonstockQty"/>
            <filter val="nonvat_prod_amt_incvat"/>
            <filter val="nonvat_prod_net_amt"/>
            <filter val="NonVatProdNetAmt"/>
            <filter val="NonVatProductAmountIncVat"/>
            <filter val="NoOfPV"/>
            <filter val="num"/>
            <filter val="num_of_rule"/>
            <filter val="NumOfBagNormal"/>
            <filter val="NumOfBagSpecial"/>
            <filter val="NumOfBoxNormal"/>
            <filter val="NumOfBoxSpecial"/>
            <filter val="NumOfStar"/>
            <filter val="obsoleteflag"/>
            <filter val="ObsoleteFlag_JDA"/>
            <filter val="ObsoleteFlag_OFM"/>
            <filter val="OffsetRefno"/>
            <filter val="OFinActCode"/>
            <filter val="OFINForCFS"/>
            <filter val="OFINForCPCID"/>
            <filter val="OFinForSubAct"/>
            <filter val="OFINType"/>
            <filter val="ofm_absorb"/>
            <filter val="ofm_emp_id"/>
            <filter val="OldIncVatPrice"/>
            <filter val="on_hand"/>
            <filter val="on_ic"/>
            <filter val="on_sale"/>
            <filter val="Onhand"/>
            <filter val="OnhandBU"/>
            <filter val="online_call_back_flag"/>
            <filter val="OnOrderQty"/>
            <filter val="OnPIC"/>
            <filter val="OnPLT"/>
            <filter val="OnPRU"/>
            <filter val="OnPW"/>
            <filter val="OnRD"/>
            <filter val="OnRT"/>
            <filter val="OnSale"/>
            <filter val="Oppositecode"/>
            <filter val="OptionType"/>
            <filter val="OrdDeliverFee"/>
            <filter val="order_deliveryfee"/>
            <filter val="order_deliveryfee_old"/>
            <filter val="order_type"/>
            <filter val="OrderApproveLevel"/>
            <filter val="OrderPickupType"/>
            <filter val="OrderType"/>
            <filter val="original_credit_amt"/>
            <filter val="oth_disc_amt"/>
            <filter val="oth_disc_amt_incvat"/>
            <filter val="oth_disc_rate"/>
            <filter val="oth_item_disc_amt_excvat"/>
            <filter val="oth_item_disc_amt_incvat"/>
            <filter val="oth_item_disc_rate"/>
            <filter val="OthDiscAmt"/>
            <filter val="OthDiscAmtIncVat"/>
            <filter val="OthDiscRate"/>
            <filter val="OthItemDiscAmt"/>
            <filter val="OthItemDiscAmtIncVat"/>
            <filter val="OthItemDiscRate"/>
            <filter val="OverpayDocNo"/>
            <filter val="OverPayment"/>
            <filter val="owner_department"/>
            <filter val="owner_id"/>
            <filter val="owner_name"/>
            <filter val="owner_status"/>
            <filter val="OwnerAccount"/>
            <filter val="OwnerFg"/>
            <filter val="Page"/>
            <filter val="pay_amt"/>
            <filter val="pay_success"/>
            <filter val="PayDate"/>
            <filter val="payment_code"/>
            <filter val="payment_disc_amt_excvat"/>
            <filter val="payment_disc_amt_incvat"/>
            <filter val="payment_item_disc_amt_excvat"/>
            <filter val="payment_item_disc_amt_incvat"/>
            <filter val="payment_name"/>
            <filter val="payment_slip_flag"/>
            <filter val="payment_term"/>
            <filter val="payment_type"/>
            <filter val="PaymentCode"/>
            <filter val="PaymentDiscAmt"/>
            <filter val="PaymentDiscAmtIncVat"/>
            <filter val="PaymentDiscount"/>
            <filter val="PaymentGroup"/>
            <filter val="PaymentID"/>
            <filter val="PaymentName"/>
            <filter val="PaymentReturnDoc"/>
            <filter val="PaymentStatus"/>
            <filter val="PaymentType"/>
            <filter val="PaymentTypeCode"/>
            <filter val="Payterm"/>
            <filter val="PayTo"/>
            <filter val="pBrandImage"/>
            <filter val="pBrandPromotion"/>
            <filter val="pCatEName"/>
            <filter val="pCatID"/>
            <filter val="pCatName"/>
            <filter val="pCatOrder"/>
            <filter val="pCatShortName"/>
            <filter val="PCLID"/>
            <filter val="PGSeqNo"/>
            <filter val="PGSubSeqNo"/>
            <filter val="pickup_qty"/>
            <filter val="PickUpQty"/>
            <filter val="pid"/>
            <filter val="PidBU"/>
            <filter val="PidOD"/>
            <filter val="PName"/>
            <filter val="PO"/>
            <filter val="po_complete_status"/>
            <filter val="po_no"/>
            <filter val="po_remark"/>
            <filter val="POAmt"/>
            <filter val="PoDate"/>
            <filter val="PoNo"/>
            <filter val="PoRemark"/>
            <filter val="Postcode"/>
            <filter val="PostStatus"/>
            <filter val="premium_desc"/>
            <filter val="premium_id"/>
            <filter val="Prepaid"/>
            <filter val="Prepaidamt"/>
            <filter val="Price"/>
            <filter val="price_disc_incvat"/>
            <filter val="price_disc_incvat_old"/>
            <filter val="price_excvat"/>
            <filter val="price_excvat_old"/>
            <filter val="price_excvat_recalpro"/>
            <filter val="price_incvat"/>
            <filter val="price_incvat_old"/>
            <filter val="price_type"/>
            <filter val="privacy_status"/>
            <filter val="ProdAging"/>
            <filter val="ProdBarcode"/>
            <filter val="ProdELDesc"/>
            <filter val="ProdEName"/>
            <filter val="ProdESDesc"/>
            <filter val="ProdEunit"/>
            <filter val="ProdPackDesc"/>
            <filter val="ProdRateDesc"/>
            <filter val="ProdRemark"/>
            <filter val="prodstatus"/>
            <filter val="ProdTDName"/>
            <filter val="ProdTLDesc"/>
            <filter val="ProdTLName"/>
            <filter val="ProdTName"/>
            <filter val="ProdTSDesc"/>
            <filter val="ProdTSHHName"/>
            <filter val="ProdTSName"/>
            <filter val="ProdTUnit"/>
            <filter val="ProdType"/>
            <filter val="product_condition"/>
            <filter val="product_data"/>
            <filter val="product_id"/>
            <filter val="product_name"/>
            <filter val="product_name_old"/>
            <filter val="product_source"/>
            <filter val="product_special_flag"/>
            <filter val="product_special_upload"/>
            <filter val="product_status"/>
            <filter val="product_type"/>
            <filter val="product_unit"/>
            <filter val="ProductGroupID"/>
            <filter val="ProductLine"/>
            <filter val="ProductName"/>
            <filter val="productName1"/>
            <filter val="ProdUnitType"/>
            <filter val="ProgType"/>
            <filter val="project_name"/>
            <filter val="promo_disc_amt_excvat"/>
            <filter val="promo_disc_amt_incvat"/>
            <filter val="promo_item_disc_amt_excvat"/>
            <filter val="promo_item_disc_amt_incvat"/>
            <filter val="PromoActCode"/>
            <filter val="PromoDiscAmt"/>
            <filter val="PromoDiscAmtIncVat"/>
            <filter val="PromoItemDiscAmt"/>
            <filter val="PromoItemDiscAmtIncVat"/>
            <filter val="promotion_con_id"/>
            <filter val="promotion_con_name"/>
            <filter val="promotion_desc"/>
            <filter val="promotion_flag"/>
            <filter val="promotion_no"/>
            <filter val="PromotionCost"/>
            <filter val="PromotionCostEndDate"/>
            <filter val="PromotionCostStartDate"/>
            <filter val="PromotionDesc"/>
            <filter val="PromotionEndDate"/>
            <filter val="PromotionFlag"/>
            <filter val="PromotionID"/>
            <filter val="PromotionName"/>
            <filter val="PromotionPageNo"/>
            <filter val="PromotionPeiord"/>
            <filter val="PromotionPriceExVat"/>
            <filter val="PromotionPriceIncVat"/>
            <filter val="PromotionRemark"/>
            <filter val="PromotionStartDate"/>
            <filter val="PromtFg"/>
            <filter val="prospect_id"/>
            <filter val="ProviderType"/>
            <filter val="Province"/>
            <filter val="ProvinceEN"/>
            <filter val="ProvinceEname"/>
            <filter val="ProvinceID"/>
            <filter val="ProvinceName"/>
            <filter val="ProvinceType"/>
            <filter val="PROVISION_RATE"/>
            <filter val="pSalePrice"/>
            <filter val="pSalePriceIncVat"/>
            <filter val="pSubCatDesc"/>
            <filter val="pSubCatEName"/>
            <filter val="pSubCatID"/>
            <filter val="pSubCatName"/>
            <filter val="pSubCatShortName"/>
            <filter val="PTrmDay"/>
            <filter val="pUnit"/>
            <filter val="PurchasePrice"/>
            <filter val="PurchaseRatio"/>
            <filter val="PurchaseUnit"/>
            <filter val="purCostAftDisc"/>
            <filter val="purCostBefDisc"/>
            <filter val="PurQty"/>
            <filter val="PurUnit"/>
            <filter val="PV"/>
            <filter val="PVdate"/>
            <filter val="QCFlag"/>
            <filter val="QCProdNormal"/>
            <filter val="QCProdSpecial"/>
            <filter val="QCRemark"/>
            <filter val="QcStatus"/>
            <filter val="qr_create_date"/>
            <filter val="qr_expire_date"/>
            <filter val="qr_pay_date"/>
            <filter val="qr_uid"/>
            <filter val="qty"/>
            <filter val="qty_disc_amt_excvat"/>
            <filter val="qty_disc_amt_incvat"/>
            <filter val="qty_item_disc_amt_excvat"/>
            <filter val="qty_item_disc_amt_incvat"/>
            <filter val="qty_old"/>
            <filter val="QtyFullFill"/>
            <filter val="Quadrant"/>
            <filter val="Quantity"/>
            <filter val="ratio"/>
            <filter val="rcp_create_date"/>
            <filter val="rcp_no"/>
            <filter val="rcp_print_flag"/>
            <filter val="RCPPrintFlag"/>
            <filter val="RcvDate"/>
            <filter val="RcvDateDefault"/>
            <filter val="RcvQty"/>
            <filter val="RcvZone"/>
            <filter val="ReAmount"/>
            <filter val="Reason"/>
            <filter val="ReasonFrom"/>
            <filter val="ReasonOf"/>
            <filter val="ReasonType"/>
            <filter val="Rebate"/>
            <filter val="RebateRemark"/>
            <filter val="ReceiptDate"/>
            <filter val="ReceiptNo"/>
            <filter val="receive_order_online"/>
            <filter val="RecType"/>
            <filter val="redeem_amt"/>
            <filter val="redeem_cash"/>
            <filter val="redeem_point"/>
            <filter val="redeem_point_rate"/>
            <filter val="RedeemAmt"/>
            <filter val="RedeemCash"/>
            <filter val="RedeemPoint"/>
            <filter val="RedeemPointRate"/>
            <filter val="ref_prepaid_no"/>
            <filter val="ref_uniqe_id"/>
            <filter val="RefDate"/>
            <filter val="reference_id"/>
            <filter val="ReferenceNo"/>
            <filter val="ReferenceNo1"/>
            <filter val="RefFulfill"/>
            <filter val="RefInvNo"/>
            <filter val="RefNetAmt"/>
            <filter val="RefNo"/>
            <filter val="RefRSINo"/>
            <filter val="RefSeq"/>
            <filter val="RefTotAmt"/>
            <filter val="RefVatAmt"/>
            <filter val="register_channel"/>
            <filter val="register_id"/>
            <filter val="reject_flag"/>
            <filter val="reject_remark"/>
            <filter val="remark"/>
            <filter val="RemarkJobNo"/>
            <filter val="RemarkOFIN"/>
            <filter val="RemarkPrice"/>
            <filter val="reminder_date"/>
            <filter val="reminder_detail"/>
            <filter val="reminder_status"/>
            <filter val="ReminderRemark"/>
            <filter val="Rent"/>
            <filter val="RentDate"/>
            <filter val="ReptClass"/>
            <filter val="reptsale_id"/>
            <filter val="ReptSaleID"/>
            <filter val="request_by"/>
            <filter val="request_etax_flag"/>
            <filter val="request_name"/>
            <filter val="request_paper_etax_flag"/>
            <filter val="request_phoneno"/>
            <filter val="RequestType"/>
            <filter val="require_otp"/>
            <filter val="require_qty"/>
            <filter val="Reserve"/>
            <filter val="reserve_sale_channel_id"/>
            <filter val="RetAmt"/>
            <filter val="RetQty"/>
            <filter val="return_catalog_remark"/>
            <filter val="ReturnCriteria"/>
            <filter val="ReturnCriteriaRemark"/>
            <filter val="ReturnDate"/>
            <filter val="RevisePODate"/>
            <filter val="RptSlipAmt"/>
            <filter val="RptSlipCurAmt"/>
            <filter val="RSINo"/>
            <filter val="RVNo"/>
            <filter val="S_CLS_NAME"/>
            <filter val="S_DPT_NAME"/>
            <filter val="sAddrAmphur"/>
            <filter val="sAddrBuilding"/>
            <filter val="sAddrFloor"/>
            <filter val="sAddrNo"/>
            <filter val="sAddrProvince"/>
            <filter val="sAddrRoad"/>
            <filter val="sAddrSoi"/>
            <filter val="sAddrTumbon"/>
            <filter val="sAddrVillage"/>
            <filter val="sAddrZipCode"/>
            <filter val="sale_channel_group"/>
            <filter val="sale_channel_status"/>
            <filter val="sale_credit_flag"/>
            <filter val="sale_credit_store_flag"/>
            <filter val="sale_credit_store_remark"/>
            <filter val="sale_method_id"/>
            <filter val="sale_method_name"/>
            <filter val="sale_method_status"/>
            <filter val="sale_remark"/>
            <filter val="sale_unit"/>
            <filter val="sale_unit_old"/>
            <filter val="SaleChannel"/>
            <filter val="SaleChannelID"/>
            <filter val="saleforce_campaign_id"/>
            <filter val="saleforce_id"/>
            <filter val="SalemanCode"/>
            <filter val="SaleMethod"/>
            <filter val="SaleMethodID"/>
            <filter val="SaleMethodName"/>
            <filter val="SaleOption"/>
            <filter val="SalePriceExVat"/>
            <filter val="SalePriceIncVat"/>
            <filter val="SaleUnit"/>
            <filter val="sAuthComm"/>
            <filter val="sAuthEMailAddr"/>
            <filter val="sAuthFax"/>
            <filter val="sAuthName"/>
            <filter val="sAuthPhone"/>
            <filter val="sAuthPhoneExt"/>
            <filter val="sAuthPosition"/>
            <filter val="sBusinessTypeID"/>
            <filter val="scan_po_flag"/>
            <filter val="sContactorName"/>
            <filter val="sDiscountRate1"/>
            <filter val="sDiscountRate2"/>
            <filter val="sDiscountRate3"/>
            <filter val="Segment"/>
            <filter val="segment_id"/>
            <filter val="segment_name"/>
            <filter val="seller_po"/>
            <filter val="seller_po_status"/>
            <filter val="sEmail"/>
            <filter val="sEMailAddr"/>
            <filter val="send_catalog_flag"/>
            <filter val="send_magazine_flag"/>
            <filter val="send_magazine_ship"/>
            <filter val="send_newsletter_flag"/>
            <filter val="sEngName"/>
            <filter val="Seq"/>
            <filter val="seq_no"/>
            <filter val="Seqno"/>
            <filter val="SeriesENG"/>
            <filter val="SeriesID"/>
            <filter val="SeriesID_Old"/>
            <filter val="SeriesTH"/>
            <filter val="ServiceId"/>
            <filter val="ServiceJobType"/>
            <filter val="ServiceName"/>
            <filter val="settledamt"/>
            <filter val="SettledCurAmt"/>
            <filter val="SettleInvNo"/>
            <filter val="SettleReferenceNo"/>
            <filter val="sf_id"/>
            <filter val="sFaxArea"/>
            <filter val="sFaxComm"/>
            <filter val="sFaxExt"/>
            <filter val="sFaxNo"/>
            <filter val="sFaxOth"/>
            <filter val="sFirstSaleDate"/>
            <filter val="ship_address_1"/>
            <filter val="ship_address_2"/>
            <filter val="ship_address_3"/>
            <filter val="ship_address_4"/>
            <filter val="ship_address_no"/>
            <filter val="ship_address_other"/>
            <filter val="ship_area"/>
            <filter val="ship_attach_bill_flag"/>
            <filter val="ship_attach_po_flag"/>
            <filter val="ship_building"/>
            <filter val="ship_building_id"/>
            <filter val="ship_contact"/>
            <filter val="ship_default_flag"/>
            <filter val="ship_deliveryfee_flag"/>
            <filter val="ship_district"/>
            <filter val="ship_district_eng"/>
            <filter val="ship_edit_flag"/>
            <filter val="ship_email"/>
            <filter val="ship_faxno"/>
            <filter val="ship_floor"/>
            <filter val="ship_id"/>
            <filter val="ship_latitude"/>
            <filter val="ship_longitude"/>
            <filter val="ship_mobileno"/>
            <filter val="ship_moo"/>
            <filter val="ship_phone_extension"/>
            <filter val="ship_phoneno"/>
            <filter val="ship_poi"/>
            <filter val="ship_poi_id"/>
            <filter val="ship_province"/>
            <filter val="ship_province_eng"/>
            <filter val="ship_remark"/>
            <filter val="ship_require_approve_flag"/>
            <filter val="ship_room_no"/>
            <filter val="ship_soi"/>
            <filter val="ship_status"/>
            <filter val="ship_street"/>
            <filter val="ship_sub_area"/>
            <filter val="ship_subdistrict"/>
            <filter val="ship_subdistrict_eng"/>
            <filter val="ship_type"/>
            <filter val="ship_with_bill_flag"/>
            <filter val="ship_zipcode"/>
            <filter val="ShipAddr1"/>
            <filter val="ShipAddr2"/>
            <filter val="ShipAddr3"/>
            <filter val="ShipAddr4"/>
            <filter val="ShipAddr5"/>
            <filter val="ShipContactor"/>
            <filter val="ShipFaxNo"/>
            <filter val="ShipPhoneNo"/>
            <filter val="ShippingGroup"/>
            <filter val="ShippingRemark"/>
            <filter val="ShippingSeqNo"/>
            <filter val="ShippingStatus"/>
            <filter val="ShippingSubGroup"/>
            <filter val="ShipProvince"/>
            <filter val="ShipWithBill"/>
            <filter val="ShipWithPO"/>
            <filter val="ShipZipCode"/>
            <filter val="ShortProvince"/>
            <filter val="sInvAddr1"/>
            <filter val="sInvAddr2"/>
            <filter val="sInvAddr3"/>
            <filter val="sInvAddr4"/>
            <filter val="sInvAddr5"/>
            <filter val="SkipToDate"/>
            <filter val="SKUCode"/>
            <filter val="SKUCodeOFM"/>
            <filter val="SKUJDA"/>
            <filter val="SKUType"/>
            <filter val="sLastSaleDate"/>
            <filter val="sLoadAddr1"/>
            <filter val="sLoadAddr2"/>
            <filter val="sLoadAddr3"/>
            <filter val="sLoadAddr4"/>
            <filter val="sLoadFaxNo"/>
            <filter val="sLoadPhoneNo1"/>
            <filter val="sLoadPhoneNo2"/>
            <filter val="sLoadZipcode"/>
            <filter val="sLocalName"/>
            <filter val="sManageID"/>
            <filter val="sManageName"/>
            <filter val="sMobileNo"/>
            <filter val="so_date"/>
            <filter val="so_no"/>
            <filter val="SoDate"/>
            <filter val="Soi"/>
            <filter val="SoNo"/>
            <filter val="source_order"/>
            <filter val="source_system"/>
            <filter val="SourceOrder"/>
            <filter val="SourcePO"/>
            <filter val="SourcePV"/>
            <filter val="sPaymentCode"/>
            <filter val="sPaymentDay"/>
            <filter val="sPaymentName"/>
            <filter val="spaymenttype"/>
            <filter val="sPayMethod"/>
            <filter val="SpaytypeCode"/>
            <filter val="spaytypeName"/>
            <filter val="sPhoneArea"/>
            <filter val="sPhoneExt"/>
            <filter val="sPhoneNo"/>
            <filter val="sPhoneNo1"/>
            <filter val="sPhoneNo2"/>
            <filter val="sPhoneOth"/>
            <filter val="sPhoneRefNo"/>
            <filter val="sPosition"/>
            <filter val="sRefType"/>
            <filter val="sSeqNo"/>
            <filter val="SSONo"/>
            <filter val="sStatus"/>
            <filter val="sSuffixID"/>
            <filter val="sSuffixName"/>
            <filter val="sSuppGrpID"/>
            <filter val="sSupplierID"/>
            <filter val="sSupplierIDB2S"/>
            <filter val="sSupplierIDOD"/>
            <filter val="sSupplierName"/>
            <filter val="startdate"/>
            <filter val="status"/>
            <filter val="sTaxID"/>
            <filter val="sTitleID"/>
            <filter val="sTitleName"/>
            <filter val="stock_qty"/>
            <filter val="StockChannelReserveID"/>
            <filter val="store_address_1"/>
            <filter val="store_address_2"/>
            <filter val="store_address_3"/>
            <filter val="store_address_4"/>
            <filter val="store_branch_id"/>
            <filter val="store_branch_name"/>
            <filter val="store_branch_status"/>
            <filter val="store_branch_type"/>
            <filter val="store_contact"/>
            <filter val="store_direction"/>
            <filter val="store_district"/>
            <filter val="store_district_name"/>
            <filter val="store_faxno"/>
            <filter val="store_google_map"/>
            <filter val="store_image_large"/>
            <filter val="store_image_small"/>
            <filter val="store_jv"/>
            <filter val="store_latitude"/>
            <filter val="store_line_oa"/>
            <filter val="store_longtitude"/>
            <filter val="store_mobileno"/>
            <filter val="store_name"/>
            <filter val="store_name_thai"/>
            <filter val="store_no"/>
            <filter val="store_oracle_id"/>
            <filter val="store_phoneno"/>
            <filter val="store_province"/>
            <filter val="store_status"/>
            <filter val="store_subdistrict"/>
            <filter val="store_time_service"/>
            <filter val="store_type"/>
            <filter val="store_zipcode"/>
            <filter val="StoreID"/>
            <filter val="StoreName"/>
            <filter val="Street"/>
            <filter val="sub_cat_id"/>
            <filter val="sub_class"/>
            <filter val="SUB_CLS"/>
            <filter val="SUB_CLSS_NAME"/>
            <filter val="SUB_DEPT_NAME"/>
            <filter val="SUB_DPT"/>
            <filter val="sub_wh_id"/>
            <filter val="sub_wh_name"/>
            <filter val="SubAreaCode"/>
            <filter val="SUBCAT_ID"/>
            <filter val="SubCatID"/>
            <filter val="subsidiaries_id"/>
            <filter val="SubsidiariesID"/>
            <filter val="SubWHID"/>
            <filter val="Subzone"/>
            <filter val="suggest_price_excvat"/>
            <filter val="suggest_price_incvat"/>
            <filter val="supplier_id"/>
            <filter val="SupplierID"/>
            <filter val="supplierName"/>
            <filter val="sVatRate"/>
            <filter val="sWebsite"/>
            <filter val="SystemDate"/>
            <filter val="t1c_benefit"/>
            <filter val="t1c_card_no"/>
            <filter val="t1c_edit_flag"/>
            <filter val="t1c_no"/>
            <filter val="t1c_redeem_no"/>
            <filter val="t1c_ref_no"/>
            <filter val="T1CardNo"/>
            <filter val="T1CRedeemCardNo"/>
            <filter val="T1CRefNo"/>
            <filter val="TaxID"/>
            <filter val="TaxRunningNo"/>
            <filter val="team_id"/>
            <filter val="team_name"/>
            <filter val="TeamID"/>
            <filter val="telesale_id"/>
            <filter val="telesale_name"/>
            <filter val="TeleSaleID"/>
            <filter val="TeleSaleName"/>
            <filter val="TermCode"/>
            <filter val="third_party_flag"/>
            <filter val="third_party_system"/>
            <filter val="title_abbreviation"/>
            <filter val="title_desc"/>
            <filter val="title_id"/>
            <filter val="title_type"/>
            <filter val="total_amt"/>
            <filter val="total_amt_excvat"/>
            <filter val="total_amt_excvat_recalpro"/>
            <filter val="total_amt_incvat"/>
            <filter val="total_credit_used"/>
            <filter val="total_incvat_original"/>
            <filter val="total_promo_item_disc_excvat"/>
            <filter val="total_promo_item_disc_incvat"/>
            <filter val="total_voucher_item_disc_excvat"/>
            <filter val="total_voucher_item_disc_incvat"/>
            <filter val="TotalAmountIncVat"/>
            <filter val="TotalLabelFurniture"/>
            <filter val="TotalLabelHighvalueitem"/>
            <filter val="TotalLabelLargeitem"/>
            <filter val="TotalLabellUnshapeditem"/>
            <filter val="TotalLabelSmallitem"/>
            <filter val="TotalPromoItemDiscAmt"/>
            <filter val="TotalPromoItemDiscAmtIncVat"/>
            <filter val="TotalVoucherItemDiscAmt"/>
            <filter val="TotalVoucherItemDiscAmtIncVat"/>
            <filter val="TotAmt"/>
            <filter val="TranAmt"/>
            <filter val="TranChrgZone"/>
            <filter val="TranCurAmt"/>
            <filter val="Trandate"/>
            <filter val="TranPrvStatus"/>
            <filter val="transfer_doc_flag"/>
            <filter val="TransferDocNo"/>
            <filter val="TranStatus"/>
            <filter val="TranType"/>
            <filter val="TranType1"/>
            <filter val="TranType2"/>
            <filter val="TrnDate"/>
            <filter val="trndate_Cal_Aging"/>
            <filter val="TrnFg"/>
            <filter val="TrnType"/>
            <filter val="TrnxNo"/>
            <filter val="TruckNo"/>
            <filter val="TSIC_Code"/>
            <filter val="TSIC_Eng"/>
            <filter val="TSIC_Group"/>
            <filter val="TSIC_Thai"/>
            <filter val="Type"/>
            <filter val="Unit"/>
            <filter val="UnitInner"/>
            <filter val="UnitOuter"/>
            <filter val="UnitPiece"/>
            <filter val="UnitPrice"/>
            <filter val="UnitPriceIncVat"/>
            <filter val="UnitShortInner"/>
            <filter val="UnitShortOuter"/>
            <filter val="UnitShortPiece"/>
            <filter val="UNSPSC"/>
            <filter val="UOMInner"/>
            <filter val="UOMOuter"/>
            <filter val="UOMPiece"/>
            <filter val="update_flag"/>
            <filter val="UpdateBy"/>
            <filter val="UpdateByName"/>
            <filter val="UpdateName"/>
            <filter val="updateon"/>
            <filter val="upload_by"/>
            <filter val="upload_date"/>
            <filter val="upload_epro_by"/>
            <filter val="upload_epro_date"/>
            <filter val="upload_epro_flag"/>
            <filter val="upload_epro_name"/>
            <filter val="upload_flag"/>
            <filter val="upload_name"/>
            <filter val="UploadType"/>
            <filter val="use_onebox_flag"/>
            <filter val="used_account_id"/>
            <filter val="used_branch"/>
            <filter val="used_sale_order_no"/>
            <filter val="used_stock"/>
            <filter val="UseGroup"/>
            <filter val="UsePaymentSlip"/>
            <filter val="user_level"/>
            <filter val="vat"/>
            <filter val="vat_amt"/>
            <filter val="vat_amt_old"/>
            <filter val="vat_amt_recalpro"/>
            <filter val="vat_fix"/>
            <filter val="vat_flag"/>
            <filter val="vat_old"/>
            <filter val="vat_prod_amt_excvat"/>
            <filter val="vat_prod_amt_incvat"/>
            <filter val="vat_prod_net_amt"/>
            <filter val="vat_prod_net_amt_deliveryfee_excvat"/>
            <filter val="VatAmt"/>
            <filter val="VatCurAmt"/>
            <filter val="VatDate"/>
            <filter val="VatDefault"/>
            <filter val="VatDocNo"/>
            <filter val="VatFlag"/>
            <filter val="VatInvNo"/>
            <filter val="VatProdNetAmt"/>
            <filter val="VatProdNetAmtDeliveryFeeExcVat"/>
            <filter val="VatProductAmountIncVat"/>
            <filter val="VatRate"/>
            <filter val="VatRemark"/>
            <filter val="VatType"/>
            <filter val="VchAuto"/>
            <filter val="VchClass"/>
            <filter val="VchCode"/>
            <filter val="VchEngDesc"/>
            <filter val="VchLocalDesc"/>
            <filter val="VchNo"/>
            <filter val="VchSeqn"/>
            <filter val="VchStatus"/>
            <filter val="vendor_absorb"/>
            <filter val="VendorID"/>
            <filter val="VendorType"/>
            <filter val="voucher_disc_amt_excvat"/>
            <filter val="voucher_disc_amt_incvat"/>
            <filter val="voucher_item_disc_amt_excvat"/>
            <filter val="voucher_item_disc_amt_incvat"/>
            <filter val="voucher_no"/>
            <filter val="voucher_type"/>
            <filter val="VoucherDiscAmt"/>
            <filter val="VoucherDiscAmtIncVat"/>
            <filter val="VoucherItemDiscAmt"/>
            <filter val="VoucherItemDiscAmtIncVat"/>
            <filter val="VoucherNo"/>
            <filter val="VoucherType"/>
            <filter val="W"/>
            <filter val="WareHouseDBName"/>
            <filter val="WarehouseIP"/>
            <filter val="Warranty"/>
            <filter val="web_order_id"/>
            <filter val="WebOrderID"/>
            <filter val="Weight"/>
            <filter val="WeightInner"/>
            <filter val="WeightOuter"/>
            <filter val="WeightPiece"/>
            <filter val="wh_id"/>
            <filter val="wh_name"/>
            <filter val="WHAckStatus"/>
            <filter val="WHAddress1"/>
            <filter val="WHAddress2"/>
            <filter val="WHAddress3"/>
            <filter val="WHAddress4"/>
            <filter val="WHAmount"/>
            <filter val="WHContactname"/>
            <filter val="WHCurAmt"/>
            <filter val="WHdate"/>
            <filter val="WHDistrict"/>
            <filter val="WHFaxNo"/>
            <filter val="WHID"/>
            <filter val="WHIsdefault"/>
            <filter val="WHName"/>
            <filter val="WHPhoneNo"/>
            <filter val="WHProvince"/>
            <filter val="WHSoi"/>
            <filter val="WHStreet"/>
            <filter val="WHSubDistrict"/>
            <filter val="WhyCreateDesc"/>
            <filter val="WhyCreateNo"/>
            <filter val="WHZipCode"/>
            <filter val="Width"/>
            <filter val="WidthInner"/>
            <filter val="WidthOuter"/>
            <filter val="WidthPiece"/>
            <filter val="work_date"/>
            <filter val="work_time"/>
            <filter val="WorkingDay"/>
            <filter val="Ymdata"/>
            <filter val="ZoneA"/>
            <filter val="ZoneB"/>
            <filter val="ZoneC"/>
            <filter val="ZoneD"/>
          </filters>
        </filterColumn>
      </autoFilter>
    </customSheetView>
    <customSheetView guid="{A0CA8EE6-C3FD-483E-B827-5E17CF54F8CF}" filter="1" showAutoFilter="1">
      <pageMargins left="0.7" right="0.7" top="0.75" bottom="0.75" header="0.3" footer="0.3"/>
      <autoFilter ref="A1:K3350" xr:uid="{CB5C29B7-D776-2F4E-BA86-166304F184D2}"/>
    </customSheetView>
    <customSheetView guid="{E96974DA-9B5B-461A-B8C1-DC954E19D43B}" filter="1" showAutoFilter="1">
      <pageMargins left="0.7" right="0.7" top="0.75" bottom="0.75" header="0.3" footer="0.3"/>
      <autoFilter ref="A1:L3350" xr:uid="{347E7724-35FB-3C49-88FE-9612F29BCB27}">
        <filterColumn colId="1">
          <filters>
            <filter val="TBSumProdMst"/>
            <filter val="cmsSupplier"/>
          </filters>
        </filterColumn>
      </autoFilter>
    </customSheetView>
  </customSheetView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O1000"/>
  <sheetViews>
    <sheetView workbookViewId="0"/>
  </sheetViews>
  <sheetFormatPr baseColWidth="10" defaultColWidth="12.6640625" defaultRowHeight="15" customHeight="1"/>
  <cols>
    <col min="1" max="1" width="10" customWidth="1"/>
    <col min="2" max="2" width="11.33203125" customWidth="1"/>
    <col min="3" max="3" width="26.83203125" customWidth="1"/>
    <col min="4" max="4" width="8.5" customWidth="1"/>
    <col min="5" max="5" width="6.33203125" customWidth="1"/>
    <col min="6" max="6" width="11.6640625" customWidth="1"/>
    <col min="7" max="7" width="9.1640625" customWidth="1"/>
    <col min="8" max="8" width="11.6640625" customWidth="1"/>
    <col min="9" max="9" width="10" customWidth="1"/>
    <col min="10" max="10" width="16.1640625" customWidth="1"/>
    <col min="11" max="11" width="12.33203125" customWidth="1"/>
    <col min="12" max="12" width="13" customWidth="1"/>
    <col min="13" max="13" width="23.5" customWidth="1"/>
    <col min="14" max="14" width="26.1640625" customWidth="1"/>
    <col min="15" max="15" width="20.6640625" customWidth="1"/>
    <col min="16" max="26" width="7.6640625" customWidth="1"/>
  </cols>
  <sheetData>
    <row r="1" spans="1:15">
      <c r="A1" s="174" t="s">
        <v>154</v>
      </c>
      <c r="B1" s="174" t="s">
        <v>155</v>
      </c>
      <c r="C1" s="174" t="s">
        <v>156</v>
      </c>
      <c r="D1" s="174" t="s">
        <v>157</v>
      </c>
      <c r="E1" s="174" t="s">
        <v>158</v>
      </c>
      <c r="F1" s="174" t="s">
        <v>3628</v>
      </c>
      <c r="G1" s="174" t="s">
        <v>3629</v>
      </c>
      <c r="H1" s="174" t="s">
        <v>3630</v>
      </c>
      <c r="I1" s="174" t="s">
        <v>3631</v>
      </c>
      <c r="J1" s="175" t="s">
        <v>163</v>
      </c>
      <c r="K1" s="176" t="s">
        <v>165</v>
      </c>
      <c r="L1" s="176" t="s">
        <v>3632</v>
      </c>
      <c r="M1" s="103" t="s">
        <v>166</v>
      </c>
      <c r="N1" s="104" t="s">
        <v>167</v>
      </c>
      <c r="O1" s="105" t="s">
        <v>168</v>
      </c>
    </row>
    <row r="2" spans="1:15">
      <c r="A2" s="133" t="s">
        <v>6</v>
      </c>
      <c r="B2" s="133" t="s">
        <v>415</v>
      </c>
      <c r="C2" s="177" t="s">
        <v>3633</v>
      </c>
      <c r="D2" s="158">
        <v>23228</v>
      </c>
      <c r="E2" s="133" t="s">
        <v>171</v>
      </c>
      <c r="F2" s="158">
        <v>30760</v>
      </c>
      <c r="G2" s="158">
        <v>30376</v>
      </c>
      <c r="H2" s="158">
        <v>280</v>
      </c>
      <c r="I2" s="158">
        <v>104</v>
      </c>
      <c r="J2" s="178" t="s">
        <v>3634</v>
      </c>
      <c r="K2" s="133" t="s">
        <v>59</v>
      </c>
      <c r="M2" s="98" t="s">
        <v>3635</v>
      </c>
      <c r="N2" s="98" t="s">
        <v>3636</v>
      </c>
      <c r="O2" s="113" t="s">
        <v>176</v>
      </c>
    </row>
    <row r="3" spans="1:15">
      <c r="A3" s="133" t="s">
        <v>6</v>
      </c>
      <c r="B3" s="133" t="s">
        <v>415</v>
      </c>
      <c r="C3" s="177" t="s">
        <v>3637</v>
      </c>
      <c r="D3" s="158">
        <v>99202</v>
      </c>
      <c r="E3" s="133" t="s">
        <v>171</v>
      </c>
      <c r="F3" s="158">
        <v>46512</v>
      </c>
      <c r="G3" s="158">
        <v>45832</v>
      </c>
      <c r="H3" s="158">
        <v>528</v>
      </c>
      <c r="I3" s="158">
        <v>152</v>
      </c>
      <c r="J3" s="178" t="s">
        <v>3634</v>
      </c>
      <c r="K3" s="133" t="s">
        <v>59</v>
      </c>
      <c r="M3" s="98" t="s">
        <v>3638</v>
      </c>
      <c r="N3" s="98" t="s">
        <v>3636</v>
      </c>
      <c r="O3" s="113" t="s">
        <v>176</v>
      </c>
    </row>
    <row r="4" spans="1:15">
      <c r="A4" s="133" t="s">
        <v>6</v>
      </c>
      <c r="B4" s="133" t="s">
        <v>266</v>
      </c>
      <c r="C4" s="177" t="s">
        <v>3639</v>
      </c>
      <c r="D4" s="158">
        <v>44031</v>
      </c>
      <c r="E4" s="133" t="s">
        <v>171</v>
      </c>
      <c r="F4" s="158">
        <v>7752</v>
      </c>
      <c r="G4" s="158">
        <v>7704</v>
      </c>
      <c r="H4" s="158">
        <v>8</v>
      </c>
      <c r="I4" s="158">
        <v>40</v>
      </c>
      <c r="J4" s="178" t="s">
        <v>3640</v>
      </c>
      <c r="K4" s="133" t="s">
        <v>59</v>
      </c>
      <c r="M4" s="98"/>
      <c r="N4" s="98" t="s">
        <v>3636</v>
      </c>
      <c r="O4" s="117" t="s">
        <v>236</v>
      </c>
    </row>
    <row r="5" spans="1:15">
      <c r="A5" s="133" t="s">
        <v>6</v>
      </c>
      <c r="B5" s="133" t="s">
        <v>415</v>
      </c>
      <c r="C5" s="177" t="s">
        <v>3641</v>
      </c>
      <c r="D5" s="158">
        <v>1171755</v>
      </c>
      <c r="E5" s="133" t="s">
        <v>171</v>
      </c>
      <c r="F5" s="158">
        <v>1529264</v>
      </c>
      <c r="G5" s="158">
        <v>1519272</v>
      </c>
      <c r="H5" s="158">
        <v>9776</v>
      </c>
      <c r="I5" s="158">
        <v>216</v>
      </c>
      <c r="J5" s="178" t="s">
        <v>3642</v>
      </c>
      <c r="K5" s="133" t="s">
        <v>342</v>
      </c>
      <c r="M5" s="98" t="s">
        <v>3635</v>
      </c>
      <c r="N5" s="98" t="s">
        <v>3636</v>
      </c>
      <c r="O5" s="113" t="s">
        <v>176</v>
      </c>
    </row>
    <row r="6" spans="1:15">
      <c r="A6" s="133" t="s">
        <v>6</v>
      </c>
      <c r="B6" s="133" t="s">
        <v>415</v>
      </c>
      <c r="C6" s="133" t="s">
        <v>3643</v>
      </c>
      <c r="D6" s="158">
        <v>5752963</v>
      </c>
      <c r="E6" s="133" t="s">
        <v>171</v>
      </c>
      <c r="F6" s="158">
        <v>2473264</v>
      </c>
      <c r="G6" s="158">
        <v>2450872</v>
      </c>
      <c r="H6" s="158">
        <v>21968</v>
      </c>
      <c r="I6" s="158">
        <v>424</v>
      </c>
      <c r="J6" s="178" t="s">
        <v>3644</v>
      </c>
      <c r="K6" s="133" t="s">
        <v>342</v>
      </c>
      <c r="M6" s="98" t="s">
        <v>3638</v>
      </c>
      <c r="N6" s="98" t="s">
        <v>3636</v>
      </c>
      <c r="O6" s="113" t="s">
        <v>176</v>
      </c>
    </row>
    <row r="7" spans="1:15">
      <c r="A7" s="133" t="s">
        <v>6</v>
      </c>
      <c r="B7" s="133" t="s">
        <v>415</v>
      </c>
      <c r="C7" s="177" t="s">
        <v>3645</v>
      </c>
      <c r="D7" s="158">
        <v>6324587</v>
      </c>
      <c r="E7" s="133" t="s">
        <v>171</v>
      </c>
      <c r="F7" s="158">
        <v>3179952</v>
      </c>
      <c r="G7" s="158">
        <v>3149504</v>
      </c>
      <c r="H7" s="158">
        <v>29960</v>
      </c>
      <c r="I7" s="158">
        <v>488</v>
      </c>
      <c r="J7" s="178" t="s">
        <v>3646</v>
      </c>
      <c r="K7" s="133" t="s">
        <v>342</v>
      </c>
      <c r="M7" s="98" t="s">
        <v>3647</v>
      </c>
      <c r="N7" s="98" t="s">
        <v>3636</v>
      </c>
      <c r="O7" s="113" t="s">
        <v>176</v>
      </c>
    </row>
    <row r="8" spans="1:15">
      <c r="A8" s="133" t="s">
        <v>6</v>
      </c>
      <c r="B8" s="133" t="s">
        <v>415</v>
      </c>
      <c r="C8" s="177" t="s">
        <v>3648</v>
      </c>
      <c r="D8" s="158">
        <v>336684</v>
      </c>
      <c r="E8" s="133" t="s">
        <v>171</v>
      </c>
      <c r="F8" s="158">
        <v>68208</v>
      </c>
      <c r="G8" s="158">
        <v>67664</v>
      </c>
      <c r="H8" s="158">
        <v>400</v>
      </c>
      <c r="I8" s="158">
        <v>144</v>
      </c>
      <c r="J8" s="178" t="s">
        <v>3649</v>
      </c>
      <c r="K8" s="133" t="s">
        <v>59</v>
      </c>
      <c r="M8" s="98" t="s">
        <v>3650</v>
      </c>
      <c r="N8" s="98" t="s">
        <v>3636</v>
      </c>
      <c r="O8" s="113" t="s">
        <v>176</v>
      </c>
    </row>
    <row r="9" spans="1:15">
      <c r="A9" s="133" t="s">
        <v>6</v>
      </c>
      <c r="B9" s="133" t="s">
        <v>415</v>
      </c>
      <c r="C9" s="177" t="s">
        <v>3651</v>
      </c>
      <c r="D9" s="158">
        <v>491183</v>
      </c>
      <c r="E9" s="133" t="s">
        <v>171</v>
      </c>
      <c r="F9" s="158">
        <v>679520</v>
      </c>
      <c r="G9" s="158">
        <v>677248</v>
      </c>
      <c r="H9" s="158">
        <v>1688</v>
      </c>
      <c r="I9" s="158">
        <v>584</v>
      </c>
      <c r="J9" s="178" t="s">
        <v>3652</v>
      </c>
      <c r="K9" s="133" t="s">
        <v>59</v>
      </c>
      <c r="M9" s="98" t="s">
        <v>1421</v>
      </c>
      <c r="N9" s="98" t="s">
        <v>345</v>
      </c>
      <c r="O9" s="113" t="s">
        <v>176</v>
      </c>
    </row>
    <row r="10" spans="1:15">
      <c r="A10" s="133" t="s">
        <v>6</v>
      </c>
      <c r="B10" s="133" t="s">
        <v>266</v>
      </c>
      <c r="C10" s="177" t="s">
        <v>3653</v>
      </c>
      <c r="D10" s="158">
        <v>266</v>
      </c>
      <c r="E10" s="133" t="s">
        <v>171</v>
      </c>
      <c r="F10" s="158">
        <v>216</v>
      </c>
      <c r="G10" s="158">
        <v>72</v>
      </c>
      <c r="H10" s="158">
        <v>32</v>
      </c>
      <c r="I10" s="158">
        <v>112</v>
      </c>
      <c r="J10" s="178" t="s">
        <v>3654</v>
      </c>
      <c r="K10" s="133" t="s">
        <v>59</v>
      </c>
      <c r="M10" s="98" t="s">
        <v>3655</v>
      </c>
      <c r="N10" s="98" t="s">
        <v>3636</v>
      </c>
      <c r="O10" s="113" t="s">
        <v>176</v>
      </c>
    </row>
    <row r="11" spans="1:15">
      <c r="A11" s="133" t="s">
        <v>6</v>
      </c>
      <c r="B11" s="133" t="s">
        <v>3656</v>
      </c>
      <c r="C11" s="177" t="s">
        <v>60</v>
      </c>
      <c r="D11" s="158">
        <v>25</v>
      </c>
      <c r="E11" s="133" t="s">
        <v>171</v>
      </c>
      <c r="F11" s="158">
        <v>72</v>
      </c>
      <c r="G11" s="158">
        <v>8</v>
      </c>
      <c r="H11" s="158">
        <v>8</v>
      </c>
      <c r="I11" s="158">
        <v>56</v>
      </c>
      <c r="J11" s="178" t="s">
        <v>3657</v>
      </c>
      <c r="K11" s="133" t="s">
        <v>59</v>
      </c>
      <c r="M11" s="98" t="s">
        <v>3658</v>
      </c>
      <c r="N11" s="98" t="s">
        <v>2228</v>
      </c>
      <c r="O11" s="113" t="s">
        <v>176</v>
      </c>
    </row>
    <row r="12" spans="1:15">
      <c r="A12" s="133" t="s">
        <v>6</v>
      </c>
      <c r="B12" s="133" t="s">
        <v>415</v>
      </c>
      <c r="C12" s="177" t="s">
        <v>3659</v>
      </c>
      <c r="D12" s="158">
        <v>28655</v>
      </c>
      <c r="E12" s="133" t="s">
        <v>171</v>
      </c>
      <c r="F12" s="158">
        <v>35112</v>
      </c>
      <c r="G12" s="158">
        <v>34280</v>
      </c>
      <c r="H12" s="158">
        <v>776</v>
      </c>
      <c r="I12" s="158">
        <v>56</v>
      </c>
      <c r="J12" s="178" t="s">
        <v>3660</v>
      </c>
      <c r="K12" s="133" t="s">
        <v>342</v>
      </c>
      <c r="M12" s="98" t="s">
        <v>3661</v>
      </c>
      <c r="N12" s="98" t="s">
        <v>3636</v>
      </c>
      <c r="O12" s="113" t="s">
        <v>176</v>
      </c>
    </row>
    <row r="13" spans="1:15">
      <c r="A13" s="133" t="s">
        <v>6</v>
      </c>
      <c r="B13" s="133" t="s">
        <v>415</v>
      </c>
      <c r="C13" s="177" t="s">
        <v>3662</v>
      </c>
      <c r="D13" s="158">
        <v>31296</v>
      </c>
      <c r="E13" s="133" t="s">
        <v>171</v>
      </c>
      <c r="F13" s="158">
        <v>7720</v>
      </c>
      <c r="G13" s="158">
        <v>7352</v>
      </c>
      <c r="H13" s="158">
        <v>112</v>
      </c>
      <c r="I13" s="158">
        <v>256</v>
      </c>
      <c r="J13" s="178" t="s">
        <v>3663</v>
      </c>
      <c r="K13" s="133" t="s">
        <v>342</v>
      </c>
      <c r="M13" s="98" t="s">
        <v>3664</v>
      </c>
      <c r="N13" s="98" t="s">
        <v>3636</v>
      </c>
      <c r="O13" s="113" t="s">
        <v>176</v>
      </c>
    </row>
    <row r="14" spans="1:15">
      <c r="A14" s="133" t="s">
        <v>6</v>
      </c>
      <c r="B14" s="133" t="s">
        <v>415</v>
      </c>
      <c r="C14" s="177" t="s">
        <v>3665</v>
      </c>
      <c r="D14" s="160"/>
      <c r="E14" s="160"/>
      <c r="F14" s="160"/>
      <c r="G14" s="160"/>
      <c r="H14" s="160"/>
      <c r="I14" s="160"/>
      <c r="J14" s="179"/>
      <c r="K14" s="133" t="s">
        <v>342</v>
      </c>
      <c r="M14" s="98" t="s">
        <v>183</v>
      </c>
      <c r="N14" s="98" t="s">
        <v>3666</v>
      </c>
      <c r="O14" s="113" t="s">
        <v>185</v>
      </c>
    </row>
    <row r="15" spans="1:15">
      <c r="A15" s="133" t="s">
        <v>6</v>
      </c>
      <c r="B15" s="133" t="s">
        <v>415</v>
      </c>
      <c r="C15" s="177" t="s">
        <v>3667</v>
      </c>
      <c r="D15" s="160"/>
      <c r="E15" s="160"/>
      <c r="F15" s="160"/>
      <c r="G15" s="160"/>
      <c r="H15" s="160"/>
      <c r="I15" s="180"/>
      <c r="J15" s="179"/>
      <c r="K15" s="133" t="s">
        <v>342</v>
      </c>
      <c r="M15" s="98" t="s">
        <v>183</v>
      </c>
      <c r="N15" s="98" t="s">
        <v>3666</v>
      </c>
      <c r="O15" s="113" t="s">
        <v>185</v>
      </c>
    </row>
    <row r="16" spans="1:15">
      <c r="A16" s="133" t="s">
        <v>6</v>
      </c>
      <c r="B16" s="133" t="s">
        <v>415</v>
      </c>
      <c r="C16" s="177" t="s">
        <v>3668</v>
      </c>
      <c r="D16" s="158">
        <v>60540</v>
      </c>
      <c r="E16" s="133" t="s">
        <v>171</v>
      </c>
      <c r="F16" s="158">
        <v>21864</v>
      </c>
      <c r="G16" s="158">
        <v>21256</v>
      </c>
      <c r="H16" s="158">
        <v>264</v>
      </c>
      <c r="I16" s="158">
        <v>344</v>
      </c>
      <c r="J16" s="178" t="s">
        <v>3669</v>
      </c>
      <c r="K16" s="133" t="s">
        <v>59</v>
      </c>
      <c r="M16" s="98" t="s">
        <v>3670</v>
      </c>
      <c r="N16" s="98" t="s">
        <v>3636</v>
      </c>
      <c r="O16" s="113" t="s">
        <v>176</v>
      </c>
    </row>
    <row r="17" spans="1:15">
      <c r="A17" s="133" t="s">
        <v>6</v>
      </c>
      <c r="B17" s="133" t="s">
        <v>3671</v>
      </c>
      <c r="C17" s="177" t="s">
        <v>3672</v>
      </c>
      <c r="D17" s="158">
        <v>51901</v>
      </c>
      <c r="E17" s="133" t="s">
        <v>171</v>
      </c>
      <c r="F17" s="158">
        <v>15496</v>
      </c>
      <c r="G17" s="158">
        <v>15000</v>
      </c>
      <c r="H17" s="158">
        <v>336</v>
      </c>
      <c r="I17" s="158">
        <v>160</v>
      </c>
      <c r="J17" s="181">
        <v>242346.62430555557</v>
      </c>
      <c r="K17" s="133" t="s">
        <v>59</v>
      </c>
      <c r="M17" s="98" t="s">
        <v>371</v>
      </c>
      <c r="N17" s="98" t="s">
        <v>3636</v>
      </c>
      <c r="O17" s="113" t="s">
        <v>176</v>
      </c>
    </row>
    <row r="18" spans="1:15">
      <c r="A18" s="133" t="s">
        <v>6</v>
      </c>
      <c r="B18" s="133" t="s">
        <v>3671</v>
      </c>
      <c r="C18" s="177" t="s">
        <v>3673</v>
      </c>
      <c r="D18" s="158">
        <v>9658</v>
      </c>
      <c r="E18" s="133" t="s">
        <v>171</v>
      </c>
      <c r="F18" s="158">
        <v>2352</v>
      </c>
      <c r="G18" s="158">
        <v>1488</v>
      </c>
      <c r="H18" s="158">
        <v>664</v>
      </c>
      <c r="I18" s="158">
        <v>200</v>
      </c>
      <c r="J18" s="181">
        <v>242464.41041666668</v>
      </c>
      <c r="K18" s="133" t="s">
        <v>59</v>
      </c>
      <c r="M18" s="98" t="s">
        <v>371</v>
      </c>
      <c r="N18" s="98" t="s">
        <v>3636</v>
      </c>
      <c r="O18" s="113" t="s">
        <v>176</v>
      </c>
    </row>
    <row r="19" spans="1:15">
      <c r="A19" s="133" t="s">
        <v>6</v>
      </c>
      <c r="B19" s="133" t="s">
        <v>3656</v>
      </c>
      <c r="C19" s="177" t="s">
        <v>3674</v>
      </c>
      <c r="D19" s="158">
        <v>266</v>
      </c>
      <c r="E19" s="133" t="s">
        <v>171</v>
      </c>
      <c r="F19" s="158">
        <v>272</v>
      </c>
      <c r="G19" s="158">
        <v>224</v>
      </c>
      <c r="H19" s="158">
        <v>24</v>
      </c>
      <c r="I19" s="158">
        <v>24</v>
      </c>
      <c r="J19" s="181">
        <v>242167.75555555554</v>
      </c>
      <c r="K19" s="133" t="s">
        <v>342</v>
      </c>
      <c r="M19" s="98" t="s">
        <v>3675</v>
      </c>
      <c r="N19" s="98" t="s">
        <v>3636</v>
      </c>
      <c r="O19" s="113" t="s">
        <v>176</v>
      </c>
    </row>
    <row r="20" spans="1:15">
      <c r="J20" s="182"/>
      <c r="K20" s="183"/>
      <c r="L20" s="183"/>
    </row>
    <row r="21" spans="1:15" ht="15.75" customHeight="1">
      <c r="J21" s="182"/>
      <c r="K21" s="183"/>
      <c r="L21" s="183"/>
    </row>
    <row r="22" spans="1:15" ht="15.75" customHeight="1">
      <c r="J22" s="182"/>
      <c r="K22" s="183"/>
      <c r="L22" s="183"/>
    </row>
    <row r="23" spans="1:15" ht="15.75" customHeight="1">
      <c r="J23" s="182"/>
      <c r="K23" s="183"/>
      <c r="L23" s="183"/>
    </row>
    <row r="24" spans="1:15" ht="15.75" customHeight="1">
      <c r="J24" s="182"/>
      <c r="K24" s="183"/>
      <c r="L24" s="183"/>
    </row>
    <row r="25" spans="1:15" ht="15.75" customHeight="1">
      <c r="J25" s="182"/>
      <c r="K25" s="183"/>
      <c r="L25" s="183"/>
    </row>
    <row r="26" spans="1:15" ht="15.75" customHeight="1">
      <c r="J26" s="182"/>
      <c r="K26" s="183"/>
      <c r="L26" s="183"/>
    </row>
    <row r="27" spans="1:15" ht="15.75" customHeight="1">
      <c r="J27" s="182"/>
      <c r="K27" s="183"/>
      <c r="L27" s="183"/>
    </row>
    <row r="28" spans="1:15" ht="15.75" customHeight="1">
      <c r="J28" s="182"/>
      <c r="K28" s="183"/>
      <c r="L28" s="183"/>
    </row>
    <row r="29" spans="1:15" ht="15.75" customHeight="1">
      <c r="J29" s="182"/>
      <c r="K29" s="183"/>
      <c r="L29" s="183"/>
    </row>
    <row r="30" spans="1:15" ht="15.75" customHeight="1">
      <c r="J30" s="182"/>
      <c r="K30" s="183"/>
      <c r="L30" s="183"/>
    </row>
    <row r="31" spans="1:15" ht="15.75" customHeight="1">
      <c r="J31" s="182"/>
      <c r="K31" s="183"/>
      <c r="L31" s="183"/>
    </row>
    <row r="32" spans="1:15" ht="15.75" customHeight="1">
      <c r="J32" s="182"/>
      <c r="K32" s="183"/>
      <c r="L32" s="183"/>
    </row>
    <row r="33" spans="10:12" ht="15.75" customHeight="1">
      <c r="J33" s="182"/>
      <c r="K33" s="183"/>
      <c r="L33" s="183"/>
    </row>
    <row r="34" spans="10:12" ht="15.75" customHeight="1">
      <c r="J34" s="182"/>
      <c r="K34" s="183"/>
      <c r="L34" s="183"/>
    </row>
    <row r="35" spans="10:12" ht="15.75" customHeight="1">
      <c r="J35" s="182"/>
      <c r="K35" s="183"/>
      <c r="L35" s="183"/>
    </row>
    <row r="36" spans="10:12" ht="15.75" customHeight="1">
      <c r="J36" s="182"/>
      <c r="K36" s="183"/>
      <c r="L36" s="183"/>
    </row>
    <row r="37" spans="10:12" ht="15.75" customHeight="1">
      <c r="J37" s="182"/>
      <c r="K37" s="183"/>
      <c r="L37" s="183"/>
    </row>
    <row r="38" spans="10:12" ht="15.75" customHeight="1">
      <c r="J38" s="182"/>
      <c r="K38" s="183"/>
      <c r="L38" s="183"/>
    </row>
    <row r="39" spans="10:12" ht="15.75" customHeight="1">
      <c r="J39" s="182"/>
      <c r="K39" s="183"/>
      <c r="L39" s="183"/>
    </row>
    <row r="40" spans="10:12" ht="15.75" customHeight="1">
      <c r="J40" s="182"/>
      <c r="K40" s="183"/>
      <c r="L40" s="183"/>
    </row>
    <row r="41" spans="10:12" ht="15.75" customHeight="1">
      <c r="J41" s="182"/>
      <c r="K41" s="183"/>
      <c r="L41" s="183"/>
    </row>
    <row r="42" spans="10:12" ht="15.75" customHeight="1">
      <c r="J42" s="182"/>
      <c r="K42" s="183"/>
      <c r="L42" s="183"/>
    </row>
    <row r="43" spans="10:12" ht="15.75" customHeight="1">
      <c r="J43" s="182"/>
      <c r="K43" s="183"/>
      <c r="L43" s="183"/>
    </row>
    <row r="44" spans="10:12" ht="15.75" customHeight="1">
      <c r="J44" s="182"/>
      <c r="K44" s="183"/>
      <c r="L44" s="183"/>
    </row>
    <row r="45" spans="10:12" ht="15.75" customHeight="1">
      <c r="J45" s="182"/>
      <c r="K45" s="183"/>
      <c r="L45" s="183"/>
    </row>
    <row r="46" spans="10:12" ht="15.75" customHeight="1">
      <c r="J46" s="182"/>
      <c r="K46" s="183"/>
      <c r="L46" s="183"/>
    </row>
    <row r="47" spans="10:12" ht="15.75" customHeight="1">
      <c r="J47" s="182"/>
      <c r="K47" s="183"/>
      <c r="L47" s="183"/>
    </row>
    <row r="48" spans="10:12" ht="15.75" customHeight="1">
      <c r="J48" s="182"/>
      <c r="K48" s="183"/>
      <c r="L48" s="183"/>
    </row>
    <row r="49" spans="10:12" ht="15.75" customHeight="1">
      <c r="J49" s="182"/>
      <c r="K49" s="183"/>
      <c r="L49" s="183"/>
    </row>
    <row r="50" spans="10:12" ht="15.75" customHeight="1">
      <c r="J50" s="182"/>
      <c r="K50" s="183"/>
      <c r="L50" s="183"/>
    </row>
    <row r="51" spans="10:12" ht="15.75" customHeight="1">
      <c r="J51" s="182"/>
      <c r="K51" s="183"/>
      <c r="L51" s="183"/>
    </row>
    <row r="52" spans="10:12" ht="15.75" customHeight="1">
      <c r="J52" s="182"/>
      <c r="K52" s="183"/>
      <c r="L52" s="183"/>
    </row>
    <row r="53" spans="10:12" ht="15.75" customHeight="1">
      <c r="J53" s="182"/>
      <c r="K53" s="183"/>
      <c r="L53" s="183"/>
    </row>
    <row r="54" spans="10:12" ht="15.75" customHeight="1">
      <c r="J54" s="182"/>
      <c r="K54" s="183"/>
      <c r="L54" s="183"/>
    </row>
    <row r="55" spans="10:12" ht="15.75" customHeight="1">
      <c r="J55" s="182"/>
      <c r="K55" s="183"/>
      <c r="L55" s="183"/>
    </row>
    <row r="56" spans="10:12" ht="15.75" customHeight="1">
      <c r="J56" s="182"/>
      <c r="K56" s="183"/>
      <c r="L56" s="183"/>
    </row>
    <row r="57" spans="10:12" ht="15.75" customHeight="1">
      <c r="J57" s="182"/>
      <c r="K57" s="183"/>
      <c r="L57" s="183"/>
    </row>
    <row r="58" spans="10:12" ht="15.75" customHeight="1">
      <c r="J58" s="182"/>
      <c r="K58" s="183"/>
      <c r="L58" s="183"/>
    </row>
    <row r="59" spans="10:12" ht="15.75" customHeight="1">
      <c r="J59" s="182"/>
      <c r="K59" s="183"/>
      <c r="L59" s="183"/>
    </row>
    <row r="60" spans="10:12" ht="15.75" customHeight="1">
      <c r="J60" s="182"/>
      <c r="K60" s="183"/>
      <c r="L60" s="183"/>
    </row>
    <row r="61" spans="10:12" ht="15.75" customHeight="1">
      <c r="J61" s="182"/>
      <c r="K61" s="183"/>
      <c r="L61" s="183"/>
    </row>
    <row r="62" spans="10:12" ht="15.75" customHeight="1">
      <c r="J62" s="182"/>
      <c r="K62" s="183"/>
      <c r="L62" s="183"/>
    </row>
    <row r="63" spans="10:12" ht="15.75" customHeight="1">
      <c r="J63" s="182"/>
      <c r="K63" s="183"/>
      <c r="L63" s="183"/>
    </row>
    <row r="64" spans="10:12" ht="15.75" customHeight="1">
      <c r="J64" s="182"/>
      <c r="K64" s="183"/>
      <c r="L64" s="183"/>
    </row>
    <row r="65" spans="10:12" ht="15.75" customHeight="1">
      <c r="J65" s="182"/>
      <c r="K65" s="183"/>
      <c r="L65" s="183"/>
    </row>
    <row r="66" spans="10:12" ht="15.75" customHeight="1">
      <c r="J66" s="182"/>
      <c r="K66" s="183"/>
      <c r="L66" s="183"/>
    </row>
    <row r="67" spans="10:12" ht="15.75" customHeight="1">
      <c r="J67" s="182"/>
      <c r="K67" s="183"/>
      <c r="L67" s="183"/>
    </row>
    <row r="68" spans="10:12" ht="15.75" customHeight="1">
      <c r="J68" s="182"/>
      <c r="K68" s="183"/>
      <c r="L68" s="183"/>
    </row>
    <row r="69" spans="10:12" ht="15.75" customHeight="1">
      <c r="J69" s="182"/>
      <c r="K69" s="183"/>
      <c r="L69" s="183"/>
    </row>
    <row r="70" spans="10:12" ht="15.75" customHeight="1">
      <c r="J70" s="182"/>
      <c r="K70" s="183"/>
      <c r="L70" s="183"/>
    </row>
    <row r="71" spans="10:12" ht="15.75" customHeight="1">
      <c r="J71" s="182"/>
      <c r="K71" s="183"/>
      <c r="L71" s="183"/>
    </row>
    <row r="72" spans="10:12" ht="15.75" customHeight="1">
      <c r="J72" s="182"/>
      <c r="K72" s="183"/>
      <c r="L72" s="183"/>
    </row>
    <row r="73" spans="10:12" ht="15.75" customHeight="1">
      <c r="J73" s="182"/>
      <c r="K73" s="183"/>
      <c r="L73" s="183"/>
    </row>
    <row r="74" spans="10:12" ht="15.75" customHeight="1">
      <c r="J74" s="182"/>
      <c r="K74" s="183"/>
      <c r="L74" s="183"/>
    </row>
    <row r="75" spans="10:12" ht="15.75" customHeight="1">
      <c r="J75" s="182"/>
      <c r="K75" s="183"/>
      <c r="L75" s="183"/>
    </row>
    <row r="76" spans="10:12" ht="15.75" customHeight="1">
      <c r="J76" s="182"/>
      <c r="K76" s="183"/>
      <c r="L76" s="183"/>
    </row>
    <row r="77" spans="10:12" ht="15.75" customHeight="1">
      <c r="J77" s="182"/>
      <c r="K77" s="183"/>
      <c r="L77" s="183"/>
    </row>
    <row r="78" spans="10:12" ht="15.75" customHeight="1">
      <c r="J78" s="182"/>
      <c r="K78" s="183"/>
      <c r="L78" s="183"/>
    </row>
    <row r="79" spans="10:12" ht="15.75" customHeight="1">
      <c r="J79" s="182"/>
      <c r="K79" s="183"/>
      <c r="L79" s="183"/>
    </row>
    <row r="80" spans="10:12" ht="15.75" customHeight="1">
      <c r="J80" s="182"/>
      <c r="K80" s="183"/>
      <c r="L80" s="183"/>
    </row>
    <row r="81" spans="10:12" ht="15.75" customHeight="1">
      <c r="J81" s="182"/>
      <c r="K81" s="183"/>
      <c r="L81" s="183"/>
    </row>
    <row r="82" spans="10:12" ht="15.75" customHeight="1">
      <c r="J82" s="182"/>
      <c r="K82" s="183"/>
      <c r="L82" s="183"/>
    </row>
    <row r="83" spans="10:12" ht="15.75" customHeight="1">
      <c r="J83" s="182"/>
      <c r="K83" s="183"/>
      <c r="L83" s="183"/>
    </row>
    <row r="84" spans="10:12" ht="15.75" customHeight="1">
      <c r="J84" s="182"/>
      <c r="K84" s="183"/>
      <c r="L84" s="183"/>
    </row>
    <row r="85" spans="10:12" ht="15.75" customHeight="1">
      <c r="J85" s="182"/>
      <c r="K85" s="183"/>
      <c r="L85" s="183"/>
    </row>
    <row r="86" spans="10:12" ht="15.75" customHeight="1">
      <c r="J86" s="182"/>
      <c r="K86" s="183"/>
      <c r="L86" s="183"/>
    </row>
    <row r="87" spans="10:12" ht="15.75" customHeight="1">
      <c r="J87" s="182"/>
      <c r="K87" s="183"/>
      <c r="L87" s="183"/>
    </row>
    <row r="88" spans="10:12" ht="15.75" customHeight="1">
      <c r="J88" s="182"/>
      <c r="K88" s="183"/>
      <c r="L88" s="183"/>
    </row>
    <row r="89" spans="10:12" ht="15.75" customHeight="1">
      <c r="J89" s="182"/>
      <c r="K89" s="183"/>
      <c r="L89" s="183"/>
    </row>
    <row r="90" spans="10:12" ht="15.75" customHeight="1">
      <c r="J90" s="182"/>
      <c r="K90" s="183"/>
      <c r="L90" s="183"/>
    </row>
    <row r="91" spans="10:12" ht="15.75" customHeight="1">
      <c r="J91" s="182"/>
      <c r="K91" s="183"/>
      <c r="L91" s="183"/>
    </row>
    <row r="92" spans="10:12" ht="15.75" customHeight="1">
      <c r="J92" s="182"/>
      <c r="K92" s="183"/>
      <c r="L92" s="183"/>
    </row>
    <row r="93" spans="10:12" ht="15.75" customHeight="1">
      <c r="J93" s="182"/>
      <c r="K93" s="183"/>
      <c r="L93" s="183"/>
    </row>
    <row r="94" spans="10:12" ht="15.75" customHeight="1">
      <c r="J94" s="182"/>
      <c r="K94" s="183"/>
      <c r="L94" s="183"/>
    </row>
    <row r="95" spans="10:12" ht="15.75" customHeight="1">
      <c r="J95" s="182"/>
      <c r="K95" s="183"/>
      <c r="L95" s="183"/>
    </row>
    <row r="96" spans="10:12" ht="15.75" customHeight="1">
      <c r="J96" s="182"/>
      <c r="K96" s="183"/>
      <c r="L96" s="183"/>
    </row>
    <row r="97" spans="10:12" ht="15.75" customHeight="1">
      <c r="J97" s="182"/>
      <c r="K97" s="183"/>
      <c r="L97" s="183"/>
    </row>
    <row r="98" spans="10:12" ht="15.75" customHeight="1">
      <c r="J98" s="182"/>
      <c r="K98" s="183"/>
      <c r="L98" s="183"/>
    </row>
    <row r="99" spans="10:12" ht="15.75" customHeight="1">
      <c r="J99" s="182"/>
      <c r="K99" s="183"/>
      <c r="L99" s="183"/>
    </row>
    <row r="100" spans="10:12" ht="15.75" customHeight="1">
      <c r="J100" s="182"/>
      <c r="K100" s="183"/>
      <c r="L100" s="183"/>
    </row>
    <row r="101" spans="10:12" ht="15.75" customHeight="1">
      <c r="J101" s="182"/>
      <c r="K101" s="183"/>
      <c r="L101" s="183"/>
    </row>
    <row r="102" spans="10:12" ht="15.75" customHeight="1">
      <c r="J102" s="182"/>
      <c r="K102" s="183"/>
      <c r="L102" s="183"/>
    </row>
    <row r="103" spans="10:12" ht="15.75" customHeight="1">
      <c r="J103" s="182"/>
      <c r="K103" s="183"/>
      <c r="L103" s="183"/>
    </row>
    <row r="104" spans="10:12" ht="15.75" customHeight="1">
      <c r="J104" s="182"/>
      <c r="K104" s="183"/>
      <c r="L104" s="183"/>
    </row>
    <row r="105" spans="10:12" ht="15.75" customHeight="1">
      <c r="J105" s="182"/>
      <c r="K105" s="183"/>
      <c r="L105" s="183"/>
    </row>
    <row r="106" spans="10:12" ht="15.75" customHeight="1">
      <c r="J106" s="182"/>
      <c r="K106" s="183"/>
      <c r="L106" s="183"/>
    </row>
    <row r="107" spans="10:12" ht="15.75" customHeight="1">
      <c r="J107" s="182"/>
      <c r="K107" s="183"/>
      <c r="L107" s="183"/>
    </row>
    <row r="108" spans="10:12" ht="15.75" customHeight="1">
      <c r="J108" s="182"/>
      <c r="K108" s="183"/>
      <c r="L108" s="183"/>
    </row>
    <row r="109" spans="10:12" ht="15.75" customHeight="1">
      <c r="J109" s="182"/>
      <c r="K109" s="183"/>
      <c r="L109" s="183"/>
    </row>
    <row r="110" spans="10:12" ht="15.75" customHeight="1">
      <c r="J110" s="182"/>
      <c r="K110" s="183"/>
      <c r="L110" s="183"/>
    </row>
    <row r="111" spans="10:12" ht="15.75" customHeight="1">
      <c r="J111" s="182"/>
      <c r="K111" s="183"/>
      <c r="L111" s="183"/>
    </row>
    <row r="112" spans="10:12" ht="15.75" customHeight="1">
      <c r="J112" s="182"/>
      <c r="K112" s="183"/>
      <c r="L112" s="183"/>
    </row>
    <row r="113" spans="10:12" ht="15.75" customHeight="1">
      <c r="J113" s="182"/>
      <c r="K113" s="183"/>
      <c r="L113" s="183"/>
    </row>
    <row r="114" spans="10:12" ht="15.75" customHeight="1">
      <c r="J114" s="182"/>
      <c r="K114" s="183"/>
      <c r="L114" s="183"/>
    </row>
    <row r="115" spans="10:12" ht="15.75" customHeight="1">
      <c r="J115" s="182"/>
      <c r="K115" s="183"/>
      <c r="L115" s="183"/>
    </row>
    <row r="116" spans="10:12" ht="15.75" customHeight="1">
      <c r="J116" s="182"/>
      <c r="K116" s="183"/>
      <c r="L116" s="183"/>
    </row>
    <row r="117" spans="10:12" ht="15.75" customHeight="1">
      <c r="J117" s="182"/>
      <c r="K117" s="183"/>
      <c r="L117" s="183"/>
    </row>
    <row r="118" spans="10:12" ht="15.75" customHeight="1">
      <c r="J118" s="182"/>
      <c r="K118" s="183"/>
      <c r="L118" s="183"/>
    </row>
    <row r="119" spans="10:12" ht="15.75" customHeight="1">
      <c r="J119" s="182"/>
      <c r="K119" s="183"/>
      <c r="L119" s="183"/>
    </row>
    <row r="120" spans="10:12" ht="15.75" customHeight="1">
      <c r="J120" s="182"/>
      <c r="K120" s="183"/>
      <c r="L120" s="183"/>
    </row>
    <row r="121" spans="10:12" ht="15.75" customHeight="1">
      <c r="J121" s="182"/>
      <c r="K121" s="183"/>
      <c r="L121" s="183"/>
    </row>
    <row r="122" spans="10:12" ht="15.75" customHeight="1">
      <c r="J122" s="182"/>
      <c r="K122" s="183"/>
      <c r="L122" s="183"/>
    </row>
    <row r="123" spans="10:12" ht="15.75" customHeight="1">
      <c r="J123" s="182"/>
      <c r="K123" s="183"/>
      <c r="L123" s="183"/>
    </row>
    <row r="124" spans="10:12" ht="15.75" customHeight="1">
      <c r="J124" s="182"/>
      <c r="K124" s="183"/>
      <c r="L124" s="183"/>
    </row>
    <row r="125" spans="10:12" ht="15.75" customHeight="1">
      <c r="J125" s="182"/>
      <c r="K125" s="183"/>
      <c r="L125" s="183"/>
    </row>
    <row r="126" spans="10:12" ht="15.75" customHeight="1">
      <c r="J126" s="182"/>
      <c r="K126" s="183"/>
      <c r="L126" s="183"/>
    </row>
    <row r="127" spans="10:12" ht="15.75" customHeight="1">
      <c r="J127" s="182"/>
      <c r="K127" s="183"/>
      <c r="L127" s="183"/>
    </row>
    <row r="128" spans="10:12" ht="15.75" customHeight="1">
      <c r="J128" s="182"/>
      <c r="K128" s="183"/>
      <c r="L128" s="183"/>
    </row>
    <row r="129" spans="10:12" ht="15.75" customHeight="1">
      <c r="J129" s="182"/>
      <c r="K129" s="183"/>
      <c r="L129" s="183"/>
    </row>
    <row r="130" spans="10:12" ht="15.75" customHeight="1">
      <c r="J130" s="182"/>
      <c r="K130" s="183"/>
      <c r="L130" s="183"/>
    </row>
    <row r="131" spans="10:12" ht="15.75" customHeight="1">
      <c r="J131" s="182"/>
      <c r="K131" s="183"/>
      <c r="L131" s="183"/>
    </row>
    <row r="132" spans="10:12" ht="15.75" customHeight="1">
      <c r="J132" s="182"/>
      <c r="K132" s="183"/>
      <c r="L132" s="183"/>
    </row>
    <row r="133" spans="10:12" ht="15.75" customHeight="1">
      <c r="J133" s="182"/>
      <c r="K133" s="183"/>
      <c r="L133" s="183"/>
    </row>
    <row r="134" spans="10:12" ht="15.75" customHeight="1">
      <c r="J134" s="182"/>
      <c r="K134" s="183"/>
      <c r="L134" s="183"/>
    </row>
    <row r="135" spans="10:12" ht="15.75" customHeight="1">
      <c r="J135" s="182"/>
      <c r="K135" s="183"/>
      <c r="L135" s="183"/>
    </row>
    <row r="136" spans="10:12" ht="15.75" customHeight="1">
      <c r="J136" s="182"/>
      <c r="K136" s="183"/>
      <c r="L136" s="183"/>
    </row>
    <row r="137" spans="10:12" ht="15.75" customHeight="1">
      <c r="J137" s="182"/>
      <c r="K137" s="183"/>
      <c r="L137" s="183"/>
    </row>
    <row r="138" spans="10:12" ht="15.75" customHeight="1">
      <c r="J138" s="182"/>
      <c r="K138" s="183"/>
      <c r="L138" s="183"/>
    </row>
    <row r="139" spans="10:12" ht="15.75" customHeight="1">
      <c r="J139" s="182"/>
      <c r="K139" s="183"/>
      <c r="L139" s="183"/>
    </row>
    <row r="140" spans="10:12" ht="15.75" customHeight="1">
      <c r="J140" s="182"/>
      <c r="K140" s="183"/>
      <c r="L140" s="183"/>
    </row>
    <row r="141" spans="10:12" ht="15.75" customHeight="1">
      <c r="J141" s="182"/>
      <c r="K141" s="183"/>
      <c r="L141" s="183"/>
    </row>
    <row r="142" spans="10:12" ht="15.75" customHeight="1">
      <c r="J142" s="182"/>
      <c r="K142" s="183"/>
      <c r="L142" s="183"/>
    </row>
    <row r="143" spans="10:12" ht="15.75" customHeight="1">
      <c r="J143" s="182"/>
      <c r="K143" s="183"/>
      <c r="L143" s="183"/>
    </row>
    <row r="144" spans="10:12" ht="15.75" customHeight="1">
      <c r="J144" s="182"/>
      <c r="K144" s="183"/>
      <c r="L144" s="183"/>
    </row>
    <row r="145" spans="10:12" ht="15.75" customHeight="1">
      <c r="J145" s="182"/>
      <c r="K145" s="183"/>
      <c r="L145" s="183"/>
    </row>
    <row r="146" spans="10:12" ht="15.75" customHeight="1">
      <c r="J146" s="182"/>
      <c r="K146" s="183"/>
      <c r="L146" s="183"/>
    </row>
    <row r="147" spans="10:12" ht="15.75" customHeight="1">
      <c r="J147" s="182"/>
      <c r="K147" s="183"/>
      <c r="L147" s="183"/>
    </row>
    <row r="148" spans="10:12" ht="15.75" customHeight="1">
      <c r="J148" s="182"/>
      <c r="K148" s="183"/>
      <c r="L148" s="183"/>
    </row>
    <row r="149" spans="10:12" ht="15.75" customHeight="1">
      <c r="J149" s="182"/>
      <c r="K149" s="183"/>
      <c r="L149" s="183"/>
    </row>
    <row r="150" spans="10:12" ht="15.75" customHeight="1">
      <c r="J150" s="182"/>
      <c r="K150" s="183"/>
      <c r="L150" s="183"/>
    </row>
    <row r="151" spans="10:12" ht="15.75" customHeight="1">
      <c r="J151" s="182"/>
      <c r="K151" s="183"/>
      <c r="L151" s="183"/>
    </row>
    <row r="152" spans="10:12" ht="15.75" customHeight="1">
      <c r="J152" s="182"/>
      <c r="K152" s="183"/>
      <c r="L152" s="183"/>
    </row>
    <row r="153" spans="10:12" ht="15.75" customHeight="1">
      <c r="J153" s="182"/>
      <c r="K153" s="183"/>
      <c r="L153" s="183"/>
    </row>
    <row r="154" spans="10:12" ht="15.75" customHeight="1">
      <c r="J154" s="182"/>
      <c r="K154" s="183"/>
      <c r="L154" s="183"/>
    </row>
    <row r="155" spans="10:12" ht="15.75" customHeight="1">
      <c r="J155" s="182"/>
      <c r="K155" s="183"/>
      <c r="L155" s="183"/>
    </row>
    <row r="156" spans="10:12" ht="15.75" customHeight="1">
      <c r="J156" s="182"/>
      <c r="K156" s="183"/>
      <c r="L156" s="183"/>
    </row>
    <row r="157" spans="10:12" ht="15.75" customHeight="1">
      <c r="J157" s="182"/>
      <c r="K157" s="183"/>
      <c r="L157" s="183"/>
    </row>
    <row r="158" spans="10:12" ht="15.75" customHeight="1">
      <c r="J158" s="182"/>
      <c r="K158" s="183"/>
      <c r="L158" s="183"/>
    </row>
    <row r="159" spans="10:12" ht="15.75" customHeight="1">
      <c r="J159" s="182"/>
      <c r="K159" s="183"/>
      <c r="L159" s="183"/>
    </row>
    <row r="160" spans="10:12" ht="15.75" customHeight="1">
      <c r="J160" s="182"/>
      <c r="K160" s="183"/>
      <c r="L160" s="183"/>
    </row>
    <row r="161" spans="10:12" ht="15.75" customHeight="1">
      <c r="J161" s="182"/>
      <c r="K161" s="183"/>
      <c r="L161" s="183"/>
    </row>
    <row r="162" spans="10:12" ht="15.75" customHeight="1">
      <c r="J162" s="182"/>
      <c r="K162" s="183"/>
      <c r="L162" s="183"/>
    </row>
    <row r="163" spans="10:12" ht="15.75" customHeight="1">
      <c r="J163" s="182"/>
      <c r="K163" s="183"/>
      <c r="L163" s="183"/>
    </row>
    <row r="164" spans="10:12" ht="15.75" customHeight="1">
      <c r="J164" s="182"/>
      <c r="K164" s="183"/>
      <c r="L164" s="183"/>
    </row>
    <row r="165" spans="10:12" ht="15.75" customHeight="1">
      <c r="J165" s="182"/>
      <c r="K165" s="183"/>
      <c r="L165" s="183"/>
    </row>
    <row r="166" spans="10:12" ht="15.75" customHeight="1">
      <c r="J166" s="182"/>
      <c r="K166" s="183"/>
      <c r="L166" s="183"/>
    </row>
    <row r="167" spans="10:12" ht="15.75" customHeight="1">
      <c r="J167" s="182"/>
      <c r="K167" s="183"/>
      <c r="L167" s="183"/>
    </row>
    <row r="168" spans="10:12" ht="15.75" customHeight="1">
      <c r="J168" s="182"/>
      <c r="K168" s="183"/>
      <c r="L168" s="183"/>
    </row>
    <row r="169" spans="10:12" ht="15.75" customHeight="1">
      <c r="J169" s="182"/>
      <c r="K169" s="183"/>
      <c r="L169" s="183"/>
    </row>
    <row r="170" spans="10:12" ht="15.75" customHeight="1">
      <c r="J170" s="182"/>
      <c r="K170" s="183"/>
      <c r="L170" s="183"/>
    </row>
    <row r="171" spans="10:12" ht="15.75" customHeight="1">
      <c r="J171" s="182"/>
      <c r="K171" s="183"/>
      <c r="L171" s="183"/>
    </row>
    <row r="172" spans="10:12" ht="15.75" customHeight="1">
      <c r="J172" s="182"/>
      <c r="K172" s="183"/>
      <c r="L172" s="183"/>
    </row>
    <row r="173" spans="10:12" ht="15.75" customHeight="1">
      <c r="J173" s="182"/>
      <c r="K173" s="183"/>
      <c r="L173" s="183"/>
    </row>
    <row r="174" spans="10:12" ht="15.75" customHeight="1">
      <c r="J174" s="182"/>
      <c r="K174" s="183"/>
      <c r="L174" s="183"/>
    </row>
    <row r="175" spans="10:12" ht="15.75" customHeight="1">
      <c r="J175" s="182"/>
      <c r="K175" s="183"/>
      <c r="L175" s="183"/>
    </row>
    <row r="176" spans="10:12" ht="15.75" customHeight="1">
      <c r="J176" s="182"/>
      <c r="K176" s="183"/>
      <c r="L176" s="183"/>
    </row>
    <row r="177" spans="10:12" ht="15.75" customHeight="1">
      <c r="J177" s="182"/>
      <c r="K177" s="183"/>
      <c r="L177" s="183"/>
    </row>
    <row r="178" spans="10:12" ht="15.75" customHeight="1">
      <c r="J178" s="182"/>
      <c r="K178" s="183"/>
      <c r="L178" s="183"/>
    </row>
    <row r="179" spans="10:12" ht="15.75" customHeight="1">
      <c r="J179" s="182"/>
      <c r="K179" s="183"/>
      <c r="L179" s="183"/>
    </row>
    <row r="180" spans="10:12" ht="15.75" customHeight="1">
      <c r="J180" s="182"/>
      <c r="K180" s="183"/>
      <c r="L180" s="183"/>
    </row>
    <row r="181" spans="10:12" ht="15.75" customHeight="1">
      <c r="J181" s="182"/>
      <c r="K181" s="183"/>
      <c r="L181" s="183"/>
    </row>
    <row r="182" spans="10:12" ht="15.75" customHeight="1">
      <c r="J182" s="182"/>
      <c r="K182" s="183"/>
      <c r="L182" s="183"/>
    </row>
    <row r="183" spans="10:12" ht="15.75" customHeight="1">
      <c r="J183" s="182"/>
      <c r="K183" s="183"/>
      <c r="L183" s="183"/>
    </row>
    <row r="184" spans="10:12" ht="15.75" customHeight="1">
      <c r="J184" s="182"/>
      <c r="K184" s="183"/>
      <c r="L184" s="183"/>
    </row>
    <row r="185" spans="10:12" ht="15.75" customHeight="1">
      <c r="J185" s="182"/>
      <c r="K185" s="183"/>
      <c r="L185" s="183"/>
    </row>
    <row r="186" spans="10:12" ht="15.75" customHeight="1">
      <c r="J186" s="182"/>
      <c r="K186" s="183"/>
      <c r="L186" s="183"/>
    </row>
    <row r="187" spans="10:12" ht="15.75" customHeight="1">
      <c r="J187" s="182"/>
      <c r="K187" s="183"/>
      <c r="L187" s="183"/>
    </row>
    <row r="188" spans="10:12" ht="15.75" customHeight="1">
      <c r="J188" s="182"/>
      <c r="K188" s="183"/>
      <c r="L188" s="183"/>
    </row>
    <row r="189" spans="10:12" ht="15.75" customHeight="1">
      <c r="J189" s="182"/>
      <c r="K189" s="183"/>
      <c r="L189" s="183"/>
    </row>
    <row r="190" spans="10:12" ht="15.75" customHeight="1">
      <c r="J190" s="182"/>
      <c r="K190" s="183"/>
      <c r="L190" s="183"/>
    </row>
    <row r="191" spans="10:12" ht="15.75" customHeight="1">
      <c r="J191" s="182"/>
      <c r="K191" s="183"/>
      <c r="L191" s="183"/>
    </row>
    <row r="192" spans="10:12" ht="15.75" customHeight="1">
      <c r="J192" s="182"/>
      <c r="K192" s="183"/>
      <c r="L192" s="183"/>
    </row>
    <row r="193" spans="10:12" ht="15.75" customHeight="1">
      <c r="J193" s="182"/>
      <c r="K193" s="183"/>
      <c r="L193" s="183"/>
    </row>
    <row r="194" spans="10:12" ht="15.75" customHeight="1">
      <c r="J194" s="182"/>
      <c r="K194" s="183"/>
      <c r="L194" s="183"/>
    </row>
    <row r="195" spans="10:12" ht="15.75" customHeight="1">
      <c r="J195" s="182"/>
      <c r="K195" s="183"/>
      <c r="L195" s="183"/>
    </row>
    <row r="196" spans="10:12" ht="15.75" customHeight="1">
      <c r="J196" s="182"/>
      <c r="K196" s="183"/>
      <c r="L196" s="183"/>
    </row>
    <row r="197" spans="10:12" ht="15.75" customHeight="1">
      <c r="J197" s="182"/>
      <c r="K197" s="183"/>
      <c r="L197" s="183"/>
    </row>
    <row r="198" spans="10:12" ht="15.75" customHeight="1">
      <c r="J198" s="182"/>
      <c r="K198" s="183"/>
      <c r="L198" s="183"/>
    </row>
    <row r="199" spans="10:12" ht="15.75" customHeight="1">
      <c r="J199" s="182"/>
      <c r="K199" s="183"/>
      <c r="L199" s="183"/>
    </row>
    <row r="200" spans="10:12" ht="15.75" customHeight="1">
      <c r="J200" s="182"/>
      <c r="K200" s="183"/>
      <c r="L200" s="183"/>
    </row>
    <row r="201" spans="10:12" ht="15.75" customHeight="1">
      <c r="J201" s="182"/>
      <c r="K201" s="183"/>
      <c r="L201" s="183"/>
    </row>
    <row r="202" spans="10:12" ht="15.75" customHeight="1">
      <c r="J202" s="182"/>
      <c r="K202" s="183"/>
      <c r="L202" s="183"/>
    </row>
    <row r="203" spans="10:12" ht="15.75" customHeight="1">
      <c r="J203" s="182"/>
      <c r="K203" s="183"/>
      <c r="L203" s="183"/>
    </row>
    <row r="204" spans="10:12" ht="15.75" customHeight="1">
      <c r="J204" s="182"/>
      <c r="K204" s="183"/>
      <c r="L204" s="183"/>
    </row>
    <row r="205" spans="10:12" ht="15.75" customHeight="1">
      <c r="J205" s="182"/>
      <c r="K205" s="183"/>
      <c r="L205" s="183"/>
    </row>
    <row r="206" spans="10:12" ht="15.75" customHeight="1">
      <c r="J206" s="182"/>
      <c r="K206" s="183"/>
      <c r="L206" s="183"/>
    </row>
    <row r="207" spans="10:12" ht="15.75" customHeight="1">
      <c r="J207" s="182"/>
      <c r="K207" s="183"/>
      <c r="L207" s="183"/>
    </row>
    <row r="208" spans="10:12" ht="15.75" customHeight="1">
      <c r="J208" s="182"/>
      <c r="K208" s="183"/>
      <c r="L208" s="183"/>
    </row>
    <row r="209" spans="10:12" ht="15.75" customHeight="1">
      <c r="J209" s="182"/>
      <c r="K209" s="183"/>
      <c r="L209" s="183"/>
    </row>
    <row r="210" spans="10:12" ht="15.75" customHeight="1">
      <c r="J210" s="182"/>
      <c r="K210" s="183"/>
      <c r="L210" s="183"/>
    </row>
    <row r="211" spans="10:12" ht="15.75" customHeight="1">
      <c r="J211" s="182"/>
      <c r="K211" s="183"/>
      <c r="L211" s="183"/>
    </row>
    <row r="212" spans="10:12" ht="15.75" customHeight="1">
      <c r="J212" s="182"/>
      <c r="K212" s="183"/>
      <c r="L212" s="183"/>
    </row>
    <row r="213" spans="10:12" ht="15.75" customHeight="1">
      <c r="J213" s="182"/>
      <c r="K213" s="183"/>
      <c r="L213" s="183"/>
    </row>
    <row r="214" spans="10:12" ht="15.75" customHeight="1">
      <c r="J214" s="182"/>
      <c r="K214" s="183"/>
      <c r="L214" s="183"/>
    </row>
    <row r="215" spans="10:12" ht="15.75" customHeight="1">
      <c r="J215" s="182"/>
      <c r="K215" s="183"/>
      <c r="L215" s="183"/>
    </row>
    <row r="216" spans="10:12" ht="15.75" customHeight="1">
      <c r="J216" s="182"/>
      <c r="K216" s="183"/>
      <c r="L216" s="183"/>
    </row>
    <row r="217" spans="10:12" ht="15.75" customHeight="1">
      <c r="J217" s="182"/>
      <c r="K217" s="183"/>
      <c r="L217" s="183"/>
    </row>
    <row r="218" spans="10:12" ht="15.75" customHeight="1">
      <c r="J218" s="182"/>
      <c r="K218" s="183"/>
      <c r="L218" s="183"/>
    </row>
    <row r="219" spans="10:12" ht="15.75" customHeight="1">
      <c r="J219" s="182"/>
      <c r="K219" s="183"/>
      <c r="L219" s="183"/>
    </row>
    <row r="220" spans="10:12" ht="15.75" customHeight="1">
      <c r="J220" s="182"/>
      <c r="K220" s="183"/>
      <c r="L220" s="183"/>
    </row>
    <row r="221" spans="10:12" ht="15.75" customHeight="1">
      <c r="J221" s="182"/>
      <c r="K221" s="183"/>
      <c r="L221" s="183"/>
    </row>
    <row r="222" spans="10:12" ht="15.75" customHeight="1">
      <c r="J222" s="182"/>
      <c r="K222" s="183"/>
      <c r="L222" s="183"/>
    </row>
    <row r="223" spans="10:12" ht="15.75" customHeight="1">
      <c r="J223" s="182"/>
      <c r="K223" s="183"/>
      <c r="L223" s="183"/>
    </row>
    <row r="224" spans="10:12" ht="15.75" customHeight="1">
      <c r="J224" s="182"/>
      <c r="K224" s="183"/>
      <c r="L224" s="183"/>
    </row>
    <row r="225" spans="10:12" ht="15.75" customHeight="1">
      <c r="J225" s="182"/>
      <c r="K225" s="183"/>
      <c r="L225" s="183"/>
    </row>
    <row r="226" spans="10:12" ht="15.75" customHeight="1">
      <c r="J226" s="182"/>
      <c r="K226" s="183"/>
      <c r="L226" s="183"/>
    </row>
    <row r="227" spans="10:12" ht="15.75" customHeight="1">
      <c r="J227" s="182"/>
      <c r="K227" s="183"/>
      <c r="L227" s="183"/>
    </row>
    <row r="228" spans="10:12" ht="15.75" customHeight="1">
      <c r="J228" s="182"/>
      <c r="K228" s="183"/>
      <c r="L228" s="183"/>
    </row>
    <row r="229" spans="10:12" ht="15.75" customHeight="1">
      <c r="J229" s="182"/>
      <c r="K229" s="183"/>
      <c r="L229" s="183"/>
    </row>
    <row r="230" spans="10:12" ht="15.75" customHeight="1">
      <c r="J230" s="182"/>
      <c r="K230" s="183"/>
      <c r="L230" s="183"/>
    </row>
    <row r="231" spans="10:12" ht="15.75" customHeight="1">
      <c r="J231" s="182"/>
      <c r="K231" s="183"/>
      <c r="L231" s="183"/>
    </row>
    <row r="232" spans="10:12" ht="15.75" customHeight="1">
      <c r="J232" s="182"/>
      <c r="K232" s="183"/>
      <c r="L232" s="183"/>
    </row>
    <row r="233" spans="10:12" ht="15.75" customHeight="1">
      <c r="J233" s="182"/>
      <c r="K233" s="183"/>
      <c r="L233" s="183"/>
    </row>
    <row r="234" spans="10:12" ht="15.75" customHeight="1">
      <c r="J234" s="182"/>
      <c r="K234" s="183"/>
      <c r="L234" s="183"/>
    </row>
    <row r="235" spans="10:12" ht="15.75" customHeight="1">
      <c r="J235" s="182"/>
      <c r="K235" s="183"/>
      <c r="L235" s="183"/>
    </row>
    <row r="236" spans="10:12" ht="15.75" customHeight="1">
      <c r="J236" s="182"/>
      <c r="K236" s="183"/>
      <c r="L236" s="183"/>
    </row>
    <row r="237" spans="10:12" ht="15.75" customHeight="1">
      <c r="J237" s="182"/>
      <c r="K237" s="183"/>
      <c r="L237" s="183"/>
    </row>
    <row r="238" spans="10:12" ht="15.75" customHeight="1">
      <c r="J238" s="182"/>
      <c r="K238" s="183"/>
      <c r="L238" s="183"/>
    </row>
    <row r="239" spans="10:12" ht="15.75" customHeight="1">
      <c r="J239" s="182"/>
      <c r="K239" s="183"/>
      <c r="L239" s="183"/>
    </row>
    <row r="240" spans="10:12" ht="15.75" customHeight="1">
      <c r="J240" s="182"/>
      <c r="K240" s="183"/>
      <c r="L240" s="183"/>
    </row>
    <row r="241" spans="10:12" ht="15.75" customHeight="1">
      <c r="J241" s="182"/>
      <c r="K241" s="183"/>
      <c r="L241" s="183"/>
    </row>
    <row r="242" spans="10:12" ht="15.75" customHeight="1">
      <c r="J242" s="182"/>
      <c r="K242" s="183"/>
      <c r="L242" s="183"/>
    </row>
    <row r="243" spans="10:12" ht="15.75" customHeight="1">
      <c r="J243" s="182"/>
      <c r="K243" s="183"/>
      <c r="L243" s="183"/>
    </row>
    <row r="244" spans="10:12" ht="15.75" customHeight="1">
      <c r="J244" s="182"/>
      <c r="K244" s="183"/>
      <c r="L244" s="183"/>
    </row>
    <row r="245" spans="10:12" ht="15.75" customHeight="1">
      <c r="J245" s="182"/>
      <c r="K245" s="183"/>
      <c r="L245" s="183"/>
    </row>
    <row r="246" spans="10:12" ht="15.75" customHeight="1">
      <c r="J246" s="182"/>
      <c r="K246" s="183"/>
      <c r="L246" s="183"/>
    </row>
    <row r="247" spans="10:12" ht="15.75" customHeight="1">
      <c r="J247" s="182"/>
      <c r="K247" s="183"/>
      <c r="L247" s="183"/>
    </row>
    <row r="248" spans="10:12" ht="15.75" customHeight="1">
      <c r="J248" s="182"/>
      <c r="K248" s="183"/>
      <c r="L248" s="183"/>
    </row>
    <row r="249" spans="10:12" ht="15.75" customHeight="1">
      <c r="J249" s="182"/>
      <c r="K249" s="183"/>
      <c r="L249" s="183"/>
    </row>
    <row r="250" spans="10:12" ht="15.75" customHeight="1">
      <c r="J250" s="182"/>
      <c r="K250" s="183"/>
      <c r="L250" s="183"/>
    </row>
    <row r="251" spans="10:12" ht="15.75" customHeight="1">
      <c r="J251" s="182"/>
      <c r="K251" s="183"/>
      <c r="L251" s="183"/>
    </row>
    <row r="252" spans="10:12" ht="15.75" customHeight="1">
      <c r="J252" s="182"/>
      <c r="K252" s="183"/>
      <c r="L252" s="183"/>
    </row>
    <row r="253" spans="10:12" ht="15.75" customHeight="1">
      <c r="J253" s="182"/>
      <c r="K253" s="183"/>
      <c r="L253" s="183"/>
    </row>
    <row r="254" spans="10:12" ht="15.75" customHeight="1">
      <c r="J254" s="182"/>
      <c r="K254" s="183"/>
      <c r="L254" s="183"/>
    </row>
    <row r="255" spans="10:12" ht="15.75" customHeight="1">
      <c r="J255" s="182"/>
      <c r="K255" s="183"/>
      <c r="L255" s="183"/>
    </row>
    <row r="256" spans="10:12" ht="15.75" customHeight="1">
      <c r="J256" s="182"/>
      <c r="K256" s="183"/>
      <c r="L256" s="183"/>
    </row>
    <row r="257" spans="10:12" ht="15.75" customHeight="1">
      <c r="J257" s="182"/>
      <c r="K257" s="183"/>
      <c r="L257" s="183"/>
    </row>
    <row r="258" spans="10:12" ht="15.75" customHeight="1">
      <c r="J258" s="182"/>
      <c r="K258" s="183"/>
      <c r="L258" s="183"/>
    </row>
    <row r="259" spans="10:12" ht="15.75" customHeight="1">
      <c r="J259" s="182"/>
      <c r="K259" s="183"/>
      <c r="L259" s="183"/>
    </row>
    <row r="260" spans="10:12" ht="15.75" customHeight="1">
      <c r="J260" s="182"/>
      <c r="K260" s="183"/>
      <c r="L260" s="183"/>
    </row>
    <row r="261" spans="10:12" ht="15.75" customHeight="1">
      <c r="J261" s="182"/>
      <c r="K261" s="183"/>
      <c r="L261" s="183"/>
    </row>
    <row r="262" spans="10:12" ht="15.75" customHeight="1">
      <c r="J262" s="182"/>
      <c r="K262" s="183"/>
      <c r="L262" s="183"/>
    </row>
    <row r="263" spans="10:12" ht="15.75" customHeight="1">
      <c r="J263" s="182"/>
      <c r="K263" s="183"/>
      <c r="L263" s="183"/>
    </row>
    <row r="264" spans="10:12" ht="15.75" customHeight="1">
      <c r="J264" s="182"/>
      <c r="K264" s="183"/>
      <c r="L264" s="183"/>
    </row>
    <row r="265" spans="10:12" ht="15.75" customHeight="1">
      <c r="J265" s="182"/>
      <c r="K265" s="183"/>
      <c r="L265" s="183"/>
    </row>
    <row r="266" spans="10:12" ht="15.75" customHeight="1">
      <c r="J266" s="182"/>
      <c r="K266" s="183"/>
      <c r="L266" s="183"/>
    </row>
    <row r="267" spans="10:12" ht="15.75" customHeight="1">
      <c r="J267" s="182"/>
      <c r="K267" s="183"/>
      <c r="L267" s="183"/>
    </row>
    <row r="268" spans="10:12" ht="15.75" customHeight="1">
      <c r="J268" s="182"/>
      <c r="K268" s="183"/>
      <c r="L268" s="183"/>
    </row>
    <row r="269" spans="10:12" ht="15.75" customHeight="1">
      <c r="J269" s="182"/>
      <c r="K269" s="183"/>
      <c r="L269" s="183"/>
    </row>
    <row r="270" spans="10:12" ht="15.75" customHeight="1">
      <c r="J270" s="182"/>
      <c r="K270" s="183"/>
      <c r="L270" s="183"/>
    </row>
    <row r="271" spans="10:12" ht="15.75" customHeight="1">
      <c r="J271" s="182"/>
      <c r="K271" s="183"/>
      <c r="L271" s="183"/>
    </row>
    <row r="272" spans="10:12" ht="15.75" customHeight="1">
      <c r="J272" s="182"/>
      <c r="K272" s="183"/>
      <c r="L272" s="183"/>
    </row>
    <row r="273" spans="10:12" ht="15.75" customHeight="1">
      <c r="J273" s="182"/>
      <c r="K273" s="183"/>
      <c r="L273" s="183"/>
    </row>
    <row r="274" spans="10:12" ht="15.75" customHeight="1">
      <c r="J274" s="182"/>
      <c r="K274" s="183"/>
      <c r="L274" s="183"/>
    </row>
    <row r="275" spans="10:12" ht="15.75" customHeight="1">
      <c r="J275" s="182"/>
      <c r="K275" s="183"/>
      <c r="L275" s="183"/>
    </row>
    <row r="276" spans="10:12" ht="15.75" customHeight="1">
      <c r="J276" s="182"/>
      <c r="K276" s="183"/>
      <c r="L276" s="183"/>
    </row>
    <row r="277" spans="10:12" ht="15.75" customHeight="1">
      <c r="J277" s="182"/>
      <c r="K277" s="183"/>
      <c r="L277" s="183"/>
    </row>
    <row r="278" spans="10:12" ht="15.75" customHeight="1">
      <c r="J278" s="182"/>
      <c r="K278" s="183"/>
      <c r="L278" s="183"/>
    </row>
    <row r="279" spans="10:12" ht="15.75" customHeight="1">
      <c r="J279" s="182"/>
      <c r="K279" s="183"/>
      <c r="L279" s="183"/>
    </row>
    <row r="280" spans="10:12" ht="15.75" customHeight="1">
      <c r="J280" s="182"/>
      <c r="K280" s="183"/>
      <c r="L280" s="183"/>
    </row>
    <row r="281" spans="10:12" ht="15.75" customHeight="1">
      <c r="J281" s="182"/>
      <c r="K281" s="183"/>
      <c r="L281" s="183"/>
    </row>
    <row r="282" spans="10:12" ht="15.75" customHeight="1">
      <c r="J282" s="182"/>
      <c r="K282" s="183"/>
      <c r="L282" s="183"/>
    </row>
    <row r="283" spans="10:12" ht="15.75" customHeight="1">
      <c r="J283" s="182"/>
      <c r="K283" s="183"/>
      <c r="L283" s="183"/>
    </row>
    <row r="284" spans="10:12" ht="15.75" customHeight="1">
      <c r="J284" s="182"/>
      <c r="K284" s="183"/>
      <c r="L284" s="183"/>
    </row>
    <row r="285" spans="10:12" ht="15.75" customHeight="1">
      <c r="J285" s="182"/>
      <c r="K285" s="183"/>
      <c r="L285" s="183"/>
    </row>
    <row r="286" spans="10:12" ht="15.75" customHeight="1">
      <c r="J286" s="182"/>
      <c r="K286" s="183"/>
      <c r="L286" s="183"/>
    </row>
    <row r="287" spans="10:12" ht="15.75" customHeight="1">
      <c r="J287" s="182"/>
      <c r="K287" s="183"/>
      <c r="L287" s="183"/>
    </row>
    <row r="288" spans="10:12" ht="15.75" customHeight="1">
      <c r="J288" s="182"/>
      <c r="K288" s="183"/>
      <c r="L288" s="183"/>
    </row>
    <row r="289" spans="10:12" ht="15.75" customHeight="1">
      <c r="J289" s="182"/>
      <c r="K289" s="183"/>
      <c r="L289" s="183"/>
    </row>
    <row r="290" spans="10:12" ht="15.75" customHeight="1">
      <c r="J290" s="182"/>
      <c r="K290" s="183"/>
      <c r="L290" s="183"/>
    </row>
    <row r="291" spans="10:12" ht="15.75" customHeight="1">
      <c r="J291" s="182"/>
      <c r="K291" s="183"/>
      <c r="L291" s="183"/>
    </row>
    <row r="292" spans="10:12" ht="15.75" customHeight="1">
      <c r="J292" s="182"/>
      <c r="K292" s="183"/>
      <c r="L292" s="183"/>
    </row>
    <row r="293" spans="10:12" ht="15.75" customHeight="1">
      <c r="J293" s="182"/>
      <c r="K293" s="183"/>
      <c r="L293" s="183"/>
    </row>
    <row r="294" spans="10:12" ht="15.75" customHeight="1">
      <c r="J294" s="182"/>
      <c r="K294" s="183"/>
      <c r="L294" s="183"/>
    </row>
    <row r="295" spans="10:12" ht="15.75" customHeight="1">
      <c r="J295" s="182"/>
      <c r="K295" s="183"/>
      <c r="L295" s="183"/>
    </row>
    <row r="296" spans="10:12" ht="15.75" customHeight="1">
      <c r="J296" s="182"/>
      <c r="K296" s="183"/>
      <c r="L296" s="183"/>
    </row>
    <row r="297" spans="10:12" ht="15.75" customHeight="1">
      <c r="J297" s="182"/>
      <c r="K297" s="183"/>
      <c r="L297" s="183"/>
    </row>
    <row r="298" spans="10:12" ht="15.75" customHeight="1">
      <c r="J298" s="182"/>
      <c r="K298" s="183"/>
      <c r="L298" s="183"/>
    </row>
    <row r="299" spans="10:12" ht="15.75" customHeight="1">
      <c r="J299" s="182"/>
      <c r="K299" s="183"/>
      <c r="L299" s="183"/>
    </row>
    <row r="300" spans="10:12" ht="15.75" customHeight="1">
      <c r="J300" s="182"/>
      <c r="K300" s="183"/>
      <c r="L300" s="183"/>
    </row>
    <row r="301" spans="10:12" ht="15.75" customHeight="1">
      <c r="J301" s="182"/>
      <c r="K301" s="183"/>
      <c r="L301" s="183"/>
    </row>
    <row r="302" spans="10:12" ht="15.75" customHeight="1">
      <c r="J302" s="182"/>
      <c r="K302" s="183"/>
      <c r="L302" s="183"/>
    </row>
    <row r="303" spans="10:12" ht="15.75" customHeight="1">
      <c r="J303" s="182"/>
      <c r="K303" s="183"/>
      <c r="L303" s="183"/>
    </row>
    <row r="304" spans="10:12" ht="15.75" customHeight="1">
      <c r="J304" s="182"/>
      <c r="K304" s="183"/>
      <c r="L304" s="183"/>
    </row>
    <row r="305" spans="10:12" ht="15.75" customHeight="1">
      <c r="J305" s="182"/>
      <c r="K305" s="183"/>
      <c r="L305" s="183"/>
    </row>
    <row r="306" spans="10:12" ht="15.75" customHeight="1">
      <c r="J306" s="182"/>
      <c r="K306" s="183"/>
      <c r="L306" s="183"/>
    </row>
    <row r="307" spans="10:12" ht="15.75" customHeight="1">
      <c r="J307" s="182"/>
      <c r="K307" s="183"/>
      <c r="L307" s="183"/>
    </row>
    <row r="308" spans="10:12" ht="15.75" customHeight="1">
      <c r="J308" s="182"/>
      <c r="K308" s="183"/>
      <c r="L308" s="183"/>
    </row>
    <row r="309" spans="10:12" ht="15.75" customHeight="1">
      <c r="J309" s="182"/>
      <c r="K309" s="183"/>
      <c r="L309" s="183"/>
    </row>
    <row r="310" spans="10:12" ht="15.75" customHeight="1">
      <c r="J310" s="182"/>
      <c r="K310" s="183"/>
      <c r="L310" s="183"/>
    </row>
    <row r="311" spans="10:12" ht="15.75" customHeight="1">
      <c r="J311" s="182"/>
      <c r="K311" s="183"/>
      <c r="L311" s="183"/>
    </row>
    <row r="312" spans="10:12" ht="15.75" customHeight="1">
      <c r="J312" s="182"/>
      <c r="K312" s="183"/>
      <c r="L312" s="183"/>
    </row>
    <row r="313" spans="10:12" ht="15.75" customHeight="1">
      <c r="J313" s="182"/>
      <c r="K313" s="183"/>
      <c r="L313" s="183"/>
    </row>
    <row r="314" spans="10:12" ht="15.75" customHeight="1">
      <c r="J314" s="182"/>
      <c r="K314" s="183"/>
      <c r="L314" s="183"/>
    </row>
    <row r="315" spans="10:12" ht="15.75" customHeight="1">
      <c r="J315" s="182"/>
      <c r="K315" s="183"/>
      <c r="L315" s="183"/>
    </row>
    <row r="316" spans="10:12" ht="15.75" customHeight="1">
      <c r="J316" s="182"/>
      <c r="K316" s="183"/>
      <c r="L316" s="183"/>
    </row>
    <row r="317" spans="10:12" ht="15.75" customHeight="1">
      <c r="J317" s="182"/>
      <c r="K317" s="183"/>
      <c r="L317" s="183"/>
    </row>
    <row r="318" spans="10:12" ht="15.75" customHeight="1">
      <c r="J318" s="182"/>
      <c r="K318" s="183"/>
      <c r="L318" s="183"/>
    </row>
    <row r="319" spans="10:12" ht="15.75" customHeight="1">
      <c r="J319" s="182"/>
      <c r="K319" s="183"/>
      <c r="L319" s="183"/>
    </row>
    <row r="320" spans="10:12" ht="15.75" customHeight="1">
      <c r="J320" s="182"/>
      <c r="K320" s="183"/>
      <c r="L320" s="183"/>
    </row>
    <row r="321" spans="10:12" ht="15.75" customHeight="1">
      <c r="J321" s="182"/>
      <c r="K321" s="183"/>
      <c r="L321" s="183"/>
    </row>
    <row r="322" spans="10:12" ht="15.75" customHeight="1">
      <c r="J322" s="182"/>
      <c r="K322" s="183"/>
      <c r="L322" s="183"/>
    </row>
    <row r="323" spans="10:12" ht="15.75" customHeight="1">
      <c r="J323" s="182"/>
      <c r="K323" s="183"/>
      <c r="L323" s="183"/>
    </row>
    <row r="324" spans="10:12" ht="15.75" customHeight="1">
      <c r="J324" s="182"/>
      <c r="K324" s="183"/>
      <c r="L324" s="183"/>
    </row>
    <row r="325" spans="10:12" ht="15.75" customHeight="1">
      <c r="J325" s="182"/>
      <c r="K325" s="183"/>
      <c r="L325" s="183"/>
    </row>
    <row r="326" spans="10:12" ht="15.75" customHeight="1">
      <c r="J326" s="182"/>
      <c r="K326" s="183"/>
      <c r="L326" s="183"/>
    </row>
    <row r="327" spans="10:12" ht="15.75" customHeight="1">
      <c r="J327" s="182"/>
      <c r="K327" s="183"/>
      <c r="L327" s="183"/>
    </row>
    <row r="328" spans="10:12" ht="15.75" customHeight="1">
      <c r="J328" s="182"/>
      <c r="K328" s="183"/>
      <c r="L328" s="183"/>
    </row>
    <row r="329" spans="10:12" ht="15.75" customHeight="1">
      <c r="J329" s="182"/>
      <c r="K329" s="183"/>
      <c r="L329" s="183"/>
    </row>
    <row r="330" spans="10:12" ht="15.75" customHeight="1">
      <c r="J330" s="182"/>
      <c r="K330" s="183"/>
      <c r="L330" s="183"/>
    </row>
    <row r="331" spans="10:12" ht="15.75" customHeight="1">
      <c r="J331" s="182"/>
      <c r="K331" s="183"/>
      <c r="L331" s="183"/>
    </row>
    <row r="332" spans="10:12" ht="15.75" customHeight="1">
      <c r="J332" s="182"/>
      <c r="K332" s="183"/>
      <c r="L332" s="183"/>
    </row>
    <row r="333" spans="10:12" ht="15.75" customHeight="1">
      <c r="J333" s="182"/>
      <c r="K333" s="183"/>
      <c r="L333" s="183"/>
    </row>
    <row r="334" spans="10:12" ht="15.75" customHeight="1">
      <c r="J334" s="182"/>
      <c r="K334" s="183"/>
      <c r="L334" s="183"/>
    </row>
    <row r="335" spans="10:12" ht="15.75" customHeight="1">
      <c r="J335" s="182"/>
      <c r="K335" s="183"/>
      <c r="L335" s="183"/>
    </row>
    <row r="336" spans="10:12" ht="15.75" customHeight="1">
      <c r="J336" s="182"/>
      <c r="K336" s="183"/>
      <c r="L336" s="183"/>
    </row>
    <row r="337" spans="10:12" ht="15.75" customHeight="1">
      <c r="J337" s="182"/>
      <c r="K337" s="183"/>
      <c r="L337" s="183"/>
    </row>
    <row r="338" spans="10:12" ht="15.75" customHeight="1">
      <c r="J338" s="182"/>
      <c r="K338" s="183"/>
      <c r="L338" s="183"/>
    </row>
    <row r="339" spans="10:12" ht="15.75" customHeight="1">
      <c r="J339" s="182"/>
      <c r="K339" s="183"/>
      <c r="L339" s="183"/>
    </row>
    <row r="340" spans="10:12" ht="15.75" customHeight="1">
      <c r="J340" s="182"/>
      <c r="K340" s="183"/>
      <c r="L340" s="183"/>
    </row>
    <row r="341" spans="10:12" ht="15.75" customHeight="1">
      <c r="J341" s="182"/>
      <c r="K341" s="183"/>
      <c r="L341" s="183"/>
    </row>
    <row r="342" spans="10:12" ht="15.75" customHeight="1">
      <c r="J342" s="182"/>
      <c r="K342" s="183"/>
      <c r="L342" s="183"/>
    </row>
    <row r="343" spans="10:12" ht="15.75" customHeight="1">
      <c r="J343" s="182"/>
      <c r="K343" s="183"/>
      <c r="L343" s="183"/>
    </row>
    <row r="344" spans="10:12" ht="15.75" customHeight="1">
      <c r="J344" s="182"/>
      <c r="K344" s="183"/>
      <c r="L344" s="183"/>
    </row>
    <row r="345" spans="10:12" ht="15.75" customHeight="1">
      <c r="J345" s="182"/>
      <c r="K345" s="183"/>
      <c r="L345" s="183"/>
    </row>
    <row r="346" spans="10:12" ht="15.75" customHeight="1">
      <c r="J346" s="182"/>
      <c r="K346" s="183"/>
      <c r="L346" s="183"/>
    </row>
    <row r="347" spans="10:12" ht="15.75" customHeight="1">
      <c r="J347" s="182"/>
      <c r="K347" s="183"/>
      <c r="L347" s="183"/>
    </row>
    <row r="348" spans="10:12" ht="15.75" customHeight="1">
      <c r="J348" s="182"/>
      <c r="K348" s="183"/>
      <c r="L348" s="183"/>
    </row>
    <row r="349" spans="10:12" ht="15.75" customHeight="1">
      <c r="J349" s="182"/>
      <c r="K349" s="183"/>
      <c r="L349" s="183"/>
    </row>
    <row r="350" spans="10:12" ht="15.75" customHeight="1">
      <c r="J350" s="182"/>
      <c r="K350" s="183"/>
      <c r="L350" s="183"/>
    </row>
    <row r="351" spans="10:12" ht="15.75" customHeight="1">
      <c r="J351" s="182"/>
      <c r="K351" s="183"/>
      <c r="L351" s="183"/>
    </row>
    <row r="352" spans="10:12" ht="15.75" customHeight="1">
      <c r="J352" s="182"/>
      <c r="K352" s="183"/>
      <c r="L352" s="183"/>
    </row>
    <row r="353" spans="10:12" ht="15.75" customHeight="1">
      <c r="J353" s="182"/>
      <c r="K353" s="183"/>
      <c r="L353" s="183"/>
    </row>
    <row r="354" spans="10:12" ht="15.75" customHeight="1">
      <c r="J354" s="182"/>
      <c r="K354" s="183"/>
      <c r="L354" s="183"/>
    </row>
    <row r="355" spans="10:12" ht="15.75" customHeight="1">
      <c r="J355" s="182"/>
      <c r="K355" s="183"/>
      <c r="L355" s="183"/>
    </row>
    <row r="356" spans="10:12" ht="15.75" customHeight="1">
      <c r="J356" s="182"/>
      <c r="K356" s="183"/>
      <c r="L356" s="183"/>
    </row>
    <row r="357" spans="10:12" ht="15.75" customHeight="1">
      <c r="J357" s="182"/>
      <c r="K357" s="183"/>
      <c r="L357" s="183"/>
    </row>
    <row r="358" spans="10:12" ht="15.75" customHeight="1">
      <c r="J358" s="182"/>
      <c r="K358" s="183"/>
      <c r="L358" s="183"/>
    </row>
    <row r="359" spans="10:12" ht="15.75" customHeight="1">
      <c r="J359" s="182"/>
      <c r="K359" s="183"/>
      <c r="L359" s="183"/>
    </row>
    <row r="360" spans="10:12" ht="15.75" customHeight="1">
      <c r="J360" s="182"/>
      <c r="K360" s="183"/>
      <c r="L360" s="183"/>
    </row>
    <row r="361" spans="10:12" ht="15.75" customHeight="1">
      <c r="J361" s="182"/>
      <c r="K361" s="183"/>
      <c r="L361" s="183"/>
    </row>
    <row r="362" spans="10:12" ht="15.75" customHeight="1">
      <c r="J362" s="182"/>
      <c r="K362" s="183"/>
      <c r="L362" s="183"/>
    </row>
    <row r="363" spans="10:12" ht="15.75" customHeight="1">
      <c r="J363" s="182"/>
      <c r="K363" s="183"/>
      <c r="L363" s="183"/>
    </row>
    <row r="364" spans="10:12" ht="15.75" customHeight="1">
      <c r="J364" s="182"/>
      <c r="K364" s="183"/>
      <c r="L364" s="183"/>
    </row>
    <row r="365" spans="10:12" ht="15.75" customHeight="1">
      <c r="J365" s="182"/>
      <c r="K365" s="183"/>
      <c r="L365" s="183"/>
    </row>
    <row r="366" spans="10:12" ht="15.75" customHeight="1">
      <c r="J366" s="182"/>
      <c r="K366" s="183"/>
      <c r="L366" s="183"/>
    </row>
    <row r="367" spans="10:12" ht="15.75" customHeight="1">
      <c r="J367" s="182"/>
      <c r="K367" s="183"/>
      <c r="L367" s="183"/>
    </row>
    <row r="368" spans="10:12" ht="15.75" customHeight="1">
      <c r="J368" s="182"/>
      <c r="K368" s="183"/>
      <c r="L368" s="183"/>
    </row>
    <row r="369" spans="10:12" ht="15.75" customHeight="1">
      <c r="J369" s="182"/>
      <c r="K369" s="183"/>
      <c r="L369" s="183"/>
    </row>
    <row r="370" spans="10:12" ht="15.75" customHeight="1">
      <c r="J370" s="182"/>
      <c r="K370" s="183"/>
      <c r="L370" s="183"/>
    </row>
    <row r="371" spans="10:12" ht="15.75" customHeight="1">
      <c r="J371" s="182"/>
      <c r="K371" s="183"/>
      <c r="L371" s="183"/>
    </row>
    <row r="372" spans="10:12" ht="15.75" customHeight="1">
      <c r="J372" s="182"/>
      <c r="K372" s="183"/>
      <c r="L372" s="183"/>
    </row>
    <row r="373" spans="10:12" ht="15.75" customHeight="1">
      <c r="J373" s="182"/>
      <c r="K373" s="183"/>
      <c r="L373" s="183"/>
    </row>
    <row r="374" spans="10:12" ht="15.75" customHeight="1">
      <c r="J374" s="182"/>
      <c r="K374" s="183"/>
      <c r="L374" s="183"/>
    </row>
    <row r="375" spans="10:12" ht="15.75" customHeight="1">
      <c r="J375" s="182"/>
      <c r="K375" s="183"/>
      <c r="L375" s="183"/>
    </row>
    <row r="376" spans="10:12" ht="15.75" customHeight="1">
      <c r="J376" s="182"/>
      <c r="K376" s="183"/>
      <c r="L376" s="183"/>
    </row>
    <row r="377" spans="10:12" ht="15.75" customHeight="1">
      <c r="J377" s="182"/>
      <c r="K377" s="183"/>
      <c r="L377" s="183"/>
    </row>
    <row r="378" spans="10:12" ht="15.75" customHeight="1">
      <c r="J378" s="182"/>
      <c r="K378" s="183"/>
      <c r="L378" s="183"/>
    </row>
    <row r="379" spans="10:12" ht="15.75" customHeight="1">
      <c r="J379" s="182"/>
      <c r="K379" s="183"/>
      <c r="L379" s="183"/>
    </row>
    <row r="380" spans="10:12" ht="15.75" customHeight="1">
      <c r="J380" s="182"/>
      <c r="K380" s="183"/>
      <c r="L380" s="183"/>
    </row>
    <row r="381" spans="10:12" ht="15.75" customHeight="1">
      <c r="J381" s="182"/>
      <c r="K381" s="183"/>
      <c r="L381" s="183"/>
    </row>
    <row r="382" spans="10:12" ht="15.75" customHeight="1">
      <c r="J382" s="182"/>
      <c r="K382" s="183"/>
      <c r="L382" s="183"/>
    </row>
    <row r="383" spans="10:12" ht="15.75" customHeight="1">
      <c r="J383" s="182"/>
      <c r="K383" s="183"/>
      <c r="L383" s="183"/>
    </row>
    <row r="384" spans="10:12" ht="15.75" customHeight="1">
      <c r="J384" s="182"/>
      <c r="K384" s="183"/>
      <c r="L384" s="183"/>
    </row>
    <row r="385" spans="10:12" ht="15.75" customHeight="1">
      <c r="J385" s="182"/>
      <c r="K385" s="183"/>
      <c r="L385" s="183"/>
    </row>
    <row r="386" spans="10:12" ht="15.75" customHeight="1">
      <c r="J386" s="182"/>
      <c r="K386" s="183"/>
      <c r="L386" s="183"/>
    </row>
    <row r="387" spans="10:12" ht="15.75" customHeight="1">
      <c r="J387" s="182"/>
      <c r="K387" s="183"/>
      <c r="L387" s="183"/>
    </row>
    <row r="388" spans="10:12" ht="15.75" customHeight="1">
      <c r="J388" s="182"/>
      <c r="K388" s="183"/>
      <c r="L388" s="183"/>
    </row>
    <row r="389" spans="10:12" ht="15.75" customHeight="1">
      <c r="J389" s="182"/>
      <c r="K389" s="183"/>
      <c r="L389" s="183"/>
    </row>
    <row r="390" spans="10:12" ht="15.75" customHeight="1">
      <c r="J390" s="182"/>
      <c r="K390" s="183"/>
      <c r="L390" s="183"/>
    </row>
    <row r="391" spans="10:12" ht="15.75" customHeight="1">
      <c r="J391" s="182"/>
      <c r="K391" s="183"/>
      <c r="L391" s="183"/>
    </row>
    <row r="392" spans="10:12" ht="15.75" customHeight="1">
      <c r="J392" s="182"/>
      <c r="K392" s="183"/>
      <c r="L392" s="183"/>
    </row>
    <row r="393" spans="10:12" ht="15.75" customHeight="1">
      <c r="J393" s="182"/>
      <c r="K393" s="183"/>
      <c r="L393" s="183"/>
    </row>
    <row r="394" spans="10:12" ht="15.75" customHeight="1">
      <c r="J394" s="182"/>
      <c r="K394" s="183"/>
      <c r="L394" s="183"/>
    </row>
    <row r="395" spans="10:12" ht="15.75" customHeight="1">
      <c r="J395" s="182"/>
      <c r="K395" s="183"/>
      <c r="L395" s="183"/>
    </row>
    <row r="396" spans="10:12" ht="15.75" customHeight="1">
      <c r="J396" s="182"/>
      <c r="K396" s="183"/>
      <c r="L396" s="183"/>
    </row>
    <row r="397" spans="10:12" ht="15.75" customHeight="1">
      <c r="J397" s="182"/>
      <c r="K397" s="183"/>
      <c r="L397" s="183"/>
    </row>
    <row r="398" spans="10:12" ht="15.75" customHeight="1">
      <c r="J398" s="182"/>
      <c r="K398" s="183"/>
      <c r="L398" s="183"/>
    </row>
    <row r="399" spans="10:12" ht="15.75" customHeight="1">
      <c r="J399" s="182"/>
      <c r="K399" s="183"/>
      <c r="L399" s="183"/>
    </row>
    <row r="400" spans="10:12" ht="15.75" customHeight="1">
      <c r="J400" s="182"/>
      <c r="K400" s="183"/>
      <c r="L400" s="183"/>
    </row>
    <row r="401" spans="10:12" ht="15.75" customHeight="1">
      <c r="J401" s="182"/>
      <c r="K401" s="183"/>
      <c r="L401" s="183"/>
    </row>
    <row r="402" spans="10:12" ht="15.75" customHeight="1">
      <c r="J402" s="182"/>
      <c r="K402" s="183"/>
      <c r="L402" s="183"/>
    </row>
    <row r="403" spans="10:12" ht="15.75" customHeight="1">
      <c r="J403" s="182"/>
      <c r="K403" s="183"/>
      <c r="L403" s="183"/>
    </row>
    <row r="404" spans="10:12" ht="15.75" customHeight="1">
      <c r="J404" s="182"/>
      <c r="K404" s="183"/>
      <c r="L404" s="183"/>
    </row>
    <row r="405" spans="10:12" ht="15.75" customHeight="1">
      <c r="J405" s="182"/>
      <c r="K405" s="183"/>
      <c r="L405" s="183"/>
    </row>
    <row r="406" spans="10:12" ht="15.75" customHeight="1">
      <c r="J406" s="182"/>
      <c r="K406" s="183"/>
      <c r="L406" s="183"/>
    </row>
    <row r="407" spans="10:12" ht="15.75" customHeight="1">
      <c r="J407" s="182"/>
      <c r="K407" s="183"/>
      <c r="L407" s="183"/>
    </row>
    <row r="408" spans="10:12" ht="15.75" customHeight="1">
      <c r="J408" s="182"/>
      <c r="K408" s="183"/>
      <c r="L408" s="183"/>
    </row>
    <row r="409" spans="10:12" ht="15.75" customHeight="1">
      <c r="J409" s="182"/>
      <c r="K409" s="183"/>
      <c r="L409" s="183"/>
    </row>
    <row r="410" spans="10:12" ht="15.75" customHeight="1">
      <c r="J410" s="182"/>
      <c r="K410" s="183"/>
      <c r="L410" s="183"/>
    </row>
    <row r="411" spans="10:12" ht="15.75" customHeight="1">
      <c r="J411" s="182"/>
      <c r="K411" s="183"/>
      <c r="L411" s="183"/>
    </row>
    <row r="412" spans="10:12" ht="15.75" customHeight="1">
      <c r="J412" s="182"/>
      <c r="K412" s="183"/>
      <c r="L412" s="183"/>
    </row>
    <row r="413" spans="10:12" ht="15.75" customHeight="1">
      <c r="J413" s="182"/>
      <c r="K413" s="183"/>
      <c r="L413" s="183"/>
    </row>
    <row r="414" spans="10:12" ht="15.75" customHeight="1">
      <c r="J414" s="182"/>
      <c r="K414" s="183"/>
      <c r="L414" s="183"/>
    </row>
    <row r="415" spans="10:12" ht="15.75" customHeight="1">
      <c r="J415" s="182"/>
      <c r="K415" s="183"/>
      <c r="L415" s="183"/>
    </row>
    <row r="416" spans="10:12" ht="15.75" customHeight="1">
      <c r="J416" s="182"/>
      <c r="K416" s="183"/>
      <c r="L416" s="183"/>
    </row>
    <row r="417" spans="10:12" ht="15.75" customHeight="1">
      <c r="J417" s="182"/>
      <c r="K417" s="183"/>
      <c r="L417" s="183"/>
    </row>
    <row r="418" spans="10:12" ht="15.75" customHeight="1">
      <c r="J418" s="182"/>
      <c r="K418" s="183"/>
      <c r="L418" s="183"/>
    </row>
    <row r="419" spans="10:12" ht="15.75" customHeight="1">
      <c r="J419" s="182"/>
      <c r="K419" s="183"/>
      <c r="L419" s="183"/>
    </row>
    <row r="420" spans="10:12" ht="15.75" customHeight="1">
      <c r="J420" s="182"/>
      <c r="K420" s="183"/>
      <c r="L420" s="183"/>
    </row>
    <row r="421" spans="10:12" ht="15.75" customHeight="1">
      <c r="J421" s="182"/>
      <c r="K421" s="183"/>
      <c r="L421" s="183"/>
    </row>
    <row r="422" spans="10:12" ht="15.75" customHeight="1">
      <c r="J422" s="182"/>
      <c r="K422" s="183"/>
      <c r="L422" s="183"/>
    </row>
    <row r="423" spans="10:12" ht="15.75" customHeight="1">
      <c r="J423" s="182"/>
      <c r="K423" s="183"/>
      <c r="L423" s="183"/>
    </row>
    <row r="424" spans="10:12" ht="15.75" customHeight="1">
      <c r="J424" s="182"/>
      <c r="K424" s="183"/>
      <c r="L424" s="183"/>
    </row>
    <row r="425" spans="10:12" ht="15.75" customHeight="1">
      <c r="J425" s="182"/>
      <c r="K425" s="183"/>
      <c r="L425" s="183"/>
    </row>
    <row r="426" spans="10:12" ht="15.75" customHeight="1">
      <c r="J426" s="182"/>
      <c r="K426" s="183"/>
      <c r="L426" s="183"/>
    </row>
    <row r="427" spans="10:12" ht="15.75" customHeight="1">
      <c r="J427" s="182"/>
      <c r="K427" s="183"/>
      <c r="L427" s="183"/>
    </row>
    <row r="428" spans="10:12" ht="15.75" customHeight="1">
      <c r="J428" s="182"/>
      <c r="K428" s="183"/>
      <c r="L428" s="183"/>
    </row>
    <row r="429" spans="10:12" ht="15.75" customHeight="1">
      <c r="J429" s="182"/>
      <c r="K429" s="183"/>
      <c r="L429" s="183"/>
    </row>
    <row r="430" spans="10:12" ht="15.75" customHeight="1">
      <c r="J430" s="182"/>
      <c r="K430" s="183"/>
      <c r="L430" s="183"/>
    </row>
    <row r="431" spans="10:12" ht="15.75" customHeight="1">
      <c r="J431" s="182"/>
      <c r="K431" s="183"/>
      <c r="L431" s="183"/>
    </row>
    <row r="432" spans="10:12" ht="15.75" customHeight="1">
      <c r="J432" s="182"/>
      <c r="K432" s="183"/>
      <c r="L432" s="183"/>
    </row>
    <row r="433" spans="10:12" ht="15.75" customHeight="1">
      <c r="J433" s="182"/>
      <c r="K433" s="183"/>
      <c r="L433" s="183"/>
    </row>
    <row r="434" spans="10:12" ht="15.75" customHeight="1">
      <c r="J434" s="182"/>
      <c r="K434" s="183"/>
      <c r="L434" s="183"/>
    </row>
    <row r="435" spans="10:12" ht="15.75" customHeight="1">
      <c r="J435" s="182"/>
      <c r="K435" s="183"/>
      <c r="L435" s="183"/>
    </row>
    <row r="436" spans="10:12" ht="15.75" customHeight="1">
      <c r="J436" s="182"/>
      <c r="K436" s="183"/>
      <c r="L436" s="183"/>
    </row>
    <row r="437" spans="10:12" ht="15.75" customHeight="1">
      <c r="J437" s="182"/>
      <c r="K437" s="183"/>
      <c r="L437" s="183"/>
    </row>
    <row r="438" spans="10:12" ht="15.75" customHeight="1">
      <c r="J438" s="182"/>
      <c r="K438" s="183"/>
      <c r="L438" s="183"/>
    </row>
    <row r="439" spans="10:12" ht="15.75" customHeight="1">
      <c r="J439" s="182"/>
      <c r="K439" s="183"/>
      <c r="L439" s="183"/>
    </row>
    <row r="440" spans="10:12" ht="15.75" customHeight="1">
      <c r="J440" s="182"/>
      <c r="K440" s="183"/>
      <c r="L440" s="183"/>
    </row>
    <row r="441" spans="10:12" ht="15.75" customHeight="1">
      <c r="J441" s="182"/>
      <c r="K441" s="183"/>
      <c r="L441" s="183"/>
    </row>
    <row r="442" spans="10:12" ht="15.75" customHeight="1">
      <c r="J442" s="182"/>
      <c r="K442" s="183"/>
      <c r="L442" s="183"/>
    </row>
    <row r="443" spans="10:12" ht="15.75" customHeight="1">
      <c r="J443" s="182"/>
      <c r="K443" s="183"/>
      <c r="L443" s="183"/>
    </row>
    <row r="444" spans="10:12" ht="15.75" customHeight="1">
      <c r="J444" s="182"/>
      <c r="K444" s="183"/>
      <c r="L444" s="183"/>
    </row>
    <row r="445" spans="10:12" ht="15.75" customHeight="1">
      <c r="J445" s="182"/>
      <c r="K445" s="183"/>
      <c r="L445" s="183"/>
    </row>
    <row r="446" spans="10:12" ht="15.75" customHeight="1">
      <c r="J446" s="182"/>
      <c r="K446" s="183"/>
      <c r="L446" s="183"/>
    </row>
    <row r="447" spans="10:12" ht="15.75" customHeight="1">
      <c r="J447" s="182"/>
      <c r="K447" s="183"/>
      <c r="L447" s="183"/>
    </row>
    <row r="448" spans="10:12" ht="15.75" customHeight="1">
      <c r="J448" s="182"/>
      <c r="K448" s="183"/>
      <c r="L448" s="183"/>
    </row>
    <row r="449" spans="10:12" ht="15.75" customHeight="1">
      <c r="J449" s="182"/>
      <c r="K449" s="183"/>
      <c r="L449" s="183"/>
    </row>
    <row r="450" spans="10:12" ht="15.75" customHeight="1">
      <c r="J450" s="182"/>
      <c r="K450" s="183"/>
      <c r="L450" s="183"/>
    </row>
    <row r="451" spans="10:12" ht="15.75" customHeight="1">
      <c r="J451" s="182"/>
      <c r="K451" s="183"/>
      <c r="L451" s="183"/>
    </row>
    <row r="452" spans="10:12" ht="15.75" customHeight="1">
      <c r="J452" s="182"/>
      <c r="K452" s="183"/>
      <c r="L452" s="183"/>
    </row>
    <row r="453" spans="10:12" ht="15.75" customHeight="1">
      <c r="J453" s="182"/>
      <c r="K453" s="183"/>
      <c r="L453" s="183"/>
    </row>
    <row r="454" spans="10:12" ht="15.75" customHeight="1">
      <c r="J454" s="182"/>
      <c r="K454" s="183"/>
      <c r="L454" s="183"/>
    </row>
    <row r="455" spans="10:12" ht="15.75" customHeight="1">
      <c r="J455" s="182"/>
      <c r="K455" s="183"/>
      <c r="L455" s="183"/>
    </row>
    <row r="456" spans="10:12" ht="15.75" customHeight="1">
      <c r="J456" s="182"/>
      <c r="K456" s="183"/>
      <c r="L456" s="183"/>
    </row>
    <row r="457" spans="10:12" ht="15.75" customHeight="1">
      <c r="J457" s="182"/>
      <c r="K457" s="183"/>
      <c r="L457" s="183"/>
    </row>
    <row r="458" spans="10:12" ht="15.75" customHeight="1">
      <c r="J458" s="182"/>
      <c r="K458" s="183"/>
      <c r="L458" s="183"/>
    </row>
    <row r="459" spans="10:12" ht="15.75" customHeight="1">
      <c r="J459" s="182"/>
      <c r="K459" s="183"/>
      <c r="L459" s="183"/>
    </row>
    <row r="460" spans="10:12" ht="15.75" customHeight="1">
      <c r="J460" s="182"/>
      <c r="K460" s="183"/>
      <c r="L460" s="183"/>
    </row>
    <row r="461" spans="10:12" ht="15.75" customHeight="1">
      <c r="J461" s="182"/>
      <c r="K461" s="183"/>
      <c r="L461" s="183"/>
    </row>
    <row r="462" spans="10:12" ht="15.75" customHeight="1">
      <c r="J462" s="182"/>
      <c r="K462" s="183"/>
      <c r="L462" s="183"/>
    </row>
    <row r="463" spans="10:12" ht="15.75" customHeight="1">
      <c r="J463" s="182"/>
      <c r="K463" s="183"/>
      <c r="L463" s="183"/>
    </row>
    <row r="464" spans="10:12" ht="15.75" customHeight="1">
      <c r="J464" s="182"/>
      <c r="K464" s="183"/>
      <c r="L464" s="183"/>
    </row>
    <row r="465" spans="10:12" ht="15.75" customHeight="1">
      <c r="J465" s="182"/>
      <c r="K465" s="183"/>
      <c r="L465" s="183"/>
    </row>
    <row r="466" spans="10:12" ht="15.75" customHeight="1">
      <c r="J466" s="182"/>
      <c r="K466" s="183"/>
      <c r="L466" s="183"/>
    </row>
    <row r="467" spans="10:12" ht="15.75" customHeight="1">
      <c r="J467" s="182"/>
      <c r="K467" s="183"/>
      <c r="L467" s="183"/>
    </row>
    <row r="468" spans="10:12" ht="15.75" customHeight="1">
      <c r="J468" s="182"/>
      <c r="K468" s="183"/>
      <c r="L468" s="183"/>
    </row>
    <row r="469" spans="10:12" ht="15.75" customHeight="1">
      <c r="J469" s="182"/>
      <c r="K469" s="183"/>
      <c r="L469" s="183"/>
    </row>
    <row r="470" spans="10:12" ht="15.75" customHeight="1">
      <c r="J470" s="182"/>
      <c r="K470" s="183"/>
      <c r="L470" s="183"/>
    </row>
    <row r="471" spans="10:12" ht="15.75" customHeight="1">
      <c r="J471" s="182"/>
      <c r="K471" s="183"/>
      <c r="L471" s="183"/>
    </row>
    <row r="472" spans="10:12" ht="15.75" customHeight="1">
      <c r="J472" s="182"/>
      <c r="K472" s="183"/>
      <c r="L472" s="183"/>
    </row>
    <row r="473" spans="10:12" ht="15.75" customHeight="1">
      <c r="J473" s="182"/>
      <c r="K473" s="183"/>
      <c r="L473" s="183"/>
    </row>
    <row r="474" spans="10:12" ht="15.75" customHeight="1">
      <c r="J474" s="182"/>
      <c r="K474" s="183"/>
      <c r="L474" s="183"/>
    </row>
    <row r="475" spans="10:12" ht="15.75" customHeight="1">
      <c r="J475" s="182"/>
      <c r="K475" s="183"/>
      <c r="L475" s="183"/>
    </row>
    <row r="476" spans="10:12" ht="15.75" customHeight="1">
      <c r="J476" s="182"/>
      <c r="K476" s="183"/>
      <c r="L476" s="183"/>
    </row>
    <row r="477" spans="10:12" ht="15.75" customHeight="1">
      <c r="J477" s="182"/>
      <c r="K477" s="183"/>
      <c r="L477" s="183"/>
    </row>
    <row r="478" spans="10:12" ht="15.75" customHeight="1">
      <c r="J478" s="182"/>
      <c r="K478" s="183"/>
      <c r="L478" s="183"/>
    </row>
    <row r="479" spans="10:12" ht="15.75" customHeight="1">
      <c r="J479" s="182"/>
      <c r="K479" s="183"/>
      <c r="L479" s="183"/>
    </row>
    <row r="480" spans="10:12" ht="15.75" customHeight="1">
      <c r="J480" s="182"/>
      <c r="K480" s="183"/>
      <c r="L480" s="183"/>
    </row>
    <row r="481" spans="10:12" ht="15.75" customHeight="1">
      <c r="J481" s="182"/>
      <c r="K481" s="183"/>
      <c r="L481" s="183"/>
    </row>
    <row r="482" spans="10:12" ht="15.75" customHeight="1">
      <c r="J482" s="182"/>
      <c r="K482" s="183"/>
      <c r="L482" s="183"/>
    </row>
    <row r="483" spans="10:12" ht="15.75" customHeight="1">
      <c r="J483" s="182"/>
      <c r="K483" s="183"/>
      <c r="L483" s="183"/>
    </row>
    <row r="484" spans="10:12" ht="15.75" customHeight="1">
      <c r="J484" s="182"/>
      <c r="K484" s="183"/>
      <c r="L484" s="183"/>
    </row>
    <row r="485" spans="10:12" ht="15.75" customHeight="1">
      <c r="J485" s="182"/>
      <c r="K485" s="183"/>
      <c r="L485" s="183"/>
    </row>
    <row r="486" spans="10:12" ht="15.75" customHeight="1">
      <c r="J486" s="182"/>
      <c r="K486" s="183"/>
      <c r="L486" s="183"/>
    </row>
    <row r="487" spans="10:12" ht="15.75" customHeight="1">
      <c r="J487" s="182"/>
      <c r="K487" s="183"/>
      <c r="L487" s="183"/>
    </row>
    <row r="488" spans="10:12" ht="15.75" customHeight="1">
      <c r="J488" s="182"/>
      <c r="K488" s="183"/>
      <c r="L488" s="183"/>
    </row>
    <row r="489" spans="10:12" ht="15.75" customHeight="1">
      <c r="J489" s="182"/>
      <c r="K489" s="183"/>
      <c r="L489" s="183"/>
    </row>
    <row r="490" spans="10:12" ht="15.75" customHeight="1">
      <c r="J490" s="182"/>
      <c r="K490" s="183"/>
      <c r="L490" s="183"/>
    </row>
    <row r="491" spans="10:12" ht="15.75" customHeight="1">
      <c r="J491" s="182"/>
      <c r="K491" s="183"/>
      <c r="L491" s="183"/>
    </row>
    <row r="492" spans="10:12" ht="15.75" customHeight="1">
      <c r="J492" s="182"/>
      <c r="K492" s="183"/>
      <c r="L492" s="183"/>
    </row>
    <row r="493" spans="10:12" ht="15.75" customHeight="1">
      <c r="J493" s="182"/>
      <c r="K493" s="183"/>
      <c r="L493" s="183"/>
    </row>
    <row r="494" spans="10:12" ht="15.75" customHeight="1">
      <c r="J494" s="182"/>
      <c r="K494" s="183"/>
      <c r="L494" s="183"/>
    </row>
    <row r="495" spans="10:12" ht="15.75" customHeight="1">
      <c r="J495" s="182"/>
      <c r="K495" s="183"/>
      <c r="L495" s="183"/>
    </row>
    <row r="496" spans="10:12" ht="15.75" customHeight="1">
      <c r="J496" s="182"/>
      <c r="K496" s="183"/>
      <c r="L496" s="183"/>
    </row>
    <row r="497" spans="10:12" ht="15.75" customHeight="1">
      <c r="J497" s="182"/>
      <c r="K497" s="183"/>
      <c r="L497" s="183"/>
    </row>
    <row r="498" spans="10:12" ht="15.75" customHeight="1">
      <c r="J498" s="182"/>
      <c r="K498" s="183"/>
      <c r="L498" s="183"/>
    </row>
    <row r="499" spans="10:12" ht="15.75" customHeight="1">
      <c r="J499" s="182"/>
      <c r="K499" s="183"/>
      <c r="L499" s="183"/>
    </row>
    <row r="500" spans="10:12" ht="15.75" customHeight="1">
      <c r="J500" s="182"/>
      <c r="K500" s="183"/>
      <c r="L500" s="183"/>
    </row>
    <row r="501" spans="10:12" ht="15.75" customHeight="1">
      <c r="J501" s="182"/>
      <c r="K501" s="183"/>
      <c r="L501" s="183"/>
    </row>
    <row r="502" spans="10:12" ht="15.75" customHeight="1">
      <c r="J502" s="182"/>
      <c r="K502" s="183"/>
      <c r="L502" s="183"/>
    </row>
    <row r="503" spans="10:12" ht="15.75" customHeight="1">
      <c r="J503" s="182"/>
      <c r="K503" s="183"/>
      <c r="L503" s="183"/>
    </row>
    <row r="504" spans="10:12" ht="15.75" customHeight="1">
      <c r="J504" s="182"/>
      <c r="K504" s="183"/>
      <c r="L504" s="183"/>
    </row>
    <row r="505" spans="10:12" ht="15.75" customHeight="1">
      <c r="J505" s="182"/>
      <c r="K505" s="183"/>
      <c r="L505" s="183"/>
    </row>
    <row r="506" spans="10:12" ht="15.75" customHeight="1">
      <c r="J506" s="182"/>
      <c r="K506" s="183"/>
      <c r="L506" s="183"/>
    </row>
    <row r="507" spans="10:12" ht="15.75" customHeight="1">
      <c r="J507" s="182"/>
      <c r="K507" s="183"/>
      <c r="L507" s="183"/>
    </row>
    <row r="508" spans="10:12" ht="15.75" customHeight="1">
      <c r="J508" s="182"/>
      <c r="K508" s="183"/>
      <c r="L508" s="183"/>
    </row>
    <row r="509" spans="10:12" ht="15.75" customHeight="1">
      <c r="J509" s="182"/>
      <c r="K509" s="183"/>
      <c r="L509" s="183"/>
    </row>
    <row r="510" spans="10:12" ht="15.75" customHeight="1">
      <c r="J510" s="182"/>
      <c r="K510" s="183"/>
      <c r="L510" s="183"/>
    </row>
    <row r="511" spans="10:12" ht="15.75" customHeight="1">
      <c r="J511" s="182"/>
      <c r="K511" s="183"/>
      <c r="L511" s="183"/>
    </row>
    <row r="512" spans="10:12" ht="15.75" customHeight="1">
      <c r="J512" s="182"/>
      <c r="K512" s="183"/>
      <c r="L512" s="183"/>
    </row>
    <row r="513" spans="10:12" ht="15.75" customHeight="1">
      <c r="J513" s="182"/>
      <c r="K513" s="183"/>
      <c r="L513" s="183"/>
    </row>
    <row r="514" spans="10:12" ht="15.75" customHeight="1">
      <c r="J514" s="182"/>
      <c r="K514" s="183"/>
      <c r="L514" s="183"/>
    </row>
    <row r="515" spans="10:12" ht="15.75" customHeight="1">
      <c r="J515" s="182"/>
      <c r="K515" s="183"/>
      <c r="L515" s="183"/>
    </row>
    <row r="516" spans="10:12" ht="15.75" customHeight="1">
      <c r="J516" s="182"/>
      <c r="K516" s="183"/>
      <c r="L516" s="183"/>
    </row>
    <row r="517" spans="10:12" ht="15.75" customHeight="1">
      <c r="J517" s="182"/>
      <c r="K517" s="183"/>
      <c r="L517" s="183"/>
    </row>
    <row r="518" spans="10:12" ht="15.75" customHeight="1">
      <c r="J518" s="182"/>
      <c r="K518" s="183"/>
      <c r="L518" s="183"/>
    </row>
    <row r="519" spans="10:12" ht="15.75" customHeight="1">
      <c r="J519" s="182"/>
      <c r="K519" s="183"/>
      <c r="L519" s="183"/>
    </row>
    <row r="520" spans="10:12" ht="15.75" customHeight="1">
      <c r="J520" s="182"/>
      <c r="K520" s="183"/>
      <c r="L520" s="183"/>
    </row>
    <row r="521" spans="10:12" ht="15.75" customHeight="1">
      <c r="J521" s="182"/>
      <c r="K521" s="183"/>
      <c r="L521" s="183"/>
    </row>
    <row r="522" spans="10:12" ht="15.75" customHeight="1">
      <c r="J522" s="182"/>
      <c r="K522" s="183"/>
      <c r="L522" s="183"/>
    </row>
    <row r="523" spans="10:12" ht="15.75" customHeight="1">
      <c r="J523" s="182"/>
      <c r="K523" s="183"/>
      <c r="L523" s="183"/>
    </row>
    <row r="524" spans="10:12" ht="15.75" customHeight="1">
      <c r="J524" s="182"/>
      <c r="K524" s="183"/>
      <c r="L524" s="183"/>
    </row>
    <row r="525" spans="10:12" ht="15.75" customHeight="1">
      <c r="J525" s="182"/>
      <c r="K525" s="183"/>
      <c r="L525" s="183"/>
    </row>
    <row r="526" spans="10:12" ht="15.75" customHeight="1">
      <c r="J526" s="182"/>
      <c r="K526" s="183"/>
      <c r="L526" s="183"/>
    </row>
    <row r="527" spans="10:12" ht="15.75" customHeight="1">
      <c r="J527" s="182"/>
      <c r="K527" s="183"/>
      <c r="L527" s="183"/>
    </row>
    <row r="528" spans="10:12" ht="15.75" customHeight="1">
      <c r="J528" s="182"/>
      <c r="K528" s="183"/>
      <c r="L528" s="183"/>
    </row>
    <row r="529" spans="10:12" ht="15.75" customHeight="1">
      <c r="J529" s="182"/>
      <c r="K529" s="183"/>
      <c r="L529" s="183"/>
    </row>
    <row r="530" spans="10:12" ht="15.75" customHeight="1">
      <c r="J530" s="182"/>
      <c r="K530" s="183"/>
      <c r="L530" s="183"/>
    </row>
    <row r="531" spans="10:12" ht="15.75" customHeight="1">
      <c r="J531" s="182"/>
      <c r="K531" s="183"/>
      <c r="L531" s="183"/>
    </row>
    <row r="532" spans="10:12" ht="15.75" customHeight="1">
      <c r="J532" s="182"/>
      <c r="K532" s="183"/>
      <c r="L532" s="183"/>
    </row>
    <row r="533" spans="10:12" ht="15.75" customHeight="1">
      <c r="J533" s="182"/>
      <c r="K533" s="183"/>
      <c r="L533" s="183"/>
    </row>
    <row r="534" spans="10:12" ht="15.75" customHeight="1">
      <c r="J534" s="182"/>
      <c r="K534" s="183"/>
      <c r="L534" s="183"/>
    </row>
    <row r="535" spans="10:12" ht="15.75" customHeight="1">
      <c r="J535" s="182"/>
      <c r="K535" s="183"/>
      <c r="L535" s="183"/>
    </row>
    <row r="536" spans="10:12" ht="15.75" customHeight="1">
      <c r="J536" s="182"/>
      <c r="K536" s="183"/>
      <c r="L536" s="183"/>
    </row>
    <row r="537" spans="10:12" ht="15.75" customHeight="1">
      <c r="J537" s="182"/>
      <c r="K537" s="183"/>
      <c r="L537" s="183"/>
    </row>
    <row r="538" spans="10:12" ht="15.75" customHeight="1">
      <c r="J538" s="182"/>
      <c r="K538" s="183"/>
      <c r="L538" s="183"/>
    </row>
    <row r="539" spans="10:12" ht="15.75" customHeight="1">
      <c r="J539" s="182"/>
      <c r="K539" s="183"/>
      <c r="L539" s="183"/>
    </row>
    <row r="540" spans="10:12" ht="15.75" customHeight="1">
      <c r="J540" s="182"/>
      <c r="K540" s="183"/>
      <c r="L540" s="183"/>
    </row>
    <row r="541" spans="10:12" ht="15.75" customHeight="1">
      <c r="J541" s="182"/>
      <c r="K541" s="183"/>
      <c r="L541" s="183"/>
    </row>
    <row r="542" spans="10:12" ht="15.75" customHeight="1">
      <c r="J542" s="182"/>
      <c r="K542" s="183"/>
      <c r="L542" s="183"/>
    </row>
    <row r="543" spans="10:12" ht="15.75" customHeight="1">
      <c r="J543" s="182"/>
      <c r="K543" s="183"/>
      <c r="L543" s="183"/>
    </row>
    <row r="544" spans="10:12" ht="15.75" customHeight="1">
      <c r="J544" s="182"/>
      <c r="K544" s="183"/>
      <c r="L544" s="183"/>
    </row>
    <row r="545" spans="10:12" ht="15.75" customHeight="1">
      <c r="J545" s="182"/>
      <c r="K545" s="183"/>
      <c r="L545" s="183"/>
    </row>
    <row r="546" spans="10:12" ht="15.75" customHeight="1">
      <c r="J546" s="182"/>
      <c r="K546" s="183"/>
      <c r="L546" s="183"/>
    </row>
    <row r="547" spans="10:12" ht="15.75" customHeight="1">
      <c r="J547" s="182"/>
      <c r="K547" s="183"/>
      <c r="L547" s="183"/>
    </row>
    <row r="548" spans="10:12" ht="15.75" customHeight="1">
      <c r="J548" s="182"/>
      <c r="K548" s="183"/>
      <c r="L548" s="183"/>
    </row>
    <row r="549" spans="10:12" ht="15.75" customHeight="1">
      <c r="J549" s="182"/>
      <c r="K549" s="183"/>
      <c r="L549" s="183"/>
    </row>
    <row r="550" spans="10:12" ht="15.75" customHeight="1">
      <c r="J550" s="182"/>
      <c r="K550" s="183"/>
      <c r="L550" s="183"/>
    </row>
    <row r="551" spans="10:12" ht="15.75" customHeight="1">
      <c r="J551" s="182"/>
      <c r="K551" s="183"/>
      <c r="L551" s="183"/>
    </row>
    <row r="552" spans="10:12" ht="15.75" customHeight="1">
      <c r="J552" s="182"/>
      <c r="K552" s="183"/>
      <c r="L552" s="183"/>
    </row>
    <row r="553" spans="10:12" ht="15.75" customHeight="1">
      <c r="J553" s="182"/>
      <c r="K553" s="183"/>
      <c r="L553" s="183"/>
    </row>
    <row r="554" spans="10:12" ht="15.75" customHeight="1">
      <c r="J554" s="182"/>
      <c r="K554" s="183"/>
      <c r="L554" s="183"/>
    </row>
    <row r="555" spans="10:12" ht="15.75" customHeight="1">
      <c r="J555" s="182"/>
      <c r="K555" s="183"/>
      <c r="L555" s="183"/>
    </row>
    <row r="556" spans="10:12" ht="15.75" customHeight="1">
      <c r="J556" s="182"/>
      <c r="K556" s="183"/>
      <c r="L556" s="183"/>
    </row>
    <row r="557" spans="10:12" ht="15.75" customHeight="1">
      <c r="J557" s="182"/>
      <c r="K557" s="183"/>
      <c r="L557" s="183"/>
    </row>
    <row r="558" spans="10:12" ht="15.75" customHeight="1">
      <c r="J558" s="182"/>
      <c r="K558" s="183"/>
      <c r="L558" s="183"/>
    </row>
    <row r="559" spans="10:12" ht="15.75" customHeight="1">
      <c r="J559" s="182"/>
      <c r="K559" s="183"/>
      <c r="L559" s="183"/>
    </row>
    <row r="560" spans="10:12" ht="15.75" customHeight="1">
      <c r="J560" s="182"/>
      <c r="K560" s="183"/>
      <c r="L560" s="183"/>
    </row>
    <row r="561" spans="10:12" ht="15.75" customHeight="1">
      <c r="J561" s="182"/>
      <c r="K561" s="183"/>
      <c r="L561" s="183"/>
    </row>
    <row r="562" spans="10:12" ht="15.75" customHeight="1">
      <c r="J562" s="182"/>
      <c r="K562" s="183"/>
      <c r="L562" s="183"/>
    </row>
    <row r="563" spans="10:12" ht="15.75" customHeight="1">
      <c r="J563" s="182"/>
      <c r="K563" s="183"/>
      <c r="L563" s="183"/>
    </row>
    <row r="564" spans="10:12" ht="15.75" customHeight="1">
      <c r="J564" s="182"/>
      <c r="K564" s="183"/>
      <c r="L564" s="183"/>
    </row>
    <row r="565" spans="10:12" ht="15.75" customHeight="1">
      <c r="J565" s="182"/>
      <c r="K565" s="183"/>
      <c r="L565" s="183"/>
    </row>
    <row r="566" spans="10:12" ht="15.75" customHeight="1">
      <c r="J566" s="182"/>
      <c r="K566" s="183"/>
      <c r="L566" s="183"/>
    </row>
    <row r="567" spans="10:12" ht="15.75" customHeight="1">
      <c r="J567" s="182"/>
      <c r="K567" s="183"/>
      <c r="L567" s="183"/>
    </row>
    <row r="568" spans="10:12" ht="15.75" customHeight="1">
      <c r="J568" s="182"/>
      <c r="K568" s="183"/>
      <c r="L568" s="183"/>
    </row>
    <row r="569" spans="10:12" ht="15.75" customHeight="1">
      <c r="J569" s="182"/>
      <c r="K569" s="183"/>
      <c r="L569" s="183"/>
    </row>
    <row r="570" spans="10:12" ht="15.75" customHeight="1">
      <c r="J570" s="182"/>
      <c r="K570" s="183"/>
      <c r="L570" s="183"/>
    </row>
    <row r="571" spans="10:12" ht="15.75" customHeight="1">
      <c r="J571" s="182"/>
      <c r="K571" s="183"/>
      <c r="L571" s="183"/>
    </row>
    <row r="572" spans="10:12" ht="15.75" customHeight="1">
      <c r="J572" s="182"/>
      <c r="K572" s="183"/>
      <c r="L572" s="183"/>
    </row>
    <row r="573" spans="10:12" ht="15.75" customHeight="1">
      <c r="J573" s="182"/>
      <c r="K573" s="183"/>
      <c r="L573" s="183"/>
    </row>
    <row r="574" spans="10:12" ht="15.75" customHeight="1">
      <c r="J574" s="182"/>
      <c r="K574" s="183"/>
      <c r="L574" s="183"/>
    </row>
    <row r="575" spans="10:12" ht="15.75" customHeight="1">
      <c r="J575" s="182"/>
      <c r="K575" s="183"/>
      <c r="L575" s="183"/>
    </row>
    <row r="576" spans="10:12" ht="15.75" customHeight="1">
      <c r="J576" s="182"/>
      <c r="K576" s="183"/>
      <c r="L576" s="183"/>
    </row>
    <row r="577" spans="10:12" ht="15.75" customHeight="1">
      <c r="J577" s="182"/>
      <c r="K577" s="183"/>
      <c r="L577" s="183"/>
    </row>
    <row r="578" spans="10:12" ht="15.75" customHeight="1">
      <c r="J578" s="182"/>
      <c r="K578" s="183"/>
      <c r="L578" s="183"/>
    </row>
    <row r="579" spans="10:12" ht="15.75" customHeight="1">
      <c r="J579" s="182"/>
      <c r="K579" s="183"/>
      <c r="L579" s="183"/>
    </row>
    <row r="580" spans="10:12" ht="15.75" customHeight="1">
      <c r="J580" s="182"/>
      <c r="K580" s="183"/>
      <c r="L580" s="183"/>
    </row>
    <row r="581" spans="10:12" ht="15.75" customHeight="1">
      <c r="J581" s="182"/>
      <c r="K581" s="183"/>
      <c r="L581" s="183"/>
    </row>
    <row r="582" spans="10:12" ht="15.75" customHeight="1">
      <c r="J582" s="182"/>
      <c r="K582" s="183"/>
      <c r="L582" s="183"/>
    </row>
    <row r="583" spans="10:12" ht="15.75" customHeight="1">
      <c r="J583" s="182"/>
      <c r="K583" s="183"/>
      <c r="L583" s="183"/>
    </row>
    <row r="584" spans="10:12" ht="15.75" customHeight="1">
      <c r="J584" s="182"/>
      <c r="K584" s="183"/>
      <c r="L584" s="183"/>
    </row>
    <row r="585" spans="10:12" ht="15.75" customHeight="1">
      <c r="J585" s="182"/>
      <c r="K585" s="183"/>
      <c r="L585" s="183"/>
    </row>
    <row r="586" spans="10:12" ht="15.75" customHeight="1">
      <c r="J586" s="182"/>
      <c r="K586" s="183"/>
      <c r="L586" s="183"/>
    </row>
    <row r="587" spans="10:12" ht="15.75" customHeight="1">
      <c r="J587" s="182"/>
      <c r="K587" s="183"/>
      <c r="L587" s="183"/>
    </row>
    <row r="588" spans="10:12" ht="15.75" customHeight="1">
      <c r="J588" s="182"/>
      <c r="K588" s="183"/>
      <c r="L588" s="183"/>
    </row>
    <row r="589" spans="10:12" ht="15.75" customHeight="1">
      <c r="J589" s="182"/>
      <c r="K589" s="183"/>
      <c r="L589" s="183"/>
    </row>
    <row r="590" spans="10:12" ht="15.75" customHeight="1">
      <c r="J590" s="182"/>
      <c r="K590" s="183"/>
      <c r="L590" s="183"/>
    </row>
    <row r="591" spans="10:12" ht="15.75" customHeight="1">
      <c r="J591" s="182"/>
      <c r="K591" s="183"/>
      <c r="L591" s="183"/>
    </row>
    <row r="592" spans="10:12" ht="15.75" customHeight="1">
      <c r="J592" s="182"/>
      <c r="K592" s="183"/>
      <c r="L592" s="183"/>
    </row>
    <row r="593" spans="10:12" ht="15.75" customHeight="1">
      <c r="J593" s="182"/>
      <c r="K593" s="183"/>
      <c r="L593" s="183"/>
    </row>
    <row r="594" spans="10:12" ht="15.75" customHeight="1">
      <c r="J594" s="182"/>
      <c r="K594" s="183"/>
      <c r="L594" s="183"/>
    </row>
    <row r="595" spans="10:12" ht="15.75" customHeight="1">
      <c r="J595" s="182"/>
      <c r="K595" s="183"/>
      <c r="L595" s="183"/>
    </row>
    <row r="596" spans="10:12" ht="15.75" customHeight="1">
      <c r="J596" s="182"/>
      <c r="K596" s="183"/>
      <c r="L596" s="183"/>
    </row>
    <row r="597" spans="10:12" ht="15.75" customHeight="1">
      <c r="J597" s="182"/>
      <c r="K597" s="183"/>
      <c r="L597" s="183"/>
    </row>
    <row r="598" spans="10:12" ht="15.75" customHeight="1">
      <c r="J598" s="182"/>
      <c r="K598" s="183"/>
      <c r="L598" s="183"/>
    </row>
    <row r="599" spans="10:12" ht="15.75" customHeight="1">
      <c r="J599" s="182"/>
      <c r="K599" s="183"/>
      <c r="L599" s="183"/>
    </row>
    <row r="600" spans="10:12" ht="15.75" customHeight="1">
      <c r="J600" s="182"/>
      <c r="K600" s="183"/>
      <c r="L600" s="183"/>
    </row>
    <row r="601" spans="10:12" ht="15.75" customHeight="1">
      <c r="J601" s="182"/>
      <c r="K601" s="183"/>
      <c r="L601" s="183"/>
    </row>
    <row r="602" spans="10:12" ht="15.75" customHeight="1">
      <c r="J602" s="182"/>
      <c r="K602" s="183"/>
      <c r="L602" s="183"/>
    </row>
    <row r="603" spans="10:12" ht="15.75" customHeight="1">
      <c r="J603" s="182"/>
      <c r="K603" s="183"/>
      <c r="L603" s="183"/>
    </row>
    <row r="604" spans="10:12" ht="15.75" customHeight="1">
      <c r="J604" s="182"/>
      <c r="K604" s="183"/>
      <c r="L604" s="183"/>
    </row>
    <row r="605" spans="10:12" ht="15.75" customHeight="1">
      <c r="J605" s="182"/>
      <c r="K605" s="183"/>
      <c r="L605" s="183"/>
    </row>
    <row r="606" spans="10:12" ht="15.75" customHeight="1">
      <c r="J606" s="182"/>
      <c r="K606" s="183"/>
      <c r="L606" s="183"/>
    </row>
    <row r="607" spans="10:12" ht="15.75" customHeight="1">
      <c r="J607" s="182"/>
      <c r="K607" s="183"/>
      <c r="L607" s="183"/>
    </row>
    <row r="608" spans="10:12" ht="15.75" customHeight="1">
      <c r="J608" s="182"/>
      <c r="K608" s="183"/>
      <c r="L608" s="183"/>
    </row>
    <row r="609" spans="10:12" ht="15.75" customHeight="1">
      <c r="J609" s="182"/>
      <c r="K609" s="183"/>
      <c r="L609" s="183"/>
    </row>
    <row r="610" spans="10:12" ht="15.75" customHeight="1">
      <c r="J610" s="182"/>
      <c r="K610" s="183"/>
      <c r="L610" s="183"/>
    </row>
    <row r="611" spans="10:12" ht="15.75" customHeight="1">
      <c r="J611" s="182"/>
      <c r="K611" s="183"/>
      <c r="L611" s="183"/>
    </row>
    <row r="612" spans="10:12" ht="15.75" customHeight="1">
      <c r="J612" s="182"/>
      <c r="K612" s="183"/>
      <c r="L612" s="183"/>
    </row>
    <row r="613" spans="10:12" ht="15.75" customHeight="1">
      <c r="J613" s="182"/>
      <c r="K613" s="183"/>
      <c r="L613" s="183"/>
    </row>
    <row r="614" spans="10:12" ht="15.75" customHeight="1">
      <c r="J614" s="182"/>
      <c r="K614" s="183"/>
      <c r="L614" s="183"/>
    </row>
    <row r="615" spans="10:12" ht="15.75" customHeight="1">
      <c r="J615" s="182"/>
      <c r="K615" s="183"/>
      <c r="L615" s="183"/>
    </row>
    <row r="616" spans="10:12" ht="15.75" customHeight="1">
      <c r="J616" s="182"/>
      <c r="K616" s="183"/>
      <c r="L616" s="183"/>
    </row>
    <row r="617" spans="10:12" ht="15.75" customHeight="1">
      <c r="J617" s="182"/>
      <c r="K617" s="183"/>
      <c r="L617" s="183"/>
    </row>
    <row r="618" spans="10:12" ht="15.75" customHeight="1">
      <c r="J618" s="182"/>
      <c r="K618" s="183"/>
      <c r="L618" s="183"/>
    </row>
    <row r="619" spans="10:12" ht="15.75" customHeight="1">
      <c r="J619" s="182"/>
      <c r="K619" s="183"/>
      <c r="L619" s="183"/>
    </row>
    <row r="620" spans="10:12" ht="15.75" customHeight="1">
      <c r="J620" s="182"/>
      <c r="K620" s="183"/>
      <c r="L620" s="183"/>
    </row>
    <row r="621" spans="10:12" ht="15.75" customHeight="1">
      <c r="J621" s="182"/>
      <c r="K621" s="183"/>
      <c r="L621" s="183"/>
    </row>
    <row r="622" spans="10:12" ht="15.75" customHeight="1">
      <c r="J622" s="182"/>
      <c r="K622" s="183"/>
      <c r="L622" s="183"/>
    </row>
    <row r="623" spans="10:12" ht="15.75" customHeight="1">
      <c r="J623" s="182"/>
      <c r="K623" s="183"/>
      <c r="L623" s="183"/>
    </row>
    <row r="624" spans="10:12" ht="15.75" customHeight="1">
      <c r="J624" s="182"/>
      <c r="K624" s="183"/>
      <c r="L624" s="183"/>
    </row>
    <row r="625" spans="10:12" ht="15.75" customHeight="1">
      <c r="J625" s="182"/>
      <c r="K625" s="183"/>
      <c r="L625" s="183"/>
    </row>
    <row r="626" spans="10:12" ht="15.75" customHeight="1">
      <c r="J626" s="182"/>
      <c r="K626" s="183"/>
      <c r="L626" s="183"/>
    </row>
    <row r="627" spans="10:12" ht="15.75" customHeight="1">
      <c r="J627" s="182"/>
      <c r="K627" s="183"/>
      <c r="L627" s="183"/>
    </row>
    <row r="628" spans="10:12" ht="15.75" customHeight="1">
      <c r="J628" s="182"/>
      <c r="K628" s="183"/>
      <c r="L628" s="183"/>
    </row>
    <row r="629" spans="10:12" ht="15.75" customHeight="1">
      <c r="J629" s="182"/>
      <c r="K629" s="183"/>
      <c r="L629" s="183"/>
    </row>
    <row r="630" spans="10:12" ht="15.75" customHeight="1">
      <c r="J630" s="182"/>
      <c r="K630" s="183"/>
      <c r="L630" s="183"/>
    </row>
    <row r="631" spans="10:12" ht="15.75" customHeight="1">
      <c r="J631" s="182"/>
      <c r="K631" s="183"/>
      <c r="L631" s="183"/>
    </row>
    <row r="632" spans="10:12" ht="15.75" customHeight="1">
      <c r="J632" s="182"/>
      <c r="K632" s="183"/>
      <c r="L632" s="183"/>
    </row>
    <row r="633" spans="10:12" ht="15.75" customHeight="1">
      <c r="J633" s="182"/>
      <c r="K633" s="183"/>
      <c r="L633" s="183"/>
    </row>
    <row r="634" spans="10:12" ht="15.75" customHeight="1">
      <c r="J634" s="182"/>
      <c r="K634" s="183"/>
      <c r="L634" s="183"/>
    </row>
    <row r="635" spans="10:12" ht="15.75" customHeight="1">
      <c r="J635" s="182"/>
      <c r="K635" s="183"/>
      <c r="L635" s="183"/>
    </row>
    <row r="636" spans="10:12" ht="15.75" customHeight="1">
      <c r="J636" s="182"/>
      <c r="K636" s="183"/>
      <c r="L636" s="183"/>
    </row>
    <row r="637" spans="10:12" ht="15.75" customHeight="1">
      <c r="J637" s="182"/>
      <c r="K637" s="183"/>
      <c r="L637" s="183"/>
    </row>
    <row r="638" spans="10:12" ht="15.75" customHeight="1">
      <c r="J638" s="182"/>
      <c r="K638" s="183"/>
      <c r="L638" s="183"/>
    </row>
    <row r="639" spans="10:12" ht="15.75" customHeight="1">
      <c r="J639" s="182"/>
      <c r="K639" s="183"/>
      <c r="L639" s="183"/>
    </row>
    <row r="640" spans="10:12" ht="15.75" customHeight="1">
      <c r="J640" s="182"/>
      <c r="K640" s="183"/>
      <c r="L640" s="183"/>
    </row>
    <row r="641" spans="10:12" ht="15.75" customHeight="1">
      <c r="J641" s="182"/>
      <c r="K641" s="183"/>
      <c r="L641" s="183"/>
    </row>
    <row r="642" spans="10:12" ht="15.75" customHeight="1">
      <c r="J642" s="182"/>
      <c r="K642" s="183"/>
      <c r="L642" s="183"/>
    </row>
    <row r="643" spans="10:12" ht="15.75" customHeight="1">
      <c r="J643" s="182"/>
      <c r="K643" s="183"/>
      <c r="L643" s="183"/>
    </row>
    <row r="644" spans="10:12" ht="15.75" customHeight="1">
      <c r="J644" s="182"/>
      <c r="K644" s="183"/>
      <c r="L644" s="183"/>
    </row>
    <row r="645" spans="10:12" ht="15.75" customHeight="1">
      <c r="J645" s="182"/>
      <c r="K645" s="183"/>
      <c r="L645" s="183"/>
    </row>
    <row r="646" spans="10:12" ht="15.75" customHeight="1">
      <c r="J646" s="182"/>
      <c r="K646" s="183"/>
      <c r="L646" s="183"/>
    </row>
    <row r="647" spans="10:12" ht="15.75" customHeight="1">
      <c r="J647" s="182"/>
      <c r="K647" s="183"/>
      <c r="L647" s="183"/>
    </row>
    <row r="648" spans="10:12" ht="15.75" customHeight="1">
      <c r="J648" s="182"/>
      <c r="K648" s="183"/>
      <c r="L648" s="183"/>
    </row>
    <row r="649" spans="10:12" ht="15.75" customHeight="1">
      <c r="J649" s="182"/>
      <c r="K649" s="183"/>
      <c r="L649" s="183"/>
    </row>
    <row r="650" spans="10:12" ht="15.75" customHeight="1">
      <c r="J650" s="182"/>
      <c r="K650" s="183"/>
      <c r="L650" s="183"/>
    </row>
    <row r="651" spans="10:12" ht="15.75" customHeight="1">
      <c r="J651" s="182"/>
      <c r="K651" s="183"/>
      <c r="L651" s="183"/>
    </row>
    <row r="652" spans="10:12" ht="15.75" customHeight="1">
      <c r="J652" s="182"/>
      <c r="K652" s="183"/>
      <c r="L652" s="183"/>
    </row>
    <row r="653" spans="10:12" ht="15.75" customHeight="1">
      <c r="J653" s="182"/>
      <c r="K653" s="183"/>
      <c r="L653" s="183"/>
    </row>
    <row r="654" spans="10:12" ht="15.75" customHeight="1">
      <c r="J654" s="182"/>
      <c r="K654" s="183"/>
      <c r="L654" s="183"/>
    </row>
    <row r="655" spans="10:12" ht="15.75" customHeight="1">
      <c r="J655" s="182"/>
      <c r="K655" s="183"/>
      <c r="L655" s="183"/>
    </row>
    <row r="656" spans="10:12" ht="15.75" customHeight="1">
      <c r="J656" s="182"/>
      <c r="K656" s="183"/>
      <c r="L656" s="183"/>
    </row>
    <row r="657" spans="10:12" ht="15.75" customHeight="1">
      <c r="J657" s="182"/>
      <c r="K657" s="183"/>
      <c r="L657" s="183"/>
    </row>
    <row r="658" spans="10:12" ht="15.75" customHeight="1">
      <c r="J658" s="182"/>
      <c r="K658" s="183"/>
      <c r="L658" s="183"/>
    </row>
    <row r="659" spans="10:12" ht="15.75" customHeight="1">
      <c r="J659" s="182"/>
      <c r="K659" s="183"/>
      <c r="L659" s="183"/>
    </row>
    <row r="660" spans="10:12" ht="15.75" customHeight="1">
      <c r="J660" s="182"/>
      <c r="K660" s="183"/>
      <c r="L660" s="183"/>
    </row>
    <row r="661" spans="10:12" ht="15.75" customHeight="1">
      <c r="J661" s="182"/>
      <c r="K661" s="183"/>
      <c r="L661" s="183"/>
    </row>
    <row r="662" spans="10:12" ht="15.75" customHeight="1">
      <c r="J662" s="182"/>
      <c r="K662" s="183"/>
      <c r="L662" s="183"/>
    </row>
    <row r="663" spans="10:12" ht="15.75" customHeight="1">
      <c r="J663" s="182"/>
      <c r="K663" s="183"/>
      <c r="L663" s="183"/>
    </row>
    <row r="664" spans="10:12" ht="15.75" customHeight="1">
      <c r="J664" s="182"/>
      <c r="K664" s="183"/>
      <c r="L664" s="183"/>
    </row>
    <row r="665" spans="10:12" ht="15.75" customHeight="1">
      <c r="J665" s="182"/>
      <c r="K665" s="183"/>
      <c r="L665" s="183"/>
    </row>
    <row r="666" spans="10:12" ht="15.75" customHeight="1">
      <c r="J666" s="182"/>
      <c r="K666" s="183"/>
      <c r="L666" s="183"/>
    </row>
    <row r="667" spans="10:12" ht="15.75" customHeight="1">
      <c r="J667" s="182"/>
      <c r="K667" s="183"/>
      <c r="L667" s="183"/>
    </row>
    <row r="668" spans="10:12" ht="15.75" customHeight="1">
      <c r="J668" s="182"/>
      <c r="K668" s="183"/>
      <c r="L668" s="183"/>
    </row>
    <row r="669" spans="10:12" ht="15.75" customHeight="1">
      <c r="J669" s="182"/>
      <c r="K669" s="183"/>
      <c r="L669" s="183"/>
    </row>
    <row r="670" spans="10:12" ht="15.75" customHeight="1">
      <c r="J670" s="182"/>
      <c r="K670" s="183"/>
      <c r="L670" s="183"/>
    </row>
    <row r="671" spans="10:12" ht="15.75" customHeight="1">
      <c r="J671" s="182"/>
      <c r="K671" s="183"/>
      <c r="L671" s="183"/>
    </row>
    <row r="672" spans="10:12" ht="15.75" customHeight="1">
      <c r="J672" s="182"/>
      <c r="K672" s="183"/>
      <c r="L672" s="183"/>
    </row>
    <row r="673" spans="10:12" ht="15.75" customHeight="1">
      <c r="J673" s="182"/>
      <c r="K673" s="183"/>
      <c r="L673" s="183"/>
    </row>
    <row r="674" spans="10:12" ht="15.75" customHeight="1">
      <c r="J674" s="182"/>
      <c r="K674" s="183"/>
      <c r="L674" s="183"/>
    </row>
    <row r="675" spans="10:12" ht="15.75" customHeight="1">
      <c r="J675" s="182"/>
      <c r="K675" s="183"/>
      <c r="L675" s="183"/>
    </row>
    <row r="676" spans="10:12" ht="15.75" customHeight="1">
      <c r="J676" s="182"/>
      <c r="K676" s="183"/>
      <c r="L676" s="183"/>
    </row>
    <row r="677" spans="10:12" ht="15.75" customHeight="1">
      <c r="J677" s="182"/>
      <c r="K677" s="183"/>
      <c r="L677" s="183"/>
    </row>
    <row r="678" spans="10:12" ht="15.75" customHeight="1">
      <c r="J678" s="182"/>
      <c r="K678" s="183"/>
      <c r="L678" s="183"/>
    </row>
    <row r="679" spans="10:12" ht="15.75" customHeight="1">
      <c r="J679" s="182"/>
      <c r="K679" s="183"/>
      <c r="L679" s="183"/>
    </row>
    <row r="680" spans="10:12" ht="15.75" customHeight="1">
      <c r="J680" s="182"/>
      <c r="K680" s="183"/>
      <c r="L680" s="183"/>
    </row>
    <row r="681" spans="10:12" ht="15.75" customHeight="1">
      <c r="J681" s="182"/>
      <c r="K681" s="183"/>
      <c r="L681" s="183"/>
    </row>
    <row r="682" spans="10:12" ht="15.75" customHeight="1">
      <c r="J682" s="182"/>
      <c r="K682" s="183"/>
      <c r="L682" s="183"/>
    </row>
    <row r="683" spans="10:12" ht="15.75" customHeight="1">
      <c r="J683" s="182"/>
      <c r="K683" s="183"/>
      <c r="L683" s="183"/>
    </row>
    <row r="684" spans="10:12" ht="15.75" customHeight="1">
      <c r="J684" s="182"/>
      <c r="K684" s="183"/>
      <c r="L684" s="183"/>
    </row>
    <row r="685" spans="10:12" ht="15.75" customHeight="1">
      <c r="J685" s="182"/>
      <c r="K685" s="183"/>
      <c r="L685" s="183"/>
    </row>
    <row r="686" spans="10:12" ht="15.75" customHeight="1">
      <c r="J686" s="182"/>
      <c r="K686" s="183"/>
      <c r="L686" s="183"/>
    </row>
    <row r="687" spans="10:12" ht="15.75" customHeight="1">
      <c r="J687" s="182"/>
      <c r="K687" s="183"/>
      <c r="L687" s="183"/>
    </row>
    <row r="688" spans="10:12" ht="15.75" customHeight="1">
      <c r="J688" s="182"/>
      <c r="K688" s="183"/>
      <c r="L688" s="183"/>
    </row>
    <row r="689" spans="10:12" ht="15.75" customHeight="1">
      <c r="J689" s="182"/>
      <c r="K689" s="183"/>
      <c r="L689" s="183"/>
    </row>
    <row r="690" spans="10:12" ht="15.75" customHeight="1">
      <c r="J690" s="182"/>
      <c r="K690" s="183"/>
      <c r="L690" s="183"/>
    </row>
    <row r="691" spans="10:12" ht="15.75" customHeight="1">
      <c r="J691" s="182"/>
      <c r="K691" s="183"/>
      <c r="L691" s="183"/>
    </row>
    <row r="692" spans="10:12" ht="15.75" customHeight="1">
      <c r="J692" s="182"/>
      <c r="K692" s="183"/>
      <c r="L692" s="183"/>
    </row>
    <row r="693" spans="10:12" ht="15.75" customHeight="1">
      <c r="J693" s="182"/>
      <c r="K693" s="183"/>
      <c r="L693" s="183"/>
    </row>
    <row r="694" spans="10:12" ht="15.75" customHeight="1">
      <c r="J694" s="182"/>
      <c r="K694" s="183"/>
      <c r="L694" s="183"/>
    </row>
    <row r="695" spans="10:12" ht="15.75" customHeight="1">
      <c r="J695" s="182"/>
      <c r="K695" s="183"/>
      <c r="L695" s="183"/>
    </row>
    <row r="696" spans="10:12" ht="15.75" customHeight="1">
      <c r="J696" s="182"/>
      <c r="K696" s="183"/>
      <c r="L696" s="183"/>
    </row>
    <row r="697" spans="10:12" ht="15.75" customHeight="1">
      <c r="J697" s="182"/>
      <c r="K697" s="183"/>
      <c r="L697" s="183"/>
    </row>
    <row r="698" spans="10:12" ht="15.75" customHeight="1">
      <c r="J698" s="182"/>
      <c r="K698" s="183"/>
      <c r="L698" s="183"/>
    </row>
    <row r="699" spans="10:12" ht="15.75" customHeight="1">
      <c r="J699" s="182"/>
      <c r="K699" s="183"/>
      <c r="L699" s="183"/>
    </row>
    <row r="700" spans="10:12" ht="15.75" customHeight="1">
      <c r="J700" s="182"/>
      <c r="K700" s="183"/>
      <c r="L700" s="183"/>
    </row>
    <row r="701" spans="10:12" ht="15.75" customHeight="1">
      <c r="J701" s="182"/>
      <c r="K701" s="183"/>
      <c r="L701" s="183"/>
    </row>
    <row r="702" spans="10:12" ht="15.75" customHeight="1">
      <c r="J702" s="182"/>
      <c r="K702" s="183"/>
      <c r="L702" s="183"/>
    </row>
    <row r="703" spans="10:12" ht="15.75" customHeight="1">
      <c r="J703" s="182"/>
      <c r="K703" s="183"/>
      <c r="L703" s="183"/>
    </row>
    <row r="704" spans="10:12" ht="15.75" customHeight="1">
      <c r="J704" s="182"/>
      <c r="K704" s="183"/>
      <c r="L704" s="183"/>
    </row>
    <row r="705" spans="10:12" ht="15.75" customHeight="1">
      <c r="J705" s="182"/>
      <c r="K705" s="183"/>
      <c r="L705" s="183"/>
    </row>
    <row r="706" spans="10:12" ht="15.75" customHeight="1">
      <c r="J706" s="182"/>
      <c r="K706" s="183"/>
      <c r="L706" s="183"/>
    </row>
    <row r="707" spans="10:12" ht="15.75" customHeight="1">
      <c r="J707" s="182"/>
      <c r="K707" s="183"/>
      <c r="L707" s="183"/>
    </row>
    <row r="708" spans="10:12" ht="15.75" customHeight="1">
      <c r="J708" s="182"/>
      <c r="K708" s="183"/>
      <c r="L708" s="183"/>
    </row>
    <row r="709" spans="10:12" ht="15.75" customHeight="1">
      <c r="J709" s="182"/>
      <c r="K709" s="183"/>
      <c r="L709" s="183"/>
    </row>
    <row r="710" spans="10:12" ht="15.75" customHeight="1">
      <c r="J710" s="182"/>
      <c r="K710" s="183"/>
      <c r="L710" s="183"/>
    </row>
    <row r="711" spans="10:12" ht="15.75" customHeight="1">
      <c r="J711" s="182"/>
      <c r="K711" s="183"/>
      <c r="L711" s="183"/>
    </row>
    <row r="712" spans="10:12" ht="15.75" customHeight="1">
      <c r="J712" s="182"/>
      <c r="K712" s="183"/>
      <c r="L712" s="183"/>
    </row>
    <row r="713" spans="10:12" ht="15.75" customHeight="1">
      <c r="J713" s="182"/>
      <c r="K713" s="183"/>
      <c r="L713" s="183"/>
    </row>
    <row r="714" spans="10:12" ht="15.75" customHeight="1">
      <c r="J714" s="182"/>
      <c r="K714" s="183"/>
      <c r="L714" s="183"/>
    </row>
    <row r="715" spans="10:12" ht="15.75" customHeight="1">
      <c r="J715" s="182"/>
      <c r="K715" s="183"/>
      <c r="L715" s="183"/>
    </row>
    <row r="716" spans="10:12" ht="15.75" customHeight="1">
      <c r="J716" s="182"/>
      <c r="K716" s="183"/>
      <c r="L716" s="183"/>
    </row>
    <row r="717" spans="10:12" ht="15.75" customHeight="1">
      <c r="J717" s="182"/>
      <c r="K717" s="183"/>
      <c r="L717" s="183"/>
    </row>
    <row r="718" spans="10:12" ht="15.75" customHeight="1">
      <c r="J718" s="182"/>
      <c r="K718" s="183"/>
      <c r="L718" s="183"/>
    </row>
    <row r="719" spans="10:12" ht="15.75" customHeight="1">
      <c r="J719" s="182"/>
      <c r="K719" s="183"/>
      <c r="L719" s="183"/>
    </row>
    <row r="720" spans="10:12" ht="15.75" customHeight="1">
      <c r="J720" s="182"/>
      <c r="K720" s="183"/>
      <c r="L720" s="183"/>
    </row>
    <row r="721" spans="10:12" ht="15.75" customHeight="1">
      <c r="J721" s="182"/>
      <c r="K721" s="183"/>
      <c r="L721" s="183"/>
    </row>
    <row r="722" spans="10:12" ht="15.75" customHeight="1">
      <c r="J722" s="182"/>
      <c r="K722" s="183"/>
      <c r="L722" s="183"/>
    </row>
    <row r="723" spans="10:12" ht="15.75" customHeight="1">
      <c r="J723" s="182"/>
      <c r="K723" s="183"/>
      <c r="L723" s="183"/>
    </row>
    <row r="724" spans="10:12" ht="15.75" customHeight="1">
      <c r="J724" s="182"/>
      <c r="K724" s="183"/>
      <c r="L724" s="183"/>
    </row>
    <row r="725" spans="10:12" ht="15.75" customHeight="1">
      <c r="J725" s="182"/>
      <c r="K725" s="183"/>
      <c r="L725" s="183"/>
    </row>
    <row r="726" spans="10:12" ht="15.75" customHeight="1">
      <c r="J726" s="182"/>
      <c r="K726" s="183"/>
      <c r="L726" s="183"/>
    </row>
    <row r="727" spans="10:12" ht="15.75" customHeight="1">
      <c r="J727" s="182"/>
      <c r="K727" s="183"/>
      <c r="L727" s="183"/>
    </row>
    <row r="728" spans="10:12" ht="15.75" customHeight="1">
      <c r="J728" s="182"/>
      <c r="K728" s="183"/>
      <c r="L728" s="183"/>
    </row>
    <row r="729" spans="10:12" ht="15.75" customHeight="1">
      <c r="J729" s="182"/>
      <c r="K729" s="183"/>
      <c r="L729" s="183"/>
    </row>
    <row r="730" spans="10:12" ht="15.75" customHeight="1">
      <c r="J730" s="182"/>
      <c r="K730" s="183"/>
      <c r="L730" s="183"/>
    </row>
    <row r="731" spans="10:12" ht="15.75" customHeight="1">
      <c r="J731" s="182"/>
      <c r="K731" s="183"/>
      <c r="L731" s="183"/>
    </row>
    <row r="732" spans="10:12" ht="15.75" customHeight="1">
      <c r="J732" s="182"/>
      <c r="K732" s="183"/>
      <c r="L732" s="183"/>
    </row>
    <row r="733" spans="10:12" ht="15.75" customHeight="1">
      <c r="J733" s="182"/>
      <c r="K733" s="183"/>
      <c r="L733" s="183"/>
    </row>
    <row r="734" spans="10:12" ht="15.75" customHeight="1">
      <c r="J734" s="182"/>
      <c r="K734" s="183"/>
      <c r="L734" s="183"/>
    </row>
    <row r="735" spans="10:12" ht="15.75" customHeight="1">
      <c r="J735" s="182"/>
      <c r="K735" s="183"/>
      <c r="L735" s="183"/>
    </row>
    <row r="736" spans="10:12" ht="15.75" customHeight="1">
      <c r="J736" s="182"/>
      <c r="K736" s="183"/>
      <c r="L736" s="183"/>
    </row>
    <row r="737" spans="10:12" ht="15.75" customHeight="1">
      <c r="J737" s="182"/>
      <c r="K737" s="183"/>
      <c r="L737" s="183"/>
    </row>
    <row r="738" spans="10:12" ht="15.75" customHeight="1">
      <c r="J738" s="182"/>
      <c r="K738" s="183"/>
      <c r="L738" s="183"/>
    </row>
    <row r="739" spans="10:12" ht="15.75" customHeight="1">
      <c r="J739" s="182"/>
      <c r="K739" s="183"/>
      <c r="L739" s="183"/>
    </row>
    <row r="740" spans="10:12" ht="15.75" customHeight="1">
      <c r="J740" s="182"/>
      <c r="K740" s="183"/>
      <c r="L740" s="183"/>
    </row>
    <row r="741" spans="10:12" ht="15.75" customHeight="1">
      <c r="J741" s="182"/>
      <c r="K741" s="183"/>
      <c r="L741" s="183"/>
    </row>
    <row r="742" spans="10:12" ht="15.75" customHeight="1">
      <c r="J742" s="182"/>
      <c r="K742" s="183"/>
      <c r="L742" s="183"/>
    </row>
    <row r="743" spans="10:12" ht="15.75" customHeight="1">
      <c r="J743" s="182"/>
      <c r="K743" s="183"/>
      <c r="L743" s="183"/>
    </row>
    <row r="744" spans="10:12" ht="15.75" customHeight="1">
      <c r="J744" s="182"/>
      <c r="K744" s="183"/>
      <c r="L744" s="183"/>
    </row>
    <row r="745" spans="10:12" ht="15.75" customHeight="1">
      <c r="J745" s="182"/>
      <c r="K745" s="183"/>
      <c r="L745" s="183"/>
    </row>
    <row r="746" spans="10:12" ht="15.75" customHeight="1">
      <c r="J746" s="182"/>
      <c r="K746" s="183"/>
      <c r="L746" s="183"/>
    </row>
    <row r="747" spans="10:12" ht="15.75" customHeight="1">
      <c r="J747" s="182"/>
      <c r="K747" s="183"/>
      <c r="L747" s="183"/>
    </row>
    <row r="748" spans="10:12" ht="15.75" customHeight="1">
      <c r="J748" s="182"/>
      <c r="K748" s="183"/>
      <c r="L748" s="183"/>
    </row>
    <row r="749" spans="10:12" ht="15.75" customHeight="1">
      <c r="J749" s="182"/>
      <c r="K749" s="183"/>
      <c r="L749" s="183"/>
    </row>
    <row r="750" spans="10:12" ht="15.75" customHeight="1">
      <c r="J750" s="182"/>
      <c r="K750" s="183"/>
      <c r="L750" s="183"/>
    </row>
    <row r="751" spans="10:12" ht="15.75" customHeight="1">
      <c r="J751" s="182"/>
      <c r="K751" s="183"/>
      <c r="L751" s="183"/>
    </row>
    <row r="752" spans="10:12" ht="15.75" customHeight="1">
      <c r="J752" s="182"/>
      <c r="K752" s="183"/>
      <c r="L752" s="183"/>
    </row>
    <row r="753" spans="10:12" ht="15.75" customHeight="1">
      <c r="J753" s="182"/>
      <c r="K753" s="183"/>
      <c r="L753" s="183"/>
    </row>
    <row r="754" spans="10:12" ht="15.75" customHeight="1">
      <c r="J754" s="182"/>
      <c r="K754" s="183"/>
      <c r="L754" s="183"/>
    </row>
    <row r="755" spans="10:12" ht="15.75" customHeight="1">
      <c r="J755" s="182"/>
      <c r="K755" s="183"/>
      <c r="L755" s="183"/>
    </row>
    <row r="756" spans="10:12" ht="15.75" customHeight="1">
      <c r="J756" s="182"/>
      <c r="K756" s="183"/>
      <c r="L756" s="183"/>
    </row>
    <row r="757" spans="10:12" ht="15.75" customHeight="1">
      <c r="J757" s="182"/>
      <c r="K757" s="183"/>
      <c r="L757" s="183"/>
    </row>
    <row r="758" spans="10:12" ht="15.75" customHeight="1">
      <c r="J758" s="182"/>
      <c r="K758" s="183"/>
      <c r="L758" s="183"/>
    </row>
    <row r="759" spans="10:12" ht="15.75" customHeight="1">
      <c r="J759" s="182"/>
      <c r="K759" s="183"/>
      <c r="L759" s="183"/>
    </row>
    <row r="760" spans="10:12" ht="15.75" customHeight="1">
      <c r="J760" s="182"/>
      <c r="K760" s="183"/>
      <c r="L760" s="183"/>
    </row>
    <row r="761" spans="10:12" ht="15.75" customHeight="1">
      <c r="J761" s="182"/>
      <c r="K761" s="183"/>
      <c r="L761" s="183"/>
    </row>
    <row r="762" spans="10:12" ht="15.75" customHeight="1">
      <c r="J762" s="182"/>
      <c r="K762" s="183"/>
      <c r="L762" s="183"/>
    </row>
    <row r="763" spans="10:12" ht="15.75" customHeight="1">
      <c r="J763" s="182"/>
      <c r="K763" s="183"/>
      <c r="L763" s="183"/>
    </row>
    <row r="764" spans="10:12" ht="15.75" customHeight="1">
      <c r="J764" s="182"/>
      <c r="K764" s="183"/>
      <c r="L764" s="183"/>
    </row>
    <row r="765" spans="10:12" ht="15.75" customHeight="1">
      <c r="J765" s="182"/>
      <c r="K765" s="183"/>
      <c r="L765" s="183"/>
    </row>
    <row r="766" spans="10:12" ht="15.75" customHeight="1">
      <c r="J766" s="182"/>
      <c r="K766" s="183"/>
      <c r="L766" s="183"/>
    </row>
    <row r="767" spans="10:12" ht="15.75" customHeight="1">
      <c r="J767" s="182"/>
      <c r="K767" s="183"/>
      <c r="L767" s="183"/>
    </row>
    <row r="768" spans="10:12" ht="15.75" customHeight="1">
      <c r="J768" s="182"/>
      <c r="K768" s="183"/>
      <c r="L768" s="183"/>
    </row>
    <row r="769" spans="10:12" ht="15.75" customHeight="1">
      <c r="J769" s="182"/>
      <c r="K769" s="183"/>
      <c r="L769" s="183"/>
    </row>
    <row r="770" spans="10:12" ht="15.75" customHeight="1">
      <c r="J770" s="182"/>
      <c r="K770" s="183"/>
      <c r="L770" s="183"/>
    </row>
    <row r="771" spans="10:12" ht="15.75" customHeight="1">
      <c r="J771" s="182"/>
      <c r="K771" s="183"/>
      <c r="L771" s="183"/>
    </row>
    <row r="772" spans="10:12" ht="15.75" customHeight="1">
      <c r="J772" s="182"/>
      <c r="K772" s="183"/>
      <c r="L772" s="183"/>
    </row>
    <row r="773" spans="10:12" ht="15.75" customHeight="1">
      <c r="J773" s="182"/>
      <c r="K773" s="183"/>
      <c r="L773" s="183"/>
    </row>
    <row r="774" spans="10:12" ht="15.75" customHeight="1">
      <c r="J774" s="182"/>
      <c r="K774" s="183"/>
      <c r="L774" s="183"/>
    </row>
    <row r="775" spans="10:12" ht="15.75" customHeight="1">
      <c r="J775" s="182"/>
      <c r="K775" s="183"/>
      <c r="L775" s="183"/>
    </row>
    <row r="776" spans="10:12" ht="15.75" customHeight="1">
      <c r="J776" s="182"/>
      <c r="K776" s="183"/>
      <c r="L776" s="183"/>
    </row>
    <row r="777" spans="10:12" ht="15.75" customHeight="1">
      <c r="J777" s="182"/>
      <c r="K777" s="183"/>
      <c r="L777" s="183"/>
    </row>
    <row r="778" spans="10:12" ht="15.75" customHeight="1">
      <c r="J778" s="182"/>
      <c r="K778" s="183"/>
      <c r="L778" s="183"/>
    </row>
    <row r="779" spans="10:12" ht="15.75" customHeight="1">
      <c r="J779" s="182"/>
      <c r="K779" s="183"/>
      <c r="L779" s="183"/>
    </row>
    <row r="780" spans="10:12" ht="15.75" customHeight="1">
      <c r="J780" s="182"/>
      <c r="K780" s="183"/>
      <c r="L780" s="183"/>
    </row>
    <row r="781" spans="10:12" ht="15.75" customHeight="1">
      <c r="J781" s="182"/>
      <c r="K781" s="183"/>
      <c r="L781" s="183"/>
    </row>
    <row r="782" spans="10:12" ht="15.75" customHeight="1">
      <c r="J782" s="182"/>
      <c r="K782" s="183"/>
      <c r="L782" s="183"/>
    </row>
    <row r="783" spans="10:12" ht="15.75" customHeight="1">
      <c r="J783" s="182"/>
      <c r="K783" s="183"/>
      <c r="L783" s="183"/>
    </row>
    <row r="784" spans="10:12" ht="15.75" customHeight="1">
      <c r="J784" s="182"/>
      <c r="K784" s="183"/>
      <c r="L784" s="183"/>
    </row>
    <row r="785" spans="10:12" ht="15.75" customHeight="1">
      <c r="J785" s="182"/>
      <c r="K785" s="183"/>
      <c r="L785" s="183"/>
    </row>
    <row r="786" spans="10:12" ht="15.75" customHeight="1">
      <c r="J786" s="182"/>
      <c r="K786" s="183"/>
      <c r="L786" s="183"/>
    </row>
    <row r="787" spans="10:12" ht="15.75" customHeight="1">
      <c r="J787" s="182"/>
      <c r="K787" s="183"/>
      <c r="L787" s="183"/>
    </row>
    <row r="788" spans="10:12" ht="15.75" customHeight="1">
      <c r="J788" s="182"/>
      <c r="K788" s="183"/>
      <c r="L788" s="183"/>
    </row>
    <row r="789" spans="10:12" ht="15.75" customHeight="1">
      <c r="J789" s="182"/>
      <c r="K789" s="183"/>
      <c r="L789" s="183"/>
    </row>
    <row r="790" spans="10:12" ht="15.75" customHeight="1">
      <c r="J790" s="182"/>
      <c r="K790" s="183"/>
      <c r="L790" s="183"/>
    </row>
    <row r="791" spans="10:12" ht="15.75" customHeight="1">
      <c r="J791" s="182"/>
      <c r="K791" s="183"/>
      <c r="L791" s="183"/>
    </row>
    <row r="792" spans="10:12" ht="15.75" customHeight="1">
      <c r="J792" s="182"/>
      <c r="K792" s="183"/>
      <c r="L792" s="183"/>
    </row>
    <row r="793" spans="10:12" ht="15.75" customHeight="1">
      <c r="J793" s="182"/>
      <c r="K793" s="183"/>
      <c r="L793" s="183"/>
    </row>
    <row r="794" spans="10:12" ht="15.75" customHeight="1">
      <c r="J794" s="182"/>
      <c r="K794" s="183"/>
      <c r="L794" s="183"/>
    </row>
    <row r="795" spans="10:12" ht="15.75" customHeight="1">
      <c r="J795" s="182"/>
      <c r="K795" s="183"/>
      <c r="L795" s="183"/>
    </row>
    <row r="796" spans="10:12" ht="15.75" customHeight="1">
      <c r="J796" s="182"/>
      <c r="K796" s="183"/>
      <c r="L796" s="183"/>
    </row>
    <row r="797" spans="10:12" ht="15.75" customHeight="1">
      <c r="J797" s="182"/>
      <c r="K797" s="183"/>
      <c r="L797" s="183"/>
    </row>
    <row r="798" spans="10:12" ht="15.75" customHeight="1">
      <c r="J798" s="182"/>
      <c r="K798" s="183"/>
      <c r="L798" s="183"/>
    </row>
    <row r="799" spans="10:12" ht="15.75" customHeight="1">
      <c r="J799" s="182"/>
      <c r="K799" s="183"/>
      <c r="L799" s="183"/>
    </row>
    <row r="800" spans="10:12" ht="15.75" customHeight="1">
      <c r="J800" s="182"/>
      <c r="K800" s="183"/>
      <c r="L800" s="183"/>
    </row>
    <row r="801" spans="10:12" ht="15.75" customHeight="1">
      <c r="J801" s="182"/>
      <c r="K801" s="183"/>
      <c r="L801" s="183"/>
    </row>
    <row r="802" spans="10:12" ht="15.75" customHeight="1">
      <c r="J802" s="182"/>
      <c r="K802" s="183"/>
      <c r="L802" s="183"/>
    </row>
    <row r="803" spans="10:12" ht="15.75" customHeight="1">
      <c r="J803" s="182"/>
      <c r="K803" s="183"/>
      <c r="L803" s="183"/>
    </row>
    <row r="804" spans="10:12" ht="15.75" customHeight="1">
      <c r="J804" s="182"/>
      <c r="K804" s="183"/>
      <c r="L804" s="183"/>
    </row>
    <row r="805" spans="10:12" ht="15.75" customHeight="1">
      <c r="J805" s="182"/>
      <c r="K805" s="183"/>
      <c r="L805" s="183"/>
    </row>
    <row r="806" spans="10:12" ht="15.75" customHeight="1">
      <c r="J806" s="182"/>
      <c r="K806" s="183"/>
      <c r="L806" s="183"/>
    </row>
    <row r="807" spans="10:12" ht="15.75" customHeight="1">
      <c r="J807" s="182"/>
      <c r="K807" s="183"/>
      <c r="L807" s="183"/>
    </row>
    <row r="808" spans="10:12" ht="15.75" customHeight="1">
      <c r="J808" s="182"/>
      <c r="K808" s="183"/>
      <c r="L808" s="183"/>
    </row>
    <row r="809" spans="10:12" ht="15.75" customHeight="1">
      <c r="J809" s="182"/>
      <c r="K809" s="183"/>
      <c r="L809" s="183"/>
    </row>
    <row r="810" spans="10:12" ht="15.75" customHeight="1">
      <c r="J810" s="182"/>
      <c r="K810" s="183"/>
      <c r="L810" s="183"/>
    </row>
    <row r="811" spans="10:12" ht="15.75" customHeight="1">
      <c r="J811" s="182"/>
      <c r="K811" s="183"/>
      <c r="L811" s="183"/>
    </row>
    <row r="812" spans="10:12" ht="15.75" customHeight="1">
      <c r="J812" s="182"/>
      <c r="K812" s="183"/>
      <c r="L812" s="183"/>
    </row>
    <row r="813" spans="10:12" ht="15.75" customHeight="1">
      <c r="J813" s="182"/>
      <c r="K813" s="183"/>
      <c r="L813" s="183"/>
    </row>
    <row r="814" spans="10:12" ht="15.75" customHeight="1">
      <c r="J814" s="182"/>
      <c r="K814" s="183"/>
      <c r="L814" s="183"/>
    </row>
    <row r="815" spans="10:12" ht="15.75" customHeight="1">
      <c r="J815" s="182"/>
      <c r="K815" s="183"/>
      <c r="L815" s="183"/>
    </row>
    <row r="816" spans="10:12" ht="15.75" customHeight="1">
      <c r="J816" s="182"/>
      <c r="K816" s="183"/>
      <c r="L816" s="183"/>
    </row>
    <row r="817" spans="10:12" ht="15.75" customHeight="1">
      <c r="J817" s="182"/>
      <c r="K817" s="183"/>
      <c r="L817" s="183"/>
    </row>
    <row r="818" spans="10:12" ht="15.75" customHeight="1">
      <c r="J818" s="182"/>
      <c r="K818" s="183"/>
      <c r="L818" s="183"/>
    </row>
    <row r="819" spans="10:12" ht="15.75" customHeight="1">
      <c r="J819" s="182"/>
      <c r="K819" s="183"/>
      <c r="L819" s="183"/>
    </row>
    <row r="820" spans="10:12" ht="15.75" customHeight="1">
      <c r="J820" s="182"/>
      <c r="K820" s="183"/>
      <c r="L820" s="183"/>
    </row>
    <row r="821" spans="10:12" ht="15.75" customHeight="1">
      <c r="J821" s="182"/>
      <c r="K821" s="183"/>
      <c r="L821" s="183"/>
    </row>
    <row r="822" spans="10:12" ht="15.75" customHeight="1">
      <c r="J822" s="182"/>
      <c r="K822" s="183"/>
      <c r="L822" s="183"/>
    </row>
    <row r="823" spans="10:12" ht="15.75" customHeight="1">
      <c r="J823" s="182"/>
      <c r="K823" s="183"/>
      <c r="L823" s="183"/>
    </row>
    <row r="824" spans="10:12" ht="15.75" customHeight="1">
      <c r="J824" s="182"/>
      <c r="K824" s="183"/>
      <c r="L824" s="183"/>
    </row>
    <row r="825" spans="10:12" ht="15.75" customHeight="1">
      <c r="J825" s="182"/>
      <c r="K825" s="183"/>
      <c r="L825" s="183"/>
    </row>
    <row r="826" spans="10:12" ht="15.75" customHeight="1">
      <c r="J826" s="182"/>
      <c r="K826" s="183"/>
      <c r="L826" s="183"/>
    </row>
    <row r="827" spans="10:12" ht="15.75" customHeight="1">
      <c r="J827" s="182"/>
      <c r="K827" s="183"/>
      <c r="L827" s="183"/>
    </row>
    <row r="828" spans="10:12" ht="15.75" customHeight="1">
      <c r="J828" s="182"/>
      <c r="K828" s="183"/>
      <c r="L828" s="183"/>
    </row>
    <row r="829" spans="10:12" ht="15.75" customHeight="1">
      <c r="J829" s="182"/>
      <c r="K829" s="183"/>
      <c r="L829" s="183"/>
    </row>
    <row r="830" spans="10:12" ht="15.75" customHeight="1">
      <c r="J830" s="182"/>
      <c r="K830" s="183"/>
      <c r="L830" s="183"/>
    </row>
    <row r="831" spans="10:12" ht="15.75" customHeight="1">
      <c r="J831" s="182"/>
      <c r="K831" s="183"/>
      <c r="L831" s="183"/>
    </row>
    <row r="832" spans="10:12" ht="15.75" customHeight="1">
      <c r="J832" s="182"/>
      <c r="K832" s="183"/>
      <c r="L832" s="183"/>
    </row>
    <row r="833" spans="10:12" ht="15.75" customHeight="1">
      <c r="J833" s="182"/>
      <c r="K833" s="183"/>
      <c r="L833" s="183"/>
    </row>
    <row r="834" spans="10:12" ht="15.75" customHeight="1">
      <c r="J834" s="182"/>
      <c r="K834" s="183"/>
      <c r="L834" s="183"/>
    </row>
    <row r="835" spans="10:12" ht="15.75" customHeight="1">
      <c r="J835" s="182"/>
      <c r="K835" s="183"/>
      <c r="L835" s="183"/>
    </row>
    <row r="836" spans="10:12" ht="15.75" customHeight="1">
      <c r="J836" s="182"/>
      <c r="K836" s="183"/>
      <c r="L836" s="183"/>
    </row>
    <row r="837" spans="10:12" ht="15.75" customHeight="1">
      <c r="J837" s="182"/>
      <c r="K837" s="183"/>
      <c r="L837" s="183"/>
    </row>
    <row r="838" spans="10:12" ht="15.75" customHeight="1">
      <c r="J838" s="182"/>
      <c r="K838" s="183"/>
      <c r="L838" s="183"/>
    </row>
    <row r="839" spans="10:12" ht="15.75" customHeight="1">
      <c r="J839" s="182"/>
      <c r="K839" s="183"/>
      <c r="L839" s="183"/>
    </row>
    <row r="840" spans="10:12" ht="15.75" customHeight="1">
      <c r="J840" s="182"/>
      <c r="K840" s="183"/>
      <c r="L840" s="183"/>
    </row>
    <row r="841" spans="10:12" ht="15.75" customHeight="1">
      <c r="J841" s="182"/>
      <c r="K841" s="183"/>
      <c r="L841" s="183"/>
    </row>
    <row r="842" spans="10:12" ht="15.75" customHeight="1">
      <c r="J842" s="182"/>
      <c r="K842" s="183"/>
      <c r="L842" s="183"/>
    </row>
    <row r="843" spans="10:12" ht="15.75" customHeight="1">
      <c r="J843" s="182"/>
      <c r="K843" s="183"/>
      <c r="L843" s="183"/>
    </row>
    <row r="844" spans="10:12" ht="15.75" customHeight="1">
      <c r="J844" s="182"/>
      <c r="K844" s="183"/>
      <c r="L844" s="183"/>
    </row>
    <row r="845" spans="10:12" ht="15.75" customHeight="1">
      <c r="J845" s="182"/>
      <c r="K845" s="183"/>
      <c r="L845" s="183"/>
    </row>
    <row r="846" spans="10:12" ht="15.75" customHeight="1">
      <c r="J846" s="182"/>
      <c r="K846" s="183"/>
      <c r="L846" s="183"/>
    </row>
    <row r="847" spans="10:12" ht="15.75" customHeight="1">
      <c r="J847" s="182"/>
      <c r="K847" s="183"/>
      <c r="L847" s="183"/>
    </row>
    <row r="848" spans="10:12" ht="15.75" customHeight="1">
      <c r="J848" s="182"/>
      <c r="K848" s="183"/>
      <c r="L848" s="183"/>
    </row>
    <row r="849" spans="10:12" ht="15.75" customHeight="1">
      <c r="J849" s="182"/>
      <c r="K849" s="183"/>
      <c r="L849" s="183"/>
    </row>
    <row r="850" spans="10:12" ht="15.75" customHeight="1">
      <c r="J850" s="182"/>
      <c r="K850" s="183"/>
      <c r="L850" s="183"/>
    </row>
    <row r="851" spans="10:12" ht="15.75" customHeight="1">
      <c r="J851" s="182"/>
      <c r="K851" s="183"/>
      <c r="L851" s="183"/>
    </row>
    <row r="852" spans="10:12" ht="15.75" customHeight="1">
      <c r="J852" s="182"/>
      <c r="K852" s="183"/>
      <c r="L852" s="183"/>
    </row>
    <row r="853" spans="10:12" ht="15.75" customHeight="1">
      <c r="J853" s="182"/>
      <c r="K853" s="183"/>
      <c r="L853" s="183"/>
    </row>
    <row r="854" spans="10:12" ht="15.75" customHeight="1">
      <c r="J854" s="182"/>
      <c r="K854" s="183"/>
      <c r="L854" s="183"/>
    </row>
    <row r="855" spans="10:12" ht="15.75" customHeight="1">
      <c r="J855" s="182"/>
      <c r="K855" s="183"/>
      <c r="L855" s="183"/>
    </row>
    <row r="856" spans="10:12" ht="15.75" customHeight="1">
      <c r="J856" s="182"/>
      <c r="K856" s="183"/>
      <c r="L856" s="183"/>
    </row>
    <row r="857" spans="10:12" ht="15.75" customHeight="1">
      <c r="J857" s="182"/>
      <c r="K857" s="183"/>
      <c r="L857" s="183"/>
    </row>
    <row r="858" spans="10:12" ht="15.75" customHeight="1">
      <c r="J858" s="182"/>
      <c r="K858" s="183"/>
      <c r="L858" s="183"/>
    </row>
    <row r="859" spans="10:12" ht="15.75" customHeight="1">
      <c r="J859" s="182"/>
      <c r="K859" s="183"/>
      <c r="L859" s="183"/>
    </row>
    <row r="860" spans="10:12" ht="15.75" customHeight="1">
      <c r="J860" s="182"/>
      <c r="K860" s="183"/>
      <c r="L860" s="183"/>
    </row>
    <row r="861" spans="10:12" ht="15.75" customHeight="1">
      <c r="J861" s="182"/>
      <c r="K861" s="183"/>
      <c r="L861" s="183"/>
    </row>
    <row r="862" spans="10:12" ht="15.75" customHeight="1">
      <c r="J862" s="182"/>
      <c r="K862" s="183"/>
      <c r="L862" s="183"/>
    </row>
    <row r="863" spans="10:12" ht="15.75" customHeight="1">
      <c r="J863" s="182"/>
      <c r="K863" s="183"/>
      <c r="L863" s="183"/>
    </row>
    <row r="864" spans="10:12" ht="15.75" customHeight="1">
      <c r="J864" s="182"/>
      <c r="K864" s="183"/>
      <c r="L864" s="183"/>
    </row>
    <row r="865" spans="10:12" ht="15.75" customHeight="1">
      <c r="J865" s="182"/>
      <c r="K865" s="183"/>
      <c r="L865" s="183"/>
    </row>
    <row r="866" spans="10:12" ht="15.75" customHeight="1">
      <c r="J866" s="182"/>
      <c r="K866" s="183"/>
      <c r="L866" s="183"/>
    </row>
    <row r="867" spans="10:12" ht="15.75" customHeight="1">
      <c r="J867" s="182"/>
      <c r="K867" s="183"/>
      <c r="L867" s="183"/>
    </row>
    <row r="868" spans="10:12" ht="15.75" customHeight="1">
      <c r="J868" s="182"/>
      <c r="K868" s="183"/>
      <c r="L868" s="183"/>
    </row>
    <row r="869" spans="10:12" ht="15.75" customHeight="1">
      <c r="J869" s="182"/>
      <c r="K869" s="183"/>
      <c r="L869" s="183"/>
    </row>
    <row r="870" spans="10:12" ht="15.75" customHeight="1">
      <c r="J870" s="182"/>
      <c r="K870" s="183"/>
      <c r="L870" s="183"/>
    </row>
    <row r="871" spans="10:12" ht="15.75" customHeight="1">
      <c r="J871" s="182"/>
      <c r="K871" s="183"/>
      <c r="L871" s="183"/>
    </row>
    <row r="872" spans="10:12" ht="15.75" customHeight="1">
      <c r="J872" s="182"/>
      <c r="K872" s="183"/>
      <c r="L872" s="183"/>
    </row>
    <row r="873" spans="10:12" ht="15.75" customHeight="1">
      <c r="J873" s="182"/>
      <c r="K873" s="183"/>
      <c r="L873" s="183"/>
    </row>
    <row r="874" spans="10:12" ht="15.75" customHeight="1">
      <c r="J874" s="182"/>
      <c r="K874" s="183"/>
      <c r="L874" s="183"/>
    </row>
    <row r="875" spans="10:12" ht="15.75" customHeight="1">
      <c r="J875" s="182"/>
      <c r="K875" s="183"/>
      <c r="L875" s="183"/>
    </row>
    <row r="876" spans="10:12" ht="15.75" customHeight="1">
      <c r="J876" s="182"/>
      <c r="K876" s="183"/>
      <c r="L876" s="183"/>
    </row>
    <row r="877" spans="10:12" ht="15.75" customHeight="1">
      <c r="J877" s="182"/>
      <c r="K877" s="183"/>
      <c r="L877" s="183"/>
    </row>
    <row r="878" spans="10:12" ht="15.75" customHeight="1">
      <c r="J878" s="182"/>
      <c r="K878" s="183"/>
      <c r="L878" s="183"/>
    </row>
    <row r="879" spans="10:12" ht="15.75" customHeight="1">
      <c r="J879" s="182"/>
      <c r="K879" s="183"/>
      <c r="L879" s="183"/>
    </row>
    <row r="880" spans="10:12" ht="15.75" customHeight="1">
      <c r="J880" s="182"/>
      <c r="K880" s="183"/>
      <c r="L880" s="183"/>
    </row>
    <row r="881" spans="10:12" ht="15.75" customHeight="1">
      <c r="J881" s="182"/>
      <c r="K881" s="183"/>
      <c r="L881" s="183"/>
    </row>
    <row r="882" spans="10:12" ht="15.75" customHeight="1">
      <c r="J882" s="182"/>
      <c r="K882" s="183"/>
      <c r="L882" s="183"/>
    </row>
    <row r="883" spans="10:12" ht="15.75" customHeight="1">
      <c r="J883" s="182"/>
      <c r="K883" s="183"/>
      <c r="L883" s="183"/>
    </row>
    <row r="884" spans="10:12" ht="15.75" customHeight="1">
      <c r="J884" s="182"/>
      <c r="K884" s="183"/>
      <c r="L884" s="183"/>
    </row>
    <row r="885" spans="10:12" ht="15.75" customHeight="1">
      <c r="J885" s="182"/>
      <c r="K885" s="183"/>
      <c r="L885" s="183"/>
    </row>
    <row r="886" spans="10:12" ht="15.75" customHeight="1">
      <c r="J886" s="182"/>
      <c r="K886" s="183"/>
      <c r="L886" s="183"/>
    </row>
    <row r="887" spans="10:12" ht="15.75" customHeight="1">
      <c r="J887" s="182"/>
      <c r="K887" s="183"/>
      <c r="L887" s="183"/>
    </row>
    <row r="888" spans="10:12" ht="15.75" customHeight="1">
      <c r="J888" s="182"/>
      <c r="K888" s="183"/>
      <c r="L888" s="183"/>
    </row>
    <row r="889" spans="10:12" ht="15.75" customHeight="1">
      <c r="J889" s="182"/>
      <c r="K889" s="183"/>
      <c r="L889" s="183"/>
    </row>
    <row r="890" spans="10:12" ht="15.75" customHeight="1">
      <c r="J890" s="182"/>
      <c r="K890" s="183"/>
      <c r="L890" s="183"/>
    </row>
    <row r="891" spans="10:12" ht="15.75" customHeight="1">
      <c r="J891" s="182"/>
      <c r="K891" s="183"/>
      <c r="L891" s="183"/>
    </row>
    <row r="892" spans="10:12" ht="15.75" customHeight="1">
      <c r="J892" s="182"/>
      <c r="K892" s="183"/>
      <c r="L892" s="183"/>
    </row>
    <row r="893" spans="10:12" ht="15.75" customHeight="1">
      <c r="J893" s="182"/>
      <c r="K893" s="183"/>
      <c r="L893" s="183"/>
    </row>
    <row r="894" spans="10:12" ht="15.75" customHeight="1">
      <c r="J894" s="182"/>
      <c r="K894" s="183"/>
      <c r="L894" s="183"/>
    </row>
    <row r="895" spans="10:12" ht="15.75" customHeight="1">
      <c r="J895" s="182"/>
      <c r="K895" s="183"/>
      <c r="L895" s="183"/>
    </row>
    <row r="896" spans="10:12" ht="15.75" customHeight="1">
      <c r="J896" s="182"/>
      <c r="K896" s="183"/>
      <c r="L896" s="183"/>
    </row>
    <row r="897" spans="10:12" ht="15.75" customHeight="1">
      <c r="J897" s="182"/>
      <c r="K897" s="183"/>
      <c r="L897" s="183"/>
    </row>
    <row r="898" spans="10:12" ht="15.75" customHeight="1">
      <c r="J898" s="182"/>
      <c r="K898" s="183"/>
      <c r="L898" s="183"/>
    </row>
    <row r="899" spans="10:12" ht="15.75" customHeight="1">
      <c r="J899" s="182"/>
      <c r="K899" s="183"/>
      <c r="L899" s="183"/>
    </row>
    <row r="900" spans="10:12" ht="15.75" customHeight="1">
      <c r="J900" s="182"/>
      <c r="K900" s="183"/>
      <c r="L900" s="183"/>
    </row>
    <row r="901" spans="10:12" ht="15.75" customHeight="1">
      <c r="J901" s="182"/>
      <c r="K901" s="183"/>
      <c r="L901" s="183"/>
    </row>
    <row r="902" spans="10:12" ht="15.75" customHeight="1">
      <c r="J902" s="182"/>
      <c r="K902" s="183"/>
      <c r="L902" s="183"/>
    </row>
    <row r="903" spans="10:12" ht="15.75" customHeight="1">
      <c r="J903" s="182"/>
      <c r="K903" s="183"/>
      <c r="L903" s="183"/>
    </row>
    <row r="904" spans="10:12" ht="15.75" customHeight="1">
      <c r="J904" s="182"/>
      <c r="K904" s="183"/>
      <c r="L904" s="183"/>
    </row>
    <row r="905" spans="10:12" ht="15.75" customHeight="1">
      <c r="J905" s="182"/>
      <c r="K905" s="183"/>
      <c r="L905" s="183"/>
    </row>
    <row r="906" spans="10:12" ht="15.75" customHeight="1">
      <c r="J906" s="182"/>
      <c r="K906" s="183"/>
      <c r="L906" s="183"/>
    </row>
    <row r="907" spans="10:12" ht="15.75" customHeight="1">
      <c r="J907" s="182"/>
      <c r="K907" s="183"/>
      <c r="L907" s="183"/>
    </row>
    <row r="908" spans="10:12" ht="15.75" customHeight="1">
      <c r="J908" s="182"/>
      <c r="K908" s="183"/>
      <c r="L908" s="183"/>
    </row>
    <row r="909" spans="10:12" ht="15.75" customHeight="1">
      <c r="J909" s="182"/>
      <c r="K909" s="183"/>
      <c r="L909" s="183"/>
    </row>
    <row r="910" spans="10:12" ht="15.75" customHeight="1">
      <c r="J910" s="182"/>
      <c r="K910" s="183"/>
      <c r="L910" s="183"/>
    </row>
    <row r="911" spans="10:12" ht="15.75" customHeight="1">
      <c r="J911" s="182"/>
      <c r="K911" s="183"/>
      <c r="L911" s="183"/>
    </row>
    <row r="912" spans="10:12" ht="15.75" customHeight="1">
      <c r="J912" s="182"/>
      <c r="K912" s="183"/>
      <c r="L912" s="183"/>
    </row>
    <row r="913" spans="10:12" ht="15.75" customHeight="1">
      <c r="J913" s="182"/>
      <c r="K913" s="183"/>
      <c r="L913" s="183"/>
    </row>
    <row r="914" spans="10:12" ht="15.75" customHeight="1">
      <c r="J914" s="182"/>
      <c r="K914" s="183"/>
      <c r="L914" s="183"/>
    </row>
    <row r="915" spans="10:12" ht="15.75" customHeight="1">
      <c r="J915" s="182"/>
      <c r="K915" s="183"/>
      <c r="L915" s="183"/>
    </row>
    <row r="916" spans="10:12" ht="15.75" customHeight="1">
      <c r="J916" s="182"/>
      <c r="K916" s="183"/>
      <c r="L916" s="183"/>
    </row>
    <row r="917" spans="10:12" ht="15.75" customHeight="1">
      <c r="J917" s="182"/>
      <c r="K917" s="183"/>
      <c r="L917" s="183"/>
    </row>
    <row r="918" spans="10:12" ht="15.75" customHeight="1">
      <c r="J918" s="182"/>
      <c r="K918" s="183"/>
      <c r="L918" s="183"/>
    </row>
    <row r="919" spans="10:12" ht="15.75" customHeight="1">
      <c r="J919" s="182"/>
      <c r="K919" s="183"/>
      <c r="L919" s="183"/>
    </row>
    <row r="920" spans="10:12" ht="15.75" customHeight="1">
      <c r="J920" s="182"/>
      <c r="K920" s="183"/>
      <c r="L920" s="183"/>
    </row>
    <row r="921" spans="10:12" ht="15.75" customHeight="1">
      <c r="J921" s="182"/>
      <c r="K921" s="183"/>
      <c r="L921" s="183"/>
    </row>
    <row r="922" spans="10:12" ht="15.75" customHeight="1">
      <c r="J922" s="182"/>
      <c r="K922" s="183"/>
      <c r="L922" s="183"/>
    </row>
    <row r="923" spans="10:12" ht="15.75" customHeight="1">
      <c r="J923" s="182"/>
      <c r="K923" s="183"/>
      <c r="L923" s="183"/>
    </row>
    <row r="924" spans="10:12" ht="15.75" customHeight="1">
      <c r="J924" s="182"/>
      <c r="K924" s="183"/>
      <c r="L924" s="183"/>
    </row>
    <row r="925" spans="10:12" ht="15.75" customHeight="1">
      <c r="J925" s="182"/>
      <c r="K925" s="183"/>
      <c r="L925" s="183"/>
    </row>
    <row r="926" spans="10:12" ht="15.75" customHeight="1">
      <c r="J926" s="182"/>
      <c r="K926" s="183"/>
      <c r="L926" s="183"/>
    </row>
    <row r="927" spans="10:12" ht="15.75" customHeight="1">
      <c r="J927" s="182"/>
      <c r="K927" s="183"/>
      <c r="L927" s="183"/>
    </row>
    <row r="928" spans="10:12" ht="15.75" customHeight="1">
      <c r="J928" s="182"/>
      <c r="K928" s="183"/>
      <c r="L928" s="183"/>
    </row>
    <row r="929" spans="10:12" ht="15.75" customHeight="1">
      <c r="J929" s="182"/>
      <c r="K929" s="183"/>
      <c r="L929" s="183"/>
    </row>
    <row r="930" spans="10:12" ht="15.75" customHeight="1">
      <c r="J930" s="182"/>
      <c r="K930" s="183"/>
      <c r="L930" s="183"/>
    </row>
    <row r="931" spans="10:12" ht="15.75" customHeight="1">
      <c r="J931" s="182"/>
      <c r="K931" s="183"/>
      <c r="L931" s="183"/>
    </row>
    <row r="932" spans="10:12" ht="15.75" customHeight="1">
      <c r="J932" s="182"/>
      <c r="K932" s="183"/>
      <c r="L932" s="183"/>
    </row>
    <row r="933" spans="10:12" ht="15.75" customHeight="1">
      <c r="J933" s="182"/>
      <c r="K933" s="183"/>
      <c r="L933" s="183"/>
    </row>
    <row r="934" spans="10:12" ht="15.75" customHeight="1">
      <c r="J934" s="182"/>
      <c r="K934" s="183"/>
      <c r="L934" s="183"/>
    </row>
    <row r="935" spans="10:12" ht="15.75" customHeight="1">
      <c r="J935" s="182"/>
      <c r="K935" s="183"/>
      <c r="L935" s="183"/>
    </row>
    <row r="936" spans="10:12" ht="15.75" customHeight="1">
      <c r="J936" s="182"/>
      <c r="K936" s="183"/>
      <c r="L936" s="183"/>
    </row>
    <row r="937" spans="10:12" ht="15.75" customHeight="1">
      <c r="J937" s="182"/>
      <c r="K937" s="183"/>
      <c r="L937" s="183"/>
    </row>
    <row r="938" spans="10:12" ht="15.75" customHeight="1">
      <c r="J938" s="182"/>
      <c r="K938" s="183"/>
      <c r="L938" s="183"/>
    </row>
    <row r="939" spans="10:12" ht="15.75" customHeight="1">
      <c r="J939" s="182"/>
      <c r="K939" s="183"/>
      <c r="L939" s="183"/>
    </row>
    <row r="940" spans="10:12" ht="15.75" customHeight="1">
      <c r="J940" s="182"/>
      <c r="K940" s="183"/>
      <c r="L940" s="183"/>
    </row>
    <row r="941" spans="10:12" ht="15.75" customHeight="1">
      <c r="J941" s="182"/>
      <c r="K941" s="183"/>
      <c r="L941" s="183"/>
    </row>
    <row r="942" spans="10:12" ht="15.75" customHeight="1">
      <c r="J942" s="182"/>
      <c r="K942" s="183"/>
      <c r="L942" s="183"/>
    </row>
    <row r="943" spans="10:12" ht="15.75" customHeight="1">
      <c r="J943" s="182"/>
      <c r="K943" s="183"/>
      <c r="L943" s="183"/>
    </row>
    <row r="944" spans="10:12" ht="15.75" customHeight="1">
      <c r="J944" s="182"/>
      <c r="K944" s="183"/>
      <c r="L944" s="183"/>
    </row>
    <row r="945" spans="10:12" ht="15.75" customHeight="1">
      <c r="J945" s="182"/>
      <c r="K945" s="183"/>
      <c r="L945" s="183"/>
    </row>
    <row r="946" spans="10:12" ht="15.75" customHeight="1">
      <c r="J946" s="182"/>
      <c r="K946" s="183"/>
      <c r="L946" s="183"/>
    </row>
    <row r="947" spans="10:12" ht="15.75" customHeight="1">
      <c r="J947" s="182"/>
      <c r="K947" s="183"/>
      <c r="L947" s="183"/>
    </row>
    <row r="948" spans="10:12" ht="15.75" customHeight="1">
      <c r="J948" s="182"/>
      <c r="K948" s="183"/>
      <c r="L948" s="183"/>
    </row>
    <row r="949" spans="10:12" ht="15.75" customHeight="1">
      <c r="J949" s="182"/>
      <c r="K949" s="183"/>
      <c r="L949" s="183"/>
    </row>
    <row r="950" spans="10:12" ht="15.75" customHeight="1">
      <c r="J950" s="182"/>
      <c r="K950" s="183"/>
      <c r="L950" s="183"/>
    </row>
    <row r="951" spans="10:12" ht="15.75" customHeight="1">
      <c r="J951" s="182"/>
      <c r="K951" s="183"/>
      <c r="L951" s="183"/>
    </row>
    <row r="952" spans="10:12" ht="15.75" customHeight="1">
      <c r="J952" s="182"/>
      <c r="K952" s="183"/>
      <c r="L952" s="183"/>
    </row>
    <row r="953" spans="10:12" ht="15.75" customHeight="1">
      <c r="J953" s="182"/>
      <c r="K953" s="183"/>
      <c r="L953" s="183"/>
    </row>
    <row r="954" spans="10:12" ht="15.75" customHeight="1">
      <c r="J954" s="182"/>
      <c r="K954" s="183"/>
      <c r="L954" s="183"/>
    </row>
    <row r="955" spans="10:12" ht="15.75" customHeight="1">
      <c r="J955" s="182"/>
      <c r="K955" s="183"/>
      <c r="L955" s="183"/>
    </row>
    <row r="956" spans="10:12" ht="15.75" customHeight="1">
      <c r="J956" s="182"/>
      <c r="K956" s="183"/>
      <c r="L956" s="183"/>
    </row>
    <row r="957" spans="10:12" ht="15.75" customHeight="1">
      <c r="J957" s="182"/>
      <c r="K957" s="183"/>
      <c r="L957" s="183"/>
    </row>
    <row r="958" spans="10:12" ht="15.75" customHeight="1">
      <c r="J958" s="182"/>
      <c r="K958" s="183"/>
      <c r="L958" s="183"/>
    </row>
    <row r="959" spans="10:12" ht="15.75" customHeight="1">
      <c r="J959" s="182"/>
      <c r="K959" s="183"/>
      <c r="L959" s="183"/>
    </row>
    <row r="960" spans="10:12" ht="15.75" customHeight="1">
      <c r="J960" s="182"/>
      <c r="K960" s="183"/>
      <c r="L960" s="183"/>
    </row>
    <row r="961" spans="10:12" ht="15.75" customHeight="1">
      <c r="J961" s="182"/>
      <c r="K961" s="183"/>
      <c r="L961" s="183"/>
    </row>
    <row r="962" spans="10:12" ht="15.75" customHeight="1">
      <c r="J962" s="182"/>
      <c r="K962" s="183"/>
      <c r="L962" s="183"/>
    </row>
    <row r="963" spans="10:12" ht="15.75" customHeight="1">
      <c r="J963" s="182"/>
      <c r="K963" s="183"/>
      <c r="L963" s="183"/>
    </row>
    <row r="964" spans="10:12" ht="15.75" customHeight="1">
      <c r="J964" s="182"/>
      <c r="K964" s="183"/>
      <c r="L964" s="183"/>
    </row>
    <row r="965" spans="10:12" ht="15.75" customHeight="1">
      <c r="J965" s="182"/>
      <c r="K965" s="183"/>
      <c r="L965" s="183"/>
    </row>
    <row r="966" spans="10:12" ht="15.75" customHeight="1">
      <c r="J966" s="182"/>
      <c r="K966" s="183"/>
      <c r="L966" s="183"/>
    </row>
    <row r="967" spans="10:12" ht="15.75" customHeight="1">
      <c r="J967" s="182"/>
      <c r="K967" s="183"/>
      <c r="L967" s="183"/>
    </row>
    <row r="968" spans="10:12" ht="15.75" customHeight="1">
      <c r="J968" s="182"/>
      <c r="K968" s="183"/>
      <c r="L968" s="183"/>
    </row>
    <row r="969" spans="10:12" ht="15.75" customHeight="1">
      <c r="J969" s="182"/>
      <c r="K969" s="183"/>
      <c r="L969" s="183"/>
    </row>
    <row r="970" spans="10:12" ht="15.75" customHeight="1">
      <c r="J970" s="182"/>
      <c r="K970" s="183"/>
      <c r="L970" s="183"/>
    </row>
    <row r="971" spans="10:12" ht="15.75" customHeight="1">
      <c r="J971" s="182"/>
      <c r="K971" s="183"/>
      <c r="L971" s="183"/>
    </row>
    <row r="972" spans="10:12" ht="15.75" customHeight="1">
      <c r="J972" s="182"/>
      <c r="K972" s="183"/>
      <c r="L972" s="183"/>
    </row>
    <row r="973" spans="10:12" ht="15.75" customHeight="1">
      <c r="J973" s="182"/>
      <c r="K973" s="183"/>
      <c r="L973" s="183"/>
    </row>
    <row r="974" spans="10:12" ht="15.75" customHeight="1">
      <c r="J974" s="182"/>
      <c r="K974" s="183"/>
      <c r="L974" s="183"/>
    </row>
    <row r="975" spans="10:12" ht="15.75" customHeight="1">
      <c r="J975" s="182"/>
      <c r="K975" s="183"/>
      <c r="L975" s="183"/>
    </row>
    <row r="976" spans="10:12" ht="15.75" customHeight="1">
      <c r="J976" s="182"/>
      <c r="K976" s="183"/>
      <c r="L976" s="183"/>
    </row>
    <row r="977" spans="10:12" ht="15.75" customHeight="1">
      <c r="J977" s="182"/>
      <c r="K977" s="183"/>
      <c r="L977" s="183"/>
    </row>
    <row r="978" spans="10:12" ht="15.75" customHeight="1">
      <c r="J978" s="182"/>
      <c r="K978" s="183"/>
      <c r="L978" s="183"/>
    </row>
    <row r="979" spans="10:12" ht="15.75" customHeight="1">
      <c r="J979" s="182"/>
      <c r="K979" s="183"/>
      <c r="L979" s="183"/>
    </row>
    <row r="980" spans="10:12" ht="15.75" customHeight="1">
      <c r="J980" s="182"/>
      <c r="K980" s="183"/>
      <c r="L980" s="183"/>
    </row>
    <row r="981" spans="10:12" ht="15.75" customHeight="1">
      <c r="J981" s="182"/>
      <c r="K981" s="183"/>
      <c r="L981" s="183"/>
    </row>
    <row r="982" spans="10:12" ht="15.75" customHeight="1">
      <c r="J982" s="182"/>
      <c r="K982" s="183"/>
      <c r="L982" s="183"/>
    </row>
    <row r="983" spans="10:12" ht="15.75" customHeight="1">
      <c r="J983" s="182"/>
      <c r="K983" s="183"/>
      <c r="L983" s="183"/>
    </row>
    <row r="984" spans="10:12" ht="15.75" customHeight="1">
      <c r="J984" s="182"/>
      <c r="K984" s="183"/>
      <c r="L984" s="183"/>
    </row>
    <row r="985" spans="10:12" ht="15.75" customHeight="1">
      <c r="J985" s="182"/>
      <c r="K985" s="183"/>
      <c r="L985" s="183"/>
    </row>
    <row r="986" spans="10:12" ht="15.75" customHeight="1">
      <c r="J986" s="182"/>
      <c r="K986" s="183"/>
      <c r="L986" s="183"/>
    </row>
    <row r="987" spans="10:12" ht="15.75" customHeight="1">
      <c r="J987" s="182"/>
      <c r="K987" s="183"/>
      <c r="L987" s="183"/>
    </row>
    <row r="988" spans="10:12" ht="15.75" customHeight="1">
      <c r="J988" s="182"/>
      <c r="K988" s="183"/>
      <c r="L988" s="183"/>
    </row>
    <row r="989" spans="10:12" ht="15.75" customHeight="1">
      <c r="J989" s="182"/>
      <c r="K989" s="183"/>
      <c r="L989" s="183"/>
    </row>
    <row r="990" spans="10:12" ht="15.75" customHeight="1">
      <c r="J990" s="182"/>
      <c r="K990" s="183"/>
      <c r="L990" s="183"/>
    </row>
    <row r="991" spans="10:12" ht="15.75" customHeight="1">
      <c r="J991" s="182"/>
      <c r="K991" s="183"/>
      <c r="L991" s="183"/>
    </row>
    <row r="992" spans="10:12" ht="15.75" customHeight="1">
      <c r="J992" s="182"/>
      <c r="K992" s="183"/>
      <c r="L992" s="183"/>
    </row>
    <row r="993" spans="10:12" ht="15.75" customHeight="1">
      <c r="J993" s="182"/>
      <c r="K993" s="183"/>
      <c r="L993" s="183"/>
    </row>
    <row r="994" spans="10:12" ht="15.75" customHeight="1">
      <c r="J994" s="182"/>
      <c r="K994" s="183"/>
      <c r="L994" s="183"/>
    </row>
    <row r="995" spans="10:12" ht="15.75" customHeight="1">
      <c r="J995" s="182"/>
      <c r="K995" s="183"/>
      <c r="L995" s="183"/>
    </row>
    <row r="996" spans="10:12" ht="15.75" customHeight="1">
      <c r="J996" s="182"/>
      <c r="K996" s="183"/>
      <c r="L996" s="183"/>
    </row>
    <row r="997" spans="10:12" ht="15.75" customHeight="1">
      <c r="J997" s="182"/>
      <c r="K997" s="183"/>
      <c r="L997" s="183"/>
    </row>
    <row r="998" spans="10:12" ht="15.75" customHeight="1">
      <c r="J998" s="182"/>
      <c r="K998" s="183"/>
      <c r="L998" s="183"/>
    </row>
    <row r="999" spans="10:12" ht="15.75" customHeight="1">
      <c r="J999" s="182"/>
      <c r="K999" s="183"/>
      <c r="L999" s="183"/>
    </row>
    <row r="1000" spans="10:12" ht="15.75" customHeight="1">
      <c r="J1000" s="182"/>
      <c r="K1000" s="183"/>
      <c r="L1000" s="183"/>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O1000"/>
  <sheetViews>
    <sheetView workbookViewId="0"/>
  </sheetViews>
  <sheetFormatPr baseColWidth="10" defaultColWidth="12.6640625" defaultRowHeight="15" customHeight="1"/>
  <cols>
    <col min="1" max="1" width="11.83203125" customWidth="1"/>
    <col min="2" max="2" width="9.6640625" customWidth="1"/>
    <col min="3" max="3" width="21.1640625" customWidth="1"/>
    <col min="4" max="4" width="13.1640625" customWidth="1"/>
    <col min="5" max="5" width="7.6640625" customWidth="1"/>
    <col min="6" max="9" width="12" customWidth="1"/>
    <col min="10" max="10" width="22.1640625" customWidth="1"/>
    <col min="11" max="11" width="13" customWidth="1"/>
    <col min="12" max="12" width="11.1640625" customWidth="1"/>
    <col min="13" max="13" width="37.6640625" customWidth="1"/>
    <col min="14" max="14" width="19.33203125" customWidth="1"/>
    <col min="15" max="15" width="14.1640625" customWidth="1"/>
    <col min="16" max="26" width="7.6640625" customWidth="1"/>
  </cols>
  <sheetData>
    <row r="1" spans="1:15">
      <c r="A1" s="174" t="s">
        <v>154</v>
      </c>
      <c r="B1" s="174" t="s">
        <v>155</v>
      </c>
      <c r="C1" s="174" t="s">
        <v>156</v>
      </c>
      <c r="D1" s="174" t="s">
        <v>157</v>
      </c>
      <c r="E1" s="174" t="s">
        <v>158</v>
      </c>
      <c r="F1" s="174" t="s">
        <v>3628</v>
      </c>
      <c r="G1" s="174" t="s">
        <v>3629</v>
      </c>
      <c r="H1" s="174" t="s">
        <v>3630</v>
      </c>
      <c r="I1" s="174" t="s">
        <v>3631</v>
      </c>
      <c r="J1" s="175" t="s">
        <v>163</v>
      </c>
      <c r="K1" s="176" t="s">
        <v>165</v>
      </c>
      <c r="L1" s="176" t="s">
        <v>3632</v>
      </c>
      <c r="M1" s="103" t="s">
        <v>166</v>
      </c>
      <c r="N1" s="104" t="s">
        <v>167</v>
      </c>
      <c r="O1" s="105" t="s">
        <v>164</v>
      </c>
    </row>
    <row r="2" spans="1:15">
      <c r="A2" s="184" t="s">
        <v>4</v>
      </c>
      <c r="B2" s="133" t="s">
        <v>2481</v>
      </c>
      <c r="C2" s="133" t="s">
        <v>3676</v>
      </c>
      <c r="D2" s="158">
        <v>1786879</v>
      </c>
      <c r="E2" s="133" t="s">
        <v>171</v>
      </c>
      <c r="F2" s="158">
        <v>264856</v>
      </c>
      <c r="G2" s="158">
        <v>262936</v>
      </c>
      <c r="H2" s="158">
        <v>736</v>
      </c>
      <c r="I2" s="158">
        <v>1184</v>
      </c>
      <c r="J2" s="178" t="s">
        <v>3677</v>
      </c>
      <c r="K2" s="133" t="s">
        <v>3678</v>
      </c>
      <c r="M2" s="98" t="s">
        <v>325</v>
      </c>
      <c r="N2" s="98" t="s">
        <v>2228</v>
      </c>
      <c r="O2" s="113" t="s">
        <v>176</v>
      </c>
    </row>
    <row r="3" spans="1:15">
      <c r="A3" s="184" t="s">
        <v>4</v>
      </c>
      <c r="B3" s="133" t="s">
        <v>266</v>
      </c>
      <c r="C3" s="133" t="s">
        <v>71</v>
      </c>
      <c r="D3" s="158">
        <v>15</v>
      </c>
      <c r="E3" s="133" t="s">
        <v>171</v>
      </c>
      <c r="F3" s="158">
        <v>72</v>
      </c>
      <c r="G3" s="158">
        <v>8</v>
      </c>
      <c r="H3" s="158">
        <v>8</v>
      </c>
      <c r="I3" s="158">
        <v>56</v>
      </c>
      <c r="J3" s="178" t="s">
        <v>3679</v>
      </c>
      <c r="K3" s="133" t="s">
        <v>3678</v>
      </c>
      <c r="M3" s="98" t="s">
        <v>1814</v>
      </c>
      <c r="N3" s="98" t="s">
        <v>2228</v>
      </c>
      <c r="O3" s="113" t="s">
        <v>176</v>
      </c>
    </row>
    <row r="4" spans="1:15">
      <c r="A4" s="184" t="s">
        <v>4</v>
      </c>
      <c r="B4" s="133" t="s">
        <v>266</v>
      </c>
      <c r="C4" s="133" t="s">
        <v>3680</v>
      </c>
      <c r="D4" s="158">
        <v>4</v>
      </c>
      <c r="E4" s="133" t="s">
        <v>171</v>
      </c>
      <c r="F4" s="158">
        <v>72</v>
      </c>
      <c r="G4" s="158">
        <v>8</v>
      </c>
      <c r="H4" s="158">
        <v>8</v>
      </c>
      <c r="I4" s="158">
        <v>56</v>
      </c>
      <c r="J4" s="178" t="s">
        <v>3681</v>
      </c>
      <c r="K4" s="133" t="s">
        <v>3678</v>
      </c>
      <c r="M4" s="98" t="s">
        <v>3682</v>
      </c>
      <c r="N4" s="98" t="s">
        <v>2228</v>
      </c>
      <c r="O4" s="113" t="s">
        <v>176</v>
      </c>
    </row>
    <row r="5" spans="1:15">
      <c r="A5" s="184" t="s">
        <v>4</v>
      </c>
      <c r="B5" s="133" t="s">
        <v>266</v>
      </c>
      <c r="C5" s="133" t="s">
        <v>3683</v>
      </c>
      <c r="D5" s="158">
        <v>1649748</v>
      </c>
      <c r="E5" s="133" t="s">
        <v>171</v>
      </c>
      <c r="F5" s="158">
        <v>744040</v>
      </c>
      <c r="G5" s="158">
        <v>607608</v>
      </c>
      <c r="H5" s="158">
        <v>132000</v>
      </c>
      <c r="I5" s="158">
        <v>4432</v>
      </c>
      <c r="J5" s="185">
        <v>241585.64027777777</v>
      </c>
      <c r="K5" s="133" t="s">
        <v>3678</v>
      </c>
      <c r="M5" s="98" t="s">
        <v>3684</v>
      </c>
      <c r="N5" s="98" t="s">
        <v>2228</v>
      </c>
      <c r="O5" s="113" t="s">
        <v>176</v>
      </c>
    </row>
    <row r="6" spans="1:15">
      <c r="A6" s="184" t="s">
        <v>4</v>
      </c>
      <c r="B6" s="133" t="s">
        <v>266</v>
      </c>
      <c r="C6" s="133" t="s">
        <v>3685</v>
      </c>
      <c r="D6" s="158">
        <v>12</v>
      </c>
      <c r="E6" s="133" t="s">
        <v>171</v>
      </c>
      <c r="F6" s="158">
        <v>72</v>
      </c>
      <c r="G6" s="158">
        <v>8</v>
      </c>
      <c r="H6" s="158">
        <v>8</v>
      </c>
      <c r="I6" s="158">
        <v>56</v>
      </c>
      <c r="J6" s="178" t="s">
        <v>3686</v>
      </c>
      <c r="K6" s="133" t="s">
        <v>3678</v>
      </c>
      <c r="M6" s="98" t="s">
        <v>1607</v>
      </c>
      <c r="N6" s="98" t="s">
        <v>2228</v>
      </c>
      <c r="O6" s="113" t="s">
        <v>176</v>
      </c>
    </row>
    <row r="7" spans="1:15">
      <c r="A7" s="184" t="s">
        <v>4</v>
      </c>
      <c r="B7" s="133" t="s">
        <v>266</v>
      </c>
      <c r="C7" s="133" t="s">
        <v>3687</v>
      </c>
      <c r="D7" s="158">
        <v>32</v>
      </c>
      <c r="E7" s="133" t="s">
        <v>171</v>
      </c>
      <c r="F7" s="158">
        <v>72</v>
      </c>
      <c r="G7" s="158">
        <v>8</v>
      </c>
      <c r="H7" s="158">
        <v>8</v>
      </c>
      <c r="I7" s="158">
        <v>56</v>
      </c>
      <c r="J7" s="178" t="s">
        <v>3688</v>
      </c>
      <c r="K7" s="133" t="s">
        <v>3678</v>
      </c>
      <c r="M7" s="98" t="s">
        <v>3689</v>
      </c>
      <c r="N7" s="98" t="s">
        <v>2228</v>
      </c>
      <c r="O7" s="113" t="s">
        <v>176</v>
      </c>
    </row>
    <row r="8" spans="1:15">
      <c r="A8" s="184" t="s">
        <v>4</v>
      </c>
      <c r="B8" s="133" t="s">
        <v>266</v>
      </c>
      <c r="C8" s="133" t="s">
        <v>3690</v>
      </c>
      <c r="D8" s="158">
        <v>1612</v>
      </c>
      <c r="E8" s="133" t="s">
        <v>171</v>
      </c>
      <c r="F8" s="158">
        <v>584</v>
      </c>
      <c r="G8" s="158">
        <v>392</v>
      </c>
      <c r="H8" s="158">
        <v>16</v>
      </c>
      <c r="I8" s="158">
        <v>176</v>
      </c>
      <c r="J8" s="178" t="s">
        <v>3691</v>
      </c>
      <c r="K8" s="133" t="s">
        <v>3678</v>
      </c>
      <c r="M8" s="98" t="s">
        <v>3692</v>
      </c>
      <c r="N8" s="98" t="s">
        <v>2228</v>
      </c>
      <c r="O8" s="113" t="s">
        <v>176</v>
      </c>
    </row>
    <row r="9" spans="1:15">
      <c r="A9" s="184" t="s">
        <v>4</v>
      </c>
      <c r="B9" s="133" t="s">
        <v>266</v>
      </c>
      <c r="C9" s="133" t="s">
        <v>3693</v>
      </c>
      <c r="D9" s="158">
        <v>316</v>
      </c>
      <c r="E9" s="133" t="s">
        <v>171</v>
      </c>
      <c r="F9" s="158">
        <v>408</v>
      </c>
      <c r="G9" s="158">
        <v>192</v>
      </c>
      <c r="H9" s="158">
        <v>56</v>
      </c>
      <c r="I9" s="158">
        <v>160</v>
      </c>
      <c r="J9" s="178" t="s">
        <v>3694</v>
      </c>
      <c r="K9" s="133" t="s">
        <v>3678</v>
      </c>
      <c r="M9" s="98" t="s">
        <v>3695</v>
      </c>
      <c r="N9" s="98" t="s">
        <v>2228</v>
      </c>
      <c r="O9" s="113" t="s">
        <v>176</v>
      </c>
    </row>
    <row r="10" spans="1:15">
      <c r="A10" s="184" t="s">
        <v>4</v>
      </c>
      <c r="B10" s="133" t="s">
        <v>266</v>
      </c>
      <c r="C10" s="133" t="s">
        <v>3696</v>
      </c>
      <c r="D10" s="158">
        <v>129</v>
      </c>
      <c r="E10" s="133" t="s">
        <v>171</v>
      </c>
      <c r="F10" s="158">
        <v>200</v>
      </c>
      <c r="G10" s="158">
        <v>32</v>
      </c>
      <c r="H10" s="158">
        <v>16</v>
      </c>
      <c r="I10" s="158">
        <v>152</v>
      </c>
      <c r="J10" s="178" t="s">
        <v>3697</v>
      </c>
      <c r="K10" s="133" t="s">
        <v>3678</v>
      </c>
      <c r="M10" s="98" t="s">
        <v>3698</v>
      </c>
      <c r="O10" s="186" t="s">
        <v>3699</v>
      </c>
    </row>
    <row r="11" spans="1:15">
      <c r="A11" s="184" t="s">
        <v>4</v>
      </c>
      <c r="B11" s="133" t="s">
        <v>2481</v>
      </c>
      <c r="C11" s="133" t="s">
        <v>3700</v>
      </c>
      <c r="D11" s="158">
        <v>730</v>
      </c>
      <c r="E11" s="133" t="s">
        <v>171</v>
      </c>
      <c r="F11" s="158">
        <v>1000</v>
      </c>
      <c r="G11" s="158">
        <v>56</v>
      </c>
      <c r="H11" s="158">
        <v>208</v>
      </c>
      <c r="I11" s="158">
        <v>736</v>
      </c>
      <c r="J11" s="178" t="s">
        <v>3701</v>
      </c>
      <c r="K11" s="133" t="s">
        <v>3678</v>
      </c>
      <c r="M11" s="98" t="s">
        <v>3702</v>
      </c>
      <c r="O11" s="186" t="s">
        <v>3699</v>
      </c>
    </row>
    <row r="12" spans="1:15">
      <c r="A12" s="184" t="s">
        <v>4</v>
      </c>
      <c r="B12" s="133" t="s">
        <v>2481</v>
      </c>
      <c r="C12" s="133" t="s">
        <v>3703</v>
      </c>
      <c r="D12" s="158">
        <v>49657</v>
      </c>
      <c r="E12" s="133" t="s">
        <v>171</v>
      </c>
      <c r="F12" s="158">
        <v>52912</v>
      </c>
      <c r="G12" s="158">
        <v>18952</v>
      </c>
      <c r="H12" s="158">
        <v>25136</v>
      </c>
      <c r="I12" s="158">
        <v>8824</v>
      </c>
      <c r="J12" s="178" t="s">
        <v>3704</v>
      </c>
      <c r="K12" s="133" t="s">
        <v>3678</v>
      </c>
      <c r="M12" s="98" t="s">
        <v>3705</v>
      </c>
      <c r="N12" s="98" t="s">
        <v>2228</v>
      </c>
      <c r="O12" s="113" t="s">
        <v>176</v>
      </c>
    </row>
    <row r="13" spans="1:15">
      <c r="A13" s="184" t="s">
        <v>4</v>
      </c>
      <c r="B13" s="133" t="s">
        <v>266</v>
      </c>
      <c r="C13" s="133" t="s">
        <v>3706</v>
      </c>
      <c r="D13" s="158">
        <v>3083</v>
      </c>
      <c r="E13" s="133" t="s">
        <v>171</v>
      </c>
      <c r="F13" s="158">
        <v>1496</v>
      </c>
      <c r="G13" s="158">
        <v>1032</v>
      </c>
      <c r="H13" s="158">
        <v>32</v>
      </c>
      <c r="I13" s="158">
        <v>432</v>
      </c>
      <c r="J13" s="178" t="s">
        <v>3707</v>
      </c>
      <c r="K13" s="133" t="s">
        <v>3678</v>
      </c>
      <c r="M13" s="98" t="s">
        <v>3708</v>
      </c>
      <c r="N13" s="98" t="s">
        <v>2228</v>
      </c>
      <c r="O13" s="113" t="s">
        <v>176</v>
      </c>
    </row>
    <row r="14" spans="1:15">
      <c r="A14" s="184" t="s">
        <v>4</v>
      </c>
      <c r="B14" s="133" t="s">
        <v>266</v>
      </c>
      <c r="C14" s="133" t="s">
        <v>3709</v>
      </c>
      <c r="D14" s="158">
        <v>0</v>
      </c>
      <c r="E14" s="133" t="s">
        <v>171</v>
      </c>
      <c r="F14" s="158">
        <v>0</v>
      </c>
      <c r="G14" s="158">
        <v>0</v>
      </c>
      <c r="H14" s="158">
        <v>0</v>
      </c>
      <c r="I14" s="158">
        <v>0</v>
      </c>
      <c r="J14" s="178" t="s">
        <v>3710</v>
      </c>
      <c r="K14" s="133" t="s">
        <v>3678</v>
      </c>
      <c r="M14" s="98" t="s">
        <v>3711</v>
      </c>
      <c r="N14" s="98" t="s">
        <v>2228</v>
      </c>
      <c r="O14" s="113" t="s">
        <v>176</v>
      </c>
    </row>
    <row r="15" spans="1:15">
      <c r="A15" s="184" t="s">
        <v>4</v>
      </c>
      <c r="B15" s="133" t="s">
        <v>266</v>
      </c>
      <c r="C15" s="133" t="s">
        <v>3712</v>
      </c>
      <c r="D15" s="158">
        <v>9</v>
      </c>
      <c r="E15" s="133" t="s">
        <v>171</v>
      </c>
      <c r="F15" s="158">
        <v>72</v>
      </c>
      <c r="G15" s="158">
        <v>8</v>
      </c>
      <c r="H15" s="158">
        <v>8</v>
      </c>
      <c r="I15" s="158">
        <v>56</v>
      </c>
      <c r="J15" s="178" t="s">
        <v>3713</v>
      </c>
      <c r="K15" s="133" t="s">
        <v>3678</v>
      </c>
      <c r="M15" s="98" t="s">
        <v>3714</v>
      </c>
      <c r="N15" s="98" t="s">
        <v>2228</v>
      </c>
      <c r="O15" s="113" t="s">
        <v>176</v>
      </c>
    </row>
    <row r="16" spans="1:15">
      <c r="A16" s="184" t="s">
        <v>4</v>
      </c>
      <c r="B16" s="133" t="s">
        <v>266</v>
      </c>
      <c r="C16" s="133" t="s">
        <v>3715</v>
      </c>
      <c r="D16" s="158">
        <v>4</v>
      </c>
      <c r="E16" s="133" t="s">
        <v>171</v>
      </c>
      <c r="F16" s="158">
        <v>72</v>
      </c>
      <c r="G16" s="158">
        <v>8</v>
      </c>
      <c r="H16" s="158">
        <v>8</v>
      </c>
      <c r="I16" s="158">
        <v>56</v>
      </c>
      <c r="J16" s="178" t="s">
        <v>3716</v>
      </c>
      <c r="K16" s="133" t="s">
        <v>3678</v>
      </c>
      <c r="M16" s="98" t="s">
        <v>3717</v>
      </c>
      <c r="N16" s="98" t="s">
        <v>2228</v>
      </c>
      <c r="O16" s="113" t="s">
        <v>176</v>
      </c>
    </row>
    <row r="17" spans="1:15">
      <c r="A17" s="184" t="s">
        <v>4</v>
      </c>
      <c r="B17" s="133" t="s">
        <v>266</v>
      </c>
      <c r="C17" s="133" t="s">
        <v>3718</v>
      </c>
      <c r="D17" s="158">
        <v>66</v>
      </c>
      <c r="E17" s="133" t="s">
        <v>171</v>
      </c>
      <c r="F17" s="158">
        <v>144</v>
      </c>
      <c r="G17" s="158">
        <v>24</v>
      </c>
      <c r="H17" s="158">
        <v>24</v>
      </c>
      <c r="I17" s="158">
        <v>96</v>
      </c>
      <c r="J17" s="178" t="s">
        <v>3719</v>
      </c>
      <c r="K17" s="133" t="s">
        <v>3678</v>
      </c>
      <c r="M17" s="98" t="s">
        <v>3720</v>
      </c>
      <c r="N17" s="98" t="s">
        <v>2228</v>
      </c>
      <c r="O17" s="113" t="s">
        <v>176</v>
      </c>
    </row>
    <row r="18" spans="1:15">
      <c r="A18" s="184" t="s">
        <v>4</v>
      </c>
      <c r="B18" s="133" t="s">
        <v>266</v>
      </c>
      <c r="C18" s="133" t="s">
        <v>3721</v>
      </c>
      <c r="D18" s="158">
        <v>5</v>
      </c>
      <c r="E18" s="133" t="s">
        <v>171</v>
      </c>
      <c r="F18" s="158">
        <v>72</v>
      </c>
      <c r="G18" s="158">
        <v>8</v>
      </c>
      <c r="H18" s="158">
        <v>8</v>
      </c>
      <c r="I18" s="158">
        <v>56</v>
      </c>
      <c r="J18" s="178" t="s">
        <v>3722</v>
      </c>
      <c r="K18" s="133" t="s">
        <v>3678</v>
      </c>
      <c r="M18" s="98" t="s">
        <v>3723</v>
      </c>
      <c r="N18" s="98" t="s">
        <v>2228</v>
      </c>
      <c r="O18" s="113" t="s">
        <v>176</v>
      </c>
    </row>
    <row r="19" spans="1:15">
      <c r="A19" s="184" t="s">
        <v>4</v>
      </c>
      <c r="B19" s="133" t="s">
        <v>266</v>
      </c>
      <c r="C19" s="133" t="s">
        <v>3724</v>
      </c>
      <c r="D19" s="158">
        <v>2</v>
      </c>
      <c r="E19" s="133" t="s">
        <v>171</v>
      </c>
      <c r="F19" s="158">
        <v>72</v>
      </c>
      <c r="G19" s="158">
        <v>8</v>
      </c>
      <c r="H19" s="158">
        <v>8</v>
      </c>
      <c r="I19" s="158">
        <v>56</v>
      </c>
      <c r="J19" s="178" t="s">
        <v>3725</v>
      </c>
      <c r="K19" s="133" t="s">
        <v>3678</v>
      </c>
      <c r="M19" s="98" t="s">
        <v>3726</v>
      </c>
      <c r="N19" s="98" t="s">
        <v>2228</v>
      </c>
      <c r="O19" s="113" t="s">
        <v>176</v>
      </c>
    </row>
    <row r="20" spans="1:15">
      <c r="A20" s="184" t="s">
        <v>4</v>
      </c>
      <c r="B20" s="133" t="s">
        <v>266</v>
      </c>
      <c r="C20" s="133" t="s">
        <v>3727</v>
      </c>
      <c r="D20" s="158">
        <v>15</v>
      </c>
      <c r="E20" s="133" t="s">
        <v>171</v>
      </c>
      <c r="F20" s="158">
        <v>72</v>
      </c>
      <c r="G20" s="158">
        <v>8</v>
      </c>
      <c r="H20" s="158">
        <v>8</v>
      </c>
      <c r="I20" s="158">
        <v>56</v>
      </c>
      <c r="J20" s="178" t="s">
        <v>3707</v>
      </c>
      <c r="K20" s="133" t="s">
        <v>3678</v>
      </c>
      <c r="M20" s="98" t="s">
        <v>3728</v>
      </c>
      <c r="N20" s="98" t="s">
        <v>2228</v>
      </c>
      <c r="O20" s="113" t="s">
        <v>176</v>
      </c>
    </row>
    <row r="21" spans="1:15" ht="15.75" customHeight="1">
      <c r="A21" s="184" t="s">
        <v>4</v>
      </c>
      <c r="B21" s="133" t="s">
        <v>266</v>
      </c>
      <c r="C21" s="133" t="s">
        <v>3729</v>
      </c>
      <c r="D21" s="158">
        <v>6</v>
      </c>
      <c r="E21" s="133" t="s">
        <v>171</v>
      </c>
      <c r="F21" s="158">
        <v>72</v>
      </c>
      <c r="G21" s="158">
        <v>8</v>
      </c>
      <c r="H21" s="158">
        <v>8</v>
      </c>
      <c r="I21" s="158">
        <v>56</v>
      </c>
      <c r="J21" s="178" t="s">
        <v>3730</v>
      </c>
      <c r="K21" s="133" t="s">
        <v>3678</v>
      </c>
      <c r="M21" s="98" t="s">
        <v>3731</v>
      </c>
      <c r="N21" s="98" t="s">
        <v>2228</v>
      </c>
      <c r="O21" s="113" t="s">
        <v>176</v>
      </c>
    </row>
    <row r="22" spans="1:15" ht="15.75" customHeight="1">
      <c r="A22" s="184" t="s">
        <v>4</v>
      </c>
      <c r="B22" s="133" t="s">
        <v>266</v>
      </c>
      <c r="C22" s="133" t="s">
        <v>3732</v>
      </c>
      <c r="D22" s="158">
        <v>14</v>
      </c>
      <c r="E22" s="133" t="s">
        <v>171</v>
      </c>
      <c r="F22" s="158">
        <v>72</v>
      </c>
      <c r="G22" s="158">
        <v>8</v>
      </c>
      <c r="H22" s="158">
        <v>8</v>
      </c>
      <c r="I22" s="158">
        <v>56</v>
      </c>
      <c r="J22" s="181">
        <v>241378.73749999999</v>
      </c>
      <c r="K22" s="133" t="s">
        <v>3678</v>
      </c>
      <c r="M22" s="98" t="s">
        <v>3733</v>
      </c>
      <c r="N22" s="98" t="s">
        <v>2228</v>
      </c>
      <c r="O22" s="113" t="s">
        <v>176</v>
      </c>
    </row>
    <row r="23" spans="1:15" ht="15.75" customHeight="1">
      <c r="A23" s="184" t="s">
        <v>4</v>
      </c>
      <c r="B23" s="133" t="s">
        <v>266</v>
      </c>
      <c r="C23" s="133" t="s">
        <v>3734</v>
      </c>
      <c r="D23" s="158">
        <v>11</v>
      </c>
      <c r="E23" s="133" t="s">
        <v>171</v>
      </c>
      <c r="F23" s="158">
        <v>72</v>
      </c>
      <c r="G23" s="158">
        <v>8</v>
      </c>
      <c r="H23" s="158">
        <v>8</v>
      </c>
      <c r="I23" s="158">
        <v>56</v>
      </c>
      <c r="J23" s="178" t="s">
        <v>3735</v>
      </c>
      <c r="K23" s="133" t="s">
        <v>3678</v>
      </c>
      <c r="M23" s="98" t="s">
        <v>3736</v>
      </c>
      <c r="N23" s="98" t="s">
        <v>2228</v>
      </c>
      <c r="O23" s="113" t="s">
        <v>176</v>
      </c>
    </row>
    <row r="24" spans="1:15" ht="15.75" customHeight="1">
      <c r="A24" s="184" t="s">
        <v>4</v>
      </c>
      <c r="B24" s="133" t="s">
        <v>266</v>
      </c>
      <c r="C24" s="133" t="s">
        <v>3737</v>
      </c>
      <c r="D24" s="158">
        <v>74</v>
      </c>
      <c r="E24" s="133" t="s">
        <v>171</v>
      </c>
      <c r="F24" s="158">
        <v>72</v>
      </c>
      <c r="G24" s="158">
        <v>8</v>
      </c>
      <c r="H24" s="158">
        <v>8</v>
      </c>
      <c r="I24" s="158">
        <v>56</v>
      </c>
      <c r="J24" s="178" t="s">
        <v>3738</v>
      </c>
      <c r="K24" s="133" t="s">
        <v>3678</v>
      </c>
      <c r="M24" s="98" t="s">
        <v>3739</v>
      </c>
      <c r="N24" s="98" t="s">
        <v>2228</v>
      </c>
      <c r="O24" s="113" t="s">
        <v>176</v>
      </c>
    </row>
    <row r="25" spans="1:15" ht="15.75" customHeight="1">
      <c r="A25" s="184" t="s">
        <v>4</v>
      </c>
      <c r="B25" s="133" t="s">
        <v>266</v>
      </c>
      <c r="C25" s="133" t="s">
        <v>3740</v>
      </c>
      <c r="D25" s="158">
        <v>2381</v>
      </c>
      <c r="E25" s="133" t="s">
        <v>171</v>
      </c>
      <c r="F25" s="158">
        <v>1192</v>
      </c>
      <c r="G25" s="158">
        <v>672</v>
      </c>
      <c r="H25" s="158">
        <v>248</v>
      </c>
      <c r="I25" s="158">
        <v>272</v>
      </c>
      <c r="J25" s="178" t="s">
        <v>3741</v>
      </c>
      <c r="K25" s="133" t="s">
        <v>3678</v>
      </c>
      <c r="M25" s="98" t="s">
        <v>3742</v>
      </c>
      <c r="N25" s="98" t="s">
        <v>2228</v>
      </c>
      <c r="O25" s="113" t="s">
        <v>176</v>
      </c>
    </row>
    <row r="26" spans="1:15" ht="15.75" customHeight="1">
      <c r="A26" s="184" t="s">
        <v>4</v>
      </c>
      <c r="B26" s="133" t="s">
        <v>266</v>
      </c>
      <c r="C26" s="133" t="s">
        <v>3743</v>
      </c>
      <c r="D26" s="158">
        <v>1185</v>
      </c>
      <c r="E26" s="133" t="s">
        <v>171</v>
      </c>
      <c r="F26" s="158">
        <v>536</v>
      </c>
      <c r="G26" s="158">
        <v>160</v>
      </c>
      <c r="H26" s="158">
        <v>128</v>
      </c>
      <c r="I26" s="158">
        <v>248</v>
      </c>
      <c r="J26" s="178" t="s">
        <v>3744</v>
      </c>
      <c r="K26" s="133" t="s">
        <v>3678</v>
      </c>
      <c r="M26" s="98" t="s">
        <v>3742</v>
      </c>
      <c r="N26" s="98" t="s">
        <v>2228</v>
      </c>
      <c r="O26" s="113" t="s">
        <v>176</v>
      </c>
    </row>
    <row r="27" spans="1:15" ht="15.75" customHeight="1">
      <c r="A27" s="184" t="s">
        <v>4</v>
      </c>
      <c r="B27" s="133" t="s">
        <v>266</v>
      </c>
      <c r="C27" s="133" t="s">
        <v>3745</v>
      </c>
      <c r="D27" s="158">
        <v>10</v>
      </c>
      <c r="E27" s="133" t="s">
        <v>171</v>
      </c>
      <c r="F27" s="158">
        <v>144</v>
      </c>
      <c r="G27" s="158">
        <v>8</v>
      </c>
      <c r="H27" s="158">
        <v>24</v>
      </c>
      <c r="I27" s="158">
        <v>112</v>
      </c>
      <c r="J27" s="178" t="s">
        <v>3746</v>
      </c>
      <c r="K27" s="133" t="s">
        <v>3678</v>
      </c>
      <c r="M27" s="98" t="s">
        <v>3747</v>
      </c>
      <c r="N27" s="98" t="s">
        <v>2228</v>
      </c>
      <c r="O27" s="113" t="s">
        <v>176</v>
      </c>
    </row>
    <row r="28" spans="1:15" ht="15.75" customHeight="1">
      <c r="A28" s="184" t="s">
        <v>4</v>
      </c>
      <c r="B28" s="133" t="s">
        <v>2481</v>
      </c>
      <c r="C28" s="133" t="s">
        <v>3748</v>
      </c>
      <c r="D28" s="158">
        <v>36932</v>
      </c>
      <c r="E28" s="133" t="s">
        <v>171</v>
      </c>
      <c r="F28" s="158">
        <v>4752</v>
      </c>
      <c r="G28" s="158">
        <v>4424</v>
      </c>
      <c r="H28" s="158">
        <v>40</v>
      </c>
      <c r="I28" s="158">
        <v>288</v>
      </c>
      <c r="J28" s="185">
        <v>241585.64097222223</v>
      </c>
      <c r="K28" s="133" t="s">
        <v>3678</v>
      </c>
      <c r="M28" s="98" t="s">
        <v>3749</v>
      </c>
      <c r="N28" s="98" t="s">
        <v>2228</v>
      </c>
      <c r="O28" s="113" t="s">
        <v>176</v>
      </c>
    </row>
    <row r="29" spans="1:15" ht="15.75" customHeight="1">
      <c r="A29" s="184" t="s">
        <v>4</v>
      </c>
      <c r="B29" s="133" t="s">
        <v>266</v>
      </c>
      <c r="C29" s="133" t="s">
        <v>3750</v>
      </c>
      <c r="D29" s="158">
        <v>9233</v>
      </c>
      <c r="E29" s="133" t="s">
        <v>171</v>
      </c>
      <c r="F29" s="158">
        <v>1936</v>
      </c>
      <c r="G29" s="158">
        <v>1656</v>
      </c>
      <c r="H29" s="158">
        <v>24</v>
      </c>
      <c r="I29" s="158">
        <v>256</v>
      </c>
      <c r="J29" s="181">
        <v>241585.64097222223</v>
      </c>
      <c r="K29" s="133" t="s">
        <v>3678</v>
      </c>
      <c r="M29" s="98" t="s">
        <v>3751</v>
      </c>
      <c r="N29" s="98" t="s">
        <v>2228</v>
      </c>
      <c r="O29" s="113" t="s">
        <v>176</v>
      </c>
    </row>
    <row r="30" spans="1:15" ht="15.75" customHeight="1">
      <c r="A30" s="184" t="s">
        <v>4</v>
      </c>
      <c r="B30" s="133" t="s">
        <v>415</v>
      </c>
      <c r="C30" s="133" t="s">
        <v>3752</v>
      </c>
      <c r="D30" s="160"/>
      <c r="E30" s="160"/>
      <c r="F30" s="160"/>
      <c r="G30" s="160"/>
      <c r="H30" s="160"/>
      <c r="I30" s="160"/>
      <c r="J30" s="187"/>
      <c r="K30" s="133" t="s">
        <v>3753</v>
      </c>
      <c r="M30" s="98" t="s">
        <v>3754</v>
      </c>
      <c r="N30" s="98" t="s">
        <v>2228</v>
      </c>
      <c r="O30" s="113" t="s">
        <v>176</v>
      </c>
    </row>
    <row r="31" spans="1:15" ht="15.75" customHeight="1">
      <c r="A31" s="184" t="s">
        <v>4</v>
      </c>
      <c r="B31" s="133" t="s">
        <v>415</v>
      </c>
      <c r="C31" s="133" t="s">
        <v>3755</v>
      </c>
      <c r="D31" s="160"/>
      <c r="E31" s="160"/>
      <c r="F31" s="160"/>
      <c r="G31" s="160"/>
      <c r="H31" s="160"/>
      <c r="I31" s="160"/>
      <c r="J31" s="187"/>
      <c r="K31" s="133" t="s">
        <v>3753</v>
      </c>
      <c r="M31" s="98" t="s">
        <v>3756</v>
      </c>
      <c r="N31" s="98" t="s">
        <v>2228</v>
      </c>
      <c r="O31" s="113" t="s">
        <v>176</v>
      </c>
    </row>
    <row r="32" spans="1:15" ht="15.75" customHeight="1">
      <c r="A32" s="184" t="s">
        <v>4</v>
      </c>
      <c r="B32" s="133" t="s">
        <v>415</v>
      </c>
      <c r="C32" s="133" t="s">
        <v>3757</v>
      </c>
      <c r="D32" s="160"/>
      <c r="E32" s="160"/>
      <c r="F32" s="160"/>
      <c r="G32" s="160"/>
      <c r="H32" s="160"/>
      <c r="I32" s="160"/>
      <c r="J32" s="187"/>
      <c r="K32" s="133" t="s">
        <v>3753</v>
      </c>
      <c r="M32" s="98" t="s">
        <v>3756</v>
      </c>
      <c r="N32" s="98" t="s">
        <v>2228</v>
      </c>
      <c r="O32" s="113" t="s">
        <v>176</v>
      </c>
    </row>
    <row r="33" spans="1:12" ht="15.75" customHeight="1">
      <c r="A33" s="159"/>
      <c r="B33" s="159"/>
      <c r="C33" s="159"/>
      <c r="D33" s="159"/>
      <c r="E33" s="159"/>
      <c r="F33" s="159"/>
      <c r="G33" s="159"/>
      <c r="H33" s="159"/>
      <c r="I33" s="159"/>
      <c r="J33" s="188"/>
      <c r="K33" s="189"/>
      <c r="L33" s="189"/>
    </row>
    <row r="34" spans="1:12" ht="15.75" customHeight="1">
      <c r="A34" s="159"/>
      <c r="B34" s="159"/>
      <c r="C34" s="159"/>
      <c r="D34" s="159"/>
      <c r="E34" s="159"/>
      <c r="F34" s="159"/>
      <c r="G34" s="159"/>
      <c r="H34" s="159"/>
      <c r="I34" s="159"/>
      <c r="J34" s="188"/>
      <c r="K34" s="189"/>
      <c r="L34" s="189"/>
    </row>
    <row r="35" spans="1:12" ht="15.75" customHeight="1">
      <c r="J35" s="182"/>
      <c r="K35" s="189"/>
      <c r="L35" s="189"/>
    </row>
    <row r="36" spans="1:12" ht="15.75" customHeight="1">
      <c r="J36" s="182"/>
      <c r="K36" s="189"/>
      <c r="L36" s="189"/>
    </row>
    <row r="37" spans="1:12" ht="15.75" customHeight="1">
      <c r="J37" s="182"/>
      <c r="K37" s="189"/>
      <c r="L37" s="189"/>
    </row>
    <row r="38" spans="1:12" ht="15.75" customHeight="1">
      <c r="J38" s="182"/>
      <c r="K38" s="189"/>
      <c r="L38" s="189"/>
    </row>
    <row r="39" spans="1:12" ht="15.75" customHeight="1">
      <c r="J39" s="182"/>
      <c r="K39" s="189"/>
      <c r="L39" s="189"/>
    </row>
    <row r="40" spans="1:12" ht="15.75" customHeight="1">
      <c r="J40" s="182"/>
      <c r="K40" s="189"/>
      <c r="L40" s="189"/>
    </row>
    <row r="41" spans="1:12" ht="15.75" customHeight="1">
      <c r="J41" s="182"/>
      <c r="K41" s="189"/>
      <c r="L41" s="189"/>
    </row>
    <row r="42" spans="1:12" ht="15.75" customHeight="1">
      <c r="J42" s="182"/>
      <c r="K42" s="189"/>
      <c r="L42" s="189"/>
    </row>
    <row r="43" spans="1:12" ht="15.75" customHeight="1">
      <c r="J43" s="182"/>
      <c r="K43" s="189"/>
      <c r="L43" s="189"/>
    </row>
    <row r="44" spans="1:12" ht="15.75" customHeight="1">
      <c r="J44" s="182"/>
      <c r="K44" s="189"/>
      <c r="L44" s="189"/>
    </row>
    <row r="45" spans="1:12" ht="15.75" customHeight="1">
      <c r="J45" s="182"/>
      <c r="K45" s="189"/>
      <c r="L45" s="189"/>
    </row>
    <row r="46" spans="1:12" ht="15.75" customHeight="1">
      <c r="J46" s="182"/>
      <c r="K46" s="189"/>
      <c r="L46" s="189"/>
    </row>
    <row r="47" spans="1:12" ht="15.75" customHeight="1">
      <c r="J47" s="182"/>
      <c r="K47" s="189"/>
      <c r="L47" s="189"/>
    </row>
    <row r="48" spans="1:12" ht="15.75" customHeight="1">
      <c r="J48" s="182"/>
      <c r="K48" s="189"/>
      <c r="L48" s="189"/>
    </row>
    <row r="49" spans="10:12" ht="15.75" customHeight="1">
      <c r="J49" s="182"/>
      <c r="K49" s="189"/>
      <c r="L49" s="189"/>
    </row>
    <row r="50" spans="10:12" ht="15.75" customHeight="1">
      <c r="J50" s="182"/>
      <c r="K50" s="189"/>
      <c r="L50" s="189"/>
    </row>
    <row r="51" spans="10:12" ht="15.75" customHeight="1">
      <c r="J51" s="182"/>
      <c r="K51" s="189"/>
      <c r="L51" s="189"/>
    </row>
    <row r="52" spans="10:12" ht="15.75" customHeight="1">
      <c r="J52" s="182"/>
      <c r="K52" s="189"/>
      <c r="L52" s="189"/>
    </row>
    <row r="53" spans="10:12" ht="15.75" customHeight="1">
      <c r="J53" s="182"/>
      <c r="K53" s="189"/>
      <c r="L53" s="189"/>
    </row>
    <row r="54" spans="10:12" ht="15.75" customHeight="1">
      <c r="J54" s="182"/>
      <c r="K54" s="189"/>
      <c r="L54" s="189"/>
    </row>
    <row r="55" spans="10:12" ht="15.75" customHeight="1">
      <c r="J55" s="182"/>
      <c r="K55" s="189"/>
      <c r="L55" s="189"/>
    </row>
    <row r="56" spans="10:12" ht="15.75" customHeight="1">
      <c r="J56" s="182"/>
      <c r="K56" s="189"/>
      <c r="L56" s="189"/>
    </row>
    <row r="57" spans="10:12" ht="15.75" customHeight="1">
      <c r="J57" s="182"/>
      <c r="K57" s="189"/>
      <c r="L57" s="189"/>
    </row>
    <row r="58" spans="10:12" ht="15.75" customHeight="1">
      <c r="J58" s="182"/>
      <c r="K58" s="189"/>
      <c r="L58" s="189"/>
    </row>
    <row r="59" spans="10:12" ht="15.75" customHeight="1">
      <c r="J59" s="182"/>
      <c r="K59" s="189"/>
      <c r="L59" s="189"/>
    </row>
    <row r="60" spans="10:12" ht="15.75" customHeight="1">
      <c r="J60" s="182"/>
      <c r="K60" s="189"/>
      <c r="L60" s="189"/>
    </row>
    <row r="61" spans="10:12" ht="15.75" customHeight="1">
      <c r="J61" s="182"/>
      <c r="K61" s="189"/>
      <c r="L61" s="189"/>
    </row>
    <row r="62" spans="10:12" ht="15.75" customHeight="1">
      <c r="J62" s="182"/>
      <c r="K62" s="189"/>
      <c r="L62" s="189"/>
    </row>
    <row r="63" spans="10:12" ht="15.75" customHeight="1">
      <c r="J63" s="182"/>
      <c r="K63" s="189"/>
      <c r="L63" s="189"/>
    </row>
    <row r="64" spans="10:12" ht="15.75" customHeight="1">
      <c r="J64" s="182"/>
      <c r="K64" s="189"/>
      <c r="L64" s="189"/>
    </row>
    <row r="65" spans="10:12" ht="15.75" customHeight="1">
      <c r="J65" s="182"/>
      <c r="K65" s="189"/>
      <c r="L65" s="189"/>
    </row>
    <row r="66" spans="10:12" ht="15.75" customHeight="1">
      <c r="J66" s="182"/>
      <c r="K66" s="189"/>
      <c r="L66" s="189"/>
    </row>
    <row r="67" spans="10:12" ht="15.75" customHeight="1">
      <c r="J67" s="182"/>
      <c r="K67" s="189"/>
      <c r="L67" s="189"/>
    </row>
    <row r="68" spans="10:12" ht="15.75" customHeight="1">
      <c r="J68" s="182"/>
      <c r="K68" s="189"/>
      <c r="L68" s="189"/>
    </row>
    <row r="69" spans="10:12" ht="15.75" customHeight="1">
      <c r="J69" s="182"/>
      <c r="K69" s="189"/>
      <c r="L69" s="189"/>
    </row>
    <row r="70" spans="10:12" ht="15.75" customHeight="1">
      <c r="J70" s="182"/>
      <c r="K70" s="189"/>
      <c r="L70" s="189"/>
    </row>
    <row r="71" spans="10:12" ht="15.75" customHeight="1">
      <c r="J71" s="182"/>
      <c r="K71" s="189"/>
      <c r="L71" s="189"/>
    </row>
    <row r="72" spans="10:12" ht="15.75" customHeight="1">
      <c r="J72" s="182"/>
      <c r="K72" s="189"/>
      <c r="L72" s="189"/>
    </row>
    <row r="73" spans="10:12" ht="15.75" customHeight="1">
      <c r="J73" s="182"/>
      <c r="K73" s="189"/>
      <c r="L73" s="189"/>
    </row>
    <row r="74" spans="10:12" ht="15.75" customHeight="1">
      <c r="J74" s="182"/>
      <c r="K74" s="189"/>
      <c r="L74" s="189"/>
    </row>
    <row r="75" spans="10:12" ht="15.75" customHeight="1">
      <c r="J75" s="182"/>
      <c r="K75" s="189"/>
      <c r="L75" s="189"/>
    </row>
    <row r="76" spans="10:12" ht="15.75" customHeight="1">
      <c r="J76" s="182"/>
      <c r="K76" s="189"/>
      <c r="L76" s="189"/>
    </row>
    <row r="77" spans="10:12" ht="15.75" customHeight="1">
      <c r="J77" s="182"/>
      <c r="K77" s="189"/>
      <c r="L77" s="189"/>
    </row>
    <row r="78" spans="10:12" ht="15.75" customHeight="1">
      <c r="J78" s="182"/>
      <c r="K78" s="189"/>
      <c r="L78" s="189"/>
    </row>
    <row r="79" spans="10:12" ht="15.75" customHeight="1">
      <c r="J79" s="182"/>
      <c r="K79" s="189"/>
      <c r="L79" s="189"/>
    </row>
    <row r="80" spans="10:12" ht="15.75" customHeight="1">
      <c r="J80" s="182"/>
      <c r="K80" s="189"/>
      <c r="L80" s="189"/>
    </row>
    <row r="81" spans="10:12" ht="15.75" customHeight="1">
      <c r="J81" s="182"/>
      <c r="K81" s="189"/>
      <c r="L81" s="189"/>
    </row>
    <row r="82" spans="10:12" ht="15.75" customHeight="1">
      <c r="J82" s="182"/>
      <c r="K82" s="189"/>
      <c r="L82" s="189"/>
    </row>
    <row r="83" spans="10:12" ht="15.75" customHeight="1">
      <c r="J83" s="182"/>
      <c r="K83" s="189"/>
      <c r="L83" s="189"/>
    </row>
    <row r="84" spans="10:12" ht="15.75" customHeight="1">
      <c r="J84" s="182"/>
      <c r="K84" s="189"/>
      <c r="L84" s="189"/>
    </row>
    <row r="85" spans="10:12" ht="15.75" customHeight="1">
      <c r="J85" s="182"/>
      <c r="K85" s="189"/>
      <c r="L85" s="189"/>
    </row>
    <row r="86" spans="10:12" ht="15.75" customHeight="1">
      <c r="J86" s="182"/>
      <c r="K86" s="189"/>
      <c r="L86" s="189"/>
    </row>
    <row r="87" spans="10:12" ht="15.75" customHeight="1">
      <c r="J87" s="182"/>
      <c r="K87" s="189"/>
      <c r="L87" s="189"/>
    </row>
    <row r="88" spans="10:12" ht="15.75" customHeight="1">
      <c r="J88" s="182"/>
      <c r="K88" s="189"/>
      <c r="L88" s="189"/>
    </row>
    <row r="89" spans="10:12" ht="15.75" customHeight="1">
      <c r="J89" s="182"/>
      <c r="K89" s="189"/>
      <c r="L89" s="189"/>
    </row>
    <row r="90" spans="10:12" ht="15.75" customHeight="1">
      <c r="J90" s="182"/>
      <c r="K90" s="189"/>
      <c r="L90" s="189"/>
    </row>
    <row r="91" spans="10:12" ht="15.75" customHeight="1">
      <c r="J91" s="182"/>
      <c r="K91" s="189"/>
      <c r="L91" s="189"/>
    </row>
    <row r="92" spans="10:12" ht="15.75" customHeight="1">
      <c r="J92" s="182"/>
      <c r="K92" s="189"/>
      <c r="L92" s="189"/>
    </row>
    <row r="93" spans="10:12" ht="15.75" customHeight="1">
      <c r="J93" s="182"/>
      <c r="K93" s="189"/>
      <c r="L93" s="189"/>
    </row>
    <row r="94" spans="10:12" ht="15.75" customHeight="1">
      <c r="J94" s="182"/>
      <c r="K94" s="189"/>
      <c r="L94" s="189"/>
    </row>
    <row r="95" spans="10:12" ht="15.75" customHeight="1">
      <c r="J95" s="182"/>
      <c r="K95" s="189"/>
      <c r="L95" s="189"/>
    </row>
    <row r="96" spans="10:12" ht="15.75" customHeight="1">
      <c r="J96" s="182"/>
      <c r="K96" s="189"/>
      <c r="L96" s="189"/>
    </row>
    <row r="97" spans="10:12" ht="15.75" customHeight="1">
      <c r="J97" s="182"/>
      <c r="K97" s="183"/>
      <c r="L97" s="183"/>
    </row>
    <row r="98" spans="10:12" ht="15.75" customHeight="1">
      <c r="J98" s="182"/>
      <c r="K98" s="183"/>
      <c r="L98" s="183"/>
    </row>
    <row r="99" spans="10:12" ht="15.75" customHeight="1">
      <c r="J99" s="182"/>
      <c r="K99" s="183"/>
      <c r="L99" s="183"/>
    </row>
    <row r="100" spans="10:12" ht="15.75" customHeight="1">
      <c r="J100" s="182"/>
      <c r="K100" s="183"/>
      <c r="L100" s="183"/>
    </row>
    <row r="101" spans="10:12" ht="15.75" customHeight="1">
      <c r="J101" s="182"/>
      <c r="K101" s="183"/>
      <c r="L101" s="183"/>
    </row>
    <row r="102" spans="10:12" ht="15.75" customHeight="1">
      <c r="J102" s="182"/>
      <c r="K102" s="183"/>
      <c r="L102" s="183"/>
    </row>
    <row r="103" spans="10:12" ht="15.75" customHeight="1">
      <c r="J103" s="182"/>
      <c r="K103" s="183"/>
      <c r="L103" s="183"/>
    </row>
    <row r="104" spans="10:12" ht="15.75" customHeight="1">
      <c r="J104" s="182"/>
      <c r="K104" s="183"/>
      <c r="L104" s="183"/>
    </row>
    <row r="105" spans="10:12" ht="15.75" customHeight="1">
      <c r="J105" s="182"/>
      <c r="K105" s="183"/>
      <c r="L105" s="183"/>
    </row>
    <row r="106" spans="10:12" ht="15.75" customHeight="1">
      <c r="J106" s="182"/>
      <c r="K106" s="183"/>
      <c r="L106" s="183"/>
    </row>
    <row r="107" spans="10:12" ht="15.75" customHeight="1">
      <c r="J107" s="182"/>
      <c r="K107" s="183"/>
      <c r="L107" s="183"/>
    </row>
    <row r="108" spans="10:12" ht="15.75" customHeight="1">
      <c r="J108" s="182"/>
      <c r="K108" s="183"/>
      <c r="L108" s="183"/>
    </row>
    <row r="109" spans="10:12" ht="15.75" customHeight="1">
      <c r="J109" s="182"/>
      <c r="K109" s="183"/>
      <c r="L109" s="183"/>
    </row>
    <row r="110" spans="10:12" ht="15.75" customHeight="1">
      <c r="J110" s="182"/>
      <c r="K110" s="183"/>
      <c r="L110" s="183"/>
    </row>
    <row r="111" spans="10:12" ht="15.75" customHeight="1">
      <c r="J111" s="182"/>
      <c r="K111" s="183"/>
      <c r="L111" s="183"/>
    </row>
    <row r="112" spans="10:12" ht="15.75" customHeight="1">
      <c r="J112" s="182"/>
      <c r="K112" s="183"/>
      <c r="L112" s="183"/>
    </row>
    <row r="113" spans="10:12" ht="15.75" customHeight="1">
      <c r="J113" s="182"/>
      <c r="K113" s="183"/>
      <c r="L113" s="183"/>
    </row>
    <row r="114" spans="10:12" ht="15.75" customHeight="1">
      <c r="J114" s="182"/>
      <c r="K114" s="183"/>
      <c r="L114" s="183"/>
    </row>
    <row r="115" spans="10:12" ht="15.75" customHeight="1">
      <c r="J115" s="182"/>
      <c r="K115" s="183"/>
      <c r="L115" s="183"/>
    </row>
    <row r="116" spans="10:12" ht="15.75" customHeight="1">
      <c r="J116" s="182"/>
      <c r="K116" s="183"/>
      <c r="L116" s="183"/>
    </row>
    <row r="117" spans="10:12" ht="15.75" customHeight="1">
      <c r="J117" s="182"/>
      <c r="K117" s="183"/>
      <c r="L117" s="183"/>
    </row>
    <row r="118" spans="10:12" ht="15.75" customHeight="1">
      <c r="J118" s="182"/>
      <c r="K118" s="183"/>
      <c r="L118" s="183"/>
    </row>
    <row r="119" spans="10:12" ht="15.75" customHeight="1">
      <c r="J119" s="182"/>
      <c r="K119" s="183"/>
      <c r="L119" s="183"/>
    </row>
    <row r="120" spans="10:12" ht="15.75" customHeight="1">
      <c r="J120" s="182"/>
      <c r="K120" s="183"/>
      <c r="L120" s="183"/>
    </row>
    <row r="121" spans="10:12" ht="15.75" customHeight="1">
      <c r="J121" s="182"/>
      <c r="K121" s="183"/>
      <c r="L121" s="183"/>
    </row>
    <row r="122" spans="10:12" ht="15.75" customHeight="1">
      <c r="J122" s="182"/>
      <c r="K122" s="183"/>
      <c r="L122" s="183"/>
    </row>
    <row r="123" spans="10:12" ht="15.75" customHeight="1">
      <c r="J123" s="182"/>
      <c r="K123" s="183"/>
      <c r="L123" s="183"/>
    </row>
    <row r="124" spans="10:12" ht="15.75" customHeight="1">
      <c r="J124" s="182"/>
      <c r="K124" s="183"/>
      <c r="L124" s="183"/>
    </row>
    <row r="125" spans="10:12" ht="15.75" customHeight="1">
      <c r="J125" s="182"/>
      <c r="K125" s="183"/>
      <c r="L125" s="183"/>
    </row>
    <row r="126" spans="10:12" ht="15.75" customHeight="1">
      <c r="J126" s="182"/>
      <c r="K126" s="183"/>
      <c r="L126" s="183"/>
    </row>
    <row r="127" spans="10:12" ht="15.75" customHeight="1">
      <c r="J127" s="182"/>
      <c r="K127" s="183"/>
      <c r="L127" s="183"/>
    </row>
    <row r="128" spans="10:12" ht="15.75" customHeight="1">
      <c r="J128" s="182"/>
      <c r="K128" s="183"/>
      <c r="L128" s="183"/>
    </row>
    <row r="129" spans="10:12" ht="15.75" customHeight="1">
      <c r="J129" s="182"/>
      <c r="K129" s="183"/>
      <c r="L129" s="183"/>
    </row>
    <row r="130" spans="10:12" ht="15.75" customHeight="1">
      <c r="J130" s="182"/>
      <c r="K130" s="183"/>
      <c r="L130" s="183"/>
    </row>
    <row r="131" spans="10:12" ht="15.75" customHeight="1">
      <c r="J131" s="182"/>
      <c r="K131" s="183"/>
      <c r="L131" s="183"/>
    </row>
    <row r="132" spans="10:12" ht="15.75" customHeight="1">
      <c r="J132" s="182"/>
      <c r="K132" s="183"/>
      <c r="L132" s="183"/>
    </row>
    <row r="133" spans="10:12" ht="15.75" customHeight="1">
      <c r="J133" s="182"/>
      <c r="K133" s="183"/>
      <c r="L133" s="183"/>
    </row>
    <row r="134" spans="10:12" ht="15.75" customHeight="1">
      <c r="J134" s="182"/>
      <c r="K134" s="183"/>
      <c r="L134" s="183"/>
    </row>
    <row r="135" spans="10:12" ht="15.75" customHeight="1">
      <c r="J135" s="182"/>
      <c r="K135" s="183"/>
      <c r="L135" s="183"/>
    </row>
    <row r="136" spans="10:12" ht="15.75" customHeight="1">
      <c r="J136" s="182"/>
      <c r="K136" s="183"/>
      <c r="L136" s="183"/>
    </row>
    <row r="137" spans="10:12" ht="15.75" customHeight="1">
      <c r="J137" s="182"/>
      <c r="K137" s="183"/>
      <c r="L137" s="183"/>
    </row>
    <row r="138" spans="10:12" ht="15.75" customHeight="1">
      <c r="J138" s="182"/>
      <c r="K138" s="183"/>
      <c r="L138" s="183"/>
    </row>
    <row r="139" spans="10:12" ht="15.75" customHeight="1">
      <c r="J139" s="182"/>
      <c r="K139" s="183"/>
      <c r="L139" s="183"/>
    </row>
    <row r="140" spans="10:12" ht="15.75" customHeight="1">
      <c r="J140" s="182"/>
      <c r="K140" s="183"/>
      <c r="L140" s="183"/>
    </row>
    <row r="141" spans="10:12" ht="15.75" customHeight="1">
      <c r="J141" s="182"/>
      <c r="K141" s="183"/>
      <c r="L141" s="183"/>
    </row>
    <row r="142" spans="10:12" ht="15.75" customHeight="1">
      <c r="J142" s="182"/>
      <c r="K142" s="183"/>
      <c r="L142" s="183"/>
    </row>
    <row r="143" spans="10:12" ht="15.75" customHeight="1">
      <c r="J143" s="182"/>
      <c r="K143" s="183"/>
      <c r="L143" s="183"/>
    </row>
    <row r="144" spans="10:12" ht="15.75" customHeight="1">
      <c r="J144" s="182"/>
      <c r="K144" s="183"/>
      <c r="L144" s="183"/>
    </row>
    <row r="145" spans="10:12" ht="15.75" customHeight="1">
      <c r="J145" s="182"/>
      <c r="K145" s="183"/>
      <c r="L145" s="183"/>
    </row>
    <row r="146" spans="10:12" ht="15.75" customHeight="1">
      <c r="J146" s="182"/>
      <c r="K146" s="183"/>
      <c r="L146" s="183"/>
    </row>
    <row r="147" spans="10:12" ht="15.75" customHeight="1">
      <c r="J147" s="182"/>
      <c r="K147" s="183"/>
      <c r="L147" s="183"/>
    </row>
    <row r="148" spans="10:12" ht="15.75" customHeight="1">
      <c r="J148" s="182"/>
      <c r="K148" s="183"/>
      <c r="L148" s="183"/>
    </row>
    <row r="149" spans="10:12" ht="15.75" customHeight="1">
      <c r="J149" s="182"/>
      <c r="K149" s="183"/>
      <c r="L149" s="183"/>
    </row>
    <row r="150" spans="10:12" ht="15.75" customHeight="1">
      <c r="J150" s="182"/>
      <c r="K150" s="183"/>
      <c r="L150" s="183"/>
    </row>
    <row r="151" spans="10:12" ht="15.75" customHeight="1">
      <c r="J151" s="182"/>
      <c r="K151" s="183"/>
      <c r="L151" s="183"/>
    </row>
    <row r="152" spans="10:12" ht="15.75" customHeight="1">
      <c r="J152" s="182"/>
      <c r="K152" s="183"/>
      <c r="L152" s="183"/>
    </row>
    <row r="153" spans="10:12" ht="15.75" customHeight="1">
      <c r="J153" s="182"/>
      <c r="K153" s="183"/>
      <c r="L153" s="183"/>
    </row>
    <row r="154" spans="10:12" ht="15.75" customHeight="1">
      <c r="J154" s="182"/>
      <c r="K154" s="183"/>
      <c r="L154" s="183"/>
    </row>
    <row r="155" spans="10:12" ht="15.75" customHeight="1">
      <c r="J155" s="182"/>
      <c r="K155" s="183"/>
      <c r="L155" s="183"/>
    </row>
    <row r="156" spans="10:12" ht="15.75" customHeight="1">
      <c r="J156" s="182"/>
      <c r="K156" s="183"/>
      <c r="L156" s="183"/>
    </row>
    <row r="157" spans="10:12" ht="15.75" customHeight="1">
      <c r="J157" s="182"/>
      <c r="K157" s="183"/>
      <c r="L157" s="183"/>
    </row>
    <row r="158" spans="10:12" ht="15.75" customHeight="1">
      <c r="J158" s="182"/>
      <c r="K158" s="183"/>
      <c r="L158" s="183"/>
    </row>
    <row r="159" spans="10:12" ht="15.75" customHeight="1">
      <c r="J159" s="182"/>
      <c r="K159" s="183"/>
      <c r="L159" s="183"/>
    </row>
    <row r="160" spans="10:12" ht="15.75" customHeight="1">
      <c r="J160" s="182"/>
      <c r="K160" s="183"/>
      <c r="L160" s="183"/>
    </row>
    <row r="161" spans="10:12" ht="15.75" customHeight="1">
      <c r="J161" s="182"/>
      <c r="K161" s="183"/>
      <c r="L161" s="183"/>
    </row>
    <row r="162" spans="10:12" ht="15.75" customHeight="1">
      <c r="J162" s="182"/>
      <c r="K162" s="183"/>
      <c r="L162" s="183"/>
    </row>
    <row r="163" spans="10:12" ht="15.75" customHeight="1">
      <c r="J163" s="182"/>
      <c r="K163" s="183"/>
      <c r="L163" s="183"/>
    </row>
    <row r="164" spans="10:12" ht="15.75" customHeight="1">
      <c r="J164" s="182"/>
      <c r="K164" s="183"/>
      <c r="L164" s="183"/>
    </row>
    <row r="165" spans="10:12" ht="15.75" customHeight="1">
      <c r="J165" s="182"/>
      <c r="K165" s="183"/>
      <c r="L165" s="183"/>
    </row>
    <row r="166" spans="10:12" ht="15.75" customHeight="1">
      <c r="J166" s="182"/>
      <c r="K166" s="183"/>
      <c r="L166" s="183"/>
    </row>
    <row r="167" spans="10:12" ht="15.75" customHeight="1">
      <c r="J167" s="182"/>
      <c r="K167" s="183"/>
      <c r="L167" s="183"/>
    </row>
    <row r="168" spans="10:12" ht="15.75" customHeight="1">
      <c r="J168" s="182"/>
      <c r="K168" s="183"/>
      <c r="L168" s="183"/>
    </row>
    <row r="169" spans="10:12" ht="15.75" customHeight="1">
      <c r="J169" s="182"/>
      <c r="K169" s="183"/>
      <c r="L169" s="183"/>
    </row>
    <row r="170" spans="10:12" ht="15.75" customHeight="1">
      <c r="J170" s="182"/>
      <c r="K170" s="183"/>
      <c r="L170" s="183"/>
    </row>
    <row r="171" spans="10:12" ht="15.75" customHeight="1">
      <c r="J171" s="182"/>
      <c r="K171" s="183"/>
      <c r="L171" s="183"/>
    </row>
    <row r="172" spans="10:12" ht="15.75" customHeight="1">
      <c r="J172" s="182"/>
      <c r="K172" s="183"/>
      <c r="L172" s="183"/>
    </row>
    <row r="173" spans="10:12" ht="15.75" customHeight="1">
      <c r="J173" s="182"/>
      <c r="K173" s="183"/>
      <c r="L173" s="183"/>
    </row>
    <row r="174" spans="10:12" ht="15.75" customHeight="1">
      <c r="J174" s="182"/>
      <c r="K174" s="183"/>
      <c r="L174" s="183"/>
    </row>
    <row r="175" spans="10:12" ht="15.75" customHeight="1">
      <c r="J175" s="182"/>
      <c r="K175" s="183"/>
      <c r="L175" s="183"/>
    </row>
    <row r="176" spans="10:12" ht="15.75" customHeight="1">
      <c r="J176" s="182"/>
      <c r="K176" s="183"/>
      <c r="L176" s="183"/>
    </row>
    <row r="177" spans="10:12" ht="15.75" customHeight="1">
      <c r="J177" s="182"/>
      <c r="K177" s="183"/>
      <c r="L177" s="183"/>
    </row>
    <row r="178" spans="10:12" ht="15.75" customHeight="1">
      <c r="J178" s="182"/>
      <c r="K178" s="183"/>
      <c r="L178" s="183"/>
    </row>
    <row r="179" spans="10:12" ht="15.75" customHeight="1">
      <c r="J179" s="182"/>
      <c r="K179" s="183"/>
      <c r="L179" s="183"/>
    </row>
    <row r="180" spans="10:12" ht="15.75" customHeight="1">
      <c r="J180" s="182"/>
      <c r="K180" s="183"/>
      <c r="L180" s="183"/>
    </row>
    <row r="181" spans="10:12" ht="15.75" customHeight="1">
      <c r="J181" s="182"/>
      <c r="K181" s="183"/>
      <c r="L181" s="183"/>
    </row>
    <row r="182" spans="10:12" ht="15.75" customHeight="1">
      <c r="J182" s="182"/>
      <c r="K182" s="183"/>
      <c r="L182" s="183"/>
    </row>
    <row r="183" spans="10:12" ht="15.75" customHeight="1">
      <c r="J183" s="182"/>
      <c r="K183" s="183"/>
      <c r="L183" s="183"/>
    </row>
    <row r="184" spans="10:12" ht="15.75" customHeight="1">
      <c r="J184" s="182"/>
      <c r="K184" s="183"/>
      <c r="L184" s="183"/>
    </row>
    <row r="185" spans="10:12" ht="15.75" customHeight="1">
      <c r="J185" s="182"/>
      <c r="K185" s="183"/>
      <c r="L185" s="183"/>
    </row>
    <row r="186" spans="10:12" ht="15.75" customHeight="1">
      <c r="J186" s="182"/>
      <c r="K186" s="183"/>
      <c r="L186" s="183"/>
    </row>
    <row r="187" spans="10:12" ht="15.75" customHeight="1">
      <c r="J187" s="182"/>
      <c r="K187" s="183"/>
      <c r="L187" s="183"/>
    </row>
    <row r="188" spans="10:12" ht="15.75" customHeight="1">
      <c r="J188" s="182"/>
      <c r="K188" s="183"/>
      <c r="L188" s="183"/>
    </row>
    <row r="189" spans="10:12" ht="15.75" customHeight="1">
      <c r="J189" s="182"/>
      <c r="K189" s="183"/>
      <c r="L189" s="183"/>
    </row>
    <row r="190" spans="10:12" ht="15.75" customHeight="1">
      <c r="J190" s="182"/>
      <c r="K190" s="183"/>
      <c r="L190" s="183"/>
    </row>
    <row r="191" spans="10:12" ht="15.75" customHeight="1">
      <c r="J191" s="182"/>
      <c r="K191" s="183"/>
      <c r="L191" s="183"/>
    </row>
    <row r="192" spans="10:12" ht="15.75" customHeight="1">
      <c r="J192" s="182"/>
      <c r="K192" s="183"/>
      <c r="L192" s="183"/>
    </row>
    <row r="193" spans="10:12" ht="15.75" customHeight="1">
      <c r="J193" s="182"/>
      <c r="K193" s="183"/>
      <c r="L193" s="183"/>
    </row>
    <row r="194" spans="10:12" ht="15.75" customHeight="1">
      <c r="J194" s="182"/>
      <c r="K194" s="183"/>
      <c r="L194" s="183"/>
    </row>
    <row r="195" spans="10:12" ht="15.75" customHeight="1">
      <c r="J195" s="182"/>
      <c r="K195" s="183"/>
      <c r="L195" s="183"/>
    </row>
    <row r="196" spans="10:12" ht="15.75" customHeight="1">
      <c r="J196" s="182"/>
      <c r="K196" s="183"/>
      <c r="L196" s="183"/>
    </row>
    <row r="197" spans="10:12" ht="15.75" customHeight="1">
      <c r="J197" s="182"/>
      <c r="K197" s="183"/>
      <c r="L197" s="183"/>
    </row>
    <row r="198" spans="10:12" ht="15.75" customHeight="1">
      <c r="J198" s="182"/>
      <c r="K198" s="183"/>
      <c r="L198" s="183"/>
    </row>
    <row r="199" spans="10:12" ht="15.75" customHeight="1">
      <c r="J199" s="182"/>
      <c r="K199" s="183"/>
      <c r="L199" s="183"/>
    </row>
    <row r="200" spans="10:12" ht="15.75" customHeight="1">
      <c r="J200" s="182"/>
      <c r="K200" s="183"/>
      <c r="L200" s="183"/>
    </row>
    <row r="201" spans="10:12" ht="15.75" customHeight="1">
      <c r="J201" s="182"/>
      <c r="K201" s="183"/>
      <c r="L201" s="183"/>
    </row>
    <row r="202" spans="10:12" ht="15.75" customHeight="1">
      <c r="J202" s="182"/>
      <c r="K202" s="183"/>
      <c r="L202" s="183"/>
    </row>
    <row r="203" spans="10:12" ht="15.75" customHeight="1">
      <c r="J203" s="182"/>
      <c r="K203" s="183"/>
      <c r="L203" s="183"/>
    </row>
    <row r="204" spans="10:12" ht="15.75" customHeight="1">
      <c r="J204" s="182"/>
      <c r="K204" s="183"/>
      <c r="L204" s="183"/>
    </row>
    <row r="205" spans="10:12" ht="15.75" customHeight="1">
      <c r="J205" s="182"/>
      <c r="K205" s="183"/>
      <c r="L205" s="183"/>
    </row>
    <row r="206" spans="10:12" ht="15.75" customHeight="1">
      <c r="J206" s="182"/>
      <c r="K206" s="183"/>
      <c r="L206" s="183"/>
    </row>
    <row r="207" spans="10:12" ht="15.75" customHeight="1">
      <c r="J207" s="182"/>
      <c r="K207" s="183"/>
      <c r="L207" s="183"/>
    </row>
    <row r="208" spans="10:12" ht="15.75" customHeight="1">
      <c r="J208" s="182"/>
      <c r="K208" s="183"/>
      <c r="L208" s="183"/>
    </row>
    <row r="209" spans="10:12" ht="15.75" customHeight="1">
      <c r="J209" s="182"/>
      <c r="K209" s="183"/>
      <c r="L209" s="183"/>
    </row>
    <row r="210" spans="10:12" ht="15.75" customHeight="1">
      <c r="J210" s="182"/>
      <c r="K210" s="183"/>
      <c r="L210" s="183"/>
    </row>
    <row r="211" spans="10:12" ht="15.75" customHeight="1">
      <c r="J211" s="182"/>
      <c r="K211" s="183"/>
      <c r="L211" s="183"/>
    </row>
    <row r="212" spans="10:12" ht="15.75" customHeight="1">
      <c r="J212" s="182"/>
      <c r="K212" s="183"/>
      <c r="L212" s="183"/>
    </row>
    <row r="213" spans="10:12" ht="15.75" customHeight="1">
      <c r="J213" s="182"/>
      <c r="K213" s="183"/>
      <c r="L213" s="183"/>
    </row>
    <row r="214" spans="10:12" ht="15.75" customHeight="1">
      <c r="J214" s="182"/>
      <c r="K214" s="183"/>
      <c r="L214" s="183"/>
    </row>
    <row r="215" spans="10:12" ht="15.75" customHeight="1">
      <c r="J215" s="182"/>
      <c r="K215" s="183"/>
      <c r="L215" s="183"/>
    </row>
    <row r="216" spans="10:12" ht="15.75" customHeight="1">
      <c r="J216" s="182"/>
      <c r="K216" s="183"/>
      <c r="L216" s="183"/>
    </row>
    <row r="217" spans="10:12" ht="15.75" customHeight="1">
      <c r="J217" s="182"/>
      <c r="K217" s="183"/>
      <c r="L217" s="183"/>
    </row>
    <row r="218" spans="10:12" ht="15.75" customHeight="1">
      <c r="J218" s="182"/>
      <c r="K218" s="183"/>
      <c r="L218" s="183"/>
    </row>
    <row r="219" spans="10:12" ht="15.75" customHeight="1">
      <c r="J219" s="182"/>
      <c r="K219" s="183"/>
      <c r="L219" s="183"/>
    </row>
    <row r="220" spans="10:12" ht="15.75" customHeight="1">
      <c r="J220" s="182"/>
      <c r="K220" s="183"/>
      <c r="L220" s="183"/>
    </row>
    <row r="221" spans="10:12" ht="15.75" customHeight="1">
      <c r="J221" s="182"/>
      <c r="K221" s="183"/>
      <c r="L221" s="183"/>
    </row>
    <row r="222" spans="10:12" ht="15.75" customHeight="1">
      <c r="J222" s="182"/>
      <c r="K222" s="183"/>
      <c r="L222" s="183"/>
    </row>
    <row r="223" spans="10:12" ht="15.75" customHeight="1">
      <c r="J223" s="182"/>
      <c r="K223" s="183"/>
      <c r="L223" s="183"/>
    </row>
    <row r="224" spans="10:12" ht="15.75" customHeight="1">
      <c r="J224" s="182"/>
      <c r="K224" s="183"/>
      <c r="L224" s="183"/>
    </row>
    <row r="225" spans="10:12" ht="15.75" customHeight="1">
      <c r="J225" s="182"/>
      <c r="K225" s="183"/>
      <c r="L225" s="183"/>
    </row>
    <row r="226" spans="10:12" ht="15.75" customHeight="1">
      <c r="J226" s="182"/>
      <c r="K226" s="183"/>
      <c r="L226" s="183"/>
    </row>
    <row r="227" spans="10:12" ht="15.75" customHeight="1">
      <c r="J227" s="182"/>
      <c r="K227" s="183"/>
      <c r="L227" s="183"/>
    </row>
    <row r="228" spans="10:12" ht="15.75" customHeight="1">
      <c r="J228" s="182"/>
      <c r="K228" s="183"/>
      <c r="L228" s="183"/>
    </row>
    <row r="229" spans="10:12" ht="15.75" customHeight="1">
      <c r="J229" s="182"/>
      <c r="K229" s="183"/>
      <c r="L229" s="183"/>
    </row>
    <row r="230" spans="10:12" ht="15.75" customHeight="1">
      <c r="J230" s="182"/>
      <c r="K230" s="183"/>
      <c r="L230" s="183"/>
    </row>
    <row r="231" spans="10:12" ht="15.75" customHeight="1">
      <c r="J231" s="182"/>
      <c r="K231" s="183"/>
      <c r="L231" s="183"/>
    </row>
    <row r="232" spans="10:12" ht="15.75" customHeight="1">
      <c r="J232" s="182"/>
      <c r="K232" s="183"/>
      <c r="L232" s="183"/>
    </row>
    <row r="233" spans="10:12" ht="15.75" customHeight="1">
      <c r="J233" s="182"/>
      <c r="K233" s="183"/>
      <c r="L233" s="183"/>
    </row>
    <row r="234" spans="10:12" ht="15.75" customHeight="1">
      <c r="J234" s="182"/>
      <c r="K234" s="183"/>
      <c r="L234" s="183"/>
    </row>
    <row r="235" spans="10:12" ht="15.75" customHeight="1">
      <c r="J235" s="182"/>
      <c r="K235" s="183"/>
      <c r="L235" s="183"/>
    </row>
    <row r="236" spans="10:12" ht="15.75" customHeight="1">
      <c r="J236" s="182"/>
      <c r="K236" s="183"/>
      <c r="L236" s="183"/>
    </row>
    <row r="237" spans="10:12" ht="15.75" customHeight="1">
      <c r="J237" s="182"/>
      <c r="K237" s="183"/>
      <c r="L237" s="183"/>
    </row>
    <row r="238" spans="10:12" ht="15.75" customHeight="1">
      <c r="J238" s="182"/>
      <c r="K238" s="183"/>
      <c r="L238" s="183"/>
    </row>
    <row r="239" spans="10:12" ht="15.75" customHeight="1">
      <c r="J239" s="182"/>
      <c r="K239" s="183"/>
      <c r="L239" s="183"/>
    </row>
    <row r="240" spans="10:12" ht="15.75" customHeight="1">
      <c r="J240" s="182"/>
      <c r="K240" s="183"/>
      <c r="L240" s="183"/>
    </row>
    <row r="241" spans="10:12" ht="15.75" customHeight="1">
      <c r="J241" s="182"/>
      <c r="K241" s="183"/>
      <c r="L241" s="183"/>
    </row>
    <row r="242" spans="10:12" ht="15.75" customHeight="1">
      <c r="J242" s="182"/>
      <c r="K242" s="183"/>
      <c r="L242" s="183"/>
    </row>
    <row r="243" spans="10:12" ht="15.75" customHeight="1">
      <c r="J243" s="182"/>
      <c r="K243" s="183"/>
      <c r="L243" s="183"/>
    </row>
    <row r="244" spans="10:12" ht="15.75" customHeight="1">
      <c r="J244" s="182"/>
      <c r="K244" s="183"/>
      <c r="L244" s="183"/>
    </row>
    <row r="245" spans="10:12" ht="15.75" customHeight="1">
      <c r="J245" s="182"/>
      <c r="K245" s="183"/>
      <c r="L245" s="183"/>
    </row>
    <row r="246" spans="10:12" ht="15.75" customHeight="1">
      <c r="J246" s="182"/>
      <c r="K246" s="183"/>
      <c r="L246" s="183"/>
    </row>
    <row r="247" spans="10:12" ht="15.75" customHeight="1">
      <c r="J247" s="182"/>
      <c r="K247" s="183"/>
      <c r="L247" s="183"/>
    </row>
    <row r="248" spans="10:12" ht="15.75" customHeight="1">
      <c r="J248" s="182"/>
      <c r="K248" s="183"/>
      <c r="L248" s="183"/>
    </row>
    <row r="249" spans="10:12" ht="15.75" customHeight="1">
      <c r="J249" s="182"/>
      <c r="K249" s="183"/>
      <c r="L249" s="183"/>
    </row>
    <row r="250" spans="10:12" ht="15.75" customHeight="1">
      <c r="J250" s="182"/>
      <c r="K250" s="183"/>
      <c r="L250" s="183"/>
    </row>
    <row r="251" spans="10:12" ht="15.75" customHeight="1">
      <c r="J251" s="182"/>
      <c r="K251" s="183"/>
      <c r="L251" s="183"/>
    </row>
    <row r="252" spans="10:12" ht="15.75" customHeight="1">
      <c r="J252" s="182"/>
      <c r="K252" s="183"/>
      <c r="L252" s="183"/>
    </row>
    <row r="253" spans="10:12" ht="15.75" customHeight="1">
      <c r="J253" s="182"/>
      <c r="K253" s="183"/>
      <c r="L253" s="183"/>
    </row>
    <row r="254" spans="10:12" ht="15.75" customHeight="1">
      <c r="J254" s="182"/>
      <c r="K254" s="183"/>
      <c r="L254" s="183"/>
    </row>
    <row r="255" spans="10:12" ht="15.75" customHeight="1">
      <c r="J255" s="182"/>
      <c r="K255" s="183"/>
      <c r="L255" s="183"/>
    </row>
    <row r="256" spans="10:12" ht="15.75" customHeight="1">
      <c r="J256" s="182"/>
      <c r="K256" s="183"/>
      <c r="L256" s="183"/>
    </row>
    <row r="257" spans="10:12" ht="15.75" customHeight="1">
      <c r="J257" s="182"/>
      <c r="K257" s="183"/>
      <c r="L257" s="183"/>
    </row>
    <row r="258" spans="10:12" ht="15.75" customHeight="1">
      <c r="J258" s="182"/>
      <c r="K258" s="183"/>
      <c r="L258" s="183"/>
    </row>
    <row r="259" spans="10:12" ht="15.75" customHeight="1">
      <c r="J259" s="182"/>
      <c r="K259" s="183"/>
      <c r="L259" s="183"/>
    </row>
    <row r="260" spans="10:12" ht="15.75" customHeight="1">
      <c r="J260" s="182"/>
      <c r="K260" s="183"/>
      <c r="L260" s="183"/>
    </row>
    <row r="261" spans="10:12" ht="15.75" customHeight="1">
      <c r="J261" s="182"/>
      <c r="K261" s="183"/>
      <c r="L261" s="183"/>
    </row>
    <row r="262" spans="10:12" ht="15.75" customHeight="1">
      <c r="J262" s="182"/>
      <c r="K262" s="183"/>
      <c r="L262" s="183"/>
    </row>
    <row r="263" spans="10:12" ht="15.75" customHeight="1">
      <c r="J263" s="182"/>
      <c r="K263" s="183"/>
      <c r="L263" s="183"/>
    </row>
    <row r="264" spans="10:12" ht="15.75" customHeight="1">
      <c r="J264" s="182"/>
      <c r="K264" s="183"/>
      <c r="L264" s="183"/>
    </row>
    <row r="265" spans="10:12" ht="15.75" customHeight="1">
      <c r="J265" s="182"/>
      <c r="K265" s="183"/>
      <c r="L265" s="183"/>
    </row>
    <row r="266" spans="10:12" ht="15.75" customHeight="1">
      <c r="J266" s="182"/>
      <c r="K266" s="183"/>
      <c r="L266" s="183"/>
    </row>
    <row r="267" spans="10:12" ht="15.75" customHeight="1">
      <c r="J267" s="182"/>
      <c r="K267" s="183"/>
      <c r="L267" s="183"/>
    </row>
    <row r="268" spans="10:12" ht="15.75" customHeight="1">
      <c r="J268" s="182"/>
      <c r="K268" s="183"/>
      <c r="L268" s="183"/>
    </row>
    <row r="269" spans="10:12" ht="15.75" customHeight="1">
      <c r="J269" s="182"/>
      <c r="K269" s="183"/>
      <c r="L269" s="183"/>
    </row>
    <row r="270" spans="10:12" ht="15.75" customHeight="1">
      <c r="J270" s="182"/>
      <c r="K270" s="183"/>
      <c r="L270" s="183"/>
    </row>
    <row r="271" spans="10:12" ht="15.75" customHeight="1">
      <c r="J271" s="182"/>
      <c r="K271" s="183"/>
      <c r="L271" s="183"/>
    </row>
    <row r="272" spans="10:12" ht="15.75" customHeight="1">
      <c r="J272" s="182"/>
      <c r="K272" s="183"/>
      <c r="L272" s="183"/>
    </row>
    <row r="273" spans="10:12" ht="15.75" customHeight="1">
      <c r="J273" s="182"/>
      <c r="K273" s="183"/>
      <c r="L273" s="183"/>
    </row>
    <row r="274" spans="10:12" ht="15.75" customHeight="1">
      <c r="J274" s="182"/>
      <c r="K274" s="183"/>
      <c r="L274" s="183"/>
    </row>
    <row r="275" spans="10:12" ht="15.75" customHeight="1">
      <c r="J275" s="182"/>
      <c r="K275" s="183"/>
      <c r="L275" s="183"/>
    </row>
    <row r="276" spans="10:12" ht="15.75" customHeight="1">
      <c r="J276" s="182"/>
      <c r="K276" s="183"/>
      <c r="L276" s="183"/>
    </row>
    <row r="277" spans="10:12" ht="15.75" customHeight="1">
      <c r="J277" s="182"/>
      <c r="K277" s="183"/>
      <c r="L277" s="183"/>
    </row>
    <row r="278" spans="10:12" ht="15.75" customHeight="1">
      <c r="J278" s="182"/>
      <c r="K278" s="183"/>
      <c r="L278" s="183"/>
    </row>
    <row r="279" spans="10:12" ht="15.75" customHeight="1">
      <c r="J279" s="182"/>
      <c r="K279" s="183"/>
      <c r="L279" s="183"/>
    </row>
    <row r="280" spans="10:12" ht="15.75" customHeight="1">
      <c r="J280" s="182"/>
      <c r="K280" s="183"/>
      <c r="L280" s="183"/>
    </row>
    <row r="281" spans="10:12" ht="15.75" customHeight="1">
      <c r="J281" s="182"/>
      <c r="K281" s="183"/>
      <c r="L281" s="183"/>
    </row>
    <row r="282" spans="10:12" ht="15.75" customHeight="1">
      <c r="J282" s="182"/>
      <c r="K282" s="183"/>
      <c r="L282" s="183"/>
    </row>
    <row r="283" spans="10:12" ht="15.75" customHeight="1">
      <c r="J283" s="182"/>
      <c r="K283" s="183"/>
      <c r="L283" s="183"/>
    </row>
    <row r="284" spans="10:12" ht="15.75" customHeight="1">
      <c r="J284" s="182"/>
      <c r="K284" s="183"/>
      <c r="L284" s="183"/>
    </row>
    <row r="285" spans="10:12" ht="15.75" customHeight="1">
      <c r="J285" s="182"/>
      <c r="K285" s="183"/>
      <c r="L285" s="183"/>
    </row>
    <row r="286" spans="10:12" ht="15.75" customHeight="1">
      <c r="J286" s="182"/>
      <c r="K286" s="183"/>
      <c r="L286" s="183"/>
    </row>
    <row r="287" spans="10:12" ht="15.75" customHeight="1">
      <c r="J287" s="182"/>
      <c r="K287" s="183"/>
      <c r="L287" s="183"/>
    </row>
    <row r="288" spans="10:12" ht="15.75" customHeight="1">
      <c r="J288" s="182"/>
      <c r="K288" s="183"/>
      <c r="L288" s="183"/>
    </row>
    <row r="289" spans="10:12" ht="15.75" customHeight="1">
      <c r="J289" s="182"/>
      <c r="K289" s="183"/>
      <c r="L289" s="183"/>
    </row>
    <row r="290" spans="10:12" ht="15.75" customHeight="1">
      <c r="J290" s="182"/>
      <c r="K290" s="183"/>
      <c r="L290" s="183"/>
    </row>
    <row r="291" spans="10:12" ht="15.75" customHeight="1">
      <c r="J291" s="182"/>
      <c r="K291" s="183"/>
      <c r="L291" s="183"/>
    </row>
    <row r="292" spans="10:12" ht="15.75" customHeight="1">
      <c r="J292" s="182"/>
      <c r="K292" s="183"/>
      <c r="L292" s="183"/>
    </row>
    <row r="293" spans="10:12" ht="15.75" customHeight="1">
      <c r="J293" s="182"/>
      <c r="K293" s="183"/>
      <c r="L293" s="183"/>
    </row>
    <row r="294" spans="10:12" ht="15.75" customHeight="1">
      <c r="J294" s="182"/>
      <c r="K294" s="183"/>
      <c r="L294" s="183"/>
    </row>
    <row r="295" spans="10:12" ht="15.75" customHeight="1">
      <c r="J295" s="182"/>
      <c r="K295" s="183"/>
      <c r="L295" s="183"/>
    </row>
    <row r="296" spans="10:12" ht="15.75" customHeight="1">
      <c r="J296" s="182"/>
      <c r="K296" s="183"/>
      <c r="L296" s="183"/>
    </row>
    <row r="297" spans="10:12" ht="15.75" customHeight="1">
      <c r="J297" s="182"/>
      <c r="K297" s="183"/>
      <c r="L297" s="183"/>
    </row>
    <row r="298" spans="10:12" ht="15.75" customHeight="1">
      <c r="J298" s="182"/>
      <c r="K298" s="183"/>
      <c r="L298" s="183"/>
    </row>
    <row r="299" spans="10:12" ht="15.75" customHeight="1">
      <c r="J299" s="182"/>
      <c r="K299" s="183"/>
      <c r="L299" s="183"/>
    </row>
    <row r="300" spans="10:12" ht="15.75" customHeight="1">
      <c r="J300" s="182"/>
      <c r="K300" s="183"/>
      <c r="L300" s="183"/>
    </row>
    <row r="301" spans="10:12" ht="15.75" customHeight="1">
      <c r="J301" s="182"/>
      <c r="K301" s="183"/>
      <c r="L301" s="183"/>
    </row>
    <row r="302" spans="10:12" ht="15.75" customHeight="1">
      <c r="J302" s="182"/>
      <c r="K302" s="183"/>
      <c r="L302" s="183"/>
    </row>
    <row r="303" spans="10:12" ht="15.75" customHeight="1">
      <c r="J303" s="182"/>
      <c r="K303" s="183"/>
      <c r="L303" s="183"/>
    </row>
    <row r="304" spans="10:12" ht="15.75" customHeight="1">
      <c r="J304" s="182"/>
      <c r="K304" s="183"/>
      <c r="L304" s="183"/>
    </row>
    <row r="305" spans="10:12" ht="15.75" customHeight="1">
      <c r="J305" s="182"/>
      <c r="K305" s="183"/>
      <c r="L305" s="183"/>
    </row>
    <row r="306" spans="10:12" ht="15.75" customHeight="1">
      <c r="J306" s="182"/>
      <c r="K306" s="183"/>
      <c r="L306" s="183"/>
    </row>
    <row r="307" spans="10:12" ht="15.75" customHeight="1">
      <c r="J307" s="182"/>
      <c r="K307" s="183"/>
      <c r="L307" s="183"/>
    </row>
    <row r="308" spans="10:12" ht="15.75" customHeight="1">
      <c r="J308" s="182"/>
      <c r="K308" s="183"/>
      <c r="L308" s="183"/>
    </row>
    <row r="309" spans="10:12" ht="15.75" customHeight="1">
      <c r="J309" s="182"/>
      <c r="K309" s="183"/>
      <c r="L309" s="183"/>
    </row>
    <row r="310" spans="10:12" ht="15.75" customHeight="1">
      <c r="J310" s="182"/>
      <c r="K310" s="183"/>
      <c r="L310" s="183"/>
    </row>
    <row r="311" spans="10:12" ht="15.75" customHeight="1">
      <c r="J311" s="182"/>
      <c r="K311" s="183"/>
      <c r="L311" s="183"/>
    </row>
    <row r="312" spans="10:12" ht="15.75" customHeight="1">
      <c r="J312" s="182"/>
      <c r="K312" s="183"/>
      <c r="L312" s="183"/>
    </row>
    <row r="313" spans="10:12" ht="15.75" customHeight="1">
      <c r="J313" s="182"/>
      <c r="K313" s="183"/>
      <c r="L313" s="183"/>
    </row>
    <row r="314" spans="10:12" ht="15.75" customHeight="1">
      <c r="J314" s="182"/>
      <c r="K314" s="183"/>
      <c r="L314" s="183"/>
    </row>
    <row r="315" spans="10:12" ht="15.75" customHeight="1">
      <c r="J315" s="182"/>
      <c r="K315" s="183"/>
      <c r="L315" s="183"/>
    </row>
    <row r="316" spans="10:12" ht="15.75" customHeight="1">
      <c r="J316" s="182"/>
      <c r="K316" s="183"/>
      <c r="L316" s="183"/>
    </row>
    <row r="317" spans="10:12" ht="15.75" customHeight="1">
      <c r="J317" s="182"/>
      <c r="K317" s="183"/>
      <c r="L317" s="183"/>
    </row>
    <row r="318" spans="10:12" ht="15.75" customHeight="1">
      <c r="J318" s="182"/>
      <c r="K318" s="183"/>
      <c r="L318" s="183"/>
    </row>
    <row r="319" spans="10:12" ht="15.75" customHeight="1">
      <c r="J319" s="182"/>
      <c r="K319" s="183"/>
      <c r="L319" s="183"/>
    </row>
    <row r="320" spans="10:12" ht="15.75" customHeight="1">
      <c r="J320" s="182"/>
      <c r="K320" s="183"/>
      <c r="L320" s="183"/>
    </row>
    <row r="321" spans="10:12" ht="15.75" customHeight="1">
      <c r="J321" s="182"/>
      <c r="K321" s="183"/>
      <c r="L321" s="183"/>
    </row>
    <row r="322" spans="10:12" ht="15.75" customHeight="1">
      <c r="J322" s="182"/>
      <c r="K322" s="183"/>
      <c r="L322" s="183"/>
    </row>
    <row r="323" spans="10:12" ht="15.75" customHeight="1">
      <c r="J323" s="182"/>
      <c r="K323" s="183"/>
      <c r="L323" s="183"/>
    </row>
    <row r="324" spans="10:12" ht="15.75" customHeight="1">
      <c r="J324" s="182"/>
      <c r="K324" s="183"/>
      <c r="L324" s="183"/>
    </row>
    <row r="325" spans="10:12" ht="15.75" customHeight="1">
      <c r="J325" s="182"/>
      <c r="K325" s="183"/>
      <c r="L325" s="183"/>
    </row>
    <row r="326" spans="10:12" ht="15.75" customHeight="1">
      <c r="J326" s="182"/>
      <c r="K326" s="183"/>
      <c r="L326" s="183"/>
    </row>
    <row r="327" spans="10:12" ht="15.75" customHeight="1">
      <c r="J327" s="182"/>
      <c r="K327" s="183"/>
      <c r="L327" s="183"/>
    </row>
    <row r="328" spans="10:12" ht="15.75" customHeight="1">
      <c r="J328" s="182"/>
      <c r="K328" s="183"/>
      <c r="L328" s="183"/>
    </row>
    <row r="329" spans="10:12" ht="15.75" customHeight="1">
      <c r="J329" s="182"/>
      <c r="K329" s="183"/>
      <c r="L329" s="183"/>
    </row>
    <row r="330" spans="10:12" ht="15.75" customHeight="1">
      <c r="J330" s="182"/>
      <c r="K330" s="183"/>
      <c r="L330" s="183"/>
    </row>
    <row r="331" spans="10:12" ht="15.75" customHeight="1">
      <c r="J331" s="182"/>
      <c r="K331" s="183"/>
      <c r="L331" s="183"/>
    </row>
    <row r="332" spans="10:12" ht="15.75" customHeight="1">
      <c r="J332" s="182"/>
      <c r="K332" s="183"/>
      <c r="L332" s="183"/>
    </row>
    <row r="333" spans="10:12" ht="15.75" customHeight="1">
      <c r="J333" s="182"/>
      <c r="K333" s="183"/>
      <c r="L333" s="183"/>
    </row>
    <row r="334" spans="10:12" ht="15.75" customHeight="1">
      <c r="J334" s="182"/>
      <c r="K334" s="183"/>
      <c r="L334" s="183"/>
    </row>
    <row r="335" spans="10:12" ht="15.75" customHeight="1">
      <c r="J335" s="182"/>
      <c r="K335" s="183"/>
      <c r="L335" s="183"/>
    </row>
    <row r="336" spans="10:12" ht="15.75" customHeight="1">
      <c r="J336" s="182"/>
      <c r="K336" s="183"/>
      <c r="L336" s="183"/>
    </row>
    <row r="337" spans="10:12" ht="15.75" customHeight="1">
      <c r="J337" s="182"/>
      <c r="K337" s="183"/>
      <c r="L337" s="183"/>
    </row>
    <row r="338" spans="10:12" ht="15.75" customHeight="1">
      <c r="J338" s="182"/>
      <c r="K338" s="183"/>
      <c r="L338" s="183"/>
    </row>
    <row r="339" spans="10:12" ht="15.75" customHeight="1">
      <c r="J339" s="182"/>
      <c r="K339" s="183"/>
      <c r="L339" s="183"/>
    </row>
    <row r="340" spans="10:12" ht="15.75" customHeight="1">
      <c r="J340" s="182"/>
      <c r="K340" s="183"/>
      <c r="L340" s="183"/>
    </row>
    <row r="341" spans="10:12" ht="15.75" customHeight="1">
      <c r="J341" s="182"/>
      <c r="K341" s="183"/>
      <c r="L341" s="183"/>
    </row>
    <row r="342" spans="10:12" ht="15.75" customHeight="1">
      <c r="J342" s="182"/>
      <c r="K342" s="183"/>
      <c r="L342" s="183"/>
    </row>
    <row r="343" spans="10:12" ht="15.75" customHeight="1">
      <c r="J343" s="182"/>
      <c r="K343" s="183"/>
      <c r="L343" s="183"/>
    </row>
    <row r="344" spans="10:12" ht="15.75" customHeight="1">
      <c r="J344" s="182"/>
      <c r="K344" s="183"/>
      <c r="L344" s="183"/>
    </row>
    <row r="345" spans="10:12" ht="15.75" customHeight="1">
      <c r="J345" s="182"/>
      <c r="K345" s="183"/>
      <c r="L345" s="183"/>
    </row>
    <row r="346" spans="10:12" ht="15.75" customHeight="1">
      <c r="J346" s="182"/>
      <c r="K346" s="183"/>
      <c r="L346" s="183"/>
    </row>
    <row r="347" spans="10:12" ht="15.75" customHeight="1">
      <c r="J347" s="182"/>
      <c r="K347" s="183"/>
      <c r="L347" s="183"/>
    </row>
    <row r="348" spans="10:12" ht="15.75" customHeight="1">
      <c r="J348" s="182"/>
      <c r="K348" s="183"/>
      <c r="L348" s="183"/>
    </row>
    <row r="349" spans="10:12" ht="15.75" customHeight="1">
      <c r="J349" s="182"/>
      <c r="K349" s="183"/>
      <c r="L349" s="183"/>
    </row>
    <row r="350" spans="10:12" ht="15.75" customHeight="1">
      <c r="J350" s="182"/>
      <c r="K350" s="183"/>
      <c r="L350" s="183"/>
    </row>
    <row r="351" spans="10:12" ht="15.75" customHeight="1">
      <c r="J351" s="182"/>
      <c r="K351" s="183"/>
      <c r="L351" s="183"/>
    </row>
    <row r="352" spans="10:12" ht="15.75" customHeight="1">
      <c r="J352" s="182"/>
      <c r="K352" s="183"/>
      <c r="L352" s="183"/>
    </row>
    <row r="353" spans="10:12" ht="15.75" customHeight="1">
      <c r="J353" s="182"/>
      <c r="K353" s="183"/>
      <c r="L353" s="183"/>
    </row>
    <row r="354" spans="10:12" ht="15.75" customHeight="1">
      <c r="J354" s="182"/>
      <c r="K354" s="183"/>
      <c r="L354" s="183"/>
    </row>
    <row r="355" spans="10:12" ht="15.75" customHeight="1">
      <c r="J355" s="182"/>
      <c r="K355" s="183"/>
      <c r="L355" s="183"/>
    </row>
    <row r="356" spans="10:12" ht="15.75" customHeight="1">
      <c r="J356" s="182"/>
      <c r="K356" s="183"/>
      <c r="L356" s="183"/>
    </row>
    <row r="357" spans="10:12" ht="15.75" customHeight="1">
      <c r="J357" s="182"/>
      <c r="K357" s="183"/>
      <c r="L357" s="183"/>
    </row>
    <row r="358" spans="10:12" ht="15.75" customHeight="1">
      <c r="J358" s="182"/>
      <c r="K358" s="183"/>
      <c r="L358" s="183"/>
    </row>
    <row r="359" spans="10:12" ht="15.75" customHeight="1">
      <c r="J359" s="182"/>
      <c r="K359" s="183"/>
      <c r="L359" s="183"/>
    </row>
    <row r="360" spans="10:12" ht="15.75" customHeight="1">
      <c r="J360" s="182"/>
      <c r="K360" s="183"/>
      <c r="L360" s="183"/>
    </row>
    <row r="361" spans="10:12" ht="15.75" customHeight="1">
      <c r="J361" s="182"/>
      <c r="K361" s="183"/>
      <c r="L361" s="183"/>
    </row>
    <row r="362" spans="10:12" ht="15.75" customHeight="1">
      <c r="J362" s="182"/>
      <c r="K362" s="183"/>
      <c r="L362" s="183"/>
    </row>
    <row r="363" spans="10:12" ht="15.75" customHeight="1">
      <c r="J363" s="182"/>
      <c r="K363" s="183"/>
      <c r="L363" s="183"/>
    </row>
    <row r="364" spans="10:12" ht="15.75" customHeight="1">
      <c r="J364" s="182"/>
      <c r="K364" s="183"/>
      <c r="L364" s="183"/>
    </row>
    <row r="365" spans="10:12" ht="15.75" customHeight="1">
      <c r="J365" s="182"/>
      <c r="K365" s="183"/>
      <c r="L365" s="183"/>
    </row>
    <row r="366" spans="10:12" ht="15.75" customHeight="1">
      <c r="J366" s="182"/>
      <c r="K366" s="183"/>
      <c r="L366" s="183"/>
    </row>
    <row r="367" spans="10:12" ht="15.75" customHeight="1">
      <c r="J367" s="182"/>
      <c r="K367" s="183"/>
      <c r="L367" s="183"/>
    </row>
    <row r="368" spans="10:12" ht="15.75" customHeight="1">
      <c r="J368" s="182"/>
      <c r="K368" s="183"/>
      <c r="L368" s="183"/>
    </row>
    <row r="369" spans="10:12" ht="15.75" customHeight="1">
      <c r="J369" s="182"/>
      <c r="K369" s="183"/>
      <c r="L369" s="183"/>
    </row>
    <row r="370" spans="10:12" ht="15.75" customHeight="1">
      <c r="J370" s="182"/>
      <c r="K370" s="183"/>
      <c r="L370" s="183"/>
    </row>
    <row r="371" spans="10:12" ht="15.75" customHeight="1">
      <c r="J371" s="182"/>
      <c r="K371" s="183"/>
      <c r="L371" s="183"/>
    </row>
    <row r="372" spans="10:12" ht="15.75" customHeight="1">
      <c r="J372" s="182"/>
      <c r="K372" s="183"/>
      <c r="L372" s="183"/>
    </row>
    <row r="373" spans="10:12" ht="15.75" customHeight="1">
      <c r="J373" s="182"/>
      <c r="K373" s="183"/>
      <c r="L373" s="183"/>
    </row>
    <row r="374" spans="10:12" ht="15.75" customHeight="1">
      <c r="J374" s="182"/>
      <c r="K374" s="183"/>
      <c r="L374" s="183"/>
    </row>
    <row r="375" spans="10:12" ht="15.75" customHeight="1">
      <c r="J375" s="182"/>
      <c r="K375" s="183"/>
      <c r="L375" s="183"/>
    </row>
    <row r="376" spans="10:12" ht="15.75" customHeight="1">
      <c r="J376" s="182"/>
      <c r="K376" s="183"/>
      <c r="L376" s="183"/>
    </row>
    <row r="377" spans="10:12" ht="15.75" customHeight="1">
      <c r="J377" s="182"/>
      <c r="K377" s="183"/>
      <c r="L377" s="183"/>
    </row>
    <row r="378" spans="10:12" ht="15.75" customHeight="1">
      <c r="J378" s="182"/>
      <c r="K378" s="183"/>
      <c r="L378" s="183"/>
    </row>
    <row r="379" spans="10:12" ht="15.75" customHeight="1">
      <c r="J379" s="182"/>
      <c r="K379" s="183"/>
      <c r="L379" s="183"/>
    </row>
    <row r="380" spans="10:12" ht="15.75" customHeight="1">
      <c r="J380" s="182"/>
      <c r="K380" s="183"/>
      <c r="L380" s="183"/>
    </row>
    <row r="381" spans="10:12" ht="15.75" customHeight="1">
      <c r="J381" s="182"/>
      <c r="K381" s="183"/>
      <c r="L381" s="183"/>
    </row>
    <row r="382" spans="10:12" ht="15.75" customHeight="1">
      <c r="J382" s="182"/>
      <c r="K382" s="183"/>
      <c r="L382" s="183"/>
    </row>
    <row r="383" spans="10:12" ht="15.75" customHeight="1">
      <c r="J383" s="182"/>
      <c r="K383" s="183"/>
      <c r="L383" s="183"/>
    </row>
    <row r="384" spans="10:12" ht="15.75" customHeight="1">
      <c r="J384" s="182"/>
      <c r="K384" s="183"/>
      <c r="L384" s="183"/>
    </row>
    <row r="385" spans="10:12" ht="15.75" customHeight="1">
      <c r="J385" s="182"/>
      <c r="K385" s="183"/>
      <c r="L385" s="183"/>
    </row>
    <row r="386" spans="10:12" ht="15.75" customHeight="1">
      <c r="J386" s="182"/>
      <c r="K386" s="183"/>
      <c r="L386" s="183"/>
    </row>
    <row r="387" spans="10:12" ht="15.75" customHeight="1">
      <c r="J387" s="182"/>
      <c r="K387" s="183"/>
      <c r="L387" s="183"/>
    </row>
    <row r="388" spans="10:12" ht="15.75" customHeight="1">
      <c r="J388" s="182"/>
      <c r="K388" s="183"/>
      <c r="L388" s="183"/>
    </row>
    <row r="389" spans="10:12" ht="15.75" customHeight="1">
      <c r="J389" s="182"/>
      <c r="K389" s="183"/>
      <c r="L389" s="183"/>
    </row>
    <row r="390" spans="10:12" ht="15.75" customHeight="1">
      <c r="J390" s="182"/>
      <c r="K390" s="183"/>
      <c r="L390" s="183"/>
    </row>
    <row r="391" spans="10:12" ht="15.75" customHeight="1">
      <c r="J391" s="182"/>
      <c r="K391" s="183"/>
      <c r="L391" s="183"/>
    </row>
    <row r="392" spans="10:12" ht="15.75" customHeight="1">
      <c r="J392" s="182"/>
      <c r="K392" s="183"/>
      <c r="L392" s="183"/>
    </row>
    <row r="393" spans="10:12" ht="15.75" customHeight="1">
      <c r="J393" s="182"/>
      <c r="K393" s="183"/>
      <c r="L393" s="183"/>
    </row>
    <row r="394" spans="10:12" ht="15.75" customHeight="1">
      <c r="J394" s="182"/>
      <c r="K394" s="183"/>
      <c r="L394" s="183"/>
    </row>
    <row r="395" spans="10:12" ht="15.75" customHeight="1">
      <c r="J395" s="182"/>
      <c r="K395" s="183"/>
      <c r="L395" s="183"/>
    </row>
    <row r="396" spans="10:12" ht="15.75" customHeight="1">
      <c r="J396" s="182"/>
      <c r="K396" s="183"/>
      <c r="L396" s="183"/>
    </row>
    <row r="397" spans="10:12" ht="15.75" customHeight="1">
      <c r="J397" s="182"/>
      <c r="K397" s="183"/>
      <c r="L397" s="183"/>
    </row>
    <row r="398" spans="10:12" ht="15.75" customHeight="1">
      <c r="J398" s="182"/>
      <c r="K398" s="183"/>
      <c r="L398" s="183"/>
    </row>
    <row r="399" spans="10:12" ht="15.75" customHeight="1">
      <c r="J399" s="182"/>
      <c r="K399" s="183"/>
      <c r="L399" s="183"/>
    </row>
    <row r="400" spans="10:12" ht="15.75" customHeight="1">
      <c r="J400" s="182"/>
      <c r="K400" s="183"/>
      <c r="L400" s="183"/>
    </row>
    <row r="401" spans="10:12" ht="15.75" customHeight="1">
      <c r="J401" s="182"/>
      <c r="K401" s="183"/>
      <c r="L401" s="183"/>
    </row>
    <row r="402" spans="10:12" ht="15.75" customHeight="1">
      <c r="J402" s="182"/>
      <c r="K402" s="183"/>
      <c r="L402" s="183"/>
    </row>
    <row r="403" spans="10:12" ht="15.75" customHeight="1">
      <c r="J403" s="182"/>
      <c r="K403" s="183"/>
      <c r="L403" s="183"/>
    </row>
    <row r="404" spans="10:12" ht="15.75" customHeight="1">
      <c r="J404" s="182"/>
      <c r="K404" s="183"/>
      <c r="L404" s="183"/>
    </row>
    <row r="405" spans="10:12" ht="15.75" customHeight="1">
      <c r="J405" s="182"/>
      <c r="K405" s="183"/>
      <c r="L405" s="183"/>
    </row>
    <row r="406" spans="10:12" ht="15.75" customHeight="1">
      <c r="J406" s="182"/>
      <c r="K406" s="183"/>
      <c r="L406" s="183"/>
    </row>
    <row r="407" spans="10:12" ht="15.75" customHeight="1">
      <c r="J407" s="182"/>
      <c r="K407" s="183"/>
      <c r="L407" s="183"/>
    </row>
    <row r="408" spans="10:12" ht="15.75" customHeight="1">
      <c r="J408" s="182"/>
      <c r="K408" s="183"/>
      <c r="L408" s="183"/>
    </row>
    <row r="409" spans="10:12" ht="15.75" customHeight="1">
      <c r="J409" s="182"/>
      <c r="K409" s="183"/>
      <c r="L409" s="183"/>
    </row>
    <row r="410" spans="10:12" ht="15.75" customHeight="1">
      <c r="J410" s="182"/>
      <c r="K410" s="183"/>
      <c r="L410" s="183"/>
    </row>
    <row r="411" spans="10:12" ht="15.75" customHeight="1">
      <c r="J411" s="182"/>
      <c r="K411" s="183"/>
      <c r="L411" s="183"/>
    </row>
    <row r="412" spans="10:12" ht="15.75" customHeight="1">
      <c r="J412" s="182"/>
      <c r="K412" s="183"/>
      <c r="L412" s="183"/>
    </row>
    <row r="413" spans="10:12" ht="15.75" customHeight="1">
      <c r="J413" s="182"/>
      <c r="K413" s="183"/>
      <c r="L413" s="183"/>
    </row>
    <row r="414" spans="10:12" ht="15.75" customHeight="1">
      <c r="J414" s="182"/>
      <c r="K414" s="183"/>
      <c r="L414" s="183"/>
    </row>
    <row r="415" spans="10:12" ht="15.75" customHeight="1">
      <c r="J415" s="182"/>
      <c r="K415" s="183"/>
      <c r="L415" s="183"/>
    </row>
    <row r="416" spans="10:12" ht="15.75" customHeight="1">
      <c r="J416" s="182"/>
      <c r="K416" s="183"/>
      <c r="L416" s="183"/>
    </row>
    <row r="417" spans="10:12" ht="15.75" customHeight="1">
      <c r="J417" s="182"/>
      <c r="K417" s="183"/>
      <c r="L417" s="183"/>
    </row>
    <row r="418" spans="10:12" ht="15.75" customHeight="1">
      <c r="J418" s="182"/>
      <c r="K418" s="183"/>
      <c r="L418" s="183"/>
    </row>
    <row r="419" spans="10:12" ht="15.75" customHeight="1">
      <c r="J419" s="182"/>
      <c r="K419" s="183"/>
      <c r="L419" s="183"/>
    </row>
    <row r="420" spans="10:12" ht="15.75" customHeight="1">
      <c r="J420" s="182"/>
      <c r="K420" s="183"/>
      <c r="L420" s="183"/>
    </row>
    <row r="421" spans="10:12" ht="15.75" customHeight="1">
      <c r="J421" s="182"/>
      <c r="K421" s="183"/>
      <c r="L421" s="183"/>
    </row>
    <row r="422" spans="10:12" ht="15.75" customHeight="1">
      <c r="J422" s="182"/>
      <c r="K422" s="183"/>
      <c r="L422" s="183"/>
    </row>
    <row r="423" spans="10:12" ht="15.75" customHeight="1">
      <c r="J423" s="182"/>
      <c r="K423" s="183"/>
      <c r="L423" s="183"/>
    </row>
    <row r="424" spans="10:12" ht="15.75" customHeight="1">
      <c r="J424" s="182"/>
      <c r="K424" s="183"/>
      <c r="L424" s="183"/>
    </row>
    <row r="425" spans="10:12" ht="15.75" customHeight="1">
      <c r="J425" s="182"/>
      <c r="K425" s="183"/>
      <c r="L425" s="183"/>
    </row>
    <row r="426" spans="10:12" ht="15.75" customHeight="1">
      <c r="J426" s="182"/>
      <c r="K426" s="183"/>
      <c r="L426" s="183"/>
    </row>
    <row r="427" spans="10:12" ht="15.75" customHeight="1">
      <c r="J427" s="182"/>
      <c r="K427" s="183"/>
      <c r="L427" s="183"/>
    </row>
    <row r="428" spans="10:12" ht="15.75" customHeight="1">
      <c r="J428" s="182"/>
      <c r="K428" s="183"/>
      <c r="L428" s="183"/>
    </row>
    <row r="429" spans="10:12" ht="15.75" customHeight="1">
      <c r="J429" s="182"/>
      <c r="K429" s="183"/>
      <c r="L429" s="183"/>
    </row>
    <row r="430" spans="10:12" ht="15.75" customHeight="1">
      <c r="J430" s="182"/>
      <c r="K430" s="183"/>
      <c r="L430" s="183"/>
    </row>
    <row r="431" spans="10:12" ht="15.75" customHeight="1">
      <c r="J431" s="182"/>
      <c r="K431" s="183"/>
      <c r="L431" s="183"/>
    </row>
    <row r="432" spans="10:12" ht="15.75" customHeight="1">
      <c r="J432" s="182"/>
      <c r="K432" s="183"/>
      <c r="L432" s="183"/>
    </row>
    <row r="433" spans="10:12" ht="15.75" customHeight="1">
      <c r="J433" s="182"/>
      <c r="K433" s="183"/>
      <c r="L433" s="183"/>
    </row>
    <row r="434" spans="10:12" ht="15.75" customHeight="1">
      <c r="J434" s="182"/>
      <c r="K434" s="183"/>
      <c r="L434" s="183"/>
    </row>
    <row r="435" spans="10:12" ht="15.75" customHeight="1">
      <c r="J435" s="182"/>
      <c r="K435" s="183"/>
      <c r="L435" s="183"/>
    </row>
    <row r="436" spans="10:12" ht="15.75" customHeight="1">
      <c r="J436" s="182"/>
      <c r="K436" s="183"/>
      <c r="L436" s="183"/>
    </row>
    <row r="437" spans="10:12" ht="15.75" customHeight="1">
      <c r="J437" s="182"/>
      <c r="K437" s="183"/>
      <c r="L437" s="183"/>
    </row>
    <row r="438" spans="10:12" ht="15.75" customHeight="1">
      <c r="J438" s="182"/>
      <c r="K438" s="183"/>
      <c r="L438" s="183"/>
    </row>
    <row r="439" spans="10:12" ht="15.75" customHeight="1">
      <c r="J439" s="182"/>
      <c r="K439" s="183"/>
      <c r="L439" s="183"/>
    </row>
    <row r="440" spans="10:12" ht="15.75" customHeight="1">
      <c r="J440" s="182"/>
      <c r="K440" s="183"/>
      <c r="L440" s="183"/>
    </row>
    <row r="441" spans="10:12" ht="15.75" customHeight="1">
      <c r="J441" s="182"/>
      <c r="K441" s="183"/>
      <c r="L441" s="183"/>
    </row>
    <row r="442" spans="10:12" ht="15.75" customHeight="1">
      <c r="J442" s="182"/>
      <c r="K442" s="183"/>
      <c r="L442" s="183"/>
    </row>
    <row r="443" spans="10:12" ht="15.75" customHeight="1">
      <c r="J443" s="182"/>
      <c r="K443" s="183"/>
      <c r="L443" s="183"/>
    </row>
    <row r="444" spans="10:12" ht="15.75" customHeight="1">
      <c r="J444" s="182"/>
      <c r="K444" s="183"/>
      <c r="L444" s="183"/>
    </row>
    <row r="445" spans="10:12" ht="15.75" customHeight="1">
      <c r="J445" s="182"/>
      <c r="K445" s="183"/>
      <c r="L445" s="183"/>
    </row>
    <row r="446" spans="10:12" ht="15.75" customHeight="1">
      <c r="J446" s="182"/>
      <c r="K446" s="183"/>
      <c r="L446" s="183"/>
    </row>
    <row r="447" spans="10:12" ht="15.75" customHeight="1">
      <c r="J447" s="182"/>
      <c r="K447" s="183"/>
      <c r="L447" s="183"/>
    </row>
    <row r="448" spans="10:12" ht="15.75" customHeight="1">
      <c r="J448" s="182"/>
      <c r="K448" s="183"/>
      <c r="L448" s="183"/>
    </row>
    <row r="449" spans="10:12" ht="15.75" customHeight="1">
      <c r="J449" s="182"/>
      <c r="K449" s="183"/>
      <c r="L449" s="183"/>
    </row>
    <row r="450" spans="10:12" ht="15.75" customHeight="1">
      <c r="J450" s="182"/>
      <c r="K450" s="183"/>
      <c r="L450" s="183"/>
    </row>
    <row r="451" spans="10:12" ht="15.75" customHeight="1">
      <c r="J451" s="182"/>
      <c r="K451" s="183"/>
      <c r="L451" s="183"/>
    </row>
    <row r="452" spans="10:12" ht="15.75" customHeight="1">
      <c r="J452" s="182"/>
      <c r="K452" s="183"/>
      <c r="L452" s="183"/>
    </row>
    <row r="453" spans="10:12" ht="15.75" customHeight="1">
      <c r="J453" s="182"/>
      <c r="K453" s="183"/>
      <c r="L453" s="183"/>
    </row>
    <row r="454" spans="10:12" ht="15.75" customHeight="1">
      <c r="J454" s="182"/>
      <c r="K454" s="183"/>
      <c r="L454" s="183"/>
    </row>
    <row r="455" spans="10:12" ht="15.75" customHeight="1">
      <c r="J455" s="182"/>
      <c r="K455" s="183"/>
      <c r="L455" s="183"/>
    </row>
    <row r="456" spans="10:12" ht="15.75" customHeight="1">
      <c r="J456" s="182"/>
      <c r="K456" s="183"/>
      <c r="L456" s="183"/>
    </row>
    <row r="457" spans="10:12" ht="15.75" customHeight="1">
      <c r="J457" s="182"/>
      <c r="K457" s="183"/>
      <c r="L457" s="183"/>
    </row>
    <row r="458" spans="10:12" ht="15.75" customHeight="1">
      <c r="J458" s="182"/>
      <c r="K458" s="183"/>
      <c r="L458" s="183"/>
    </row>
    <row r="459" spans="10:12" ht="15.75" customHeight="1">
      <c r="J459" s="182"/>
      <c r="K459" s="183"/>
      <c r="L459" s="183"/>
    </row>
    <row r="460" spans="10:12" ht="15.75" customHeight="1">
      <c r="J460" s="182"/>
      <c r="K460" s="183"/>
      <c r="L460" s="183"/>
    </row>
    <row r="461" spans="10:12" ht="15.75" customHeight="1">
      <c r="J461" s="182"/>
      <c r="K461" s="183"/>
      <c r="L461" s="183"/>
    </row>
    <row r="462" spans="10:12" ht="15.75" customHeight="1">
      <c r="J462" s="182"/>
      <c r="K462" s="183"/>
      <c r="L462" s="183"/>
    </row>
    <row r="463" spans="10:12" ht="15.75" customHeight="1">
      <c r="J463" s="182"/>
      <c r="K463" s="183"/>
      <c r="L463" s="183"/>
    </row>
    <row r="464" spans="10:12" ht="15.75" customHeight="1">
      <c r="J464" s="182"/>
      <c r="K464" s="183"/>
      <c r="L464" s="183"/>
    </row>
    <row r="465" spans="10:12" ht="15.75" customHeight="1">
      <c r="J465" s="182"/>
      <c r="K465" s="183"/>
      <c r="L465" s="183"/>
    </row>
    <row r="466" spans="10:12" ht="15.75" customHeight="1">
      <c r="J466" s="182"/>
      <c r="K466" s="183"/>
      <c r="L466" s="183"/>
    </row>
    <row r="467" spans="10:12" ht="15.75" customHeight="1">
      <c r="J467" s="182"/>
      <c r="K467" s="183"/>
      <c r="L467" s="183"/>
    </row>
    <row r="468" spans="10:12" ht="15.75" customHeight="1">
      <c r="J468" s="182"/>
      <c r="K468" s="183"/>
      <c r="L468" s="183"/>
    </row>
    <row r="469" spans="10:12" ht="15.75" customHeight="1">
      <c r="J469" s="182"/>
      <c r="K469" s="183"/>
      <c r="L469" s="183"/>
    </row>
    <row r="470" spans="10:12" ht="15.75" customHeight="1">
      <c r="J470" s="182"/>
      <c r="K470" s="183"/>
      <c r="L470" s="183"/>
    </row>
    <row r="471" spans="10:12" ht="15.75" customHeight="1">
      <c r="J471" s="182"/>
      <c r="K471" s="183"/>
      <c r="L471" s="183"/>
    </row>
    <row r="472" spans="10:12" ht="15.75" customHeight="1">
      <c r="J472" s="182"/>
      <c r="K472" s="183"/>
      <c r="L472" s="183"/>
    </row>
    <row r="473" spans="10:12" ht="15.75" customHeight="1">
      <c r="J473" s="182"/>
      <c r="K473" s="183"/>
      <c r="L473" s="183"/>
    </row>
    <row r="474" spans="10:12" ht="15.75" customHeight="1">
      <c r="J474" s="182"/>
      <c r="K474" s="183"/>
      <c r="L474" s="183"/>
    </row>
    <row r="475" spans="10:12" ht="15.75" customHeight="1">
      <c r="J475" s="182"/>
      <c r="K475" s="183"/>
      <c r="L475" s="183"/>
    </row>
    <row r="476" spans="10:12" ht="15.75" customHeight="1">
      <c r="J476" s="182"/>
      <c r="K476" s="183"/>
      <c r="L476" s="183"/>
    </row>
    <row r="477" spans="10:12" ht="15.75" customHeight="1">
      <c r="J477" s="182"/>
      <c r="K477" s="183"/>
      <c r="L477" s="183"/>
    </row>
    <row r="478" spans="10:12" ht="15.75" customHeight="1">
      <c r="J478" s="182"/>
      <c r="K478" s="183"/>
      <c r="L478" s="183"/>
    </row>
    <row r="479" spans="10:12" ht="15.75" customHeight="1">
      <c r="J479" s="182"/>
      <c r="K479" s="183"/>
      <c r="L479" s="183"/>
    </row>
    <row r="480" spans="10:12" ht="15.75" customHeight="1">
      <c r="J480" s="182"/>
      <c r="K480" s="183"/>
      <c r="L480" s="183"/>
    </row>
    <row r="481" spans="10:12" ht="15.75" customHeight="1">
      <c r="J481" s="182"/>
      <c r="K481" s="183"/>
      <c r="L481" s="183"/>
    </row>
    <row r="482" spans="10:12" ht="15.75" customHeight="1">
      <c r="J482" s="182"/>
      <c r="K482" s="183"/>
      <c r="L482" s="183"/>
    </row>
    <row r="483" spans="10:12" ht="15.75" customHeight="1">
      <c r="J483" s="182"/>
      <c r="K483" s="183"/>
      <c r="L483" s="183"/>
    </row>
    <row r="484" spans="10:12" ht="15.75" customHeight="1">
      <c r="J484" s="182"/>
      <c r="K484" s="183"/>
      <c r="L484" s="183"/>
    </row>
    <row r="485" spans="10:12" ht="15.75" customHeight="1">
      <c r="J485" s="182"/>
      <c r="K485" s="183"/>
      <c r="L485" s="183"/>
    </row>
    <row r="486" spans="10:12" ht="15.75" customHeight="1">
      <c r="J486" s="182"/>
      <c r="K486" s="183"/>
      <c r="L486" s="183"/>
    </row>
    <row r="487" spans="10:12" ht="15.75" customHeight="1">
      <c r="J487" s="182"/>
      <c r="K487" s="183"/>
      <c r="L487" s="183"/>
    </row>
    <row r="488" spans="10:12" ht="15.75" customHeight="1">
      <c r="J488" s="182"/>
      <c r="K488" s="183"/>
      <c r="L488" s="183"/>
    </row>
    <row r="489" spans="10:12" ht="15.75" customHeight="1">
      <c r="J489" s="182"/>
      <c r="K489" s="183"/>
      <c r="L489" s="183"/>
    </row>
    <row r="490" spans="10:12" ht="15.75" customHeight="1">
      <c r="J490" s="182"/>
      <c r="K490" s="183"/>
      <c r="L490" s="183"/>
    </row>
    <row r="491" spans="10:12" ht="15.75" customHeight="1">
      <c r="J491" s="182"/>
      <c r="K491" s="183"/>
      <c r="L491" s="183"/>
    </row>
    <row r="492" spans="10:12" ht="15.75" customHeight="1">
      <c r="J492" s="182"/>
      <c r="K492" s="183"/>
      <c r="L492" s="183"/>
    </row>
    <row r="493" spans="10:12" ht="15.75" customHeight="1">
      <c r="J493" s="182"/>
      <c r="K493" s="183"/>
      <c r="L493" s="183"/>
    </row>
    <row r="494" spans="10:12" ht="15.75" customHeight="1">
      <c r="J494" s="182"/>
      <c r="K494" s="183"/>
      <c r="L494" s="183"/>
    </row>
    <row r="495" spans="10:12" ht="15.75" customHeight="1">
      <c r="J495" s="182"/>
      <c r="K495" s="183"/>
      <c r="L495" s="183"/>
    </row>
    <row r="496" spans="10:12" ht="15.75" customHeight="1">
      <c r="J496" s="182"/>
      <c r="K496" s="183"/>
      <c r="L496" s="183"/>
    </row>
    <row r="497" spans="10:12" ht="15.75" customHeight="1">
      <c r="J497" s="182"/>
      <c r="K497" s="183"/>
      <c r="L497" s="183"/>
    </row>
    <row r="498" spans="10:12" ht="15.75" customHeight="1">
      <c r="J498" s="182"/>
      <c r="K498" s="183"/>
      <c r="L498" s="183"/>
    </row>
    <row r="499" spans="10:12" ht="15.75" customHeight="1">
      <c r="J499" s="182"/>
      <c r="K499" s="183"/>
      <c r="L499" s="183"/>
    </row>
    <row r="500" spans="10:12" ht="15.75" customHeight="1">
      <c r="J500" s="182"/>
      <c r="K500" s="183"/>
      <c r="L500" s="183"/>
    </row>
    <row r="501" spans="10:12" ht="15.75" customHeight="1">
      <c r="J501" s="182"/>
      <c r="K501" s="183"/>
      <c r="L501" s="183"/>
    </row>
    <row r="502" spans="10:12" ht="15.75" customHeight="1">
      <c r="J502" s="182"/>
      <c r="K502" s="183"/>
      <c r="L502" s="183"/>
    </row>
    <row r="503" spans="10:12" ht="15.75" customHeight="1">
      <c r="J503" s="182"/>
      <c r="K503" s="183"/>
      <c r="L503" s="183"/>
    </row>
    <row r="504" spans="10:12" ht="15.75" customHeight="1">
      <c r="J504" s="182"/>
      <c r="K504" s="183"/>
      <c r="L504" s="183"/>
    </row>
    <row r="505" spans="10:12" ht="15.75" customHeight="1">
      <c r="J505" s="182"/>
      <c r="K505" s="183"/>
      <c r="L505" s="183"/>
    </row>
    <row r="506" spans="10:12" ht="15.75" customHeight="1">
      <c r="J506" s="182"/>
      <c r="K506" s="183"/>
      <c r="L506" s="183"/>
    </row>
    <row r="507" spans="10:12" ht="15.75" customHeight="1">
      <c r="J507" s="182"/>
      <c r="K507" s="183"/>
      <c r="L507" s="183"/>
    </row>
    <row r="508" spans="10:12" ht="15.75" customHeight="1">
      <c r="J508" s="182"/>
      <c r="K508" s="183"/>
      <c r="L508" s="183"/>
    </row>
    <row r="509" spans="10:12" ht="15.75" customHeight="1">
      <c r="J509" s="182"/>
      <c r="K509" s="183"/>
      <c r="L509" s="183"/>
    </row>
    <row r="510" spans="10:12" ht="15.75" customHeight="1">
      <c r="J510" s="182"/>
      <c r="K510" s="183"/>
      <c r="L510" s="183"/>
    </row>
    <row r="511" spans="10:12" ht="15.75" customHeight="1">
      <c r="J511" s="182"/>
      <c r="K511" s="183"/>
      <c r="L511" s="183"/>
    </row>
    <row r="512" spans="10:12" ht="15.75" customHeight="1">
      <c r="J512" s="182"/>
      <c r="K512" s="183"/>
      <c r="L512" s="183"/>
    </row>
    <row r="513" spans="10:12" ht="15.75" customHeight="1">
      <c r="J513" s="182"/>
      <c r="K513" s="183"/>
      <c r="L513" s="183"/>
    </row>
    <row r="514" spans="10:12" ht="15.75" customHeight="1">
      <c r="J514" s="182"/>
      <c r="K514" s="183"/>
      <c r="L514" s="183"/>
    </row>
    <row r="515" spans="10:12" ht="15.75" customHeight="1">
      <c r="J515" s="182"/>
      <c r="K515" s="183"/>
      <c r="L515" s="183"/>
    </row>
    <row r="516" spans="10:12" ht="15.75" customHeight="1">
      <c r="J516" s="182"/>
      <c r="K516" s="183"/>
      <c r="L516" s="183"/>
    </row>
    <row r="517" spans="10:12" ht="15.75" customHeight="1">
      <c r="J517" s="182"/>
      <c r="K517" s="183"/>
      <c r="L517" s="183"/>
    </row>
    <row r="518" spans="10:12" ht="15.75" customHeight="1">
      <c r="J518" s="182"/>
      <c r="K518" s="183"/>
      <c r="L518" s="183"/>
    </row>
    <row r="519" spans="10:12" ht="15.75" customHeight="1">
      <c r="J519" s="182"/>
      <c r="K519" s="183"/>
      <c r="L519" s="183"/>
    </row>
    <row r="520" spans="10:12" ht="15.75" customHeight="1">
      <c r="J520" s="182"/>
      <c r="K520" s="183"/>
      <c r="L520" s="183"/>
    </row>
    <row r="521" spans="10:12" ht="15.75" customHeight="1">
      <c r="J521" s="182"/>
      <c r="K521" s="183"/>
      <c r="L521" s="183"/>
    </row>
    <row r="522" spans="10:12" ht="15.75" customHeight="1">
      <c r="J522" s="182"/>
      <c r="K522" s="183"/>
      <c r="L522" s="183"/>
    </row>
    <row r="523" spans="10:12" ht="15.75" customHeight="1">
      <c r="J523" s="182"/>
      <c r="K523" s="183"/>
      <c r="L523" s="183"/>
    </row>
    <row r="524" spans="10:12" ht="15.75" customHeight="1">
      <c r="J524" s="182"/>
      <c r="K524" s="183"/>
      <c r="L524" s="183"/>
    </row>
    <row r="525" spans="10:12" ht="15.75" customHeight="1">
      <c r="J525" s="182"/>
      <c r="K525" s="183"/>
      <c r="L525" s="183"/>
    </row>
    <row r="526" spans="10:12" ht="15.75" customHeight="1">
      <c r="J526" s="182"/>
      <c r="K526" s="183"/>
      <c r="L526" s="183"/>
    </row>
    <row r="527" spans="10:12" ht="15.75" customHeight="1">
      <c r="J527" s="182"/>
      <c r="K527" s="183"/>
      <c r="L527" s="183"/>
    </row>
    <row r="528" spans="10:12" ht="15.75" customHeight="1">
      <c r="J528" s="182"/>
      <c r="K528" s="183"/>
      <c r="L528" s="183"/>
    </row>
    <row r="529" spans="10:12" ht="15.75" customHeight="1">
      <c r="J529" s="182"/>
      <c r="K529" s="183"/>
      <c r="L529" s="183"/>
    </row>
    <row r="530" spans="10:12" ht="15.75" customHeight="1">
      <c r="J530" s="182"/>
      <c r="K530" s="183"/>
      <c r="L530" s="183"/>
    </row>
    <row r="531" spans="10:12" ht="15.75" customHeight="1">
      <c r="J531" s="182"/>
      <c r="K531" s="183"/>
      <c r="L531" s="183"/>
    </row>
    <row r="532" spans="10:12" ht="15.75" customHeight="1">
      <c r="J532" s="182"/>
      <c r="K532" s="183"/>
      <c r="L532" s="183"/>
    </row>
    <row r="533" spans="10:12" ht="15.75" customHeight="1">
      <c r="J533" s="182"/>
      <c r="K533" s="183"/>
      <c r="L533" s="183"/>
    </row>
    <row r="534" spans="10:12" ht="15.75" customHeight="1">
      <c r="J534" s="182"/>
      <c r="K534" s="183"/>
      <c r="L534" s="183"/>
    </row>
    <row r="535" spans="10:12" ht="15.75" customHeight="1">
      <c r="J535" s="182"/>
      <c r="K535" s="183"/>
      <c r="L535" s="183"/>
    </row>
    <row r="536" spans="10:12" ht="15.75" customHeight="1">
      <c r="J536" s="182"/>
      <c r="K536" s="183"/>
      <c r="L536" s="183"/>
    </row>
    <row r="537" spans="10:12" ht="15.75" customHeight="1">
      <c r="J537" s="182"/>
      <c r="K537" s="183"/>
      <c r="L537" s="183"/>
    </row>
    <row r="538" spans="10:12" ht="15.75" customHeight="1">
      <c r="J538" s="182"/>
      <c r="K538" s="183"/>
      <c r="L538" s="183"/>
    </row>
    <row r="539" spans="10:12" ht="15.75" customHeight="1">
      <c r="J539" s="182"/>
      <c r="K539" s="183"/>
      <c r="L539" s="183"/>
    </row>
    <row r="540" spans="10:12" ht="15.75" customHeight="1">
      <c r="J540" s="182"/>
      <c r="K540" s="183"/>
      <c r="L540" s="183"/>
    </row>
    <row r="541" spans="10:12" ht="15.75" customHeight="1">
      <c r="J541" s="182"/>
      <c r="K541" s="183"/>
      <c r="L541" s="183"/>
    </row>
    <row r="542" spans="10:12" ht="15.75" customHeight="1">
      <c r="J542" s="182"/>
      <c r="K542" s="183"/>
      <c r="L542" s="183"/>
    </row>
    <row r="543" spans="10:12" ht="15.75" customHeight="1">
      <c r="J543" s="182"/>
      <c r="K543" s="183"/>
      <c r="L543" s="183"/>
    </row>
    <row r="544" spans="10:12" ht="15.75" customHeight="1">
      <c r="J544" s="182"/>
      <c r="K544" s="183"/>
      <c r="L544" s="183"/>
    </row>
    <row r="545" spans="10:12" ht="15.75" customHeight="1">
      <c r="J545" s="182"/>
      <c r="K545" s="183"/>
      <c r="L545" s="183"/>
    </row>
    <row r="546" spans="10:12" ht="15.75" customHeight="1">
      <c r="J546" s="182"/>
      <c r="K546" s="183"/>
      <c r="L546" s="183"/>
    </row>
    <row r="547" spans="10:12" ht="15.75" customHeight="1">
      <c r="J547" s="182"/>
      <c r="K547" s="183"/>
      <c r="L547" s="183"/>
    </row>
    <row r="548" spans="10:12" ht="15.75" customHeight="1">
      <c r="J548" s="182"/>
      <c r="K548" s="183"/>
      <c r="L548" s="183"/>
    </row>
    <row r="549" spans="10:12" ht="15.75" customHeight="1">
      <c r="J549" s="182"/>
      <c r="K549" s="183"/>
      <c r="L549" s="183"/>
    </row>
    <row r="550" spans="10:12" ht="15.75" customHeight="1">
      <c r="J550" s="182"/>
      <c r="K550" s="183"/>
      <c r="L550" s="183"/>
    </row>
    <row r="551" spans="10:12" ht="15.75" customHeight="1">
      <c r="J551" s="182"/>
      <c r="K551" s="183"/>
      <c r="L551" s="183"/>
    </row>
    <row r="552" spans="10:12" ht="15.75" customHeight="1">
      <c r="J552" s="182"/>
      <c r="K552" s="183"/>
      <c r="L552" s="183"/>
    </row>
    <row r="553" spans="10:12" ht="15.75" customHeight="1">
      <c r="J553" s="182"/>
      <c r="K553" s="183"/>
      <c r="L553" s="183"/>
    </row>
    <row r="554" spans="10:12" ht="15.75" customHeight="1">
      <c r="J554" s="182"/>
      <c r="K554" s="183"/>
      <c r="L554" s="183"/>
    </row>
    <row r="555" spans="10:12" ht="15.75" customHeight="1">
      <c r="J555" s="182"/>
      <c r="K555" s="183"/>
      <c r="L555" s="183"/>
    </row>
    <row r="556" spans="10:12" ht="15.75" customHeight="1">
      <c r="J556" s="182"/>
      <c r="K556" s="183"/>
      <c r="L556" s="183"/>
    </row>
    <row r="557" spans="10:12" ht="15.75" customHeight="1">
      <c r="J557" s="182"/>
      <c r="K557" s="183"/>
      <c r="L557" s="183"/>
    </row>
    <row r="558" spans="10:12" ht="15.75" customHeight="1">
      <c r="J558" s="182"/>
      <c r="K558" s="183"/>
      <c r="L558" s="183"/>
    </row>
    <row r="559" spans="10:12" ht="15.75" customHeight="1">
      <c r="J559" s="182"/>
      <c r="K559" s="183"/>
      <c r="L559" s="183"/>
    </row>
    <row r="560" spans="10:12" ht="15.75" customHeight="1">
      <c r="J560" s="182"/>
      <c r="K560" s="183"/>
      <c r="L560" s="183"/>
    </row>
    <row r="561" spans="10:12" ht="15.75" customHeight="1">
      <c r="J561" s="182"/>
      <c r="K561" s="183"/>
      <c r="L561" s="183"/>
    </row>
    <row r="562" spans="10:12" ht="15.75" customHeight="1">
      <c r="J562" s="182"/>
      <c r="K562" s="183"/>
      <c r="L562" s="183"/>
    </row>
    <row r="563" spans="10:12" ht="15.75" customHeight="1">
      <c r="J563" s="182"/>
      <c r="K563" s="183"/>
      <c r="L563" s="183"/>
    </row>
    <row r="564" spans="10:12" ht="15.75" customHeight="1">
      <c r="J564" s="182"/>
      <c r="K564" s="183"/>
      <c r="L564" s="183"/>
    </row>
    <row r="565" spans="10:12" ht="15.75" customHeight="1">
      <c r="J565" s="182"/>
      <c r="K565" s="183"/>
      <c r="L565" s="183"/>
    </row>
    <row r="566" spans="10:12" ht="15.75" customHeight="1">
      <c r="J566" s="182"/>
      <c r="K566" s="183"/>
      <c r="L566" s="183"/>
    </row>
    <row r="567" spans="10:12" ht="15.75" customHeight="1">
      <c r="J567" s="182"/>
      <c r="K567" s="183"/>
      <c r="L567" s="183"/>
    </row>
    <row r="568" spans="10:12" ht="15.75" customHeight="1">
      <c r="J568" s="182"/>
      <c r="K568" s="183"/>
      <c r="L568" s="183"/>
    </row>
    <row r="569" spans="10:12" ht="15.75" customHeight="1">
      <c r="J569" s="182"/>
      <c r="K569" s="183"/>
      <c r="L569" s="183"/>
    </row>
    <row r="570" spans="10:12" ht="15.75" customHeight="1">
      <c r="J570" s="182"/>
      <c r="K570" s="183"/>
      <c r="L570" s="183"/>
    </row>
    <row r="571" spans="10:12" ht="15.75" customHeight="1">
      <c r="J571" s="182"/>
      <c r="K571" s="183"/>
      <c r="L571" s="183"/>
    </row>
    <row r="572" spans="10:12" ht="15.75" customHeight="1">
      <c r="J572" s="182"/>
      <c r="K572" s="183"/>
      <c r="L572" s="183"/>
    </row>
    <row r="573" spans="10:12" ht="15.75" customHeight="1">
      <c r="J573" s="182"/>
      <c r="K573" s="183"/>
      <c r="L573" s="183"/>
    </row>
    <row r="574" spans="10:12" ht="15.75" customHeight="1">
      <c r="J574" s="182"/>
      <c r="K574" s="183"/>
      <c r="L574" s="183"/>
    </row>
    <row r="575" spans="10:12" ht="15.75" customHeight="1">
      <c r="J575" s="182"/>
      <c r="K575" s="183"/>
      <c r="L575" s="183"/>
    </row>
    <row r="576" spans="10:12" ht="15.75" customHeight="1">
      <c r="J576" s="182"/>
      <c r="K576" s="183"/>
      <c r="L576" s="183"/>
    </row>
    <row r="577" spans="10:12" ht="15.75" customHeight="1">
      <c r="J577" s="182"/>
      <c r="K577" s="183"/>
      <c r="L577" s="183"/>
    </row>
    <row r="578" spans="10:12" ht="15.75" customHeight="1">
      <c r="J578" s="182"/>
      <c r="K578" s="183"/>
      <c r="L578" s="183"/>
    </row>
    <row r="579" spans="10:12" ht="15.75" customHeight="1">
      <c r="J579" s="182"/>
      <c r="K579" s="183"/>
      <c r="L579" s="183"/>
    </row>
    <row r="580" spans="10:12" ht="15.75" customHeight="1">
      <c r="J580" s="182"/>
      <c r="K580" s="183"/>
      <c r="L580" s="183"/>
    </row>
    <row r="581" spans="10:12" ht="15.75" customHeight="1">
      <c r="J581" s="182"/>
      <c r="K581" s="183"/>
      <c r="L581" s="183"/>
    </row>
    <row r="582" spans="10:12" ht="15.75" customHeight="1">
      <c r="J582" s="182"/>
      <c r="K582" s="183"/>
      <c r="L582" s="183"/>
    </row>
    <row r="583" spans="10:12" ht="15.75" customHeight="1">
      <c r="J583" s="182"/>
      <c r="K583" s="183"/>
      <c r="L583" s="183"/>
    </row>
    <row r="584" spans="10:12" ht="15.75" customHeight="1">
      <c r="J584" s="182"/>
      <c r="K584" s="183"/>
      <c r="L584" s="183"/>
    </row>
    <row r="585" spans="10:12" ht="15.75" customHeight="1">
      <c r="J585" s="182"/>
      <c r="K585" s="183"/>
      <c r="L585" s="183"/>
    </row>
    <row r="586" spans="10:12" ht="15.75" customHeight="1">
      <c r="J586" s="182"/>
      <c r="K586" s="183"/>
      <c r="L586" s="183"/>
    </row>
    <row r="587" spans="10:12" ht="15.75" customHeight="1">
      <c r="J587" s="182"/>
      <c r="K587" s="183"/>
      <c r="L587" s="183"/>
    </row>
    <row r="588" spans="10:12" ht="15.75" customHeight="1">
      <c r="J588" s="182"/>
      <c r="K588" s="183"/>
      <c r="L588" s="183"/>
    </row>
    <row r="589" spans="10:12" ht="15.75" customHeight="1">
      <c r="J589" s="182"/>
      <c r="K589" s="183"/>
      <c r="L589" s="183"/>
    </row>
    <row r="590" spans="10:12" ht="15.75" customHeight="1">
      <c r="J590" s="182"/>
      <c r="K590" s="183"/>
      <c r="L590" s="183"/>
    </row>
    <row r="591" spans="10:12" ht="15.75" customHeight="1">
      <c r="J591" s="182"/>
      <c r="K591" s="183"/>
      <c r="L591" s="183"/>
    </row>
    <row r="592" spans="10:12" ht="15.75" customHeight="1">
      <c r="J592" s="182"/>
      <c r="K592" s="183"/>
      <c r="L592" s="183"/>
    </row>
    <row r="593" spans="10:12" ht="15.75" customHeight="1">
      <c r="J593" s="182"/>
      <c r="K593" s="183"/>
      <c r="L593" s="183"/>
    </row>
    <row r="594" spans="10:12" ht="15.75" customHeight="1">
      <c r="J594" s="182"/>
      <c r="K594" s="183"/>
      <c r="L594" s="183"/>
    </row>
    <row r="595" spans="10:12" ht="15.75" customHeight="1">
      <c r="J595" s="182"/>
      <c r="K595" s="183"/>
      <c r="L595" s="183"/>
    </row>
    <row r="596" spans="10:12" ht="15.75" customHeight="1">
      <c r="J596" s="182"/>
      <c r="K596" s="183"/>
      <c r="L596" s="183"/>
    </row>
    <row r="597" spans="10:12" ht="15.75" customHeight="1">
      <c r="J597" s="182"/>
      <c r="K597" s="183"/>
      <c r="L597" s="183"/>
    </row>
    <row r="598" spans="10:12" ht="15.75" customHeight="1">
      <c r="J598" s="182"/>
      <c r="K598" s="183"/>
      <c r="L598" s="183"/>
    </row>
    <row r="599" spans="10:12" ht="15.75" customHeight="1">
      <c r="J599" s="182"/>
      <c r="K599" s="183"/>
      <c r="L599" s="183"/>
    </row>
    <row r="600" spans="10:12" ht="15.75" customHeight="1">
      <c r="J600" s="182"/>
      <c r="K600" s="183"/>
      <c r="L600" s="183"/>
    </row>
    <row r="601" spans="10:12" ht="15.75" customHeight="1">
      <c r="J601" s="182"/>
      <c r="K601" s="183"/>
      <c r="L601" s="183"/>
    </row>
    <row r="602" spans="10:12" ht="15.75" customHeight="1">
      <c r="J602" s="182"/>
      <c r="K602" s="183"/>
      <c r="L602" s="183"/>
    </row>
    <row r="603" spans="10:12" ht="15.75" customHeight="1">
      <c r="J603" s="182"/>
      <c r="K603" s="183"/>
      <c r="L603" s="183"/>
    </row>
    <row r="604" spans="10:12" ht="15.75" customHeight="1">
      <c r="J604" s="182"/>
      <c r="K604" s="183"/>
      <c r="L604" s="183"/>
    </row>
    <row r="605" spans="10:12" ht="15.75" customHeight="1">
      <c r="J605" s="182"/>
      <c r="K605" s="183"/>
      <c r="L605" s="183"/>
    </row>
    <row r="606" spans="10:12" ht="15.75" customHeight="1">
      <c r="J606" s="182"/>
      <c r="K606" s="183"/>
      <c r="L606" s="183"/>
    </row>
    <row r="607" spans="10:12" ht="15.75" customHeight="1">
      <c r="J607" s="182"/>
      <c r="K607" s="183"/>
      <c r="L607" s="183"/>
    </row>
    <row r="608" spans="10:12" ht="15.75" customHeight="1">
      <c r="J608" s="182"/>
      <c r="K608" s="183"/>
      <c r="L608" s="183"/>
    </row>
    <row r="609" spans="10:12" ht="15.75" customHeight="1">
      <c r="J609" s="182"/>
      <c r="K609" s="183"/>
      <c r="L609" s="183"/>
    </row>
    <row r="610" spans="10:12" ht="15.75" customHeight="1">
      <c r="J610" s="182"/>
      <c r="K610" s="183"/>
      <c r="L610" s="183"/>
    </row>
    <row r="611" spans="10:12" ht="15.75" customHeight="1">
      <c r="J611" s="182"/>
      <c r="K611" s="183"/>
      <c r="L611" s="183"/>
    </row>
    <row r="612" spans="10:12" ht="15.75" customHeight="1">
      <c r="J612" s="182"/>
      <c r="K612" s="183"/>
      <c r="L612" s="183"/>
    </row>
    <row r="613" spans="10:12" ht="15.75" customHeight="1">
      <c r="J613" s="182"/>
      <c r="K613" s="183"/>
      <c r="L613" s="183"/>
    </row>
    <row r="614" spans="10:12" ht="15.75" customHeight="1">
      <c r="J614" s="182"/>
      <c r="K614" s="183"/>
      <c r="L614" s="183"/>
    </row>
    <row r="615" spans="10:12" ht="15.75" customHeight="1">
      <c r="J615" s="182"/>
      <c r="K615" s="183"/>
      <c r="L615" s="183"/>
    </row>
    <row r="616" spans="10:12" ht="15.75" customHeight="1">
      <c r="J616" s="182"/>
      <c r="K616" s="183"/>
      <c r="L616" s="183"/>
    </row>
    <row r="617" spans="10:12" ht="15.75" customHeight="1">
      <c r="J617" s="182"/>
      <c r="K617" s="183"/>
      <c r="L617" s="183"/>
    </row>
    <row r="618" spans="10:12" ht="15.75" customHeight="1">
      <c r="J618" s="182"/>
      <c r="K618" s="183"/>
      <c r="L618" s="183"/>
    </row>
    <row r="619" spans="10:12" ht="15.75" customHeight="1">
      <c r="J619" s="182"/>
      <c r="K619" s="183"/>
      <c r="L619" s="183"/>
    </row>
    <row r="620" spans="10:12" ht="15.75" customHeight="1">
      <c r="J620" s="182"/>
      <c r="K620" s="183"/>
      <c r="L620" s="183"/>
    </row>
    <row r="621" spans="10:12" ht="15.75" customHeight="1">
      <c r="J621" s="182"/>
      <c r="K621" s="183"/>
      <c r="L621" s="183"/>
    </row>
    <row r="622" spans="10:12" ht="15.75" customHeight="1">
      <c r="J622" s="182"/>
      <c r="K622" s="183"/>
      <c r="L622" s="183"/>
    </row>
    <row r="623" spans="10:12" ht="15.75" customHeight="1">
      <c r="J623" s="182"/>
      <c r="K623" s="183"/>
      <c r="L623" s="183"/>
    </row>
    <row r="624" spans="10:12" ht="15.75" customHeight="1">
      <c r="J624" s="182"/>
      <c r="K624" s="183"/>
      <c r="L624" s="183"/>
    </row>
    <row r="625" spans="10:12" ht="15.75" customHeight="1">
      <c r="J625" s="182"/>
      <c r="K625" s="183"/>
      <c r="L625" s="183"/>
    </row>
    <row r="626" spans="10:12" ht="15.75" customHeight="1">
      <c r="J626" s="182"/>
      <c r="K626" s="183"/>
      <c r="L626" s="183"/>
    </row>
    <row r="627" spans="10:12" ht="15.75" customHeight="1">
      <c r="J627" s="182"/>
      <c r="K627" s="183"/>
      <c r="L627" s="183"/>
    </row>
    <row r="628" spans="10:12" ht="15.75" customHeight="1">
      <c r="J628" s="182"/>
      <c r="K628" s="183"/>
      <c r="L628" s="183"/>
    </row>
    <row r="629" spans="10:12" ht="15.75" customHeight="1">
      <c r="J629" s="182"/>
      <c r="K629" s="183"/>
      <c r="L629" s="183"/>
    </row>
    <row r="630" spans="10:12" ht="15.75" customHeight="1">
      <c r="J630" s="182"/>
      <c r="K630" s="183"/>
      <c r="L630" s="183"/>
    </row>
    <row r="631" spans="10:12" ht="15.75" customHeight="1">
      <c r="J631" s="182"/>
      <c r="K631" s="183"/>
      <c r="L631" s="183"/>
    </row>
    <row r="632" spans="10:12" ht="15.75" customHeight="1">
      <c r="J632" s="182"/>
      <c r="K632" s="183"/>
      <c r="L632" s="183"/>
    </row>
    <row r="633" spans="10:12" ht="15.75" customHeight="1">
      <c r="J633" s="182"/>
      <c r="K633" s="183"/>
      <c r="L633" s="183"/>
    </row>
    <row r="634" spans="10:12" ht="15.75" customHeight="1">
      <c r="J634" s="182"/>
      <c r="K634" s="183"/>
      <c r="L634" s="183"/>
    </row>
    <row r="635" spans="10:12" ht="15.75" customHeight="1">
      <c r="J635" s="182"/>
      <c r="K635" s="183"/>
      <c r="L635" s="183"/>
    </row>
    <row r="636" spans="10:12" ht="15.75" customHeight="1">
      <c r="J636" s="182"/>
      <c r="K636" s="183"/>
      <c r="L636" s="183"/>
    </row>
    <row r="637" spans="10:12" ht="15.75" customHeight="1">
      <c r="J637" s="182"/>
      <c r="K637" s="183"/>
      <c r="L637" s="183"/>
    </row>
    <row r="638" spans="10:12" ht="15.75" customHeight="1">
      <c r="J638" s="182"/>
      <c r="K638" s="183"/>
      <c r="L638" s="183"/>
    </row>
    <row r="639" spans="10:12" ht="15.75" customHeight="1">
      <c r="J639" s="182"/>
      <c r="K639" s="183"/>
      <c r="L639" s="183"/>
    </row>
    <row r="640" spans="10:12" ht="15.75" customHeight="1">
      <c r="J640" s="182"/>
      <c r="K640" s="183"/>
      <c r="L640" s="183"/>
    </row>
    <row r="641" spans="10:12" ht="15.75" customHeight="1">
      <c r="J641" s="182"/>
      <c r="K641" s="183"/>
      <c r="L641" s="183"/>
    </row>
    <row r="642" spans="10:12" ht="15.75" customHeight="1">
      <c r="J642" s="182"/>
      <c r="K642" s="183"/>
      <c r="L642" s="183"/>
    </row>
    <row r="643" spans="10:12" ht="15.75" customHeight="1">
      <c r="J643" s="182"/>
      <c r="K643" s="183"/>
      <c r="L643" s="183"/>
    </row>
    <row r="644" spans="10:12" ht="15.75" customHeight="1">
      <c r="J644" s="182"/>
      <c r="K644" s="183"/>
      <c r="L644" s="183"/>
    </row>
    <row r="645" spans="10:12" ht="15.75" customHeight="1">
      <c r="J645" s="182"/>
      <c r="K645" s="183"/>
      <c r="L645" s="183"/>
    </row>
    <row r="646" spans="10:12" ht="15.75" customHeight="1">
      <c r="J646" s="182"/>
      <c r="K646" s="183"/>
      <c r="L646" s="183"/>
    </row>
    <row r="647" spans="10:12" ht="15.75" customHeight="1">
      <c r="J647" s="182"/>
      <c r="K647" s="183"/>
      <c r="L647" s="183"/>
    </row>
    <row r="648" spans="10:12" ht="15.75" customHeight="1">
      <c r="J648" s="182"/>
      <c r="K648" s="183"/>
      <c r="L648" s="183"/>
    </row>
    <row r="649" spans="10:12" ht="15.75" customHeight="1">
      <c r="J649" s="182"/>
      <c r="K649" s="183"/>
      <c r="L649" s="183"/>
    </row>
    <row r="650" spans="10:12" ht="15.75" customHeight="1">
      <c r="J650" s="182"/>
      <c r="K650" s="183"/>
      <c r="L650" s="183"/>
    </row>
    <row r="651" spans="10:12" ht="15.75" customHeight="1">
      <c r="J651" s="182"/>
      <c r="K651" s="183"/>
      <c r="L651" s="183"/>
    </row>
    <row r="652" spans="10:12" ht="15.75" customHeight="1">
      <c r="J652" s="182"/>
      <c r="K652" s="183"/>
      <c r="L652" s="183"/>
    </row>
    <row r="653" spans="10:12" ht="15.75" customHeight="1">
      <c r="J653" s="182"/>
      <c r="K653" s="183"/>
      <c r="L653" s="183"/>
    </row>
    <row r="654" spans="10:12" ht="15.75" customHeight="1">
      <c r="J654" s="182"/>
      <c r="K654" s="183"/>
      <c r="L654" s="183"/>
    </row>
    <row r="655" spans="10:12" ht="15.75" customHeight="1">
      <c r="J655" s="182"/>
      <c r="K655" s="183"/>
      <c r="L655" s="183"/>
    </row>
    <row r="656" spans="10:12" ht="15.75" customHeight="1">
      <c r="J656" s="182"/>
      <c r="K656" s="183"/>
      <c r="L656" s="183"/>
    </row>
    <row r="657" spans="10:12" ht="15.75" customHeight="1">
      <c r="J657" s="182"/>
      <c r="K657" s="183"/>
      <c r="L657" s="183"/>
    </row>
    <row r="658" spans="10:12" ht="15.75" customHeight="1">
      <c r="J658" s="182"/>
      <c r="K658" s="183"/>
      <c r="L658" s="183"/>
    </row>
    <row r="659" spans="10:12" ht="15.75" customHeight="1">
      <c r="J659" s="182"/>
      <c r="K659" s="183"/>
      <c r="L659" s="183"/>
    </row>
    <row r="660" spans="10:12" ht="15.75" customHeight="1">
      <c r="J660" s="182"/>
      <c r="K660" s="183"/>
      <c r="L660" s="183"/>
    </row>
    <row r="661" spans="10:12" ht="15.75" customHeight="1">
      <c r="J661" s="182"/>
      <c r="K661" s="183"/>
      <c r="L661" s="183"/>
    </row>
    <row r="662" spans="10:12" ht="15.75" customHeight="1">
      <c r="J662" s="182"/>
      <c r="K662" s="183"/>
      <c r="L662" s="183"/>
    </row>
    <row r="663" spans="10:12" ht="15.75" customHeight="1">
      <c r="J663" s="182"/>
      <c r="K663" s="183"/>
      <c r="L663" s="183"/>
    </row>
    <row r="664" spans="10:12" ht="15.75" customHeight="1">
      <c r="J664" s="182"/>
      <c r="K664" s="183"/>
      <c r="L664" s="183"/>
    </row>
    <row r="665" spans="10:12" ht="15.75" customHeight="1">
      <c r="J665" s="182"/>
      <c r="K665" s="183"/>
      <c r="L665" s="183"/>
    </row>
    <row r="666" spans="10:12" ht="15.75" customHeight="1">
      <c r="J666" s="182"/>
      <c r="K666" s="183"/>
      <c r="L666" s="183"/>
    </row>
    <row r="667" spans="10:12" ht="15.75" customHeight="1">
      <c r="J667" s="182"/>
      <c r="K667" s="183"/>
      <c r="L667" s="183"/>
    </row>
    <row r="668" spans="10:12" ht="15.75" customHeight="1">
      <c r="J668" s="182"/>
      <c r="K668" s="183"/>
      <c r="L668" s="183"/>
    </row>
    <row r="669" spans="10:12" ht="15.75" customHeight="1">
      <c r="J669" s="182"/>
      <c r="K669" s="183"/>
      <c r="L669" s="183"/>
    </row>
    <row r="670" spans="10:12" ht="15.75" customHeight="1">
      <c r="J670" s="182"/>
      <c r="K670" s="183"/>
      <c r="L670" s="183"/>
    </row>
    <row r="671" spans="10:12" ht="15.75" customHeight="1">
      <c r="J671" s="182"/>
      <c r="K671" s="183"/>
      <c r="L671" s="183"/>
    </row>
    <row r="672" spans="10:12" ht="15.75" customHeight="1">
      <c r="J672" s="182"/>
      <c r="K672" s="183"/>
      <c r="L672" s="183"/>
    </row>
    <row r="673" spans="10:12" ht="15.75" customHeight="1">
      <c r="J673" s="182"/>
      <c r="K673" s="183"/>
      <c r="L673" s="183"/>
    </row>
    <row r="674" spans="10:12" ht="15.75" customHeight="1">
      <c r="J674" s="182"/>
      <c r="K674" s="183"/>
      <c r="L674" s="183"/>
    </row>
    <row r="675" spans="10:12" ht="15.75" customHeight="1">
      <c r="J675" s="182"/>
      <c r="K675" s="183"/>
      <c r="L675" s="183"/>
    </row>
    <row r="676" spans="10:12" ht="15.75" customHeight="1">
      <c r="J676" s="182"/>
      <c r="K676" s="183"/>
      <c r="L676" s="183"/>
    </row>
    <row r="677" spans="10:12" ht="15.75" customHeight="1">
      <c r="J677" s="182"/>
      <c r="K677" s="183"/>
      <c r="L677" s="183"/>
    </row>
    <row r="678" spans="10:12" ht="15.75" customHeight="1">
      <c r="J678" s="182"/>
      <c r="K678" s="183"/>
      <c r="L678" s="183"/>
    </row>
    <row r="679" spans="10:12" ht="15.75" customHeight="1">
      <c r="J679" s="182"/>
      <c r="K679" s="183"/>
      <c r="L679" s="183"/>
    </row>
    <row r="680" spans="10:12" ht="15.75" customHeight="1">
      <c r="J680" s="182"/>
      <c r="K680" s="183"/>
      <c r="L680" s="183"/>
    </row>
    <row r="681" spans="10:12" ht="15.75" customHeight="1">
      <c r="J681" s="182"/>
      <c r="K681" s="183"/>
      <c r="L681" s="183"/>
    </row>
    <row r="682" spans="10:12" ht="15.75" customHeight="1">
      <c r="J682" s="182"/>
      <c r="K682" s="183"/>
      <c r="L682" s="183"/>
    </row>
    <row r="683" spans="10:12" ht="15.75" customHeight="1">
      <c r="J683" s="182"/>
      <c r="K683" s="183"/>
      <c r="L683" s="183"/>
    </row>
    <row r="684" spans="10:12" ht="15.75" customHeight="1">
      <c r="J684" s="182"/>
      <c r="K684" s="183"/>
      <c r="L684" s="183"/>
    </row>
    <row r="685" spans="10:12" ht="15.75" customHeight="1">
      <c r="J685" s="182"/>
      <c r="K685" s="183"/>
      <c r="L685" s="183"/>
    </row>
    <row r="686" spans="10:12" ht="15.75" customHeight="1">
      <c r="J686" s="182"/>
      <c r="K686" s="183"/>
      <c r="L686" s="183"/>
    </row>
    <row r="687" spans="10:12" ht="15.75" customHeight="1">
      <c r="J687" s="182"/>
      <c r="K687" s="183"/>
      <c r="L687" s="183"/>
    </row>
    <row r="688" spans="10:12" ht="15.75" customHeight="1">
      <c r="J688" s="182"/>
      <c r="K688" s="183"/>
      <c r="L688" s="183"/>
    </row>
    <row r="689" spans="10:12" ht="15.75" customHeight="1">
      <c r="J689" s="182"/>
      <c r="K689" s="183"/>
      <c r="L689" s="183"/>
    </row>
    <row r="690" spans="10:12" ht="15.75" customHeight="1">
      <c r="J690" s="182"/>
      <c r="K690" s="183"/>
      <c r="L690" s="183"/>
    </row>
    <row r="691" spans="10:12" ht="15.75" customHeight="1">
      <c r="J691" s="182"/>
      <c r="K691" s="183"/>
      <c r="L691" s="183"/>
    </row>
    <row r="692" spans="10:12" ht="15.75" customHeight="1">
      <c r="J692" s="182"/>
      <c r="K692" s="183"/>
      <c r="L692" s="183"/>
    </row>
    <row r="693" spans="10:12" ht="15.75" customHeight="1">
      <c r="J693" s="182"/>
      <c r="K693" s="183"/>
      <c r="L693" s="183"/>
    </row>
    <row r="694" spans="10:12" ht="15.75" customHeight="1">
      <c r="J694" s="182"/>
      <c r="K694" s="183"/>
      <c r="L694" s="183"/>
    </row>
    <row r="695" spans="10:12" ht="15.75" customHeight="1">
      <c r="J695" s="182"/>
      <c r="K695" s="183"/>
      <c r="L695" s="183"/>
    </row>
    <row r="696" spans="10:12" ht="15.75" customHeight="1">
      <c r="J696" s="182"/>
      <c r="K696" s="183"/>
      <c r="L696" s="183"/>
    </row>
    <row r="697" spans="10:12" ht="15.75" customHeight="1">
      <c r="J697" s="182"/>
      <c r="K697" s="183"/>
      <c r="L697" s="183"/>
    </row>
    <row r="698" spans="10:12" ht="15.75" customHeight="1">
      <c r="J698" s="182"/>
      <c r="K698" s="183"/>
      <c r="L698" s="183"/>
    </row>
    <row r="699" spans="10:12" ht="15.75" customHeight="1">
      <c r="J699" s="182"/>
      <c r="K699" s="183"/>
      <c r="L699" s="183"/>
    </row>
    <row r="700" spans="10:12" ht="15.75" customHeight="1">
      <c r="J700" s="182"/>
      <c r="K700" s="183"/>
      <c r="L700" s="183"/>
    </row>
    <row r="701" spans="10:12" ht="15.75" customHeight="1">
      <c r="J701" s="182"/>
      <c r="K701" s="183"/>
      <c r="L701" s="183"/>
    </row>
    <row r="702" spans="10:12" ht="15.75" customHeight="1">
      <c r="J702" s="182"/>
      <c r="K702" s="183"/>
      <c r="L702" s="183"/>
    </row>
    <row r="703" spans="10:12" ht="15.75" customHeight="1">
      <c r="J703" s="182"/>
      <c r="K703" s="183"/>
      <c r="L703" s="183"/>
    </row>
    <row r="704" spans="10:12" ht="15.75" customHeight="1">
      <c r="J704" s="182"/>
      <c r="K704" s="183"/>
      <c r="L704" s="183"/>
    </row>
    <row r="705" spans="10:12" ht="15.75" customHeight="1">
      <c r="J705" s="182"/>
      <c r="K705" s="183"/>
      <c r="L705" s="183"/>
    </row>
    <row r="706" spans="10:12" ht="15.75" customHeight="1">
      <c r="J706" s="182"/>
      <c r="K706" s="183"/>
      <c r="L706" s="183"/>
    </row>
    <row r="707" spans="10:12" ht="15.75" customHeight="1">
      <c r="J707" s="182"/>
      <c r="K707" s="183"/>
      <c r="L707" s="183"/>
    </row>
    <row r="708" spans="10:12" ht="15.75" customHeight="1">
      <c r="J708" s="182"/>
      <c r="K708" s="183"/>
      <c r="L708" s="183"/>
    </row>
    <row r="709" spans="10:12" ht="15.75" customHeight="1">
      <c r="J709" s="182"/>
      <c r="K709" s="183"/>
      <c r="L709" s="183"/>
    </row>
    <row r="710" spans="10:12" ht="15.75" customHeight="1">
      <c r="J710" s="182"/>
      <c r="K710" s="183"/>
      <c r="L710" s="183"/>
    </row>
    <row r="711" spans="10:12" ht="15.75" customHeight="1">
      <c r="J711" s="182"/>
      <c r="K711" s="183"/>
      <c r="L711" s="183"/>
    </row>
    <row r="712" spans="10:12" ht="15.75" customHeight="1">
      <c r="J712" s="182"/>
      <c r="K712" s="183"/>
      <c r="L712" s="183"/>
    </row>
    <row r="713" spans="10:12" ht="15.75" customHeight="1">
      <c r="J713" s="182"/>
      <c r="K713" s="183"/>
      <c r="L713" s="183"/>
    </row>
    <row r="714" spans="10:12" ht="15.75" customHeight="1">
      <c r="J714" s="182"/>
      <c r="K714" s="183"/>
      <c r="L714" s="183"/>
    </row>
    <row r="715" spans="10:12" ht="15.75" customHeight="1">
      <c r="J715" s="182"/>
      <c r="K715" s="183"/>
      <c r="L715" s="183"/>
    </row>
    <row r="716" spans="10:12" ht="15.75" customHeight="1">
      <c r="J716" s="182"/>
      <c r="K716" s="183"/>
      <c r="L716" s="183"/>
    </row>
    <row r="717" spans="10:12" ht="15.75" customHeight="1">
      <c r="J717" s="182"/>
      <c r="K717" s="183"/>
      <c r="L717" s="183"/>
    </row>
    <row r="718" spans="10:12" ht="15.75" customHeight="1">
      <c r="J718" s="182"/>
      <c r="K718" s="183"/>
      <c r="L718" s="183"/>
    </row>
    <row r="719" spans="10:12" ht="15.75" customHeight="1">
      <c r="J719" s="182"/>
      <c r="K719" s="183"/>
      <c r="L719" s="183"/>
    </row>
    <row r="720" spans="10:12" ht="15.75" customHeight="1">
      <c r="J720" s="182"/>
      <c r="K720" s="183"/>
      <c r="L720" s="183"/>
    </row>
    <row r="721" spans="10:12" ht="15.75" customHeight="1">
      <c r="J721" s="182"/>
      <c r="K721" s="183"/>
      <c r="L721" s="183"/>
    </row>
    <row r="722" spans="10:12" ht="15.75" customHeight="1">
      <c r="J722" s="182"/>
      <c r="K722" s="183"/>
      <c r="L722" s="183"/>
    </row>
    <row r="723" spans="10:12" ht="15.75" customHeight="1">
      <c r="J723" s="182"/>
      <c r="K723" s="183"/>
      <c r="L723" s="183"/>
    </row>
    <row r="724" spans="10:12" ht="15.75" customHeight="1">
      <c r="J724" s="182"/>
      <c r="K724" s="183"/>
      <c r="L724" s="183"/>
    </row>
    <row r="725" spans="10:12" ht="15.75" customHeight="1">
      <c r="J725" s="182"/>
      <c r="K725" s="183"/>
      <c r="L725" s="183"/>
    </row>
    <row r="726" spans="10:12" ht="15.75" customHeight="1">
      <c r="J726" s="182"/>
      <c r="K726" s="183"/>
      <c r="L726" s="183"/>
    </row>
    <row r="727" spans="10:12" ht="15.75" customHeight="1">
      <c r="J727" s="182"/>
      <c r="K727" s="183"/>
      <c r="L727" s="183"/>
    </row>
    <row r="728" spans="10:12" ht="15.75" customHeight="1">
      <c r="J728" s="182"/>
      <c r="K728" s="183"/>
      <c r="L728" s="183"/>
    </row>
    <row r="729" spans="10:12" ht="15.75" customHeight="1">
      <c r="J729" s="182"/>
      <c r="K729" s="183"/>
      <c r="L729" s="183"/>
    </row>
    <row r="730" spans="10:12" ht="15.75" customHeight="1">
      <c r="J730" s="182"/>
      <c r="K730" s="183"/>
      <c r="L730" s="183"/>
    </row>
    <row r="731" spans="10:12" ht="15.75" customHeight="1">
      <c r="J731" s="182"/>
      <c r="K731" s="183"/>
      <c r="L731" s="183"/>
    </row>
    <row r="732" spans="10:12" ht="15.75" customHeight="1">
      <c r="J732" s="182"/>
      <c r="K732" s="183"/>
      <c r="L732" s="183"/>
    </row>
    <row r="733" spans="10:12" ht="15.75" customHeight="1">
      <c r="J733" s="182"/>
      <c r="K733" s="183"/>
      <c r="L733" s="183"/>
    </row>
    <row r="734" spans="10:12" ht="15.75" customHeight="1">
      <c r="J734" s="182"/>
      <c r="K734" s="183"/>
      <c r="L734" s="183"/>
    </row>
    <row r="735" spans="10:12" ht="15.75" customHeight="1">
      <c r="J735" s="182"/>
      <c r="K735" s="183"/>
      <c r="L735" s="183"/>
    </row>
    <row r="736" spans="10:12" ht="15.75" customHeight="1">
      <c r="J736" s="182"/>
      <c r="K736" s="183"/>
      <c r="L736" s="183"/>
    </row>
    <row r="737" spans="10:12" ht="15.75" customHeight="1">
      <c r="J737" s="182"/>
      <c r="K737" s="183"/>
      <c r="L737" s="183"/>
    </row>
    <row r="738" spans="10:12" ht="15.75" customHeight="1">
      <c r="J738" s="182"/>
      <c r="K738" s="183"/>
      <c r="L738" s="183"/>
    </row>
    <row r="739" spans="10:12" ht="15.75" customHeight="1">
      <c r="J739" s="182"/>
      <c r="K739" s="183"/>
      <c r="L739" s="183"/>
    </row>
    <row r="740" spans="10:12" ht="15.75" customHeight="1">
      <c r="J740" s="182"/>
      <c r="K740" s="183"/>
      <c r="L740" s="183"/>
    </row>
    <row r="741" spans="10:12" ht="15.75" customHeight="1">
      <c r="J741" s="182"/>
      <c r="K741" s="183"/>
      <c r="L741" s="183"/>
    </row>
    <row r="742" spans="10:12" ht="15.75" customHeight="1">
      <c r="J742" s="182"/>
      <c r="K742" s="183"/>
      <c r="L742" s="183"/>
    </row>
    <row r="743" spans="10:12" ht="15.75" customHeight="1">
      <c r="J743" s="182"/>
      <c r="K743" s="183"/>
      <c r="L743" s="183"/>
    </row>
    <row r="744" spans="10:12" ht="15.75" customHeight="1">
      <c r="J744" s="182"/>
      <c r="K744" s="183"/>
      <c r="L744" s="183"/>
    </row>
    <row r="745" spans="10:12" ht="15.75" customHeight="1">
      <c r="J745" s="182"/>
      <c r="K745" s="183"/>
      <c r="L745" s="183"/>
    </row>
    <row r="746" spans="10:12" ht="15.75" customHeight="1">
      <c r="J746" s="182"/>
      <c r="K746" s="183"/>
      <c r="L746" s="183"/>
    </row>
    <row r="747" spans="10:12" ht="15.75" customHeight="1">
      <c r="J747" s="182"/>
      <c r="K747" s="183"/>
      <c r="L747" s="183"/>
    </row>
    <row r="748" spans="10:12" ht="15.75" customHeight="1">
      <c r="J748" s="182"/>
      <c r="K748" s="183"/>
      <c r="L748" s="183"/>
    </row>
    <row r="749" spans="10:12" ht="15.75" customHeight="1">
      <c r="J749" s="182"/>
      <c r="K749" s="183"/>
      <c r="L749" s="183"/>
    </row>
    <row r="750" spans="10:12" ht="15.75" customHeight="1">
      <c r="J750" s="182"/>
      <c r="K750" s="183"/>
      <c r="L750" s="183"/>
    </row>
    <row r="751" spans="10:12" ht="15.75" customHeight="1">
      <c r="J751" s="182"/>
      <c r="K751" s="183"/>
      <c r="L751" s="183"/>
    </row>
    <row r="752" spans="10:12" ht="15.75" customHeight="1">
      <c r="J752" s="182"/>
      <c r="K752" s="183"/>
      <c r="L752" s="183"/>
    </row>
    <row r="753" spans="10:12" ht="15.75" customHeight="1">
      <c r="J753" s="182"/>
      <c r="K753" s="183"/>
      <c r="L753" s="183"/>
    </row>
    <row r="754" spans="10:12" ht="15.75" customHeight="1">
      <c r="J754" s="182"/>
      <c r="K754" s="183"/>
      <c r="L754" s="183"/>
    </row>
    <row r="755" spans="10:12" ht="15.75" customHeight="1">
      <c r="J755" s="182"/>
      <c r="K755" s="183"/>
      <c r="L755" s="183"/>
    </row>
    <row r="756" spans="10:12" ht="15.75" customHeight="1">
      <c r="J756" s="182"/>
      <c r="K756" s="183"/>
      <c r="L756" s="183"/>
    </row>
    <row r="757" spans="10:12" ht="15.75" customHeight="1">
      <c r="J757" s="182"/>
      <c r="K757" s="183"/>
      <c r="L757" s="183"/>
    </row>
    <row r="758" spans="10:12" ht="15.75" customHeight="1">
      <c r="J758" s="182"/>
      <c r="K758" s="183"/>
      <c r="L758" s="183"/>
    </row>
    <row r="759" spans="10:12" ht="15.75" customHeight="1">
      <c r="J759" s="182"/>
      <c r="K759" s="183"/>
      <c r="L759" s="183"/>
    </row>
    <row r="760" spans="10:12" ht="15.75" customHeight="1">
      <c r="J760" s="182"/>
      <c r="K760" s="183"/>
      <c r="L760" s="183"/>
    </row>
    <row r="761" spans="10:12" ht="15.75" customHeight="1">
      <c r="J761" s="182"/>
      <c r="K761" s="183"/>
      <c r="L761" s="183"/>
    </row>
    <row r="762" spans="10:12" ht="15.75" customHeight="1">
      <c r="J762" s="182"/>
      <c r="K762" s="183"/>
      <c r="L762" s="183"/>
    </row>
    <row r="763" spans="10:12" ht="15.75" customHeight="1">
      <c r="J763" s="182"/>
      <c r="K763" s="183"/>
      <c r="L763" s="183"/>
    </row>
    <row r="764" spans="10:12" ht="15.75" customHeight="1">
      <c r="J764" s="182"/>
      <c r="K764" s="183"/>
      <c r="L764" s="183"/>
    </row>
    <row r="765" spans="10:12" ht="15.75" customHeight="1">
      <c r="J765" s="182"/>
      <c r="K765" s="183"/>
      <c r="L765" s="183"/>
    </row>
    <row r="766" spans="10:12" ht="15.75" customHeight="1">
      <c r="J766" s="182"/>
      <c r="K766" s="183"/>
      <c r="L766" s="183"/>
    </row>
    <row r="767" spans="10:12" ht="15.75" customHeight="1">
      <c r="J767" s="182"/>
      <c r="K767" s="183"/>
      <c r="L767" s="183"/>
    </row>
    <row r="768" spans="10:12" ht="15.75" customHeight="1">
      <c r="J768" s="182"/>
      <c r="K768" s="183"/>
      <c r="L768" s="183"/>
    </row>
    <row r="769" spans="10:12" ht="15.75" customHeight="1">
      <c r="J769" s="182"/>
      <c r="K769" s="183"/>
      <c r="L769" s="183"/>
    </row>
    <row r="770" spans="10:12" ht="15.75" customHeight="1">
      <c r="J770" s="182"/>
      <c r="K770" s="183"/>
      <c r="L770" s="183"/>
    </row>
    <row r="771" spans="10:12" ht="15.75" customHeight="1">
      <c r="J771" s="182"/>
      <c r="K771" s="183"/>
      <c r="L771" s="183"/>
    </row>
    <row r="772" spans="10:12" ht="15.75" customHeight="1">
      <c r="J772" s="182"/>
      <c r="K772" s="183"/>
      <c r="L772" s="183"/>
    </row>
    <row r="773" spans="10:12" ht="15.75" customHeight="1">
      <c r="J773" s="182"/>
      <c r="K773" s="183"/>
      <c r="L773" s="183"/>
    </row>
    <row r="774" spans="10:12" ht="15.75" customHeight="1">
      <c r="J774" s="182"/>
      <c r="K774" s="183"/>
      <c r="L774" s="183"/>
    </row>
    <row r="775" spans="10:12" ht="15.75" customHeight="1">
      <c r="J775" s="182"/>
      <c r="K775" s="183"/>
      <c r="L775" s="183"/>
    </row>
    <row r="776" spans="10:12" ht="15.75" customHeight="1">
      <c r="J776" s="182"/>
      <c r="K776" s="183"/>
      <c r="L776" s="183"/>
    </row>
    <row r="777" spans="10:12" ht="15.75" customHeight="1">
      <c r="J777" s="182"/>
      <c r="K777" s="183"/>
      <c r="L777" s="183"/>
    </row>
    <row r="778" spans="10:12" ht="15.75" customHeight="1">
      <c r="J778" s="182"/>
      <c r="K778" s="183"/>
      <c r="L778" s="183"/>
    </row>
    <row r="779" spans="10:12" ht="15.75" customHeight="1">
      <c r="J779" s="182"/>
      <c r="K779" s="183"/>
      <c r="L779" s="183"/>
    </row>
    <row r="780" spans="10:12" ht="15.75" customHeight="1">
      <c r="J780" s="182"/>
      <c r="K780" s="183"/>
      <c r="L780" s="183"/>
    </row>
    <row r="781" spans="10:12" ht="15.75" customHeight="1">
      <c r="J781" s="182"/>
      <c r="K781" s="183"/>
      <c r="L781" s="183"/>
    </row>
    <row r="782" spans="10:12" ht="15.75" customHeight="1">
      <c r="J782" s="182"/>
      <c r="K782" s="183"/>
      <c r="L782" s="183"/>
    </row>
    <row r="783" spans="10:12" ht="15.75" customHeight="1">
      <c r="J783" s="182"/>
      <c r="K783" s="183"/>
      <c r="L783" s="183"/>
    </row>
    <row r="784" spans="10:12" ht="15.75" customHeight="1">
      <c r="J784" s="182"/>
      <c r="K784" s="183"/>
      <c r="L784" s="183"/>
    </row>
    <row r="785" spans="10:12" ht="15.75" customHeight="1">
      <c r="J785" s="182"/>
      <c r="K785" s="183"/>
      <c r="L785" s="183"/>
    </row>
    <row r="786" spans="10:12" ht="15.75" customHeight="1">
      <c r="J786" s="182"/>
      <c r="K786" s="183"/>
      <c r="L786" s="183"/>
    </row>
    <row r="787" spans="10:12" ht="15.75" customHeight="1">
      <c r="J787" s="182"/>
      <c r="K787" s="183"/>
      <c r="L787" s="183"/>
    </row>
    <row r="788" spans="10:12" ht="15.75" customHeight="1">
      <c r="J788" s="182"/>
      <c r="K788" s="183"/>
      <c r="L788" s="183"/>
    </row>
    <row r="789" spans="10:12" ht="15.75" customHeight="1">
      <c r="J789" s="182"/>
      <c r="K789" s="183"/>
      <c r="L789" s="183"/>
    </row>
    <row r="790" spans="10:12" ht="15.75" customHeight="1">
      <c r="J790" s="182"/>
      <c r="K790" s="183"/>
      <c r="L790" s="183"/>
    </row>
    <row r="791" spans="10:12" ht="15.75" customHeight="1">
      <c r="J791" s="182"/>
      <c r="K791" s="183"/>
      <c r="L791" s="183"/>
    </row>
    <row r="792" spans="10:12" ht="15.75" customHeight="1">
      <c r="J792" s="182"/>
      <c r="K792" s="183"/>
      <c r="L792" s="183"/>
    </row>
    <row r="793" spans="10:12" ht="15.75" customHeight="1">
      <c r="J793" s="182"/>
      <c r="K793" s="183"/>
      <c r="L793" s="183"/>
    </row>
    <row r="794" spans="10:12" ht="15.75" customHeight="1">
      <c r="J794" s="182"/>
      <c r="K794" s="183"/>
      <c r="L794" s="183"/>
    </row>
    <row r="795" spans="10:12" ht="15.75" customHeight="1">
      <c r="J795" s="182"/>
      <c r="K795" s="183"/>
      <c r="L795" s="183"/>
    </row>
    <row r="796" spans="10:12" ht="15.75" customHeight="1">
      <c r="J796" s="182"/>
      <c r="K796" s="183"/>
      <c r="L796" s="183"/>
    </row>
    <row r="797" spans="10:12" ht="15.75" customHeight="1">
      <c r="J797" s="182"/>
      <c r="K797" s="183"/>
      <c r="L797" s="183"/>
    </row>
    <row r="798" spans="10:12" ht="15.75" customHeight="1">
      <c r="J798" s="182"/>
      <c r="K798" s="183"/>
      <c r="L798" s="183"/>
    </row>
    <row r="799" spans="10:12" ht="15.75" customHeight="1">
      <c r="J799" s="182"/>
      <c r="K799" s="183"/>
      <c r="L799" s="183"/>
    </row>
    <row r="800" spans="10:12" ht="15.75" customHeight="1">
      <c r="J800" s="182"/>
      <c r="K800" s="183"/>
      <c r="L800" s="183"/>
    </row>
    <row r="801" spans="10:12" ht="15.75" customHeight="1">
      <c r="J801" s="182"/>
      <c r="K801" s="183"/>
      <c r="L801" s="183"/>
    </row>
    <row r="802" spans="10:12" ht="15.75" customHeight="1">
      <c r="J802" s="182"/>
      <c r="K802" s="183"/>
      <c r="L802" s="183"/>
    </row>
    <row r="803" spans="10:12" ht="15.75" customHeight="1">
      <c r="J803" s="182"/>
      <c r="K803" s="183"/>
      <c r="L803" s="183"/>
    </row>
    <row r="804" spans="10:12" ht="15.75" customHeight="1">
      <c r="J804" s="182"/>
      <c r="K804" s="183"/>
      <c r="L804" s="183"/>
    </row>
    <row r="805" spans="10:12" ht="15.75" customHeight="1">
      <c r="J805" s="182"/>
      <c r="K805" s="183"/>
      <c r="L805" s="183"/>
    </row>
    <row r="806" spans="10:12" ht="15.75" customHeight="1">
      <c r="J806" s="182"/>
      <c r="K806" s="183"/>
      <c r="L806" s="183"/>
    </row>
    <row r="807" spans="10:12" ht="15.75" customHeight="1">
      <c r="J807" s="182"/>
      <c r="K807" s="183"/>
      <c r="L807" s="183"/>
    </row>
    <row r="808" spans="10:12" ht="15.75" customHeight="1">
      <c r="J808" s="182"/>
      <c r="K808" s="183"/>
      <c r="L808" s="183"/>
    </row>
    <row r="809" spans="10:12" ht="15.75" customHeight="1">
      <c r="J809" s="182"/>
      <c r="K809" s="183"/>
      <c r="L809" s="183"/>
    </row>
    <row r="810" spans="10:12" ht="15.75" customHeight="1">
      <c r="J810" s="182"/>
      <c r="K810" s="183"/>
      <c r="L810" s="183"/>
    </row>
    <row r="811" spans="10:12" ht="15.75" customHeight="1">
      <c r="J811" s="182"/>
      <c r="K811" s="183"/>
      <c r="L811" s="183"/>
    </row>
    <row r="812" spans="10:12" ht="15.75" customHeight="1">
      <c r="J812" s="182"/>
      <c r="K812" s="183"/>
      <c r="L812" s="183"/>
    </row>
    <row r="813" spans="10:12" ht="15.75" customHeight="1">
      <c r="J813" s="182"/>
      <c r="K813" s="183"/>
      <c r="L813" s="183"/>
    </row>
    <row r="814" spans="10:12" ht="15.75" customHeight="1">
      <c r="J814" s="182"/>
      <c r="K814" s="183"/>
      <c r="L814" s="183"/>
    </row>
    <row r="815" spans="10:12" ht="15.75" customHeight="1">
      <c r="J815" s="182"/>
      <c r="K815" s="183"/>
      <c r="L815" s="183"/>
    </row>
    <row r="816" spans="10:12" ht="15.75" customHeight="1">
      <c r="J816" s="182"/>
      <c r="K816" s="183"/>
      <c r="L816" s="183"/>
    </row>
    <row r="817" spans="10:12" ht="15.75" customHeight="1">
      <c r="J817" s="182"/>
      <c r="K817" s="183"/>
      <c r="L817" s="183"/>
    </row>
    <row r="818" spans="10:12" ht="15.75" customHeight="1">
      <c r="J818" s="182"/>
      <c r="K818" s="183"/>
      <c r="L818" s="183"/>
    </row>
    <row r="819" spans="10:12" ht="15.75" customHeight="1">
      <c r="J819" s="182"/>
      <c r="K819" s="183"/>
      <c r="L819" s="183"/>
    </row>
    <row r="820" spans="10:12" ht="15.75" customHeight="1">
      <c r="J820" s="182"/>
      <c r="K820" s="183"/>
      <c r="L820" s="183"/>
    </row>
    <row r="821" spans="10:12" ht="15.75" customHeight="1">
      <c r="J821" s="182"/>
      <c r="K821" s="183"/>
      <c r="L821" s="183"/>
    </row>
    <row r="822" spans="10:12" ht="15.75" customHeight="1">
      <c r="J822" s="182"/>
      <c r="K822" s="183"/>
      <c r="L822" s="183"/>
    </row>
    <row r="823" spans="10:12" ht="15.75" customHeight="1">
      <c r="J823" s="182"/>
      <c r="K823" s="183"/>
      <c r="L823" s="183"/>
    </row>
    <row r="824" spans="10:12" ht="15.75" customHeight="1">
      <c r="J824" s="182"/>
      <c r="K824" s="183"/>
      <c r="L824" s="183"/>
    </row>
    <row r="825" spans="10:12" ht="15.75" customHeight="1">
      <c r="J825" s="182"/>
      <c r="K825" s="183"/>
      <c r="L825" s="183"/>
    </row>
    <row r="826" spans="10:12" ht="15.75" customHeight="1">
      <c r="J826" s="182"/>
      <c r="K826" s="183"/>
      <c r="L826" s="183"/>
    </row>
    <row r="827" spans="10:12" ht="15.75" customHeight="1">
      <c r="J827" s="182"/>
      <c r="K827" s="183"/>
      <c r="L827" s="183"/>
    </row>
    <row r="828" spans="10:12" ht="15.75" customHeight="1">
      <c r="J828" s="182"/>
      <c r="K828" s="183"/>
      <c r="L828" s="183"/>
    </row>
    <row r="829" spans="10:12" ht="15.75" customHeight="1">
      <c r="J829" s="182"/>
      <c r="K829" s="183"/>
      <c r="L829" s="183"/>
    </row>
    <row r="830" spans="10:12" ht="15.75" customHeight="1">
      <c r="J830" s="182"/>
      <c r="K830" s="183"/>
      <c r="L830" s="183"/>
    </row>
    <row r="831" spans="10:12" ht="15.75" customHeight="1">
      <c r="J831" s="182"/>
      <c r="K831" s="183"/>
      <c r="L831" s="183"/>
    </row>
    <row r="832" spans="10:12" ht="15.75" customHeight="1">
      <c r="J832" s="182"/>
      <c r="K832" s="183"/>
      <c r="L832" s="183"/>
    </row>
    <row r="833" spans="10:12" ht="15.75" customHeight="1">
      <c r="J833" s="182"/>
      <c r="K833" s="183"/>
      <c r="L833" s="183"/>
    </row>
    <row r="834" spans="10:12" ht="15.75" customHeight="1">
      <c r="J834" s="182"/>
      <c r="K834" s="183"/>
      <c r="L834" s="183"/>
    </row>
    <row r="835" spans="10:12" ht="15.75" customHeight="1">
      <c r="J835" s="182"/>
      <c r="K835" s="183"/>
      <c r="L835" s="183"/>
    </row>
    <row r="836" spans="10:12" ht="15.75" customHeight="1">
      <c r="J836" s="182"/>
      <c r="K836" s="183"/>
      <c r="L836" s="183"/>
    </row>
    <row r="837" spans="10:12" ht="15.75" customHeight="1">
      <c r="J837" s="182"/>
      <c r="K837" s="183"/>
      <c r="L837" s="183"/>
    </row>
    <row r="838" spans="10:12" ht="15.75" customHeight="1">
      <c r="J838" s="182"/>
      <c r="K838" s="183"/>
      <c r="L838" s="183"/>
    </row>
    <row r="839" spans="10:12" ht="15.75" customHeight="1">
      <c r="J839" s="182"/>
      <c r="K839" s="183"/>
      <c r="L839" s="183"/>
    </row>
    <row r="840" spans="10:12" ht="15.75" customHeight="1">
      <c r="J840" s="182"/>
      <c r="K840" s="183"/>
      <c r="L840" s="183"/>
    </row>
    <row r="841" spans="10:12" ht="15.75" customHeight="1">
      <c r="J841" s="182"/>
      <c r="K841" s="183"/>
      <c r="L841" s="183"/>
    </row>
    <row r="842" spans="10:12" ht="15.75" customHeight="1">
      <c r="J842" s="182"/>
      <c r="K842" s="183"/>
      <c r="L842" s="183"/>
    </row>
    <row r="843" spans="10:12" ht="15.75" customHeight="1">
      <c r="J843" s="182"/>
      <c r="K843" s="183"/>
      <c r="L843" s="183"/>
    </row>
    <row r="844" spans="10:12" ht="15.75" customHeight="1">
      <c r="J844" s="182"/>
      <c r="K844" s="183"/>
      <c r="L844" s="183"/>
    </row>
    <row r="845" spans="10:12" ht="15.75" customHeight="1">
      <c r="J845" s="182"/>
      <c r="K845" s="183"/>
      <c r="L845" s="183"/>
    </row>
    <row r="846" spans="10:12" ht="15.75" customHeight="1">
      <c r="J846" s="182"/>
      <c r="K846" s="183"/>
      <c r="L846" s="183"/>
    </row>
    <row r="847" spans="10:12" ht="15.75" customHeight="1">
      <c r="J847" s="182"/>
      <c r="K847" s="183"/>
      <c r="L847" s="183"/>
    </row>
    <row r="848" spans="10:12" ht="15.75" customHeight="1">
      <c r="J848" s="182"/>
      <c r="K848" s="183"/>
      <c r="L848" s="183"/>
    </row>
    <row r="849" spans="10:12" ht="15.75" customHeight="1">
      <c r="J849" s="182"/>
      <c r="K849" s="183"/>
      <c r="L849" s="183"/>
    </row>
    <row r="850" spans="10:12" ht="15.75" customHeight="1">
      <c r="J850" s="182"/>
      <c r="K850" s="183"/>
      <c r="L850" s="183"/>
    </row>
    <row r="851" spans="10:12" ht="15.75" customHeight="1">
      <c r="J851" s="182"/>
      <c r="K851" s="183"/>
      <c r="L851" s="183"/>
    </row>
    <row r="852" spans="10:12" ht="15.75" customHeight="1">
      <c r="J852" s="182"/>
      <c r="K852" s="183"/>
      <c r="L852" s="183"/>
    </row>
    <row r="853" spans="10:12" ht="15.75" customHeight="1">
      <c r="J853" s="182"/>
      <c r="K853" s="183"/>
      <c r="L853" s="183"/>
    </row>
    <row r="854" spans="10:12" ht="15.75" customHeight="1">
      <c r="J854" s="182"/>
      <c r="K854" s="183"/>
      <c r="L854" s="183"/>
    </row>
    <row r="855" spans="10:12" ht="15.75" customHeight="1">
      <c r="J855" s="182"/>
      <c r="K855" s="183"/>
      <c r="L855" s="183"/>
    </row>
    <row r="856" spans="10:12" ht="15.75" customHeight="1">
      <c r="J856" s="182"/>
      <c r="K856" s="183"/>
      <c r="L856" s="183"/>
    </row>
    <row r="857" spans="10:12" ht="15.75" customHeight="1">
      <c r="J857" s="182"/>
      <c r="K857" s="183"/>
      <c r="L857" s="183"/>
    </row>
    <row r="858" spans="10:12" ht="15.75" customHeight="1">
      <c r="J858" s="182"/>
      <c r="K858" s="183"/>
      <c r="L858" s="183"/>
    </row>
    <row r="859" spans="10:12" ht="15.75" customHeight="1">
      <c r="J859" s="182"/>
      <c r="K859" s="183"/>
      <c r="L859" s="183"/>
    </row>
    <row r="860" spans="10:12" ht="15.75" customHeight="1">
      <c r="J860" s="182"/>
      <c r="K860" s="183"/>
      <c r="L860" s="183"/>
    </row>
    <row r="861" spans="10:12" ht="15.75" customHeight="1">
      <c r="J861" s="182"/>
      <c r="K861" s="183"/>
      <c r="L861" s="183"/>
    </row>
    <row r="862" spans="10:12" ht="15.75" customHeight="1">
      <c r="J862" s="182"/>
      <c r="K862" s="183"/>
      <c r="L862" s="183"/>
    </row>
    <row r="863" spans="10:12" ht="15.75" customHeight="1">
      <c r="J863" s="182"/>
      <c r="K863" s="183"/>
      <c r="L863" s="183"/>
    </row>
    <row r="864" spans="10:12" ht="15.75" customHeight="1">
      <c r="J864" s="182"/>
      <c r="K864" s="183"/>
      <c r="L864" s="183"/>
    </row>
    <row r="865" spans="10:12" ht="15.75" customHeight="1">
      <c r="J865" s="182"/>
      <c r="K865" s="183"/>
      <c r="L865" s="183"/>
    </row>
    <row r="866" spans="10:12" ht="15.75" customHeight="1">
      <c r="J866" s="182"/>
      <c r="K866" s="183"/>
      <c r="L866" s="183"/>
    </row>
    <row r="867" spans="10:12" ht="15.75" customHeight="1">
      <c r="J867" s="182"/>
      <c r="K867" s="183"/>
      <c r="L867" s="183"/>
    </row>
    <row r="868" spans="10:12" ht="15.75" customHeight="1">
      <c r="J868" s="182"/>
      <c r="K868" s="183"/>
      <c r="L868" s="183"/>
    </row>
    <row r="869" spans="10:12" ht="15.75" customHeight="1">
      <c r="J869" s="182"/>
      <c r="K869" s="183"/>
      <c r="L869" s="183"/>
    </row>
    <row r="870" spans="10:12" ht="15.75" customHeight="1">
      <c r="J870" s="182"/>
      <c r="K870" s="183"/>
      <c r="L870" s="183"/>
    </row>
    <row r="871" spans="10:12" ht="15.75" customHeight="1">
      <c r="J871" s="182"/>
      <c r="K871" s="183"/>
      <c r="L871" s="183"/>
    </row>
    <row r="872" spans="10:12" ht="15.75" customHeight="1">
      <c r="J872" s="182"/>
      <c r="K872" s="183"/>
      <c r="L872" s="183"/>
    </row>
    <row r="873" spans="10:12" ht="15.75" customHeight="1">
      <c r="J873" s="182"/>
      <c r="K873" s="183"/>
      <c r="L873" s="183"/>
    </row>
    <row r="874" spans="10:12" ht="15.75" customHeight="1">
      <c r="J874" s="182"/>
      <c r="K874" s="183"/>
      <c r="L874" s="183"/>
    </row>
    <row r="875" spans="10:12" ht="15.75" customHeight="1">
      <c r="J875" s="182"/>
      <c r="K875" s="183"/>
      <c r="L875" s="183"/>
    </row>
    <row r="876" spans="10:12" ht="15.75" customHeight="1">
      <c r="J876" s="182"/>
      <c r="K876" s="183"/>
      <c r="L876" s="183"/>
    </row>
    <row r="877" spans="10:12" ht="15.75" customHeight="1">
      <c r="J877" s="182"/>
      <c r="K877" s="183"/>
      <c r="L877" s="183"/>
    </row>
    <row r="878" spans="10:12" ht="15.75" customHeight="1">
      <c r="J878" s="182"/>
      <c r="K878" s="183"/>
      <c r="L878" s="183"/>
    </row>
    <row r="879" spans="10:12" ht="15.75" customHeight="1">
      <c r="J879" s="182"/>
      <c r="K879" s="183"/>
      <c r="L879" s="183"/>
    </row>
    <row r="880" spans="10:12" ht="15.75" customHeight="1">
      <c r="J880" s="182"/>
      <c r="K880" s="183"/>
      <c r="L880" s="183"/>
    </row>
    <row r="881" spans="10:12" ht="15.75" customHeight="1">
      <c r="J881" s="182"/>
      <c r="K881" s="183"/>
      <c r="L881" s="183"/>
    </row>
    <row r="882" spans="10:12" ht="15.75" customHeight="1">
      <c r="J882" s="182"/>
      <c r="K882" s="183"/>
      <c r="L882" s="183"/>
    </row>
    <row r="883" spans="10:12" ht="15.75" customHeight="1">
      <c r="J883" s="182"/>
      <c r="K883" s="183"/>
      <c r="L883" s="183"/>
    </row>
    <row r="884" spans="10:12" ht="15.75" customHeight="1">
      <c r="J884" s="182"/>
      <c r="K884" s="183"/>
      <c r="L884" s="183"/>
    </row>
    <row r="885" spans="10:12" ht="15.75" customHeight="1">
      <c r="J885" s="182"/>
      <c r="K885" s="183"/>
      <c r="L885" s="183"/>
    </row>
    <row r="886" spans="10:12" ht="15.75" customHeight="1">
      <c r="J886" s="182"/>
      <c r="K886" s="183"/>
      <c r="L886" s="183"/>
    </row>
    <row r="887" spans="10:12" ht="15.75" customHeight="1">
      <c r="J887" s="182"/>
      <c r="K887" s="183"/>
      <c r="L887" s="183"/>
    </row>
    <row r="888" spans="10:12" ht="15.75" customHeight="1">
      <c r="J888" s="182"/>
      <c r="K888" s="183"/>
      <c r="L888" s="183"/>
    </row>
    <row r="889" spans="10:12" ht="15.75" customHeight="1">
      <c r="J889" s="182"/>
      <c r="K889" s="183"/>
      <c r="L889" s="183"/>
    </row>
    <row r="890" spans="10:12" ht="15.75" customHeight="1">
      <c r="J890" s="182"/>
      <c r="K890" s="183"/>
      <c r="L890" s="183"/>
    </row>
    <row r="891" spans="10:12" ht="15.75" customHeight="1">
      <c r="J891" s="182"/>
      <c r="K891" s="183"/>
      <c r="L891" s="183"/>
    </row>
    <row r="892" spans="10:12" ht="15.75" customHeight="1">
      <c r="J892" s="182"/>
      <c r="K892" s="183"/>
      <c r="L892" s="183"/>
    </row>
    <row r="893" spans="10:12" ht="15.75" customHeight="1">
      <c r="J893" s="182"/>
      <c r="K893" s="183"/>
      <c r="L893" s="183"/>
    </row>
    <row r="894" spans="10:12" ht="15.75" customHeight="1">
      <c r="J894" s="182"/>
      <c r="K894" s="183"/>
      <c r="L894" s="183"/>
    </row>
    <row r="895" spans="10:12" ht="15.75" customHeight="1">
      <c r="J895" s="182"/>
      <c r="K895" s="183"/>
      <c r="L895" s="183"/>
    </row>
    <row r="896" spans="10:12" ht="15.75" customHeight="1">
      <c r="J896" s="182"/>
      <c r="K896" s="183"/>
      <c r="L896" s="183"/>
    </row>
    <row r="897" spans="10:12" ht="15.75" customHeight="1">
      <c r="J897" s="182"/>
      <c r="K897" s="183"/>
      <c r="L897" s="183"/>
    </row>
    <row r="898" spans="10:12" ht="15.75" customHeight="1">
      <c r="J898" s="182"/>
      <c r="K898" s="183"/>
      <c r="L898" s="183"/>
    </row>
    <row r="899" spans="10:12" ht="15.75" customHeight="1">
      <c r="J899" s="182"/>
      <c r="K899" s="183"/>
      <c r="L899" s="183"/>
    </row>
    <row r="900" spans="10:12" ht="15.75" customHeight="1">
      <c r="J900" s="182"/>
      <c r="K900" s="183"/>
      <c r="L900" s="183"/>
    </row>
    <row r="901" spans="10:12" ht="15.75" customHeight="1">
      <c r="J901" s="182"/>
      <c r="K901" s="183"/>
      <c r="L901" s="183"/>
    </row>
    <row r="902" spans="10:12" ht="15.75" customHeight="1">
      <c r="J902" s="182"/>
      <c r="K902" s="183"/>
      <c r="L902" s="183"/>
    </row>
    <row r="903" spans="10:12" ht="15.75" customHeight="1">
      <c r="J903" s="182"/>
      <c r="K903" s="183"/>
      <c r="L903" s="183"/>
    </row>
    <row r="904" spans="10:12" ht="15.75" customHeight="1">
      <c r="J904" s="182"/>
      <c r="K904" s="183"/>
      <c r="L904" s="183"/>
    </row>
    <row r="905" spans="10:12" ht="15.75" customHeight="1">
      <c r="J905" s="182"/>
      <c r="K905" s="183"/>
      <c r="L905" s="183"/>
    </row>
    <row r="906" spans="10:12" ht="15.75" customHeight="1">
      <c r="J906" s="182"/>
      <c r="K906" s="183"/>
      <c r="L906" s="183"/>
    </row>
    <row r="907" spans="10:12" ht="15.75" customHeight="1">
      <c r="J907" s="182"/>
      <c r="K907" s="183"/>
      <c r="L907" s="183"/>
    </row>
    <row r="908" spans="10:12" ht="15.75" customHeight="1">
      <c r="J908" s="182"/>
      <c r="K908" s="183"/>
      <c r="L908" s="183"/>
    </row>
    <row r="909" spans="10:12" ht="15.75" customHeight="1">
      <c r="J909" s="182"/>
      <c r="K909" s="183"/>
      <c r="L909" s="183"/>
    </row>
    <row r="910" spans="10:12" ht="15.75" customHeight="1">
      <c r="J910" s="182"/>
      <c r="K910" s="183"/>
      <c r="L910" s="183"/>
    </row>
    <row r="911" spans="10:12" ht="15.75" customHeight="1">
      <c r="J911" s="182"/>
      <c r="K911" s="183"/>
      <c r="L911" s="183"/>
    </row>
    <row r="912" spans="10:12" ht="15.75" customHeight="1">
      <c r="J912" s="182"/>
      <c r="K912" s="183"/>
      <c r="L912" s="183"/>
    </row>
    <row r="913" spans="10:12" ht="15.75" customHeight="1">
      <c r="J913" s="182"/>
      <c r="K913" s="183"/>
      <c r="L913" s="183"/>
    </row>
    <row r="914" spans="10:12" ht="15.75" customHeight="1">
      <c r="J914" s="182"/>
      <c r="K914" s="183"/>
      <c r="L914" s="183"/>
    </row>
    <row r="915" spans="10:12" ht="15.75" customHeight="1">
      <c r="J915" s="182"/>
      <c r="K915" s="183"/>
      <c r="L915" s="183"/>
    </row>
    <row r="916" spans="10:12" ht="15.75" customHeight="1">
      <c r="J916" s="182"/>
      <c r="K916" s="183"/>
      <c r="L916" s="183"/>
    </row>
    <row r="917" spans="10:12" ht="15.75" customHeight="1">
      <c r="J917" s="182"/>
      <c r="K917" s="183"/>
      <c r="L917" s="183"/>
    </row>
    <row r="918" spans="10:12" ht="15.75" customHeight="1">
      <c r="J918" s="182"/>
      <c r="K918" s="183"/>
      <c r="L918" s="183"/>
    </row>
    <row r="919" spans="10:12" ht="15.75" customHeight="1">
      <c r="J919" s="182"/>
      <c r="K919" s="183"/>
      <c r="L919" s="183"/>
    </row>
    <row r="920" spans="10:12" ht="15.75" customHeight="1">
      <c r="J920" s="182"/>
      <c r="K920" s="183"/>
      <c r="L920" s="183"/>
    </row>
    <row r="921" spans="10:12" ht="15.75" customHeight="1">
      <c r="J921" s="182"/>
      <c r="K921" s="183"/>
      <c r="L921" s="183"/>
    </row>
    <row r="922" spans="10:12" ht="15.75" customHeight="1">
      <c r="J922" s="182"/>
      <c r="K922" s="183"/>
      <c r="L922" s="183"/>
    </row>
    <row r="923" spans="10:12" ht="15.75" customHeight="1">
      <c r="J923" s="182"/>
      <c r="K923" s="183"/>
      <c r="L923" s="183"/>
    </row>
    <row r="924" spans="10:12" ht="15.75" customHeight="1">
      <c r="J924" s="182"/>
      <c r="K924" s="183"/>
      <c r="L924" s="183"/>
    </row>
    <row r="925" spans="10:12" ht="15.75" customHeight="1">
      <c r="J925" s="182"/>
      <c r="K925" s="183"/>
      <c r="L925" s="183"/>
    </row>
    <row r="926" spans="10:12" ht="15.75" customHeight="1">
      <c r="J926" s="182"/>
      <c r="K926" s="183"/>
      <c r="L926" s="183"/>
    </row>
    <row r="927" spans="10:12" ht="15.75" customHeight="1">
      <c r="J927" s="182"/>
      <c r="K927" s="183"/>
      <c r="L927" s="183"/>
    </row>
    <row r="928" spans="10:12" ht="15.75" customHeight="1">
      <c r="J928" s="182"/>
      <c r="K928" s="183"/>
      <c r="L928" s="183"/>
    </row>
    <row r="929" spans="10:12" ht="15.75" customHeight="1">
      <c r="J929" s="182"/>
      <c r="K929" s="183"/>
      <c r="L929" s="183"/>
    </row>
    <row r="930" spans="10:12" ht="15.75" customHeight="1">
      <c r="J930" s="182"/>
      <c r="K930" s="183"/>
      <c r="L930" s="183"/>
    </row>
    <row r="931" spans="10:12" ht="15.75" customHeight="1">
      <c r="J931" s="182"/>
      <c r="K931" s="183"/>
      <c r="L931" s="183"/>
    </row>
    <row r="932" spans="10:12" ht="15.75" customHeight="1">
      <c r="J932" s="182"/>
      <c r="K932" s="183"/>
      <c r="L932" s="183"/>
    </row>
    <row r="933" spans="10:12" ht="15.75" customHeight="1">
      <c r="J933" s="182"/>
      <c r="K933" s="183"/>
      <c r="L933" s="183"/>
    </row>
    <row r="934" spans="10:12" ht="15.75" customHeight="1">
      <c r="J934" s="182"/>
      <c r="K934" s="183"/>
      <c r="L934" s="183"/>
    </row>
    <row r="935" spans="10:12" ht="15.75" customHeight="1">
      <c r="J935" s="182"/>
      <c r="K935" s="183"/>
      <c r="L935" s="183"/>
    </row>
    <row r="936" spans="10:12" ht="15.75" customHeight="1">
      <c r="J936" s="182"/>
      <c r="K936" s="183"/>
      <c r="L936" s="183"/>
    </row>
    <row r="937" spans="10:12" ht="15.75" customHeight="1">
      <c r="J937" s="182"/>
      <c r="K937" s="183"/>
      <c r="L937" s="183"/>
    </row>
    <row r="938" spans="10:12" ht="15.75" customHeight="1">
      <c r="J938" s="182"/>
      <c r="K938" s="183"/>
      <c r="L938" s="183"/>
    </row>
    <row r="939" spans="10:12" ht="15.75" customHeight="1">
      <c r="J939" s="182"/>
      <c r="K939" s="183"/>
      <c r="L939" s="183"/>
    </row>
    <row r="940" spans="10:12" ht="15.75" customHeight="1">
      <c r="J940" s="182"/>
      <c r="K940" s="183"/>
      <c r="L940" s="183"/>
    </row>
    <row r="941" spans="10:12" ht="15.75" customHeight="1">
      <c r="J941" s="182"/>
      <c r="K941" s="183"/>
      <c r="L941" s="183"/>
    </row>
    <row r="942" spans="10:12" ht="15.75" customHeight="1">
      <c r="J942" s="182"/>
      <c r="K942" s="183"/>
      <c r="L942" s="183"/>
    </row>
    <row r="943" spans="10:12" ht="15.75" customHeight="1">
      <c r="J943" s="182"/>
      <c r="K943" s="183"/>
      <c r="L943" s="183"/>
    </row>
    <row r="944" spans="10:12" ht="15.75" customHeight="1">
      <c r="J944" s="182"/>
      <c r="K944" s="183"/>
      <c r="L944" s="183"/>
    </row>
    <row r="945" spans="10:12" ht="15.75" customHeight="1">
      <c r="J945" s="182"/>
      <c r="K945" s="183"/>
      <c r="L945" s="183"/>
    </row>
    <row r="946" spans="10:12" ht="15.75" customHeight="1">
      <c r="J946" s="182"/>
      <c r="K946" s="183"/>
      <c r="L946" s="183"/>
    </row>
    <row r="947" spans="10:12" ht="15.75" customHeight="1">
      <c r="J947" s="182"/>
      <c r="K947" s="183"/>
      <c r="L947" s="183"/>
    </row>
    <row r="948" spans="10:12" ht="15.75" customHeight="1">
      <c r="J948" s="182"/>
      <c r="K948" s="183"/>
      <c r="L948" s="183"/>
    </row>
    <row r="949" spans="10:12" ht="15.75" customHeight="1">
      <c r="J949" s="182"/>
      <c r="K949" s="183"/>
      <c r="L949" s="183"/>
    </row>
    <row r="950" spans="10:12" ht="15.75" customHeight="1">
      <c r="J950" s="182"/>
      <c r="K950" s="183"/>
      <c r="L950" s="183"/>
    </row>
    <row r="951" spans="10:12" ht="15.75" customHeight="1">
      <c r="J951" s="182"/>
      <c r="K951" s="183"/>
      <c r="L951" s="183"/>
    </row>
    <row r="952" spans="10:12" ht="15.75" customHeight="1">
      <c r="J952" s="182"/>
      <c r="K952" s="183"/>
      <c r="L952" s="183"/>
    </row>
    <row r="953" spans="10:12" ht="15.75" customHeight="1">
      <c r="J953" s="182"/>
      <c r="K953" s="183"/>
      <c r="L953" s="183"/>
    </row>
    <row r="954" spans="10:12" ht="15.75" customHeight="1">
      <c r="J954" s="182"/>
      <c r="K954" s="183"/>
      <c r="L954" s="183"/>
    </row>
    <row r="955" spans="10:12" ht="15.75" customHeight="1">
      <c r="J955" s="182"/>
      <c r="K955" s="183"/>
      <c r="L955" s="183"/>
    </row>
    <row r="956" spans="10:12" ht="15.75" customHeight="1">
      <c r="J956" s="182"/>
      <c r="K956" s="183"/>
      <c r="L956" s="183"/>
    </row>
    <row r="957" spans="10:12" ht="15.75" customHeight="1">
      <c r="J957" s="182"/>
      <c r="K957" s="183"/>
      <c r="L957" s="183"/>
    </row>
    <row r="958" spans="10:12" ht="15.75" customHeight="1">
      <c r="J958" s="182"/>
      <c r="K958" s="183"/>
      <c r="L958" s="183"/>
    </row>
    <row r="959" spans="10:12" ht="15.75" customHeight="1">
      <c r="J959" s="182"/>
      <c r="K959" s="183"/>
      <c r="L959" s="183"/>
    </row>
    <row r="960" spans="10:12" ht="15.75" customHeight="1">
      <c r="J960" s="182"/>
      <c r="K960" s="183"/>
      <c r="L960" s="183"/>
    </row>
    <row r="961" spans="10:12" ht="15.75" customHeight="1">
      <c r="J961" s="182"/>
      <c r="K961" s="183"/>
      <c r="L961" s="183"/>
    </row>
    <row r="962" spans="10:12" ht="15.75" customHeight="1">
      <c r="J962" s="182"/>
      <c r="K962" s="183"/>
      <c r="L962" s="183"/>
    </row>
    <row r="963" spans="10:12" ht="15.75" customHeight="1">
      <c r="J963" s="182"/>
      <c r="K963" s="183"/>
      <c r="L963" s="183"/>
    </row>
    <row r="964" spans="10:12" ht="15.75" customHeight="1">
      <c r="J964" s="182"/>
      <c r="K964" s="183"/>
      <c r="L964" s="183"/>
    </row>
    <row r="965" spans="10:12" ht="15.75" customHeight="1">
      <c r="J965" s="182"/>
      <c r="K965" s="183"/>
      <c r="L965" s="183"/>
    </row>
    <row r="966" spans="10:12" ht="15.75" customHeight="1">
      <c r="J966" s="182"/>
      <c r="K966" s="183"/>
      <c r="L966" s="183"/>
    </row>
    <row r="967" spans="10:12" ht="15.75" customHeight="1">
      <c r="J967" s="182"/>
      <c r="K967" s="183"/>
      <c r="L967" s="183"/>
    </row>
    <row r="968" spans="10:12" ht="15.75" customHeight="1">
      <c r="J968" s="182"/>
      <c r="K968" s="183"/>
      <c r="L968" s="183"/>
    </row>
    <row r="969" spans="10:12" ht="15.75" customHeight="1">
      <c r="J969" s="182"/>
      <c r="K969" s="183"/>
      <c r="L969" s="183"/>
    </row>
    <row r="970" spans="10:12" ht="15.75" customHeight="1">
      <c r="J970" s="182"/>
      <c r="K970" s="183"/>
      <c r="L970" s="183"/>
    </row>
    <row r="971" spans="10:12" ht="15.75" customHeight="1">
      <c r="J971" s="182"/>
      <c r="K971" s="183"/>
      <c r="L971" s="183"/>
    </row>
    <row r="972" spans="10:12" ht="15.75" customHeight="1">
      <c r="J972" s="182"/>
      <c r="K972" s="183"/>
      <c r="L972" s="183"/>
    </row>
    <row r="973" spans="10:12" ht="15.75" customHeight="1">
      <c r="J973" s="182"/>
      <c r="K973" s="183"/>
      <c r="L973" s="183"/>
    </row>
    <row r="974" spans="10:12" ht="15.75" customHeight="1">
      <c r="J974" s="182"/>
      <c r="K974" s="183"/>
      <c r="L974" s="183"/>
    </row>
    <row r="975" spans="10:12" ht="15.75" customHeight="1">
      <c r="J975" s="182"/>
      <c r="K975" s="183"/>
      <c r="L975" s="183"/>
    </row>
    <row r="976" spans="10:12" ht="15.75" customHeight="1">
      <c r="J976" s="182"/>
      <c r="K976" s="183"/>
      <c r="L976" s="183"/>
    </row>
    <row r="977" spans="10:12" ht="15.75" customHeight="1">
      <c r="J977" s="182"/>
      <c r="K977" s="183"/>
      <c r="L977" s="183"/>
    </row>
    <row r="978" spans="10:12" ht="15.75" customHeight="1">
      <c r="J978" s="182"/>
      <c r="K978" s="183"/>
      <c r="L978" s="183"/>
    </row>
    <row r="979" spans="10:12" ht="15.75" customHeight="1">
      <c r="J979" s="182"/>
      <c r="K979" s="183"/>
      <c r="L979" s="183"/>
    </row>
    <row r="980" spans="10:12" ht="15.75" customHeight="1">
      <c r="J980" s="182"/>
      <c r="K980" s="183"/>
      <c r="L980" s="183"/>
    </row>
    <row r="981" spans="10:12" ht="15.75" customHeight="1">
      <c r="J981" s="182"/>
      <c r="K981" s="183"/>
      <c r="L981" s="183"/>
    </row>
    <row r="982" spans="10:12" ht="15.75" customHeight="1">
      <c r="J982" s="182"/>
      <c r="K982" s="183"/>
      <c r="L982" s="183"/>
    </row>
    <row r="983" spans="10:12" ht="15.75" customHeight="1">
      <c r="J983" s="182"/>
      <c r="K983" s="183"/>
      <c r="L983" s="183"/>
    </row>
    <row r="984" spans="10:12" ht="15.75" customHeight="1">
      <c r="J984" s="182"/>
      <c r="K984" s="183"/>
      <c r="L984" s="183"/>
    </row>
    <row r="985" spans="10:12" ht="15.75" customHeight="1">
      <c r="J985" s="182"/>
      <c r="K985" s="183"/>
      <c r="L985" s="183"/>
    </row>
    <row r="986" spans="10:12" ht="15.75" customHeight="1">
      <c r="J986" s="182"/>
      <c r="K986" s="183"/>
      <c r="L986" s="183"/>
    </row>
    <row r="987" spans="10:12" ht="15.75" customHeight="1">
      <c r="J987" s="182"/>
      <c r="K987" s="183"/>
      <c r="L987" s="183"/>
    </row>
    <row r="988" spans="10:12" ht="15.75" customHeight="1">
      <c r="J988" s="182"/>
      <c r="K988" s="183"/>
      <c r="L988" s="183"/>
    </row>
    <row r="989" spans="10:12" ht="15.75" customHeight="1">
      <c r="J989" s="182"/>
      <c r="K989" s="183"/>
      <c r="L989" s="183"/>
    </row>
    <row r="990" spans="10:12" ht="15.75" customHeight="1">
      <c r="J990" s="182"/>
      <c r="K990" s="183"/>
      <c r="L990" s="183"/>
    </row>
    <row r="991" spans="10:12" ht="15.75" customHeight="1">
      <c r="J991" s="182"/>
      <c r="K991" s="183"/>
      <c r="L991" s="183"/>
    </row>
    <row r="992" spans="10:12" ht="15.75" customHeight="1">
      <c r="J992" s="182"/>
      <c r="K992" s="183"/>
      <c r="L992" s="183"/>
    </row>
    <row r="993" spans="10:12" ht="15.75" customHeight="1">
      <c r="J993" s="182"/>
      <c r="K993" s="183"/>
      <c r="L993" s="183"/>
    </row>
    <row r="994" spans="10:12" ht="15.75" customHeight="1">
      <c r="J994" s="182"/>
      <c r="K994" s="183"/>
      <c r="L994" s="183"/>
    </row>
    <row r="995" spans="10:12" ht="15.75" customHeight="1">
      <c r="J995" s="182"/>
      <c r="K995" s="183"/>
      <c r="L995" s="183"/>
    </row>
    <row r="996" spans="10:12" ht="15.75" customHeight="1">
      <c r="J996" s="182"/>
      <c r="K996" s="183"/>
      <c r="L996" s="183"/>
    </row>
    <row r="997" spans="10:12" ht="15.75" customHeight="1">
      <c r="J997" s="182"/>
      <c r="K997" s="183"/>
      <c r="L997" s="183"/>
    </row>
    <row r="998" spans="10:12" ht="15.75" customHeight="1">
      <c r="J998" s="182"/>
      <c r="K998" s="183"/>
      <c r="L998" s="183"/>
    </row>
    <row r="999" spans="10:12" ht="15.75" customHeight="1">
      <c r="J999" s="182"/>
      <c r="K999" s="183"/>
      <c r="L999" s="183"/>
    </row>
    <row r="1000" spans="10:12" ht="15.75" customHeight="1">
      <c r="J1000" s="182"/>
      <c r="K1000" s="183"/>
      <c r="L1000" s="183"/>
    </row>
  </sheetData>
  <customSheetViews>
    <customSheetView guid="{D2464F85-EDE4-4567-AE99-72086A9419EC}" filter="1" showAutoFilter="1">
      <pageMargins left="0.7" right="0.7" top="0.75" bottom="0.75" header="0.3" footer="0.3"/>
      <autoFilter ref="A1:O32" xr:uid="{C22E8704-29C0-D344-86B6-0800299F7E1C}"/>
    </customSheetView>
  </customSheetView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9E2F3"/>
  </sheetPr>
  <dimension ref="A1:J1000"/>
  <sheetViews>
    <sheetView workbookViewId="0"/>
  </sheetViews>
  <sheetFormatPr baseColWidth="10" defaultColWidth="12.6640625" defaultRowHeight="15" customHeight="1"/>
  <cols>
    <col min="2" max="2" width="25.83203125" customWidth="1"/>
    <col min="3" max="3" width="22.1640625" customWidth="1"/>
    <col min="4" max="4" width="19.83203125" customWidth="1"/>
    <col min="5" max="5" width="17" customWidth="1"/>
    <col min="6" max="6" width="16.83203125" customWidth="1"/>
    <col min="7" max="7" width="21.5" customWidth="1"/>
    <col min="8" max="9" width="7.6640625" customWidth="1"/>
    <col min="10" max="10" width="19.6640625" customWidth="1"/>
    <col min="11" max="25" width="7.6640625" customWidth="1"/>
  </cols>
  <sheetData>
    <row r="1" spans="1:10">
      <c r="A1" s="190" t="s">
        <v>154</v>
      </c>
      <c r="B1" s="156" t="s">
        <v>3758</v>
      </c>
      <c r="C1" s="156" t="s">
        <v>466</v>
      </c>
      <c r="D1" s="156" t="s">
        <v>467</v>
      </c>
      <c r="E1" s="156" t="s">
        <v>468</v>
      </c>
      <c r="F1" s="156" t="s">
        <v>469</v>
      </c>
      <c r="G1" s="156" t="s">
        <v>3759</v>
      </c>
      <c r="H1" s="156" t="s">
        <v>3760</v>
      </c>
      <c r="I1" s="156" t="s">
        <v>473</v>
      </c>
      <c r="J1" s="156" t="s">
        <v>474</v>
      </c>
    </row>
    <row r="2" spans="1:10">
      <c r="A2" s="98" t="s">
        <v>6</v>
      </c>
      <c r="B2" s="133" t="s">
        <v>3641</v>
      </c>
      <c r="C2" s="191" t="s">
        <v>3635</v>
      </c>
      <c r="D2" s="191" t="s">
        <v>477</v>
      </c>
      <c r="E2" s="191">
        <v>20</v>
      </c>
      <c r="F2" s="191">
        <v>0</v>
      </c>
      <c r="G2" s="191">
        <v>0</v>
      </c>
      <c r="H2" s="191" t="s">
        <v>479</v>
      </c>
      <c r="I2" s="191" t="s">
        <v>479</v>
      </c>
      <c r="J2" s="191">
        <v>0</v>
      </c>
    </row>
    <row r="3" spans="1:10">
      <c r="A3" s="98" t="s">
        <v>6</v>
      </c>
      <c r="B3" s="133" t="s">
        <v>3641</v>
      </c>
      <c r="C3" s="191" t="s">
        <v>3650</v>
      </c>
      <c r="D3" s="191" t="s">
        <v>477</v>
      </c>
      <c r="E3" s="191">
        <v>50</v>
      </c>
      <c r="F3" s="191">
        <v>0</v>
      </c>
      <c r="G3" s="191">
        <v>0</v>
      </c>
      <c r="H3" s="191" t="s">
        <v>479</v>
      </c>
      <c r="I3" s="191" t="s">
        <v>479</v>
      </c>
      <c r="J3" s="191">
        <v>0</v>
      </c>
    </row>
    <row r="4" spans="1:10">
      <c r="A4" s="98" t="s">
        <v>6</v>
      </c>
      <c r="B4" s="133" t="s">
        <v>3641</v>
      </c>
      <c r="C4" s="191" t="s">
        <v>3761</v>
      </c>
      <c r="D4" s="191" t="s">
        <v>496</v>
      </c>
      <c r="E4" s="191">
        <v>4</v>
      </c>
      <c r="F4" s="191">
        <v>16</v>
      </c>
      <c r="G4" s="191">
        <v>0</v>
      </c>
      <c r="H4" s="191" t="s">
        <v>479</v>
      </c>
      <c r="I4" s="191" t="s">
        <v>479</v>
      </c>
      <c r="J4" s="191">
        <v>0</v>
      </c>
    </row>
    <row r="5" spans="1:10">
      <c r="A5" s="98" t="s">
        <v>6</v>
      </c>
      <c r="B5" s="133" t="s">
        <v>3641</v>
      </c>
      <c r="C5" s="191" t="s">
        <v>2900</v>
      </c>
      <c r="D5" s="191" t="s">
        <v>496</v>
      </c>
      <c r="E5" s="191">
        <v>4</v>
      </c>
      <c r="F5" s="191">
        <v>16</v>
      </c>
      <c r="G5" s="191">
        <v>0</v>
      </c>
      <c r="H5" s="191" t="s">
        <v>479</v>
      </c>
      <c r="I5" s="191" t="s">
        <v>479</v>
      </c>
      <c r="J5" s="191">
        <v>0</v>
      </c>
    </row>
    <row r="6" spans="1:10">
      <c r="A6" s="98" t="s">
        <v>6</v>
      </c>
      <c r="B6" s="133" t="s">
        <v>3641</v>
      </c>
      <c r="C6" s="191" t="s">
        <v>3762</v>
      </c>
      <c r="D6" s="191" t="s">
        <v>477</v>
      </c>
      <c r="E6" s="191">
        <v>20</v>
      </c>
      <c r="F6" s="191">
        <v>0</v>
      </c>
      <c r="G6" s="191">
        <v>0</v>
      </c>
      <c r="H6" s="191" t="s">
        <v>479</v>
      </c>
      <c r="I6" s="191" t="s">
        <v>479</v>
      </c>
      <c r="J6" s="191">
        <v>0</v>
      </c>
    </row>
    <row r="7" spans="1:10">
      <c r="A7" s="98" t="s">
        <v>6</v>
      </c>
      <c r="B7" s="133" t="s">
        <v>3641</v>
      </c>
      <c r="C7" s="191" t="s">
        <v>3763</v>
      </c>
      <c r="D7" s="191" t="s">
        <v>484</v>
      </c>
      <c r="E7" s="191">
        <v>4</v>
      </c>
      <c r="F7" s="191">
        <v>10</v>
      </c>
      <c r="G7" s="191">
        <v>0</v>
      </c>
      <c r="H7" s="191" t="s">
        <v>479</v>
      </c>
      <c r="I7" s="191" t="s">
        <v>479</v>
      </c>
      <c r="J7" s="191">
        <v>0</v>
      </c>
    </row>
    <row r="8" spans="1:10">
      <c r="A8" s="98" t="s">
        <v>6</v>
      </c>
      <c r="B8" s="133" t="s">
        <v>3641</v>
      </c>
      <c r="C8" s="191" t="s">
        <v>3764</v>
      </c>
      <c r="D8" s="191" t="s">
        <v>477</v>
      </c>
      <c r="E8" s="191">
        <v>20</v>
      </c>
      <c r="F8" s="191">
        <v>0</v>
      </c>
      <c r="G8" s="191">
        <v>0</v>
      </c>
      <c r="H8" s="191" t="s">
        <v>479</v>
      </c>
      <c r="I8" s="191" t="s">
        <v>479</v>
      </c>
      <c r="J8" s="191">
        <v>0</v>
      </c>
    </row>
    <row r="9" spans="1:10">
      <c r="A9" s="98" t="s">
        <v>6</v>
      </c>
      <c r="B9" s="133" t="s">
        <v>3641</v>
      </c>
      <c r="C9" s="191" t="s">
        <v>174</v>
      </c>
      <c r="D9" s="191" t="s">
        <v>477</v>
      </c>
      <c r="E9" s="191">
        <v>20</v>
      </c>
      <c r="F9" s="191">
        <v>0</v>
      </c>
      <c r="G9" s="191">
        <v>0</v>
      </c>
      <c r="H9" s="191" t="s">
        <v>479</v>
      </c>
      <c r="I9" s="191" t="s">
        <v>479</v>
      </c>
      <c r="J9" s="191">
        <v>0</v>
      </c>
    </row>
    <row r="10" spans="1:10">
      <c r="A10" s="98" t="s">
        <v>6</v>
      </c>
      <c r="B10" s="133" t="s">
        <v>3641</v>
      </c>
      <c r="C10" s="191" t="s">
        <v>1821</v>
      </c>
      <c r="D10" s="191" t="s">
        <v>477</v>
      </c>
      <c r="E10" s="191">
        <v>100</v>
      </c>
      <c r="F10" s="191">
        <v>0</v>
      </c>
      <c r="G10" s="191">
        <v>0</v>
      </c>
      <c r="H10" s="191" t="s">
        <v>479</v>
      </c>
      <c r="I10" s="191" t="s">
        <v>479</v>
      </c>
      <c r="J10" s="191">
        <v>0</v>
      </c>
    </row>
    <row r="11" spans="1:10">
      <c r="A11" s="98" t="s">
        <v>6</v>
      </c>
      <c r="B11" s="133" t="s">
        <v>3641</v>
      </c>
      <c r="C11" s="191" t="s">
        <v>1433</v>
      </c>
      <c r="D11" s="191" t="s">
        <v>477</v>
      </c>
      <c r="E11" s="191">
        <v>20</v>
      </c>
      <c r="F11" s="191">
        <v>0</v>
      </c>
      <c r="G11" s="191">
        <v>0</v>
      </c>
      <c r="H11" s="191" t="s">
        <v>479</v>
      </c>
      <c r="I11" s="191" t="s">
        <v>479</v>
      </c>
      <c r="J11" s="191">
        <v>0</v>
      </c>
    </row>
    <row r="12" spans="1:10">
      <c r="A12" s="98" t="s">
        <v>6</v>
      </c>
      <c r="B12" s="133" t="s">
        <v>3641</v>
      </c>
      <c r="C12" s="191" t="s">
        <v>1322</v>
      </c>
      <c r="D12" s="191" t="s">
        <v>477</v>
      </c>
      <c r="E12" s="191">
        <v>5</v>
      </c>
      <c r="F12" s="191">
        <v>0</v>
      </c>
      <c r="G12" s="191">
        <v>0</v>
      </c>
      <c r="H12" s="191" t="s">
        <v>479</v>
      </c>
      <c r="I12" s="191" t="s">
        <v>479</v>
      </c>
      <c r="J12" s="191">
        <v>0</v>
      </c>
    </row>
    <row r="13" spans="1:10">
      <c r="A13" s="98" t="s">
        <v>6</v>
      </c>
      <c r="B13" s="133" t="s">
        <v>3641</v>
      </c>
      <c r="C13" s="191" t="s">
        <v>3765</v>
      </c>
      <c r="D13" s="191" t="s">
        <v>484</v>
      </c>
      <c r="E13" s="191">
        <v>4</v>
      </c>
      <c r="F13" s="191">
        <v>10</v>
      </c>
      <c r="G13" s="191">
        <v>0</v>
      </c>
      <c r="H13" s="191" t="s">
        <v>479</v>
      </c>
      <c r="I13" s="191" t="s">
        <v>479</v>
      </c>
      <c r="J13" s="191">
        <v>0</v>
      </c>
    </row>
    <row r="14" spans="1:10">
      <c r="A14" s="98" t="s">
        <v>6</v>
      </c>
      <c r="B14" s="133" t="s">
        <v>3641</v>
      </c>
      <c r="C14" s="191" t="s">
        <v>3766</v>
      </c>
      <c r="D14" s="191" t="s">
        <v>477</v>
      </c>
      <c r="E14" s="191">
        <v>150</v>
      </c>
      <c r="F14" s="191">
        <v>0</v>
      </c>
      <c r="G14" s="191">
        <v>0</v>
      </c>
      <c r="H14" s="191" t="s">
        <v>479</v>
      </c>
      <c r="I14" s="191" t="s">
        <v>479</v>
      </c>
      <c r="J14" s="191">
        <v>0</v>
      </c>
    </row>
    <row r="15" spans="1:10">
      <c r="A15" s="98" t="s">
        <v>6</v>
      </c>
      <c r="B15" s="133" t="s">
        <v>3641</v>
      </c>
      <c r="C15" s="191" t="s">
        <v>3767</v>
      </c>
      <c r="D15" s="191" t="s">
        <v>477</v>
      </c>
      <c r="E15" s="191">
        <v>150</v>
      </c>
      <c r="F15" s="191">
        <v>0</v>
      </c>
      <c r="G15" s="191">
        <v>0</v>
      </c>
      <c r="H15" s="191" t="s">
        <v>479</v>
      </c>
      <c r="I15" s="191" t="s">
        <v>479</v>
      </c>
      <c r="J15" s="191">
        <v>0</v>
      </c>
    </row>
    <row r="16" spans="1:10">
      <c r="A16" s="98" t="s">
        <v>6</v>
      </c>
      <c r="B16" s="133" t="s">
        <v>3641</v>
      </c>
      <c r="C16" s="191" t="s">
        <v>3768</v>
      </c>
      <c r="D16" s="191" t="s">
        <v>477</v>
      </c>
      <c r="E16" s="191">
        <v>55</v>
      </c>
      <c r="F16" s="191">
        <v>0</v>
      </c>
      <c r="G16" s="191">
        <v>0</v>
      </c>
      <c r="H16" s="191" t="s">
        <v>479</v>
      </c>
      <c r="I16" s="191" t="s">
        <v>479</v>
      </c>
      <c r="J16" s="191">
        <v>0</v>
      </c>
    </row>
    <row r="17" spans="1:10">
      <c r="A17" s="98" t="s">
        <v>6</v>
      </c>
      <c r="B17" s="133" t="s">
        <v>3641</v>
      </c>
      <c r="C17" s="191" t="s">
        <v>3769</v>
      </c>
      <c r="D17" s="191" t="s">
        <v>477</v>
      </c>
      <c r="E17" s="191">
        <v>55</v>
      </c>
      <c r="F17" s="191">
        <v>0</v>
      </c>
      <c r="G17" s="191">
        <v>0</v>
      </c>
      <c r="H17" s="191" t="s">
        <v>479</v>
      </c>
      <c r="I17" s="191" t="s">
        <v>479</v>
      </c>
      <c r="J17" s="191">
        <v>0</v>
      </c>
    </row>
    <row r="18" spans="1:10">
      <c r="A18" s="98" t="s">
        <v>6</v>
      </c>
      <c r="B18" s="133" t="s">
        <v>3641</v>
      </c>
      <c r="C18" s="191" t="s">
        <v>1883</v>
      </c>
      <c r="D18" s="191" t="s">
        <v>477</v>
      </c>
      <c r="E18" s="191">
        <v>27</v>
      </c>
      <c r="F18" s="191">
        <v>0</v>
      </c>
      <c r="G18" s="191">
        <v>0</v>
      </c>
      <c r="H18" s="191" t="s">
        <v>479</v>
      </c>
      <c r="I18" s="191" t="s">
        <v>479</v>
      </c>
      <c r="J18" s="191">
        <v>0</v>
      </c>
    </row>
    <row r="19" spans="1:10">
      <c r="A19" s="98" t="s">
        <v>6</v>
      </c>
      <c r="B19" s="133" t="s">
        <v>3641</v>
      </c>
      <c r="C19" s="191" t="s">
        <v>1884</v>
      </c>
      <c r="D19" s="191" t="s">
        <v>477</v>
      </c>
      <c r="E19" s="191">
        <v>27</v>
      </c>
      <c r="F19" s="191">
        <v>0</v>
      </c>
      <c r="G19" s="191">
        <v>0</v>
      </c>
      <c r="H19" s="191" t="s">
        <v>479</v>
      </c>
      <c r="I19" s="191" t="s">
        <v>479</v>
      </c>
      <c r="J19" s="191">
        <v>0</v>
      </c>
    </row>
    <row r="20" spans="1:10">
      <c r="A20" s="98" t="s">
        <v>6</v>
      </c>
      <c r="B20" s="133" t="s">
        <v>3641</v>
      </c>
      <c r="C20" s="191" t="s">
        <v>1885</v>
      </c>
      <c r="D20" s="191" t="s">
        <v>477</v>
      </c>
      <c r="E20" s="191">
        <v>30</v>
      </c>
      <c r="F20" s="191">
        <v>0</v>
      </c>
      <c r="G20" s="191">
        <v>0</v>
      </c>
      <c r="H20" s="191" t="s">
        <v>479</v>
      </c>
      <c r="I20" s="191" t="s">
        <v>479</v>
      </c>
      <c r="J20" s="191">
        <v>0</v>
      </c>
    </row>
    <row r="21" spans="1:10" ht="15.75" customHeight="1">
      <c r="A21" s="98" t="s">
        <v>6</v>
      </c>
      <c r="B21" s="133" t="s">
        <v>3641</v>
      </c>
      <c r="C21" s="191" t="s">
        <v>1886</v>
      </c>
      <c r="D21" s="191" t="s">
        <v>477</v>
      </c>
      <c r="E21" s="191">
        <v>5</v>
      </c>
      <c r="F21" s="191">
        <v>0</v>
      </c>
      <c r="G21" s="191">
        <v>0</v>
      </c>
      <c r="H21" s="191" t="s">
        <v>479</v>
      </c>
      <c r="I21" s="191" t="s">
        <v>479</v>
      </c>
      <c r="J21" s="191">
        <v>0</v>
      </c>
    </row>
    <row r="22" spans="1:10" ht="15.75" customHeight="1">
      <c r="A22" s="98" t="s">
        <v>6</v>
      </c>
      <c r="B22" s="133" t="s">
        <v>3641</v>
      </c>
      <c r="C22" s="191" t="s">
        <v>208</v>
      </c>
      <c r="D22" s="191" t="s">
        <v>1631</v>
      </c>
      <c r="E22" s="191">
        <v>8</v>
      </c>
      <c r="F22" s="191">
        <v>19</v>
      </c>
      <c r="G22" s="191">
        <v>0</v>
      </c>
      <c r="H22" s="191" t="s">
        <v>479</v>
      </c>
      <c r="I22" s="191" t="s">
        <v>479</v>
      </c>
      <c r="J22" s="191">
        <v>0</v>
      </c>
    </row>
    <row r="23" spans="1:10" ht="15.75" customHeight="1">
      <c r="A23" s="98" t="s">
        <v>6</v>
      </c>
      <c r="B23" s="133" t="s">
        <v>3641</v>
      </c>
      <c r="C23" s="191" t="s">
        <v>3770</v>
      </c>
      <c r="D23" s="191" t="s">
        <v>1631</v>
      </c>
      <c r="E23" s="191">
        <v>8</v>
      </c>
      <c r="F23" s="191">
        <v>19</v>
      </c>
      <c r="G23" s="191">
        <v>0</v>
      </c>
      <c r="H23" s="191" t="s">
        <v>479</v>
      </c>
      <c r="I23" s="191" t="s">
        <v>479</v>
      </c>
      <c r="J23" s="191">
        <v>0</v>
      </c>
    </row>
    <row r="24" spans="1:10" ht="15.75" customHeight="1">
      <c r="A24" s="98" t="s">
        <v>6</v>
      </c>
      <c r="B24" s="133" t="s">
        <v>3641</v>
      </c>
      <c r="C24" s="191" t="s">
        <v>2912</v>
      </c>
      <c r="D24" s="191" t="s">
        <v>477</v>
      </c>
      <c r="E24" s="191">
        <v>10</v>
      </c>
      <c r="F24" s="191">
        <v>0</v>
      </c>
      <c r="G24" s="191">
        <v>0</v>
      </c>
      <c r="H24" s="191" t="s">
        <v>479</v>
      </c>
      <c r="I24" s="191" t="s">
        <v>479</v>
      </c>
      <c r="J24" s="191">
        <v>0</v>
      </c>
    </row>
    <row r="25" spans="1:10" ht="15.75" customHeight="1">
      <c r="A25" s="98" t="s">
        <v>6</v>
      </c>
      <c r="B25" s="133" t="s">
        <v>3641</v>
      </c>
      <c r="C25" s="191" t="s">
        <v>1660</v>
      </c>
      <c r="D25" s="191" t="s">
        <v>477</v>
      </c>
      <c r="E25" s="191">
        <v>50</v>
      </c>
      <c r="F25" s="191">
        <v>0</v>
      </c>
      <c r="G25" s="191">
        <v>0</v>
      </c>
      <c r="H25" s="191" t="s">
        <v>479</v>
      </c>
      <c r="I25" s="191" t="s">
        <v>479</v>
      </c>
      <c r="J25" s="191">
        <v>0</v>
      </c>
    </row>
    <row r="26" spans="1:10" ht="15.75" customHeight="1">
      <c r="A26" s="98" t="s">
        <v>6</v>
      </c>
      <c r="B26" s="133" t="s">
        <v>3641</v>
      </c>
      <c r="C26" s="191" t="s">
        <v>3771</v>
      </c>
      <c r="D26" s="191" t="s">
        <v>477</v>
      </c>
      <c r="E26" s="191">
        <v>20</v>
      </c>
      <c r="F26" s="191">
        <v>0</v>
      </c>
      <c r="G26" s="191">
        <v>0</v>
      </c>
      <c r="H26" s="191" t="s">
        <v>479</v>
      </c>
      <c r="I26" s="191" t="s">
        <v>479</v>
      </c>
      <c r="J26" s="191">
        <v>0</v>
      </c>
    </row>
    <row r="27" spans="1:10" ht="15.75" customHeight="1">
      <c r="A27" s="98" t="s">
        <v>6</v>
      </c>
      <c r="B27" s="133" t="s">
        <v>3641</v>
      </c>
      <c r="C27" s="191" t="s">
        <v>3772</v>
      </c>
      <c r="D27" s="191" t="s">
        <v>477</v>
      </c>
      <c r="E27" s="191">
        <v>6</v>
      </c>
      <c r="F27" s="191">
        <v>0</v>
      </c>
      <c r="G27" s="191">
        <v>0</v>
      </c>
      <c r="H27" s="191" t="s">
        <v>479</v>
      </c>
      <c r="I27" s="191" t="s">
        <v>479</v>
      </c>
      <c r="J27" s="191">
        <v>0</v>
      </c>
    </row>
    <row r="28" spans="1:10" ht="15.75" customHeight="1">
      <c r="A28" s="98" t="s">
        <v>6</v>
      </c>
      <c r="B28" s="133" t="s">
        <v>3641</v>
      </c>
      <c r="C28" s="191" t="s">
        <v>1653</v>
      </c>
      <c r="D28" s="191" t="s">
        <v>477</v>
      </c>
      <c r="E28" s="191">
        <v>100</v>
      </c>
      <c r="F28" s="191">
        <v>0</v>
      </c>
      <c r="G28" s="191">
        <v>0</v>
      </c>
      <c r="H28" s="191" t="s">
        <v>479</v>
      </c>
      <c r="I28" s="191" t="s">
        <v>479</v>
      </c>
      <c r="J28" s="191">
        <v>0</v>
      </c>
    </row>
    <row r="29" spans="1:10" ht="15.75" customHeight="1">
      <c r="A29" s="98" t="s">
        <v>6</v>
      </c>
      <c r="B29" s="133" t="s">
        <v>3641</v>
      </c>
      <c r="C29" s="191" t="s">
        <v>3773</v>
      </c>
      <c r="D29" s="191" t="s">
        <v>477</v>
      </c>
      <c r="E29" s="191">
        <v>100</v>
      </c>
      <c r="F29" s="191">
        <v>0</v>
      </c>
      <c r="G29" s="191">
        <v>0</v>
      </c>
      <c r="H29" s="191" t="s">
        <v>479</v>
      </c>
      <c r="I29" s="191" t="s">
        <v>479</v>
      </c>
      <c r="J29" s="191">
        <v>0</v>
      </c>
    </row>
    <row r="30" spans="1:10" ht="15.75" customHeight="1">
      <c r="A30" s="98" t="s">
        <v>6</v>
      </c>
      <c r="B30" s="133" t="s">
        <v>3641</v>
      </c>
      <c r="C30" s="191" t="s">
        <v>2184</v>
      </c>
      <c r="D30" s="191" t="s">
        <v>484</v>
      </c>
      <c r="E30" s="191">
        <v>4</v>
      </c>
      <c r="F30" s="191">
        <v>10</v>
      </c>
      <c r="G30" s="191">
        <v>0</v>
      </c>
      <c r="H30" s="191" t="s">
        <v>479</v>
      </c>
      <c r="I30" s="191" t="s">
        <v>479</v>
      </c>
      <c r="J30" s="191">
        <v>0</v>
      </c>
    </row>
    <row r="31" spans="1:10" ht="15.75" customHeight="1">
      <c r="A31" s="98" t="s">
        <v>6</v>
      </c>
      <c r="B31" s="133" t="s">
        <v>3641</v>
      </c>
      <c r="C31" s="191" t="s">
        <v>3774</v>
      </c>
      <c r="D31" s="191" t="s">
        <v>484</v>
      </c>
      <c r="E31" s="191">
        <v>4</v>
      </c>
      <c r="F31" s="191">
        <v>10</v>
      </c>
      <c r="G31" s="191">
        <v>0</v>
      </c>
      <c r="H31" s="191" t="s">
        <v>479</v>
      </c>
      <c r="I31" s="191" t="s">
        <v>479</v>
      </c>
      <c r="J31" s="191">
        <v>0</v>
      </c>
    </row>
    <row r="32" spans="1:10" ht="15.75" customHeight="1">
      <c r="A32" s="98" t="s">
        <v>6</v>
      </c>
      <c r="B32" s="133" t="s">
        <v>3641</v>
      </c>
      <c r="C32" s="191" t="s">
        <v>3107</v>
      </c>
      <c r="D32" s="191" t="s">
        <v>477</v>
      </c>
      <c r="E32" s="191">
        <v>10</v>
      </c>
      <c r="F32" s="191">
        <v>0</v>
      </c>
      <c r="G32" s="191">
        <v>0</v>
      </c>
      <c r="H32" s="191" t="s">
        <v>479</v>
      </c>
      <c r="I32" s="191" t="s">
        <v>479</v>
      </c>
      <c r="J32" s="191">
        <v>0</v>
      </c>
    </row>
    <row r="33" spans="1:10" ht="15.75" customHeight="1">
      <c r="A33" s="98" t="s">
        <v>6</v>
      </c>
      <c r="B33" s="133" t="s">
        <v>3641</v>
      </c>
      <c r="C33" s="191" t="s">
        <v>2185</v>
      </c>
      <c r="D33" s="191" t="s">
        <v>477</v>
      </c>
      <c r="E33" s="191">
        <v>50</v>
      </c>
      <c r="F33" s="191">
        <v>0</v>
      </c>
      <c r="G33" s="191">
        <v>0</v>
      </c>
      <c r="H33" s="191" t="s">
        <v>479</v>
      </c>
      <c r="I33" s="191" t="s">
        <v>479</v>
      </c>
      <c r="J33" s="191">
        <v>0</v>
      </c>
    </row>
    <row r="34" spans="1:10" ht="15.75" customHeight="1">
      <c r="A34" s="98" t="s">
        <v>6</v>
      </c>
      <c r="B34" s="133" t="s">
        <v>3641</v>
      </c>
      <c r="C34" s="191" t="s">
        <v>3775</v>
      </c>
      <c r="D34" s="191" t="s">
        <v>477</v>
      </c>
      <c r="E34" s="191">
        <v>150</v>
      </c>
      <c r="F34" s="191">
        <v>0</v>
      </c>
      <c r="G34" s="191">
        <v>0</v>
      </c>
      <c r="H34" s="191" t="s">
        <v>479</v>
      </c>
      <c r="I34" s="191" t="s">
        <v>479</v>
      </c>
      <c r="J34" s="191">
        <v>0</v>
      </c>
    </row>
    <row r="35" spans="1:10" ht="15.75" customHeight="1">
      <c r="A35" s="98" t="s">
        <v>6</v>
      </c>
      <c r="B35" s="133" t="s">
        <v>3641</v>
      </c>
      <c r="C35" s="191" t="s">
        <v>3776</v>
      </c>
      <c r="D35" s="191" t="s">
        <v>477</v>
      </c>
      <c r="E35" s="191">
        <v>150</v>
      </c>
      <c r="F35" s="191">
        <v>0</v>
      </c>
      <c r="G35" s="191">
        <v>0</v>
      </c>
      <c r="H35" s="191" t="s">
        <v>479</v>
      </c>
      <c r="I35" s="191" t="s">
        <v>479</v>
      </c>
      <c r="J35" s="191">
        <v>0</v>
      </c>
    </row>
    <row r="36" spans="1:10" ht="15.75" customHeight="1">
      <c r="A36" s="98" t="s">
        <v>6</v>
      </c>
      <c r="B36" s="133" t="s">
        <v>3641</v>
      </c>
      <c r="C36" s="191" t="s">
        <v>2202</v>
      </c>
      <c r="D36" s="191" t="s">
        <v>477</v>
      </c>
      <c r="E36" s="191">
        <v>27</v>
      </c>
      <c r="F36" s="191">
        <v>0</v>
      </c>
      <c r="G36" s="191">
        <v>0</v>
      </c>
      <c r="H36" s="191" t="s">
        <v>479</v>
      </c>
      <c r="I36" s="191" t="s">
        <v>479</v>
      </c>
      <c r="J36" s="191">
        <v>0</v>
      </c>
    </row>
    <row r="37" spans="1:10" ht="15.75" customHeight="1">
      <c r="A37" s="98" t="s">
        <v>6</v>
      </c>
      <c r="B37" s="133" t="s">
        <v>3641</v>
      </c>
      <c r="C37" s="191" t="s">
        <v>2204</v>
      </c>
      <c r="D37" s="191" t="s">
        <v>477</v>
      </c>
      <c r="E37" s="191">
        <v>27</v>
      </c>
      <c r="F37" s="191">
        <v>0</v>
      </c>
      <c r="G37" s="191">
        <v>0</v>
      </c>
      <c r="H37" s="191" t="s">
        <v>479</v>
      </c>
      <c r="I37" s="191" t="s">
        <v>479</v>
      </c>
      <c r="J37" s="191">
        <v>0</v>
      </c>
    </row>
    <row r="38" spans="1:10" ht="15.75" customHeight="1">
      <c r="A38" s="98" t="s">
        <v>6</v>
      </c>
      <c r="B38" s="133" t="s">
        <v>3641</v>
      </c>
      <c r="C38" s="191" t="s">
        <v>2206</v>
      </c>
      <c r="D38" s="191" t="s">
        <v>477</v>
      </c>
      <c r="E38" s="191">
        <v>30</v>
      </c>
      <c r="F38" s="191">
        <v>0</v>
      </c>
      <c r="G38" s="191">
        <v>0</v>
      </c>
      <c r="H38" s="191" t="s">
        <v>479</v>
      </c>
      <c r="I38" s="191" t="s">
        <v>479</v>
      </c>
      <c r="J38" s="191">
        <v>0</v>
      </c>
    </row>
    <row r="39" spans="1:10" ht="15.75" customHeight="1">
      <c r="A39" s="98" t="s">
        <v>6</v>
      </c>
      <c r="B39" s="133" t="s">
        <v>3641</v>
      </c>
      <c r="C39" s="191" t="s">
        <v>2208</v>
      </c>
      <c r="D39" s="191" t="s">
        <v>477</v>
      </c>
      <c r="E39" s="191">
        <v>5</v>
      </c>
      <c r="F39" s="191">
        <v>0</v>
      </c>
      <c r="G39" s="191">
        <v>0</v>
      </c>
      <c r="H39" s="191" t="s">
        <v>479</v>
      </c>
      <c r="I39" s="191" t="s">
        <v>479</v>
      </c>
      <c r="J39" s="191">
        <v>0</v>
      </c>
    </row>
    <row r="40" spans="1:10" ht="15.75" customHeight="1">
      <c r="A40" s="98" t="s">
        <v>6</v>
      </c>
      <c r="B40" s="133" t="s">
        <v>3641</v>
      </c>
      <c r="C40" s="191" t="s">
        <v>2224</v>
      </c>
      <c r="D40" s="191" t="s">
        <v>477</v>
      </c>
      <c r="E40" s="191">
        <v>500</v>
      </c>
      <c r="F40" s="191">
        <v>0</v>
      </c>
      <c r="G40" s="191">
        <v>0</v>
      </c>
      <c r="H40" s="191" t="s">
        <v>479</v>
      </c>
      <c r="I40" s="191" t="s">
        <v>479</v>
      </c>
      <c r="J40" s="191">
        <v>0</v>
      </c>
    </row>
    <row r="41" spans="1:10" ht="15.75" customHeight="1">
      <c r="A41" s="98" t="s">
        <v>6</v>
      </c>
      <c r="B41" s="133" t="s">
        <v>3641</v>
      </c>
      <c r="C41" s="191" t="s">
        <v>3777</v>
      </c>
      <c r="D41" s="191" t="s">
        <v>477</v>
      </c>
      <c r="E41" s="191">
        <v>20</v>
      </c>
      <c r="F41" s="191">
        <v>0</v>
      </c>
      <c r="G41" s="191">
        <v>0</v>
      </c>
      <c r="H41" s="191" t="s">
        <v>479</v>
      </c>
      <c r="I41" s="191" t="s">
        <v>479</v>
      </c>
      <c r="J41" s="191">
        <v>0</v>
      </c>
    </row>
    <row r="42" spans="1:10" ht="15.75" customHeight="1">
      <c r="A42" s="98" t="s">
        <v>6</v>
      </c>
      <c r="B42" s="133" t="s">
        <v>3641</v>
      </c>
      <c r="C42" s="191" t="s">
        <v>3778</v>
      </c>
      <c r="D42" s="191" t="s">
        <v>477</v>
      </c>
      <c r="E42" s="191">
        <v>6</v>
      </c>
      <c r="F42" s="191">
        <v>0</v>
      </c>
      <c r="G42" s="191">
        <v>0</v>
      </c>
      <c r="H42" s="191" t="s">
        <v>479</v>
      </c>
      <c r="I42" s="191" t="s">
        <v>479</v>
      </c>
      <c r="J42" s="191">
        <v>0</v>
      </c>
    </row>
    <row r="43" spans="1:10" ht="15.75" customHeight="1">
      <c r="A43" s="98" t="s">
        <v>6</v>
      </c>
      <c r="B43" s="133" t="s">
        <v>3641</v>
      </c>
      <c r="C43" s="191" t="s">
        <v>3779</v>
      </c>
      <c r="D43" s="191" t="s">
        <v>477</v>
      </c>
      <c r="E43" s="191">
        <v>3</v>
      </c>
      <c r="F43" s="191">
        <v>0</v>
      </c>
      <c r="G43" s="191">
        <v>0</v>
      </c>
      <c r="H43" s="191" t="s">
        <v>479</v>
      </c>
      <c r="I43" s="191" t="s">
        <v>479</v>
      </c>
      <c r="J43" s="191">
        <v>0</v>
      </c>
    </row>
    <row r="44" spans="1:10" ht="15.75" customHeight="1">
      <c r="A44" s="98" t="s">
        <v>6</v>
      </c>
      <c r="B44" s="133" t="s">
        <v>3641</v>
      </c>
      <c r="C44" s="191" t="s">
        <v>3780</v>
      </c>
      <c r="D44" s="191" t="s">
        <v>477</v>
      </c>
      <c r="E44" s="191">
        <v>5</v>
      </c>
      <c r="F44" s="191">
        <v>0</v>
      </c>
      <c r="G44" s="191">
        <v>0</v>
      </c>
      <c r="H44" s="191" t="s">
        <v>479</v>
      </c>
      <c r="I44" s="191" t="s">
        <v>479</v>
      </c>
      <c r="J44" s="191">
        <v>0</v>
      </c>
    </row>
    <row r="45" spans="1:10" ht="15.75" customHeight="1">
      <c r="A45" s="98" t="s">
        <v>6</v>
      </c>
      <c r="B45" s="133" t="s">
        <v>3641</v>
      </c>
      <c r="C45" s="191" t="s">
        <v>2969</v>
      </c>
      <c r="D45" s="191" t="s">
        <v>477</v>
      </c>
      <c r="E45" s="191">
        <v>10</v>
      </c>
      <c r="F45" s="191">
        <v>0</v>
      </c>
      <c r="G45" s="191">
        <v>0</v>
      </c>
      <c r="H45" s="191" t="s">
        <v>479</v>
      </c>
      <c r="I45" s="191" t="s">
        <v>479</v>
      </c>
      <c r="J45" s="191">
        <v>0</v>
      </c>
    </row>
    <row r="46" spans="1:10" ht="15.75" customHeight="1">
      <c r="A46" s="98" t="s">
        <v>6</v>
      </c>
      <c r="B46" s="133" t="s">
        <v>3641</v>
      </c>
      <c r="C46" s="191" t="s">
        <v>2971</v>
      </c>
      <c r="D46" s="191" t="s">
        <v>477</v>
      </c>
      <c r="E46" s="191">
        <v>30</v>
      </c>
      <c r="F46" s="191">
        <v>0</v>
      </c>
      <c r="G46" s="191">
        <v>0</v>
      </c>
      <c r="H46" s="191" t="s">
        <v>479</v>
      </c>
      <c r="I46" s="191" t="s">
        <v>479</v>
      </c>
      <c r="J46" s="191">
        <v>0</v>
      </c>
    </row>
    <row r="47" spans="1:10" ht="15.75" customHeight="1">
      <c r="A47" s="98" t="s">
        <v>6</v>
      </c>
      <c r="B47" s="133" t="s">
        <v>3641</v>
      </c>
      <c r="C47" s="191" t="s">
        <v>3781</v>
      </c>
      <c r="D47" s="191" t="s">
        <v>481</v>
      </c>
      <c r="E47" s="191">
        <v>5</v>
      </c>
      <c r="F47" s="191">
        <v>9</v>
      </c>
      <c r="G47" s="191">
        <v>2</v>
      </c>
      <c r="H47" s="191" t="s">
        <v>479</v>
      </c>
      <c r="I47" s="191" t="s">
        <v>479</v>
      </c>
      <c r="J47" s="191">
        <v>0</v>
      </c>
    </row>
    <row r="48" spans="1:10" ht="15.75" customHeight="1">
      <c r="A48" s="98" t="s">
        <v>6</v>
      </c>
      <c r="B48" s="133" t="s">
        <v>3641</v>
      </c>
      <c r="C48" s="191" t="s">
        <v>1923</v>
      </c>
      <c r="D48" s="191" t="s">
        <v>481</v>
      </c>
      <c r="E48" s="191">
        <v>5</v>
      </c>
      <c r="F48" s="191">
        <v>9</v>
      </c>
      <c r="G48" s="191">
        <v>2</v>
      </c>
      <c r="H48" s="191" t="s">
        <v>479</v>
      </c>
      <c r="I48" s="191" t="s">
        <v>479</v>
      </c>
      <c r="J48" s="191">
        <v>0</v>
      </c>
    </row>
    <row r="49" spans="1:10" ht="15.75" customHeight="1">
      <c r="A49" s="98" t="s">
        <v>6</v>
      </c>
      <c r="B49" s="133" t="s">
        <v>3641</v>
      </c>
      <c r="C49" s="191" t="s">
        <v>3782</v>
      </c>
      <c r="D49" s="191" t="s">
        <v>481</v>
      </c>
      <c r="E49" s="191">
        <v>5</v>
      </c>
      <c r="F49" s="191">
        <v>9</v>
      </c>
      <c r="G49" s="191">
        <v>2</v>
      </c>
      <c r="H49" s="191" t="s">
        <v>479</v>
      </c>
      <c r="I49" s="191" t="s">
        <v>479</v>
      </c>
      <c r="J49" s="191">
        <v>0</v>
      </c>
    </row>
    <row r="50" spans="1:10" ht="15.75" customHeight="1">
      <c r="A50" s="98" t="s">
        <v>6</v>
      </c>
      <c r="B50" s="133" t="s">
        <v>3641</v>
      </c>
      <c r="C50" s="191" t="s">
        <v>1914</v>
      </c>
      <c r="D50" s="191" t="s">
        <v>481</v>
      </c>
      <c r="E50" s="191">
        <v>5</v>
      </c>
      <c r="F50" s="191">
        <v>9</v>
      </c>
      <c r="G50" s="191">
        <v>2</v>
      </c>
      <c r="H50" s="191" t="s">
        <v>479</v>
      </c>
      <c r="I50" s="191" t="s">
        <v>479</v>
      </c>
      <c r="J50" s="191">
        <v>0</v>
      </c>
    </row>
    <row r="51" spans="1:10" ht="15.75" customHeight="1">
      <c r="A51" s="98" t="s">
        <v>6</v>
      </c>
      <c r="B51" s="133" t="s">
        <v>3641</v>
      </c>
      <c r="C51" s="191" t="s">
        <v>1912</v>
      </c>
      <c r="D51" s="191" t="s">
        <v>481</v>
      </c>
      <c r="E51" s="191">
        <v>5</v>
      </c>
      <c r="F51" s="191">
        <v>9</v>
      </c>
      <c r="G51" s="191">
        <v>2</v>
      </c>
      <c r="H51" s="191" t="s">
        <v>479</v>
      </c>
      <c r="I51" s="191" t="s">
        <v>479</v>
      </c>
      <c r="J51" s="191">
        <v>0</v>
      </c>
    </row>
    <row r="52" spans="1:10" ht="15.75" customHeight="1">
      <c r="A52" s="98" t="s">
        <v>6</v>
      </c>
      <c r="B52" s="133" t="s">
        <v>3641</v>
      </c>
      <c r="C52" s="191" t="s">
        <v>3783</v>
      </c>
      <c r="D52" s="191" t="s">
        <v>481</v>
      </c>
      <c r="E52" s="191">
        <v>5</v>
      </c>
      <c r="F52" s="191">
        <v>9</v>
      </c>
      <c r="G52" s="191">
        <v>2</v>
      </c>
      <c r="H52" s="191" t="s">
        <v>479</v>
      </c>
      <c r="I52" s="191" t="s">
        <v>479</v>
      </c>
      <c r="J52" s="191">
        <v>0</v>
      </c>
    </row>
    <row r="53" spans="1:10" ht="15.75" customHeight="1">
      <c r="A53" s="98" t="s">
        <v>6</v>
      </c>
      <c r="B53" s="133" t="s">
        <v>3641</v>
      </c>
      <c r="C53" s="191" t="s">
        <v>3784</v>
      </c>
      <c r="D53" s="191" t="s">
        <v>481</v>
      </c>
      <c r="E53" s="191">
        <v>5</v>
      </c>
      <c r="F53" s="191">
        <v>9</v>
      </c>
      <c r="G53" s="191">
        <v>2</v>
      </c>
      <c r="H53" s="191" t="s">
        <v>479</v>
      </c>
      <c r="I53" s="191" t="s">
        <v>479</v>
      </c>
      <c r="J53" s="191">
        <v>0</v>
      </c>
    </row>
    <row r="54" spans="1:10" ht="15.75" customHeight="1">
      <c r="A54" s="98" t="s">
        <v>6</v>
      </c>
      <c r="B54" s="133" t="s">
        <v>3641</v>
      </c>
      <c r="C54" s="191" t="s">
        <v>2119</v>
      </c>
      <c r="D54" s="191" t="s">
        <v>481</v>
      </c>
      <c r="E54" s="191">
        <v>5</v>
      </c>
      <c r="F54" s="191">
        <v>9</v>
      </c>
      <c r="G54" s="191">
        <v>2</v>
      </c>
      <c r="H54" s="191" t="s">
        <v>479</v>
      </c>
      <c r="I54" s="191" t="s">
        <v>479</v>
      </c>
      <c r="J54" s="191">
        <v>0</v>
      </c>
    </row>
    <row r="55" spans="1:10" ht="15.75" customHeight="1">
      <c r="A55" s="98" t="s">
        <v>6</v>
      </c>
      <c r="B55" s="133" t="s">
        <v>3641</v>
      </c>
      <c r="C55" s="191" t="s">
        <v>3785</v>
      </c>
      <c r="D55" s="191" t="s">
        <v>481</v>
      </c>
      <c r="E55" s="191">
        <v>5</v>
      </c>
      <c r="F55" s="191">
        <v>9</v>
      </c>
      <c r="G55" s="191">
        <v>2</v>
      </c>
      <c r="H55" s="191" t="s">
        <v>479</v>
      </c>
      <c r="I55" s="191" t="s">
        <v>479</v>
      </c>
      <c r="J55" s="191">
        <v>0</v>
      </c>
    </row>
    <row r="56" spans="1:10" ht="15.75" customHeight="1">
      <c r="A56" s="98" t="s">
        <v>6</v>
      </c>
      <c r="B56" s="133" t="s">
        <v>3641</v>
      </c>
      <c r="C56" s="191" t="s">
        <v>3786</v>
      </c>
      <c r="D56" s="191" t="s">
        <v>481</v>
      </c>
      <c r="E56" s="191">
        <v>5</v>
      </c>
      <c r="F56" s="191">
        <v>5</v>
      </c>
      <c r="G56" s="191">
        <v>2</v>
      </c>
      <c r="H56" s="191" t="s">
        <v>479</v>
      </c>
      <c r="I56" s="191" t="s">
        <v>479</v>
      </c>
      <c r="J56" s="191">
        <v>0</v>
      </c>
    </row>
    <row r="57" spans="1:10" ht="15.75" customHeight="1">
      <c r="A57" s="98" t="s">
        <v>6</v>
      </c>
      <c r="B57" s="133" t="s">
        <v>3641</v>
      </c>
      <c r="C57" s="191" t="s">
        <v>3787</v>
      </c>
      <c r="D57" s="191" t="s">
        <v>481</v>
      </c>
      <c r="E57" s="191">
        <v>5</v>
      </c>
      <c r="F57" s="191">
        <v>9</v>
      </c>
      <c r="G57" s="191">
        <v>2</v>
      </c>
      <c r="H57" s="191" t="s">
        <v>479</v>
      </c>
      <c r="I57" s="191" t="s">
        <v>479</v>
      </c>
      <c r="J57" s="191">
        <v>0</v>
      </c>
    </row>
    <row r="58" spans="1:10" ht="15.75" customHeight="1">
      <c r="A58" s="98" t="s">
        <v>6</v>
      </c>
      <c r="B58" s="133" t="s">
        <v>3641</v>
      </c>
      <c r="C58" s="191" t="s">
        <v>3788</v>
      </c>
      <c r="D58" s="191" t="s">
        <v>481</v>
      </c>
      <c r="E58" s="191">
        <v>5</v>
      </c>
      <c r="F58" s="191">
        <v>9</v>
      </c>
      <c r="G58" s="191">
        <v>2</v>
      </c>
      <c r="H58" s="191" t="s">
        <v>479</v>
      </c>
      <c r="I58" s="191" t="s">
        <v>479</v>
      </c>
      <c r="J58" s="191">
        <v>0</v>
      </c>
    </row>
    <row r="59" spans="1:10" ht="15.75" customHeight="1">
      <c r="A59" s="98" t="s">
        <v>6</v>
      </c>
      <c r="B59" s="133" t="s">
        <v>3641</v>
      </c>
      <c r="C59" s="191" t="s">
        <v>3789</v>
      </c>
      <c r="D59" s="191" t="s">
        <v>481</v>
      </c>
      <c r="E59" s="191">
        <v>5</v>
      </c>
      <c r="F59" s="191">
        <v>9</v>
      </c>
      <c r="G59" s="191">
        <v>2</v>
      </c>
      <c r="H59" s="191" t="s">
        <v>479</v>
      </c>
      <c r="I59" s="191" t="s">
        <v>479</v>
      </c>
      <c r="J59" s="191">
        <v>0</v>
      </c>
    </row>
    <row r="60" spans="1:10" ht="15.75" customHeight="1">
      <c r="A60" s="98" t="s">
        <v>6</v>
      </c>
      <c r="B60" s="133" t="s">
        <v>3641</v>
      </c>
      <c r="C60" s="191" t="s">
        <v>3790</v>
      </c>
      <c r="D60" s="191" t="s">
        <v>481</v>
      </c>
      <c r="E60" s="191">
        <v>5</v>
      </c>
      <c r="F60" s="191">
        <v>9</v>
      </c>
      <c r="G60" s="191">
        <v>2</v>
      </c>
      <c r="H60" s="191" t="s">
        <v>479</v>
      </c>
      <c r="I60" s="191" t="s">
        <v>479</v>
      </c>
      <c r="J60" s="191">
        <v>0</v>
      </c>
    </row>
    <row r="61" spans="1:10" ht="15.75" customHeight="1">
      <c r="A61" s="98" t="s">
        <v>6</v>
      </c>
      <c r="B61" s="133" t="s">
        <v>3641</v>
      </c>
      <c r="C61" s="191" t="s">
        <v>3791</v>
      </c>
      <c r="D61" s="191" t="s">
        <v>481</v>
      </c>
      <c r="E61" s="191">
        <v>5</v>
      </c>
      <c r="F61" s="191">
        <v>9</v>
      </c>
      <c r="G61" s="191">
        <v>2</v>
      </c>
      <c r="H61" s="191" t="s">
        <v>479</v>
      </c>
      <c r="I61" s="191" t="s">
        <v>479</v>
      </c>
      <c r="J61" s="191">
        <v>0</v>
      </c>
    </row>
    <row r="62" spans="1:10" ht="15.75" customHeight="1">
      <c r="A62" s="98" t="s">
        <v>6</v>
      </c>
      <c r="B62" s="133" t="s">
        <v>3641</v>
      </c>
      <c r="C62" s="191" t="s">
        <v>3013</v>
      </c>
      <c r="D62" s="191" t="s">
        <v>477</v>
      </c>
      <c r="E62" s="191">
        <v>13</v>
      </c>
      <c r="F62" s="191">
        <v>0</v>
      </c>
      <c r="G62" s="191">
        <v>0</v>
      </c>
      <c r="H62" s="191" t="s">
        <v>479</v>
      </c>
      <c r="I62" s="191" t="s">
        <v>479</v>
      </c>
      <c r="J62" s="191">
        <v>0</v>
      </c>
    </row>
    <row r="63" spans="1:10" ht="15.75" customHeight="1">
      <c r="A63" s="98" t="s">
        <v>6</v>
      </c>
      <c r="B63" s="133" t="s">
        <v>3641</v>
      </c>
      <c r="C63" s="191" t="s">
        <v>3021</v>
      </c>
      <c r="D63" s="191" t="s">
        <v>477</v>
      </c>
      <c r="E63" s="191">
        <v>11</v>
      </c>
      <c r="F63" s="191">
        <v>0</v>
      </c>
      <c r="G63" s="191">
        <v>0</v>
      </c>
      <c r="H63" s="191" t="s">
        <v>479</v>
      </c>
      <c r="I63" s="191" t="s">
        <v>479</v>
      </c>
      <c r="J63" s="191">
        <v>0</v>
      </c>
    </row>
    <row r="64" spans="1:10" ht="15.75" customHeight="1">
      <c r="A64" s="98" t="s">
        <v>6</v>
      </c>
      <c r="B64" s="133" t="s">
        <v>3641</v>
      </c>
      <c r="C64" s="191" t="s">
        <v>3792</v>
      </c>
      <c r="D64" s="191" t="s">
        <v>481</v>
      </c>
      <c r="E64" s="191">
        <v>5</v>
      </c>
      <c r="F64" s="191">
        <v>9</v>
      </c>
      <c r="G64" s="191">
        <v>2</v>
      </c>
      <c r="H64" s="191" t="s">
        <v>479</v>
      </c>
      <c r="I64" s="191" t="s">
        <v>479</v>
      </c>
      <c r="J64" s="191">
        <v>0</v>
      </c>
    </row>
    <row r="65" spans="1:10" ht="15.75" customHeight="1">
      <c r="A65" s="98" t="s">
        <v>6</v>
      </c>
      <c r="B65" s="133" t="s">
        <v>3641</v>
      </c>
      <c r="C65" s="191" t="s">
        <v>3022</v>
      </c>
      <c r="D65" s="191" t="s">
        <v>481</v>
      </c>
      <c r="E65" s="191">
        <v>5</v>
      </c>
      <c r="F65" s="191">
        <v>9</v>
      </c>
      <c r="G65" s="191">
        <v>2</v>
      </c>
      <c r="H65" s="191" t="s">
        <v>479</v>
      </c>
      <c r="I65" s="191" t="s">
        <v>479</v>
      </c>
      <c r="J65" s="191">
        <v>0</v>
      </c>
    </row>
    <row r="66" spans="1:10" ht="15.75" customHeight="1">
      <c r="A66" s="98" t="s">
        <v>6</v>
      </c>
      <c r="B66" s="133" t="s">
        <v>3641</v>
      </c>
      <c r="C66" s="191" t="s">
        <v>3793</v>
      </c>
      <c r="D66" s="191" t="s">
        <v>481</v>
      </c>
      <c r="E66" s="191">
        <v>5</v>
      </c>
      <c r="F66" s="191">
        <v>9</v>
      </c>
      <c r="G66" s="191">
        <v>2</v>
      </c>
      <c r="H66" s="191" t="s">
        <v>479</v>
      </c>
      <c r="I66" s="191" t="s">
        <v>479</v>
      </c>
      <c r="J66" s="191">
        <v>0</v>
      </c>
    </row>
    <row r="67" spans="1:10" ht="15.75" customHeight="1">
      <c r="A67" s="98" t="s">
        <v>6</v>
      </c>
      <c r="B67" s="133" t="s">
        <v>3641</v>
      </c>
      <c r="C67" s="191" t="s">
        <v>3794</v>
      </c>
      <c r="D67" s="191" t="s">
        <v>481</v>
      </c>
      <c r="E67" s="191">
        <v>5</v>
      </c>
      <c r="F67" s="191">
        <v>9</v>
      </c>
      <c r="G67" s="191">
        <v>2</v>
      </c>
      <c r="H67" s="191" t="s">
        <v>479</v>
      </c>
      <c r="I67" s="191" t="s">
        <v>479</v>
      </c>
      <c r="J67" s="191">
        <v>0</v>
      </c>
    </row>
    <row r="68" spans="1:10" ht="15.75" customHeight="1">
      <c r="A68" s="98" t="s">
        <v>6</v>
      </c>
      <c r="B68" s="133" t="s">
        <v>3641</v>
      </c>
      <c r="C68" s="191" t="s">
        <v>3795</v>
      </c>
      <c r="D68" s="191" t="s">
        <v>481</v>
      </c>
      <c r="E68" s="191">
        <v>5</v>
      </c>
      <c r="F68" s="191">
        <v>9</v>
      </c>
      <c r="G68" s="191">
        <v>2</v>
      </c>
      <c r="H68" s="191" t="s">
        <v>479</v>
      </c>
      <c r="I68" s="191" t="s">
        <v>479</v>
      </c>
      <c r="J68" s="191">
        <v>0</v>
      </c>
    </row>
    <row r="69" spans="1:10" ht="15.75" customHeight="1">
      <c r="A69" s="98" t="s">
        <v>6</v>
      </c>
      <c r="B69" s="133" t="s">
        <v>3641</v>
      </c>
      <c r="C69" s="191" t="s">
        <v>3796</v>
      </c>
      <c r="D69" s="191" t="s">
        <v>481</v>
      </c>
      <c r="E69" s="191">
        <v>5</v>
      </c>
      <c r="F69" s="191">
        <v>9</v>
      </c>
      <c r="G69" s="191">
        <v>2</v>
      </c>
      <c r="H69" s="191" t="s">
        <v>479</v>
      </c>
      <c r="I69" s="191" t="s">
        <v>479</v>
      </c>
      <c r="J69" s="191">
        <v>0</v>
      </c>
    </row>
    <row r="70" spans="1:10" ht="15.75" customHeight="1">
      <c r="A70" s="98" t="s">
        <v>6</v>
      </c>
      <c r="B70" s="133" t="s">
        <v>3641</v>
      </c>
      <c r="C70" s="191" t="s">
        <v>3797</v>
      </c>
      <c r="D70" s="191" t="s">
        <v>481</v>
      </c>
      <c r="E70" s="191">
        <v>5</v>
      </c>
      <c r="F70" s="191">
        <v>9</v>
      </c>
      <c r="G70" s="191">
        <v>2</v>
      </c>
      <c r="H70" s="191" t="s">
        <v>479</v>
      </c>
      <c r="I70" s="191" t="s">
        <v>479</v>
      </c>
      <c r="J70" s="191">
        <v>0</v>
      </c>
    </row>
    <row r="71" spans="1:10" ht="15.75" customHeight="1">
      <c r="A71" s="98" t="s">
        <v>6</v>
      </c>
      <c r="B71" s="133" t="s">
        <v>3641</v>
      </c>
      <c r="C71" s="191" t="s">
        <v>3026</v>
      </c>
      <c r="D71" s="191" t="s">
        <v>481</v>
      </c>
      <c r="E71" s="191">
        <v>5</v>
      </c>
      <c r="F71" s="191">
        <v>9</v>
      </c>
      <c r="G71" s="191">
        <v>2</v>
      </c>
      <c r="H71" s="191" t="s">
        <v>479</v>
      </c>
      <c r="I71" s="191" t="s">
        <v>479</v>
      </c>
      <c r="J71" s="191">
        <v>0</v>
      </c>
    </row>
    <row r="72" spans="1:10" ht="15.75" customHeight="1">
      <c r="A72" s="98" t="s">
        <v>6</v>
      </c>
      <c r="B72" s="133" t="s">
        <v>3641</v>
      </c>
      <c r="C72" s="191" t="s">
        <v>3798</v>
      </c>
      <c r="D72" s="191" t="s">
        <v>477</v>
      </c>
      <c r="E72" s="191">
        <v>100</v>
      </c>
      <c r="F72" s="191">
        <v>0</v>
      </c>
      <c r="G72" s="191">
        <v>0</v>
      </c>
      <c r="H72" s="191" t="s">
        <v>479</v>
      </c>
      <c r="I72" s="191" t="s">
        <v>479</v>
      </c>
      <c r="J72" s="191">
        <v>0</v>
      </c>
    </row>
    <row r="73" spans="1:10" ht="15.75" customHeight="1">
      <c r="A73" s="98" t="s">
        <v>6</v>
      </c>
      <c r="B73" s="133" t="s">
        <v>3641</v>
      </c>
      <c r="C73" s="191" t="s">
        <v>3799</v>
      </c>
      <c r="D73" s="191" t="s">
        <v>477</v>
      </c>
      <c r="E73" s="191">
        <v>20</v>
      </c>
      <c r="F73" s="191">
        <v>0</v>
      </c>
      <c r="G73" s="191">
        <v>0</v>
      </c>
      <c r="H73" s="191" t="s">
        <v>479</v>
      </c>
      <c r="I73" s="191" t="s">
        <v>479</v>
      </c>
      <c r="J73" s="191">
        <v>0</v>
      </c>
    </row>
    <row r="74" spans="1:10" ht="15.75" customHeight="1">
      <c r="A74" s="98" t="s">
        <v>6</v>
      </c>
      <c r="B74" s="133" t="s">
        <v>3641</v>
      </c>
      <c r="C74" s="191" t="s">
        <v>3800</v>
      </c>
      <c r="D74" s="191" t="s">
        <v>477</v>
      </c>
      <c r="E74" s="191">
        <v>100</v>
      </c>
      <c r="F74" s="191">
        <v>0</v>
      </c>
      <c r="G74" s="191">
        <v>0</v>
      </c>
      <c r="H74" s="191" t="s">
        <v>479</v>
      </c>
      <c r="I74" s="191" t="s">
        <v>479</v>
      </c>
      <c r="J74" s="191">
        <v>0</v>
      </c>
    </row>
    <row r="75" spans="1:10" ht="15.75" customHeight="1">
      <c r="A75" s="98" t="s">
        <v>6</v>
      </c>
      <c r="B75" s="133" t="s">
        <v>3641</v>
      </c>
      <c r="C75" s="191" t="s">
        <v>3801</v>
      </c>
      <c r="D75" s="191" t="s">
        <v>477</v>
      </c>
      <c r="E75" s="191">
        <v>100</v>
      </c>
      <c r="F75" s="191">
        <v>0</v>
      </c>
      <c r="G75" s="191">
        <v>0</v>
      </c>
      <c r="H75" s="191" t="s">
        <v>479</v>
      </c>
      <c r="I75" s="191" t="s">
        <v>479</v>
      </c>
      <c r="J75" s="191">
        <v>0</v>
      </c>
    </row>
    <row r="76" spans="1:10" ht="15.75" customHeight="1">
      <c r="A76" s="98" t="s">
        <v>6</v>
      </c>
      <c r="B76" s="133" t="s">
        <v>3641</v>
      </c>
      <c r="C76" s="191" t="s">
        <v>3802</v>
      </c>
      <c r="D76" s="191" t="s">
        <v>477</v>
      </c>
      <c r="E76" s="191">
        <v>100</v>
      </c>
      <c r="F76" s="191">
        <v>0</v>
      </c>
      <c r="G76" s="191">
        <v>0</v>
      </c>
      <c r="H76" s="191" t="s">
        <v>479</v>
      </c>
      <c r="I76" s="191" t="s">
        <v>479</v>
      </c>
      <c r="J76" s="191">
        <v>0</v>
      </c>
    </row>
    <row r="77" spans="1:10" ht="15.75" customHeight="1">
      <c r="A77" s="98" t="s">
        <v>6</v>
      </c>
      <c r="B77" s="133" t="s">
        <v>3641</v>
      </c>
      <c r="C77" s="191" t="s">
        <v>3803</v>
      </c>
      <c r="D77" s="191" t="s">
        <v>477</v>
      </c>
      <c r="E77" s="191">
        <v>200</v>
      </c>
      <c r="F77" s="191">
        <v>0</v>
      </c>
      <c r="G77" s="191">
        <v>0</v>
      </c>
      <c r="H77" s="191" t="s">
        <v>479</v>
      </c>
      <c r="I77" s="191" t="s">
        <v>479</v>
      </c>
      <c r="J77" s="191">
        <v>0</v>
      </c>
    </row>
    <row r="78" spans="1:10" ht="15.75" customHeight="1">
      <c r="A78" s="98" t="s">
        <v>6</v>
      </c>
      <c r="B78" s="133" t="s">
        <v>3641</v>
      </c>
      <c r="C78" s="191" t="s">
        <v>3804</v>
      </c>
      <c r="D78" s="191" t="s">
        <v>477</v>
      </c>
      <c r="E78" s="191">
        <v>200</v>
      </c>
      <c r="F78" s="191">
        <v>0</v>
      </c>
      <c r="G78" s="191">
        <v>0</v>
      </c>
      <c r="H78" s="191" t="s">
        <v>479</v>
      </c>
      <c r="I78" s="191" t="s">
        <v>479</v>
      </c>
      <c r="J78" s="191">
        <v>0</v>
      </c>
    </row>
    <row r="79" spans="1:10" ht="15.75" customHeight="1">
      <c r="A79" s="98" t="s">
        <v>6</v>
      </c>
      <c r="B79" s="133" t="s">
        <v>3641</v>
      </c>
      <c r="C79" s="191" t="s">
        <v>3805</v>
      </c>
      <c r="D79" s="191" t="s">
        <v>477</v>
      </c>
      <c r="E79" s="191">
        <v>20</v>
      </c>
      <c r="F79" s="191">
        <v>0</v>
      </c>
      <c r="G79" s="191">
        <v>0</v>
      </c>
      <c r="H79" s="191" t="s">
        <v>479</v>
      </c>
      <c r="I79" s="191" t="s">
        <v>479</v>
      </c>
      <c r="J79" s="191">
        <v>0</v>
      </c>
    </row>
    <row r="80" spans="1:10" ht="15.75" customHeight="1">
      <c r="A80" s="98" t="s">
        <v>6</v>
      </c>
      <c r="B80" s="133" t="s">
        <v>3641</v>
      </c>
      <c r="C80" s="191" t="s">
        <v>3043</v>
      </c>
      <c r="D80" s="191" t="s">
        <v>477</v>
      </c>
      <c r="E80" s="191">
        <v>100</v>
      </c>
      <c r="F80" s="191">
        <v>0</v>
      </c>
      <c r="G80" s="191">
        <v>0</v>
      </c>
      <c r="H80" s="191" t="s">
        <v>479</v>
      </c>
      <c r="I80" s="191" t="s">
        <v>479</v>
      </c>
      <c r="J80" s="191">
        <v>0</v>
      </c>
    </row>
    <row r="81" spans="1:10" ht="15.75" customHeight="1">
      <c r="A81" s="98" t="s">
        <v>6</v>
      </c>
      <c r="B81" s="133" t="s">
        <v>3641</v>
      </c>
      <c r="C81" s="191" t="s">
        <v>1467</v>
      </c>
      <c r="D81" s="191" t="s">
        <v>477</v>
      </c>
      <c r="E81" s="191">
        <v>20</v>
      </c>
      <c r="F81" s="191">
        <v>0</v>
      </c>
      <c r="G81" s="191">
        <v>0</v>
      </c>
      <c r="H81" s="191" t="s">
        <v>479</v>
      </c>
      <c r="I81" s="191" t="s">
        <v>479</v>
      </c>
      <c r="J81" s="191">
        <v>0</v>
      </c>
    </row>
    <row r="82" spans="1:10" ht="15.75" customHeight="1">
      <c r="A82" s="98" t="s">
        <v>6</v>
      </c>
      <c r="B82" s="133" t="s">
        <v>3641</v>
      </c>
      <c r="C82" s="191" t="s">
        <v>3038</v>
      </c>
      <c r="D82" s="191" t="s">
        <v>481</v>
      </c>
      <c r="E82" s="191">
        <v>5</v>
      </c>
      <c r="F82" s="191">
        <v>9</v>
      </c>
      <c r="G82" s="191">
        <v>2</v>
      </c>
      <c r="H82" s="191" t="s">
        <v>479</v>
      </c>
      <c r="I82" s="191" t="s">
        <v>479</v>
      </c>
      <c r="J82" s="191">
        <v>0</v>
      </c>
    </row>
    <row r="83" spans="1:10" ht="15.75" customHeight="1">
      <c r="A83" s="98" t="s">
        <v>6</v>
      </c>
      <c r="B83" s="133" t="s">
        <v>3641</v>
      </c>
      <c r="C83" s="191" t="s">
        <v>3034</v>
      </c>
      <c r="D83" s="191" t="s">
        <v>481</v>
      </c>
      <c r="E83" s="191">
        <v>5</v>
      </c>
      <c r="F83" s="191">
        <v>9</v>
      </c>
      <c r="G83" s="191">
        <v>2</v>
      </c>
      <c r="H83" s="191" t="s">
        <v>479</v>
      </c>
      <c r="I83" s="191" t="s">
        <v>479</v>
      </c>
      <c r="J83" s="191">
        <v>0</v>
      </c>
    </row>
    <row r="84" spans="1:10" ht="15.75" customHeight="1">
      <c r="A84" s="98" t="s">
        <v>6</v>
      </c>
      <c r="B84" s="133" t="s">
        <v>3641</v>
      </c>
      <c r="C84" s="191" t="s">
        <v>3036</v>
      </c>
      <c r="D84" s="191" t="s">
        <v>484</v>
      </c>
      <c r="E84" s="191">
        <v>4</v>
      </c>
      <c r="F84" s="191">
        <v>10</v>
      </c>
      <c r="G84" s="191">
        <v>0</v>
      </c>
      <c r="H84" s="191" t="s">
        <v>479</v>
      </c>
      <c r="I84" s="191" t="s">
        <v>479</v>
      </c>
      <c r="J84" s="191">
        <v>0</v>
      </c>
    </row>
    <row r="85" spans="1:10" ht="15.75" customHeight="1">
      <c r="A85" s="98" t="s">
        <v>6</v>
      </c>
      <c r="B85" s="133" t="s">
        <v>3641</v>
      </c>
      <c r="C85" s="191" t="s">
        <v>3039</v>
      </c>
      <c r="D85" s="191" t="s">
        <v>484</v>
      </c>
      <c r="E85" s="191">
        <v>4</v>
      </c>
      <c r="F85" s="191">
        <v>10</v>
      </c>
      <c r="G85" s="191">
        <v>0</v>
      </c>
      <c r="H85" s="191" t="s">
        <v>479</v>
      </c>
      <c r="I85" s="191" t="s">
        <v>479</v>
      </c>
      <c r="J85" s="191">
        <v>0</v>
      </c>
    </row>
    <row r="86" spans="1:10" ht="15.75" customHeight="1">
      <c r="A86" s="98" t="s">
        <v>6</v>
      </c>
      <c r="B86" s="133" t="s">
        <v>3641</v>
      </c>
      <c r="C86" s="191" t="s">
        <v>3806</v>
      </c>
      <c r="D86" s="191" t="s">
        <v>484</v>
      </c>
      <c r="E86" s="191">
        <v>4</v>
      </c>
      <c r="F86" s="191">
        <v>10</v>
      </c>
      <c r="G86" s="191">
        <v>0</v>
      </c>
      <c r="H86" s="191" t="s">
        <v>479</v>
      </c>
      <c r="I86" s="191" t="s">
        <v>479</v>
      </c>
      <c r="J86" s="191">
        <v>0</v>
      </c>
    </row>
    <row r="87" spans="1:10" ht="15.75" customHeight="1">
      <c r="A87" s="98" t="s">
        <v>6</v>
      </c>
      <c r="B87" s="133" t="s">
        <v>3641</v>
      </c>
      <c r="C87" s="191" t="s">
        <v>3807</v>
      </c>
      <c r="D87" s="191" t="s">
        <v>477</v>
      </c>
      <c r="E87" s="191">
        <v>20</v>
      </c>
      <c r="F87" s="191">
        <v>0</v>
      </c>
      <c r="G87" s="191">
        <v>0</v>
      </c>
      <c r="H87" s="191" t="s">
        <v>479</v>
      </c>
      <c r="I87" s="191" t="s">
        <v>479</v>
      </c>
      <c r="J87" s="191">
        <v>0</v>
      </c>
    </row>
    <row r="88" spans="1:10" ht="15.75" customHeight="1">
      <c r="A88" s="98" t="s">
        <v>6</v>
      </c>
      <c r="B88" s="133" t="s">
        <v>3641</v>
      </c>
      <c r="C88" s="191" t="s">
        <v>3808</v>
      </c>
      <c r="D88" s="191" t="s">
        <v>477</v>
      </c>
      <c r="E88" s="191">
        <v>20</v>
      </c>
      <c r="F88" s="191">
        <v>0</v>
      </c>
      <c r="G88" s="191">
        <v>0</v>
      </c>
      <c r="H88" s="191" t="s">
        <v>479</v>
      </c>
      <c r="I88" s="191" t="s">
        <v>479</v>
      </c>
      <c r="J88" s="191">
        <v>0</v>
      </c>
    </row>
    <row r="89" spans="1:10" ht="15.75" customHeight="1">
      <c r="A89" s="98" t="s">
        <v>6</v>
      </c>
      <c r="B89" s="133" t="s">
        <v>3641</v>
      </c>
      <c r="C89" s="191" t="s">
        <v>3809</v>
      </c>
      <c r="D89" s="191" t="s">
        <v>477</v>
      </c>
      <c r="E89" s="191">
        <v>500</v>
      </c>
      <c r="F89" s="191">
        <v>0</v>
      </c>
      <c r="G89" s="191">
        <v>0</v>
      </c>
      <c r="H89" s="191" t="s">
        <v>479</v>
      </c>
      <c r="I89" s="191" t="s">
        <v>479</v>
      </c>
      <c r="J89" s="191">
        <v>0</v>
      </c>
    </row>
    <row r="90" spans="1:10" ht="15.75" customHeight="1">
      <c r="A90" s="98" t="s">
        <v>6</v>
      </c>
      <c r="B90" s="133" t="s">
        <v>3641</v>
      </c>
      <c r="C90" s="191" t="s">
        <v>3810</v>
      </c>
      <c r="D90" s="191" t="s">
        <v>477</v>
      </c>
      <c r="E90" s="191">
        <v>10</v>
      </c>
      <c r="F90" s="191">
        <v>0</v>
      </c>
      <c r="G90" s="191">
        <v>0</v>
      </c>
      <c r="H90" s="191" t="s">
        <v>479</v>
      </c>
      <c r="I90" s="191" t="s">
        <v>479</v>
      </c>
      <c r="J90" s="191">
        <v>0</v>
      </c>
    </row>
    <row r="91" spans="1:10" ht="15.75" customHeight="1">
      <c r="A91" s="98" t="s">
        <v>6</v>
      </c>
      <c r="B91" s="133" t="s">
        <v>3641</v>
      </c>
      <c r="C91" s="191" t="s">
        <v>3811</v>
      </c>
      <c r="D91" s="191" t="s">
        <v>477</v>
      </c>
      <c r="E91" s="191">
        <v>3</v>
      </c>
      <c r="F91" s="191">
        <v>0</v>
      </c>
      <c r="G91" s="191">
        <v>0</v>
      </c>
      <c r="H91" s="191" t="s">
        <v>479</v>
      </c>
      <c r="I91" s="191" t="s">
        <v>479</v>
      </c>
      <c r="J91" s="191">
        <v>0</v>
      </c>
    </row>
    <row r="92" spans="1:10" ht="15.75" customHeight="1">
      <c r="A92" s="98" t="s">
        <v>6</v>
      </c>
      <c r="B92" s="133" t="s">
        <v>3641</v>
      </c>
      <c r="C92" s="191" t="s">
        <v>3812</v>
      </c>
      <c r="D92" s="191" t="s">
        <v>477</v>
      </c>
      <c r="E92" s="191">
        <v>3</v>
      </c>
      <c r="F92" s="191">
        <v>0</v>
      </c>
      <c r="G92" s="191">
        <v>0</v>
      </c>
      <c r="H92" s="191" t="s">
        <v>479</v>
      </c>
      <c r="I92" s="191" t="s">
        <v>479</v>
      </c>
      <c r="J92" s="191">
        <v>0</v>
      </c>
    </row>
    <row r="93" spans="1:10" ht="15.75" customHeight="1">
      <c r="A93" s="98" t="s">
        <v>6</v>
      </c>
      <c r="B93" s="133" t="s">
        <v>3641</v>
      </c>
      <c r="C93" s="191" t="s">
        <v>3813</v>
      </c>
      <c r="D93" s="191" t="s">
        <v>477</v>
      </c>
      <c r="E93" s="191">
        <v>50</v>
      </c>
      <c r="F93" s="191">
        <v>0</v>
      </c>
      <c r="G93" s="191">
        <v>0</v>
      </c>
      <c r="H93" s="191" t="s">
        <v>479</v>
      </c>
      <c r="I93" s="191" t="s">
        <v>479</v>
      </c>
      <c r="J93" s="191">
        <v>0</v>
      </c>
    </row>
    <row r="94" spans="1:10" ht="15.75" customHeight="1">
      <c r="A94" s="98" t="s">
        <v>6</v>
      </c>
      <c r="B94" s="133" t="s">
        <v>3641</v>
      </c>
      <c r="C94" s="191" t="s">
        <v>3814</v>
      </c>
      <c r="D94" s="191" t="s">
        <v>477</v>
      </c>
      <c r="E94" s="191">
        <v>2</v>
      </c>
      <c r="F94" s="191">
        <v>0</v>
      </c>
      <c r="G94" s="191">
        <v>0</v>
      </c>
      <c r="H94" s="191" t="s">
        <v>479</v>
      </c>
      <c r="I94" s="191" t="s">
        <v>479</v>
      </c>
      <c r="J94" s="191">
        <v>0</v>
      </c>
    </row>
    <row r="95" spans="1:10" ht="15.75" customHeight="1">
      <c r="A95" s="98" t="s">
        <v>6</v>
      </c>
      <c r="B95" s="133" t="s">
        <v>3641</v>
      </c>
      <c r="C95" s="191" t="s">
        <v>3815</v>
      </c>
      <c r="D95" s="191" t="s">
        <v>496</v>
      </c>
      <c r="E95" s="191">
        <v>4</v>
      </c>
      <c r="F95" s="191">
        <v>16</v>
      </c>
      <c r="G95" s="191">
        <v>0</v>
      </c>
      <c r="H95" s="191" t="s">
        <v>479</v>
      </c>
      <c r="I95" s="191" t="s">
        <v>479</v>
      </c>
      <c r="J95" s="191">
        <v>0</v>
      </c>
    </row>
    <row r="96" spans="1:10" ht="15.75" customHeight="1">
      <c r="A96" s="98" t="s">
        <v>6</v>
      </c>
      <c r="B96" s="133" t="s">
        <v>3641</v>
      </c>
      <c r="C96" s="191" t="s">
        <v>1334</v>
      </c>
      <c r="D96" s="191" t="s">
        <v>477</v>
      </c>
      <c r="E96" s="191">
        <v>100</v>
      </c>
      <c r="F96" s="191">
        <v>0</v>
      </c>
      <c r="G96" s="191">
        <v>0</v>
      </c>
      <c r="H96" s="191" t="s">
        <v>479</v>
      </c>
      <c r="I96" s="191" t="s">
        <v>479</v>
      </c>
      <c r="J96" s="191">
        <v>0</v>
      </c>
    </row>
    <row r="97" spans="1:10" ht="15.75" customHeight="1">
      <c r="A97" s="98" t="s">
        <v>6</v>
      </c>
      <c r="B97" s="133" t="s">
        <v>3641</v>
      </c>
      <c r="C97" s="191" t="s">
        <v>3816</v>
      </c>
      <c r="D97" s="191" t="s">
        <v>496</v>
      </c>
      <c r="E97" s="191">
        <v>4</v>
      </c>
      <c r="F97" s="191">
        <v>16</v>
      </c>
      <c r="G97" s="191">
        <v>0</v>
      </c>
      <c r="H97" s="191" t="s">
        <v>479</v>
      </c>
      <c r="I97" s="191" t="s">
        <v>479</v>
      </c>
      <c r="J97" s="191">
        <v>0</v>
      </c>
    </row>
    <row r="98" spans="1:10" ht="15.75" customHeight="1">
      <c r="A98" s="98" t="s">
        <v>6</v>
      </c>
      <c r="B98" s="133" t="s">
        <v>3641</v>
      </c>
      <c r="C98" s="191" t="s">
        <v>1336</v>
      </c>
      <c r="D98" s="191" t="s">
        <v>477</v>
      </c>
      <c r="E98" s="191">
        <v>100</v>
      </c>
      <c r="F98" s="191">
        <v>0</v>
      </c>
      <c r="G98" s="191">
        <v>0</v>
      </c>
      <c r="H98" s="191" t="s">
        <v>479</v>
      </c>
      <c r="I98" s="191" t="s">
        <v>479</v>
      </c>
      <c r="J98" s="191">
        <v>0</v>
      </c>
    </row>
    <row r="99" spans="1:10" ht="15.75" customHeight="1">
      <c r="A99" s="98" t="s">
        <v>6</v>
      </c>
      <c r="B99" s="133" t="s">
        <v>3641</v>
      </c>
      <c r="C99" s="191" t="s">
        <v>3817</v>
      </c>
      <c r="D99" s="191" t="s">
        <v>477</v>
      </c>
      <c r="E99" s="191">
        <v>20</v>
      </c>
      <c r="F99" s="191">
        <v>0</v>
      </c>
      <c r="G99" s="191">
        <v>0</v>
      </c>
      <c r="H99" s="191" t="s">
        <v>479</v>
      </c>
      <c r="I99" s="191" t="s">
        <v>479</v>
      </c>
      <c r="J99" s="191">
        <v>0</v>
      </c>
    </row>
    <row r="100" spans="1:10" ht="15.75" customHeight="1">
      <c r="A100" s="98" t="s">
        <v>6</v>
      </c>
      <c r="B100" s="133" t="s">
        <v>3641</v>
      </c>
      <c r="C100" s="191" t="s">
        <v>3818</v>
      </c>
      <c r="D100" s="191" t="s">
        <v>477</v>
      </c>
      <c r="E100" s="191">
        <v>255</v>
      </c>
      <c r="F100" s="191">
        <v>0</v>
      </c>
      <c r="G100" s="191">
        <v>0</v>
      </c>
      <c r="H100" s="191" t="s">
        <v>479</v>
      </c>
      <c r="I100" s="191" t="s">
        <v>479</v>
      </c>
      <c r="J100" s="191">
        <v>0</v>
      </c>
    </row>
    <row r="101" spans="1:10" ht="15.75" customHeight="1">
      <c r="A101" s="98" t="s">
        <v>6</v>
      </c>
      <c r="B101" s="133" t="s">
        <v>3641</v>
      </c>
      <c r="C101" s="191" t="s">
        <v>3819</v>
      </c>
      <c r="D101" s="191" t="s">
        <v>477</v>
      </c>
      <c r="E101" s="191">
        <v>3</v>
      </c>
      <c r="F101" s="191">
        <v>0</v>
      </c>
      <c r="G101" s="191">
        <v>0</v>
      </c>
      <c r="H101" s="191" t="s">
        <v>479</v>
      </c>
      <c r="I101" s="191" t="s">
        <v>479</v>
      </c>
      <c r="J101" s="191">
        <v>0</v>
      </c>
    </row>
    <row r="102" spans="1:10" ht="15.75" customHeight="1">
      <c r="A102" s="98" t="s">
        <v>6</v>
      </c>
      <c r="B102" s="133" t="s">
        <v>3641</v>
      </c>
      <c r="C102" s="191" t="s">
        <v>3820</v>
      </c>
      <c r="D102" s="191" t="s">
        <v>484</v>
      </c>
      <c r="E102" s="191">
        <v>4</v>
      </c>
      <c r="F102" s="191">
        <v>10</v>
      </c>
      <c r="G102" s="191">
        <v>0</v>
      </c>
      <c r="H102" s="191" t="s">
        <v>479</v>
      </c>
      <c r="I102" s="191" t="s">
        <v>479</v>
      </c>
      <c r="J102" s="191">
        <v>0</v>
      </c>
    </row>
    <row r="103" spans="1:10" ht="15.75" customHeight="1">
      <c r="A103" s="98" t="s">
        <v>6</v>
      </c>
      <c r="B103" s="133" t="s">
        <v>3641</v>
      </c>
      <c r="C103" s="191" t="s">
        <v>3821</v>
      </c>
      <c r="D103" s="191" t="s">
        <v>477</v>
      </c>
      <c r="E103" s="191">
        <v>100</v>
      </c>
      <c r="F103" s="191">
        <v>0</v>
      </c>
      <c r="G103" s="191">
        <v>0</v>
      </c>
      <c r="H103" s="191" t="s">
        <v>479</v>
      </c>
      <c r="I103" s="191" t="s">
        <v>479</v>
      </c>
      <c r="J103" s="191">
        <v>0</v>
      </c>
    </row>
    <row r="104" spans="1:10" ht="15.75" customHeight="1">
      <c r="A104" s="98" t="s">
        <v>6</v>
      </c>
      <c r="B104" s="133" t="s">
        <v>3641</v>
      </c>
      <c r="C104" s="191" t="s">
        <v>3822</v>
      </c>
      <c r="D104" s="191" t="s">
        <v>477</v>
      </c>
      <c r="E104" s="191">
        <v>40</v>
      </c>
      <c r="F104" s="191">
        <v>0</v>
      </c>
      <c r="G104" s="191">
        <v>0</v>
      </c>
      <c r="H104" s="191" t="s">
        <v>479</v>
      </c>
      <c r="I104" s="191" t="s">
        <v>479</v>
      </c>
      <c r="J104" s="191">
        <v>0</v>
      </c>
    </row>
    <row r="105" spans="1:10" ht="15.75" customHeight="1">
      <c r="A105" s="98" t="s">
        <v>6</v>
      </c>
      <c r="B105" s="133" t="s">
        <v>3641</v>
      </c>
      <c r="C105" s="191" t="s">
        <v>3823</v>
      </c>
      <c r="D105" s="191" t="s">
        <v>481</v>
      </c>
      <c r="E105" s="191">
        <v>5</v>
      </c>
      <c r="F105" s="191">
        <v>9</v>
      </c>
      <c r="G105" s="191">
        <v>2</v>
      </c>
      <c r="H105" s="191" t="s">
        <v>479</v>
      </c>
      <c r="I105" s="191" t="s">
        <v>479</v>
      </c>
      <c r="J105" s="191">
        <v>0</v>
      </c>
    </row>
    <row r="106" spans="1:10" ht="15.75" customHeight="1">
      <c r="A106" s="98" t="s">
        <v>6</v>
      </c>
      <c r="B106" s="133" t="s">
        <v>3641</v>
      </c>
      <c r="C106" s="191" t="s">
        <v>3824</v>
      </c>
      <c r="D106" s="191" t="s">
        <v>481</v>
      </c>
      <c r="E106" s="191">
        <v>5</v>
      </c>
      <c r="F106" s="191">
        <v>9</v>
      </c>
      <c r="G106" s="191">
        <v>2</v>
      </c>
      <c r="H106" s="191" t="s">
        <v>479</v>
      </c>
      <c r="I106" s="191" t="s">
        <v>479</v>
      </c>
      <c r="J106" s="191">
        <v>0</v>
      </c>
    </row>
    <row r="107" spans="1:10" ht="15.75" customHeight="1">
      <c r="A107" s="98" t="s">
        <v>6</v>
      </c>
      <c r="B107" s="133" t="s">
        <v>3641</v>
      </c>
      <c r="C107" s="191" t="s">
        <v>3825</v>
      </c>
      <c r="D107" s="191" t="s">
        <v>481</v>
      </c>
      <c r="E107" s="191">
        <v>5</v>
      </c>
      <c r="F107" s="191">
        <v>9</v>
      </c>
      <c r="G107" s="191">
        <v>2</v>
      </c>
      <c r="H107" s="191" t="s">
        <v>479</v>
      </c>
      <c r="I107" s="191" t="s">
        <v>479</v>
      </c>
      <c r="J107" s="191">
        <v>0</v>
      </c>
    </row>
    <row r="108" spans="1:10" ht="15.75" customHeight="1">
      <c r="A108" s="98" t="s">
        <v>6</v>
      </c>
      <c r="B108" s="133" t="s">
        <v>3641</v>
      </c>
      <c r="C108" s="191" t="s">
        <v>3826</v>
      </c>
      <c r="D108" s="191" t="s">
        <v>477</v>
      </c>
      <c r="E108" s="191">
        <v>3</v>
      </c>
      <c r="F108" s="191">
        <v>0</v>
      </c>
      <c r="G108" s="191">
        <v>0</v>
      </c>
      <c r="H108" s="191" t="s">
        <v>479</v>
      </c>
      <c r="I108" s="191" t="s">
        <v>479</v>
      </c>
      <c r="J108" s="191">
        <v>0</v>
      </c>
    </row>
    <row r="109" spans="1:10" ht="15.75" customHeight="1">
      <c r="A109" s="98" t="s">
        <v>6</v>
      </c>
      <c r="B109" s="133" t="s">
        <v>3641</v>
      </c>
      <c r="C109" s="191" t="s">
        <v>3827</v>
      </c>
      <c r="D109" s="191" t="s">
        <v>477</v>
      </c>
      <c r="E109" s="191">
        <v>100</v>
      </c>
      <c r="F109" s="191">
        <v>0</v>
      </c>
      <c r="G109" s="191">
        <v>0</v>
      </c>
      <c r="H109" s="191" t="s">
        <v>479</v>
      </c>
      <c r="I109" s="191" t="s">
        <v>479</v>
      </c>
      <c r="J109" s="191">
        <v>0</v>
      </c>
    </row>
    <row r="110" spans="1:10" ht="15.75" customHeight="1">
      <c r="A110" s="98" t="s">
        <v>6</v>
      </c>
      <c r="B110" s="133" t="s">
        <v>3641</v>
      </c>
      <c r="C110" s="191" t="s">
        <v>3828</v>
      </c>
      <c r="D110" s="191" t="s">
        <v>477</v>
      </c>
      <c r="E110" s="191">
        <v>100</v>
      </c>
      <c r="F110" s="191">
        <v>0</v>
      </c>
      <c r="G110" s="191">
        <v>0</v>
      </c>
      <c r="H110" s="191" t="s">
        <v>479</v>
      </c>
      <c r="I110" s="191" t="s">
        <v>479</v>
      </c>
      <c r="J110" s="191">
        <v>0</v>
      </c>
    </row>
    <row r="111" spans="1:10" ht="15.75" customHeight="1">
      <c r="A111" s="98" t="s">
        <v>6</v>
      </c>
      <c r="B111" s="133" t="s">
        <v>3641</v>
      </c>
      <c r="C111" s="191" t="s">
        <v>1423</v>
      </c>
      <c r="D111" s="191" t="s">
        <v>477</v>
      </c>
      <c r="E111" s="191">
        <v>10</v>
      </c>
      <c r="F111" s="191">
        <v>0</v>
      </c>
      <c r="G111" s="191">
        <v>0</v>
      </c>
      <c r="H111" s="191" t="s">
        <v>479</v>
      </c>
      <c r="I111" s="191" t="s">
        <v>479</v>
      </c>
      <c r="J111" s="191">
        <v>0</v>
      </c>
    </row>
    <row r="112" spans="1:10" ht="15.75" customHeight="1">
      <c r="A112" s="98" t="s">
        <v>6</v>
      </c>
      <c r="B112" s="133" t="s">
        <v>3641</v>
      </c>
      <c r="C112" s="191" t="s">
        <v>3829</v>
      </c>
      <c r="D112" s="191" t="s">
        <v>477</v>
      </c>
      <c r="E112" s="191">
        <v>3</v>
      </c>
      <c r="F112" s="191">
        <v>0</v>
      </c>
      <c r="G112" s="191">
        <v>0</v>
      </c>
      <c r="H112" s="191" t="s">
        <v>479</v>
      </c>
      <c r="I112" s="191" t="s">
        <v>479</v>
      </c>
      <c r="J112" s="191">
        <v>0</v>
      </c>
    </row>
    <row r="113" spans="1:10" ht="15.75" customHeight="1">
      <c r="A113" s="98" t="s">
        <v>6</v>
      </c>
      <c r="B113" s="133" t="s">
        <v>3643</v>
      </c>
      <c r="C113" s="191" t="s">
        <v>3635</v>
      </c>
      <c r="D113" s="191" t="s">
        <v>477</v>
      </c>
      <c r="E113" s="191">
        <v>20</v>
      </c>
      <c r="F113" s="191">
        <v>0</v>
      </c>
      <c r="G113" s="191">
        <v>0</v>
      </c>
      <c r="H113" s="191" t="s">
        <v>479</v>
      </c>
      <c r="I113" s="191" t="s">
        <v>479</v>
      </c>
      <c r="J113" s="191">
        <v>0</v>
      </c>
    </row>
    <row r="114" spans="1:10" ht="15.75" customHeight="1">
      <c r="A114" s="98" t="s">
        <v>6</v>
      </c>
      <c r="B114" s="133" t="s">
        <v>3643</v>
      </c>
      <c r="C114" s="191" t="s">
        <v>1421</v>
      </c>
      <c r="D114" s="191" t="s">
        <v>484</v>
      </c>
      <c r="E114" s="191">
        <v>4</v>
      </c>
      <c r="F114" s="191">
        <v>10</v>
      </c>
      <c r="G114" s="191">
        <v>0</v>
      </c>
      <c r="H114" s="191" t="s">
        <v>479</v>
      </c>
      <c r="I114" s="191" t="s">
        <v>479</v>
      </c>
      <c r="J114" s="191">
        <v>0</v>
      </c>
    </row>
    <row r="115" spans="1:10" ht="15.75" customHeight="1">
      <c r="A115" s="98" t="s">
        <v>6</v>
      </c>
      <c r="B115" s="133" t="s">
        <v>3643</v>
      </c>
      <c r="C115" s="191" t="s">
        <v>371</v>
      </c>
      <c r="D115" s="191" t="s">
        <v>477</v>
      </c>
      <c r="E115" s="191">
        <v>10</v>
      </c>
      <c r="F115" s="191">
        <v>0</v>
      </c>
      <c r="G115" s="191">
        <v>0</v>
      </c>
      <c r="H115" s="191" t="s">
        <v>479</v>
      </c>
      <c r="I115" s="191" t="s">
        <v>479</v>
      </c>
      <c r="J115" s="191">
        <v>0</v>
      </c>
    </row>
    <row r="116" spans="1:10" ht="15.75" customHeight="1">
      <c r="A116" s="98" t="s">
        <v>6</v>
      </c>
      <c r="B116" s="133" t="s">
        <v>3643</v>
      </c>
      <c r="C116" s="191" t="s">
        <v>1826</v>
      </c>
      <c r="D116" s="191" t="s">
        <v>484</v>
      </c>
      <c r="E116" s="191">
        <v>4</v>
      </c>
      <c r="F116" s="191">
        <v>10</v>
      </c>
      <c r="G116" s="191">
        <v>0</v>
      </c>
      <c r="H116" s="191" t="s">
        <v>479</v>
      </c>
      <c r="I116" s="191" t="s">
        <v>479</v>
      </c>
      <c r="J116" s="191">
        <v>0</v>
      </c>
    </row>
    <row r="117" spans="1:10" ht="15.75" customHeight="1">
      <c r="A117" s="98" t="s">
        <v>6</v>
      </c>
      <c r="B117" s="133" t="s">
        <v>3643</v>
      </c>
      <c r="C117" s="191" t="s">
        <v>3830</v>
      </c>
      <c r="D117" s="191" t="s">
        <v>477</v>
      </c>
      <c r="E117" s="191">
        <v>7</v>
      </c>
      <c r="F117" s="191">
        <v>0</v>
      </c>
      <c r="G117" s="191">
        <v>0</v>
      </c>
      <c r="H117" s="191" t="s">
        <v>479</v>
      </c>
      <c r="I117" s="191" t="s">
        <v>479</v>
      </c>
      <c r="J117" s="191">
        <v>0</v>
      </c>
    </row>
    <row r="118" spans="1:10" ht="15.75" customHeight="1">
      <c r="A118" s="98" t="s">
        <v>6</v>
      </c>
      <c r="B118" s="133" t="s">
        <v>3643</v>
      </c>
      <c r="C118" s="191" t="s">
        <v>3831</v>
      </c>
      <c r="D118" s="191" t="s">
        <v>477</v>
      </c>
      <c r="E118" s="191">
        <v>7</v>
      </c>
      <c r="F118" s="191">
        <v>0</v>
      </c>
      <c r="G118" s="191">
        <v>0</v>
      </c>
      <c r="H118" s="191" t="s">
        <v>479</v>
      </c>
      <c r="I118" s="191" t="s">
        <v>479</v>
      </c>
      <c r="J118" s="191">
        <v>0</v>
      </c>
    </row>
    <row r="119" spans="1:10" ht="15.75" customHeight="1">
      <c r="A119" s="98" t="s">
        <v>6</v>
      </c>
      <c r="B119" s="133" t="s">
        <v>3643</v>
      </c>
      <c r="C119" s="191" t="s">
        <v>1823</v>
      </c>
      <c r="D119" s="191" t="s">
        <v>477</v>
      </c>
      <c r="E119" s="191">
        <v>200</v>
      </c>
      <c r="F119" s="191">
        <v>0</v>
      </c>
      <c r="G119" s="191">
        <v>0</v>
      </c>
      <c r="H119" s="191" t="s">
        <v>479</v>
      </c>
      <c r="I119" s="191" t="s">
        <v>479</v>
      </c>
      <c r="J119" s="191">
        <v>0</v>
      </c>
    </row>
    <row r="120" spans="1:10" ht="15.75" customHeight="1">
      <c r="A120" s="98" t="s">
        <v>6</v>
      </c>
      <c r="B120" s="133" t="s">
        <v>3643</v>
      </c>
      <c r="C120" s="191" t="s">
        <v>3832</v>
      </c>
      <c r="D120" s="191" t="s">
        <v>477</v>
      </c>
      <c r="E120" s="191">
        <v>200</v>
      </c>
      <c r="F120" s="191">
        <v>0</v>
      </c>
      <c r="G120" s="191">
        <v>0</v>
      </c>
      <c r="H120" s="191" t="s">
        <v>479</v>
      </c>
      <c r="I120" s="191" t="s">
        <v>479</v>
      </c>
      <c r="J120" s="191">
        <v>0</v>
      </c>
    </row>
    <row r="121" spans="1:10" ht="15.75" customHeight="1">
      <c r="A121" s="98" t="s">
        <v>6</v>
      </c>
      <c r="B121" s="133" t="s">
        <v>3643</v>
      </c>
      <c r="C121" s="191" t="s">
        <v>1835</v>
      </c>
      <c r="D121" s="191" t="s">
        <v>477</v>
      </c>
      <c r="E121" s="191">
        <v>10</v>
      </c>
      <c r="F121" s="191">
        <v>0</v>
      </c>
      <c r="G121" s="191">
        <v>0</v>
      </c>
      <c r="H121" s="191" t="s">
        <v>479</v>
      </c>
      <c r="I121" s="191" t="s">
        <v>479</v>
      </c>
      <c r="J121" s="191">
        <v>0</v>
      </c>
    </row>
    <row r="122" spans="1:10" ht="15.75" customHeight="1">
      <c r="A122" s="98" t="s">
        <v>6</v>
      </c>
      <c r="B122" s="133" t="s">
        <v>3643</v>
      </c>
      <c r="C122" s="191" t="s">
        <v>3833</v>
      </c>
      <c r="D122" s="191" t="s">
        <v>481</v>
      </c>
      <c r="E122" s="191">
        <v>5</v>
      </c>
      <c r="F122" s="191">
        <v>9</v>
      </c>
      <c r="G122" s="191">
        <v>2</v>
      </c>
      <c r="H122" s="191" t="s">
        <v>479</v>
      </c>
      <c r="I122" s="191" t="s">
        <v>479</v>
      </c>
      <c r="J122" s="191">
        <v>0</v>
      </c>
    </row>
    <row r="123" spans="1:10" ht="15.75" customHeight="1">
      <c r="A123" s="98" t="s">
        <v>6</v>
      </c>
      <c r="B123" s="133" t="s">
        <v>3643</v>
      </c>
      <c r="C123" s="191" t="s">
        <v>3834</v>
      </c>
      <c r="D123" s="191" t="s">
        <v>481</v>
      </c>
      <c r="E123" s="191">
        <v>5</v>
      </c>
      <c r="F123" s="191">
        <v>9</v>
      </c>
      <c r="G123" s="191">
        <v>2</v>
      </c>
      <c r="H123" s="191" t="s">
        <v>479</v>
      </c>
      <c r="I123" s="191" t="s">
        <v>479</v>
      </c>
      <c r="J123" s="191">
        <v>0</v>
      </c>
    </row>
    <row r="124" spans="1:10" ht="15.75" customHeight="1">
      <c r="A124" s="98" t="s">
        <v>6</v>
      </c>
      <c r="B124" s="133" t="s">
        <v>3643</v>
      </c>
      <c r="C124" s="191" t="s">
        <v>3835</v>
      </c>
      <c r="D124" s="191" t="s">
        <v>481</v>
      </c>
      <c r="E124" s="191">
        <v>5</v>
      </c>
      <c r="F124" s="191">
        <v>9</v>
      </c>
      <c r="G124" s="191">
        <v>2</v>
      </c>
      <c r="H124" s="191" t="s">
        <v>479</v>
      </c>
      <c r="I124" s="191" t="s">
        <v>479</v>
      </c>
      <c r="J124" s="191">
        <v>0</v>
      </c>
    </row>
    <row r="125" spans="1:10" ht="15.75" customHeight="1">
      <c r="A125" s="98" t="s">
        <v>6</v>
      </c>
      <c r="B125" s="133" t="s">
        <v>3643</v>
      </c>
      <c r="C125" s="191" t="s">
        <v>3836</v>
      </c>
      <c r="D125" s="191" t="s">
        <v>477</v>
      </c>
      <c r="E125" s="191">
        <v>3</v>
      </c>
      <c r="F125" s="191">
        <v>0</v>
      </c>
      <c r="G125" s="191">
        <v>0</v>
      </c>
      <c r="H125" s="191" t="s">
        <v>479</v>
      </c>
      <c r="I125" s="191" t="s">
        <v>479</v>
      </c>
      <c r="J125" s="191">
        <v>0</v>
      </c>
    </row>
    <row r="126" spans="1:10" ht="15.75" customHeight="1">
      <c r="A126" s="98" t="s">
        <v>6</v>
      </c>
      <c r="B126" s="133" t="s">
        <v>3643</v>
      </c>
      <c r="C126" s="191" t="s">
        <v>3837</v>
      </c>
      <c r="D126" s="191" t="s">
        <v>477</v>
      </c>
      <c r="E126" s="191">
        <v>3</v>
      </c>
      <c r="F126" s="191">
        <v>0</v>
      </c>
      <c r="G126" s="191">
        <v>0</v>
      </c>
      <c r="H126" s="191" t="s">
        <v>479</v>
      </c>
      <c r="I126" s="191" t="s">
        <v>479</v>
      </c>
      <c r="J126" s="191">
        <v>0</v>
      </c>
    </row>
    <row r="127" spans="1:10" ht="15.75" customHeight="1">
      <c r="A127" s="98" t="s">
        <v>6</v>
      </c>
      <c r="B127" s="133" t="s">
        <v>3643</v>
      </c>
      <c r="C127" s="191" t="s">
        <v>3838</v>
      </c>
      <c r="D127" s="191" t="s">
        <v>477</v>
      </c>
      <c r="E127" s="191">
        <v>3</v>
      </c>
      <c r="F127" s="191">
        <v>0</v>
      </c>
      <c r="G127" s="191">
        <v>0</v>
      </c>
      <c r="H127" s="191" t="s">
        <v>479</v>
      </c>
      <c r="I127" s="191" t="s">
        <v>479</v>
      </c>
      <c r="J127" s="191">
        <v>0</v>
      </c>
    </row>
    <row r="128" spans="1:10" ht="15.75" customHeight="1">
      <c r="A128" s="98" t="s">
        <v>6</v>
      </c>
      <c r="B128" s="133" t="s">
        <v>3643</v>
      </c>
      <c r="C128" s="191" t="s">
        <v>3839</v>
      </c>
      <c r="D128" s="191" t="s">
        <v>477</v>
      </c>
      <c r="E128" s="191">
        <v>3</v>
      </c>
      <c r="F128" s="191">
        <v>0</v>
      </c>
      <c r="G128" s="191">
        <v>0</v>
      </c>
      <c r="H128" s="191" t="s">
        <v>479</v>
      </c>
      <c r="I128" s="191" t="s">
        <v>479</v>
      </c>
      <c r="J128" s="191">
        <v>0</v>
      </c>
    </row>
    <row r="129" spans="1:10" ht="15.75" customHeight="1">
      <c r="A129" s="98" t="s">
        <v>6</v>
      </c>
      <c r="B129" s="133" t="s">
        <v>3643</v>
      </c>
      <c r="C129" s="191" t="s">
        <v>3840</v>
      </c>
      <c r="D129" s="191" t="s">
        <v>477</v>
      </c>
      <c r="E129" s="191">
        <v>3</v>
      </c>
      <c r="F129" s="191">
        <v>0</v>
      </c>
      <c r="G129" s="191">
        <v>0</v>
      </c>
      <c r="H129" s="191" t="s">
        <v>479</v>
      </c>
      <c r="I129" s="191" t="s">
        <v>479</v>
      </c>
      <c r="J129" s="191">
        <v>0</v>
      </c>
    </row>
    <row r="130" spans="1:10" ht="15.75" customHeight="1">
      <c r="A130" s="98" t="s">
        <v>6</v>
      </c>
      <c r="B130" s="133" t="s">
        <v>3643</v>
      </c>
      <c r="C130" s="191" t="s">
        <v>3841</v>
      </c>
      <c r="D130" s="191" t="s">
        <v>481</v>
      </c>
      <c r="E130" s="191">
        <v>5</v>
      </c>
      <c r="F130" s="191">
        <v>9</v>
      </c>
      <c r="G130" s="191">
        <v>2</v>
      </c>
      <c r="H130" s="191" t="s">
        <v>479</v>
      </c>
      <c r="I130" s="191" t="s">
        <v>479</v>
      </c>
      <c r="J130" s="191">
        <v>0</v>
      </c>
    </row>
    <row r="131" spans="1:10" ht="15.75" customHeight="1">
      <c r="A131" s="98" t="s">
        <v>6</v>
      </c>
      <c r="B131" s="133" t="s">
        <v>3643</v>
      </c>
      <c r="C131" s="191" t="s">
        <v>3842</v>
      </c>
      <c r="D131" s="191" t="s">
        <v>477</v>
      </c>
      <c r="E131" s="191">
        <v>15</v>
      </c>
      <c r="F131" s="191">
        <v>0</v>
      </c>
      <c r="G131" s="191">
        <v>0</v>
      </c>
      <c r="H131" s="191" t="s">
        <v>479</v>
      </c>
      <c r="I131" s="191" t="s">
        <v>479</v>
      </c>
      <c r="J131" s="191">
        <v>0</v>
      </c>
    </row>
    <row r="132" spans="1:10" ht="15.75" customHeight="1">
      <c r="A132" s="98" t="s">
        <v>6</v>
      </c>
      <c r="B132" s="133" t="s">
        <v>3643</v>
      </c>
      <c r="C132" s="191" t="s">
        <v>2119</v>
      </c>
      <c r="D132" s="191" t="s">
        <v>481</v>
      </c>
      <c r="E132" s="191">
        <v>5</v>
      </c>
      <c r="F132" s="191">
        <v>9</v>
      </c>
      <c r="G132" s="191">
        <v>2</v>
      </c>
      <c r="H132" s="191" t="s">
        <v>479</v>
      </c>
      <c r="I132" s="191" t="s">
        <v>479</v>
      </c>
      <c r="J132" s="191">
        <v>0</v>
      </c>
    </row>
    <row r="133" spans="1:10" ht="15.75" customHeight="1">
      <c r="A133" s="98" t="s">
        <v>6</v>
      </c>
      <c r="B133" s="133" t="s">
        <v>3643</v>
      </c>
      <c r="C133" s="191" t="s">
        <v>3785</v>
      </c>
      <c r="D133" s="191" t="s">
        <v>481</v>
      </c>
      <c r="E133" s="191">
        <v>5</v>
      </c>
      <c r="F133" s="191">
        <v>9</v>
      </c>
      <c r="G133" s="191">
        <v>2</v>
      </c>
      <c r="H133" s="191" t="s">
        <v>479</v>
      </c>
      <c r="I133" s="191" t="s">
        <v>479</v>
      </c>
      <c r="J133" s="191">
        <v>0</v>
      </c>
    </row>
    <row r="134" spans="1:10" ht="15.75" customHeight="1">
      <c r="A134" s="98" t="s">
        <v>6</v>
      </c>
      <c r="B134" s="133" t="s">
        <v>3643</v>
      </c>
      <c r="C134" s="191" t="s">
        <v>3786</v>
      </c>
      <c r="D134" s="191" t="s">
        <v>481</v>
      </c>
      <c r="E134" s="191">
        <v>5</v>
      </c>
      <c r="F134" s="191">
        <v>9</v>
      </c>
      <c r="G134" s="191">
        <v>2</v>
      </c>
      <c r="H134" s="191" t="s">
        <v>479</v>
      </c>
      <c r="I134" s="191" t="s">
        <v>479</v>
      </c>
      <c r="J134" s="191">
        <v>0</v>
      </c>
    </row>
    <row r="135" spans="1:10" ht="15.75" customHeight="1">
      <c r="A135" s="98" t="s">
        <v>6</v>
      </c>
      <c r="B135" s="133" t="s">
        <v>3643</v>
      </c>
      <c r="C135" s="191" t="s">
        <v>3843</v>
      </c>
      <c r="D135" s="191" t="s">
        <v>481</v>
      </c>
      <c r="E135" s="191">
        <v>5</v>
      </c>
      <c r="F135" s="191">
        <v>9</v>
      </c>
      <c r="G135" s="191">
        <v>2</v>
      </c>
      <c r="H135" s="191" t="s">
        <v>479</v>
      </c>
      <c r="I135" s="191" t="s">
        <v>479</v>
      </c>
      <c r="J135" s="191">
        <v>0</v>
      </c>
    </row>
    <row r="136" spans="1:10" ht="15.75" customHeight="1">
      <c r="A136" s="98" t="s">
        <v>6</v>
      </c>
      <c r="B136" s="133" t="s">
        <v>3643</v>
      </c>
      <c r="C136" s="191" t="s">
        <v>3844</v>
      </c>
      <c r="D136" s="191" t="s">
        <v>481</v>
      </c>
      <c r="E136" s="191">
        <v>5</v>
      </c>
      <c r="F136" s="191">
        <v>9</v>
      </c>
      <c r="G136" s="191">
        <v>2</v>
      </c>
      <c r="H136" s="191" t="s">
        <v>479</v>
      </c>
      <c r="I136" s="191" t="s">
        <v>479</v>
      </c>
      <c r="J136" s="191">
        <v>0</v>
      </c>
    </row>
    <row r="137" spans="1:10" ht="15.75" customHeight="1">
      <c r="A137" s="98" t="s">
        <v>6</v>
      </c>
      <c r="B137" s="133" t="s">
        <v>3643</v>
      </c>
      <c r="C137" s="191" t="s">
        <v>3845</v>
      </c>
      <c r="D137" s="191" t="s">
        <v>481</v>
      </c>
      <c r="E137" s="191">
        <v>5</v>
      </c>
      <c r="F137" s="191">
        <v>9</v>
      </c>
      <c r="G137" s="191">
        <v>2</v>
      </c>
      <c r="H137" s="191" t="s">
        <v>479</v>
      </c>
      <c r="I137" s="191" t="s">
        <v>479</v>
      </c>
      <c r="J137" s="191">
        <v>0</v>
      </c>
    </row>
    <row r="138" spans="1:10" ht="15.75" customHeight="1">
      <c r="A138" s="98" t="s">
        <v>6</v>
      </c>
      <c r="B138" s="133" t="s">
        <v>3643</v>
      </c>
      <c r="C138" s="191" t="s">
        <v>3846</v>
      </c>
      <c r="D138" s="191" t="s">
        <v>481</v>
      </c>
      <c r="E138" s="191">
        <v>5</v>
      </c>
      <c r="F138" s="191">
        <v>9</v>
      </c>
      <c r="G138" s="191">
        <v>2</v>
      </c>
      <c r="H138" s="191" t="s">
        <v>479</v>
      </c>
      <c r="I138" s="191" t="s">
        <v>479</v>
      </c>
      <c r="J138" s="191">
        <v>0</v>
      </c>
    </row>
    <row r="139" spans="1:10" ht="15.75" customHeight="1">
      <c r="A139" s="98" t="s">
        <v>6</v>
      </c>
      <c r="B139" s="133" t="s">
        <v>3643</v>
      </c>
      <c r="C139" s="191" t="s">
        <v>2835</v>
      </c>
      <c r="D139" s="191" t="s">
        <v>481</v>
      </c>
      <c r="E139" s="191">
        <v>5</v>
      </c>
      <c r="F139" s="191">
        <v>9</v>
      </c>
      <c r="G139" s="191">
        <v>2</v>
      </c>
      <c r="H139" s="191" t="s">
        <v>479</v>
      </c>
      <c r="I139" s="191" t="s">
        <v>479</v>
      </c>
      <c r="J139" s="191">
        <v>0</v>
      </c>
    </row>
    <row r="140" spans="1:10" ht="15.75" customHeight="1">
      <c r="A140" s="98" t="s">
        <v>6</v>
      </c>
      <c r="B140" s="133" t="s">
        <v>3643</v>
      </c>
      <c r="C140" s="191" t="s">
        <v>3847</v>
      </c>
      <c r="D140" s="191" t="s">
        <v>481</v>
      </c>
      <c r="E140" s="191">
        <v>5</v>
      </c>
      <c r="F140" s="191">
        <v>9</v>
      </c>
      <c r="G140" s="191">
        <v>2</v>
      </c>
      <c r="H140" s="191" t="s">
        <v>479</v>
      </c>
      <c r="I140" s="191" t="s">
        <v>479</v>
      </c>
      <c r="J140" s="191">
        <v>0</v>
      </c>
    </row>
    <row r="141" spans="1:10" ht="15.75" customHeight="1">
      <c r="A141" s="98" t="s">
        <v>6</v>
      </c>
      <c r="B141" s="133" t="s">
        <v>3643</v>
      </c>
      <c r="C141" s="191" t="s">
        <v>2827</v>
      </c>
      <c r="D141" s="191" t="s">
        <v>481</v>
      </c>
      <c r="E141" s="191">
        <v>5</v>
      </c>
      <c r="F141" s="191">
        <v>9</v>
      </c>
      <c r="G141" s="191">
        <v>2</v>
      </c>
      <c r="H141" s="191" t="s">
        <v>479</v>
      </c>
      <c r="I141" s="191" t="s">
        <v>479</v>
      </c>
      <c r="J141" s="191">
        <v>0</v>
      </c>
    </row>
    <row r="142" spans="1:10" ht="15.75" customHeight="1">
      <c r="A142" s="98" t="s">
        <v>6</v>
      </c>
      <c r="B142" s="133" t="s">
        <v>3643</v>
      </c>
      <c r="C142" s="191" t="s">
        <v>3848</v>
      </c>
      <c r="D142" s="191" t="s">
        <v>481</v>
      </c>
      <c r="E142" s="191">
        <v>5</v>
      </c>
      <c r="F142" s="191">
        <v>9</v>
      </c>
      <c r="G142" s="191">
        <v>2</v>
      </c>
      <c r="H142" s="191" t="s">
        <v>479</v>
      </c>
      <c r="I142" s="191" t="s">
        <v>479</v>
      </c>
      <c r="J142" s="191">
        <v>0</v>
      </c>
    </row>
    <row r="143" spans="1:10" ht="15.75" customHeight="1">
      <c r="A143" s="98" t="s">
        <v>6</v>
      </c>
      <c r="B143" s="133" t="s">
        <v>3643</v>
      </c>
      <c r="C143" s="191" t="s">
        <v>2831</v>
      </c>
      <c r="D143" s="191" t="s">
        <v>481</v>
      </c>
      <c r="E143" s="191">
        <v>5</v>
      </c>
      <c r="F143" s="191">
        <v>9</v>
      </c>
      <c r="G143" s="191">
        <v>2</v>
      </c>
      <c r="H143" s="191" t="s">
        <v>479</v>
      </c>
      <c r="I143" s="191" t="s">
        <v>479</v>
      </c>
      <c r="J143" s="191">
        <v>0</v>
      </c>
    </row>
    <row r="144" spans="1:10" ht="15.75" customHeight="1">
      <c r="A144" s="98" t="s">
        <v>6</v>
      </c>
      <c r="B144" s="133" t="s">
        <v>3643</v>
      </c>
      <c r="C144" s="191" t="s">
        <v>3815</v>
      </c>
      <c r="D144" s="191" t="s">
        <v>496</v>
      </c>
      <c r="E144" s="191">
        <v>4</v>
      </c>
      <c r="F144" s="191">
        <v>16</v>
      </c>
      <c r="G144" s="191">
        <v>0</v>
      </c>
      <c r="H144" s="191" t="s">
        <v>479</v>
      </c>
      <c r="I144" s="191" t="s">
        <v>479</v>
      </c>
      <c r="J144" s="191">
        <v>0</v>
      </c>
    </row>
    <row r="145" spans="1:10" ht="15.75" customHeight="1">
      <c r="A145" s="98" t="s">
        <v>6</v>
      </c>
      <c r="B145" s="133" t="s">
        <v>3643</v>
      </c>
      <c r="C145" s="191" t="s">
        <v>1334</v>
      </c>
      <c r="D145" s="191" t="s">
        <v>477</v>
      </c>
      <c r="E145" s="191">
        <v>100</v>
      </c>
      <c r="F145" s="191">
        <v>0</v>
      </c>
      <c r="G145" s="191">
        <v>0</v>
      </c>
      <c r="H145" s="191" t="s">
        <v>479</v>
      </c>
      <c r="I145" s="191" t="s">
        <v>479</v>
      </c>
      <c r="J145" s="191">
        <v>0</v>
      </c>
    </row>
    <row r="146" spans="1:10" ht="15.75" customHeight="1">
      <c r="A146" s="98" t="s">
        <v>6</v>
      </c>
      <c r="B146" s="133" t="s">
        <v>3643</v>
      </c>
      <c r="C146" s="191" t="s">
        <v>3816</v>
      </c>
      <c r="D146" s="191" t="s">
        <v>496</v>
      </c>
      <c r="E146" s="191">
        <v>4</v>
      </c>
      <c r="F146" s="191">
        <v>16</v>
      </c>
      <c r="G146" s="191">
        <v>0</v>
      </c>
      <c r="H146" s="191" t="s">
        <v>479</v>
      </c>
      <c r="I146" s="191" t="s">
        <v>479</v>
      </c>
      <c r="J146" s="191">
        <v>0</v>
      </c>
    </row>
    <row r="147" spans="1:10" ht="15.75" customHeight="1">
      <c r="A147" s="98" t="s">
        <v>6</v>
      </c>
      <c r="B147" s="133" t="s">
        <v>3643</v>
      </c>
      <c r="C147" s="191" t="s">
        <v>1336</v>
      </c>
      <c r="D147" s="191" t="s">
        <v>477</v>
      </c>
      <c r="E147" s="191">
        <v>100</v>
      </c>
      <c r="F147" s="191">
        <v>0</v>
      </c>
      <c r="G147" s="191">
        <v>0</v>
      </c>
      <c r="H147" s="191" t="s">
        <v>479</v>
      </c>
      <c r="I147" s="191" t="s">
        <v>479</v>
      </c>
      <c r="J147" s="191">
        <v>0</v>
      </c>
    </row>
    <row r="148" spans="1:10" ht="15.75" customHeight="1">
      <c r="A148" s="98" t="s">
        <v>6</v>
      </c>
      <c r="B148" s="133" t="s">
        <v>3643</v>
      </c>
      <c r="C148" s="191" t="s">
        <v>2860</v>
      </c>
      <c r="D148" s="191" t="s">
        <v>477</v>
      </c>
      <c r="E148" s="191">
        <v>20</v>
      </c>
      <c r="F148" s="191">
        <v>0</v>
      </c>
      <c r="G148" s="191">
        <v>0</v>
      </c>
      <c r="H148" s="191" t="s">
        <v>479</v>
      </c>
      <c r="I148" s="191" t="s">
        <v>479</v>
      </c>
      <c r="J148" s="191">
        <v>1</v>
      </c>
    </row>
    <row r="149" spans="1:10" ht="15.75" customHeight="1">
      <c r="A149" s="98" t="s">
        <v>6</v>
      </c>
      <c r="B149" s="133" t="s">
        <v>3643</v>
      </c>
      <c r="C149" s="191" t="s">
        <v>3849</v>
      </c>
      <c r="D149" s="191" t="s">
        <v>477</v>
      </c>
      <c r="E149" s="191">
        <v>20</v>
      </c>
      <c r="F149" s="191">
        <v>0</v>
      </c>
      <c r="G149" s="191">
        <v>0</v>
      </c>
      <c r="H149" s="191" t="s">
        <v>479</v>
      </c>
      <c r="I149" s="191" t="s">
        <v>479</v>
      </c>
      <c r="J149" s="191">
        <v>0</v>
      </c>
    </row>
    <row r="150" spans="1:10" ht="15.75" customHeight="1">
      <c r="A150" s="98" t="s">
        <v>6</v>
      </c>
      <c r="B150" s="133" t="s">
        <v>3643</v>
      </c>
      <c r="C150" s="191" t="s">
        <v>3850</v>
      </c>
      <c r="D150" s="191" t="s">
        <v>477</v>
      </c>
      <c r="E150" s="191">
        <v>20</v>
      </c>
      <c r="F150" s="191">
        <v>0</v>
      </c>
      <c r="G150" s="191">
        <v>0</v>
      </c>
      <c r="H150" s="191" t="s">
        <v>479</v>
      </c>
      <c r="I150" s="191" t="s">
        <v>479</v>
      </c>
      <c r="J150" s="191">
        <v>0</v>
      </c>
    </row>
    <row r="151" spans="1:10" ht="15.75" customHeight="1">
      <c r="A151" s="98" t="s">
        <v>6</v>
      </c>
      <c r="B151" s="133" t="s">
        <v>3645</v>
      </c>
      <c r="C151" s="191" t="s">
        <v>3635</v>
      </c>
      <c r="D151" s="191" t="s">
        <v>477</v>
      </c>
      <c r="E151" s="191">
        <v>20</v>
      </c>
      <c r="F151" s="191">
        <v>0</v>
      </c>
      <c r="G151" s="191">
        <v>0</v>
      </c>
      <c r="H151" s="191" t="s">
        <v>479</v>
      </c>
      <c r="I151" s="191" t="s">
        <v>479</v>
      </c>
      <c r="J151" s="191">
        <v>0</v>
      </c>
    </row>
    <row r="152" spans="1:10" ht="15.75" customHeight="1">
      <c r="A152" s="98" t="s">
        <v>6</v>
      </c>
      <c r="B152" s="133" t="s">
        <v>3645</v>
      </c>
      <c r="C152" s="191" t="s">
        <v>3851</v>
      </c>
      <c r="D152" s="191" t="s">
        <v>477</v>
      </c>
      <c r="E152" s="191">
        <v>20</v>
      </c>
      <c r="F152" s="191">
        <v>0</v>
      </c>
      <c r="G152" s="191">
        <v>0</v>
      </c>
      <c r="H152" s="191" t="s">
        <v>479</v>
      </c>
      <c r="I152" s="191" t="s">
        <v>479</v>
      </c>
      <c r="J152" s="191">
        <v>0</v>
      </c>
    </row>
    <row r="153" spans="1:10" ht="15.75" customHeight="1">
      <c r="A153" s="98" t="s">
        <v>6</v>
      </c>
      <c r="B153" s="133" t="s">
        <v>3645</v>
      </c>
      <c r="C153" s="191" t="s">
        <v>3852</v>
      </c>
      <c r="D153" s="191" t="s">
        <v>477</v>
      </c>
      <c r="E153" s="191">
        <v>2</v>
      </c>
      <c r="F153" s="191">
        <v>0</v>
      </c>
      <c r="G153" s="191">
        <v>0</v>
      </c>
      <c r="H153" s="191" t="s">
        <v>479</v>
      </c>
      <c r="I153" s="191" t="s">
        <v>479</v>
      </c>
      <c r="J153" s="191">
        <v>0</v>
      </c>
    </row>
    <row r="154" spans="1:10" ht="15.75" customHeight="1">
      <c r="A154" s="98" t="s">
        <v>6</v>
      </c>
      <c r="B154" s="133" t="s">
        <v>3645</v>
      </c>
      <c r="C154" s="191" t="s">
        <v>3853</v>
      </c>
      <c r="D154" s="191" t="s">
        <v>477</v>
      </c>
      <c r="E154" s="191">
        <v>10</v>
      </c>
      <c r="F154" s="191">
        <v>0</v>
      </c>
      <c r="G154" s="191">
        <v>0</v>
      </c>
      <c r="H154" s="191" t="s">
        <v>479</v>
      </c>
      <c r="I154" s="191" t="s">
        <v>479</v>
      </c>
      <c r="J154" s="191">
        <v>0</v>
      </c>
    </row>
    <row r="155" spans="1:10" ht="15.75" customHeight="1">
      <c r="A155" s="98" t="s">
        <v>6</v>
      </c>
      <c r="B155" s="133" t="s">
        <v>3645</v>
      </c>
      <c r="C155" s="191" t="s">
        <v>3820</v>
      </c>
      <c r="D155" s="191" t="s">
        <v>484</v>
      </c>
      <c r="E155" s="191">
        <v>4</v>
      </c>
      <c r="F155" s="191">
        <v>10</v>
      </c>
      <c r="G155" s="191">
        <v>0</v>
      </c>
      <c r="H155" s="191" t="s">
        <v>479</v>
      </c>
      <c r="I155" s="191" t="s">
        <v>479</v>
      </c>
      <c r="J155" s="191">
        <v>0</v>
      </c>
    </row>
    <row r="156" spans="1:10" ht="15.75" customHeight="1">
      <c r="A156" s="98" t="s">
        <v>6</v>
      </c>
      <c r="B156" s="133" t="s">
        <v>3645</v>
      </c>
      <c r="C156" s="191" t="s">
        <v>1421</v>
      </c>
      <c r="D156" s="191" t="s">
        <v>484</v>
      </c>
      <c r="E156" s="191">
        <v>4</v>
      </c>
      <c r="F156" s="191">
        <v>10</v>
      </c>
      <c r="G156" s="191">
        <v>0</v>
      </c>
      <c r="H156" s="191" t="s">
        <v>479</v>
      </c>
      <c r="I156" s="191" t="s">
        <v>479</v>
      </c>
      <c r="J156" s="191">
        <v>0</v>
      </c>
    </row>
    <row r="157" spans="1:10" ht="15.75" customHeight="1">
      <c r="A157" s="98" t="s">
        <v>6</v>
      </c>
      <c r="B157" s="133" t="s">
        <v>3645</v>
      </c>
      <c r="C157" s="191" t="s">
        <v>371</v>
      </c>
      <c r="D157" s="191" t="s">
        <v>477</v>
      </c>
      <c r="E157" s="191">
        <v>10</v>
      </c>
      <c r="F157" s="191">
        <v>0</v>
      </c>
      <c r="G157" s="191">
        <v>0</v>
      </c>
      <c r="H157" s="191" t="s">
        <v>479</v>
      </c>
      <c r="I157" s="191" t="s">
        <v>479</v>
      </c>
      <c r="J157" s="191">
        <v>0</v>
      </c>
    </row>
    <row r="158" spans="1:10" ht="15.75" customHeight="1">
      <c r="A158" s="98" t="s">
        <v>6</v>
      </c>
      <c r="B158" s="133" t="s">
        <v>3645</v>
      </c>
      <c r="C158" s="191" t="s">
        <v>1826</v>
      </c>
      <c r="D158" s="191" t="s">
        <v>484</v>
      </c>
      <c r="E158" s="191">
        <v>4</v>
      </c>
      <c r="F158" s="191">
        <v>10</v>
      </c>
      <c r="G158" s="191">
        <v>0</v>
      </c>
      <c r="H158" s="191" t="s">
        <v>479</v>
      </c>
      <c r="I158" s="191" t="s">
        <v>479</v>
      </c>
      <c r="J158" s="191">
        <v>0</v>
      </c>
    </row>
    <row r="159" spans="1:10" ht="15.75" customHeight="1">
      <c r="A159" s="98" t="s">
        <v>6</v>
      </c>
      <c r="B159" s="133" t="s">
        <v>3645</v>
      </c>
      <c r="C159" s="191" t="s">
        <v>3854</v>
      </c>
      <c r="D159" s="191" t="s">
        <v>484</v>
      </c>
      <c r="E159" s="191">
        <v>4</v>
      </c>
      <c r="F159" s="191">
        <v>10</v>
      </c>
      <c r="G159" s="191">
        <v>0</v>
      </c>
      <c r="H159" s="191" t="s">
        <v>479</v>
      </c>
      <c r="I159" s="191" t="s">
        <v>479</v>
      </c>
      <c r="J159" s="191">
        <v>0</v>
      </c>
    </row>
    <row r="160" spans="1:10" ht="15.75" customHeight="1">
      <c r="A160" s="98" t="s">
        <v>6</v>
      </c>
      <c r="B160" s="133" t="s">
        <v>3645</v>
      </c>
      <c r="C160" s="191" t="s">
        <v>3830</v>
      </c>
      <c r="D160" s="191" t="s">
        <v>477</v>
      </c>
      <c r="E160" s="191">
        <v>7</v>
      </c>
      <c r="F160" s="191">
        <v>0</v>
      </c>
      <c r="G160" s="191">
        <v>0</v>
      </c>
      <c r="H160" s="191" t="s">
        <v>479</v>
      </c>
      <c r="I160" s="191" t="s">
        <v>479</v>
      </c>
      <c r="J160" s="191">
        <v>0</v>
      </c>
    </row>
    <row r="161" spans="1:10" ht="15.75" customHeight="1">
      <c r="A161" s="98" t="s">
        <v>6</v>
      </c>
      <c r="B161" s="133" t="s">
        <v>3645</v>
      </c>
      <c r="C161" s="191" t="s">
        <v>3831</v>
      </c>
      <c r="D161" s="191" t="s">
        <v>477</v>
      </c>
      <c r="E161" s="191">
        <v>7</v>
      </c>
      <c r="F161" s="191">
        <v>0</v>
      </c>
      <c r="G161" s="191">
        <v>0</v>
      </c>
      <c r="H161" s="191" t="s">
        <v>479</v>
      </c>
      <c r="I161" s="191" t="s">
        <v>479</v>
      </c>
      <c r="J161" s="191">
        <v>0</v>
      </c>
    </row>
    <row r="162" spans="1:10" ht="15.75" customHeight="1">
      <c r="A162" s="98" t="s">
        <v>6</v>
      </c>
      <c r="B162" s="133" t="s">
        <v>3645</v>
      </c>
      <c r="C162" s="191" t="s">
        <v>1823</v>
      </c>
      <c r="D162" s="191" t="s">
        <v>477</v>
      </c>
      <c r="E162" s="191">
        <v>200</v>
      </c>
      <c r="F162" s="191">
        <v>0</v>
      </c>
      <c r="G162" s="191">
        <v>0</v>
      </c>
      <c r="H162" s="191" t="s">
        <v>479</v>
      </c>
      <c r="I162" s="191" t="s">
        <v>479</v>
      </c>
      <c r="J162" s="191">
        <v>0</v>
      </c>
    </row>
    <row r="163" spans="1:10" ht="15.75" customHeight="1">
      <c r="A163" s="98" t="s">
        <v>6</v>
      </c>
      <c r="B163" s="133" t="s">
        <v>3645</v>
      </c>
      <c r="C163" s="191" t="s">
        <v>3832</v>
      </c>
      <c r="D163" s="191" t="s">
        <v>477</v>
      </c>
      <c r="E163" s="191">
        <v>200</v>
      </c>
      <c r="F163" s="191">
        <v>0</v>
      </c>
      <c r="G163" s="191">
        <v>0</v>
      </c>
      <c r="H163" s="191" t="s">
        <v>479</v>
      </c>
      <c r="I163" s="191" t="s">
        <v>479</v>
      </c>
      <c r="J163" s="191">
        <v>0</v>
      </c>
    </row>
    <row r="164" spans="1:10" ht="15.75" customHeight="1">
      <c r="A164" s="98" t="s">
        <v>6</v>
      </c>
      <c r="B164" s="133" t="s">
        <v>3645</v>
      </c>
      <c r="C164" s="191" t="s">
        <v>1835</v>
      </c>
      <c r="D164" s="191" t="s">
        <v>477</v>
      </c>
      <c r="E164" s="191">
        <v>10</v>
      </c>
      <c r="F164" s="191">
        <v>0</v>
      </c>
      <c r="G164" s="191">
        <v>0</v>
      </c>
      <c r="H164" s="191" t="s">
        <v>479</v>
      </c>
      <c r="I164" s="191" t="s">
        <v>479</v>
      </c>
      <c r="J164" s="191">
        <v>0</v>
      </c>
    </row>
    <row r="165" spans="1:10" ht="15.75" customHeight="1">
      <c r="A165" s="98" t="s">
        <v>6</v>
      </c>
      <c r="B165" s="133" t="s">
        <v>3645</v>
      </c>
      <c r="C165" s="191" t="s">
        <v>3833</v>
      </c>
      <c r="D165" s="191" t="s">
        <v>481</v>
      </c>
      <c r="E165" s="191">
        <v>5</v>
      </c>
      <c r="F165" s="191">
        <v>9</v>
      </c>
      <c r="G165" s="191">
        <v>2</v>
      </c>
      <c r="H165" s="191" t="s">
        <v>479</v>
      </c>
      <c r="I165" s="191" t="s">
        <v>479</v>
      </c>
      <c r="J165" s="191">
        <v>0</v>
      </c>
    </row>
    <row r="166" spans="1:10" ht="15.75" customHeight="1">
      <c r="A166" s="98" t="s">
        <v>6</v>
      </c>
      <c r="B166" s="133" t="s">
        <v>3645</v>
      </c>
      <c r="C166" s="191" t="s">
        <v>3834</v>
      </c>
      <c r="D166" s="191" t="s">
        <v>481</v>
      </c>
      <c r="E166" s="191">
        <v>5</v>
      </c>
      <c r="F166" s="191">
        <v>9</v>
      </c>
      <c r="G166" s="191">
        <v>2</v>
      </c>
      <c r="H166" s="191" t="s">
        <v>479</v>
      </c>
      <c r="I166" s="191" t="s">
        <v>479</v>
      </c>
      <c r="J166" s="191">
        <v>0</v>
      </c>
    </row>
    <row r="167" spans="1:10" ht="15.75" customHeight="1">
      <c r="A167" s="98" t="s">
        <v>6</v>
      </c>
      <c r="B167" s="133" t="s">
        <v>3645</v>
      </c>
      <c r="C167" s="191" t="s">
        <v>3835</v>
      </c>
      <c r="D167" s="191" t="s">
        <v>481</v>
      </c>
      <c r="E167" s="191">
        <v>5</v>
      </c>
      <c r="F167" s="191">
        <v>9</v>
      </c>
      <c r="G167" s="191">
        <v>2</v>
      </c>
      <c r="H167" s="191" t="s">
        <v>479</v>
      </c>
      <c r="I167" s="191" t="s">
        <v>479</v>
      </c>
      <c r="J167" s="191">
        <v>0</v>
      </c>
    </row>
    <row r="168" spans="1:10" ht="15.75" customHeight="1">
      <c r="A168" s="98" t="s">
        <v>6</v>
      </c>
      <c r="B168" s="133" t="s">
        <v>3645</v>
      </c>
      <c r="C168" s="191" t="s">
        <v>3836</v>
      </c>
      <c r="D168" s="191" t="s">
        <v>477</v>
      </c>
      <c r="E168" s="191">
        <v>3</v>
      </c>
      <c r="F168" s="191">
        <v>0</v>
      </c>
      <c r="G168" s="191">
        <v>0</v>
      </c>
      <c r="H168" s="191" t="s">
        <v>479</v>
      </c>
      <c r="I168" s="191" t="s">
        <v>479</v>
      </c>
      <c r="J168" s="191">
        <v>0</v>
      </c>
    </row>
    <row r="169" spans="1:10" ht="15.75" customHeight="1">
      <c r="A169" s="98" t="s">
        <v>6</v>
      </c>
      <c r="B169" s="133" t="s">
        <v>3645</v>
      </c>
      <c r="C169" s="191" t="s">
        <v>3837</v>
      </c>
      <c r="D169" s="191" t="s">
        <v>477</v>
      </c>
      <c r="E169" s="191">
        <v>3</v>
      </c>
      <c r="F169" s="191">
        <v>0</v>
      </c>
      <c r="G169" s="191">
        <v>0</v>
      </c>
      <c r="H169" s="191" t="s">
        <v>479</v>
      </c>
      <c r="I169" s="191" t="s">
        <v>479</v>
      </c>
      <c r="J169" s="191">
        <v>0</v>
      </c>
    </row>
    <row r="170" spans="1:10" ht="15.75" customHeight="1">
      <c r="A170" s="98" t="s">
        <v>6</v>
      </c>
      <c r="B170" s="133" t="s">
        <v>3645</v>
      </c>
      <c r="C170" s="191" t="s">
        <v>3838</v>
      </c>
      <c r="D170" s="191" t="s">
        <v>477</v>
      </c>
      <c r="E170" s="191">
        <v>3</v>
      </c>
      <c r="F170" s="191">
        <v>0</v>
      </c>
      <c r="G170" s="191">
        <v>0</v>
      </c>
      <c r="H170" s="191" t="s">
        <v>479</v>
      </c>
      <c r="I170" s="191" t="s">
        <v>479</v>
      </c>
      <c r="J170" s="191">
        <v>0</v>
      </c>
    </row>
    <row r="171" spans="1:10" ht="15.75" customHeight="1">
      <c r="A171" s="98" t="s">
        <v>6</v>
      </c>
      <c r="B171" s="133" t="s">
        <v>3645</v>
      </c>
      <c r="C171" s="191" t="s">
        <v>3839</v>
      </c>
      <c r="D171" s="191" t="s">
        <v>477</v>
      </c>
      <c r="E171" s="191">
        <v>3</v>
      </c>
      <c r="F171" s="191">
        <v>0</v>
      </c>
      <c r="G171" s="191">
        <v>0</v>
      </c>
      <c r="H171" s="191" t="s">
        <v>479</v>
      </c>
      <c r="I171" s="191" t="s">
        <v>479</v>
      </c>
      <c r="J171" s="191">
        <v>0</v>
      </c>
    </row>
    <row r="172" spans="1:10" ht="15.75" customHeight="1">
      <c r="A172" s="98" t="s">
        <v>6</v>
      </c>
      <c r="B172" s="133" t="s">
        <v>3645</v>
      </c>
      <c r="C172" s="191" t="s">
        <v>3840</v>
      </c>
      <c r="D172" s="191" t="s">
        <v>477</v>
      </c>
      <c r="E172" s="191">
        <v>3</v>
      </c>
      <c r="F172" s="191">
        <v>0</v>
      </c>
      <c r="G172" s="191">
        <v>0</v>
      </c>
      <c r="H172" s="191" t="s">
        <v>479</v>
      </c>
      <c r="I172" s="191" t="s">
        <v>479</v>
      </c>
      <c r="J172" s="191">
        <v>0</v>
      </c>
    </row>
    <row r="173" spans="1:10" ht="15.75" customHeight="1">
      <c r="A173" s="98" t="s">
        <v>6</v>
      </c>
      <c r="B173" s="133" t="s">
        <v>3645</v>
      </c>
      <c r="C173" s="191" t="s">
        <v>3841</v>
      </c>
      <c r="D173" s="191" t="s">
        <v>717</v>
      </c>
      <c r="E173" s="191">
        <v>5</v>
      </c>
      <c r="F173" s="191">
        <v>9</v>
      </c>
      <c r="G173" s="191">
        <v>2</v>
      </c>
      <c r="H173" s="191" t="s">
        <v>479</v>
      </c>
      <c r="I173" s="191" t="s">
        <v>479</v>
      </c>
      <c r="J173" s="191">
        <v>0</v>
      </c>
    </row>
    <row r="174" spans="1:10" ht="15.75" customHeight="1">
      <c r="A174" s="98" t="s">
        <v>6</v>
      </c>
      <c r="B174" s="133" t="s">
        <v>3645</v>
      </c>
      <c r="C174" s="191" t="s">
        <v>3842</v>
      </c>
      <c r="D174" s="191" t="s">
        <v>477</v>
      </c>
      <c r="E174" s="191">
        <v>15</v>
      </c>
      <c r="F174" s="191">
        <v>0</v>
      </c>
      <c r="G174" s="191">
        <v>0</v>
      </c>
      <c r="H174" s="191" t="s">
        <v>479</v>
      </c>
      <c r="I174" s="191" t="s">
        <v>479</v>
      </c>
      <c r="J174" s="191">
        <v>0</v>
      </c>
    </row>
    <row r="175" spans="1:10" ht="15.75" customHeight="1">
      <c r="A175" s="98" t="s">
        <v>6</v>
      </c>
      <c r="B175" s="133" t="s">
        <v>3645</v>
      </c>
      <c r="C175" s="191" t="s">
        <v>2119</v>
      </c>
      <c r="D175" s="191" t="s">
        <v>481</v>
      </c>
      <c r="E175" s="191">
        <v>5</v>
      </c>
      <c r="F175" s="191">
        <v>9</v>
      </c>
      <c r="G175" s="191">
        <v>2</v>
      </c>
      <c r="H175" s="191" t="s">
        <v>479</v>
      </c>
      <c r="I175" s="191" t="s">
        <v>479</v>
      </c>
      <c r="J175" s="191">
        <v>0</v>
      </c>
    </row>
    <row r="176" spans="1:10" ht="15.75" customHeight="1">
      <c r="A176" s="98" t="s">
        <v>6</v>
      </c>
      <c r="B176" s="133" t="s">
        <v>3645</v>
      </c>
      <c r="C176" s="191" t="s">
        <v>3785</v>
      </c>
      <c r="D176" s="191" t="s">
        <v>481</v>
      </c>
      <c r="E176" s="191">
        <v>5</v>
      </c>
      <c r="F176" s="191">
        <v>9</v>
      </c>
      <c r="G176" s="191">
        <v>2</v>
      </c>
      <c r="H176" s="191" t="s">
        <v>479</v>
      </c>
      <c r="I176" s="191" t="s">
        <v>479</v>
      </c>
      <c r="J176" s="191">
        <v>0</v>
      </c>
    </row>
    <row r="177" spans="1:10" ht="15.75" customHeight="1">
      <c r="A177" s="98" t="s">
        <v>6</v>
      </c>
      <c r="B177" s="133" t="s">
        <v>3645</v>
      </c>
      <c r="C177" s="191" t="s">
        <v>3786</v>
      </c>
      <c r="D177" s="191" t="s">
        <v>481</v>
      </c>
      <c r="E177" s="191">
        <v>5</v>
      </c>
      <c r="F177" s="191">
        <v>9</v>
      </c>
      <c r="G177" s="191">
        <v>2</v>
      </c>
      <c r="H177" s="191" t="s">
        <v>479</v>
      </c>
      <c r="I177" s="191" t="s">
        <v>479</v>
      </c>
      <c r="J177" s="191">
        <v>0</v>
      </c>
    </row>
    <row r="178" spans="1:10" ht="15.75" customHeight="1">
      <c r="A178" s="98" t="s">
        <v>6</v>
      </c>
      <c r="B178" s="133" t="s">
        <v>3645</v>
      </c>
      <c r="C178" s="191" t="s">
        <v>3843</v>
      </c>
      <c r="D178" s="191" t="s">
        <v>481</v>
      </c>
      <c r="E178" s="191">
        <v>5</v>
      </c>
      <c r="F178" s="191">
        <v>9</v>
      </c>
      <c r="G178" s="191">
        <v>2</v>
      </c>
      <c r="H178" s="191" t="s">
        <v>479</v>
      </c>
      <c r="I178" s="191" t="s">
        <v>479</v>
      </c>
      <c r="J178" s="191">
        <v>0</v>
      </c>
    </row>
    <row r="179" spans="1:10" ht="15.75" customHeight="1">
      <c r="A179" s="98" t="s">
        <v>6</v>
      </c>
      <c r="B179" s="133" t="s">
        <v>3645</v>
      </c>
      <c r="C179" s="191" t="s">
        <v>3844</v>
      </c>
      <c r="D179" s="191" t="s">
        <v>481</v>
      </c>
      <c r="E179" s="191">
        <v>5</v>
      </c>
      <c r="F179" s="191">
        <v>9</v>
      </c>
      <c r="G179" s="191">
        <v>2</v>
      </c>
      <c r="H179" s="191" t="s">
        <v>479</v>
      </c>
      <c r="I179" s="191" t="s">
        <v>479</v>
      </c>
      <c r="J179" s="191">
        <v>0</v>
      </c>
    </row>
    <row r="180" spans="1:10" ht="15.75" customHeight="1">
      <c r="A180" s="98" t="s">
        <v>6</v>
      </c>
      <c r="B180" s="133" t="s">
        <v>3645</v>
      </c>
      <c r="C180" s="191" t="s">
        <v>3845</v>
      </c>
      <c r="D180" s="191" t="s">
        <v>481</v>
      </c>
      <c r="E180" s="191">
        <v>5</v>
      </c>
      <c r="F180" s="191">
        <v>9</v>
      </c>
      <c r="G180" s="191">
        <v>2</v>
      </c>
      <c r="H180" s="191" t="s">
        <v>479</v>
      </c>
      <c r="I180" s="191" t="s">
        <v>479</v>
      </c>
      <c r="J180" s="191">
        <v>0</v>
      </c>
    </row>
    <row r="181" spans="1:10" ht="15.75" customHeight="1">
      <c r="A181" s="98" t="s">
        <v>6</v>
      </c>
      <c r="B181" s="133" t="s">
        <v>3645</v>
      </c>
      <c r="C181" s="191" t="s">
        <v>3846</v>
      </c>
      <c r="D181" s="191" t="s">
        <v>481</v>
      </c>
      <c r="E181" s="191">
        <v>5</v>
      </c>
      <c r="F181" s="191">
        <v>9</v>
      </c>
      <c r="G181" s="191">
        <v>2</v>
      </c>
      <c r="H181" s="191" t="s">
        <v>479</v>
      </c>
      <c r="I181" s="191" t="s">
        <v>479</v>
      </c>
      <c r="J181" s="191">
        <v>0</v>
      </c>
    </row>
    <row r="182" spans="1:10" ht="15.75" customHeight="1">
      <c r="A182" s="98" t="s">
        <v>6</v>
      </c>
      <c r="B182" s="133" t="s">
        <v>3645</v>
      </c>
      <c r="C182" s="191" t="s">
        <v>2835</v>
      </c>
      <c r="D182" s="191" t="s">
        <v>481</v>
      </c>
      <c r="E182" s="191">
        <v>5</v>
      </c>
      <c r="F182" s="191">
        <v>9</v>
      </c>
      <c r="G182" s="191">
        <v>2</v>
      </c>
      <c r="H182" s="191" t="s">
        <v>479</v>
      </c>
      <c r="I182" s="191" t="s">
        <v>479</v>
      </c>
      <c r="J182" s="191">
        <v>0</v>
      </c>
    </row>
    <row r="183" spans="1:10" ht="15.75" customHeight="1">
      <c r="A183" s="98" t="s">
        <v>6</v>
      </c>
      <c r="B183" s="133" t="s">
        <v>3645</v>
      </c>
      <c r="C183" s="191" t="s">
        <v>3847</v>
      </c>
      <c r="D183" s="191" t="s">
        <v>481</v>
      </c>
      <c r="E183" s="191">
        <v>5</v>
      </c>
      <c r="F183" s="191">
        <v>9</v>
      </c>
      <c r="G183" s="191">
        <v>2</v>
      </c>
      <c r="H183" s="191" t="s">
        <v>479</v>
      </c>
      <c r="I183" s="191" t="s">
        <v>479</v>
      </c>
      <c r="J183" s="191">
        <v>0</v>
      </c>
    </row>
    <row r="184" spans="1:10" ht="15.75" customHeight="1">
      <c r="A184" s="98" t="s">
        <v>6</v>
      </c>
      <c r="B184" s="133" t="s">
        <v>3645</v>
      </c>
      <c r="C184" s="191" t="s">
        <v>2827</v>
      </c>
      <c r="D184" s="191" t="s">
        <v>481</v>
      </c>
      <c r="E184" s="191">
        <v>5</v>
      </c>
      <c r="F184" s="191">
        <v>9</v>
      </c>
      <c r="G184" s="191">
        <v>2</v>
      </c>
      <c r="H184" s="191" t="s">
        <v>479</v>
      </c>
      <c r="I184" s="191" t="s">
        <v>479</v>
      </c>
      <c r="J184" s="191">
        <v>0</v>
      </c>
    </row>
    <row r="185" spans="1:10" ht="15.75" customHeight="1">
      <c r="A185" s="98" t="s">
        <v>6</v>
      </c>
      <c r="B185" s="133" t="s">
        <v>3645</v>
      </c>
      <c r="C185" s="191" t="s">
        <v>3848</v>
      </c>
      <c r="D185" s="191" t="s">
        <v>481</v>
      </c>
      <c r="E185" s="191">
        <v>5</v>
      </c>
      <c r="F185" s="191">
        <v>9</v>
      </c>
      <c r="G185" s="191">
        <v>2</v>
      </c>
      <c r="H185" s="191" t="s">
        <v>479</v>
      </c>
      <c r="I185" s="191" t="s">
        <v>479</v>
      </c>
      <c r="J185" s="191">
        <v>0</v>
      </c>
    </row>
    <row r="186" spans="1:10" ht="15.75" customHeight="1">
      <c r="A186" s="98" t="s">
        <v>6</v>
      </c>
      <c r="B186" s="133" t="s">
        <v>3645</v>
      </c>
      <c r="C186" s="191" t="s">
        <v>2831</v>
      </c>
      <c r="D186" s="191" t="s">
        <v>481</v>
      </c>
      <c r="E186" s="191">
        <v>5</v>
      </c>
      <c r="F186" s="191">
        <v>9</v>
      </c>
      <c r="G186" s="191">
        <v>2</v>
      </c>
      <c r="H186" s="191" t="s">
        <v>479</v>
      </c>
      <c r="I186" s="191" t="s">
        <v>479</v>
      </c>
      <c r="J186" s="191">
        <v>0</v>
      </c>
    </row>
    <row r="187" spans="1:10" ht="15.75" customHeight="1">
      <c r="A187" s="98" t="s">
        <v>6</v>
      </c>
      <c r="B187" s="133" t="s">
        <v>3645</v>
      </c>
      <c r="C187" s="191" t="s">
        <v>3815</v>
      </c>
      <c r="D187" s="191" t="s">
        <v>496</v>
      </c>
      <c r="E187" s="191">
        <v>4</v>
      </c>
      <c r="F187" s="191">
        <v>16</v>
      </c>
      <c r="G187" s="191">
        <v>0</v>
      </c>
      <c r="H187" s="191" t="s">
        <v>479</v>
      </c>
      <c r="I187" s="191" t="s">
        <v>479</v>
      </c>
      <c r="J187" s="191">
        <v>0</v>
      </c>
    </row>
    <row r="188" spans="1:10" ht="15.75" customHeight="1">
      <c r="A188" s="98" t="s">
        <v>6</v>
      </c>
      <c r="B188" s="133" t="s">
        <v>3645</v>
      </c>
      <c r="C188" s="191" t="s">
        <v>1334</v>
      </c>
      <c r="D188" s="191" t="s">
        <v>477</v>
      </c>
      <c r="E188" s="191">
        <v>100</v>
      </c>
      <c r="F188" s="191">
        <v>0</v>
      </c>
      <c r="G188" s="191">
        <v>0</v>
      </c>
      <c r="H188" s="191" t="s">
        <v>479</v>
      </c>
      <c r="I188" s="191" t="s">
        <v>479</v>
      </c>
      <c r="J188" s="191">
        <v>0</v>
      </c>
    </row>
    <row r="189" spans="1:10" ht="15.75" customHeight="1">
      <c r="A189" s="98" t="s">
        <v>6</v>
      </c>
      <c r="B189" s="133" t="s">
        <v>3645</v>
      </c>
      <c r="C189" s="191" t="s">
        <v>3816</v>
      </c>
      <c r="D189" s="191" t="s">
        <v>496</v>
      </c>
      <c r="E189" s="191">
        <v>4</v>
      </c>
      <c r="F189" s="191">
        <v>16</v>
      </c>
      <c r="G189" s="191">
        <v>0</v>
      </c>
      <c r="H189" s="191" t="s">
        <v>479</v>
      </c>
      <c r="I189" s="191" t="s">
        <v>479</v>
      </c>
      <c r="J189" s="191">
        <v>0</v>
      </c>
    </row>
    <row r="190" spans="1:10" ht="15.75" customHeight="1">
      <c r="A190" s="98" t="s">
        <v>6</v>
      </c>
      <c r="B190" s="133" t="s">
        <v>3645</v>
      </c>
      <c r="C190" s="191" t="s">
        <v>1336</v>
      </c>
      <c r="D190" s="191" t="s">
        <v>477</v>
      </c>
      <c r="E190" s="191">
        <v>100</v>
      </c>
      <c r="F190" s="191">
        <v>0</v>
      </c>
      <c r="G190" s="191">
        <v>0</v>
      </c>
      <c r="H190" s="191" t="s">
        <v>479</v>
      </c>
      <c r="I190" s="191" t="s">
        <v>479</v>
      </c>
      <c r="J190" s="191">
        <v>0</v>
      </c>
    </row>
    <row r="191" spans="1:10" ht="15.75" customHeight="1">
      <c r="A191" s="98" t="s">
        <v>6</v>
      </c>
      <c r="B191" s="133" t="s">
        <v>3645</v>
      </c>
      <c r="C191" s="191" t="s">
        <v>2860</v>
      </c>
      <c r="D191" s="191" t="s">
        <v>477</v>
      </c>
      <c r="E191" s="191">
        <v>20</v>
      </c>
      <c r="F191" s="191">
        <v>0</v>
      </c>
      <c r="G191" s="191">
        <v>0</v>
      </c>
      <c r="H191" s="191" t="s">
        <v>479</v>
      </c>
      <c r="I191" s="191" t="s">
        <v>479</v>
      </c>
      <c r="J191" s="191">
        <v>1</v>
      </c>
    </row>
    <row r="192" spans="1:10" ht="15.75" customHeight="1">
      <c r="A192" s="98" t="s">
        <v>6</v>
      </c>
      <c r="B192" s="133" t="s">
        <v>3645</v>
      </c>
      <c r="C192" s="191" t="s">
        <v>2862</v>
      </c>
      <c r="D192" s="191" t="s">
        <v>477</v>
      </c>
      <c r="E192" s="191">
        <v>20</v>
      </c>
      <c r="F192" s="191">
        <v>0</v>
      </c>
      <c r="G192" s="191">
        <v>0</v>
      </c>
      <c r="H192" s="191" t="s">
        <v>479</v>
      </c>
      <c r="I192" s="191" t="s">
        <v>479</v>
      </c>
      <c r="J192" s="191">
        <v>0</v>
      </c>
    </row>
    <row r="193" spans="1:10" ht="15.75" customHeight="1">
      <c r="A193" s="98" t="s">
        <v>6</v>
      </c>
      <c r="B193" s="133" t="s">
        <v>3645</v>
      </c>
      <c r="C193" s="191" t="s">
        <v>3849</v>
      </c>
      <c r="D193" s="191" t="s">
        <v>477</v>
      </c>
      <c r="E193" s="191">
        <v>20</v>
      </c>
      <c r="F193" s="191">
        <v>0</v>
      </c>
      <c r="G193" s="191">
        <v>0</v>
      </c>
      <c r="H193" s="191" t="s">
        <v>479</v>
      </c>
      <c r="I193" s="191" t="s">
        <v>479</v>
      </c>
      <c r="J193" s="191">
        <v>0</v>
      </c>
    </row>
    <row r="194" spans="1:10" ht="15.75" customHeight="1">
      <c r="A194" s="98" t="s">
        <v>6</v>
      </c>
      <c r="B194" s="133" t="s">
        <v>3645</v>
      </c>
      <c r="C194" s="191" t="s">
        <v>3850</v>
      </c>
      <c r="D194" s="191" t="s">
        <v>477</v>
      </c>
      <c r="E194" s="191">
        <v>20</v>
      </c>
      <c r="F194" s="191">
        <v>0</v>
      </c>
      <c r="G194" s="191">
        <v>0</v>
      </c>
      <c r="H194" s="191" t="s">
        <v>479</v>
      </c>
      <c r="I194" s="191" t="s">
        <v>479</v>
      </c>
      <c r="J194" s="191">
        <v>0</v>
      </c>
    </row>
    <row r="195" spans="1:10" ht="15.75" customHeight="1">
      <c r="A195" s="98" t="s">
        <v>6</v>
      </c>
      <c r="B195" s="133" t="s">
        <v>3645</v>
      </c>
      <c r="C195" s="191" t="s">
        <v>3855</v>
      </c>
      <c r="D195" s="191" t="s">
        <v>477</v>
      </c>
      <c r="E195" s="191">
        <v>20</v>
      </c>
      <c r="F195" s="191">
        <v>0</v>
      </c>
      <c r="G195" s="191">
        <v>0</v>
      </c>
      <c r="H195" s="191" t="s">
        <v>479</v>
      </c>
      <c r="I195" s="191" t="s">
        <v>479</v>
      </c>
      <c r="J195" s="191">
        <v>0</v>
      </c>
    </row>
    <row r="196" spans="1:10" ht="15.75" customHeight="1">
      <c r="A196" s="98" t="s">
        <v>6</v>
      </c>
      <c r="B196" s="133" t="s">
        <v>3645</v>
      </c>
      <c r="C196" s="191" t="s">
        <v>3038</v>
      </c>
      <c r="D196" s="191" t="s">
        <v>481</v>
      </c>
      <c r="E196" s="191">
        <v>5</v>
      </c>
      <c r="F196" s="191">
        <v>9</v>
      </c>
      <c r="G196" s="191">
        <v>2</v>
      </c>
      <c r="H196" s="191" t="s">
        <v>479</v>
      </c>
      <c r="I196" s="191" t="s">
        <v>479</v>
      </c>
      <c r="J196" s="191">
        <v>0</v>
      </c>
    </row>
    <row r="197" spans="1:10" ht="15.75" customHeight="1">
      <c r="A197" s="98" t="s">
        <v>6</v>
      </c>
      <c r="B197" s="133" t="s">
        <v>3645</v>
      </c>
      <c r="C197" s="191" t="s">
        <v>3036</v>
      </c>
      <c r="D197" s="191" t="s">
        <v>484</v>
      </c>
      <c r="E197" s="191">
        <v>4</v>
      </c>
      <c r="F197" s="191">
        <v>10</v>
      </c>
      <c r="G197" s="191">
        <v>0</v>
      </c>
      <c r="H197" s="191" t="s">
        <v>479</v>
      </c>
      <c r="I197" s="191" t="s">
        <v>479</v>
      </c>
      <c r="J197" s="191">
        <v>0</v>
      </c>
    </row>
    <row r="198" spans="1:10" ht="15.75" customHeight="1">
      <c r="A198" s="98" t="s">
        <v>6</v>
      </c>
      <c r="B198" s="133" t="s">
        <v>3659</v>
      </c>
      <c r="C198" s="191" t="s">
        <v>3856</v>
      </c>
      <c r="D198" s="191" t="s">
        <v>477</v>
      </c>
      <c r="E198" s="191">
        <v>20</v>
      </c>
      <c r="F198" s="191">
        <v>0</v>
      </c>
      <c r="G198" s="191">
        <v>0</v>
      </c>
      <c r="H198" s="191" t="s">
        <v>479</v>
      </c>
      <c r="I198" s="191" t="s">
        <v>479</v>
      </c>
      <c r="J198" s="191">
        <v>0</v>
      </c>
    </row>
    <row r="199" spans="1:10" ht="15.75" customHeight="1">
      <c r="A199" s="98" t="s">
        <v>6</v>
      </c>
      <c r="B199" s="133" t="s">
        <v>3659</v>
      </c>
      <c r="C199" s="191" t="s">
        <v>3635</v>
      </c>
      <c r="D199" s="191" t="s">
        <v>477</v>
      </c>
      <c r="E199" s="191">
        <v>20</v>
      </c>
      <c r="F199" s="191">
        <v>0</v>
      </c>
      <c r="G199" s="191">
        <v>0</v>
      </c>
      <c r="H199" s="191" t="s">
        <v>479</v>
      </c>
      <c r="I199" s="191" t="s">
        <v>479</v>
      </c>
      <c r="J199" s="191">
        <v>0</v>
      </c>
    </row>
    <row r="200" spans="1:10" ht="15.75" customHeight="1">
      <c r="A200" s="98" t="s">
        <v>6</v>
      </c>
      <c r="B200" s="133" t="s">
        <v>3659</v>
      </c>
      <c r="C200" s="191" t="s">
        <v>3650</v>
      </c>
      <c r="D200" s="191" t="s">
        <v>477</v>
      </c>
      <c r="E200" s="191">
        <v>20</v>
      </c>
      <c r="F200" s="191">
        <v>0</v>
      </c>
      <c r="G200" s="191">
        <v>0</v>
      </c>
      <c r="H200" s="191" t="s">
        <v>479</v>
      </c>
      <c r="I200" s="191" t="s">
        <v>479</v>
      </c>
      <c r="J200" s="191">
        <v>0</v>
      </c>
    </row>
    <row r="201" spans="1:10" ht="15.75" customHeight="1">
      <c r="A201" s="98" t="s">
        <v>6</v>
      </c>
      <c r="B201" s="133" t="s">
        <v>3659</v>
      </c>
      <c r="C201" s="191" t="s">
        <v>3857</v>
      </c>
      <c r="D201" s="191" t="s">
        <v>496</v>
      </c>
      <c r="E201" s="191">
        <v>4</v>
      </c>
      <c r="F201" s="191">
        <v>16</v>
      </c>
      <c r="G201" s="191">
        <v>0</v>
      </c>
      <c r="H201" s="191" t="s">
        <v>479</v>
      </c>
      <c r="I201" s="191" t="s">
        <v>479</v>
      </c>
      <c r="J201" s="191">
        <v>0</v>
      </c>
    </row>
    <row r="202" spans="1:10" ht="15.75" customHeight="1">
      <c r="A202" s="98" t="s">
        <v>6</v>
      </c>
      <c r="B202" s="133" t="s">
        <v>3659</v>
      </c>
      <c r="C202" s="191" t="s">
        <v>3858</v>
      </c>
      <c r="D202" s="191" t="s">
        <v>477</v>
      </c>
      <c r="E202" s="191">
        <v>20</v>
      </c>
      <c r="F202" s="191">
        <v>0</v>
      </c>
      <c r="G202" s="191">
        <v>0</v>
      </c>
      <c r="H202" s="191" t="s">
        <v>479</v>
      </c>
      <c r="I202" s="191" t="s">
        <v>479</v>
      </c>
      <c r="J202" s="191">
        <v>0</v>
      </c>
    </row>
    <row r="203" spans="1:10" ht="15.75" customHeight="1">
      <c r="A203" s="98" t="s">
        <v>6</v>
      </c>
      <c r="B203" s="133" t="s">
        <v>3659</v>
      </c>
      <c r="C203" s="191" t="s">
        <v>3800</v>
      </c>
      <c r="D203" s="191" t="s">
        <v>477</v>
      </c>
      <c r="E203" s="191">
        <v>20</v>
      </c>
      <c r="F203" s="191">
        <v>0</v>
      </c>
      <c r="G203" s="191">
        <v>0</v>
      </c>
      <c r="H203" s="191" t="s">
        <v>479</v>
      </c>
      <c r="I203" s="191" t="s">
        <v>479</v>
      </c>
      <c r="J203" s="191">
        <v>0</v>
      </c>
    </row>
    <row r="204" spans="1:10" ht="15.75" customHeight="1">
      <c r="A204" s="98" t="s">
        <v>6</v>
      </c>
      <c r="B204" s="133" t="s">
        <v>3659</v>
      </c>
      <c r="C204" s="191" t="s">
        <v>3859</v>
      </c>
      <c r="D204" s="191" t="s">
        <v>477</v>
      </c>
      <c r="E204" s="191">
        <v>20</v>
      </c>
      <c r="F204" s="191">
        <v>0</v>
      </c>
      <c r="G204" s="191">
        <v>0</v>
      </c>
      <c r="H204" s="191" t="s">
        <v>479</v>
      </c>
      <c r="I204" s="191" t="s">
        <v>479</v>
      </c>
      <c r="J204" s="191">
        <v>0</v>
      </c>
    </row>
    <row r="205" spans="1:10" ht="15.75" customHeight="1">
      <c r="A205" s="98" t="s">
        <v>6</v>
      </c>
      <c r="B205" s="133" t="s">
        <v>3659</v>
      </c>
      <c r="C205" s="191" t="s">
        <v>3860</v>
      </c>
      <c r="D205" s="191" t="s">
        <v>477</v>
      </c>
      <c r="E205" s="191">
        <v>20</v>
      </c>
      <c r="F205" s="191">
        <v>0</v>
      </c>
      <c r="G205" s="191">
        <v>0</v>
      </c>
      <c r="H205" s="191" t="s">
        <v>479</v>
      </c>
      <c r="I205" s="191" t="s">
        <v>479</v>
      </c>
      <c r="J205" s="191">
        <v>0</v>
      </c>
    </row>
    <row r="206" spans="1:10" ht="15.75" customHeight="1">
      <c r="A206" s="98" t="s">
        <v>6</v>
      </c>
      <c r="B206" s="133" t="s">
        <v>3659</v>
      </c>
      <c r="C206" s="191" t="s">
        <v>3861</v>
      </c>
      <c r="D206" s="191" t="s">
        <v>477</v>
      </c>
      <c r="E206" s="191">
        <v>20</v>
      </c>
      <c r="F206" s="191">
        <v>0</v>
      </c>
      <c r="G206" s="191">
        <v>0</v>
      </c>
      <c r="H206" s="191" t="s">
        <v>479</v>
      </c>
      <c r="I206" s="191" t="s">
        <v>479</v>
      </c>
      <c r="J206" s="191">
        <v>0</v>
      </c>
    </row>
    <row r="207" spans="1:10" ht="15.75" customHeight="1">
      <c r="A207" s="98" t="s">
        <v>6</v>
      </c>
      <c r="B207" s="133" t="s">
        <v>3659</v>
      </c>
      <c r="C207" s="191" t="s">
        <v>3862</v>
      </c>
      <c r="D207" s="191" t="s">
        <v>477</v>
      </c>
      <c r="E207" s="191">
        <v>20</v>
      </c>
      <c r="F207" s="191">
        <v>0</v>
      </c>
      <c r="G207" s="191">
        <v>0</v>
      </c>
      <c r="H207" s="191" t="s">
        <v>479</v>
      </c>
      <c r="I207" s="191" t="s">
        <v>479</v>
      </c>
      <c r="J207" s="191">
        <v>0</v>
      </c>
    </row>
    <row r="208" spans="1:10" ht="15.75" customHeight="1">
      <c r="A208" s="98" t="s">
        <v>6</v>
      </c>
      <c r="B208" s="133" t="s">
        <v>3659</v>
      </c>
      <c r="C208" s="191" t="s">
        <v>3863</v>
      </c>
      <c r="D208" s="191" t="s">
        <v>477</v>
      </c>
      <c r="E208" s="191">
        <v>6</v>
      </c>
      <c r="F208" s="191">
        <v>0</v>
      </c>
      <c r="G208" s="191">
        <v>0</v>
      </c>
      <c r="H208" s="191" t="s">
        <v>479</v>
      </c>
      <c r="I208" s="191" t="s">
        <v>479</v>
      </c>
      <c r="J208" s="191">
        <v>0</v>
      </c>
    </row>
    <row r="209" spans="1:10" ht="15.75" customHeight="1">
      <c r="A209" s="98" t="s">
        <v>6</v>
      </c>
      <c r="B209" s="133" t="s">
        <v>3659</v>
      </c>
      <c r="C209" s="191" t="s">
        <v>3864</v>
      </c>
      <c r="D209" s="191" t="s">
        <v>477</v>
      </c>
      <c r="E209" s="191">
        <v>100</v>
      </c>
      <c r="F209" s="191">
        <v>0</v>
      </c>
      <c r="G209" s="191">
        <v>0</v>
      </c>
      <c r="H209" s="191" t="s">
        <v>479</v>
      </c>
      <c r="I209" s="191" t="s">
        <v>479</v>
      </c>
      <c r="J209" s="191">
        <v>0</v>
      </c>
    </row>
    <row r="210" spans="1:10" ht="15.75" customHeight="1">
      <c r="A210" s="98" t="s">
        <v>6</v>
      </c>
      <c r="B210" s="133" t="s">
        <v>3659</v>
      </c>
      <c r="C210" s="191" t="s">
        <v>3865</v>
      </c>
      <c r="D210" s="191" t="s">
        <v>477</v>
      </c>
      <c r="E210" s="191">
        <v>55</v>
      </c>
      <c r="F210" s="191">
        <v>0</v>
      </c>
      <c r="G210" s="191">
        <v>0</v>
      </c>
      <c r="H210" s="191" t="s">
        <v>479</v>
      </c>
      <c r="I210" s="191" t="s">
        <v>479</v>
      </c>
      <c r="J210" s="191">
        <v>0</v>
      </c>
    </row>
    <row r="211" spans="1:10" ht="15.75" customHeight="1">
      <c r="A211" s="98" t="s">
        <v>6</v>
      </c>
      <c r="B211" s="133" t="s">
        <v>3659</v>
      </c>
      <c r="C211" s="191" t="s">
        <v>3866</v>
      </c>
      <c r="D211" s="191" t="s">
        <v>477</v>
      </c>
      <c r="E211" s="191">
        <v>55</v>
      </c>
      <c r="F211" s="191">
        <v>0</v>
      </c>
      <c r="G211" s="191">
        <v>0</v>
      </c>
      <c r="H211" s="191" t="s">
        <v>479</v>
      </c>
      <c r="I211" s="191" t="s">
        <v>479</v>
      </c>
      <c r="J211" s="191">
        <v>0</v>
      </c>
    </row>
    <row r="212" spans="1:10" ht="15.75" customHeight="1">
      <c r="A212" s="98" t="s">
        <v>6</v>
      </c>
      <c r="B212" s="133" t="s">
        <v>3659</v>
      </c>
      <c r="C212" s="191" t="s">
        <v>3867</v>
      </c>
      <c r="D212" s="191" t="s">
        <v>477</v>
      </c>
      <c r="E212" s="191">
        <v>27</v>
      </c>
      <c r="F212" s="191">
        <v>0</v>
      </c>
      <c r="G212" s="191">
        <v>0</v>
      </c>
      <c r="H212" s="191" t="s">
        <v>479</v>
      </c>
      <c r="I212" s="191" t="s">
        <v>479</v>
      </c>
      <c r="J212" s="191">
        <v>0</v>
      </c>
    </row>
    <row r="213" spans="1:10" ht="15.75" customHeight="1">
      <c r="A213" s="98" t="s">
        <v>6</v>
      </c>
      <c r="B213" s="133" t="s">
        <v>3659</v>
      </c>
      <c r="C213" s="191" t="s">
        <v>3868</v>
      </c>
      <c r="D213" s="191" t="s">
        <v>477</v>
      </c>
      <c r="E213" s="191">
        <v>27</v>
      </c>
      <c r="F213" s="191">
        <v>0</v>
      </c>
      <c r="G213" s="191">
        <v>0</v>
      </c>
      <c r="H213" s="191" t="s">
        <v>479</v>
      </c>
      <c r="I213" s="191" t="s">
        <v>479</v>
      </c>
      <c r="J213" s="191">
        <v>0</v>
      </c>
    </row>
    <row r="214" spans="1:10" ht="15.75" customHeight="1">
      <c r="A214" s="98" t="s">
        <v>6</v>
      </c>
      <c r="B214" s="133" t="s">
        <v>3659</v>
      </c>
      <c r="C214" s="191" t="s">
        <v>3869</v>
      </c>
      <c r="D214" s="191" t="s">
        <v>477</v>
      </c>
      <c r="E214" s="191">
        <v>30</v>
      </c>
      <c r="F214" s="191">
        <v>0</v>
      </c>
      <c r="G214" s="191">
        <v>0</v>
      </c>
      <c r="H214" s="191" t="s">
        <v>479</v>
      </c>
      <c r="I214" s="191" t="s">
        <v>479</v>
      </c>
      <c r="J214" s="191">
        <v>0</v>
      </c>
    </row>
    <row r="215" spans="1:10" ht="15.75" customHeight="1">
      <c r="A215" s="98" t="s">
        <v>6</v>
      </c>
      <c r="B215" s="133" t="s">
        <v>3659</v>
      </c>
      <c r="C215" s="191" t="s">
        <v>3870</v>
      </c>
      <c r="D215" s="191" t="s">
        <v>477</v>
      </c>
      <c r="E215" s="191">
        <v>5</v>
      </c>
      <c r="F215" s="191">
        <v>0</v>
      </c>
      <c r="G215" s="191">
        <v>0</v>
      </c>
      <c r="H215" s="191" t="s">
        <v>479</v>
      </c>
      <c r="I215" s="191" t="s">
        <v>479</v>
      </c>
      <c r="J215" s="191">
        <v>0</v>
      </c>
    </row>
    <row r="216" spans="1:10" ht="15.75" customHeight="1">
      <c r="A216" s="98" t="s">
        <v>6</v>
      </c>
      <c r="B216" s="133" t="s">
        <v>3659</v>
      </c>
      <c r="C216" s="191" t="s">
        <v>3871</v>
      </c>
      <c r="D216" s="191" t="s">
        <v>477</v>
      </c>
      <c r="E216" s="191">
        <v>10</v>
      </c>
      <c r="F216" s="191">
        <v>0</v>
      </c>
      <c r="G216" s="191">
        <v>0</v>
      </c>
      <c r="H216" s="191" t="s">
        <v>479</v>
      </c>
      <c r="I216" s="191" t="s">
        <v>479</v>
      </c>
      <c r="J216" s="191">
        <v>0</v>
      </c>
    </row>
    <row r="217" spans="1:10" ht="15.75" customHeight="1">
      <c r="A217" s="98" t="s">
        <v>6</v>
      </c>
      <c r="B217" s="133" t="s">
        <v>3659</v>
      </c>
      <c r="C217" s="191" t="s">
        <v>3872</v>
      </c>
      <c r="D217" s="191" t="s">
        <v>477</v>
      </c>
      <c r="E217" s="191">
        <v>10</v>
      </c>
      <c r="F217" s="191">
        <v>0</v>
      </c>
      <c r="G217" s="191">
        <v>0</v>
      </c>
      <c r="H217" s="191" t="s">
        <v>479</v>
      </c>
      <c r="I217" s="191" t="s">
        <v>479</v>
      </c>
      <c r="J217" s="191">
        <v>0</v>
      </c>
    </row>
    <row r="218" spans="1:10" ht="15.75" customHeight="1">
      <c r="A218" s="98" t="s">
        <v>6</v>
      </c>
      <c r="B218" s="133" t="s">
        <v>3659</v>
      </c>
      <c r="C218" s="191" t="s">
        <v>3873</v>
      </c>
      <c r="D218" s="191" t="s">
        <v>484</v>
      </c>
      <c r="E218" s="191">
        <v>4</v>
      </c>
      <c r="F218" s="191">
        <v>10</v>
      </c>
      <c r="G218" s="191">
        <v>0</v>
      </c>
      <c r="H218" s="191" t="s">
        <v>479</v>
      </c>
      <c r="I218" s="191" t="s">
        <v>479</v>
      </c>
      <c r="J218" s="191">
        <v>0</v>
      </c>
    </row>
    <row r="219" spans="1:10" ht="15.75" customHeight="1">
      <c r="A219" s="98" t="s">
        <v>6</v>
      </c>
      <c r="B219" s="133" t="s">
        <v>3659</v>
      </c>
      <c r="C219" s="191" t="s">
        <v>3874</v>
      </c>
      <c r="D219" s="191" t="s">
        <v>477</v>
      </c>
      <c r="E219" s="191">
        <v>50</v>
      </c>
      <c r="F219" s="191">
        <v>0</v>
      </c>
      <c r="G219" s="191">
        <v>0</v>
      </c>
      <c r="H219" s="191" t="s">
        <v>479</v>
      </c>
      <c r="I219" s="191" t="s">
        <v>479</v>
      </c>
      <c r="J219" s="191">
        <v>0</v>
      </c>
    </row>
    <row r="220" spans="1:10" ht="15.75" customHeight="1">
      <c r="A220" s="98" t="s">
        <v>6</v>
      </c>
      <c r="B220" s="133" t="s">
        <v>3659</v>
      </c>
      <c r="C220" s="191" t="s">
        <v>3875</v>
      </c>
      <c r="D220" s="191" t="s">
        <v>477</v>
      </c>
      <c r="E220" s="191">
        <v>10</v>
      </c>
      <c r="F220" s="191">
        <v>0</v>
      </c>
      <c r="G220" s="191">
        <v>0</v>
      </c>
      <c r="H220" s="191" t="s">
        <v>479</v>
      </c>
      <c r="I220" s="191" t="s">
        <v>479</v>
      </c>
      <c r="J220" s="191">
        <v>0</v>
      </c>
    </row>
    <row r="221" spans="1:10" ht="15.75" customHeight="1">
      <c r="A221" s="98" t="s">
        <v>6</v>
      </c>
      <c r="B221" s="133" t="s">
        <v>3659</v>
      </c>
      <c r="C221" s="191" t="s">
        <v>3876</v>
      </c>
      <c r="D221" s="191" t="s">
        <v>477</v>
      </c>
      <c r="E221" s="191">
        <v>20</v>
      </c>
      <c r="F221" s="191">
        <v>0</v>
      </c>
      <c r="G221" s="191">
        <v>0</v>
      </c>
      <c r="H221" s="191" t="s">
        <v>479</v>
      </c>
      <c r="I221" s="191" t="s">
        <v>479</v>
      </c>
      <c r="J221" s="191">
        <v>0</v>
      </c>
    </row>
    <row r="222" spans="1:10" ht="15.75" customHeight="1">
      <c r="A222" s="98" t="s">
        <v>6</v>
      </c>
      <c r="B222" s="133" t="s">
        <v>3659</v>
      </c>
      <c r="C222" s="191" t="s">
        <v>3877</v>
      </c>
      <c r="D222" s="191" t="s">
        <v>477</v>
      </c>
      <c r="E222" s="191">
        <v>100</v>
      </c>
      <c r="F222" s="191">
        <v>0</v>
      </c>
      <c r="G222" s="191">
        <v>0</v>
      </c>
      <c r="H222" s="191" t="s">
        <v>479</v>
      </c>
      <c r="I222" s="191" t="s">
        <v>479</v>
      </c>
      <c r="J222" s="191">
        <v>0</v>
      </c>
    </row>
    <row r="223" spans="1:10" ht="15.75" customHeight="1">
      <c r="A223" s="98" t="s">
        <v>6</v>
      </c>
      <c r="B223" s="133" t="s">
        <v>3659</v>
      </c>
      <c r="C223" s="191" t="s">
        <v>3878</v>
      </c>
      <c r="D223" s="191" t="s">
        <v>477</v>
      </c>
      <c r="E223" s="191">
        <v>50</v>
      </c>
      <c r="F223" s="191">
        <v>0</v>
      </c>
      <c r="G223" s="191">
        <v>0</v>
      </c>
      <c r="H223" s="191" t="s">
        <v>479</v>
      </c>
      <c r="I223" s="191" t="s">
        <v>479</v>
      </c>
      <c r="J223" s="191">
        <v>0</v>
      </c>
    </row>
    <row r="224" spans="1:10" ht="15.75" customHeight="1">
      <c r="A224" s="98" t="s">
        <v>6</v>
      </c>
      <c r="B224" s="133" t="s">
        <v>3659</v>
      </c>
      <c r="C224" s="191" t="s">
        <v>3879</v>
      </c>
      <c r="D224" s="191" t="s">
        <v>477</v>
      </c>
      <c r="E224" s="191">
        <v>100</v>
      </c>
      <c r="F224" s="191">
        <v>0</v>
      </c>
      <c r="G224" s="191">
        <v>0</v>
      </c>
      <c r="H224" s="191" t="s">
        <v>479</v>
      </c>
      <c r="I224" s="191" t="s">
        <v>479</v>
      </c>
      <c r="J224" s="191">
        <v>0</v>
      </c>
    </row>
    <row r="225" spans="1:10" ht="15.75" customHeight="1">
      <c r="A225" s="98" t="s">
        <v>6</v>
      </c>
      <c r="B225" s="133" t="s">
        <v>3659</v>
      </c>
      <c r="C225" s="191" t="s">
        <v>3880</v>
      </c>
      <c r="D225" s="191" t="s">
        <v>477</v>
      </c>
      <c r="E225" s="191">
        <v>50</v>
      </c>
      <c r="F225" s="191">
        <v>0</v>
      </c>
      <c r="G225" s="191">
        <v>0</v>
      </c>
      <c r="H225" s="191" t="s">
        <v>479</v>
      </c>
      <c r="I225" s="191" t="s">
        <v>479</v>
      </c>
      <c r="J225" s="191">
        <v>0</v>
      </c>
    </row>
    <row r="226" spans="1:10" ht="15.75" customHeight="1">
      <c r="A226" s="98" t="s">
        <v>6</v>
      </c>
      <c r="B226" s="133" t="s">
        <v>3659</v>
      </c>
      <c r="C226" s="191" t="s">
        <v>3881</v>
      </c>
      <c r="D226" s="191" t="s">
        <v>477</v>
      </c>
      <c r="E226" s="191">
        <v>27</v>
      </c>
      <c r="F226" s="191">
        <v>0</v>
      </c>
      <c r="G226" s="191">
        <v>0</v>
      </c>
      <c r="H226" s="191" t="s">
        <v>479</v>
      </c>
      <c r="I226" s="191" t="s">
        <v>479</v>
      </c>
      <c r="J226" s="191">
        <v>0</v>
      </c>
    </row>
    <row r="227" spans="1:10" ht="15.75" customHeight="1">
      <c r="A227" s="98" t="s">
        <v>6</v>
      </c>
      <c r="B227" s="133" t="s">
        <v>3659</v>
      </c>
      <c r="C227" s="191" t="s">
        <v>3882</v>
      </c>
      <c r="D227" s="191" t="s">
        <v>477</v>
      </c>
      <c r="E227" s="191">
        <v>27</v>
      </c>
      <c r="F227" s="191">
        <v>0</v>
      </c>
      <c r="G227" s="191">
        <v>0</v>
      </c>
      <c r="H227" s="191" t="s">
        <v>479</v>
      </c>
      <c r="I227" s="191" t="s">
        <v>479</v>
      </c>
      <c r="J227" s="191">
        <v>0</v>
      </c>
    </row>
    <row r="228" spans="1:10" ht="15.75" customHeight="1">
      <c r="A228" s="98" t="s">
        <v>6</v>
      </c>
      <c r="B228" s="133" t="s">
        <v>3659</v>
      </c>
      <c r="C228" s="191" t="s">
        <v>3883</v>
      </c>
      <c r="D228" s="191" t="s">
        <v>477</v>
      </c>
      <c r="E228" s="191">
        <v>30</v>
      </c>
      <c r="F228" s="191">
        <v>0</v>
      </c>
      <c r="G228" s="191">
        <v>0</v>
      </c>
      <c r="H228" s="191" t="s">
        <v>479</v>
      </c>
      <c r="I228" s="191" t="s">
        <v>479</v>
      </c>
      <c r="J228" s="191">
        <v>0</v>
      </c>
    </row>
    <row r="229" spans="1:10" ht="15.75" customHeight="1">
      <c r="A229" s="98" t="s">
        <v>6</v>
      </c>
      <c r="B229" s="133" t="s">
        <v>3659</v>
      </c>
      <c r="C229" s="191" t="s">
        <v>3884</v>
      </c>
      <c r="D229" s="191" t="s">
        <v>477</v>
      </c>
      <c r="E229" s="191">
        <v>5</v>
      </c>
      <c r="F229" s="191">
        <v>0</v>
      </c>
      <c r="G229" s="191">
        <v>0</v>
      </c>
      <c r="H229" s="191" t="s">
        <v>479</v>
      </c>
      <c r="I229" s="191" t="s">
        <v>479</v>
      </c>
      <c r="J229" s="191">
        <v>0</v>
      </c>
    </row>
    <row r="230" spans="1:10" ht="15.75" customHeight="1">
      <c r="A230" s="98" t="s">
        <v>6</v>
      </c>
      <c r="B230" s="133" t="s">
        <v>3659</v>
      </c>
      <c r="C230" s="191" t="s">
        <v>3885</v>
      </c>
      <c r="D230" s="191" t="s">
        <v>477</v>
      </c>
      <c r="E230" s="191">
        <v>20</v>
      </c>
      <c r="F230" s="191">
        <v>0</v>
      </c>
      <c r="G230" s="191">
        <v>0</v>
      </c>
      <c r="H230" s="191" t="s">
        <v>479</v>
      </c>
      <c r="I230" s="191" t="s">
        <v>479</v>
      </c>
      <c r="J230" s="191">
        <v>0</v>
      </c>
    </row>
    <row r="231" spans="1:10" ht="15.75" customHeight="1">
      <c r="A231" s="98" t="s">
        <v>6</v>
      </c>
      <c r="B231" s="133" t="s">
        <v>3659</v>
      </c>
      <c r="C231" s="191" t="s">
        <v>3886</v>
      </c>
      <c r="D231" s="191" t="s">
        <v>496</v>
      </c>
      <c r="E231" s="191">
        <v>4</v>
      </c>
      <c r="F231" s="191">
        <v>16</v>
      </c>
      <c r="G231" s="191">
        <v>0</v>
      </c>
      <c r="H231" s="191" t="s">
        <v>479</v>
      </c>
      <c r="I231" s="191" t="s">
        <v>479</v>
      </c>
      <c r="J231" s="191">
        <v>0</v>
      </c>
    </row>
    <row r="232" spans="1:10" ht="15.75" customHeight="1">
      <c r="A232" s="98" t="s">
        <v>6</v>
      </c>
      <c r="B232" s="133" t="s">
        <v>3659</v>
      </c>
      <c r="C232" s="191" t="s">
        <v>2187</v>
      </c>
      <c r="D232" s="191" t="s">
        <v>477</v>
      </c>
      <c r="E232" s="191">
        <v>150</v>
      </c>
      <c r="F232" s="191">
        <v>0</v>
      </c>
      <c r="G232" s="191">
        <v>0</v>
      </c>
      <c r="H232" s="191" t="s">
        <v>479</v>
      </c>
      <c r="I232" s="191" t="s">
        <v>479</v>
      </c>
      <c r="J232" s="191">
        <v>0</v>
      </c>
    </row>
    <row r="233" spans="1:10" ht="15.75" customHeight="1">
      <c r="A233" s="98" t="s">
        <v>6</v>
      </c>
      <c r="B233" s="133" t="s">
        <v>3659</v>
      </c>
      <c r="C233" s="191" t="s">
        <v>2188</v>
      </c>
      <c r="D233" s="191" t="s">
        <v>477</v>
      </c>
      <c r="E233" s="191">
        <v>150</v>
      </c>
      <c r="F233" s="191">
        <v>0</v>
      </c>
      <c r="G233" s="191">
        <v>0</v>
      </c>
      <c r="H233" s="191" t="s">
        <v>479</v>
      </c>
      <c r="I233" s="191" t="s">
        <v>479</v>
      </c>
      <c r="J233" s="191">
        <v>0</v>
      </c>
    </row>
    <row r="234" spans="1:10" ht="15.75" customHeight="1">
      <c r="A234" s="98" t="s">
        <v>6</v>
      </c>
      <c r="B234" s="133" t="s">
        <v>3659</v>
      </c>
      <c r="C234" s="191" t="s">
        <v>2202</v>
      </c>
      <c r="D234" s="191" t="s">
        <v>477</v>
      </c>
      <c r="E234" s="191">
        <v>27</v>
      </c>
      <c r="F234" s="191">
        <v>0</v>
      </c>
      <c r="G234" s="191">
        <v>0</v>
      </c>
      <c r="H234" s="191" t="s">
        <v>479</v>
      </c>
      <c r="I234" s="191" t="s">
        <v>479</v>
      </c>
      <c r="J234" s="191">
        <v>0</v>
      </c>
    </row>
    <row r="235" spans="1:10" ht="15.75" customHeight="1">
      <c r="A235" s="98" t="s">
        <v>6</v>
      </c>
      <c r="B235" s="133" t="s">
        <v>3659</v>
      </c>
      <c r="C235" s="191" t="s">
        <v>2204</v>
      </c>
      <c r="D235" s="191" t="s">
        <v>477</v>
      </c>
      <c r="E235" s="191">
        <v>27</v>
      </c>
      <c r="F235" s="191">
        <v>0</v>
      </c>
      <c r="G235" s="191">
        <v>0</v>
      </c>
      <c r="H235" s="191" t="s">
        <v>479</v>
      </c>
      <c r="I235" s="191" t="s">
        <v>479</v>
      </c>
      <c r="J235" s="191">
        <v>0</v>
      </c>
    </row>
    <row r="236" spans="1:10" ht="15.75" customHeight="1">
      <c r="A236" s="98" t="s">
        <v>6</v>
      </c>
      <c r="B236" s="133" t="s">
        <v>3659</v>
      </c>
      <c r="C236" s="191" t="s">
        <v>2206</v>
      </c>
      <c r="D236" s="191" t="s">
        <v>477</v>
      </c>
      <c r="E236" s="191">
        <v>30</v>
      </c>
      <c r="F236" s="191">
        <v>0</v>
      </c>
      <c r="G236" s="191">
        <v>0</v>
      </c>
      <c r="H236" s="191" t="s">
        <v>479</v>
      </c>
      <c r="I236" s="191" t="s">
        <v>479</v>
      </c>
      <c r="J236" s="191">
        <v>0</v>
      </c>
    </row>
    <row r="237" spans="1:10" ht="15.75" customHeight="1">
      <c r="A237" s="98" t="s">
        <v>6</v>
      </c>
      <c r="B237" s="133" t="s">
        <v>3659</v>
      </c>
      <c r="C237" s="191" t="s">
        <v>2208</v>
      </c>
      <c r="D237" s="191" t="s">
        <v>477</v>
      </c>
      <c r="E237" s="191">
        <v>5</v>
      </c>
      <c r="F237" s="191">
        <v>0</v>
      </c>
      <c r="G237" s="191">
        <v>0</v>
      </c>
      <c r="H237" s="191" t="s">
        <v>479</v>
      </c>
      <c r="I237" s="191" t="s">
        <v>479</v>
      </c>
      <c r="J237" s="191">
        <v>0</v>
      </c>
    </row>
    <row r="238" spans="1:10" ht="15.75" customHeight="1">
      <c r="A238" s="98" t="s">
        <v>6</v>
      </c>
      <c r="B238" s="133" t="s">
        <v>3659</v>
      </c>
      <c r="C238" s="191" t="s">
        <v>2185</v>
      </c>
      <c r="D238" s="191" t="s">
        <v>477</v>
      </c>
      <c r="E238" s="191">
        <v>55</v>
      </c>
      <c r="F238" s="191">
        <v>0</v>
      </c>
      <c r="G238" s="191">
        <v>0</v>
      </c>
      <c r="H238" s="191" t="s">
        <v>479</v>
      </c>
      <c r="I238" s="191" t="s">
        <v>479</v>
      </c>
      <c r="J238" s="191">
        <v>0</v>
      </c>
    </row>
    <row r="239" spans="1:10" ht="15.75" customHeight="1">
      <c r="A239" s="98" t="s">
        <v>6</v>
      </c>
      <c r="B239" s="133" t="s">
        <v>3659</v>
      </c>
      <c r="C239" s="191" t="s">
        <v>3777</v>
      </c>
      <c r="D239" s="191" t="s">
        <v>477</v>
      </c>
      <c r="E239" s="191">
        <v>20</v>
      </c>
      <c r="F239" s="191">
        <v>0</v>
      </c>
      <c r="G239" s="191">
        <v>0</v>
      </c>
      <c r="H239" s="191" t="s">
        <v>479</v>
      </c>
      <c r="I239" s="191" t="s">
        <v>479</v>
      </c>
      <c r="J239" s="191">
        <v>0</v>
      </c>
    </row>
    <row r="240" spans="1:10" ht="15.75" customHeight="1">
      <c r="A240" s="98" t="s">
        <v>6</v>
      </c>
      <c r="B240" s="133" t="s">
        <v>3659</v>
      </c>
      <c r="C240" s="191" t="s">
        <v>2214</v>
      </c>
      <c r="D240" s="191" t="s">
        <v>477</v>
      </c>
      <c r="E240" s="191">
        <v>100</v>
      </c>
      <c r="F240" s="191">
        <v>0</v>
      </c>
      <c r="G240" s="191">
        <v>0</v>
      </c>
      <c r="H240" s="191" t="s">
        <v>479</v>
      </c>
      <c r="I240" s="191" t="s">
        <v>479</v>
      </c>
      <c r="J240" s="191">
        <v>0</v>
      </c>
    </row>
    <row r="241" spans="1:10" ht="15.75" customHeight="1">
      <c r="A241" s="98" t="s">
        <v>6</v>
      </c>
      <c r="B241" s="133" t="s">
        <v>3659</v>
      </c>
      <c r="C241" s="191" t="s">
        <v>2224</v>
      </c>
      <c r="D241" s="191" t="s">
        <v>477</v>
      </c>
      <c r="E241" s="191">
        <v>500</v>
      </c>
      <c r="F241" s="191">
        <v>0</v>
      </c>
      <c r="G241" s="191">
        <v>0</v>
      </c>
      <c r="H241" s="191" t="s">
        <v>479</v>
      </c>
      <c r="I241" s="191" t="s">
        <v>479</v>
      </c>
      <c r="J241" s="191">
        <v>0</v>
      </c>
    </row>
    <row r="242" spans="1:10" ht="15.75" customHeight="1">
      <c r="A242" s="98" t="s">
        <v>6</v>
      </c>
      <c r="B242" s="133" t="s">
        <v>3659</v>
      </c>
      <c r="C242" s="191" t="s">
        <v>3780</v>
      </c>
      <c r="D242" s="191" t="s">
        <v>477</v>
      </c>
      <c r="E242" s="191">
        <v>5</v>
      </c>
      <c r="F242" s="191">
        <v>0</v>
      </c>
      <c r="G242" s="191">
        <v>0</v>
      </c>
      <c r="H242" s="191" t="s">
        <v>479</v>
      </c>
      <c r="I242" s="191" t="s">
        <v>479</v>
      </c>
      <c r="J242" s="191">
        <v>0</v>
      </c>
    </row>
    <row r="243" spans="1:10" ht="15.75" customHeight="1">
      <c r="A243" s="98" t="s">
        <v>6</v>
      </c>
      <c r="B243" s="133" t="s">
        <v>3659</v>
      </c>
      <c r="C243" s="191" t="s">
        <v>2969</v>
      </c>
      <c r="D243" s="191" t="s">
        <v>477</v>
      </c>
      <c r="E243" s="191">
        <v>10</v>
      </c>
      <c r="F243" s="191">
        <v>0</v>
      </c>
      <c r="G243" s="191">
        <v>0</v>
      </c>
      <c r="H243" s="191" t="s">
        <v>479</v>
      </c>
      <c r="I243" s="191" t="s">
        <v>479</v>
      </c>
      <c r="J243" s="191">
        <v>0</v>
      </c>
    </row>
    <row r="244" spans="1:10" ht="15.75" customHeight="1">
      <c r="A244" s="98" t="s">
        <v>6</v>
      </c>
      <c r="B244" s="133" t="s">
        <v>3659</v>
      </c>
      <c r="C244" s="191" t="s">
        <v>2971</v>
      </c>
      <c r="D244" s="191" t="s">
        <v>477</v>
      </c>
      <c r="E244" s="191">
        <v>30</v>
      </c>
      <c r="F244" s="191">
        <v>0</v>
      </c>
      <c r="G244" s="191">
        <v>0</v>
      </c>
      <c r="H244" s="191" t="s">
        <v>479</v>
      </c>
      <c r="I244" s="191" t="s">
        <v>479</v>
      </c>
      <c r="J244" s="191">
        <v>0</v>
      </c>
    </row>
    <row r="245" spans="1:10" ht="15.75" customHeight="1">
      <c r="A245" s="98" t="s">
        <v>6</v>
      </c>
      <c r="B245" s="133" t="s">
        <v>3659</v>
      </c>
      <c r="C245" s="191" t="s">
        <v>3782</v>
      </c>
      <c r="D245" s="191" t="s">
        <v>481</v>
      </c>
      <c r="E245" s="191">
        <v>5</v>
      </c>
      <c r="F245" s="191">
        <v>9</v>
      </c>
      <c r="G245" s="191">
        <v>2</v>
      </c>
      <c r="H245" s="191" t="s">
        <v>479</v>
      </c>
      <c r="I245" s="191" t="s">
        <v>479</v>
      </c>
      <c r="J245" s="191">
        <v>0</v>
      </c>
    </row>
    <row r="246" spans="1:10" ht="15.75" customHeight="1">
      <c r="A246" s="98" t="s">
        <v>6</v>
      </c>
      <c r="B246" s="133" t="s">
        <v>3659</v>
      </c>
      <c r="C246" s="191" t="s">
        <v>1923</v>
      </c>
      <c r="D246" s="191" t="s">
        <v>481</v>
      </c>
      <c r="E246" s="191">
        <v>5</v>
      </c>
      <c r="F246" s="191">
        <v>9</v>
      </c>
      <c r="G246" s="191">
        <v>2</v>
      </c>
      <c r="H246" s="191" t="s">
        <v>479</v>
      </c>
      <c r="I246" s="191" t="s">
        <v>479</v>
      </c>
      <c r="J246" s="191">
        <v>0</v>
      </c>
    </row>
    <row r="247" spans="1:10" ht="15.75" customHeight="1">
      <c r="A247" s="98" t="s">
        <v>6</v>
      </c>
      <c r="B247" s="133" t="s">
        <v>3659</v>
      </c>
      <c r="C247" s="191" t="s">
        <v>3783</v>
      </c>
      <c r="D247" s="191" t="s">
        <v>481</v>
      </c>
      <c r="E247" s="191">
        <v>5</v>
      </c>
      <c r="F247" s="191">
        <v>5</v>
      </c>
      <c r="G247" s="191">
        <v>2</v>
      </c>
      <c r="H247" s="191" t="s">
        <v>479</v>
      </c>
      <c r="I247" s="191" t="s">
        <v>479</v>
      </c>
      <c r="J247" s="191">
        <v>0</v>
      </c>
    </row>
    <row r="248" spans="1:10" ht="15.75" customHeight="1">
      <c r="A248" s="98" t="s">
        <v>6</v>
      </c>
      <c r="B248" s="133" t="s">
        <v>3659</v>
      </c>
      <c r="C248" s="191" t="s">
        <v>1914</v>
      </c>
      <c r="D248" s="191" t="s">
        <v>481</v>
      </c>
      <c r="E248" s="191">
        <v>5</v>
      </c>
      <c r="F248" s="191">
        <v>9</v>
      </c>
      <c r="G248" s="191">
        <v>2</v>
      </c>
      <c r="H248" s="191" t="s">
        <v>479</v>
      </c>
      <c r="I248" s="191" t="s">
        <v>479</v>
      </c>
      <c r="J248" s="191">
        <v>0</v>
      </c>
    </row>
    <row r="249" spans="1:10" ht="15.75" customHeight="1">
      <c r="A249" s="98" t="s">
        <v>6</v>
      </c>
      <c r="B249" s="133" t="s">
        <v>3659</v>
      </c>
      <c r="C249" s="191" t="s">
        <v>1912</v>
      </c>
      <c r="D249" s="191" t="s">
        <v>481</v>
      </c>
      <c r="E249" s="191">
        <v>5</v>
      </c>
      <c r="F249" s="191">
        <v>9</v>
      </c>
      <c r="G249" s="191">
        <v>2</v>
      </c>
      <c r="H249" s="191" t="s">
        <v>479</v>
      </c>
      <c r="I249" s="191" t="s">
        <v>479</v>
      </c>
      <c r="J249" s="191">
        <v>0</v>
      </c>
    </row>
    <row r="250" spans="1:10" ht="15.75" customHeight="1">
      <c r="A250" s="98" t="s">
        <v>6</v>
      </c>
      <c r="B250" s="133" t="s">
        <v>3659</v>
      </c>
      <c r="C250" s="191" t="s">
        <v>3887</v>
      </c>
      <c r="D250" s="191" t="s">
        <v>481</v>
      </c>
      <c r="E250" s="191">
        <v>5</v>
      </c>
      <c r="F250" s="191">
        <v>9</v>
      </c>
      <c r="G250" s="191">
        <v>2</v>
      </c>
      <c r="H250" s="191" t="s">
        <v>479</v>
      </c>
      <c r="I250" s="191" t="s">
        <v>479</v>
      </c>
      <c r="J250" s="191">
        <v>0</v>
      </c>
    </row>
    <row r="251" spans="1:10" ht="15.75" customHeight="1">
      <c r="A251" s="98" t="s">
        <v>6</v>
      </c>
      <c r="B251" s="133" t="s">
        <v>3659</v>
      </c>
      <c r="C251" s="191" t="s">
        <v>2896</v>
      </c>
      <c r="D251" s="191" t="s">
        <v>477</v>
      </c>
      <c r="E251" s="191">
        <v>500</v>
      </c>
      <c r="F251" s="191">
        <v>0</v>
      </c>
      <c r="G251" s="191">
        <v>0</v>
      </c>
      <c r="H251" s="191" t="s">
        <v>479</v>
      </c>
      <c r="I251" s="191" t="s">
        <v>479</v>
      </c>
      <c r="J251" s="191">
        <v>0</v>
      </c>
    </row>
    <row r="252" spans="1:10" ht="15.75" customHeight="1">
      <c r="A252" s="98" t="s">
        <v>6</v>
      </c>
      <c r="B252" s="133" t="s">
        <v>3659</v>
      </c>
      <c r="C252" s="191" t="s">
        <v>3815</v>
      </c>
      <c r="D252" s="191" t="s">
        <v>496</v>
      </c>
      <c r="E252" s="191">
        <v>4</v>
      </c>
      <c r="F252" s="191">
        <v>16</v>
      </c>
      <c r="G252" s="191">
        <v>0</v>
      </c>
      <c r="H252" s="191" t="s">
        <v>479</v>
      </c>
      <c r="I252" s="191" t="s">
        <v>479</v>
      </c>
      <c r="J252" s="191">
        <v>0</v>
      </c>
    </row>
    <row r="253" spans="1:10" ht="15.75" customHeight="1">
      <c r="A253" s="98" t="s">
        <v>6</v>
      </c>
      <c r="B253" s="133" t="s">
        <v>3659</v>
      </c>
      <c r="C253" s="191" t="s">
        <v>1334</v>
      </c>
      <c r="D253" s="191" t="s">
        <v>477</v>
      </c>
      <c r="E253" s="191">
        <v>100</v>
      </c>
      <c r="F253" s="191">
        <v>0</v>
      </c>
      <c r="G253" s="191">
        <v>0</v>
      </c>
      <c r="H253" s="191" t="s">
        <v>479</v>
      </c>
      <c r="I253" s="191" t="s">
        <v>479</v>
      </c>
      <c r="J253" s="191">
        <v>0</v>
      </c>
    </row>
    <row r="254" spans="1:10" ht="15.75" customHeight="1">
      <c r="A254" s="98" t="s">
        <v>6</v>
      </c>
      <c r="B254" s="133" t="s">
        <v>3659</v>
      </c>
      <c r="C254" s="191" t="s">
        <v>3816</v>
      </c>
      <c r="D254" s="191" t="s">
        <v>496</v>
      </c>
      <c r="E254" s="191">
        <v>4</v>
      </c>
      <c r="F254" s="191">
        <v>16</v>
      </c>
      <c r="G254" s="191">
        <v>0</v>
      </c>
      <c r="H254" s="191" t="s">
        <v>479</v>
      </c>
      <c r="I254" s="191" t="s">
        <v>479</v>
      </c>
      <c r="J254" s="191">
        <v>0</v>
      </c>
    </row>
    <row r="255" spans="1:10" ht="15.75" customHeight="1">
      <c r="A255" s="98" t="s">
        <v>6</v>
      </c>
      <c r="B255" s="133" t="s">
        <v>3659</v>
      </c>
      <c r="C255" s="191" t="s">
        <v>1336</v>
      </c>
      <c r="D255" s="191" t="s">
        <v>477</v>
      </c>
      <c r="E255" s="191">
        <v>100</v>
      </c>
      <c r="F255" s="191">
        <v>0</v>
      </c>
      <c r="G255" s="191">
        <v>0</v>
      </c>
      <c r="H255" s="191" t="s">
        <v>479</v>
      </c>
      <c r="I255" s="191" t="s">
        <v>479</v>
      </c>
      <c r="J255" s="191">
        <v>0</v>
      </c>
    </row>
    <row r="256" spans="1:10" ht="15.75" customHeight="1">
      <c r="A256" s="98" t="s">
        <v>6</v>
      </c>
      <c r="B256" s="133" t="s">
        <v>3659</v>
      </c>
      <c r="C256" s="191" t="s">
        <v>3888</v>
      </c>
      <c r="D256" s="191" t="s">
        <v>477</v>
      </c>
      <c r="E256" s="191">
        <v>2</v>
      </c>
      <c r="F256" s="191">
        <v>0</v>
      </c>
      <c r="G256" s="191">
        <v>0</v>
      </c>
      <c r="H256" s="191" t="s">
        <v>479</v>
      </c>
      <c r="I256" s="191" t="s">
        <v>479</v>
      </c>
      <c r="J256" s="191">
        <v>0</v>
      </c>
    </row>
    <row r="257" spans="1:10" ht="15.75" customHeight="1">
      <c r="A257" s="98" t="s">
        <v>6</v>
      </c>
      <c r="B257" s="133" t="s">
        <v>3659</v>
      </c>
      <c r="C257" s="191" t="s">
        <v>3889</v>
      </c>
      <c r="D257" s="191" t="s">
        <v>484</v>
      </c>
      <c r="E257" s="191">
        <v>4</v>
      </c>
      <c r="F257" s="191">
        <v>10</v>
      </c>
      <c r="G257" s="191">
        <v>0</v>
      </c>
      <c r="H257" s="191" t="s">
        <v>479</v>
      </c>
      <c r="I257" s="191" t="s">
        <v>479</v>
      </c>
      <c r="J257" s="191">
        <v>0</v>
      </c>
    </row>
    <row r="258" spans="1:10" ht="15.75" customHeight="1">
      <c r="A258" s="98" t="s">
        <v>6</v>
      </c>
      <c r="B258" s="133" t="s">
        <v>3659</v>
      </c>
      <c r="C258" s="191" t="s">
        <v>3890</v>
      </c>
      <c r="D258" s="191" t="s">
        <v>477</v>
      </c>
      <c r="E258" s="191">
        <v>100</v>
      </c>
      <c r="F258" s="191">
        <v>0</v>
      </c>
      <c r="G258" s="191">
        <v>0</v>
      </c>
      <c r="H258" s="191" t="s">
        <v>479</v>
      </c>
      <c r="I258" s="191" t="s">
        <v>479</v>
      </c>
      <c r="J258" s="191">
        <v>0</v>
      </c>
    </row>
    <row r="259" spans="1:10" ht="15.75" customHeight="1">
      <c r="A259" s="98" t="s">
        <v>6</v>
      </c>
      <c r="B259" s="133" t="s">
        <v>3659</v>
      </c>
      <c r="C259" s="191" t="s">
        <v>2888</v>
      </c>
      <c r="D259" s="191" t="s">
        <v>477</v>
      </c>
      <c r="E259" s="191">
        <v>20</v>
      </c>
      <c r="F259" s="191">
        <v>0</v>
      </c>
      <c r="G259" s="191">
        <v>0</v>
      </c>
      <c r="H259" s="191" t="s">
        <v>479</v>
      </c>
      <c r="I259" s="191" t="s">
        <v>479</v>
      </c>
      <c r="J259" s="191">
        <v>0</v>
      </c>
    </row>
    <row r="260" spans="1:10" ht="15.75" customHeight="1">
      <c r="A260" s="98" t="s">
        <v>6</v>
      </c>
      <c r="B260" s="133" t="s">
        <v>3667</v>
      </c>
      <c r="C260" s="191" t="s">
        <v>183</v>
      </c>
      <c r="D260" s="191" t="s">
        <v>484</v>
      </c>
      <c r="E260" s="191">
        <v>4</v>
      </c>
      <c r="F260" s="191">
        <v>10</v>
      </c>
      <c r="G260" s="191">
        <v>0</v>
      </c>
      <c r="H260" s="191" t="s">
        <v>479</v>
      </c>
      <c r="I260" s="191" t="s">
        <v>479</v>
      </c>
      <c r="J260" s="191">
        <v>0</v>
      </c>
    </row>
    <row r="261" spans="1:10" ht="15.75" customHeight="1">
      <c r="A261" s="98" t="s">
        <v>6</v>
      </c>
      <c r="B261" s="133" t="s">
        <v>3667</v>
      </c>
      <c r="C261" s="191" t="s">
        <v>3863</v>
      </c>
      <c r="D261" s="191" t="s">
        <v>477</v>
      </c>
      <c r="E261" s="191">
        <v>20</v>
      </c>
      <c r="F261" s="191">
        <v>0</v>
      </c>
      <c r="G261" s="191">
        <v>0</v>
      </c>
      <c r="H261" s="191" t="s">
        <v>479</v>
      </c>
      <c r="I261" s="191" t="s">
        <v>479</v>
      </c>
      <c r="J261" s="191">
        <v>0</v>
      </c>
    </row>
    <row r="262" spans="1:10" ht="15.75" customHeight="1">
      <c r="A262" s="98" t="s">
        <v>6</v>
      </c>
      <c r="B262" s="133" t="s">
        <v>3667</v>
      </c>
      <c r="C262" s="191" t="s">
        <v>3856</v>
      </c>
      <c r="D262" s="191" t="s">
        <v>477</v>
      </c>
      <c r="E262" s="191">
        <v>20</v>
      </c>
      <c r="F262" s="191">
        <v>0</v>
      </c>
      <c r="G262" s="191">
        <v>0</v>
      </c>
      <c r="H262" s="191" t="s">
        <v>479</v>
      </c>
      <c r="I262" s="191" t="s">
        <v>479</v>
      </c>
      <c r="J262" s="191">
        <v>0</v>
      </c>
    </row>
    <row r="263" spans="1:10" ht="15.75" customHeight="1">
      <c r="A263" s="98" t="s">
        <v>6</v>
      </c>
      <c r="B263" s="133" t="s">
        <v>3667</v>
      </c>
      <c r="C263" s="191" t="s">
        <v>3891</v>
      </c>
      <c r="D263" s="191" t="s">
        <v>477</v>
      </c>
      <c r="E263" s="191">
        <v>-1</v>
      </c>
      <c r="F263" s="191">
        <v>0</v>
      </c>
      <c r="G263" s="191">
        <v>0</v>
      </c>
      <c r="H263" s="191" t="s">
        <v>479</v>
      </c>
      <c r="I263" s="191" t="s">
        <v>479</v>
      </c>
      <c r="J263" s="191">
        <v>0</v>
      </c>
    </row>
    <row r="264" spans="1:10" ht="15.75" customHeight="1">
      <c r="A264" s="98" t="s">
        <v>6</v>
      </c>
      <c r="B264" s="133" t="s">
        <v>3667</v>
      </c>
      <c r="C264" s="191" t="s">
        <v>3892</v>
      </c>
      <c r="D264" s="191" t="s">
        <v>477</v>
      </c>
      <c r="E264" s="191">
        <v>-1</v>
      </c>
      <c r="F264" s="191">
        <v>0</v>
      </c>
      <c r="G264" s="191">
        <v>0</v>
      </c>
      <c r="H264" s="191" t="s">
        <v>479</v>
      </c>
      <c r="I264" s="191" t="s">
        <v>479</v>
      </c>
      <c r="J264" s="191">
        <v>0</v>
      </c>
    </row>
    <row r="265" spans="1:10" ht="15.75" customHeight="1">
      <c r="A265" s="98" t="s">
        <v>6</v>
      </c>
      <c r="B265" s="133" t="s">
        <v>3667</v>
      </c>
      <c r="C265" s="191" t="s">
        <v>1391</v>
      </c>
      <c r="D265" s="191" t="s">
        <v>3893</v>
      </c>
      <c r="E265" s="191">
        <v>16</v>
      </c>
      <c r="F265" s="191">
        <v>0</v>
      </c>
      <c r="G265" s="191">
        <v>0</v>
      </c>
      <c r="H265" s="191" t="s">
        <v>479</v>
      </c>
      <c r="I265" s="191" t="s">
        <v>479</v>
      </c>
      <c r="J265" s="191">
        <v>0</v>
      </c>
    </row>
    <row r="266" spans="1:10" ht="15.75" customHeight="1">
      <c r="A266" s="98" t="s">
        <v>6</v>
      </c>
      <c r="B266" s="133" t="s">
        <v>3667</v>
      </c>
      <c r="C266" s="191" t="s">
        <v>3815</v>
      </c>
      <c r="D266" s="191" t="s">
        <v>496</v>
      </c>
      <c r="E266" s="191">
        <v>4</v>
      </c>
      <c r="F266" s="191">
        <v>16</v>
      </c>
      <c r="G266" s="191">
        <v>0</v>
      </c>
      <c r="H266" s="191" t="s">
        <v>479</v>
      </c>
      <c r="I266" s="191" t="s">
        <v>479</v>
      </c>
      <c r="J266" s="191">
        <v>0</v>
      </c>
    </row>
    <row r="267" spans="1:10" ht="15.75" customHeight="1">
      <c r="A267" s="98" t="s">
        <v>6</v>
      </c>
      <c r="B267" s="133" t="s">
        <v>3667</v>
      </c>
      <c r="C267" s="191" t="s">
        <v>1334</v>
      </c>
      <c r="D267" s="191" t="s">
        <v>477</v>
      </c>
      <c r="E267" s="191">
        <v>100</v>
      </c>
      <c r="F267" s="191">
        <v>0</v>
      </c>
      <c r="G267" s="191">
        <v>0</v>
      </c>
      <c r="H267" s="191" t="s">
        <v>479</v>
      </c>
      <c r="I267" s="191" t="s">
        <v>479</v>
      </c>
      <c r="J267" s="191">
        <v>0</v>
      </c>
    </row>
    <row r="268" spans="1:10" ht="15.75" customHeight="1">
      <c r="A268" s="98" t="s">
        <v>6</v>
      </c>
      <c r="B268" s="133" t="s">
        <v>3662</v>
      </c>
      <c r="C268" s="191" t="s">
        <v>3856</v>
      </c>
      <c r="D268" s="191" t="s">
        <v>477</v>
      </c>
      <c r="E268" s="191">
        <v>20</v>
      </c>
      <c r="F268" s="191">
        <v>0</v>
      </c>
      <c r="G268" s="191">
        <v>0</v>
      </c>
      <c r="H268" s="191" t="s">
        <v>479</v>
      </c>
      <c r="I268" s="191" t="s">
        <v>479</v>
      </c>
      <c r="J268" s="191">
        <v>0</v>
      </c>
    </row>
    <row r="269" spans="1:10" ht="15.75" customHeight="1">
      <c r="A269" s="98" t="s">
        <v>6</v>
      </c>
      <c r="B269" s="133" t="s">
        <v>3662</v>
      </c>
      <c r="C269" s="191" t="s">
        <v>1421</v>
      </c>
      <c r="D269" s="191" t="s">
        <v>484</v>
      </c>
      <c r="E269" s="191">
        <v>4</v>
      </c>
      <c r="F269" s="191">
        <v>10</v>
      </c>
      <c r="G269" s="191">
        <v>0</v>
      </c>
      <c r="H269" s="191" t="s">
        <v>479</v>
      </c>
      <c r="I269" s="191" t="s">
        <v>479</v>
      </c>
      <c r="J269" s="191">
        <v>0</v>
      </c>
    </row>
    <row r="270" spans="1:10" ht="15.75" customHeight="1">
      <c r="A270" s="98" t="s">
        <v>6</v>
      </c>
      <c r="B270" s="133" t="s">
        <v>3662</v>
      </c>
      <c r="C270" s="191" t="s">
        <v>371</v>
      </c>
      <c r="D270" s="191" t="s">
        <v>477</v>
      </c>
      <c r="E270" s="191">
        <v>7</v>
      </c>
      <c r="F270" s="191">
        <v>0</v>
      </c>
      <c r="G270" s="191">
        <v>0</v>
      </c>
      <c r="H270" s="191" t="s">
        <v>479</v>
      </c>
      <c r="I270" s="191" t="s">
        <v>479</v>
      </c>
      <c r="J270" s="191">
        <v>0</v>
      </c>
    </row>
    <row r="271" spans="1:10" ht="15.75" customHeight="1">
      <c r="A271" s="98" t="s">
        <v>6</v>
      </c>
      <c r="B271" s="133" t="s">
        <v>3662</v>
      </c>
      <c r="C271" s="191" t="s">
        <v>1823</v>
      </c>
      <c r="D271" s="191" t="s">
        <v>477</v>
      </c>
      <c r="E271" s="191">
        <v>200</v>
      </c>
      <c r="F271" s="191">
        <v>0</v>
      </c>
      <c r="G271" s="191">
        <v>0</v>
      </c>
      <c r="H271" s="191" t="s">
        <v>479</v>
      </c>
      <c r="I271" s="191" t="s">
        <v>479</v>
      </c>
      <c r="J271" s="191">
        <v>0</v>
      </c>
    </row>
    <row r="272" spans="1:10" ht="15.75" customHeight="1">
      <c r="A272" s="98" t="s">
        <v>6</v>
      </c>
      <c r="B272" s="133" t="s">
        <v>3662</v>
      </c>
      <c r="C272" s="191" t="s">
        <v>1826</v>
      </c>
      <c r="D272" s="191" t="s">
        <v>484</v>
      </c>
      <c r="E272" s="191">
        <v>4</v>
      </c>
      <c r="F272" s="191">
        <v>10</v>
      </c>
      <c r="G272" s="191">
        <v>0</v>
      </c>
      <c r="H272" s="191" t="s">
        <v>479</v>
      </c>
      <c r="I272" s="191" t="s">
        <v>479</v>
      </c>
      <c r="J272" s="191">
        <v>0</v>
      </c>
    </row>
    <row r="273" spans="1:10" ht="15.75" customHeight="1">
      <c r="A273" s="98" t="s">
        <v>6</v>
      </c>
      <c r="B273" s="133" t="s">
        <v>3662</v>
      </c>
      <c r="C273" s="191" t="s">
        <v>3894</v>
      </c>
      <c r="D273" s="191" t="s">
        <v>477</v>
      </c>
      <c r="E273" s="191">
        <v>7</v>
      </c>
      <c r="F273" s="191">
        <v>0</v>
      </c>
      <c r="G273" s="191">
        <v>0</v>
      </c>
      <c r="H273" s="191" t="s">
        <v>479</v>
      </c>
      <c r="I273" s="191" t="s">
        <v>479</v>
      </c>
      <c r="J273" s="191">
        <v>0</v>
      </c>
    </row>
    <row r="274" spans="1:10" ht="15.75" customHeight="1">
      <c r="A274" s="98" t="s">
        <v>6</v>
      </c>
      <c r="B274" s="133" t="s">
        <v>3662</v>
      </c>
      <c r="C274" s="191" t="s">
        <v>3895</v>
      </c>
      <c r="D274" s="191" t="s">
        <v>481</v>
      </c>
      <c r="E274" s="191">
        <v>5</v>
      </c>
      <c r="F274" s="191">
        <v>9</v>
      </c>
      <c r="G274" s="191">
        <v>2</v>
      </c>
      <c r="H274" s="191" t="s">
        <v>479</v>
      </c>
      <c r="I274" s="191" t="s">
        <v>479</v>
      </c>
      <c r="J274" s="191">
        <v>0</v>
      </c>
    </row>
    <row r="275" spans="1:10" ht="15.75" customHeight="1">
      <c r="A275" s="98" t="s">
        <v>6</v>
      </c>
      <c r="B275" s="133" t="s">
        <v>3662</v>
      </c>
      <c r="C275" s="191" t="s">
        <v>3896</v>
      </c>
      <c r="D275" s="191" t="s">
        <v>481</v>
      </c>
      <c r="E275" s="191">
        <v>5</v>
      </c>
      <c r="F275" s="191">
        <v>5</v>
      </c>
      <c r="G275" s="191">
        <v>2</v>
      </c>
      <c r="H275" s="191" t="s">
        <v>479</v>
      </c>
      <c r="I275" s="191" t="s">
        <v>479</v>
      </c>
      <c r="J275" s="191">
        <v>0</v>
      </c>
    </row>
    <row r="276" spans="1:10" ht="15.75" customHeight="1">
      <c r="A276" s="98" t="s">
        <v>6</v>
      </c>
      <c r="B276" s="133" t="s">
        <v>3662</v>
      </c>
      <c r="C276" s="191" t="s">
        <v>3833</v>
      </c>
      <c r="D276" s="191" t="s">
        <v>481</v>
      </c>
      <c r="E276" s="191">
        <v>5</v>
      </c>
      <c r="F276" s="191">
        <v>9</v>
      </c>
      <c r="G276" s="191">
        <v>2</v>
      </c>
      <c r="H276" s="191" t="s">
        <v>479</v>
      </c>
      <c r="I276" s="191" t="s">
        <v>479</v>
      </c>
      <c r="J276" s="191">
        <v>0</v>
      </c>
    </row>
    <row r="277" spans="1:10" ht="15.75" customHeight="1">
      <c r="A277" s="98" t="s">
        <v>6</v>
      </c>
      <c r="B277" s="133" t="s">
        <v>3662</v>
      </c>
      <c r="C277" s="191" t="s">
        <v>3782</v>
      </c>
      <c r="D277" s="191" t="s">
        <v>481</v>
      </c>
      <c r="E277" s="191">
        <v>5</v>
      </c>
      <c r="F277" s="191">
        <v>9</v>
      </c>
      <c r="G277" s="191">
        <v>2</v>
      </c>
      <c r="H277" s="191" t="s">
        <v>479</v>
      </c>
      <c r="I277" s="191" t="s">
        <v>479</v>
      </c>
      <c r="J277" s="191">
        <v>0</v>
      </c>
    </row>
    <row r="278" spans="1:10" ht="15.75" customHeight="1">
      <c r="A278" s="98" t="s">
        <v>6</v>
      </c>
      <c r="B278" s="133" t="s">
        <v>3662</v>
      </c>
      <c r="C278" s="191" t="s">
        <v>3838</v>
      </c>
      <c r="D278" s="191" t="s">
        <v>477</v>
      </c>
      <c r="E278" s="191">
        <v>3</v>
      </c>
      <c r="F278" s="191">
        <v>0</v>
      </c>
      <c r="G278" s="191">
        <v>0</v>
      </c>
      <c r="H278" s="191" t="s">
        <v>479</v>
      </c>
      <c r="I278" s="191" t="s">
        <v>479</v>
      </c>
      <c r="J278" s="191">
        <v>0</v>
      </c>
    </row>
    <row r="279" spans="1:10" ht="15.75" customHeight="1">
      <c r="A279" s="98" t="s">
        <v>6</v>
      </c>
      <c r="B279" s="133" t="s">
        <v>3662</v>
      </c>
      <c r="C279" s="191" t="s">
        <v>3840</v>
      </c>
      <c r="D279" s="191" t="s">
        <v>477</v>
      </c>
      <c r="E279" s="191">
        <v>3</v>
      </c>
      <c r="F279" s="191">
        <v>0</v>
      </c>
      <c r="G279" s="191">
        <v>0</v>
      </c>
      <c r="H279" s="191" t="s">
        <v>479</v>
      </c>
      <c r="I279" s="191" t="s">
        <v>479</v>
      </c>
      <c r="J279" s="191">
        <v>0</v>
      </c>
    </row>
    <row r="280" spans="1:10" ht="15.75" customHeight="1">
      <c r="A280" s="98" t="s">
        <v>6</v>
      </c>
      <c r="B280" s="133" t="s">
        <v>3662</v>
      </c>
      <c r="C280" s="191" t="s">
        <v>3815</v>
      </c>
      <c r="D280" s="191" t="s">
        <v>496</v>
      </c>
      <c r="E280" s="191">
        <v>4</v>
      </c>
      <c r="F280" s="191">
        <v>16</v>
      </c>
      <c r="G280" s="191">
        <v>0</v>
      </c>
      <c r="H280" s="191" t="s">
        <v>479</v>
      </c>
      <c r="I280" s="191" t="s">
        <v>479</v>
      </c>
      <c r="J280" s="191">
        <v>0</v>
      </c>
    </row>
    <row r="281" spans="1:10" ht="15.75" customHeight="1">
      <c r="A281" s="98" t="s">
        <v>6</v>
      </c>
      <c r="B281" s="133" t="s">
        <v>3662</v>
      </c>
      <c r="C281" s="191" t="s">
        <v>1334</v>
      </c>
      <c r="D281" s="191" t="s">
        <v>477</v>
      </c>
      <c r="E281" s="191">
        <v>100</v>
      </c>
      <c r="F281" s="191">
        <v>0</v>
      </c>
      <c r="G281" s="191">
        <v>0</v>
      </c>
      <c r="H281" s="191" t="s">
        <v>479</v>
      </c>
      <c r="I281" s="191" t="s">
        <v>479</v>
      </c>
      <c r="J281" s="191">
        <v>0</v>
      </c>
    </row>
    <row r="282" spans="1:10" ht="15.75" customHeight="1">
      <c r="A282" s="98" t="s">
        <v>6</v>
      </c>
      <c r="B282" s="133" t="s">
        <v>3662</v>
      </c>
      <c r="C282" s="191" t="s">
        <v>3816</v>
      </c>
      <c r="D282" s="191" t="s">
        <v>496</v>
      </c>
      <c r="E282" s="191">
        <v>4</v>
      </c>
      <c r="F282" s="191">
        <v>16</v>
      </c>
      <c r="G282" s="191">
        <v>0</v>
      </c>
      <c r="H282" s="191" t="s">
        <v>479</v>
      </c>
      <c r="I282" s="191" t="s">
        <v>479</v>
      </c>
      <c r="J282" s="191">
        <v>0</v>
      </c>
    </row>
    <row r="283" spans="1:10" ht="15.75" customHeight="1">
      <c r="A283" s="98" t="s">
        <v>6</v>
      </c>
      <c r="B283" s="133" t="s">
        <v>3662</v>
      </c>
      <c r="C283" s="191" t="s">
        <v>1336</v>
      </c>
      <c r="D283" s="191" t="s">
        <v>477</v>
      </c>
      <c r="E283" s="191">
        <v>100</v>
      </c>
      <c r="F283" s="191">
        <v>0</v>
      </c>
      <c r="G283" s="191">
        <v>0</v>
      </c>
      <c r="H283" s="191" t="s">
        <v>479</v>
      </c>
      <c r="I283" s="191" t="s">
        <v>479</v>
      </c>
      <c r="J283" s="191">
        <v>0</v>
      </c>
    </row>
    <row r="284" spans="1:10" ht="15.75" customHeight="1">
      <c r="A284" s="98" t="s">
        <v>6</v>
      </c>
      <c r="B284" s="133" t="s">
        <v>3665</v>
      </c>
      <c r="C284" s="191" t="s">
        <v>183</v>
      </c>
      <c r="D284" s="191" t="s">
        <v>484</v>
      </c>
      <c r="E284" s="191">
        <v>4</v>
      </c>
      <c r="F284" s="191">
        <v>10</v>
      </c>
      <c r="G284" s="191">
        <v>0</v>
      </c>
      <c r="H284" s="191" t="s">
        <v>479</v>
      </c>
      <c r="I284" s="191" t="s">
        <v>479</v>
      </c>
      <c r="J284" s="191">
        <v>0</v>
      </c>
    </row>
    <row r="285" spans="1:10" ht="15.75" customHeight="1">
      <c r="A285" s="98" t="s">
        <v>6</v>
      </c>
      <c r="B285" s="133" t="s">
        <v>3665</v>
      </c>
      <c r="C285" s="191" t="s">
        <v>3863</v>
      </c>
      <c r="D285" s="191" t="s">
        <v>477</v>
      </c>
      <c r="E285" s="191">
        <v>20</v>
      </c>
      <c r="F285" s="191">
        <v>0</v>
      </c>
      <c r="G285" s="191">
        <v>0</v>
      </c>
      <c r="H285" s="191" t="s">
        <v>479</v>
      </c>
      <c r="I285" s="191" t="s">
        <v>479</v>
      </c>
      <c r="J285" s="191">
        <v>0</v>
      </c>
    </row>
    <row r="286" spans="1:10" ht="15.75" customHeight="1">
      <c r="A286" s="98" t="s">
        <v>6</v>
      </c>
      <c r="B286" s="133" t="s">
        <v>3665</v>
      </c>
      <c r="C286" s="191" t="s">
        <v>3856</v>
      </c>
      <c r="D286" s="191" t="s">
        <v>477</v>
      </c>
      <c r="E286" s="191">
        <v>20</v>
      </c>
      <c r="F286" s="191">
        <v>0</v>
      </c>
      <c r="G286" s="191">
        <v>0</v>
      </c>
      <c r="H286" s="191" t="s">
        <v>479</v>
      </c>
      <c r="I286" s="191" t="s">
        <v>479</v>
      </c>
      <c r="J286" s="191">
        <v>0</v>
      </c>
    </row>
    <row r="287" spans="1:10" ht="15.75" customHeight="1">
      <c r="A287" s="98" t="s">
        <v>6</v>
      </c>
      <c r="B287" s="133" t="s">
        <v>3665</v>
      </c>
      <c r="C287" s="191" t="s">
        <v>3891</v>
      </c>
      <c r="D287" s="191" t="s">
        <v>477</v>
      </c>
      <c r="E287" s="191">
        <v>-1</v>
      </c>
      <c r="F287" s="191">
        <v>0</v>
      </c>
      <c r="G287" s="191">
        <v>0</v>
      </c>
      <c r="H287" s="191" t="s">
        <v>479</v>
      </c>
      <c r="I287" s="191" t="s">
        <v>479</v>
      </c>
      <c r="J287" s="191">
        <v>0</v>
      </c>
    </row>
    <row r="288" spans="1:10" ht="15.75" customHeight="1">
      <c r="A288" s="98" t="s">
        <v>6</v>
      </c>
      <c r="B288" s="133" t="s">
        <v>3665</v>
      </c>
      <c r="C288" s="191" t="s">
        <v>3892</v>
      </c>
      <c r="D288" s="191" t="s">
        <v>477</v>
      </c>
      <c r="E288" s="191">
        <v>-1</v>
      </c>
      <c r="F288" s="191">
        <v>0</v>
      </c>
      <c r="G288" s="191">
        <v>0</v>
      </c>
      <c r="H288" s="191" t="s">
        <v>479</v>
      </c>
      <c r="I288" s="191" t="s">
        <v>479</v>
      </c>
      <c r="J288" s="191">
        <v>0</v>
      </c>
    </row>
    <row r="289" spans="1:10" ht="15.75" customHeight="1">
      <c r="A289" s="98" t="s">
        <v>6</v>
      </c>
      <c r="B289" s="133" t="s">
        <v>3665</v>
      </c>
      <c r="C289" s="191" t="s">
        <v>1391</v>
      </c>
      <c r="D289" s="191" t="s">
        <v>3893</v>
      </c>
      <c r="E289" s="191">
        <v>16</v>
      </c>
      <c r="F289" s="191">
        <v>0</v>
      </c>
      <c r="G289" s="191">
        <v>0</v>
      </c>
      <c r="H289" s="191" t="s">
        <v>479</v>
      </c>
      <c r="I289" s="191" t="s">
        <v>479</v>
      </c>
      <c r="J289" s="191">
        <v>0</v>
      </c>
    </row>
    <row r="290" spans="1:10" ht="15.75" customHeight="1">
      <c r="A290" s="98" t="s">
        <v>6</v>
      </c>
      <c r="B290" s="133" t="s">
        <v>3665</v>
      </c>
      <c r="C290" s="191" t="s">
        <v>3815</v>
      </c>
      <c r="D290" s="191" t="s">
        <v>496</v>
      </c>
      <c r="E290" s="191">
        <v>4</v>
      </c>
      <c r="F290" s="191">
        <v>16</v>
      </c>
      <c r="G290" s="191">
        <v>0</v>
      </c>
      <c r="H290" s="191" t="s">
        <v>479</v>
      </c>
      <c r="I290" s="191" t="s">
        <v>479</v>
      </c>
      <c r="J290" s="191">
        <v>0</v>
      </c>
    </row>
    <row r="291" spans="1:10" ht="15.75" customHeight="1">
      <c r="A291" s="98" t="s">
        <v>6</v>
      </c>
      <c r="B291" s="133" t="s">
        <v>3665</v>
      </c>
      <c r="C291" s="191" t="s">
        <v>1334</v>
      </c>
      <c r="D291" s="191" t="s">
        <v>477</v>
      </c>
      <c r="E291" s="191">
        <v>100</v>
      </c>
      <c r="F291" s="191">
        <v>0</v>
      </c>
      <c r="G291" s="191">
        <v>0</v>
      </c>
      <c r="H291" s="191" t="s">
        <v>479</v>
      </c>
      <c r="I291" s="191" t="s">
        <v>479</v>
      </c>
      <c r="J291" s="191">
        <v>0</v>
      </c>
    </row>
    <row r="292" spans="1:10" ht="15.75" customHeight="1">
      <c r="A292" s="98" t="s">
        <v>6</v>
      </c>
      <c r="B292" s="133" t="s">
        <v>3665</v>
      </c>
      <c r="C292" s="191" t="s">
        <v>1419</v>
      </c>
      <c r="D292" s="191" t="s">
        <v>477</v>
      </c>
      <c r="E292" s="191">
        <v>20</v>
      </c>
      <c r="F292" s="191">
        <v>0</v>
      </c>
      <c r="G292" s="191">
        <v>0</v>
      </c>
      <c r="H292" s="191" t="s">
        <v>479</v>
      </c>
      <c r="I292" s="191" t="s">
        <v>479</v>
      </c>
      <c r="J292" s="191">
        <v>0</v>
      </c>
    </row>
    <row r="293" spans="1:10" ht="15.75" customHeight="1">
      <c r="A293" s="98" t="s">
        <v>6</v>
      </c>
      <c r="B293" s="133" t="s">
        <v>3674</v>
      </c>
      <c r="C293" s="191" t="s">
        <v>3897</v>
      </c>
      <c r="D293" s="191" t="s">
        <v>484</v>
      </c>
      <c r="E293" s="191">
        <v>4</v>
      </c>
      <c r="F293" s="191">
        <v>10</v>
      </c>
      <c r="G293" s="191">
        <v>0</v>
      </c>
      <c r="H293" s="191" t="s">
        <v>479</v>
      </c>
      <c r="I293" s="191" t="s">
        <v>479</v>
      </c>
      <c r="J293" s="191">
        <v>0</v>
      </c>
    </row>
    <row r="294" spans="1:10" ht="15.75" customHeight="1">
      <c r="A294" s="98" t="s">
        <v>6</v>
      </c>
      <c r="B294" s="133" t="s">
        <v>3674</v>
      </c>
      <c r="C294" s="191" t="s">
        <v>3898</v>
      </c>
      <c r="D294" s="191" t="s">
        <v>477</v>
      </c>
      <c r="E294" s="191">
        <v>100</v>
      </c>
      <c r="F294" s="191">
        <v>0</v>
      </c>
      <c r="G294" s="191">
        <v>0</v>
      </c>
      <c r="H294" s="191" t="s">
        <v>479</v>
      </c>
      <c r="I294" s="191" t="s">
        <v>479</v>
      </c>
      <c r="J294" s="191">
        <v>0</v>
      </c>
    </row>
    <row r="295" spans="1:10" ht="15.75" customHeight="1">
      <c r="A295" s="98" t="s">
        <v>6</v>
      </c>
      <c r="B295" s="133" t="s">
        <v>3674</v>
      </c>
      <c r="C295" s="191" t="s">
        <v>3863</v>
      </c>
      <c r="D295" s="191" t="s">
        <v>477</v>
      </c>
      <c r="E295" s="191">
        <v>10</v>
      </c>
      <c r="F295" s="191">
        <v>0</v>
      </c>
      <c r="G295" s="191">
        <v>0</v>
      </c>
      <c r="H295" s="191" t="s">
        <v>479</v>
      </c>
      <c r="I295" s="191" t="s">
        <v>479</v>
      </c>
      <c r="J295" s="191">
        <v>0</v>
      </c>
    </row>
    <row r="296" spans="1:10" ht="15.75" customHeight="1">
      <c r="A296" s="98" t="s">
        <v>6</v>
      </c>
      <c r="B296" s="133" t="s">
        <v>3674</v>
      </c>
      <c r="C296" s="191" t="s">
        <v>3899</v>
      </c>
      <c r="D296" s="191" t="s">
        <v>477</v>
      </c>
      <c r="E296" s="191">
        <v>20</v>
      </c>
      <c r="F296" s="191">
        <v>0</v>
      </c>
      <c r="G296" s="191">
        <v>0</v>
      </c>
      <c r="H296" s="191" t="s">
        <v>479</v>
      </c>
      <c r="I296" s="191" t="s">
        <v>479</v>
      </c>
      <c r="J296" s="191">
        <v>0</v>
      </c>
    </row>
    <row r="297" spans="1:10" ht="15.75" customHeight="1">
      <c r="A297" s="98" t="s">
        <v>6</v>
      </c>
      <c r="B297" s="133" t="s">
        <v>3674</v>
      </c>
      <c r="C297" s="191" t="s">
        <v>3900</v>
      </c>
      <c r="D297" s="191" t="s">
        <v>477</v>
      </c>
      <c r="E297" s="191">
        <v>3</v>
      </c>
      <c r="F297" s="191">
        <v>0</v>
      </c>
      <c r="G297" s="191">
        <v>0</v>
      </c>
      <c r="H297" s="191" t="s">
        <v>479</v>
      </c>
      <c r="I297" s="191" t="s">
        <v>479</v>
      </c>
      <c r="J297" s="191">
        <v>0</v>
      </c>
    </row>
    <row r="298" spans="1:10" ht="15.75" customHeight="1">
      <c r="A298" s="98" t="s">
        <v>6</v>
      </c>
      <c r="B298" s="133" t="s">
        <v>3674</v>
      </c>
      <c r="C298" s="191" t="s">
        <v>3901</v>
      </c>
      <c r="D298" s="191" t="s">
        <v>477</v>
      </c>
      <c r="E298" s="191">
        <v>30</v>
      </c>
      <c r="F298" s="191">
        <v>0</v>
      </c>
      <c r="G298" s="191">
        <v>0</v>
      </c>
      <c r="H298" s="191" t="s">
        <v>479</v>
      </c>
      <c r="I298" s="191" t="s">
        <v>479</v>
      </c>
      <c r="J298" s="191">
        <v>0</v>
      </c>
    </row>
    <row r="299" spans="1:10" ht="15.75" customHeight="1">
      <c r="A299" s="98" t="s">
        <v>6</v>
      </c>
      <c r="B299" s="133" t="s">
        <v>3674</v>
      </c>
      <c r="C299" s="191" t="s">
        <v>3902</v>
      </c>
      <c r="D299" s="191" t="s">
        <v>477</v>
      </c>
      <c r="E299" s="191">
        <v>100</v>
      </c>
      <c r="F299" s="191">
        <v>0</v>
      </c>
      <c r="G299" s="191">
        <v>0</v>
      </c>
      <c r="H299" s="191" t="s">
        <v>479</v>
      </c>
      <c r="I299" s="191" t="s">
        <v>479</v>
      </c>
      <c r="J299" s="191">
        <v>0</v>
      </c>
    </row>
    <row r="300" spans="1:10" ht="15.75" customHeight="1">
      <c r="A300" s="98" t="s">
        <v>6</v>
      </c>
      <c r="B300" s="133" t="s">
        <v>3674</v>
      </c>
      <c r="C300" s="191" t="s">
        <v>3903</v>
      </c>
      <c r="D300" s="191" t="s">
        <v>477</v>
      </c>
      <c r="E300" s="191">
        <v>100</v>
      </c>
      <c r="F300" s="191">
        <v>0</v>
      </c>
      <c r="G300" s="191">
        <v>0</v>
      </c>
      <c r="H300" s="191" t="s">
        <v>479</v>
      </c>
      <c r="I300" s="191" t="s">
        <v>479</v>
      </c>
      <c r="J300" s="191">
        <v>0</v>
      </c>
    </row>
    <row r="301" spans="1:10" ht="15.75" customHeight="1">
      <c r="A301" s="98" t="s">
        <v>6</v>
      </c>
      <c r="B301" s="133" t="s">
        <v>3674</v>
      </c>
      <c r="C301" s="191" t="s">
        <v>3904</v>
      </c>
      <c r="D301" s="191" t="s">
        <v>477</v>
      </c>
      <c r="E301" s="191">
        <v>100</v>
      </c>
      <c r="F301" s="191">
        <v>0</v>
      </c>
      <c r="G301" s="191">
        <v>0</v>
      </c>
      <c r="H301" s="191" t="s">
        <v>479</v>
      </c>
      <c r="I301" s="191" t="s">
        <v>479</v>
      </c>
      <c r="J301" s="191">
        <v>0</v>
      </c>
    </row>
    <row r="302" spans="1:10" ht="15.75" customHeight="1">
      <c r="A302" s="98" t="s">
        <v>6</v>
      </c>
      <c r="B302" s="133" t="s">
        <v>3674</v>
      </c>
      <c r="C302" s="191" t="s">
        <v>3905</v>
      </c>
      <c r="D302" s="191" t="s">
        <v>477</v>
      </c>
      <c r="E302" s="191">
        <v>100</v>
      </c>
      <c r="F302" s="191">
        <v>0</v>
      </c>
      <c r="G302" s="191">
        <v>0</v>
      </c>
      <c r="H302" s="191" t="s">
        <v>479</v>
      </c>
      <c r="I302" s="191" t="s">
        <v>479</v>
      </c>
      <c r="J302" s="191">
        <v>0</v>
      </c>
    </row>
    <row r="303" spans="1:10" ht="15.75" customHeight="1">
      <c r="A303" s="98" t="s">
        <v>6</v>
      </c>
      <c r="B303" s="133" t="s">
        <v>3674</v>
      </c>
      <c r="C303" s="191" t="s">
        <v>3906</v>
      </c>
      <c r="D303" s="191" t="s">
        <v>477</v>
      </c>
      <c r="E303" s="191">
        <v>13</v>
      </c>
      <c r="F303" s="191">
        <v>0</v>
      </c>
      <c r="G303" s="191">
        <v>0</v>
      </c>
      <c r="H303" s="191" t="s">
        <v>479</v>
      </c>
      <c r="I303" s="191" t="s">
        <v>479</v>
      </c>
      <c r="J303" s="191">
        <v>0</v>
      </c>
    </row>
    <row r="304" spans="1:10" ht="15.75" customHeight="1">
      <c r="A304" s="98" t="s">
        <v>6</v>
      </c>
      <c r="B304" s="133" t="s">
        <v>3674</v>
      </c>
      <c r="C304" s="191" t="s">
        <v>3907</v>
      </c>
      <c r="D304" s="191" t="s">
        <v>477</v>
      </c>
      <c r="E304" s="191">
        <v>100</v>
      </c>
      <c r="F304" s="191">
        <v>0</v>
      </c>
      <c r="G304" s="191">
        <v>0</v>
      </c>
      <c r="H304" s="191" t="s">
        <v>479</v>
      </c>
      <c r="I304" s="191" t="s">
        <v>479</v>
      </c>
      <c r="J304" s="191">
        <v>0</v>
      </c>
    </row>
    <row r="305" spans="1:10" ht="15.75" customHeight="1">
      <c r="A305" s="98" t="s">
        <v>6</v>
      </c>
      <c r="B305" s="133" t="s">
        <v>3674</v>
      </c>
      <c r="C305" s="191" t="s">
        <v>3908</v>
      </c>
      <c r="D305" s="191" t="s">
        <v>477</v>
      </c>
      <c r="E305" s="191">
        <v>100</v>
      </c>
      <c r="F305" s="191">
        <v>0</v>
      </c>
      <c r="G305" s="191">
        <v>0</v>
      </c>
      <c r="H305" s="191" t="s">
        <v>479</v>
      </c>
      <c r="I305" s="191" t="s">
        <v>479</v>
      </c>
      <c r="J305" s="191">
        <v>0</v>
      </c>
    </row>
    <row r="306" spans="1:10" ht="15.75" customHeight="1">
      <c r="A306" s="98" t="s">
        <v>6</v>
      </c>
      <c r="B306" s="133" t="s">
        <v>3674</v>
      </c>
      <c r="C306" s="191" t="s">
        <v>3909</v>
      </c>
      <c r="D306" s="191" t="s">
        <v>477</v>
      </c>
      <c r="E306" s="191">
        <v>13</v>
      </c>
      <c r="F306" s="191">
        <v>0</v>
      </c>
      <c r="G306" s="191">
        <v>0</v>
      </c>
      <c r="H306" s="191" t="s">
        <v>479</v>
      </c>
      <c r="I306" s="191" t="s">
        <v>479</v>
      </c>
      <c r="J306" s="191">
        <v>0</v>
      </c>
    </row>
    <row r="307" spans="1:10" ht="15.75" customHeight="1">
      <c r="A307" s="98" t="s">
        <v>6</v>
      </c>
      <c r="B307" s="133" t="s">
        <v>3674</v>
      </c>
      <c r="C307" s="191" t="s">
        <v>3910</v>
      </c>
      <c r="D307" s="191" t="s">
        <v>477</v>
      </c>
      <c r="E307" s="191">
        <v>5</v>
      </c>
      <c r="F307" s="191">
        <v>0</v>
      </c>
      <c r="G307" s="191">
        <v>0</v>
      </c>
      <c r="H307" s="191" t="s">
        <v>479</v>
      </c>
      <c r="I307" s="191" t="s">
        <v>479</v>
      </c>
      <c r="J307" s="191">
        <v>0</v>
      </c>
    </row>
    <row r="308" spans="1:10" ht="15.75" customHeight="1">
      <c r="A308" s="98" t="s">
        <v>6</v>
      </c>
      <c r="B308" s="133" t="s">
        <v>3674</v>
      </c>
      <c r="C308" s="191" t="s">
        <v>3911</v>
      </c>
      <c r="D308" s="191" t="s">
        <v>477</v>
      </c>
      <c r="E308" s="191">
        <v>255</v>
      </c>
      <c r="F308" s="191">
        <v>0</v>
      </c>
      <c r="G308" s="191">
        <v>0</v>
      </c>
      <c r="H308" s="191" t="s">
        <v>479</v>
      </c>
      <c r="I308" s="191" t="s">
        <v>479</v>
      </c>
      <c r="J308" s="191">
        <v>0</v>
      </c>
    </row>
    <row r="309" spans="1:10" ht="15.75" customHeight="1">
      <c r="A309" s="98" t="s">
        <v>6</v>
      </c>
      <c r="B309" s="133" t="s">
        <v>3674</v>
      </c>
      <c r="C309" s="191" t="s">
        <v>3890</v>
      </c>
      <c r="D309" s="191" t="s">
        <v>477</v>
      </c>
      <c r="E309" s="191">
        <v>100</v>
      </c>
      <c r="F309" s="191">
        <v>0</v>
      </c>
      <c r="G309" s="191">
        <v>0</v>
      </c>
      <c r="H309" s="191" t="s">
        <v>479</v>
      </c>
      <c r="I309" s="191" t="s">
        <v>479</v>
      </c>
      <c r="J309" s="191">
        <v>0</v>
      </c>
    </row>
    <row r="310" spans="1:10" ht="15.75" customHeight="1">
      <c r="A310" s="98" t="s">
        <v>6</v>
      </c>
      <c r="B310" s="133" t="s">
        <v>3674</v>
      </c>
      <c r="C310" s="191" t="s">
        <v>3912</v>
      </c>
      <c r="D310" s="191" t="s">
        <v>477</v>
      </c>
      <c r="E310" s="191">
        <v>10</v>
      </c>
      <c r="F310" s="191">
        <v>0</v>
      </c>
      <c r="G310" s="191">
        <v>0</v>
      </c>
      <c r="H310" s="191" t="s">
        <v>479</v>
      </c>
      <c r="I310" s="191" t="s">
        <v>479</v>
      </c>
      <c r="J310" s="191">
        <v>0</v>
      </c>
    </row>
    <row r="311" spans="1:10" ht="15.75" customHeight="1">
      <c r="A311" s="98" t="s">
        <v>6</v>
      </c>
      <c r="B311" s="133" t="s">
        <v>3674</v>
      </c>
      <c r="C311" s="191" t="s">
        <v>3913</v>
      </c>
      <c r="D311" s="191" t="s">
        <v>477</v>
      </c>
      <c r="E311" s="191">
        <v>200</v>
      </c>
      <c r="F311" s="191">
        <v>0</v>
      </c>
      <c r="G311" s="191">
        <v>0</v>
      </c>
      <c r="H311" s="191" t="s">
        <v>479</v>
      </c>
      <c r="I311" s="191" t="s">
        <v>479</v>
      </c>
      <c r="J311" s="191">
        <v>0</v>
      </c>
    </row>
    <row r="312" spans="1:10" ht="15.75" customHeight="1">
      <c r="A312" s="98" t="s">
        <v>6</v>
      </c>
      <c r="B312" s="133" t="s">
        <v>3674</v>
      </c>
      <c r="C312" s="191" t="s">
        <v>3914</v>
      </c>
      <c r="D312" s="191" t="s">
        <v>477</v>
      </c>
      <c r="E312" s="191">
        <v>100</v>
      </c>
      <c r="F312" s="191">
        <v>0</v>
      </c>
      <c r="G312" s="191">
        <v>0</v>
      </c>
      <c r="H312" s="191" t="s">
        <v>479</v>
      </c>
      <c r="I312" s="191" t="s">
        <v>479</v>
      </c>
      <c r="J312" s="191">
        <v>0</v>
      </c>
    </row>
    <row r="313" spans="1:10" ht="15.75" customHeight="1">
      <c r="A313" s="98" t="s">
        <v>6</v>
      </c>
      <c r="B313" s="133" t="s">
        <v>3674</v>
      </c>
      <c r="C313" s="191" t="s">
        <v>3915</v>
      </c>
      <c r="D313" s="191" t="s">
        <v>477</v>
      </c>
      <c r="E313" s="191">
        <v>100</v>
      </c>
      <c r="F313" s="191">
        <v>0</v>
      </c>
      <c r="G313" s="191">
        <v>0</v>
      </c>
      <c r="H313" s="191" t="s">
        <v>479</v>
      </c>
      <c r="I313" s="191" t="s">
        <v>479</v>
      </c>
      <c r="J313" s="191">
        <v>0</v>
      </c>
    </row>
    <row r="314" spans="1:10" ht="15.75" customHeight="1">
      <c r="A314" s="98" t="s">
        <v>6</v>
      </c>
      <c r="B314" s="133" t="s">
        <v>3674</v>
      </c>
      <c r="C314" s="191" t="s">
        <v>3916</v>
      </c>
      <c r="D314" s="191" t="s">
        <v>477</v>
      </c>
      <c r="E314" s="191">
        <v>100</v>
      </c>
      <c r="F314" s="191">
        <v>0</v>
      </c>
      <c r="G314" s="191">
        <v>0</v>
      </c>
      <c r="H314" s="191" t="s">
        <v>479</v>
      </c>
      <c r="I314" s="191" t="s">
        <v>479</v>
      </c>
      <c r="J314" s="191">
        <v>0</v>
      </c>
    </row>
    <row r="315" spans="1:10" ht="15.75" customHeight="1">
      <c r="A315" s="98" t="s">
        <v>6</v>
      </c>
      <c r="B315" s="133" t="s">
        <v>3674</v>
      </c>
      <c r="C315" s="191" t="s">
        <v>3917</v>
      </c>
      <c r="D315" s="191" t="s">
        <v>477</v>
      </c>
      <c r="E315" s="191">
        <v>100</v>
      </c>
      <c r="F315" s="191">
        <v>0</v>
      </c>
      <c r="G315" s="191">
        <v>0</v>
      </c>
      <c r="H315" s="191" t="s">
        <v>479</v>
      </c>
      <c r="I315" s="191" t="s">
        <v>479</v>
      </c>
      <c r="J315" s="191">
        <v>0</v>
      </c>
    </row>
    <row r="316" spans="1:10" ht="15.75" customHeight="1">
      <c r="A316" s="98" t="s">
        <v>6</v>
      </c>
      <c r="B316" s="133" t="s">
        <v>3674</v>
      </c>
      <c r="C316" s="191" t="s">
        <v>3918</v>
      </c>
      <c r="D316" s="191" t="s">
        <v>477</v>
      </c>
      <c r="E316" s="191">
        <v>100</v>
      </c>
      <c r="F316" s="191">
        <v>0</v>
      </c>
      <c r="G316" s="191">
        <v>0</v>
      </c>
      <c r="H316" s="191" t="s">
        <v>479</v>
      </c>
      <c r="I316" s="191" t="s">
        <v>479</v>
      </c>
      <c r="J316" s="191">
        <v>0</v>
      </c>
    </row>
    <row r="317" spans="1:10" ht="15.75" customHeight="1">
      <c r="A317" s="98" t="s">
        <v>6</v>
      </c>
      <c r="B317" s="133" t="s">
        <v>3674</v>
      </c>
      <c r="C317" s="191" t="s">
        <v>3919</v>
      </c>
      <c r="D317" s="191" t="s">
        <v>477</v>
      </c>
      <c r="E317" s="191">
        <v>100</v>
      </c>
      <c r="F317" s="191">
        <v>0</v>
      </c>
      <c r="G317" s="191">
        <v>0</v>
      </c>
      <c r="H317" s="191" t="s">
        <v>479</v>
      </c>
      <c r="I317" s="191" t="s">
        <v>479</v>
      </c>
      <c r="J317" s="191">
        <v>0</v>
      </c>
    </row>
    <row r="318" spans="1:10" ht="15.75" customHeight="1">
      <c r="A318" s="98" t="s">
        <v>6</v>
      </c>
      <c r="B318" s="133" t="s">
        <v>3674</v>
      </c>
      <c r="C318" s="191" t="s">
        <v>3920</v>
      </c>
      <c r="D318" s="191" t="s">
        <v>477</v>
      </c>
      <c r="E318" s="191">
        <v>5</v>
      </c>
      <c r="F318" s="191">
        <v>0</v>
      </c>
      <c r="G318" s="191">
        <v>0</v>
      </c>
      <c r="H318" s="191" t="s">
        <v>479</v>
      </c>
      <c r="I318" s="191" t="s">
        <v>479</v>
      </c>
      <c r="J318" s="191">
        <v>0</v>
      </c>
    </row>
    <row r="319" spans="1:10" ht="15.75" customHeight="1">
      <c r="A319" s="98" t="s">
        <v>6</v>
      </c>
      <c r="B319" s="133" t="s">
        <v>3674</v>
      </c>
      <c r="C319" s="191" t="s">
        <v>3865</v>
      </c>
      <c r="D319" s="191" t="s">
        <v>477</v>
      </c>
      <c r="E319" s="191">
        <v>100</v>
      </c>
      <c r="F319" s="191">
        <v>0</v>
      </c>
      <c r="G319" s="191">
        <v>0</v>
      </c>
      <c r="H319" s="191" t="s">
        <v>479</v>
      </c>
      <c r="I319" s="191" t="s">
        <v>479</v>
      </c>
      <c r="J319" s="191">
        <v>0</v>
      </c>
    </row>
    <row r="320" spans="1:10" ht="15.75" customHeight="1">
      <c r="A320" s="98" t="s">
        <v>6</v>
      </c>
      <c r="B320" s="133" t="s">
        <v>3674</v>
      </c>
      <c r="C320" s="191" t="s">
        <v>3866</v>
      </c>
      <c r="D320" s="191" t="s">
        <v>477</v>
      </c>
      <c r="E320" s="191">
        <v>40</v>
      </c>
      <c r="F320" s="191">
        <v>0</v>
      </c>
      <c r="G320" s="191">
        <v>0</v>
      </c>
      <c r="H320" s="191" t="s">
        <v>479</v>
      </c>
      <c r="I320" s="191" t="s">
        <v>479</v>
      </c>
      <c r="J320" s="191">
        <v>0</v>
      </c>
    </row>
    <row r="321" spans="1:10" ht="15.75" customHeight="1">
      <c r="A321" s="98" t="s">
        <v>6</v>
      </c>
      <c r="B321" s="133" t="s">
        <v>3674</v>
      </c>
      <c r="C321" s="191" t="s">
        <v>3867</v>
      </c>
      <c r="D321" s="191" t="s">
        <v>477</v>
      </c>
      <c r="E321" s="191">
        <v>40</v>
      </c>
      <c r="F321" s="191">
        <v>0</v>
      </c>
      <c r="G321" s="191">
        <v>0</v>
      </c>
      <c r="H321" s="191" t="s">
        <v>479</v>
      </c>
      <c r="I321" s="191" t="s">
        <v>479</v>
      </c>
      <c r="J321" s="191">
        <v>0</v>
      </c>
    </row>
    <row r="322" spans="1:10" ht="15.75" customHeight="1">
      <c r="A322" s="98" t="s">
        <v>6</v>
      </c>
      <c r="B322" s="133" t="s">
        <v>3674</v>
      </c>
      <c r="C322" s="191" t="s">
        <v>3868</v>
      </c>
      <c r="D322" s="191" t="s">
        <v>477</v>
      </c>
      <c r="E322" s="191">
        <v>40</v>
      </c>
      <c r="F322" s="191">
        <v>0</v>
      </c>
      <c r="G322" s="191">
        <v>0</v>
      </c>
      <c r="H322" s="191" t="s">
        <v>479</v>
      </c>
      <c r="I322" s="191" t="s">
        <v>479</v>
      </c>
      <c r="J322" s="191">
        <v>0</v>
      </c>
    </row>
    <row r="323" spans="1:10" ht="15.75" customHeight="1">
      <c r="A323" s="98" t="s">
        <v>6</v>
      </c>
      <c r="B323" s="133" t="s">
        <v>3674</v>
      </c>
      <c r="C323" s="191" t="s">
        <v>3869</v>
      </c>
      <c r="D323" s="191" t="s">
        <v>477</v>
      </c>
      <c r="E323" s="191">
        <v>40</v>
      </c>
      <c r="F323" s="191">
        <v>0</v>
      </c>
      <c r="G323" s="191">
        <v>0</v>
      </c>
      <c r="H323" s="191" t="s">
        <v>479</v>
      </c>
      <c r="I323" s="191" t="s">
        <v>479</v>
      </c>
      <c r="J323" s="191">
        <v>0</v>
      </c>
    </row>
    <row r="324" spans="1:10" ht="15.75" customHeight="1">
      <c r="A324" s="98" t="s">
        <v>6</v>
      </c>
      <c r="B324" s="133" t="s">
        <v>3674</v>
      </c>
      <c r="C324" s="191" t="s">
        <v>3870</v>
      </c>
      <c r="D324" s="191" t="s">
        <v>477</v>
      </c>
      <c r="E324" s="191">
        <v>5</v>
      </c>
      <c r="F324" s="191">
        <v>0</v>
      </c>
      <c r="G324" s="191">
        <v>0</v>
      </c>
      <c r="H324" s="191" t="s">
        <v>479</v>
      </c>
      <c r="I324" s="191" t="s">
        <v>479</v>
      </c>
      <c r="J324" s="191">
        <v>0</v>
      </c>
    </row>
    <row r="325" spans="1:10" ht="15.75" customHeight="1">
      <c r="A325" s="98" t="s">
        <v>6</v>
      </c>
      <c r="B325" s="133" t="s">
        <v>3674</v>
      </c>
      <c r="C325" s="191" t="s">
        <v>3879</v>
      </c>
      <c r="D325" s="191" t="s">
        <v>477</v>
      </c>
      <c r="E325" s="191">
        <v>100</v>
      </c>
      <c r="F325" s="191">
        <v>0</v>
      </c>
      <c r="G325" s="191">
        <v>0</v>
      </c>
      <c r="H325" s="191" t="s">
        <v>479</v>
      </c>
      <c r="I325" s="191" t="s">
        <v>479</v>
      </c>
      <c r="J325" s="191">
        <v>0</v>
      </c>
    </row>
    <row r="326" spans="1:10" ht="15.75" customHeight="1">
      <c r="A326" s="98" t="s">
        <v>6</v>
      </c>
      <c r="B326" s="133" t="s">
        <v>3674</v>
      </c>
      <c r="C326" s="191" t="s">
        <v>3880</v>
      </c>
      <c r="D326" s="191" t="s">
        <v>477</v>
      </c>
      <c r="E326" s="191">
        <v>50</v>
      </c>
      <c r="F326" s="191">
        <v>0</v>
      </c>
      <c r="G326" s="191">
        <v>0</v>
      </c>
      <c r="H326" s="191" t="s">
        <v>479</v>
      </c>
      <c r="I326" s="191" t="s">
        <v>479</v>
      </c>
      <c r="J326" s="191">
        <v>0</v>
      </c>
    </row>
    <row r="327" spans="1:10" ht="15.75" customHeight="1">
      <c r="A327" s="98" t="s">
        <v>6</v>
      </c>
      <c r="B327" s="133" t="s">
        <v>3674</v>
      </c>
      <c r="C327" s="191" t="s">
        <v>3881</v>
      </c>
      <c r="D327" s="191" t="s">
        <v>477</v>
      </c>
      <c r="E327" s="191">
        <v>50</v>
      </c>
      <c r="F327" s="191">
        <v>0</v>
      </c>
      <c r="G327" s="191">
        <v>0</v>
      </c>
      <c r="H327" s="191" t="s">
        <v>479</v>
      </c>
      <c r="I327" s="191" t="s">
        <v>479</v>
      </c>
      <c r="J327" s="191">
        <v>0</v>
      </c>
    </row>
    <row r="328" spans="1:10" ht="15.75" customHeight="1">
      <c r="A328" s="98" t="s">
        <v>6</v>
      </c>
      <c r="B328" s="133" t="s">
        <v>3674</v>
      </c>
      <c r="C328" s="191" t="s">
        <v>3882</v>
      </c>
      <c r="D328" s="191" t="s">
        <v>477</v>
      </c>
      <c r="E328" s="191">
        <v>50</v>
      </c>
      <c r="F328" s="191">
        <v>0</v>
      </c>
      <c r="G328" s="191">
        <v>0</v>
      </c>
      <c r="H328" s="191" t="s">
        <v>479</v>
      </c>
      <c r="I328" s="191" t="s">
        <v>479</v>
      </c>
      <c r="J328" s="191">
        <v>0</v>
      </c>
    </row>
    <row r="329" spans="1:10" ht="15.75" customHeight="1">
      <c r="A329" s="98" t="s">
        <v>6</v>
      </c>
      <c r="B329" s="133" t="s">
        <v>3674</v>
      </c>
      <c r="C329" s="191" t="s">
        <v>3883</v>
      </c>
      <c r="D329" s="191" t="s">
        <v>477</v>
      </c>
      <c r="E329" s="191">
        <v>50</v>
      </c>
      <c r="F329" s="191">
        <v>0</v>
      </c>
      <c r="G329" s="191">
        <v>0</v>
      </c>
      <c r="H329" s="191" t="s">
        <v>479</v>
      </c>
      <c r="I329" s="191" t="s">
        <v>479</v>
      </c>
      <c r="J329" s="191">
        <v>0</v>
      </c>
    </row>
    <row r="330" spans="1:10" ht="15.75" customHeight="1">
      <c r="A330" s="98" t="s">
        <v>6</v>
      </c>
      <c r="B330" s="133" t="s">
        <v>3674</v>
      </c>
      <c r="C330" s="191" t="s">
        <v>3884</v>
      </c>
      <c r="D330" s="191" t="s">
        <v>477</v>
      </c>
      <c r="E330" s="191">
        <v>5</v>
      </c>
      <c r="F330" s="191">
        <v>0</v>
      </c>
      <c r="G330" s="191">
        <v>0</v>
      </c>
      <c r="H330" s="191" t="s">
        <v>479</v>
      </c>
      <c r="I330" s="191" t="s">
        <v>479</v>
      </c>
      <c r="J330" s="191">
        <v>0</v>
      </c>
    </row>
    <row r="331" spans="1:10" ht="15.75" customHeight="1">
      <c r="A331" s="98" t="s">
        <v>6</v>
      </c>
      <c r="B331" s="133" t="s">
        <v>3674</v>
      </c>
      <c r="C331" s="191" t="s">
        <v>3921</v>
      </c>
      <c r="D331" s="191" t="s">
        <v>477</v>
      </c>
      <c r="E331" s="191">
        <v>10</v>
      </c>
      <c r="F331" s="191">
        <v>0</v>
      </c>
      <c r="G331" s="191">
        <v>0</v>
      </c>
      <c r="H331" s="191" t="s">
        <v>479</v>
      </c>
      <c r="I331" s="191" t="s">
        <v>479</v>
      </c>
      <c r="J331" s="191">
        <v>0</v>
      </c>
    </row>
    <row r="332" spans="1:10" ht="15.75" customHeight="1">
      <c r="A332" s="98" t="s">
        <v>6</v>
      </c>
      <c r="B332" s="133" t="s">
        <v>3674</v>
      </c>
      <c r="C332" s="191" t="s">
        <v>3922</v>
      </c>
      <c r="D332" s="191" t="s">
        <v>477</v>
      </c>
      <c r="E332" s="191">
        <v>60</v>
      </c>
      <c r="F332" s="191">
        <v>0</v>
      </c>
      <c r="G332" s="191">
        <v>0</v>
      </c>
      <c r="H332" s="191" t="s">
        <v>479</v>
      </c>
      <c r="I332" s="191" t="s">
        <v>479</v>
      </c>
      <c r="J332" s="191">
        <v>0</v>
      </c>
    </row>
    <row r="333" spans="1:10" ht="15.75" customHeight="1">
      <c r="A333" s="98" t="s">
        <v>6</v>
      </c>
      <c r="B333" s="133" t="s">
        <v>3674</v>
      </c>
      <c r="C333" s="191" t="s">
        <v>3923</v>
      </c>
      <c r="D333" s="191" t="s">
        <v>477</v>
      </c>
      <c r="E333" s="191">
        <v>14</v>
      </c>
      <c r="F333" s="191">
        <v>0</v>
      </c>
      <c r="G333" s="191">
        <v>0</v>
      </c>
      <c r="H333" s="191" t="s">
        <v>479</v>
      </c>
      <c r="I333" s="191" t="s">
        <v>479</v>
      </c>
      <c r="J333" s="191">
        <v>0</v>
      </c>
    </row>
    <row r="334" spans="1:10" ht="15.75" customHeight="1">
      <c r="A334" s="98" t="s">
        <v>6</v>
      </c>
      <c r="B334" s="133" t="s">
        <v>3674</v>
      </c>
      <c r="C334" s="191" t="s">
        <v>3924</v>
      </c>
      <c r="D334" s="191" t="s">
        <v>477</v>
      </c>
      <c r="E334" s="191">
        <v>20</v>
      </c>
      <c r="F334" s="191">
        <v>0</v>
      </c>
      <c r="G334" s="191">
        <v>0</v>
      </c>
      <c r="H334" s="191" t="s">
        <v>479</v>
      </c>
      <c r="I334" s="191" t="s">
        <v>479</v>
      </c>
      <c r="J334" s="191">
        <v>0</v>
      </c>
    </row>
    <row r="335" spans="1:10" ht="15.75" customHeight="1">
      <c r="A335" s="98" t="s">
        <v>6</v>
      </c>
      <c r="B335" s="133" t="s">
        <v>3674</v>
      </c>
      <c r="C335" s="191" t="s">
        <v>3925</v>
      </c>
      <c r="D335" s="191" t="s">
        <v>477</v>
      </c>
      <c r="E335" s="191">
        <v>200</v>
      </c>
      <c r="F335" s="191">
        <v>0</v>
      </c>
      <c r="G335" s="191">
        <v>0</v>
      </c>
      <c r="H335" s="191" t="s">
        <v>479</v>
      </c>
      <c r="I335" s="191" t="s">
        <v>479</v>
      </c>
      <c r="J335" s="191">
        <v>0</v>
      </c>
    </row>
    <row r="336" spans="1:10" ht="15.75" customHeight="1">
      <c r="A336" s="98" t="s">
        <v>6</v>
      </c>
      <c r="B336" s="133" t="s">
        <v>3674</v>
      </c>
      <c r="C336" s="191" t="s">
        <v>3815</v>
      </c>
      <c r="D336" s="191" t="s">
        <v>496</v>
      </c>
      <c r="E336" s="191">
        <v>4</v>
      </c>
      <c r="F336" s="191">
        <v>16</v>
      </c>
      <c r="G336" s="191">
        <v>0</v>
      </c>
      <c r="H336" s="191" t="s">
        <v>479</v>
      </c>
      <c r="I336" s="191" t="s">
        <v>479</v>
      </c>
      <c r="J336" s="191">
        <v>0</v>
      </c>
    </row>
    <row r="337" spans="1:10" ht="15.75" customHeight="1">
      <c r="A337" s="98" t="s">
        <v>6</v>
      </c>
      <c r="B337" s="133" t="s">
        <v>3674</v>
      </c>
      <c r="C337" s="191" t="s">
        <v>1334</v>
      </c>
      <c r="D337" s="191" t="s">
        <v>477</v>
      </c>
      <c r="E337" s="191">
        <v>100</v>
      </c>
      <c r="F337" s="191">
        <v>0</v>
      </c>
      <c r="G337" s="191">
        <v>0</v>
      </c>
      <c r="H337" s="191" t="s">
        <v>479</v>
      </c>
      <c r="I337" s="191" t="s">
        <v>479</v>
      </c>
      <c r="J337" s="191">
        <v>0</v>
      </c>
    </row>
    <row r="338" spans="1:10" ht="15.75" customHeight="1">
      <c r="A338" s="98" t="s">
        <v>6</v>
      </c>
      <c r="B338" s="133" t="s">
        <v>3674</v>
      </c>
      <c r="C338" s="191" t="s">
        <v>3816</v>
      </c>
      <c r="D338" s="191" t="s">
        <v>496</v>
      </c>
      <c r="E338" s="191">
        <v>4</v>
      </c>
      <c r="F338" s="191">
        <v>16</v>
      </c>
      <c r="G338" s="191">
        <v>0</v>
      </c>
      <c r="H338" s="191" t="s">
        <v>479</v>
      </c>
      <c r="I338" s="191" t="s">
        <v>479</v>
      </c>
      <c r="J338" s="191">
        <v>0</v>
      </c>
    </row>
    <row r="339" spans="1:10" ht="15.75" customHeight="1">
      <c r="A339" s="98" t="s">
        <v>6</v>
      </c>
      <c r="B339" s="133" t="s">
        <v>3674</v>
      </c>
      <c r="C339" s="191" t="s">
        <v>1336</v>
      </c>
      <c r="D339" s="191" t="s">
        <v>477</v>
      </c>
      <c r="E339" s="191">
        <v>100</v>
      </c>
      <c r="F339" s="191">
        <v>0</v>
      </c>
      <c r="G339" s="191">
        <v>0</v>
      </c>
      <c r="H339" s="191" t="s">
        <v>479</v>
      </c>
      <c r="I339" s="191" t="s">
        <v>479</v>
      </c>
      <c r="J339" s="191">
        <v>0</v>
      </c>
    </row>
    <row r="340" spans="1:10" ht="15.75" customHeight="1">
      <c r="A340" s="98" t="s">
        <v>6</v>
      </c>
      <c r="B340" s="133" t="s">
        <v>3674</v>
      </c>
      <c r="C340" s="191" t="s">
        <v>3926</v>
      </c>
      <c r="D340" s="191" t="s">
        <v>477</v>
      </c>
      <c r="E340" s="191">
        <v>1000</v>
      </c>
      <c r="F340" s="191">
        <v>0</v>
      </c>
      <c r="G340" s="191">
        <v>0</v>
      </c>
      <c r="H340" s="191" t="s">
        <v>479</v>
      </c>
      <c r="I340" s="191" t="s">
        <v>479</v>
      </c>
      <c r="J340" s="191">
        <v>0</v>
      </c>
    </row>
    <row r="341" spans="1:10" ht="15.75" customHeight="1">
      <c r="A341" s="98" t="s">
        <v>6</v>
      </c>
      <c r="B341" s="133" t="s">
        <v>3674</v>
      </c>
      <c r="C341" s="191" t="s">
        <v>3927</v>
      </c>
      <c r="D341" s="191" t="s">
        <v>477</v>
      </c>
      <c r="E341" s="191">
        <v>200</v>
      </c>
      <c r="F341" s="191">
        <v>0</v>
      </c>
      <c r="G341" s="191">
        <v>0</v>
      </c>
      <c r="H341" s="191" t="s">
        <v>479</v>
      </c>
      <c r="I341" s="191" t="s">
        <v>479</v>
      </c>
      <c r="J341" s="191">
        <v>0</v>
      </c>
    </row>
    <row r="342" spans="1:10" ht="15.75" customHeight="1">
      <c r="A342" s="98" t="s">
        <v>6</v>
      </c>
      <c r="B342" s="133" t="s">
        <v>3633</v>
      </c>
      <c r="C342" s="191" t="s">
        <v>3635</v>
      </c>
      <c r="D342" s="191" t="s">
        <v>477</v>
      </c>
      <c r="E342" s="191">
        <v>20</v>
      </c>
      <c r="F342" s="191">
        <v>0</v>
      </c>
      <c r="G342" s="191">
        <v>0</v>
      </c>
      <c r="H342" s="191" t="s">
        <v>479</v>
      </c>
      <c r="I342" s="191" t="s">
        <v>548</v>
      </c>
      <c r="J342" s="191">
        <v>0</v>
      </c>
    </row>
    <row r="343" spans="1:10" ht="15.75" customHeight="1">
      <c r="A343" s="98" t="s">
        <v>6</v>
      </c>
      <c r="B343" s="133" t="s">
        <v>3633</v>
      </c>
      <c r="C343" s="191" t="s">
        <v>3650</v>
      </c>
      <c r="D343" s="191" t="s">
        <v>477</v>
      </c>
      <c r="E343" s="191">
        <v>50</v>
      </c>
      <c r="F343" s="191">
        <v>0</v>
      </c>
      <c r="G343" s="191">
        <v>0</v>
      </c>
      <c r="H343" s="191" t="s">
        <v>479</v>
      </c>
      <c r="I343" s="191" t="s">
        <v>548</v>
      </c>
      <c r="J343" s="191">
        <v>0</v>
      </c>
    </row>
    <row r="344" spans="1:10" ht="15.75" customHeight="1">
      <c r="A344" s="98" t="s">
        <v>6</v>
      </c>
      <c r="B344" s="133" t="s">
        <v>3633</v>
      </c>
      <c r="C344" s="191" t="s">
        <v>3761</v>
      </c>
      <c r="D344" s="191" t="s">
        <v>496</v>
      </c>
      <c r="E344" s="191">
        <v>4</v>
      </c>
      <c r="F344" s="191">
        <v>16</v>
      </c>
      <c r="G344" s="191">
        <v>0</v>
      </c>
      <c r="H344" s="191" t="s">
        <v>479</v>
      </c>
      <c r="I344" s="191" t="s">
        <v>548</v>
      </c>
      <c r="J344" s="191">
        <v>0</v>
      </c>
    </row>
    <row r="345" spans="1:10" ht="15.75" customHeight="1">
      <c r="A345" s="98" t="s">
        <v>6</v>
      </c>
      <c r="B345" s="133" t="s">
        <v>3633</v>
      </c>
      <c r="C345" s="191" t="s">
        <v>2900</v>
      </c>
      <c r="D345" s="191" t="s">
        <v>496</v>
      </c>
      <c r="E345" s="191">
        <v>4</v>
      </c>
      <c r="F345" s="191">
        <v>16</v>
      </c>
      <c r="G345" s="191">
        <v>0</v>
      </c>
      <c r="H345" s="191" t="s">
        <v>479</v>
      </c>
      <c r="I345" s="191" t="s">
        <v>548</v>
      </c>
      <c r="J345" s="191">
        <v>0</v>
      </c>
    </row>
    <row r="346" spans="1:10" ht="15.75" customHeight="1">
      <c r="A346" s="98" t="s">
        <v>6</v>
      </c>
      <c r="B346" s="133" t="s">
        <v>3633</v>
      </c>
      <c r="C346" s="191" t="s">
        <v>3762</v>
      </c>
      <c r="D346" s="191" t="s">
        <v>477</v>
      </c>
      <c r="E346" s="191">
        <v>20</v>
      </c>
      <c r="F346" s="191">
        <v>0</v>
      </c>
      <c r="G346" s="191">
        <v>0</v>
      </c>
      <c r="H346" s="191" t="s">
        <v>479</v>
      </c>
      <c r="I346" s="191" t="s">
        <v>548</v>
      </c>
      <c r="J346" s="191">
        <v>0</v>
      </c>
    </row>
    <row r="347" spans="1:10" ht="15.75" customHeight="1">
      <c r="A347" s="98" t="s">
        <v>6</v>
      </c>
      <c r="B347" s="133" t="s">
        <v>3633</v>
      </c>
      <c r="C347" s="191" t="s">
        <v>3763</v>
      </c>
      <c r="D347" s="191" t="s">
        <v>484</v>
      </c>
      <c r="E347" s="191">
        <v>4</v>
      </c>
      <c r="F347" s="191">
        <v>10</v>
      </c>
      <c r="G347" s="191">
        <v>0</v>
      </c>
      <c r="H347" s="191" t="s">
        <v>479</v>
      </c>
      <c r="I347" s="191" t="s">
        <v>615</v>
      </c>
      <c r="J347" s="191">
        <v>0</v>
      </c>
    </row>
    <row r="348" spans="1:10" ht="15.75" customHeight="1">
      <c r="A348" s="98" t="s">
        <v>6</v>
      </c>
      <c r="B348" s="133" t="s">
        <v>3633</v>
      </c>
      <c r="C348" s="191" t="s">
        <v>3764</v>
      </c>
      <c r="D348" s="191" t="s">
        <v>477</v>
      </c>
      <c r="E348" s="191">
        <v>20</v>
      </c>
      <c r="F348" s="191">
        <v>0</v>
      </c>
      <c r="G348" s="191">
        <v>0</v>
      </c>
      <c r="H348" s="191" t="s">
        <v>479</v>
      </c>
      <c r="I348" s="191" t="s">
        <v>548</v>
      </c>
      <c r="J348" s="191">
        <v>0</v>
      </c>
    </row>
    <row r="349" spans="1:10" ht="15.75" customHeight="1">
      <c r="A349" s="98" t="s">
        <v>6</v>
      </c>
      <c r="B349" s="133" t="s">
        <v>3633</v>
      </c>
      <c r="C349" s="191" t="s">
        <v>174</v>
      </c>
      <c r="D349" s="191" t="s">
        <v>477</v>
      </c>
      <c r="E349" s="191">
        <v>20</v>
      </c>
      <c r="F349" s="191">
        <v>0</v>
      </c>
      <c r="G349" s="191">
        <v>0</v>
      </c>
      <c r="H349" s="191" t="s">
        <v>479</v>
      </c>
      <c r="I349" s="191" t="s">
        <v>548</v>
      </c>
      <c r="J349" s="191">
        <v>0</v>
      </c>
    </row>
    <row r="350" spans="1:10" ht="15.75" customHeight="1">
      <c r="A350" s="98" t="s">
        <v>6</v>
      </c>
      <c r="B350" s="133" t="s">
        <v>3633</v>
      </c>
      <c r="C350" s="191" t="s">
        <v>1821</v>
      </c>
      <c r="D350" s="191" t="s">
        <v>477</v>
      </c>
      <c r="E350" s="191">
        <v>100</v>
      </c>
      <c r="F350" s="191">
        <v>0</v>
      </c>
      <c r="G350" s="191">
        <v>0</v>
      </c>
      <c r="H350" s="191" t="s">
        <v>479</v>
      </c>
      <c r="I350" s="191" t="s">
        <v>548</v>
      </c>
      <c r="J350" s="191">
        <v>0</v>
      </c>
    </row>
    <row r="351" spans="1:10" ht="15.75" customHeight="1">
      <c r="A351" s="98" t="s">
        <v>6</v>
      </c>
      <c r="B351" s="133" t="s">
        <v>3633</v>
      </c>
      <c r="C351" s="191" t="s">
        <v>1433</v>
      </c>
      <c r="D351" s="191" t="s">
        <v>477</v>
      </c>
      <c r="E351" s="191">
        <v>20</v>
      </c>
      <c r="F351" s="191">
        <v>0</v>
      </c>
      <c r="G351" s="191">
        <v>0</v>
      </c>
      <c r="H351" s="191" t="s">
        <v>479</v>
      </c>
      <c r="I351" s="191" t="s">
        <v>548</v>
      </c>
      <c r="J351" s="191">
        <v>0</v>
      </c>
    </row>
    <row r="352" spans="1:10" ht="15.75" customHeight="1">
      <c r="A352" s="98" t="s">
        <v>6</v>
      </c>
      <c r="B352" s="133" t="s">
        <v>3633</v>
      </c>
      <c r="C352" s="191" t="s">
        <v>1322</v>
      </c>
      <c r="D352" s="191" t="s">
        <v>477</v>
      </c>
      <c r="E352" s="191">
        <v>5</v>
      </c>
      <c r="F352" s="191">
        <v>0</v>
      </c>
      <c r="G352" s="191">
        <v>0</v>
      </c>
      <c r="H352" s="191" t="s">
        <v>479</v>
      </c>
      <c r="I352" s="191" t="s">
        <v>548</v>
      </c>
      <c r="J352" s="191">
        <v>0</v>
      </c>
    </row>
    <row r="353" spans="1:10" ht="15.75" customHeight="1">
      <c r="A353" s="98" t="s">
        <v>6</v>
      </c>
      <c r="B353" s="133" t="s">
        <v>3633</v>
      </c>
      <c r="C353" s="191" t="s">
        <v>3765</v>
      </c>
      <c r="D353" s="191" t="s">
        <v>484</v>
      </c>
      <c r="E353" s="191">
        <v>4</v>
      </c>
      <c r="F353" s="191">
        <v>10</v>
      </c>
      <c r="G353" s="191">
        <v>0</v>
      </c>
      <c r="H353" s="191" t="s">
        <v>479</v>
      </c>
      <c r="I353" s="191" t="s">
        <v>548</v>
      </c>
      <c r="J353" s="191">
        <v>0</v>
      </c>
    </row>
    <row r="354" spans="1:10" ht="15.75" customHeight="1">
      <c r="A354" s="98" t="s">
        <v>6</v>
      </c>
      <c r="B354" s="133" t="s">
        <v>3633</v>
      </c>
      <c r="C354" s="191" t="s">
        <v>3766</v>
      </c>
      <c r="D354" s="191" t="s">
        <v>477</v>
      </c>
      <c r="E354" s="191">
        <v>150</v>
      </c>
      <c r="F354" s="191">
        <v>0</v>
      </c>
      <c r="G354" s="191">
        <v>0</v>
      </c>
      <c r="H354" s="191" t="s">
        <v>479</v>
      </c>
      <c r="I354" s="191" t="s">
        <v>548</v>
      </c>
      <c r="J354" s="191">
        <v>1</v>
      </c>
    </row>
    <row r="355" spans="1:10" ht="15.75" customHeight="1">
      <c r="A355" s="98" t="s">
        <v>6</v>
      </c>
      <c r="B355" s="133" t="s">
        <v>3633</v>
      </c>
      <c r="C355" s="191" t="s">
        <v>3767</v>
      </c>
      <c r="D355" s="191" t="s">
        <v>477</v>
      </c>
      <c r="E355" s="191">
        <v>150</v>
      </c>
      <c r="F355" s="191">
        <v>0</v>
      </c>
      <c r="G355" s="191">
        <v>0</v>
      </c>
      <c r="H355" s="191" t="s">
        <v>479</v>
      </c>
      <c r="I355" s="191" t="s">
        <v>548</v>
      </c>
      <c r="J355" s="191">
        <v>1</v>
      </c>
    </row>
    <row r="356" spans="1:10" ht="15.75" customHeight="1">
      <c r="A356" s="98" t="s">
        <v>6</v>
      </c>
      <c r="B356" s="133" t="s">
        <v>3633</v>
      </c>
      <c r="C356" s="191" t="s">
        <v>3768</v>
      </c>
      <c r="D356" s="191" t="s">
        <v>477</v>
      </c>
      <c r="E356" s="191">
        <v>55</v>
      </c>
      <c r="F356" s="191">
        <v>0</v>
      </c>
      <c r="G356" s="191">
        <v>0</v>
      </c>
      <c r="H356" s="191" t="s">
        <v>479</v>
      </c>
      <c r="I356" s="191" t="s">
        <v>548</v>
      </c>
      <c r="J356" s="191">
        <v>0</v>
      </c>
    </row>
    <row r="357" spans="1:10" ht="15.75" customHeight="1">
      <c r="A357" s="98" t="s">
        <v>6</v>
      </c>
      <c r="B357" s="133" t="s">
        <v>3633</v>
      </c>
      <c r="C357" s="191" t="s">
        <v>3769</v>
      </c>
      <c r="D357" s="191" t="s">
        <v>477</v>
      </c>
      <c r="E357" s="191">
        <v>55</v>
      </c>
      <c r="F357" s="191">
        <v>0</v>
      </c>
      <c r="G357" s="191">
        <v>0</v>
      </c>
      <c r="H357" s="191" t="s">
        <v>479</v>
      </c>
      <c r="I357" s="191" t="s">
        <v>548</v>
      </c>
      <c r="J357" s="191">
        <v>0</v>
      </c>
    </row>
    <row r="358" spans="1:10" ht="15.75" customHeight="1">
      <c r="A358" s="98" t="s">
        <v>6</v>
      </c>
      <c r="B358" s="133" t="s">
        <v>3633</v>
      </c>
      <c r="C358" s="191" t="s">
        <v>1883</v>
      </c>
      <c r="D358" s="191" t="s">
        <v>477</v>
      </c>
      <c r="E358" s="191">
        <v>27</v>
      </c>
      <c r="F358" s="191">
        <v>0</v>
      </c>
      <c r="G358" s="191">
        <v>0</v>
      </c>
      <c r="H358" s="191" t="s">
        <v>479</v>
      </c>
      <c r="I358" s="191" t="s">
        <v>548</v>
      </c>
      <c r="J358" s="191">
        <v>0</v>
      </c>
    </row>
    <row r="359" spans="1:10" ht="15.75" customHeight="1">
      <c r="A359" s="98" t="s">
        <v>6</v>
      </c>
      <c r="B359" s="133" t="s">
        <v>3633</v>
      </c>
      <c r="C359" s="191" t="s">
        <v>1884</v>
      </c>
      <c r="D359" s="191" t="s">
        <v>477</v>
      </c>
      <c r="E359" s="191">
        <v>27</v>
      </c>
      <c r="F359" s="191">
        <v>0</v>
      </c>
      <c r="G359" s="191">
        <v>0</v>
      </c>
      <c r="H359" s="191" t="s">
        <v>479</v>
      </c>
      <c r="I359" s="191" t="s">
        <v>548</v>
      </c>
      <c r="J359" s="191">
        <v>0</v>
      </c>
    </row>
    <row r="360" spans="1:10" ht="15.75" customHeight="1">
      <c r="A360" s="98" t="s">
        <v>6</v>
      </c>
      <c r="B360" s="133" t="s">
        <v>3633</v>
      </c>
      <c r="C360" s="191" t="s">
        <v>1885</v>
      </c>
      <c r="D360" s="191" t="s">
        <v>477</v>
      </c>
      <c r="E360" s="191">
        <v>30</v>
      </c>
      <c r="F360" s="191">
        <v>0</v>
      </c>
      <c r="G360" s="191">
        <v>0</v>
      </c>
      <c r="H360" s="191" t="s">
        <v>479</v>
      </c>
      <c r="I360" s="191" t="s">
        <v>548</v>
      </c>
      <c r="J360" s="191">
        <v>0</v>
      </c>
    </row>
    <row r="361" spans="1:10" ht="15.75" customHeight="1">
      <c r="A361" s="98" t="s">
        <v>6</v>
      </c>
      <c r="B361" s="133" t="s">
        <v>3633</v>
      </c>
      <c r="C361" s="191" t="s">
        <v>1886</v>
      </c>
      <c r="D361" s="191" t="s">
        <v>477</v>
      </c>
      <c r="E361" s="191">
        <v>5</v>
      </c>
      <c r="F361" s="191">
        <v>0</v>
      </c>
      <c r="G361" s="191">
        <v>0</v>
      </c>
      <c r="H361" s="191" t="s">
        <v>479</v>
      </c>
      <c r="I361" s="191" t="s">
        <v>548</v>
      </c>
      <c r="J361" s="191">
        <v>0</v>
      </c>
    </row>
    <row r="362" spans="1:10" ht="15.75" customHeight="1">
      <c r="A362" s="98" t="s">
        <v>6</v>
      </c>
      <c r="B362" s="133" t="s">
        <v>3633</v>
      </c>
      <c r="C362" s="191" t="s">
        <v>208</v>
      </c>
      <c r="D362" s="191" t="s">
        <v>1631</v>
      </c>
      <c r="E362" s="191">
        <v>8</v>
      </c>
      <c r="F362" s="191">
        <v>19</v>
      </c>
      <c r="G362" s="191">
        <v>0</v>
      </c>
      <c r="H362" s="191" t="s">
        <v>479</v>
      </c>
      <c r="I362" s="191" t="s">
        <v>615</v>
      </c>
      <c r="J362" s="191">
        <v>0</v>
      </c>
    </row>
    <row r="363" spans="1:10" ht="15.75" customHeight="1">
      <c r="A363" s="98" t="s">
        <v>6</v>
      </c>
      <c r="B363" s="133" t="s">
        <v>3633</v>
      </c>
      <c r="C363" s="191" t="s">
        <v>3770</v>
      </c>
      <c r="D363" s="191" t="s">
        <v>1631</v>
      </c>
      <c r="E363" s="191">
        <v>8</v>
      </c>
      <c r="F363" s="191">
        <v>19</v>
      </c>
      <c r="G363" s="191">
        <v>0</v>
      </c>
      <c r="H363" s="191" t="s">
        <v>479</v>
      </c>
      <c r="I363" s="191" t="s">
        <v>615</v>
      </c>
      <c r="J363" s="191">
        <v>0</v>
      </c>
    </row>
    <row r="364" spans="1:10" ht="15.75" customHeight="1">
      <c r="A364" s="98" t="s">
        <v>6</v>
      </c>
      <c r="B364" s="133" t="s">
        <v>3633</v>
      </c>
      <c r="C364" s="191" t="s">
        <v>2912</v>
      </c>
      <c r="D364" s="191" t="s">
        <v>477</v>
      </c>
      <c r="E364" s="191">
        <v>10</v>
      </c>
      <c r="F364" s="191">
        <v>0</v>
      </c>
      <c r="G364" s="191">
        <v>0</v>
      </c>
      <c r="H364" s="191" t="s">
        <v>479</v>
      </c>
      <c r="I364" s="191" t="s">
        <v>548</v>
      </c>
      <c r="J364" s="191">
        <v>0</v>
      </c>
    </row>
    <row r="365" spans="1:10" ht="15.75" customHeight="1">
      <c r="A365" s="98" t="s">
        <v>6</v>
      </c>
      <c r="B365" s="133" t="s">
        <v>3633</v>
      </c>
      <c r="C365" s="191" t="s">
        <v>1660</v>
      </c>
      <c r="D365" s="191" t="s">
        <v>477</v>
      </c>
      <c r="E365" s="191">
        <v>50</v>
      </c>
      <c r="F365" s="191">
        <v>0</v>
      </c>
      <c r="G365" s="191">
        <v>0</v>
      </c>
      <c r="H365" s="191" t="s">
        <v>479</v>
      </c>
      <c r="I365" s="191" t="s">
        <v>548</v>
      </c>
      <c r="J365" s="191">
        <v>0</v>
      </c>
    </row>
    <row r="366" spans="1:10" ht="15.75" customHeight="1">
      <c r="A366" s="98" t="s">
        <v>6</v>
      </c>
      <c r="B366" s="133" t="s">
        <v>3633</v>
      </c>
      <c r="C366" s="191" t="s">
        <v>3771</v>
      </c>
      <c r="D366" s="191" t="s">
        <v>477</v>
      </c>
      <c r="E366" s="191">
        <v>20</v>
      </c>
      <c r="F366" s="191">
        <v>0</v>
      </c>
      <c r="G366" s="191">
        <v>0</v>
      </c>
      <c r="H366" s="191" t="s">
        <v>479</v>
      </c>
      <c r="I366" s="191" t="s">
        <v>548</v>
      </c>
      <c r="J366" s="191">
        <v>0</v>
      </c>
    </row>
    <row r="367" spans="1:10" ht="15.75" customHeight="1">
      <c r="A367" s="98" t="s">
        <v>6</v>
      </c>
      <c r="B367" s="133" t="s">
        <v>3633</v>
      </c>
      <c r="C367" s="191" t="s">
        <v>3772</v>
      </c>
      <c r="D367" s="191" t="s">
        <v>477</v>
      </c>
      <c r="E367" s="191">
        <v>6</v>
      </c>
      <c r="F367" s="191">
        <v>0</v>
      </c>
      <c r="G367" s="191">
        <v>0</v>
      </c>
      <c r="H367" s="191" t="s">
        <v>479</v>
      </c>
      <c r="I367" s="191" t="s">
        <v>548</v>
      </c>
      <c r="J367" s="191">
        <v>0</v>
      </c>
    </row>
    <row r="368" spans="1:10" ht="15.75" customHeight="1">
      <c r="A368" s="98" t="s">
        <v>6</v>
      </c>
      <c r="B368" s="133" t="s">
        <v>3633</v>
      </c>
      <c r="C368" s="191" t="s">
        <v>1653</v>
      </c>
      <c r="D368" s="191" t="s">
        <v>477</v>
      </c>
      <c r="E368" s="191">
        <v>100</v>
      </c>
      <c r="F368" s="191">
        <v>0</v>
      </c>
      <c r="G368" s="191">
        <v>0</v>
      </c>
      <c r="H368" s="191" t="s">
        <v>479</v>
      </c>
      <c r="I368" s="191" t="s">
        <v>548</v>
      </c>
      <c r="J368" s="191">
        <v>0</v>
      </c>
    </row>
    <row r="369" spans="1:10" ht="15.75" customHeight="1">
      <c r="A369" s="98" t="s">
        <v>6</v>
      </c>
      <c r="B369" s="133" t="s">
        <v>3633</v>
      </c>
      <c r="C369" s="191" t="s">
        <v>3773</v>
      </c>
      <c r="D369" s="191" t="s">
        <v>477</v>
      </c>
      <c r="E369" s="191">
        <v>100</v>
      </c>
      <c r="F369" s="191">
        <v>0</v>
      </c>
      <c r="G369" s="191">
        <v>0</v>
      </c>
      <c r="H369" s="191" t="s">
        <v>479</v>
      </c>
      <c r="I369" s="191" t="s">
        <v>548</v>
      </c>
      <c r="J369" s="191">
        <v>0</v>
      </c>
    </row>
    <row r="370" spans="1:10" ht="15.75" customHeight="1">
      <c r="A370" s="98" t="s">
        <v>6</v>
      </c>
      <c r="B370" s="133" t="s">
        <v>3633</v>
      </c>
      <c r="C370" s="191" t="s">
        <v>2184</v>
      </c>
      <c r="D370" s="191" t="s">
        <v>484</v>
      </c>
      <c r="E370" s="191">
        <v>4</v>
      </c>
      <c r="F370" s="191">
        <v>10</v>
      </c>
      <c r="G370" s="191">
        <v>0</v>
      </c>
      <c r="H370" s="191" t="s">
        <v>479</v>
      </c>
      <c r="I370" s="191" t="s">
        <v>615</v>
      </c>
      <c r="J370" s="191">
        <v>0</v>
      </c>
    </row>
    <row r="371" spans="1:10" ht="15.75" customHeight="1">
      <c r="A371" s="98" t="s">
        <v>6</v>
      </c>
      <c r="B371" s="133" t="s">
        <v>3633</v>
      </c>
      <c r="C371" s="191" t="s">
        <v>3774</v>
      </c>
      <c r="D371" s="191" t="s">
        <v>484</v>
      </c>
      <c r="E371" s="191">
        <v>4</v>
      </c>
      <c r="F371" s="191">
        <v>10</v>
      </c>
      <c r="G371" s="191">
        <v>0</v>
      </c>
      <c r="H371" s="191" t="s">
        <v>479</v>
      </c>
      <c r="I371" s="191" t="s">
        <v>615</v>
      </c>
      <c r="J371" s="191">
        <v>0</v>
      </c>
    </row>
    <row r="372" spans="1:10" ht="15.75" customHeight="1">
      <c r="A372" s="98" t="s">
        <v>6</v>
      </c>
      <c r="B372" s="133" t="s">
        <v>3633</v>
      </c>
      <c r="C372" s="191" t="s">
        <v>3107</v>
      </c>
      <c r="D372" s="191" t="s">
        <v>477</v>
      </c>
      <c r="E372" s="191">
        <v>10</v>
      </c>
      <c r="F372" s="191">
        <v>0</v>
      </c>
      <c r="G372" s="191">
        <v>0</v>
      </c>
      <c r="H372" s="191" t="s">
        <v>479</v>
      </c>
      <c r="I372" s="191" t="s">
        <v>548</v>
      </c>
      <c r="J372" s="191">
        <v>0</v>
      </c>
    </row>
    <row r="373" spans="1:10" ht="15.75" customHeight="1">
      <c r="A373" s="98" t="s">
        <v>6</v>
      </c>
      <c r="B373" s="133" t="s">
        <v>3633</v>
      </c>
      <c r="C373" s="191" t="s">
        <v>2185</v>
      </c>
      <c r="D373" s="191" t="s">
        <v>477</v>
      </c>
      <c r="E373" s="191">
        <v>50</v>
      </c>
      <c r="F373" s="191">
        <v>0</v>
      </c>
      <c r="G373" s="191">
        <v>0</v>
      </c>
      <c r="H373" s="191" t="s">
        <v>479</v>
      </c>
      <c r="I373" s="191" t="s">
        <v>548</v>
      </c>
      <c r="J373" s="191">
        <v>0</v>
      </c>
    </row>
    <row r="374" spans="1:10" ht="15.75" customHeight="1">
      <c r="A374" s="98" t="s">
        <v>6</v>
      </c>
      <c r="B374" s="133" t="s">
        <v>3633</v>
      </c>
      <c r="C374" s="191" t="s">
        <v>3775</v>
      </c>
      <c r="D374" s="191" t="s">
        <v>477</v>
      </c>
      <c r="E374" s="191">
        <v>150</v>
      </c>
      <c r="F374" s="191">
        <v>0</v>
      </c>
      <c r="G374" s="191">
        <v>0</v>
      </c>
      <c r="H374" s="191" t="s">
        <v>479</v>
      </c>
      <c r="I374" s="191" t="s">
        <v>548</v>
      </c>
      <c r="J374" s="191">
        <v>1</v>
      </c>
    </row>
    <row r="375" spans="1:10" ht="15.75" customHeight="1">
      <c r="A375" s="98" t="s">
        <v>6</v>
      </c>
      <c r="B375" s="133" t="s">
        <v>3633</v>
      </c>
      <c r="C375" s="191" t="s">
        <v>3776</v>
      </c>
      <c r="D375" s="191" t="s">
        <v>477</v>
      </c>
      <c r="E375" s="191">
        <v>150</v>
      </c>
      <c r="F375" s="191">
        <v>0</v>
      </c>
      <c r="G375" s="191">
        <v>0</v>
      </c>
      <c r="H375" s="191" t="s">
        <v>479</v>
      </c>
      <c r="I375" s="191" t="s">
        <v>548</v>
      </c>
      <c r="J375" s="191">
        <v>1</v>
      </c>
    </row>
    <row r="376" spans="1:10" ht="15.75" customHeight="1">
      <c r="A376" s="98" t="s">
        <v>6</v>
      </c>
      <c r="B376" s="133" t="s">
        <v>3633</v>
      </c>
      <c r="C376" s="191" t="s">
        <v>2202</v>
      </c>
      <c r="D376" s="191" t="s">
        <v>477</v>
      </c>
      <c r="E376" s="191">
        <v>27</v>
      </c>
      <c r="F376" s="191">
        <v>0</v>
      </c>
      <c r="G376" s="191">
        <v>0</v>
      </c>
      <c r="H376" s="191" t="s">
        <v>479</v>
      </c>
      <c r="I376" s="191" t="s">
        <v>548</v>
      </c>
      <c r="J376" s="191">
        <v>0</v>
      </c>
    </row>
    <row r="377" spans="1:10" ht="15.75" customHeight="1">
      <c r="A377" s="98" t="s">
        <v>6</v>
      </c>
      <c r="B377" s="133" t="s">
        <v>3633</v>
      </c>
      <c r="C377" s="191" t="s">
        <v>2204</v>
      </c>
      <c r="D377" s="191" t="s">
        <v>477</v>
      </c>
      <c r="E377" s="191">
        <v>27</v>
      </c>
      <c r="F377" s="191">
        <v>0</v>
      </c>
      <c r="G377" s="191">
        <v>0</v>
      </c>
      <c r="H377" s="191" t="s">
        <v>479</v>
      </c>
      <c r="I377" s="191" t="s">
        <v>548</v>
      </c>
      <c r="J377" s="191">
        <v>0</v>
      </c>
    </row>
    <row r="378" spans="1:10" ht="15.75" customHeight="1">
      <c r="A378" s="98" t="s">
        <v>6</v>
      </c>
      <c r="B378" s="133" t="s">
        <v>3633</v>
      </c>
      <c r="C378" s="191" t="s">
        <v>2206</v>
      </c>
      <c r="D378" s="191" t="s">
        <v>477</v>
      </c>
      <c r="E378" s="191">
        <v>30</v>
      </c>
      <c r="F378" s="191">
        <v>0</v>
      </c>
      <c r="G378" s="191">
        <v>0</v>
      </c>
      <c r="H378" s="191" t="s">
        <v>479</v>
      </c>
      <c r="I378" s="191" t="s">
        <v>548</v>
      </c>
      <c r="J378" s="191">
        <v>0</v>
      </c>
    </row>
    <row r="379" spans="1:10" ht="15.75" customHeight="1">
      <c r="A379" s="98" t="s">
        <v>6</v>
      </c>
      <c r="B379" s="133" t="s">
        <v>3633</v>
      </c>
      <c r="C379" s="191" t="s">
        <v>2208</v>
      </c>
      <c r="D379" s="191" t="s">
        <v>477</v>
      </c>
      <c r="E379" s="191">
        <v>5</v>
      </c>
      <c r="F379" s="191">
        <v>0</v>
      </c>
      <c r="G379" s="191">
        <v>0</v>
      </c>
      <c r="H379" s="191" t="s">
        <v>479</v>
      </c>
      <c r="I379" s="191" t="s">
        <v>548</v>
      </c>
      <c r="J379" s="191">
        <v>0</v>
      </c>
    </row>
    <row r="380" spans="1:10" ht="15.75" customHeight="1">
      <c r="A380" s="98" t="s">
        <v>6</v>
      </c>
      <c r="B380" s="133" t="s">
        <v>3633</v>
      </c>
      <c r="C380" s="191" t="s">
        <v>2224</v>
      </c>
      <c r="D380" s="191" t="s">
        <v>477</v>
      </c>
      <c r="E380" s="191">
        <v>500</v>
      </c>
      <c r="F380" s="191">
        <v>0</v>
      </c>
      <c r="G380" s="191">
        <v>0</v>
      </c>
      <c r="H380" s="191" t="s">
        <v>479</v>
      </c>
      <c r="I380" s="191" t="s">
        <v>548</v>
      </c>
      <c r="J380" s="191">
        <v>0</v>
      </c>
    </row>
    <row r="381" spans="1:10" ht="15.75" customHeight="1">
      <c r="A381" s="98" t="s">
        <v>6</v>
      </c>
      <c r="B381" s="133" t="s">
        <v>3633</v>
      </c>
      <c r="C381" s="191" t="s">
        <v>3777</v>
      </c>
      <c r="D381" s="191" t="s">
        <v>477</v>
      </c>
      <c r="E381" s="191">
        <v>20</v>
      </c>
      <c r="F381" s="191">
        <v>0</v>
      </c>
      <c r="G381" s="191">
        <v>0</v>
      </c>
      <c r="H381" s="191" t="s">
        <v>479</v>
      </c>
      <c r="I381" s="191" t="s">
        <v>548</v>
      </c>
      <c r="J381" s="191">
        <v>1</v>
      </c>
    </row>
    <row r="382" spans="1:10" ht="15.75" customHeight="1">
      <c r="A382" s="98" t="s">
        <v>6</v>
      </c>
      <c r="B382" s="133" t="s">
        <v>3633</v>
      </c>
      <c r="C382" s="191" t="s">
        <v>3778</v>
      </c>
      <c r="D382" s="191" t="s">
        <v>477</v>
      </c>
      <c r="E382" s="191">
        <v>6</v>
      </c>
      <c r="F382" s="191">
        <v>0</v>
      </c>
      <c r="G382" s="191">
        <v>0</v>
      </c>
      <c r="H382" s="191" t="s">
        <v>479</v>
      </c>
      <c r="I382" s="191" t="s">
        <v>548</v>
      </c>
      <c r="J382" s="191">
        <v>0</v>
      </c>
    </row>
    <row r="383" spans="1:10" ht="15.75" customHeight="1">
      <c r="A383" s="98" t="s">
        <v>6</v>
      </c>
      <c r="B383" s="133" t="s">
        <v>3633</v>
      </c>
      <c r="C383" s="191" t="s">
        <v>3779</v>
      </c>
      <c r="D383" s="191" t="s">
        <v>477</v>
      </c>
      <c r="E383" s="191">
        <v>3</v>
      </c>
      <c r="F383" s="191">
        <v>0</v>
      </c>
      <c r="G383" s="191">
        <v>0</v>
      </c>
      <c r="H383" s="191" t="s">
        <v>479</v>
      </c>
      <c r="I383" s="191" t="s">
        <v>548</v>
      </c>
      <c r="J383" s="191">
        <v>0</v>
      </c>
    </row>
    <row r="384" spans="1:10" ht="15.75" customHeight="1">
      <c r="A384" s="98" t="s">
        <v>6</v>
      </c>
      <c r="B384" s="133" t="s">
        <v>3633</v>
      </c>
      <c r="C384" s="191" t="s">
        <v>3780</v>
      </c>
      <c r="D384" s="191" t="s">
        <v>477</v>
      </c>
      <c r="E384" s="191">
        <v>5</v>
      </c>
      <c r="F384" s="191">
        <v>0</v>
      </c>
      <c r="G384" s="191">
        <v>0</v>
      </c>
      <c r="H384" s="191" t="s">
        <v>479</v>
      </c>
      <c r="I384" s="191" t="s">
        <v>548</v>
      </c>
      <c r="J384" s="191">
        <v>0</v>
      </c>
    </row>
    <row r="385" spans="1:10" ht="15.75" customHeight="1">
      <c r="A385" s="98" t="s">
        <v>6</v>
      </c>
      <c r="B385" s="133" t="s">
        <v>3633</v>
      </c>
      <c r="C385" s="191" t="s">
        <v>2969</v>
      </c>
      <c r="D385" s="191" t="s">
        <v>477</v>
      </c>
      <c r="E385" s="191">
        <v>10</v>
      </c>
      <c r="F385" s="191">
        <v>0</v>
      </c>
      <c r="G385" s="191">
        <v>0</v>
      </c>
      <c r="H385" s="191" t="s">
        <v>479</v>
      </c>
      <c r="I385" s="191" t="s">
        <v>548</v>
      </c>
      <c r="J385" s="191">
        <v>0</v>
      </c>
    </row>
    <row r="386" spans="1:10" ht="15.75" customHeight="1">
      <c r="A386" s="98" t="s">
        <v>6</v>
      </c>
      <c r="B386" s="133" t="s">
        <v>3633</v>
      </c>
      <c r="C386" s="191" t="s">
        <v>2971</v>
      </c>
      <c r="D386" s="191" t="s">
        <v>477</v>
      </c>
      <c r="E386" s="191">
        <v>30</v>
      </c>
      <c r="F386" s="191">
        <v>0</v>
      </c>
      <c r="G386" s="191">
        <v>0</v>
      </c>
      <c r="H386" s="191" t="s">
        <v>479</v>
      </c>
      <c r="I386" s="191" t="s">
        <v>548</v>
      </c>
      <c r="J386" s="191">
        <v>0</v>
      </c>
    </row>
    <row r="387" spans="1:10" ht="15.75" customHeight="1">
      <c r="A387" s="98" t="s">
        <v>6</v>
      </c>
      <c r="B387" s="133" t="s">
        <v>3633</v>
      </c>
      <c r="C387" s="191" t="s">
        <v>3781</v>
      </c>
      <c r="D387" s="191" t="s">
        <v>481</v>
      </c>
      <c r="E387" s="191">
        <v>5</v>
      </c>
      <c r="F387" s="191">
        <v>9</v>
      </c>
      <c r="G387" s="191">
        <v>2</v>
      </c>
      <c r="H387" s="191" t="s">
        <v>479</v>
      </c>
      <c r="I387" s="191" t="s">
        <v>615</v>
      </c>
      <c r="J387" s="191">
        <v>0</v>
      </c>
    </row>
    <row r="388" spans="1:10" ht="15.75" customHeight="1">
      <c r="A388" s="98" t="s">
        <v>6</v>
      </c>
      <c r="B388" s="133" t="s">
        <v>3633</v>
      </c>
      <c r="C388" s="191" t="s">
        <v>1923</v>
      </c>
      <c r="D388" s="191" t="s">
        <v>481</v>
      </c>
      <c r="E388" s="191">
        <v>5</v>
      </c>
      <c r="F388" s="191">
        <v>9</v>
      </c>
      <c r="G388" s="191">
        <v>2</v>
      </c>
      <c r="H388" s="191" t="s">
        <v>479</v>
      </c>
      <c r="I388" s="191" t="s">
        <v>615</v>
      </c>
      <c r="J388" s="191">
        <v>0</v>
      </c>
    </row>
    <row r="389" spans="1:10" ht="15.75" customHeight="1">
      <c r="A389" s="98" t="s">
        <v>6</v>
      </c>
      <c r="B389" s="133" t="s">
        <v>3633</v>
      </c>
      <c r="C389" s="191" t="s">
        <v>3782</v>
      </c>
      <c r="D389" s="191" t="s">
        <v>481</v>
      </c>
      <c r="E389" s="191">
        <v>5</v>
      </c>
      <c r="F389" s="191">
        <v>9</v>
      </c>
      <c r="G389" s="191">
        <v>2</v>
      </c>
      <c r="H389" s="191" t="s">
        <v>479</v>
      </c>
      <c r="I389" s="191" t="s">
        <v>615</v>
      </c>
      <c r="J389" s="191">
        <v>0</v>
      </c>
    </row>
    <row r="390" spans="1:10" ht="15.75" customHeight="1">
      <c r="A390" s="98" t="s">
        <v>6</v>
      </c>
      <c r="B390" s="133" t="s">
        <v>3633</v>
      </c>
      <c r="C390" s="191" t="s">
        <v>1914</v>
      </c>
      <c r="D390" s="191" t="s">
        <v>481</v>
      </c>
      <c r="E390" s="191">
        <v>5</v>
      </c>
      <c r="F390" s="191">
        <v>9</v>
      </c>
      <c r="G390" s="191">
        <v>2</v>
      </c>
      <c r="H390" s="191" t="s">
        <v>479</v>
      </c>
      <c r="I390" s="191" t="s">
        <v>615</v>
      </c>
      <c r="J390" s="191">
        <v>0</v>
      </c>
    </row>
    <row r="391" spans="1:10" ht="15.75" customHeight="1">
      <c r="A391" s="98" t="s">
        <v>6</v>
      </c>
      <c r="B391" s="133" t="s">
        <v>3633</v>
      </c>
      <c r="C391" s="191" t="s">
        <v>1912</v>
      </c>
      <c r="D391" s="191" t="s">
        <v>481</v>
      </c>
      <c r="E391" s="191">
        <v>5</v>
      </c>
      <c r="F391" s="191">
        <v>9</v>
      </c>
      <c r="G391" s="191">
        <v>2</v>
      </c>
      <c r="H391" s="191" t="s">
        <v>479</v>
      </c>
      <c r="I391" s="191" t="s">
        <v>615</v>
      </c>
      <c r="J391" s="191">
        <v>0</v>
      </c>
    </row>
    <row r="392" spans="1:10" ht="15.75" customHeight="1">
      <c r="A392" s="98" t="s">
        <v>6</v>
      </c>
      <c r="B392" s="133" t="s">
        <v>3633</v>
      </c>
      <c r="C392" s="191" t="s">
        <v>3783</v>
      </c>
      <c r="D392" s="191" t="s">
        <v>481</v>
      </c>
      <c r="E392" s="191">
        <v>5</v>
      </c>
      <c r="F392" s="191">
        <v>9</v>
      </c>
      <c r="G392" s="191">
        <v>2</v>
      </c>
      <c r="H392" s="191" t="s">
        <v>479</v>
      </c>
      <c r="I392" s="191" t="s">
        <v>615</v>
      </c>
      <c r="J392" s="191">
        <v>0</v>
      </c>
    </row>
    <row r="393" spans="1:10" ht="15.75" customHeight="1">
      <c r="A393" s="98" t="s">
        <v>6</v>
      </c>
      <c r="B393" s="133" t="s">
        <v>3633</v>
      </c>
      <c r="C393" s="191" t="s">
        <v>3784</v>
      </c>
      <c r="D393" s="191" t="s">
        <v>481</v>
      </c>
      <c r="E393" s="191">
        <v>5</v>
      </c>
      <c r="F393" s="191">
        <v>9</v>
      </c>
      <c r="G393" s="191">
        <v>2</v>
      </c>
      <c r="H393" s="191" t="s">
        <v>479</v>
      </c>
      <c r="I393" s="191" t="s">
        <v>615</v>
      </c>
      <c r="J393" s="191">
        <v>0</v>
      </c>
    </row>
    <row r="394" spans="1:10" ht="15.75" customHeight="1">
      <c r="A394" s="98" t="s">
        <v>6</v>
      </c>
      <c r="B394" s="133" t="s">
        <v>3633</v>
      </c>
      <c r="C394" s="191" t="s">
        <v>2119</v>
      </c>
      <c r="D394" s="191" t="s">
        <v>481</v>
      </c>
      <c r="E394" s="191">
        <v>5</v>
      </c>
      <c r="F394" s="191">
        <v>9</v>
      </c>
      <c r="G394" s="191">
        <v>2</v>
      </c>
      <c r="H394" s="191" t="s">
        <v>479</v>
      </c>
      <c r="I394" s="191" t="s">
        <v>615</v>
      </c>
      <c r="J394" s="191">
        <v>0</v>
      </c>
    </row>
    <row r="395" spans="1:10" ht="15.75" customHeight="1">
      <c r="A395" s="98" t="s">
        <v>6</v>
      </c>
      <c r="B395" s="133" t="s">
        <v>3633</v>
      </c>
      <c r="C395" s="191" t="s">
        <v>3785</v>
      </c>
      <c r="D395" s="191" t="s">
        <v>481</v>
      </c>
      <c r="E395" s="191">
        <v>5</v>
      </c>
      <c r="F395" s="191">
        <v>9</v>
      </c>
      <c r="G395" s="191">
        <v>2</v>
      </c>
      <c r="H395" s="191" t="s">
        <v>479</v>
      </c>
      <c r="I395" s="191" t="s">
        <v>615</v>
      </c>
      <c r="J395" s="191">
        <v>0</v>
      </c>
    </row>
    <row r="396" spans="1:10" ht="15.75" customHeight="1">
      <c r="A396" s="98" t="s">
        <v>6</v>
      </c>
      <c r="B396" s="133" t="s">
        <v>3633</v>
      </c>
      <c r="C396" s="191" t="s">
        <v>3786</v>
      </c>
      <c r="D396" s="191" t="s">
        <v>481</v>
      </c>
      <c r="E396" s="191">
        <v>5</v>
      </c>
      <c r="F396" s="191">
        <v>5</v>
      </c>
      <c r="G396" s="191">
        <v>2</v>
      </c>
      <c r="H396" s="191" t="s">
        <v>479</v>
      </c>
      <c r="I396" s="191" t="s">
        <v>615</v>
      </c>
      <c r="J396" s="191">
        <v>0</v>
      </c>
    </row>
    <row r="397" spans="1:10" ht="15.75" customHeight="1">
      <c r="A397" s="98" t="s">
        <v>6</v>
      </c>
      <c r="B397" s="133" t="s">
        <v>3633</v>
      </c>
      <c r="C397" s="191" t="s">
        <v>3787</v>
      </c>
      <c r="D397" s="191" t="s">
        <v>481</v>
      </c>
      <c r="E397" s="191">
        <v>5</v>
      </c>
      <c r="F397" s="191">
        <v>9</v>
      </c>
      <c r="G397" s="191">
        <v>2</v>
      </c>
      <c r="H397" s="191" t="s">
        <v>479</v>
      </c>
      <c r="I397" s="191" t="s">
        <v>615</v>
      </c>
      <c r="J397" s="191">
        <v>0</v>
      </c>
    </row>
    <row r="398" spans="1:10" ht="15.75" customHeight="1">
      <c r="A398" s="98" t="s">
        <v>6</v>
      </c>
      <c r="B398" s="133" t="s">
        <v>3633</v>
      </c>
      <c r="C398" s="191" t="s">
        <v>3788</v>
      </c>
      <c r="D398" s="191" t="s">
        <v>481</v>
      </c>
      <c r="E398" s="191">
        <v>5</v>
      </c>
      <c r="F398" s="191">
        <v>9</v>
      </c>
      <c r="G398" s="191">
        <v>2</v>
      </c>
      <c r="H398" s="191" t="s">
        <v>479</v>
      </c>
      <c r="I398" s="191" t="s">
        <v>615</v>
      </c>
      <c r="J398" s="191">
        <v>0</v>
      </c>
    </row>
    <row r="399" spans="1:10" ht="15.75" customHeight="1">
      <c r="A399" s="98" t="s">
        <v>6</v>
      </c>
      <c r="B399" s="133" t="s">
        <v>3633</v>
      </c>
      <c r="C399" s="191" t="s">
        <v>3789</v>
      </c>
      <c r="D399" s="191" t="s">
        <v>481</v>
      </c>
      <c r="E399" s="191">
        <v>5</v>
      </c>
      <c r="F399" s="191">
        <v>9</v>
      </c>
      <c r="G399" s="191">
        <v>2</v>
      </c>
      <c r="H399" s="191" t="s">
        <v>479</v>
      </c>
      <c r="I399" s="191" t="s">
        <v>615</v>
      </c>
      <c r="J399" s="191">
        <v>0</v>
      </c>
    </row>
    <row r="400" spans="1:10" ht="15.75" customHeight="1">
      <c r="A400" s="98" t="s">
        <v>6</v>
      </c>
      <c r="B400" s="133" t="s">
        <v>3633</v>
      </c>
      <c r="C400" s="191" t="s">
        <v>3790</v>
      </c>
      <c r="D400" s="191" t="s">
        <v>481</v>
      </c>
      <c r="E400" s="191">
        <v>5</v>
      </c>
      <c r="F400" s="191">
        <v>9</v>
      </c>
      <c r="G400" s="191">
        <v>2</v>
      </c>
      <c r="H400" s="191" t="s">
        <v>479</v>
      </c>
      <c r="I400" s="191" t="s">
        <v>615</v>
      </c>
      <c r="J400" s="191">
        <v>0</v>
      </c>
    </row>
    <row r="401" spans="1:10" ht="15.75" customHeight="1">
      <c r="A401" s="98" t="s">
        <v>6</v>
      </c>
      <c r="B401" s="133" t="s">
        <v>3633</v>
      </c>
      <c r="C401" s="191" t="s">
        <v>3791</v>
      </c>
      <c r="D401" s="191" t="s">
        <v>481</v>
      </c>
      <c r="E401" s="191">
        <v>5</v>
      </c>
      <c r="F401" s="191">
        <v>9</v>
      </c>
      <c r="G401" s="191">
        <v>2</v>
      </c>
      <c r="H401" s="191" t="s">
        <v>479</v>
      </c>
      <c r="I401" s="191" t="s">
        <v>615</v>
      </c>
      <c r="J401" s="191">
        <v>0</v>
      </c>
    </row>
    <row r="402" spans="1:10" ht="15.75" customHeight="1">
      <c r="A402" s="98" t="s">
        <v>6</v>
      </c>
      <c r="B402" s="133" t="s">
        <v>3633</v>
      </c>
      <c r="C402" s="191" t="s">
        <v>3013</v>
      </c>
      <c r="D402" s="191" t="s">
        <v>477</v>
      </c>
      <c r="E402" s="191">
        <v>13</v>
      </c>
      <c r="F402" s="191">
        <v>0</v>
      </c>
      <c r="G402" s="191">
        <v>0</v>
      </c>
      <c r="H402" s="191" t="s">
        <v>479</v>
      </c>
      <c r="I402" s="191" t="s">
        <v>548</v>
      </c>
      <c r="J402" s="191">
        <v>0</v>
      </c>
    </row>
    <row r="403" spans="1:10" ht="15.75" customHeight="1">
      <c r="A403" s="98" t="s">
        <v>6</v>
      </c>
      <c r="B403" s="133" t="s">
        <v>3633</v>
      </c>
      <c r="C403" s="191" t="s">
        <v>3021</v>
      </c>
      <c r="D403" s="191" t="s">
        <v>477</v>
      </c>
      <c r="E403" s="191">
        <v>11</v>
      </c>
      <c r="F403" s="191">
        <v>0</v>
      </c>
      <c r="G403" s="191">
        <v>0</v>
      </c>
      <c r="H403" s="191" t="s">
        <v>479</v>
      </c>
      <c r="I403" s="191" t="s">
        <v>548</v>
      </c>
      <c r="J403" s="191">
        <v>0</v>
      </c>
    </row>
    <row r="404" spans="1:10" ht="15.75" customHeight="1">
      <c r="A404" s="98" t="s">
        <v>6</v>
      </c>
      <c r="B404" s="133" t="s">
        <v>3633</v>
      </c>
      <c r="C404" s="191" t="s">
        <v>3792</v>
      </c>
      <c r="D404" s="191" t="s">
        <v>481</v>
      </c>
      <c r="E404" s="191">
        <v>5</v>
      </c>
      <c r="F404" s="191">
        <v>9</v>
      </c>
      <c r="G404" s="191">
        <v>2</v>
      </c>
      <c r="H404" s="191" t="s">
        <v>479</v>
      </c>
      <c r="I404" s="191" t="s">
        <v>615</v>
      </c>
      <c r="J404" s="191">
        <v>0</v>
      </c>
    </row>
    <row r="405" spans="1:10" ht="15.75" customHeight="1">
      <c r="A405" s="98" t="s">
        <v>6</v>
      </c>
      <c r="B405" s="133" t="s">
        <v>3633</v>
      </c>
      <c r="C405" s="191" t="s">
        <v>3022</v>
      </c>
      <c r="D405" s="191" t="s">
        <v>481</v>
      </c>
      <c r="E405" s="191">
        <v>5</v>
      </c>
      <c r="F405" s="191">
        <v>9</v>
      </c>
      <c r="G405" s="191">
        <v>2</v>
      </c>
      <c r="H405" s="191" t="s">
        <v>479</v>
      </c>
      <c r="I405" s="191" t="s">
        <v>615</v>
      </c>
      <c r="J405" s="191">
        <v>0</v>
      </c>
    </row>
    <row r="406" spans="1:10" ht="15.75" customHeight="1">
      <c r="A406" s="98" t="s">
        <v>6</v>
      </c>
      <c r="B406" s="133" t="s">
        <v>3633</v>
      </c>
      <c r="C406" s="191" t="s">
        <v>3793</v>
      </c>
      <c r="D406" s="191" t="s">
        <v>481</v>
      </c>
      <c r="E406" s="191">
        <v>5</v>
      </c>
      <c r="F406" s="191">
        <v>9</v>
      </c>
      <c r="G406" s="191">
        <v>2</v>
      </c>
      <c r="H406" s="191" t="s">
        <v>479</v>
      </c>
      <c r="I406" s="191" t="s">
        <v>615</v>
      </c>
      <c r="J406" s="191">
        <v>0</v>
      </c>
    </row>
    <row r="407" spans="1:10" ht="15.75" customHeight="1">
      <c r="A407" s="98" t="s">
        <v>6</v>
      </c>
      <c r="B407" s="133" t="s">
        <v>3633</v>
      </c>
      <c r="C407" s="191" t="s">
        <v>3794</v>
      </c>
      <c r="D407" s="191" t="s">
        <v>481</v>
      </c>
      <c r="E407" s="191">
        <v>5</v>
      </c>
      <c r="F407" s="191">
        <v>9</v>
      </c>
      <c r="G407" s="191">
        <v>2</v>
      </c>
      <c r="H407" s="191" t="s">
        <v>479</v>
      </c>
      <c r="I407" s="191" t="s">
        <v>615</v>
      </c>
      <c r="J407" s="191">
        <v>0</v>
      </c>
    </row>
    <row r="408" spans="1:10" ht="15.75" customHeight="1">
      <c r="A408" s="98" t="s">
        <v>6</v>
      </c>
      <c r="B408" s="133" t="s">
        <v>3633</v>
      </c>
      <c r="C408" s="191" t="s">
        <v>3795</v>
      </c>
      <c r="D408" s="191" t="s">
        <v>481</v>
      </c>
      <c r="E408" s="191">
        <v>5</v>
      </c>
      <c r="F408" s="191">
        <v>9</v>
      </c>
      <c r="G408" s="191">
        <v>2</v>
      </c>
      <c r="H408" s="191" t="s">
        <v>479</v>
      </c>
      <c r="I408" s="191" t="s">
        <v>615</v>
      </c>
      <c r="J408" s="191">
        <v>0</v>
      </c>
    </row>
    <row r="409" spans="1:10" ht="15.75" customHeight="1">
      <c r="A409" s="98" t="s">
        <v>6</v>
      </c>
      <c r="B409" s="133" t="s">
        <v>3633</v>
      </c>
      <c r="C409" s="191" t="s">
        <v>3796</v>
      </c>
      <c r="D409" s="191" t="s">
        <v>481</v>
      </c>
      <c r="E409" s="191">
        <v>5</v>
      </c>
      <c r="F409" s="191">
        <v>9</v>
      </c>
      <c r="G409" s="191">
        <v>2</v>
      </c>
      <c r="H409" s="191" t="s">
        <v>479</v>
      </c>
      <c r="I409" s="191" t="s">
        <v>615</v>
      </c>
      <c r="J409" s="191">
        <v>0</v>
      </c>
    </row>
    <row r="410" spans="1:10" ht="15.75" customHeight="1">
      <c r="A410" s="98" t="s">
        <v>6</v>
      </c>
      <c r="B410" s="133" t="s">
        <v>3633</v>
      </c>
      <c r="C410" s="191" t="s">
        <v>3797</v>
      </c>
      <c r="D410" s="191" t="s">
        <v>481</v>
      </c>
      <c r="E410" s="191">
        <v>5</v>
      </c>
      <c r="F410" s="191">
        <v>9</v>
      </c>
      <c r="G410" s="191">
        <v>2</v>
      </c>
      <c r="H410" s="191" t="s">
        <v>479</v>
      </c>
      <c r="I410" s="191" t="s">
        <v>615</v>
      </c>
      <c r="J410" s="191">
        <v>0</v>
      </c>
    </row>
    <row r="411" spans="1:10" ht="15.75" customHeight="1">
      <c r="A411" s="98" t="s">
        <v>6</v>
      </c>
      <c r="B411" s="133" t="s">
        <v>3633</v>
      </c>
      <c r="C411" s="191" t="s">
        <v>3026</v>
      </c>
      <c r="D411" s="191" t="s">
        <v>481</v>
      </c>
      <c r="E411" s="191">
        <v>5</v>
      </c>
      <c r="F411" s="191">
        <v>9</v>
      </c>
      <c r="G411" s="191">
        <v>2</v>
      </c>
      <c r="H411" s="191" t="s">
        <v>479</v>
      </c>
      <c r="I411" s="191" t="s">
        <v>615</v>
      </c>
      <c r="J411" s="191">
        <v>0</v>
      </c>
    </row>
    <row r="412" spans="1:10" ht="15.75" customHeight="1">
      <c r="A412" s="98" t="s">
        <v>6</v>
      </c>
      <c r="B412" s="133" t="s">
        <v>3633</v>
      </c>
      <c r="C412" s="191" t="s">
        <v>3798</v>
      </c>
      <c r="D412" s="191" t="s">
        <v>477</v>
      </c>
      <c r="E412" s="191">
        <v>100</v>
      </c>
      <c r="F412" s="191">
        <v>0</v>
      </c>
      <c r="G412" s="191">
        <v>0</v>
      </c>
      <c r="H412" s="191" t="s">
        <v>479</v>
      </c>
      <c r="I412" s="191" t="s">
        <v>548</v>
      </c>
      <c r="J412" s="191">
        <v>0</v>
      </c>
    </row>
    <row r="413" spans="1:10" ht="15.75" customHeight="1">
      <c r="A413" s="98" t="s">
        <v>6</v>
      </c>
      <c r="B413" s="133" t="s">
        <v>3633</v>
      </c>
      <c r="C413" s="191" t="s">
        <v>3799</v>
      </c>
      <c r="D413" s="191" t="s">
        <v>477</v>
      </c>
      <c r="E413" s="191">
        <v>20</v>
      </c>
      <c r="F413" s="191">
        <v>0</v>
      </c>
      <c r="G413" s="191">
        <v>0</v>
      </c>
      <c r="H413" s="191" t="s">
        <v>479</v>
      </c>
      <c r="I413" s="191" t="s">
        <v>548</v>
      </c>
      <c r="J413" s="191">
        <v>0</v>
      </c>
    </row>
    <row r="414" spans="1:10" ht="15.75" customHeight="1">
      <c r="A414" s="98" t="s">
        <v>6</v>
      </c>
      <c r="B414" s="133" t="s">
        <v>3633</v>
      </c>
      <c r="C414" s="191" t="s">
        <v>3800</v>
      </c>
      <c r="D414" s="191" t="s">
        <v>477</v>
      </c>
      <c r="E414" s="191">
        <v>100</v>
      </c>
      <c r="F414" s="191">
        <v>0</v>
      </c>
      <c r="G414" s="191">
        <v>0</v>
      </c>
      <c r="H414" s="191" t="s">
        <v>479</v>
      </c>
      <c r="I414" s="191" t="s">
        <v>548</v>
      </c>
      <c r="J414" s="191">
        <v>0</v>
      </c>
    </row>
    <row r="415" spans="1:10" ht="15.75" customHeight="1">
      <c r="A415" s="98" t="s">
        <v>6</v>
      </c>
      <c r="B415" s="133" t="s">
        <v>3633</v>
      </c>
      <c r="C415" s="191" t="s">
        <v>3801</v>
      </c>
      <c r="D415" s="191" t="s">
        <v>477</v>
      </c>
      <c r="E415" s="191">
        <v>100</v>
      </c>
      <c r="F415" s="191">
        <v>0</v>
      </c>
      <c r="G415" s="191">
        <v>0</v>
      </c>
      <c r="H415" s="191" t="s">
        <v>479</v>
      </c>
      <c r="I415" s="191" t="s">
        <v>548</v>
      </c>
      <c r="J415" s="191">
        <v>0</v>
      </c>
    </row>
    <row r="416" spans="1:10" ht="15.75" customHeight="1">
      <c r="A416" s="98" t="s">
        <v>6</v>
      </c>
      <c r="B416" s="133" t="s">
        <v>3633</v>
      </c>
      <c r="C416" s="191" t="s">
        <v>3802</v>
      </c>
      <c r="D416" s="191" t="s">
        <v>477</v>
      </c>
      <c r="E416" s="191">
        <v>100</v>
      </c>
      <c r="F416" s="191">
        <v>0</v>
      </c>
      <c r="G416" s="191">
        <v>0</v>
      </c>
      <c r="H416" s="191" t="s">
        <v>479</v>
      </c>
      <c r="I416" s="191" t="s">
        <v>548</v>
      </c>
      <c r="J416" s="191">
        <v>0</v>
      </c>
    </row>
    <row r="417" spans="1:10" ht="15.75" customHeight="1">
      <c r="A417" s="98" t="s">
        <v>6</v>
      </c>
      <c r="B417" s="133" t="s">
        <v>3633</v>
      </c>
      <c r="C417" s="191" t="s">
        <v>3803</v>
      </c>
      <c r="D417" s="191" t="s">
        <v>477</v>
      </c>
      <c r="E417" s="191">
        <v>200</v>
      </c>
      <c r="F417" s="191">
        <v>0</v>
      </c>
      <c r="G417" s="191">
        <v>0</v>
      </c>
      <c r="H417" s="191" t="s">
        <v>479</v>
      </c>
      <c r="I417" s="191" t="s">
        <v>548</v>
      </c>
      <c r="J417" s="191">
        <v>0</v>
      </c>
    </row>
    <row r="418" spans="1:10" ht="15.75" customHeight="1">
      <c r="A418" s="98" t="s">
        <v>6</v>
      </c>
      <c r="B418" s="133" t="s">
        <v>3633</v>
      </c>
      <c r="C418" s="191" t="s">
        <v>3804</v>
      </c>
      <c r="D418" s="191" t="s">
        <v>477</v>
      </c>
      <c r="E418" s="191">
        <v>200</v>
      </c>
      <c r="F418" s="191">
        <v>0</v>
      </c>
      <c r="G418" s="191">
        <v>0</v>
      </c>
      <c r="H418" s="191" t="s">
        <v>479</v>
      </c>
      <c r="I418" s="191" t="s">
        <v>548</v>
      </c>
      <c r="J418" s="191">
        <v>0</v>
      </c>
    </row>
    <row r="419" spans="1:10" ht="15.75" customHeight="1">
      <c r="A419" s="98" t="s">
        <v>6</v>
      </c>
      <c r="B419" s="133" t="s">
        <v>3633</v>
      </c>
      <c r="C419" s="191" t="s">
        <v>3805</v>
      </c>
      <c r="D419" s="191" t="s">
        <v>477</v>
      </c>
      <c r="E419" s="191">
        <v>20</v>
      </c>
      <c r="F419" s="191">
        <v>0</v>
      </c>
      <c r="G419" s="191">
        <v>0</v>
      </c>
      <c r="H419" s="191" t="s">
        <v>479</v>
      </c>
      <c r="I419" s="191" t="s">
        <v>548</v>
      </c>
      <c r="J419" s="191">
        <v>0</v>
      </c>
    </row>
    <row r="420" spans="1:10" ht="15.75" customHeight="1">
      <c r="A420" s="98" t="s">
        <v>6</v>
      </c>
      <c r="B420" s="133" t="s">
        <v>3633</v>
      </c>
      <c r="C420" s="191" t="s">
        <v>3043</v>
      </c>
      <c r="D420" s="191" t="s">
        <v>477</v>
      </c>
      <c r="E420" s="191">
        <v>100</v>
      </c>
      <c r="F420" s="191">
        <v>0</v>
      </c>
      <c r="G420" s="191">
        <v>0</v>
      </c>
      <c r="H420" s="191" t="s">
        <v>479</v>
      </c>
      <c r="I420" s="191" t="s">
        <v>548</v>
      </c>
      <c r="J420" s="191">
        <v>0</v>
      </c>
    </row>
    <row r="421" spans="1:10" ht="15.75" customHeight="1">
      <c r="A421" s="98" t="s">
        <v>6</v>
      </c>
      <c r="B421" s="133" t="s">
        <v>3633</v>
      </c>
      <c r="C421" s="191" t="s">
        <v>1467</v>
      </c>
      <c r="D421" s="191" t="s">
        <v>477</v>
      </c>
      <c r="E421" s="191">
        <v>20</v>
      </c>
      <c r="F421" s="191">
        <v>0</v>
      </c>
      <c r="G421" s="191">
        <v>0</v>
      </c>
      <c r="H421" s="191" t="s">
        <v>479</v>
      </c>
      <c r="I421" s="191" t="s">
        <v>548</v>
      </c>
      <c r="J421" s="191">
        <v>0</v>
      </c>
    </row>
    <row r="422" spans="1:10" ht="15.75" customHeight="1">
      <c r="A422" s="98" t="s">
        <v>6</v>
      </c>
      <c r="B422" s="133" t="s">
        <v>3633</v>
      </c>
      <c r="C422" s="191" t="s">
        <v>3038</v>
      </c>
      <c r="D422" s="191" t="s">
        <v>481</v>
      </c>
      <c r="E422" s="191">
        <v>5</v>
      </c>
      <c r="F422" s="191">
        <v>9</v>
      </c>
      <c r="G422" s="191">
        <v>2</v>
      </c>
      <c r="H422" s="191" t="s">
        <v>479</v>
      </c>
      <c r="I422" s="191" t="s">
        <v>615</v>
      </c>
      <c r="J422" s="191">
        <v>0</v>
      </c>
    </row>
    <row r="423" spans="1:10" ht="15.75" customHeight="1">
      <c r="A423" s="98" t="s">
        <v>6</v>
      </c>
      <c r="B423" s="133" t="s">
        <v>3633</v>
      </c>
      <c r="C423" s="191" t="s">
        <v>3034</v>
      </c>
      <c r="D423" s="191" t="s">
        <v>481</v>
      </c>
      <c r="E423" s="191">
        <v>5</v>
      </c>
      <c r="F423" s="191">
        <v>9</v>
      </c>
      <c r="G423" s="191">
        <v>2</v>
      </c>
      <c r="H423" s="191" t="s">
        <v>479</v>
      </c>
      <c r="I423" s="191" t="s">
        <v>615</v>
      </c>
      <c r="J423" s="191">
        <v>0</v>
      </c>
    </row>
    <row r="424" spans="1:10" ht="15.75" customHeight="1">
      <c r="A424" s="98" t="s">
        <v>6</v>
      </c>
      <c r="B424" s="133" t="s">
        <v>3633</v>
      </c>
      <c r="C424" s="191" t="s">
        <v>3036</v>
      </c>
      <c r="D424" s="191" t="s">
        <v>484</v>
      </c>
      <c r="E424" s="191">
        <v>4</v>
      </c>
      <c r="F424" s="191">
        <v>10</v>
      </c>
      <c r="G424" s="191">
        <v>0</v>
      </c>
      <c r="H424" s="191" t="s">
        <v>479</v>
      </c>
      <c r="I424" s="191" t="s">
        <v>615</v>
      </c>
      <c r="J424" s="191">
        <v>0</v>
      </c>
    </row>
    <row r="425" spans="1:10" ht="15.75" customHeight="1">
      <c r="A425" s="98" t="s">
        <v>6</v>
      </c>
      <c r="B425" s="133" t="s">
        <v>3633</v>
      </c>
      <c r="C425" s="191" t="s">
        <v>3039</v>
      </c>
      <c r="D425" s="191" t="s">
        <v>484</v>
      </c>
      <c r="E425" s="191">
        <v>4</v>
      </c>
      <c r="F425" s="191">
        <v>10</v>
      </c>
      <c r="G425" s="191">
        <v>0</v>
      </c>
      <c r="H425" s="191" t="s">
        <v>479</v>
      </c>
      <c r="I425" s="191" t="s">
        <v>615</v>
      </c>
      <c r="J425" s="191">
        <v>0</v>
      </c>
    </row>
    <row r="426" spans="1:10" ht="15.75" customHeight="1">
      <c r="A426" s="98" t="s">
        <v>6</v>
      </c>
      <c r="B426" s="133" t="s">
        <v>3633</v>
      </c>
      <c r="C426" s="191" t="s">
        <v>3806</v>
      </c>
      <c r="D426" s="191" t="s">
        <v>484</v>
      </c>
      <c r="E426" s="191">
        <v>4</v>
      </c>
      <c r="F426" s="191">
        <v>10</v>
      </c>
      <c r="G426" s="191">
        <v>0</v>
      </c>
      <c r="H426" s="191" t="s">
        <v>479</v>
      </c>
      <c r="I426" s="191" t="s">
        <v>3928</v>
      </c>
      <c r="J426" s="191">
        <v>0</v>
      </c>
    </row>
    <row r="427" spans="1:10" ht="15.75" customHeight="1">
      <c r="A427" s="98" t="s">
        <v>6</v>
      </c>
      <c r="B427" s="133" t="s">
        <v>3633</v>
      </c>
      <c r="C427" s="191" t="s">
        <v>3807</v>
      </c>
      <c r="D427" s="191" t="s">
        <v>477</v>
      </c>
      <c r="E427" s="191">
        <v>20</v>
      </c>
      <c r="F427" s="191">
        <v>0</v>
      </c>
      <c r="G427" s="191">
        <v>0</v>
      </c>
      <c r="H427" s="191" t="s">
        <v>479</v>
      </c>
      <c r="I427" s="191" t="s">
        <v>548</v>
      </c>
      <c r="J427" s="191">
        <v>0</v>
      </c>
    </row>
    <row r="428" spans="1:10" ht="15.75" customHeight="1">
      <c r="A428" s="98" t="s">
        <v>6</v>
      </c>
      <c r="B428" s="133" t="s">
        <v>3633</v>
      </c>
      <c r="C428" s="191" t="s">
        <v>3808</v>
      </c>
      <c r="D428" s="191" t="s">
        <v>477</v>
      </c>
      <c r="E428" s="191">
        <v>20</v>
      </c>
      <c r="F428" s="191">
        <v>0</v>
      </c>
      <c r="G428" s="191">
        <v>0</v>
      </c>
      <c r="H428" s="191" t="s">
        <v>479</v>
      </c>
      <c r="I428" s="191" t="s">
        <v>548</v>
      </c>
      <c r="J428" s="191">
        <v>0</v>
      </c>
    </row>
    <row r="429" spans="1:10" ht="15.75" customHeight="1">
      <c r="A429" s="98" t="s">
        <v>6</v>
      </c>
      <c r="B429" s="133" t="s">
        <v>3633</v>
      </c>
      <c r="C429" s="191" t="s">
        <v>3809</v>
      </c>
      <c r="D429" s="191" t="s">
        <v>477</v>
      </c>
      <c r="E429" s="191">
        <v>500</v>
      </c>
      <c r="F429" s="191">
        <v>0</v>
      </c>
      <c r="G429" s="191">
        <v>0</v>
      </c>
      <c r="H429" s="191" t="s">
        <v>479</v>
      </c>
      <c r="I429" s="191" t="s">
        <v>548</v>
      </c>
      <c r="J429" s="191">
        <v>0</v>
      </c>
    </row>
    <row r="430" spans="1:10" ht="15.75" customHeight="1">
      <c r="A430" s="98" t="s">
        <v>6</v>
      </c>
      <c r="B430" s="133" t="s">
        <v>3633</v>
      </c>
      <c r="C430" s="191" t="s">
        <v>3812</v>
      </c>
      <c r="D430" s="191" t="s">
        <v>477</v>
      </c>
      <c r="E430" s="191">
        <v>3</v>
      </c>
      <c r="F430" s="191">
        <v>0</v>
      </c>
      <c r="G430" s="191">
        <v>0</v>
      </c>
      <c r="H430" s="191" t="s">
        <v>479</v>
      </c>
      <c r="I430" s="191" t="s">
        <v>548</v>
      </c>
      <c r="J430" s="191">
        <v>0</v>
      </c>
    </row>
    <row r="431" spans="1:10" ht="15.75" customHeight="1">
      <c r="A431" s="98" t="s">
        <v>6</v>
      </c>
      <c r="B431" s="133" t="s">
        <v>3633</v>
      </c>
      <c r="C431" s="191" t="s">
        <v>3813</v>
      </c>
      <c r="D431" s="191" t="s">
        <v>477</v>
      </c>
      <c r="E431" s="191">
        <v>50</v>
      </c>
      <c r="F431" s="191">
        <v>0</v>
      </c>
      <c r="G431" s="191">
        <v>0</v>
      </c>
      <c r="H431" s="191" t="s">
        <v>479</v>
      </c>
      <c r="I431" s="191" t="s">
        <v>548</v>
      </c>
      <c r="J431" s="191">
        <v>0</v>
      </c>
    </row>
    <row r="432" spans="1:10" ht="15.75" customHeight="1">
      <c r="A432" s="98" t="s">
        <v>6</v>
      </c>
      <c r="B432" s="133" t="s">
        <v>3633</v>
      </c>
      <c r="C432" s="191" t="s">
        <v>3814</v>
      </c>
      <c r="D432" s="191" t="s">
        <v>477</v>
      </c>
      <c r="E432" s="191">
        <v>2</v>
      </c>
      <c r="F432" s="191">
        <v>0</v>
      </c>
      <c r="G432" s="191">
        <v>0</v>
      </c>
      <c r="H432" s="191" t="s">
        <v>479</v>
      </c>
      <c r="I432" s="191" t="s">
        <v>548</v>
      </c>
      <c r="J432" s="191">
        <v>0</v>
      </c>
    </row>
    <row r="433" spans="1:10" ht="15.75" customHeight="1">
      <c r="A433" s="98" t="s">
        <v>6</v>
      </c>
      <c r="B433" s="133" t="s">
        <v>3633</v>
      </c>
      <c r="C433" s="191" t="s">
        <v>3815</v>
      </c>
      <c r="D433" s="191" t="s">
        <v>496</v>
      </c>
      <c r="E433" s="191">
        <v>4</v>
      </c>
      <c r="F433" s="191">
        <v>16</v>
      </c>
      <c r="G433" s="191">
        <v>0</v>
      </c>
      <c r="H433" s="191" t="s">
        <v>479</v>
      </c>
      <c r="I433" s="191" t="s">
        <v>548</v>
      </c>
      <c r="J433" s="191">
        <v>0</v>
      </c>
    </row>
    <row r="434" spans="1:10" ht="15.75" customHeight="1">
      <c r="A434" s="98" t="s">
        <v>6</v>
      </c>
      <c r="B434" s="133" t="s">
        <v>3633</v>
      </c>
      <c r="C434" s="191" t="s">
        <v>1334</v>
      </c>
      <c r="D434" s="191" t="s">
        <v>477</v>
      </c>
      <c r="E434" s="191">
        <v>100</v>
      </c>
      <c r="F434" s="191">
        <v>0</v>
      </c>
      <c r="G434" s="191">
        <v>0</v>
      </c>
      <c r="H434" s="191" t="s">
        <v>479</v>
      </c>
      <c r="I434" s="191" t="s">
        <v>548</v>
      </c>
      <c r="J434" s="191">
        <v>0</v>
      </c>
    </row>
    <row r="435" spans="1:10" ht="15.75" customHeight="1">
      <c r="A435" s="98" t="s">
        <v>6</v>
      </c>
      <c r="B435" s="133" t="s">
        <v>3633</v>
      </c>
      <c r="C435" s="191" t="s">
        <v>3816</v>
      </c>
      <c r="D435" s="191" t="s">
        <v>496</v>
      </c>
      <c r="E435" s="191">
        <v>4</v>
      </c>
      <c r="F435" s="191">
        <v>16</v>
      </c>
      <c r="G435" s="191">
        <v>0</v>
      </c>
      <c r="H435" s="191" t="s">
        <v>479</v>
      </c>
      <c r="I435" s="191" t="s">
        <v>548</v>
      </c>
      <c r="J435" s="191">
        <v>0</v>
      </c>
    </row>
    <row r="436" spans="1:10" ht="15.75" customHeight="1">
      <c r="A436" s="98" t="s">
        <v>6</v>
      </c>
      <c r="B436" s="133" t="s">
        <v>3633</v>
      </c>
      <c r="C436" s="191" t="s">
        <v>1336</v>
      </c>
      <c r="D436" s="191" t="s">
        <v>477</v>
      </c>
      <c r="E436" s="191">
        <v>100</v>
      </c>
      <c r="F436" s="191">
        <v>0</v>
      </c>
      <c r="G436" s="191">
        <v>0</v>
      </c>
      <c r="H436" s="191" t="s">
        <v>479</v>
      </c>
      <c r="I436" s="191" t="s">
        <v>548</v>
      </c>
      <c r="J436" s="191">
        <v>0</v>
      </c>
    </row>
    <row r="437" spans="1:10" ht="15.75" customHeight="1">
      <c r="A437" s="98" t="s">
        <v>6</v>
      </c>
      <c r="B437" s="133" t="s">
        <v>3633</v>
      </c>
      <c r="C437" s="191" t="s">
        <v>3817</v>
      </c>
      <c r="D437" s="191" t="s">
        <v>477</v>
      </c>
      <c r="E437" s="191">
        <v>20</v>
      </c>
      <c r="F437" s="191">
        <v>0</v>
      </c>
      <c r="G437" s="191">
        <v>0</v>
      </c>
      <c r="H437" s="191" t="s">
        <v>479</v>
      </c>
      <c r="I437" s="191" t="s">
        <v>548</v>
      </c>
      <c r="J437" s="191">
        <v>0</v>
      </c>
    </row>
    <row r="438" spans="1:10" ht="15.75" customHeight="1">
      <c r="A438" s="98" t="s">
        <v>6</v>
      </c>
      <c r="B438" s="133" t="s">
        <v>3633</v>
      </c>
      <c r="C438" s="191" t="s">
        <v>3818</v>
      </c>
      <c r="D438" s="191" t="s">
        <v>477</v>
      </c>
      <c r="E438" s="191">
        <v>255</v>
      </c>
      <c r="F438" s="191">
        <v>0</v>
      </c>
      <c r="G438" s="191">
        <v>0</v>
      </c>
      <c r="H438" s="191" t="s">
        <v>3929</v>
      </c>
      <c r="I438" s="191" t="s">
        <v>548</v>
      </c>
      <c r="J438" s="191">
        <v>0</v>
      </c>
    </row>
    <row r="439" spans="1:10" ht="15.75" customHeight="1">
      <c r="A439" s="98" t="s">
        <v>6</v>
      </c>
      <c r="B439" s="133" t="s">
        <v>3633</v>
      </c>
      <c r="C439" s="191" t="s">
        <v>3819</v>
      </c>
      <c r="D439" s="191" t="s">
        <v>477</v>
      </c>
      <c r="E439" s="191">
        <v>3</v>
      </c>
      <c r="F439" s="191">
        <v>0</v>
      </c>
      <c r="G439" s="191">
        <v>0</v>
      </c>
      <c r="H439" s="191" t="s">
        <v>479</v>
      </c>
      <c r="I439" s="191" t="s">
        <v>596</v>
      </c>
      <c r="J439" s="191">
        <v>0</v>
      </c>
    </row>
    <row r="440" spans="1:10" ht="15.75" customHeight="1">
      <c r="A440" s="98" t="s">
        <v>6</v>
      </c>
      <c r="B440" s="133" t="s">
        <v>3633</v>
      </c>
      <c r="C440" s="191" t="s">
        <v>3820</v>
      </c>
      <c r="D440" s="191" t="s">
        <v>484</v>
      </c>
      <c r="E440" s="191">
        <v>4</v>
      </c>
      <c r="F440" s="191">
        <v>10</v>
      </c>
      <c r="G440" s="191">
        <v>0</v>
      </c>
      <c r="H440" s="191" t="s">
        <v>479</v>
      </c>
      <c r="I440" s="191" t="s">
        <v>615</v>
      </c>
      <c r="J440" s="191">
        <v>0</v>
      </c>
    </row>
    <row r="441" spans="1:10" ht="15.75" customHeight="1">
      <c r="A441" s="98" t="s">
        <v>6</v>
      </c>
      <c r="B441" s="133" t="s">
        <v>3633</v>
      </c>
      <c r="C441" s="191" t="s">
        <v>3930</v>
      </c>
      <c r="D441" s="191" t="s">
        <v>496</v>
      </c>
      <c r="E441" s="191">
        <v>4</v>
      </c>
      <c r="F441" s="191">
        <v>16</v>
      </c>
      <c r="G441" s="191">
        <v>0</v>
      </c>
      <c r="H441" s="191" t="s">
        <v>3931</v>
      </c>
      <c r="I441" s="191" t="s">
        <v>548</v>
      </c>
      <c r="J441" s="191">
        <v>0</v>
      </c>
    </row>
    <row r="442" spans="1:10" ht="15.75" customHeight="1">
      <c r="A442" s="98" t="s">
        <v>6</v>
      </c>
      <c r="B442" s="133" t="s">
        <v>3633</v>
      </c>
      <c r="C442" s="191" t="s">
        <v>3932</v>
      </c>
      <c r="D442" s="191" t="s">
        <v>477</v>
      </c>
      <c r="E442" s="191">
        <v>3</v>
      </c>
      <c r="F442" s="191">
        <v>0</v>
      </c>
      <c r="G442" s="191">
        <v>0</v>
      </c>
      <c r="H442" s="191" t="s">
        <v>3933</v>
      </c>
      <c r="I442" s="191" t="s">
        <v>596</v>
      </c>
      <c r="J442" s="191">
        <v>0</v>
      </c>
    </row>
    <row r="443" spans="1:10" ht="15.75" customHeight="1">
      <c r="A443" s="98" t="s">
        <v>6</v>
      </c>
      <c r="B443" s="133" t="s">
        <v>3633</v>
      </c>
      <c r="C443" s="191" t="s">
        <v>3934</v>
      </c>
      <c r="D443" s="191" t="s">
        <v>496</v>
      </c>
      <c r="E443" s="191">
        <v>4</v>
      </c>
      <c r="F443" s="191">
        <v>16</v>
      </c>
      <c r="G443" s="191">
        <v>0</v>
      </c>
      <c r="H443" s="191" t="s">
        <v>3935</v>
      </c>
      <c r="I443" s="191" t="s">
        <v>548</v>
      </c>
      <c r="J443" s="191">
        <v>0</v>
      </c>
    </row>
    <row r="444" spans="1:10" ht="15.75" customHeight="1">
      <c r="A444" s="98" t="s">
        <v>6</v>
      </c>
      <c r="B444" s="133" t="s">
        <v>3633</v>
      </c>
      <c r="C444" s="191" t="s">
        <v>3936</v>
      </c>
      <c r="D444" s="191" t="s">
        <v>477</v>
      </c>
      <c r="E444" s="191">
        <v>100</v>
      </c>
      <c r="F444" s="191">
        <v>0</v>
      </c>
      <c r="G444" s="191">
        <v>0</v>
      </c>
      <c r="H444" s="191" t="s">
        <v>479</v>
      </c>
      <c r="I444" s="191" t="s">
        <v>548</v>
      </c>
      <c r="J444" s="191">
        <v>0</v>
      </c>
    </row>
    <row r="445" spans="1:10" ht="15.75" customHeight="1">
      <c r="A445" s="98" t="s">
        <v>6</v>
      </c>
      <c r="B445" s="133" t="s">
        <v>3637</v>
      </c>
      <c r="C445" s="191" t="s">
        <v>3635</v>
      </c>
      <c r="D445" s="191" t="s">
        <v>477</v>
      </c>
      <c r="E445" s="191">
        <v>20</v>
      </c>
      <c r="F445" s="191">
        <v>0</v>
      </c>
      <c r="G445" s="191">
        <v>0</v>
      </c>
      <c r="H445" s="191" t="s">
        <v>479</v>
      </c>
      <c r="I445" s="191" t="s">
        <v>548</v>
      </c>
      <c r="J445" s="191">
        <v>0</v>
      </c>
    </row>
    <row r="446" spans="1:10" ht="15.75" customHeight="1">
      <c r="A446" s="98" t="s">
        <v>6</v>
      </c>
      <c r="B446" s="133" t="s">
        <v>3637</v>
      </c>
      <c r="C446" s="191" t="s">
        <v>1421</v>
      </c>
      <c r="D446" s="191" t="s">
        <v>484</v>
      </c>
      <c r="E446" s="191">
        <v>4</v>
      </c>
      <c r="F446" s="191">
        <v>10</v>
      </c>
      <c r="G446" s="191">
        <v>0</v>
      </c>
      <c r="H446" s="191" t="s">
        <v>479</v>
      </c>
      <c r="I446" s="191" t="s">
        <v>615</v>
      </c>
      <c r="J446" s="191">
        <v>0</v>
      </c>
    </row>
    <row r="447" spans="1:10" ht="15.75" customHeight="1">
      <c r="A447" s="98" t="s">
        <v>6</v>
      </c>
      <c r="B447" s="133" t="s">
        <v>3637</v>
      </c>
      <c r="C447" s="191" t="s">
        <v>371</v>
      </c>
      <c r="D447" s="191" t="s">
        <v>477</v>
      </c>
      <c r="E447" s="191">
        <v>10</v>
      </c>
      <c r="F447" s="191">
        <v>0</v>
      </c>
      <c r="G447" s="191">
        <v>0</v>
      </c>
      <c r="H447" s="191" t="s">
        <v>479</v>
      </c>
      <c r="I447" s="191" t="s">
        <v>548</v>
      </c>
      <c r="J447" s="191">
        <v>0</v>
      </c>
    </row>
    <row r="448" spans="1:10" ht="15.75" customHeight="1">
      <c r="A448" s="98" t="s">
        <v>6</v>
      </c>
      <c r="B448" s="133" t="s">
        <v>3637</v>
      </c>
      <c r="C448" s="191" t="s">
        <v>1826</v>
      </c>
      <c r="D448" s="191" t="s">
        <v>484</v>
      </c>
      <c r="E448" s="191">
        <v>4</v>
      </c>
      <c r="F448" s="191">
        <v>10</v>
      </c>
      <c r="G448" s="191">
        <v>0</v>
      </c>
      <c r="H448" s="191" t="s">
        <v>479</v>
      </c>
      <c r="I448" s="191" t="s">
        <v>615</v>
      </c>
      <c r="J448" s="191">
        <v>0</v>
      </c>
    </row>
    <row r="449" spans="1:10" ht="15.75" customHeight="1">
      <c r="A449" s="98" t="s">
        <v>6</v>
      </c>
      <c r="B449" s="133" t="s">
        <v>3637</v>
      </c>
      <c r="C449" s="191" t="s">
        <v>3830</v>
      </c>
      <c r="D449" s="191" t="s">
        <v>477</v>
      </c>
      <c r="E449" s="191">
        <v>7</v>
      </c>
      <c r="F449" s="191">
        <v>0</v>
      </c>
      <c r="G449" s="191">
        <v>0</v>
      </c>
      <c r="H449" s="191" t="s">
        <v>479</v>
      </c>
      <c r="I449" s="191" t="s">
        <v>548</v>
      </c>
      <c r="J449" s="191">
        <v>0</v>
      </c>
    </row>
    <row r="450" spans="1:10" ht="15.75" customHeight="1">
      <c r="A450" s="98" t="s">
        <v>6</v>
      </c>
      <c r="B450" s="133" t="s">
        <v>3637</v>
      </c>
      <c r="C450" s="191" t="s">
        <v>3831</v>
      </c>
      <c r="D450" s="191" t="s">
        <v>477</v>
      </c>
      <c r="E450" s="191">
        <v>7</v>
      </c>
      <c r="F450" s="191">
        <v>0</v>
      </c>
      <c r="G450" s="191">
        <v>0</v>
      </c>
      <c r="H450" s="191" t="s">
        <v>479</v>
      </c>
      <c r="I450" s="191" t="s">
        <v>548</v>
      </c>
      <c r="J450" s="191">
        <v>0</v>
      </c>
    </row>
    <row r="451" spans="1:10" ht="15.75" customHeight="1">
      <c r="A451" s="98" t="s">
        <v>6</v>
      </c>
      <c r="B451" s="133" t="s">
        <v>3637</v>
      </c>
      <c r="C451" s="191" t="s">
        <v>1823</v>
      </c>
      <c r="D451" s="191" t="s">
        <v>477</v>
      </c>
      <c r="E451" s="191">
        <v>200</v>
      </c>
      <c r="F451" s="191">
        <v>0</v>
      </c>
      <c r="G451" s="191">
        <v>0</v>
      </c>
      <c r="H451" s="191" t="s">
        <v>479</v>
      </c>
      <c r="I451" s="191" t="s">
        <v>548</v>
      </c>
      <c r="J451" s="191">
        <v>0</v>
      </c>
    </row>
    <row r="452" spans="1:10" ht="15.75" customHeight="1">
      <c r="A452" s="98" t="s">
        <v>6</v>
      </c>
      <c r="B452" s="133" t="s">
        <v>3637</v>
      </c>
      <c r="C452" s="191" t="s">
        <v>3832</v>
      </c>
      <c r="D452" s="191" t="s">
        <v>477</v>
      </c>
      <c r="E452" s="191">
        <v>200</v>
      </c>
      <c r="F452" s="191">
        <v>0</v>
      </c>
      <c r="G452" s="191">
        <v>0</v>
      </c>
      <c r="H452" s="191" t="s">
        <v>479</v>
      </c>
      <c r="I452" s="191" t="s">
        <v>548</v>
      </c>
      <c r="J452" s="191">
        <v>0</v>
      </c>
    </row>
    <row r="453" spans="1:10" ht="15.75" customHeight="1">
      <c r="A453" s="98" t="s">
        <v>6</v>
      </c>
      <c r="B453" s="133" t="s">
        <v>3637</v>
      </c>
      <c r="C453" s="191" t="s">
        <v>1835</v>
      </c>
      <c r="D453" s="191" t="s">
        <v>477</v>
      </c>
      <c r="E453" s="191">
        <v>10</v>
      </c>
      <c r="F453" s="191">
        <v>0</v>
      </c>
      <c r="G453" s="191">
        <v>0</v>
      </c>
      <c r="H453" s="191" t="s">
        <v>479</v>
      </c>
      <c r="I453" s="191" t="s">
        <v>548</v>
      </c>
      <c r="J453" s="191">
        <v>0</v>
      </c>
    </row>
    <row r="454" spans="1:10" ht="15.75" customHeight="1">
      <c r="A454" s="98" t="s">
        <v>6</v>
      </c>
      <c r="B454" s="133" t="s">
        <v>3637</v>
      </c>
      <c r="C454" s="191" t="s">
        <v>3833</v>
      </c>
      <c r="D454" s="191" t="s">
        <v>481</v>
      </c>
      <c r="E454" s="191">
        <v>5</v>
      </c>
      <c r="F454" s="191">
        <v>9</v>
      </c>
      <c r="G454" s="191">
        <v>2</v>
      </c>
      <c r="H454" s="191" t="s">
        <v>479</v>
      </c>
      <c r="I454" s="191" t="s">
        <v>479</v>
      </c>
      <c r="J454" s="191">
        <v>0</v>
      </c>
    </row>
    <row r="455" spans="1:10" ht="15.75" customHeight="1">
      <c r="A455" s="98" t="s">
        <v>6</v>
      </c>
      <c r="B455" s="133" t="s">
        <v>3637</v>
      </c>
      <c r="C455" s="191" t="s">
        <v>3834</v>
      </c>
      <c r="D455" s="191" t="s">
        <v>481</v>
      </c>
      <c r="E455" s="191">
        <v>5</v>
      </c>
      <c r="F455" s="191">
        <v>9</v>
      </c>
      <c r="G455" s="191">
        <v>2</v>
      </c>
      <c r="H455" s="191" t="s">
        <v>479</v>
      </c>
      <c r="I455" s="191" t="s">
        <v>615</v>
      </c>
      <c r="J455" s="191">
        <v>0</v>
      </c>
    </row>
    <row r="456" spans="1:10" ht="15.75" customHeight="1">
      <c r="A456" s="98" t="s">
        <v>6</v>
      </c>
      <c r="B456" s="133" t="s">
        <v>3637</v>
      </c>
      <c r="C456" s="191" t="s">
        <v>3835</v>
      </c>
      <c r="D456" s="191" t="s">
        <v>481</v>
      </c>
      <c r="E456" s="191">
        <v>5</v>
      </c>
      <c r="F456" s="191">
        <v>9</v>
      </c>
      <c r="G456" s="191">
        <v>2</v>
      </c>
      <c r="H456" s="191" t="s">
        <v>479</v>
      </c>
      <c r="I456" s="191" t="s">
        <v>615</v>
      </c>
      <c r="J456" s="191">
        <v>0</v>
      </c>
    </row>
    <row r="457" spans="1:10" ht="15.75" customHeight="1">
      <c r="A457" s="98" t="s">
        <v>6</v>
      </c>
      <c r="B457" s="133" t="s">
        <v>3637</v>
      </c>
      <c r="C457" s="191" t="s">
        <v>3836</v>
      </c>
      <c r="D457" s="191" t="s">
        <v>477</v>
      </c>
      <c r="E457" s="191">
        <v>3</v>
      </c>
      <c r="F457" s="191">
        <v>0</v>
      </c>
      <c r="G457" s="191">
        <v>0</v>
      </c>
      <c r="H457" s="191" t="s">
        <v>479</v>
      </c>
      <c r="I457" s="191" t="s">
        <v>548</v>
      </c>
      <c r="J457" s="191">
        <v>0</v>
      </c>
    </row>
    <row r="458" spans="1:10" ht="15.75" customHeight="1">
      <c r="A458" s="98" t="s">
        <v>6</v>
      </c>
      <c r="B458" s="133" t="s">
        <v>3637</v>
      </c>
      <c r="C458" s="191" t="s">
        <v>3837</v>
      </c>
      <c r="D458" s="191" t="s">
        <v>477</v>
      </c>
      <c r="E458" s="191">
        <v>3</v>
      </c>
      <c r="F458" s="191">
        <v>0</v>
      </c>
      <c r="G458" s="191">
        <v>0</v>
      </c>
      <c r="H458" s="191" t="s">
        <v>479</v>
      </c>
      <c r="I458" s="191" t="s">
        <v>548</v>
      </c>
      <c r="J458" s="191">
        <v>0</v>
      </c>
    </row>
    <row r="459" spans="1:10" ht="15.75" customHeight="1">
      <c r="A459" s="98" t="s">
        <v>6</v>
      </c>
      <c r="B459" s="133" t="s">
        <v>3637</v>
      </c>
      <c r="C459" s="191" t="s">
        <v>3838</v>
      </c>
      <c r="D459" s="191" t="s">
        <v>477</v>
      </c>
      <c r="E459" s="191">
        <v>3</v>
      </c>
      <c r="F459" s="191">
        <v>0</v>
      </c>
      <c r="G459" s="191">
        <v>0</v>
      </c>
      <c r="H459" s="191" t="s">
        <v>479</v>
      </c>
      <c r="I459" s="191" t="s">
        <v>548</v>
      </c>
      <c r="J459" s="191">
        <v>0</v>
      </c>
    </row>
    <row r="460" spans="1:10" ht="15.75" customHeight="1">
      <c r="A460" s="98" t="s">
        <v>6</v>
      </c>
      <c r="B460" s="133" t="s">
        <v>3637</v>
      </c>
      <c r="C460" s="191" t="s">
        <v>3839</v>
      </c>
      <c r="D460" s="191" t="s">
        <v>477</v>
      </c>
      <c r="E460" s="191">
        <v>3</v>
      </c>
      <c r="F460" s="191">
        <v>0</v>
      </c>
      <c r="G460" s="191">
        <v>0</v>
      </c>
      <c r="H460" s="191" t="s">
        <v>479</v>
      </c>
      <c r="I460" s="191" t="s">
        <v>548</v>
      </c>
      <c r="J460" s="191">
        <v>0</v>
      </c>
    </row>
    <row r="461" spans="1:10" ht="15.75" customHeight="1">
      <c r="A461" s="98" t="s">
        <v>6</v>
      </c>
      <c r="B461" s="133" t="s">
        <v>3637</v>
      </c>
      <c r="C461" s="191" t="s">
        <v>3840</v>
      </c>
      <c r="D461" s="191" t="s">
        <v>477</v>
      </c>
      <c r="E461" s="191">
        <v>3</v>
      </c>
      <c r="F461" s="191">
        <v>0</v>
      </c>
      <c r="G461" s="191">
        <v>0</v>
      </c>
      <c r="H461" s="191" t="s">
        <v>479</v>
      </c>
      <c r="I461" s="191" t="s">
        <v>548</v>
      </c>
      <c r="J461" s="191">
        <v>0</v>
      </c>
    </row>
    <row r="462" spans="1:10" ht="15.75" customHeight="1">
      <c r="A462" s="98" t="s">
        <v>6</v>
      </c>
      <c r="B462" s="133" t="s">
        <v>3637</v>
      </c>
      <c r="C462" s="191" t="s">
        <v>3841</v>
      </c>
      <c r="D462" s="191" t="s">
        <v>481</v>
      </c>
      <c r="E462" s="191">
        <v>5</v>
      </c>
      <c r="F462" s="191">
        <v>9</v>
      </c>
      <c r="G462" s="191">
        <v>2</v>
      </c>
      <c r="H462" s="191" t="s">
        <v>479</v>
      </c>
      <c r="I462" s="191" t="s">
        <v>615</v>
      </c>
      <c r="J462" s="191">
        <v>0</v>
      </c>
    </row>
    <row r="463" spans="1:10" ht="15.75" customHeight="1">
      <c r="A463" s="98" t="s">
        <v>6</v>
      </c>
      <c r="B463" s="133" t="s">
        <v>3637</v>
      </c>
      <c r="C463" s="191" t="s">
        <v>3842</v>
      </c>
      <c r="D463" s="191" t="s">
        <v>477</v>
      </c>
      <c r="E463" s="191">
        <v>15</v>
      </c>
      <c r="F463" s="191">
        <v>0</v>
      </c>
      <c r="G463" s="191">
        <v>0</v>
      </c>
      <c r="H463" s="191" t="s">
        <v>479</v>
      </c>
      <c r="I463" s="191" t="s">
        <v>548</v>
      </c>
      <c r="J463" s="191">
        <v>0</v>
      </c>
    </row>
    <row r="464" spans="1:10" ht="15.75" customHeight="1">
      <c r="A464" s="98" t="s">
        <v>6</v>
      </c>
      <c r="B464" s="133" t="s">
        <v>3637</v>
      </c>
      <c r="C464" s="191" t="s">
        <v>2119</v>
      </c>
      <c r="D464" s="191" t="s">
        <v>481</v>
      </c>
      <c r="E464" s="191">
        <v>5</v>
      </c>
      <c r="F464" s="191">
        <v>9</v>
      </c>
      <c r="G464" s="191">
        <v>2</v>
      </c>
      <c r="H464" s="191" t="s">
        <v>479</v>
      </c>
      <c r="I464" s="191" t="s">
        <v>615</v>
      </c>
      <c r="J464" s="191">
        <v>0</v>
      </c>
    </row>
    <row r="465" spans="1:10" ht="15.75" customHeight="1">
      <c r="A465" s="98" t="s">
        <v>6</v>
      </c>
      <c r="B465" s="133" t="s">
        <v>3637</v>
      </c>
      <c r="C465" s="191" t="s">
        <v>3785</v>
      </c>
      <c r="D465" s="191" t="s">
        <v>481</v>
      </c>
      <c r="E465" s="191">
        <v>5</v>
      </c>
      <c r="F465" s="191">
        <v>9</v>
      </c>
      <c r="G465" s="191">
        <v>2</v>
      </c>
      <c r="H465" s="191" t="s">
        <v>479</v>
      </c>
      <c r="I465" s="191" t="s">
        <v>615</v>
      </c>
      <c r="J465" s="191">
        <v>0</v>
      </c>
    </row>
    <row r="466" spans="1:10" ht="15.75" customHeight="1">
      <c r="A466" s="98" t="s">
        <v>6</v>
      </c>
      <c r="B466" s="133" t="s">
        <v>3637</v>
      </c>
      <c r="C466" s="191" t="s">
        <v>3786</v>
      </c>
      <c r="D466" s="191" t="s">
        <v>481</v>
      </c>
      <c r="E466" s="191">
        <v>5</v>
      </c>
      <c r="F466" s="191">
        <v>9</v>
      </c>
      <c r="G466" s="191">
        <v>2</v>
      </c>
      <c r="H466" s="191" t="s">
        <v>479</v>
      </c>
      <c r="I466" s="191" t="s">
        <v>615</v>
      </c>
      <c r="J466" s="191">
        <v>0</v>
      </c>
    </row>
    <row r="467" spans="1:10" ht="15.75" customHeight="1">
      <c r="A467" s="98" t="s">
        <v>6</v>
      </c>
      <c r="B467" s="133" t="s">
        <v>3637</v>
      </c>
      <c r="C467" s="191" t="s">
        <v>3843</v>
      </c>
      <c r="D467" s="191" t="s">
        <v>481</v>
      </c>
      <c r="E467" s="191">
        <v>5</v>
      </c>
      <c r="F467" s="191">
        <v>9</v>
      </c>
      <c r="G467" s="191">
        <v>2</v>
      </c>
      <c r="H467" s="191" t="s">
        <v>479</v>
      </c>
      <c r="I467" s="191" t="s">
        <v>615</v>
      </c>
      <c r="J467" s="191">
        <v>0</v>
      </c>
    </row>
    <row r="468" spans="1:10" ht="15.75" customHeight="1">
      <c r="A468" s="98" t="s">
        <v>6</v>
      </c>
      <c r="B468" s="133" t="s">
        <v>3637</v>
      </c>
      <c r="C468" s="191" t="s">
        <v>3844</v>
      </c>
      <c r="D468" s="191" t="s">
        <v>481</v>
      </c>
      <c r="E468" s="191">
        <v>5</v>
      </c>
      <c r="F468" s="191">
        <v>9</v>
      </c>
      <c r="G468" s="191">
        <v>2</v>
      </c>
      <c r="H468" s="191" t="s">
        <v>479</v>
      </c>
      <c r="I468" s="191" t="s">
        <v>615</v>
      </c>
      <c r="J468" s="191">
        <v>0</v>
      </c>
    </row>
    <row r="469" spans="1:10" ht="15.75" customHeight="1">
      <c r="A469" s="98" t="s">
        <v>6</v>
      </c>
      <c r="B469" s="133" t="s">
        <v>3637</v>
      </c>
      <c r="C469" s="191" t="s">
        <v>3845</v>
      </c>
      <c r="D469" s="191" t="s">
        <v>481</v>
      </c>
      <c r="E469" s="191">
        <v>5</v>
      </c>
      <c r="F469" s="191">
        <v>9</v>
      </c>
      <c r="G469" s="191">
        <v>2</v>
      </c>
      <c r="H469" s="191" t="s">
        <v>479</v>
      </c>
      <c r="I469" s="191" t="s">
        <v>615</v>
      </c>
      <c r="J469" s="191">
        <v>0</v>
      </c>
    </row>
    <row r="470" spans="1:10" ht="15.75" customHeight="1">
      <c r="A470" s="98" t="s">
        <v>6</v>
      </c>
      <c r="B470" s="133" t="s">
        <v>3637</v>
      </c>
      <c r="C470" s="191" t="s">
        <v>3846</v>
      </c>
      <c r="D470" s="191" t="s">
        <v>481</v>
      </c>
      <c r="E470" s="191">
        <v>5</v>
      </c>
      <c r="F470" s="191">
        <v>9</v>
      </c>
      <c r="G470" s="191">
        <v>2</v>
      </c>
      <c r="H470" s="191" t="s">
        <v>479</v>
      </c>
      <c r="I470" s="191" t="s">
        <v>615</v>
      </c>
      <c r="J470" s="191">
        <v>0</v>
      </c>
    </row>
    <row r="471" spans="1:10" ht="15.75" customHeight="1">
      <c r="A471" s="98" t="s">
        <v>6</v>
      </c>
      <c r="B471" s="133" t="s">
        <v>3637</v>
      </c>
      <c r="C471" s="191" t="s">
        <v>2835</v>
      </c>
      <c r="D471" s="191" t="s">
        <v>481</v>
      </c>
      <c r="E471" s="191">
        <v>5</v>
      </c>
      <c r="F471" s="191">
        <v>9</v>
      </c>
      <c r="G471" s="191">
        <v>2</v>
      </c>
      <c r="H471" s="191" t="s">
        <v>479</v>
      </c>
      <c r="I471" s="191" t="s">
        <v>615</v>
      </c>
      <c r="J471" s="191">
        <v>0</v>
      </c>
    </row>
    <row r="472" spans="1:10" ht="15.75" customHeight="1">
      <c r="A472" s="98" t="s">
        <v>6</v>
      </c>
      <c r="B472" s="133" t="s">
        <v>3637</v>
      </c>
      <c r="C472" s="191" t="s">
        <v>3847</v>
      </c>
      <c r="D472" s="191" t="s">
        <v>481</v>
      </c>
      <c r="E472" s="191">
        <v>5</v>
      </c>
      <c r="F472" s="191">
        <v>9</v>
      </c>
      <c r="G472" s="191">
        <v>2</v>
      </c>
      <c r="H472" s="191" t="s">
        <v>479</v>
      </c>
      <c r="I472" s="191" t="s">
        <v>615</v>
      </c>
      <c r="J472" s="191">
        <v>0</v>
      </c>
    </row>
    <row r="473" spans="1:10" ht="15.75" customHeight="1">
      <c r="A473" s="98" t="s">
        <v>6</v>
      </c>
      <c r="B473" s="133" t="s">
        <v>3637</v>
      </c>
      <c r="C473" s="191" t="s">
        <v>2827</v>
      </c>
      <c r="D473" s="191" t="s">
        <v>481</v>
      </c>
      <c r="E473" s="191">
        <v>5</v>
      </c>
      <c r="F473" s="191">
        <v>9</v>
      </c>
      <c r="G473" s="191">
        <v>2</v>
      </c>
      <c r="H473" s="191" t="s">
        <v>479</v>
      </c>
      <c r="I473" s="191" t="s">
        <v>615</v>
      </c>
      <c r="J473" s="191">
        <v>0</v>
      </c>
    </row>
    <row r="474" spans="1:10" ht="15.75" customHeight="1">
      <c r="A474" s="98" t="s">
        <v>6</v>
      </c>
      <c r="B474" s="133" t="s">
        <v>3637</v>
      </c>
      <c r="C474" s="191" t="s">
        <v>3848</v>
      </c>
      <c r="D474" s="191" t="s">
        <v>481</v>
      </c>
      <c r="E474" s="191">
        <v>5</v>
      </c>
      <c r="F474" s="191">
        <v>9</v>
      </c>
      <c r="G474" s="191">
        <v>2</v>
      </c>
      <c r="H474" s="191" t="s">
        <v>479</v>
      </c>
      <c r="I474" s="191" t="s">
        <v>615</v>
      </c>
      <c r="J474" s="191">
        <v>0</v>
      </c>
    </row>
    <row r="475" spans="1:10" ht="15.75" customHeight="1">
      <c r="A475" s="98" t="s">
        <v>6</v>
      </c>
      <c r="B475" s="133" t="s">
        <v>3637</v>
      </c>
      <c r="C475" s="191" t="s">
        <v>2831</v>
      </c>
      <c r="D475" s="191" t="s">
        <v>481</v>
      </c>
      <c r="E475" s="191">
        <v>5</v>
      </c>
      <c r="F475" s="191">
        <v>9</v>
      </c>
      <c r="G475" s="191">
        <v>2</v>
      </c>
      <c r="H475" s="191" t="s">
        <v>479</v>
      </c>
      <c r="I475" s="191" t="s">
        <v>615</v>
      </c>
      <c r="J475" s="191">
        <v>0</v>
      </c>
    </row>
    <row r="476" spans="1:10" ht="15.75" customHeight="1">
      <c r="A476" s="98" t="s">
        <v>6</v>
      </c>
      <c r="B476" s="133" t="s">
        <v>3637</v>
      </c>
      <c r="C476" s="191" t="s">
        <v>3815</v>
      </c>
      <c r="D476" s="191" t="s">
        <v>496</v>
      </c>
      <c r="E476" s="191">
        <v>4</v>
      </c>
      <c r="F476" s="191">
        <v>16</v>
      </c>
      <c r="G476" s="191">
        <v>0</v>
      </c>
      <c r="H476" s="191" t="s">
        <v>479</v>
      </c>
      <c r="I476" s="191" t="s">
        <v>548</v>
      </c>
      <c r="J476" s="191">
        <v>0</v>
      </c>
    </row>
    <row r="477" spans="1:10" ht="15.75" customHeight="1">
      <c r="A477" s="98" t="s">
        <v>6</v>
      </c>
      <c r="B477" s="133" t="s">
        <v>3637</v>
      </c>
      <c r="C477" s="191" t="s">
        <v>1334</v>
      </c>
      <c r="D477" s="191" t="s">
        <v>477</v>
      </c>
      <c r="E477" s="191">
        <v>100</v>
      </c>
      <c r="F477" s="191">
        <v>0</v>
      </c>
      <c r="G477" s="191">
        <v>0</v>
      </c>
      <c r="H477" s="191" t="s">
        <v>479</v>
      </c>
      <c r="I477" s="191" t="s">
        <v>548</v>
      </c>
      <c r="J477" s="191">
        <v>0</v>
      </c>
    </row>
    <row r="478" spans="1:10" ht="15.75" customHeight="1">
      <c r="A478" s="98" t="s">
        <v>6</v>
      </c>
      <c r="B478" s="133" t="s">
        <v>3637</v>
      </c>
      <c r="C478" s="191" t="s">
        <v>3816</v>
      </c>
      <c r="D478" s="191" t="s">
        <v>496</v>
      </c>
      <c r="E478" s="191">
        <v>4</v>
      </c>
      <c r="F478" s="191">
        <v>16</v>
      </c>
      <c r="G478" s="191">
        <v>0</v>
      </c>
      <c r="H478" s="191" t="s">
        <v>479</v>
      </c>
      <c r="I478" s="191" t="s">
        <v>548</v>
      </c>
      <c r="J478" s="191">
        <v>0</v>
      </c>
    </row>
    <row r="479" spans="1:10" ht="15.75" customHeight="1">
      <c r="A479" s="98" t="s">
        <v>6</v>
      </c>
      <c r="B479" s="133" t="s">
        <v>3637</v>
      </c>
      <c r="C479" s="191" t="s">
        <v>1336</v>
      </c>
      <c r="D479" s="191" t="s">
        <v>477</v>
      </c>
      <c r="E479" s="191">
        <v>100</v>
      </c>
      <c r="F479" s="191">
        <v>0</v>
      </c>
      <c r="G479" s="191">
        <v>0</v>
      </c>
      <c r="H479" s="191" t="s">
        <v>479</v>
      </c>
      <c r="I479" s="191" t="s">
        <v>548</v>
      </c>
      <c r="J479" s="191">
        <v>0</v>
      </c>
    </row>
    <row r="480" spans="1:10" ht="15.75" customHeight="1">
      <c r="A480" s="98" t="s">
        <v>6</v>
      </c>
      <c r="B480" s="133" t="s">
        <v>3637</v>
      </c>
      <c r="C480" s="191" t="s">
        <v>2860</v>
      </c>
      <c r="D480" s="191" t="s">
        <v>477</v>
      </c>
      <c r="E480" s="191">
        <v>10</v>
      </c>
      <c r="F480" s="191">
        <v>0</v>
      </c>
      <c r="G480" s="191">
        <v>0</v>
      </c>
      <c r="H480" s="191" t="s">
        <v>479</v>
      </c>
      <c r="I480" s="191" t="s">
        <v>548</v>
      </c>
      <c r="J480" s="191">
        <v>0</v>
      </c>
    </row>
    <row r="481" spans="1:10" ht="15.75" customHeight="1">
      <c r="A481" s="98" t="s">
        <v>6</v>
      </c>
      <c r="B481" s="133" t="s">
        <v>3637</v>
      </c>
      <c r="C481" s="191" t="s">
        <v>3849</v>
      </c>
      <c r="D481" s="191" t="s">
        <v>477</v>
      </c>
      <c r="E481" s="191">
        <v>20</v>
      </c>
      <c r="F481" s="191">
        <v>0</v>
      </c>
      <c r="G481" s="191">
        <v>0</v>
      </c>
      <c r="H481" s="191" t="s">
        <v>3937</v>
      </c>
      <c r="I481" s="191" t="s">
        <v>3938</v>
      </c>
      <c r="J481" s="191">
        <v>0</v>
      </c>
    </row>
    <row r="482" spans="1:10" ht="15.75" customHeight="1">
      <c r="A482" s="98" t="s">
        <v>6</v>
      </c>
      <c r="B482" s="133" t="s">
        <v>3637</v>
      </c>
      <c r="C482" s="191" t="s">
        <v>3850</v>
      </c>
      <c r="D482" s="191" t="s">
        <v>477</v>
      </c>
      <c r="E482" s="191">
        <v>20</v>
      </c>
      <c r="F482" s="191">
        <v>0</v>
      </c>
      <c r="G482" s="191">
        <v>0</v>
      </c>
      <c r="H482" s="191" t="s">
        <v>3939</v>
      </c>
      <c r="I482" s="191" t="s">
        <v>2404</v>
      </c>
      <c r="J482" s="191">
        <v>0</v>
      </c>
    </row>
    <row r="483" spans="1:10" ht="15.75" customHeight="1">
      <c r="A483" s="98" t="s">
        <v>6</v>
      </c>
      <c r="B483" s="133" t="s">
        <v>3639</v>
      </c>
      <c r="C483" s="191" t="s">
        <v>1822</v>
      </c>
      <c r="D483" s="191" t="s">
        <v>1631</v>
      </c>
      <c r="E483" s="191">
        <v>8</v>
      </c>
      <c r="F483" s="191">
        <v>19</v>
      </c>
      <c r="G483" s="191">
        <v>0</v>
      </c>
      <c r="H483" s="191" t="s">
        <v>479</v>
      </c>
      <c r="I483" s="191" t="s">
        <v>615</v>
      </c>
      <c r="J483" s="191">
        <v>0</v>
      </c>
    </row>
    <row r="484" spans="1:10" ht="15.75" customHeight="1">
      <c r="A484" s="98" t="s">
        <v>6</v>
      </c>
      <c r="B484" s="133" t="s">
        <v>3639</v>
      </c>
      <c r="C484" s="191" t="s">
        <v>3940</v>
      </c>
      <c r="D484" s="191" t="s">
        <v>1631</v>
      </c>
      <c r="E484" s="191">
        <v>8</v>
      </c>
      <c r="F484" s="191">
        <v>19</v>
      </c>
      <c r="G484" s="191">
        <v>0</v>
      </c>
      <c r="H484" s="191" t="s">
        <v>479</v>
      </c>
      <c r="I484" s="191" t="s">
        <v>615</v>
      </c>
      <c r="J484" s="191">
        <v>0</v>
      </c>
    </row>
    <row r="485" spans="1:10" ht="15.75" customHeight="1">
      <c r="A485" s="98" t="s">
        <v>6</v>
      </c>
      <c r="B485" s="133" t="s">
        <v>3639</v>
      </c>
      <c r="C485" s="191" t="s">
        <v>3941</v>
      </c>
      <c r="D485" s="191" t="s">
        <v>477</v>
      </c>
      <c r="E485" s="191">
        <v>255</v>
      </c>
      <c r="F485" s="191">
        <v>0</v>
      </c>
      <c r="G485" s="191">
        <v>0</v>
      </c>
      <c r="H485" s="191" t="s">
        <v>479</v>
      </c>
      <c r="I485" s="191" t="s">
        <v>548</v>
      </c>
      <c r="J485" s="191">
        <v>1</v>
      </c>
    </row>
    <row r="486" spans="1:10" ht="15.75" customHeight="1">
      <c r="A486" s="98" t="s">
        <v>6</v>
      </c>
      <c r="B486" s="133" t="s">
        <v>3639</v>
      </c>
      <c r="C486" s="191" t="s">
        <v>3545</v>
      </c>
      <c r="D486" s="191" t="s">
        <v>477</v>
      </c>
      <c r="E486" s="191">
        <v>255</v>
      </c>
      <c r="F486" s="191">
        <v>0</v>
      </c>
      <c r="G486" s="191">
        <v>0</v>
      </c>
      <c r="H486" s="191" t="s">
        <v>479</v>
      </c>
      <c r="I486" s="191" t="s">
        <v>548</v>
      </c>
      <c r="J486" s="191">
        <v>1</v>
      </c>
    </row>
    <row r="487" spans="1:10" ht="15.75" customHeight="1">
      <c r="A487" s="98" t="s">
        <v>6</v>
      </c>
      <c r="B487" s="133" t="s">
        <v>3639</v>
      </c>
      <c r="C487" s="191" t="s">
        <v>3942</v>
      </c>
      <c r="D487" s="191" t="s">
        <v>477</v>
      </c>
      <c r="E487" s="191">
        <v>13</v>
      </c>
      <c r="F487" s="191">
        <v>0</v>
      </c>
      <c r="G487" s="191">
        <v>0</v>
      </c>
      <c r="H487" s="191" t="s">
        <v>479</v>
      </c>
      <c r="I487" s="191" t="s">
        <v>548</v>
      </c>
      <c r="J487" s="191">
        <v>1</v>
      </c>
    </row>
    <row r="488" spans="1:10" ht="15.75" customHeight="1">
      <c r="A488" s="98" t="s">
        <v>6</v>
      </c>
      <c r="B488" s="133" t="s">
        <v>3639</v>
      </c>
      <c r="C488" s="191" t="s">
        <v>3943</v>
      </c>
      <c r="D488" s="191" t="s">
        <v>477</v>
      </c>
      <c r="E488" s="191">
        <v>100</v>
      </c>
      <c r="F488" s="191">
        <v>0</v>
      </c>
      <c r="G488" s="191">
        <v>0</v>
      </c>
      <c r="H488" s="191" t="s">
        <v>479</v>
      </c>
      <c r="I488" s="191" t="s">
        <v>548</v>
      </c>
      <c r="J488" s="191">
        <v>1</v>
      </c>
    </row>
    <row r="489" spans="1:10" ht="15.75" customHeight="1">
      <c r="A489" s="98" t="s">
        <v>6</v>
      </c>
      <c r="B489" s="133" t="s">
        <v>3639</v>
      </c>
      <c r="C489" s="191" t="s">
        <v>3944</v>
      </c>
      <c r="D489" s="191" t="s">
        <v>477</v>
      </c>
      <c r="E489" s="191">
        <v>50</v>
      </c>
      <c r="F489" s="191">
        <v>0</v>
      </c>
      <c r="G489" s="191">
        <v>0</v>
      </c>
      <c r="H489" s="191" t="s">
        <v>479</v>
      </c>
      <c r="I489" s="191" t="s">
        <v>548</v>
      </c>
      <c r="J489" s="191">
        <v>1</v>
      </c>
    </row>
    <row r="490" spans="1:10" ht="15.75" customHeight="1">
      <c r="A490" s="98" t="s">
        <v>6</v>
      </c>
      <c r="B490" s="133" t="s">
        <v>3639</v>
      </c>
      <c r="C490" s="191" t="s">
        <v>3945</v>
      </c>
      <c r="D490" s="191" t="s">
        <v>477</v>
      </c>
      <c r="E490" s="191">
        <v>50</v>
      </c>
      <c r="F490" s="191">
        <v>0</v>
      </c>
      <c r="G490" s="191">
        <v>0</v>
      </c>
      <c r="H490" s="191" t="s">
        <v>479</v>
      </c>
      <c r="I490" s="191" t="s">
        <v>548</v>
      </c>
      <c r="J490" s="191">
        <v>1</v>
      </c>
    </row>
    <row r="491" spans="1:10" ht="15.75" customHeight="1">
      <c r="A491" s="98" t="s">
        <v>6</v>
      </c>
      <c r="B491" s="133" t="s">
        <v>3639</v>
      </c>
      <c r="C491" s="191" t="s">
        <v>3946</v>
      </c>
      <c r="D491" s="191" t="s">
        <v>477</v>
      </c>
      <c r="E491" s="191">
        <v>50</v>
      </c>
      <c r="F491" s="191">
        <v>0</v>
      </c>
      <c r="G491" s="191">
        <v>0</v>
      </c>
      <c r="H491" s="191" t="s">
        <v>479</v>
      </c>
      <c r="I491" s="191" t="s">
        <v>548</v>
      </c>
      <c r="J491" s="191">
        <v>1</v>
      </c>
    </row>
    <row r="492" spans="1:10" ht="15.75" customHeight="1">
      <c r="A492" s="98" t="s">
        <v>6</v>
      </c>
      <c r="B492" s="133" t="s">
        <v>3639</v>
      </c>
      <c r="C492" s="191" t="s">
        <v>3947</v>
      </c>
      <c r="D492" s="191" t="s">
        <v>477</v>
      </c>
      <c r="E492" s="191">
        <v>50</v>
      </c>
      <c r="F492" s="191">
        <v>0</v>
      </c>
      <c r="G492" s="191">
        <v>0</v>
      </c>
      <c r="H492" s="191" t="s">
        <v>479</v>
      </c>
      <c r="I492" s="191" t="s">
        <v>548</v>
      </c>
      <c r="J492" s="191">
        <v>1</v>
      </c>
    </row>
    <row r="493" spans="1:10" ht="15.75" customHeight="1">
      <c r="A493" s="98" t="s">
        <v>6</v>
      </c>
      <c r="B493" s="133" t="s">
        <v>3639</v>
      </c>
      <c r="C493" s="191" t="s">
        <v>3948</v>
      </c>
      <c r="D493" s="191" t="s">
        <v>477</v>
      </c>
      <c r="E493" s="191">
        <v>50</v>
      </c>
      <c r="F493" s="191">
        <v>0</v>
      </c>
      <c r="G493" s="191">
        <v>0</v>
      </c>
      <c r="H493" s="191" t="s">
        <v>479</v>
      </c>
      <c r="I493" s="191" t="s">
        <v>548</v>
      </c>
      <c r="J493" s="191">
        <v>1</v>
      </c>
    </row>
    <row r="494" spans="1:10" ht="15.75" customHeight="1">
      <c r="A494" s="98" t="s">
        <v>6</v>
      </c>
      <c r="B494" s="133" t="s">
        <v>3639</v>
      </c>
      <c r="C494" s="191" t="s">
        <v>3949</v>
      </c>
      <c r="D494" s="191" t="s">
        <v>1631</v>
      </c>
      <c r="E494" s="191">
        <v>8</v>
      </c>
      <c r="F494" s="191">
        <v>19</v>
      </c>
      <c r="G494" s="191">
        <v>0</v>
      </c>
      <c r="H494" s="191" t="s">
        <v>479</v>
      </c>
      <c r="I494" s="191" t="s">
        <v>479</v>
      </c>
      <c r="J494" s="191">
        <v>1</v>
      </c>
    </row>
    <row r="495" spans="1:10" ht="15.75" customHeight="1">
      <c r="A495" s="98" t="s">
        <v>6</v>
      </c>
      <c r="B495" s="133" t="s">
        <v>3639</v>
      </c>
      <c r="C495" s="191" t="s">
        <v>3950</v>
      </c>
      <c r="D495" s="191" t="s">
        <v>1631</v>
      </c>
      <c r="E495" s="191">
        <v>8</v>
      </c>
      <c r="F495" s="191">
        <v>19</v>
      </c>
      <c r="G495" s="191">
        <v>0</v>
      </c>
      <c r="H495" s="191" t="s">
        <v>479</v>
      </c>
      <c r="I495" s="191" t="s">
        <v>615</v>
      </c>
      <c r="J495" s="191">
        <v>1</v>
      </c>
    </row>
    <row r="496" spans="1:10" ht="15.75" customHeight="1">
      <c r="A496" s="98" t="s">
        <v>6</v>
      </c>
      <c r="B496" s="133" t="s">
        <v>3648</v>
      </c>
      <c r="C496" s="191" t="s">
        <v>3650</v>
      </c>
      <c r="D496" s="191" t="s">
        <v>477</v>
      </c>
      <c r="E496" s="191">
        <v>50</v>
      </c>
      <c r="F496" s="191">
        <v>0</v>
      </c>
      <c r="G496" s="191">
        <v>0</v>
      </c>
      <c r="H496" s="191" t="s">
        <v>479</v>
      </c>
      <c r="I496" s="191" t="s">
        <v>479</v>
      </c>
      <c r="J496" s="191">
        <v>0</v>
      </c>
    </row>
    <row r="497" spans="1:10" ht="15.75" customHeight="1">
      <c r="A497" s="98" t="s">
        <v>6</v>
      </c>
      <c r="B497" s="133" t="s">
        <v>3648</v>
      </c>
      <c r="C497" s="191" t="s">
        <v>3951</v>
      </c>
      <c r="D497" s="191" t="s">
        <v>477</v>
      </c>
      <c r="E497" s="191">
        <v>100</v>
      </c>
      <c r="F497" s="191">
        <v>0</v>
      </c>
      <c r="G497" s="191">
        <v>0</v>
      </c>
      <c r="H497" s="191" t="s">
        <v>479</v>
      </c>
      <c r="I497" s="191" t="s">
        <v>479</v>
      </c>
      <c r="J497" s="191">
        <v>0</v>
      </c>
    </row>
    <row r="498" spans="1:10" ht="15.75" customHeight="1">
      <c r="A498" s="98" t="s">
        <v>6</v>
      </c>
      <c r="B498" s="133" t="s">
        <v>3648</v>
      </c>
      <c r="C498" s="191" t="s">
        <v>3952</v>
      </c>
      <c r="D498" s="191" t="s">
        <v>477</v>
      </c>
      <c r="E498" s="191">
        <v>50</v>
      </c>
      <c r="F498" s="191">
        <v>0</v>
      </c>
      <c r="G498" s="191">
        <v>0</v>
      </c>
      <c r="H498" s="191" t="s">
        <v>479</v>
      </c>
      <c r="I498" s="191" t="s">
        <v>479</v>
      </c>
      <c r="J498" s="191">
        <v>0</v>
      </c>
    </row>
    <row r="499" spans="1:10" ht="15.75" customHeight="1">
      <c r="A499" s="98" t="s">
        <v>6</v>
      </c>
      <c r="B499" s="133" t="s">
        <v>3648</v>
      </c>
      <c r="C499" s="191" t="s">
        <v>3043</v>
      </c>
      <c r="D499" s="191" t="s">
        <v>477</v>
      </c>
      <c r="E499" s="191">
        <v>100</v>
      </c>
      <c r="F499" s="191">
        <v>0</v>
      </c>
      <c r="G499" s="191">
        <v>0</v>
      </c>
      <c r="H499" s="191" t="s">
        <v>479</v>
      </c>
      <c r="I499" s="191" t="s">
        <v>479</v>
      </c>
      <c r="J499" s="191">
        <v>0</v>
      </c>
    </row>
    <row r="500" spans="1:10" ht="15.75" customHeight="1">
      <c r="A500" s="98" t="s">
        <v>6</v>
      </c>
      <c r="B500" s="133" t="s">
        <v>3648</v>
      </c>
      <c r="C500" s="191" t="s">
        <v>1467</v>
      </c>
      <c r="D500" s="191" t="s">
        <v>477</v>
      </c>
      <c r="E500" s="191">
        <v>20</v>
      </c>
      <c r="F500" s="191">
        <v>0</v>
      </c>
      <c r="G500" s="191">
        <v>0</v>
      </c>
      <c r="H500" s="191" t="s">
        <v>479</v>
      </c>
      <c r="I500" s="191" t="s">
        <v>479</v>
      </c>
      <c r="J500" s="191">
        <v>0</v>
      </c>
    </row>
    <row r="501" spans="1:10" ht="15.75" customHeight="1">
      <c r="A501" s="98" t="s">
        <v>6</v>
      </c>
      <c r="B501" s="133" t="s">
        <v>3648</v>
      </c>
      <c r="C501" s="191" t="s">
        <v>3953</v>
      </c>
      <c r="D501" s="191" t="s">
        <v>484</v>
      </c>
      <c r="E501" s="191">
        <v>4</v>
      </c>
      <c r="F501" s="191">
        <v>10</v>
      </c>
      <c r="G501" s="191">
        <v>0</v>
      </c>
      <c r="H501" s="191" t="s">
        <v>479</v>
      </c>
      <c r="I501" s="191" t="s">
        <v>479</v>
      </c>
      <c r="J501" s="191">
        <v>0</v>
      </c>
    </row>
    <row r="502" spans="1:10" ht="15.75" customHeight="1">
      <c r="A502" s="98" t="s">
        <v>6</v>
      </c>
      <c r="B502" s="133" t="s">
        <v>3648</v>
      </c>
      <c r="C502" s="191" t="s">
        <v>3034</v>
      </c>
      <c r="D502" s="191" t="s">
        <v>481</v>
      </c>
      <c r="E502" s="191">
        <v>5</v>
      </c>
      <c r="F502" s="191">
        <v>9</v>
      </c>
      <c r="G502" s="191">
        <v>2</v>
      </c>
      <c r="H502" s="191" t="s">
        <v>479</v>
      </c>
      <c r="I502" s="191" t="s">
        <v>479</v>
      </c>
      <c r="J502" s="191">
        <v>0</v>
      </c>
    </row>
    <row r="503" spans="1:10" ht="15.75" customHeight="1">
      <c r="A503" s="98" t="s">
        <v>6</v>
      </c>
      <c r="B503" s="133" t="s">
        <v>3648</v>
      </c>
      <c r="C503" s="191" t="s">
        <v>3038</v>
      </c>
      <c r="D503" s="191" t="s">
        <v>481</v>
      </c>
      <c r="E503" s="191">
        <v>5</v>
      </c>
      <c r="F503" s="191">
        <v>9</v>
      </c>
      <c r="G503" s="191">
        <v>2</v>
      </c>
      <c r="H503" s="191" t="s">
        <v>479</v>
      </c>
      <c r="I503" s="191" t="s">
        <v>479</v>
      </c>
      <c r="J503" s="191">
        <v>0</v>
      </c>
    </row>
    <row r="504" spans="1:10" ht="15.75" customHeight="1">
      <c r="A504" s="98" t="s">
        <v>6</v>
      </c>
      <c r="B504" s="133" t="s">
        <v>3648</v>
      </c>
      <c r="C504" s="191" t="s">
        <v>3036</v>
      </c>
      <c r="D504" s="191" t="s">
        <v>484</v>
      </c>
      <c r="E504" s="191">
        <v>4</v>
      </c>
      <c r="F504" s="191">
        <v>10</v>
      </c>
      <c r="G504" s="191">
        <v>0</v>
      </c>
      <c r="H504" s="191" t="s">
        <v>479</v>
      </c>
      <c r="I504" s="191" t="s">
        <v>479</v>
      </c>
      <c r="J504" s="191">
        <v>0</v>
      </c>
    </row>
    <row r="505" spans="1:10" ht="15.75" customHeight="1">
      <c r="A505" s="98" t="s">
        <v>6</v>
      </c>
      <c r="B505" s="133" t="s">
        <v>3648</v>
      </c>
      <c r="C505" s="191" t="s">
        <v>3635</v>
      </c>
      <c r="D505" s="191" t="s">
        <v>477</v>
      </c>
      <c r="E505" s="191">
        <v>20</v>
      </c>
      <c r="F505" s="191">
        <v>0</v>
      </c>
      <c r="G505" s="191">
        <v>0</v>
      </c>
      <c r="H505" s="191" t="s">
        <v>479</v>
      </c>
      <c r="I505" s="191" t="s">
        <v>479</v>
      </c>
      <c r="J505" s="191">
        <v>0</v>
      </c>
    </row>
    <row r="506" spans="1:10" ht="15.75" customHeight="1">
      <c r="A506" s="98" t="s">
        <v>6</v>
      </c>
      <c r="B506" s="133" t="s">
        <v>3648</v>
      </c>
      <c r="C506" s="191" t="s">
        <v>3781</v>
      </c>
      <c r="D506" s="191" t="s">
        <v>481</v>
      </c>
      <c r="E506" s="191">
        <v>5</v>
      </c>
      <c r="F506" s="191">
        <v>9</v>
      </c>
      <c r="G506" s="191">
        <v>2</v>
      </c>
      <c r="H506" s="191" t="s">
        <v>479</v>
      </c>
      <c r="I506" s="191" t="s">
        <v>479</v>
      </c>
      <c r="J506" s="191">
        <v>0</v>
      </c>
    </row>
    <row r="507" spans="1:10" ht="15.75" customHeight="1">
      <c r="A507" s="98" t="s">
        <v>6</v>
      </c>
      <c r="B507" s="133" t="s">
        <v>3648</v>
      </c>
      <c r="C507" s="191" t="s">
        <v>3815</v>
      </c>
      <c r="D507" s="191" t="s">
        <v>496</v>
      </c>
      <c r="E507" s="191">
        <v>4</v>
      </c>
      <c r="F507" s="191">
        <v>16</v>
      </c>
      <c r="G507" s="191">
        <v>0</v>
      </c>
      <c r="H507" s="191" t="s">
        <v>479</v>
      </c>
      <c r="I507" s="191" t="s">
        <v>479</v>
      </c>
      <c r="J507" s="191">
        <v>0</v>
      </c>
    </row>
    <row r="508" spans="1:10" ht="15.75" customHeight="1">
      <c r="A508" s="98" t="s">
        <v>6</v>
      </c>
      <c r="B508" s="133" t="s">
        <v>3648</v>
      </c>
      <c r="C508" s="191" t="s">
        <v>1334</v>
      </c>
      <c r="D508" s="191" t="s">
        <v>477</v>
      </c>
      <c r="E508" s="191">
        <v>100</v>
      </c>
      <c r="F508" s="191">
        <v>0</v>
      </c>
      <c r="G508" s="191">
        <v>0</v>
      </c>
      <c r="H508" s="191" t="s">
        <v>479</v>
      </c>
      <c r="I508" s="191" t="s">
        <v>479</v>
      </c>
      <c r="J508" s="191">
        <v>0</v>
      </c>
    </row>
    <row r="509" spans="1:10" ht="15.75" customHeight="1">
      <c r="A509" s="98" t="s">
        <v>6</v>
      </c>
      <c r="B509" s="133" t="s">
        <v>3648</v>
      </c>
      <c r="C509" s="191" t="s">
        <v>3816</v>
      </c>
      <c r="D509" s="191" t="s">
        <v>496</v>
      </c>
      <c r="E509" s="191">
        <v>4</v>
      </c>
      <c r="F509" s="191">
        <v>16</v>
      </c>
      <c r="G509" s="191">
        <v>0</v>
      </c>
      <c r="H509" s="191" t="s">
        <v>479</v>
      </c>
      <c r="I509" s="191" t="s">
        <v>479</v>
      </c>
      <c r="J509" s="191">
        <v>0</v>
      </c>
    </row>
    <row r="510" spans="1:10" ht="15.75" customHeight="1">
      <c r="A510" s="98" t="s">
        <v>6</v>
      </c>
      <c r="B510" s="133" t="s">
        <v>3648</v>
      </c>
      <c r="C510" s="191" t="s">
        <v>1336</v>
      </c>
      <c r="D510" s="191" t="s">
        <v>477</v>
      </c>
      <c r="E510" s="191">
        <v>100</v>
      </c>
      <c r="F510" s="191">
        <v>0</v>
      </c>
      <c r="G510" s="191">
        <v>0</v>
      </c>
      <c r="H510" s="191" t="s">
        <v>479</v>
      </c>
      <c r="I510" s="191" t="s">
        <v>479</v>
      </c>
      <c r="J510" s="191">
        <v>0</v>
      </c>
    </row>
    <row r="511" spans="1:10" ht="15.75" customHeight="1">
      <c r="A511" s="98" t="s">
        <v>6</v>
      </c>
      <c r="B511" s="133" t="s">
        <v>3651</v>
      </c>
      <c r="C511" s="191" t="s">
        <v>1421</v>
      </c>
      <c r="D511" s="191" t="s">
        <v>484</v>
      </c>
      <c r="E511" s="191">
        <v>4</v>
      </c>
      <c r="F511" s="191">
        <v>10</v>
      </c>
      <c r="G511" s="191">
        <v>0</v>
      </c>
      <c r="H511" s="191" t="s">
        <v>479</v>
      </c>
      <c r="I511" s="191" t="s">
        <v>479</v>
      </c>
      <c r="J511" s="191">
        <v>0</v>
      </c>
    </row>
    <row r="512" spans="1:10" ht="15.75" customHeight="1">
      <c r="A512" s="98" t="s">
        <v>6</v>
      </c>
      <c r="B512" s="133" t="s">
        <v>3651</v>
      </c>
      <c r="C512" s="191" t="s">
        <v>371</v>
      </c>
      <c r="D512" s="191" t="s">
        <v>477</v>
      </c>
      <c r="E512" s="191">
        <v>7</v>
      </c>
      <c r="F512" s="191">
        <v>0</v>
      </c>
      <c r="G512" s="191">
        <v>0</v>
      </c>
      <c r="H512" s="191" t="s">
        <v>479</v>
      </c>
      <c r="I512" s="191" t="s">
        <v>548</v>
      </c>
      <c r="J512" s="191">
        <v>0</v>
      </c>
    </row>
    <row r="513" spans="1:10" ht="15.75" customHeight="1">
      <c r="A513" s="98" t="s">
        <v>6</v>
      </c>
      <c r="B513" s="133" t="s">
        <v>3651</v>
      </c>
      <c r="C513" s="191" t="s">
        <v>3954</v>
      </c>
      <c r="D513" s="191" t="s">
        <v>477</v>
      </c>
      <c r="E513" s="191">
        <v>200</v>
      </c>
      <c r="F513" s="191">
        <v>0</v>
      </c>
      <c r="G513" s="191">
        <v>0</v>
      </c>
      <c r="H513" s="191" t="s">
        <v>479</v>
      </c>
      <c r="I513" s="191" t="s">
        <v>548</v>
      </c>
      <c r="J513" s="191">
        <v>0</v>
      </c>
    </row>
    <row r="514" spans="1:10" ht="15.75" customHeight="1">
      <c r="A514" s="98" t="s">
        <v>6</v>
      </c>
      <c r="B514" s="133" t="s">
        <v>3651</v>
      </c>
      <c r="C514" s="191" t="s">
        <v>3955</v>
      </c>
      <c r="D514" s="191" t="s">
        <v>477</v>
      </c>
      <c r="E514" s="191">
        <v>150</v>
      </c>
      <c r="F514" s="191">
        <v>0</v>
      </c>
      <c r="G514" s="191">
        <v>0</v>
      </c>
      <c r="H514" s="191" t="s">
        <v>479</v>
      </c>
      <c r="I514" s="191" t="s">
        <v>548</v>
      </c>
      <c r="J514" s="191">
        <v>0</v>
      </c>
    </row>
    <row r="515" spans="1:10" ht="15.75" customHeight="1">
      <c r="A515" s="98" t="s">
        <v>6</v>
      </c>
      <c r="B515" s="133" t="s">
        <v>3651</v>
      </c>
      <c r="C515" s="191" t="s">
        <v>3956</v>
      </c>
      <c r="D515" s="191" t="s">
        <v>477</v>
      </c>
      <c r="E515" s="191">
        <v>-1</v>
      </c>
      <c r="F515" s="191">
        <v>0</v>
      </c>
      <c r="G515" s="191">
        <v>0</v>
      </c>
      <c r="H515" s="191" t="s">
        <v>479</v>
      </c>
      <c r="I515" s="191" t="s">
        <v>548</v>
      </c>
      <c r="J515" s="191">
        <v>0</v>
      </c>
    </row>
    <row r="516" spans="1:10" ht="15.75" customHeight="1">
      <c r="A516" s="98" t="s">
        <v>6</v>
      </c>
      <c r="B516" s="133" t="s">
        <v>3651</v>
      </c>
      <c r="C516" s="191" t="s">
        <v>3957</v>
      </c>
      <c r="D516" s="191" t="s">
        <v>477</v>
      </c>
      <c r="E516" s="191">
        <v>-1</v>
      </c>
      <c r="F516" s="191">
        <v>0</v>
      </c>
      <c r="G516" s="191">
        <v>0</v>
      </c>
      <c r="H516" s="191" t="s">
        <v>479</v>
      </c>
      <c r="I516" s="191" t="s">
        <v>548</v>
      </c>
      <c r="J516" s="191">
        <v>0</v>
      </c>
    </row>
    <row r="517" spans="1:10" ht="15.75" customHeight="1">
      <c r="A517" s="98" t="s">
        <v>6</v>
      </c>
      <c r="B517" s="133" t="s">
        <v>3651</v>
      </c>
      <c r="C517" s="191" t="s">
        <v>1333</v>
      </c>
      <c r="D517" s="191" t="s">
        <v>477</v>
      </c>
      <c r="E517" s="191">
        <v>100</v>
      </c>
      <c r="F517" s="191">
        <v>0</v>
      </c>
      <c r="G517" s="191">
        <v>0</v>
      </c>
      <c r="H517" s="191" t="s">
        <v>479</v>
      </c>
      <c r="I517" s="191" t="s">
        <v>548</v>
      </c>
      <c r="J517" s="191">
        <v>0</v>
      </c>
    </row>
    <row r="518" spans="1:10" ht="15.75" customHeight="1">
      <c r="A518" s="98" t="s">
        <v>6</v>
      </c>
      <c r="B518" s="133" t="s">
        <v>3651</v>
      </c>
      <c r="C518" s="191" t="s">
        <v>1334</v>
      </c>
      <c r="D518" s="191" t="s">
        <v>477</v>
      </c>
      <c r="E518" s="191">
        <v>8</v>
      </c>
      <c r="F518" s="191">
        <v>0</v>
      </c>
      <c r="G518" s="191">
        <v>0</v>
      </c>
      <c r="H518" s="191" t="s">
        <v>479</v>
      </c>
      <c r="I518" s="191" t="s">
        <v>548</v>
      </c>
      <c r="J518" s="191">
        <v>0</v>
      </c>
    </row>
    <row r="519" spans="1:10" ht="15.75" customHeight="1">
      <c r="A519" s="98" t="s">
        <v>6</v>
      </c>
      <c r="B519" s="133" t="s">
        <v>3651</v>
      </c>
      <c r="C519" s="191" t="s">
        <v>184</v>
      </c>
      <c r="D519" s="191" t="s">
        <v>496</v>
      </c>
      <c r="E519" s="191">
        <v>4</v>
      </c>
      <c r="F519" s="191">
        <v>16</v>
      </c>
      <c r="G519" s="191">
        <v>0</v>
      </c>
      <c r="H519" s="191" t="s">
        <v>479</v>
      </c>
      <c r="I519" s="191" t="s">
        <v>548</v>
      </c>
      <c r="J519" s="191">
        <v>0</v>
      </c>
    </row>
    <row r="520" spans="1:10" ht="15.75" customHeight="1">
      <c r="A520" s="98" t="s">
        <v>6</v>
      </c>
      <c r="B520" s="133" t="s">
        <v>3651</v>
      </c>
      <c r="C520" s="191" t="s">
        <v>1335</v>
      </c>
      <c r="D520" s="191" t="s">
        <v>477</v>
      </c>
      <c r="E520" s="191">
        <v>100</v>
      </c>
      <c r="F520" s="191">
        <v>0</v>
      </c>
      <c r="G520" s="191">
        <v>0</v>
      </c>
      <c r="H520" s="191" t="s">
        <v>479</v>
      </c>
      <c r="I520" s="191" t="s">
        <v>548</v>
      </c>
      <c r="J520" s="191">
        <v>0</v>
      </c>
    </row>
    <row r="521" spans="1:10" ht="15.75" customHeight="1">
      <c r="A521" s="98" t="s">
        <v>6</v>
      </c>
      <c r="B521" s="133" t="s">
        <v>3651</v>
      </c>
      <c r="C521" s="191" t="s">
        <v>1336</v>
      </c>
      <c r="D521" s="191" t="s">
        <v>477</v>
      </c>
      <c r="E521" s="191">
        <v>8</v>
      </c>
      <c r="F521" s="191">
        <v>0</v>
      </c>
      <c r="G521" s="191">
        <v>0</v>
      </c>
      <c r="H521" s="191" t="s">
        <v>479</v>
      </c>
      <c r="I521" s="191" t="s">
        <v>548</v>
      </c>
      <c r="J521" s="191">
        <v>0</v>
      </c>
    </row>
    <row r="522" spans="1:10" ht="15.75" customHeight="1">
      <c r="A522" s="98" t="s">
        <v>6</v>
      </c>
      <c r="B522" s="133" t="s">
        <v>3651</v>
      </c>
      <c r="C522" s="191" t="s">
        <v>175</v>
      </c>
      <c r="D522" s="191" t="s">
        <v>496</v>
      </c>
      <c r="E522" s="191">
        <v>4</v>
      </c>
      <c r="F522" s="191">
        <v>16</v>
      </c>
      <c r="G522" s="191">
        <v>0</v>
      </c>
      <c r="H522" s="191" t="s">
        <v>479</v>
      </c>
      <c r="I522" s="191" t="s">
        <v>548</v>
      </c>
      <c r="J522" s="191">
        <v>0</v>
      </c>
    </row>
    <row r="523" spans="1:10" ht="15.75" customHeight="1">
      <c r="A523" s="98" t="s">
        <v>6</v>
      </c>
      <c r="B523" s="133" t="s">
        <v>3653</v>
      </c>
      <c r="C523" s="191" t="s">
        <v>3897</v>
      </c>
      <c r="D523" s="191" t="s">
        <v>484</v>
      </c>
      <c r="E523" s="191">
        <v>4</v>
      </c>
      <c r="F523" s="191">
        <v>10</v>
      </c>
      <c r="G523" s="191">
        <v>0</v>
      </c>
      <c r="H523" s="191" t="s">
        <v>3958</v>
      </c>
      <c r="I523" s="191" t="s">
        <v>479</v>
      </c>
      <c r="J523" s="191">
        <v>0</v>
      </c>
    </row>
    <row r="524" spans="1:10" ht="15.75" customHeight="1">
      <c r="A524" s="98" t="s">
        <v>6</v>
      </c>
      <c r="B524" s="133" t="s">
        <v>3653</v>
      </c>
      <c r="C524" s="191" t="s">
        <v>1421</v>
      </c>
      <c r="D524" s="191" t="s">
        <v>484</v>
      </c>
      <c r="E524" s="191">
        <v>4</v>
      </c>
      <c r="F524" s="191">
        <v>10</v>
      </c>
      <c r="G524" s="191">
        <v>0</v>
      </c>
      <c r="H524" s="191" t="s">
        <v>1422</v>
      </c>
      <c r="I524" s="191" t="s">
        <v>479</v>
      </c>
      <c r="J524" s="191">
        <v>0</v>
      </c>
    </row>
    <row r="525" spans="1:10" ht="15.75" customHeight="1">
      <c r="A525" s="98" t="s">
        <v>6</v>
      </c>
      <c r="B525" s="133" t="s">
        <v>3653</v>
      </c>
      <c r="C525" s="191" t="s">
        <v>156</v>
      </c>
      <c r="D525" s="191" t="s">
        <v>477</v>
      </c>
      <c r="E525" s="191">
        <v>100</v>
      </c>
      <c r="F525" s="191">
        <v>0</v>
      </c>
      <c r="G525" s="191">
        <v>0</v>
      </c>
      <c r="H525" s="191" t="s">
        <v>3959</v>
      </c>
      <c r="I525" s="191" t="s">
        <v>548</v>
      </c>
      <c r="J525" s="191">
        <v>0</v>
      </c>
    </row>
    <row r="526" spans="1:10" ht="15.75" customHeight="1">
      <c r="A526" s="98" t="s">
        <v>6</v>
      </c>
      <c r="B526" s="133" t="s">
        <v>3653</v>
      </c>
      <c r="C526" s="191" t="s">
        <v>3960</v>
      </c>
      <c r="D526" s="191" t="s">
        <v>477</v>
      </c>
      <c r="E526" s="191">
        <v>10</v>
      </c>
      <c r="F526" s="191">
        <v>0</v>
      </c>
      <c r="G526" s="191">
        <v>0</v>
      </c>
      <c r="H526" s="191" t="s">
        <v>2312</v>
      </c>
      <c r="I526" s="191" t="s">
        <v>548</v>
      </c>
      <c r="J526" s="191">
        <v>0</v>
      </c>
    </row>
    <row r="527" spans="1:10" ht="15.75" customHeight="1">
      <c r="A527" s="98" t="s">
        <v>6</v>
      </c>
      <c r="B527" s="133" t="s">
        <v>3653</v>
      </c>
      <c r="C527" s="191" t="s">
        <v>3961</v>
      </c>
      <c r="D527" s="191" t="s">
        <v>477</v>
      </c>
      <c r="E527" s="191">
        <v>4</v>
      </c>
      <c r="F527" s="191">
        <v>0</v>
      </c>
      <c r="G527" s="191">
        <v>0</v>
      </c>
      <c r="H527" s="191" t="s">
        <v>887</v>
      </c>
      <c r="I527" s="191" t="s">
        <v>548</v>
      </c>
      <c r="J527" s="191">
        <v>0</v>
      </c>
    </row>
    <row r="528" spans="1:10" ht="15.75" customHeight="1">
      <c r="A528" s="98" t="s">
        <v>6</v>
      </c>
      <c r="B528" s="133" t="s">
        <v>3653</v>
      </c>
      <c r="C528" s="191" t="s">
        <v>3962</v>
      </c>
      <c r="D528" s="191" t="s">
        <v>477</v>
      </c>
      <c r="E528" s="191">
        <v>10</v>
      </c>
      <c r="F528" s="191">
        <v>0</v>
      </c>
      <c r="G528" s="191">
        <v>0</v>
      </c>
      <c r="H528" s="191" t="s">
        <v>897</v>
      </c>
      <c r="I528" s="191" t="s">
        <v>548</v>
      </c>
      <c r="J528" s="191">
        <v>0</v>
      </c>
    </row>
    <row r="529" spans="1:10" ht="15.75" customHeight="1">
      <c r="A529" s="98" t="s">
        <v>6</v>
      </c>
      <c r="B529" s="133" t="s">
        <v>3653</v>
      </c>
      <c r="C529" s="191" t="s">
        <v>3963</v>
      </c>
      <c r="D529" s="191" t="s">
        <v>477</v>
      </c>
      <c r="E529" s="191">
        <v>10</v>
      </c>
      <c r="F529" s="191">
        <v>0</v>
      </c>
      <c r="G529" s="191">
        <v>0</v>
      </c>
      <c r="H529" s="191" t="s">
        <v>479</v>
      </c>
      <c r="I529" s="191" t="s">
        <v>548</v>
      </c>
      <c r="J529" s="191">
        <v>0</v>
      </c>
    </row>
    <row r="530" spans="1:10" ht="15.75" customHeight="1">
      <c r="A530" s="98" t="s">
        <v>6</v>
      </c>
      <c r="B530" s="133" t="s">
        <v>3653</v>
      </c>
      <c r="C530" s="191" t="s">
        <v>3964</v>
      </c>
      <c r="D530" s="191" t="s">
        <v>477</v>
      </c>
      <c r="E530" s="191">
        <v>4</v>
      </c>
      <c r="F530" s="191">
        <v>0</v>
      </c>
      <c r="G530" s="191">
        <v>0</v>
      </c>
      <c r="H530" s="191" t="s">
        <v>479</v>
      </c>
      <c r="I530" s="191" t="s">
        <v>548</v>
      </c>
      <c r="J530" s="191">
        <v>0</v>
      </c>
    </row>
    <row r="531" spans="1:10" ht="15.75" customHeight="1">
      <c r="A531" s="98" t="s">
        <v>6</v>
      </c>
      <c r="B531" s="133" t="s">
        <v>3653</v>
      </c>
      <c r="C531" s="191" t="s">
        <v>3545</v>
      </c>
      <c r="D531" s="191" t="s">
        <v>477</v>
      </c>
      <c r="E531" s="191">
        <v>100</v>
      </c>
      <c r="F531" s="191">
        <v>0</v>
      </c>
      <c r="G531" s="191">
        <v>0</v>
      </c>
      <c r="H531" s="191" t="s">
        <v>954</v>
      </c>
      <c r="I531" s="191" t="s">
        <v>548</v>
      </c>
      <c r="J531" s="191">
        <v>0</v>
      </c>
    </row>
    <row r="532" spans="1:10" ht="15.75" customHeight="1">
      <c r="A532" s="98" t="s">
        <v>6</v>
      </c>
      <c r="B532" s="133" t="s">
        <v>3653</v>
      </c>
      <c r="C532" s="191" t="s">
        <v>3965</v>
      </c>
      <c r="D532" s="191" t="s">
        <v>477</v>
      </c>
      <c r="E532" s="191">
        <v>50</v>
      </c>
      <c r="F532" s="191">
        <v>0</v>
      </c>
      <c r="G532" s="191">
        <v>0</v>
      </c>
      <c r="H532" s="191" t="s">
        <v>883</v>
      </c>
      <c r="I532" s="191" t="s">
        <v>548</v>
      </c>
      <c r="J532" s="191">
        <v>0</v>
      </c>
    </row>
    <row r="533" spans="1:10" ht="15.75" customHeight="1">
      <c r="A533" s="98" t="s">
        <v>6</v>
      </c>
      <c r="B533" s="133" t="s">
        <v>3653</v>
      </c>
      <c r="C533" s="191" t="s">
        <v>3966</v>
      </c>
      <c r="D533" s="191" t="s">
        <v>477</v>
      </c>
      <c r="E533" s="191">
        <v>3</v>
      </c>
      <c r="F533" s="191">
        <v>0</v>
      </c>
      <c r="G533" s="191">
        <v>0</v>
      </c>
      <c r="H533" s="191" t="s">
        <v>3967</v>
      </c>
      <c r="I533" s="191" t="s">
        <v>596</v>
      </c>
      <c r="J533" s="191">
        <v>0</v>
      </c>
    </row>
    <row r="534" spans="1:10" ht="15.75" customHeight="1">
      <c r="A534" s="98" t="s">
        <v>6</v>
      </c>
      <c r="B534" s="133" t="s">
        <v>3653</v>
      </c>
      <c r="C534" s="191" t="s">
        <v>3968</v>
      </c>
      <c r="D534" s="191" t="s">
        <v>477</v>
      </c>
      <c r="E534" s="191">
        <v>100</v>
      </c>
      <c r="F534" s="191">
        <v>0</v>
      </c>
      <c r="G534" s="191">
        <v>0</v>
      </c>
      <c r="H534" s="191" t="s">
        <v>3969</v>
      </c>
      <c r="I534" s="191" t="s">
        <v>548</v>
      </c>
      <c r="J534" s="191">
        <v>0</v>
      </c>
    </row>
    <row r="535" spans="1:10" ht="15.75" customHeight="1">
      <c r="A535" s="98" t="s">
        <v>6</v>
      </c>
      <c r="B535" s="133" t="s">
        <v>3653</v>
      </c>
      <c r="C535" s="191" t="s">
        <v>3970</v>
      </c>
      <c r="D535" s="191" t="s">
        <v>496</v>
      </c>
      <c r="E535" s="191">
        <v>4</v>
      </c>
      <c r="F535" s="191">
        <v>16</v>
      </c>
      <c r="G535" s="191">
        <v>0</v>
      </c>
      <c r="H535" s="191" t="s">
        <v>3971</v>
      </c>
      <c r="I535" s="191" t="s">
        <v>548</v>
      </c>
      <c r="J535" s="191">
        <v>0</v>
      </c>
    </row>
    <row r="536" spans="1:10" ht="15.75" customHeight="1">
      <c r="A536" s="98" t="s">
        <v>6</v>
      </c>
      <c r="B536" s="133" t="s">
        <v>3653</v>
      </c>
      <c r="C536" s="191" t="s">
        <v>3972</v>
      </c>
      <c r="D536" s="191" t="s">
        <v>496</v>
      </c>
      <c r="E536" s="191">
        <v>4</v>
      </c>
      <c r="F536" s="191">
        <v>16</v>
      </c>
      <c r="G536" s="191">
        <v>0</v>
      </c>
      <c r="H536" s="191" t="s">
        <v>3973</v>
      </c>
      <c r="I536" s="191" t="s">
        <v>548</v>
      </c>
      <c r="J536" s="191">
        <v>0</v>
      </c>
    </row>
    <row r="537" spans="1:10" ht="15.75" customHeight="1">
      <c r="A537" s="98" t="s">
        <v>6</v>
      </c>
      <c r="B537" s="133" t="s">
        <v>3653</v>
      </c>
      <c r="C537" s="191" t="s">
        <v>3815</v>
      </c>
      <c r="D537" s="191" t="s">
        <v>496</v>
      </c>
      <c r="E537" s="191">
        <v>4</v>
      </c>
      <c r="F537" s="191">
        <v>16</v>
      </c>
      <c r="G537" s="191">
        <v>0</v>
      </c>
      <c r="H537" s="191" t="s">
        <v>735</v>
      </c>
      <c r="I537" s="191" t="s">
        <v>548</v>
      </c>
      <c r="J537" s="191">
        <v>0</v>
      </c>
    </row>
    <row r="538" spans="1:10" ht="15.75" customHeight="1">
      <c r="A538" s="98" t="s">
        <v>6</v>
      </c>
      <c r="B538" s="133" t="s">
        <v>3653</v>
      </c>
      <c r="C538" s="191" t="s">
        <v>1334</v>
      </c>
      <c r="D538" s="191" t="s">
        <v>477</v>
      </c>
      <c r="E538" s="191">
        <v>100</v>
      </c>
      <c r="F538" s="191">
        <v>0</v>
      </c>
      <c r="G538" s="191">
        <v>0</v>
      </c>
      <c r="H538" s="191" t="s">
        <v>1282</v>
      </c>
      <c r="I538" s="191" t="s">
        <v>548</v>
      </c>
      <c r="J538" s="191">
        <v>0</v>
      </c>
    </row>
    <row r="539" spans="1:10" ht="15.75" customHeight="1">
      <c r="A539" s="98" t="s">
        <v>6</v>
      </c>
      <c r="B539" s="133" t="s">
        <v>3653</v>
      </c>
      <c r="C539" s="191" t="s">
        <v>3816</v>
      </c>
      <c r="D539" s="191" t="s">
        <v>496</v>
      </c>
      <c r="E539" s="191">
        <v>4</v>
      </c>
      <c r="F539" s="191">
        <v>16</v>
      </c>
      <c r="G539" s="191">
        <v>0</v>
      </c>
      <c r="H539" s="191" t="s">
        <v>803</v>
      </c>
      <c r="I539" s="191" t="s">
        <v>548</v>
      </c>
      <c r="J539" s="191">
        <v>0</v>
      </c>
    </row>
    <row r="540" spans="1:10" ht="15.75" customHeight="1">
      <c r="A540" s="98" t="s">
        <v>6</v>
      </c>
      <c r="B540" s="133" t="s">
        <v>3653</v>
      </c>
      <c r="C540" s="191" t="s">
        <v>1336</v>
      </c>
      <c r="D540" s="191" t="s">
        <v>477</v>
      </c>
      <c r="E540" s="191">
        <v>100</v>
      </c>
      <c r="F540" s="191">
        <v>0</v>
      </c>
      <c r="G540" s="191">
        <v>0</v>
      </c>
      <c r="H540" s="191" t="s">
        <v>802</v>
      </c>
      <c r="I540" s="191" t="s">
        <v>548</v>
      </c>
      <c r="J540" s="191">
        <v>0</v>
      </c>
    </row>
    <row r="541" spans="1:10" ht="15.75" customHeight="1">
      <c r="A541" s="98" t="s">
        <v>6</v>
      </c>
      <c r="B541" s="133" t="s">
        <v>60</v>
      </c>
      <c r="C541" s="191" t="s">
        <v>3658</v>
      </c>
      <c r="D541" s="191" t="s">
        <v>477</v>
      </c>
      <c r="E541" s="191">
        <v>5</v>
      </c>
      <c r="F541" s="191">
        <v>0</v>
      </c>
      <c r="G541" s="191">
        <v>0</v>
      </c>
      <c r="H541" s="191" t="s">
        <v>3974</v>
      </c>
      <c r="I541" s="191" t="s">
        <v>548</v>
      </c>
      <c r="J541" s="191">
        <v>0</v>
      </c>
    </row>
    <row r="542" spans="1:10" ht="15.75" customHeight="1">
      <c r="A542" s="98" t="s">
        <v>6</v>
      </c>
      <c r="B542" s="133" t="s">
        <v>60</v>
      </c>
      <c r="C542" s="191" t="s">
        <v>3975</v>
      </c>
      <c r="D542" s="191" t="s">
        <v>477</v>
      </c>
      <c r="E542" s="191">
        <v>50</v>
      </c>
      <c r="F542" s="191">
        <v>0</v>
      </c>
      <c r="G542" s="191">
        <v>0</v>
      </c>
      <c r="H542" s="191" t="s">
        <v>3976</v>
      </c>
      <c r="I542" s="191" t="s">
        <v>548</v>
      </c>
      <c r="J542" s="191">
        <v>0</v>
      </c>
    </row>
    <row r="543" spans="1:10" ht="15.75" customHeight="1">
      <c r="A543" s="98" t="s">
        <v>6</v>
      </c>
      <c r="B543" s="133" t="s">
        <v>60</v>
      </c>
      <c r="C543" s="191" t="s">
        <v>811</v>
      </c>
      <c r="D543" s="191" t="s">
        <v>477</v>
      </c>
      <c r="E543" s="191">
        <v>6</v>
      </c>
      <c r="F543" s="191">
        <v>0</v>
      </c>
      <c r="G543" s="191">
        <v>0</v>
      </c>
      <c r="H543" s="191" t="s">
        <v>3977</v>
      </c>
      <c r="I543" s="191" t="s">
        <v>548</v>
      </c>
      <c r="J543" s="191">
        <v>0</v>
      </c>
    </row>
    <row r="544" spans="1:10" ht="15.75" customHeight="1">
      <c r="A544" s="98" t="s">
        <v>6</v>
      </c>
      <c r="B544" s="133" t="s">
        <v>60</v>
      </c>
      <c r="C544" s="191" t="s">
        <v>669</v>
      </c>
      <c r="D544" s="191" t="s">
        <v>496</v>
      </c>
      <c r="E544" s="191">
        <v>4</v>
      </c>
      <c r="F544" s="191">
        <v>16</v>
      </c>
      <c r="G544" s="191">
        <v>0</v>
      </c>
      <c r="H544" s="191" t="s">
        <v>835</v>
      </c>
      <c r="I544" s="191" t="s">
        <v>548</v>
      </c>
      <c r="J544" s="191">
        <v>0</v>
      </c>
    </row>
    <row r="545" spans="1:10" ht="15.75" customHeight="1">
      <c r="A545" s="98" t="s">
        <v>6</v>
      </c>
      <c r="B545" s="133" t="s">
        <v>60</v>
      </c>
      <c r="C545" s="191" t="s">
        <v>523</v>
      </c>
      <c r="D545" s="191" t="s">
        <v>477</v>
      </c>
      <c r="E545" s="191">
        <v>7</v>
      </c>
      <c r="F545" s="191">
        <v>0</v>
      </c>
      <c r="G545" s="191">
        <v>0</v>
      </c>
      <c r="H545" s="191" t="s">
        <v>2288</v>
      </c>
      <c r="I545" s="191" t="s">
        <v>548</v>
      </c>
      <c r="J545" s="191">
        <v>0</v>
      </c>
    </row>
    <row r="546" spans="1:10" ht="15.75" customHeight="1">
      <c r="A546" s="98" t="s">
        <v>6</v>
      </c>
      <c r="B546" s="133" t="s">
        <v>60</v>
      </c>
      <c r="C546" s="191" t="s">
        <v>215</v>
      </c>
      <c r="D546" s="191" t="s">
        <v>496</v>
      </c>
      <c r="E546" s="191">
        <v>4</v>
      </c>
      <c r="F546" s="191">
        <v>16</v>
      </c>
      <c r="G546" s="191">
        <v>0</v>
      </c>
      <c r="H546" s="191" t="s">
        <v>1982</v>
      </c>
      <c r="I546" s="191" t="s">
        <v>548</v>
      </c>
      <c r="J546" s="191">
        <v>0</v>
      </c>
    </row>
    <row r="547" spans="1:10" ht="15.75" customHeight="1">
      <c r="A547" s="98" t="s">
        <v>6</v>
      </c>
      <c r="B547" s="133" t="s">
        <v>60</v>
      </c>
      <c r="C547" s="191" t="s">
        <v>670</v>
      </c>
      <c r="D547" s="191" t="s">
        <v>477</v>
      </c>
      <c r="E547" s="191">
        <v>7</v>
      </c>
      <c r="F547" s="191">
        <v>0</v>
      </c>
      <c r="G547" s="191">
        <v>0</v>
      </c>
      <c r="H547" s="191" t="s">
        <v>3978</v>
      </c>
      <c r="I547" s="191" t="s">
        <v>548</v>
      </c>
      <c r="J547" s="191">
        <v>0</v>
      </c>
    </row>
    <row r="548" spans="1:10" ht="15.75" customHeight="1">
      <c r="A548" s="98" t="s">
        <v>6</v>
      </c>
      <c r="B548" s="133" t="s">
        <v>3668</v>
      </c>
      <c r="C548" s="191" t="s">
        <v>3856</v>
      </c>
      <c r="D548" s="191" t="s">
        <v>477</v>
      </c>
      <c r="E548" s="191">
        <v>20</v>
      </c>
      <c r="F548" s="191">
        <v>0</v>
      </c>
      <c r="G548" s="191">
        <v>0</v>
      </c>
      <c r="H548" s="191" t="s">
        <v>479</v>
      </c>
      <c r="I548" s="191" t="s">
        <v>479</v>
      </c>
      <c r="J548" s="191">
        <v>0</v>
      </c>
    </row>
    <row r="549" spans="1:10" ht="15.75" customHeight="1">
      <c r="A549" s="98" t="s">
        <v>6</v>
      </c>
      <c r="B549" s="133" t="s">
        <v>3668</v>
      </c>
      <c r="C549" s="191" t="s">
        <v>1421</v>
      </c>
      <c r="D549" s="191" t="s">
        <v>484</v>
      </c>
      <c r="E549" s="191">
        <v>4</v>
      </c>
      <c r="F549" s="191">
        <v>10</v>
      </c>
      <c r="G549" s="191">
        <v>0</v>
      </c>
      <c r="H549" s="191" t="s">
        <v>479</v>
      </c>
      <c r="I549" s="191" t="s">
        <v>479</v>
      </c>
      <c r="J549" s="191">
        <v>0</v>
      </c>
    </row>
    <row r="550" spans="1:10" ht="15.75" customHeight="1">
      <c r="A550" s="98" t="s">
        <v>6</v>
      </c>
      <c r="B550" s="133" t="s">
        <v>3668</v>
      </c>
      <c r="C550" s="191" t="s">
        <v>3979</v>
      </c>
      <c r="D550" s="191" t="s">
        <v>477</v>
      </c>
      <c r="E550" s="191">
        <v>100</v>
      </c>
      <c r="F550" s="191">
        <v>0</v>
      </c>
      <c r="G550" s="191">
        <v>0</v>
      </c>
      <c r="H550" s="191" t="s">
        <v>479</v>
      </c>
      <c r="I550" s="191" t="s">
        <v>548</v>
      </c>
      <c r="J550" s="191">
        <v>0</v>
      </c>
    </row>
    <row r="551" spans="1:10" ht="15.75" customHeight="1">
      <c r="A551" s="98" t="s">
        <v>6</v>
      </c>
      <c r="B551" s="133" t="s">
        <v>3668</v>
      </c>
      <c r="C551" s="191" t="s">
        <v>3980</v>
      </c>
      <c r="D551" s="191" t="s">
        <v>477</v>
      </c>
      <c r="E551" s="191">
        <v>100</v>
      </c>
      <c r="F551" s="191">
        <v>0</v>
      </c>
      <c r="G551" s="191">
        <v>0</v>
      </c>
      <c r="H551" s="191" t="s">
        <v>3981</v>
      </c>
      <c r="I551" s="191" t="s">
        <v>548</v>
      </c>
      <c r="J551" s="191">
        <v>0</v>
      </c>
    </row>
    <row r="552" spans="1:10" ht="15.75" customHeight="1">
      <c r="A552" s="98" t="s">
        <v>6</v>
      </c>
      <c r="B552" s="133" t="s">
        <v>3668</v>
      </c>
      <c r="C552" s="191" t="s">
        <v>3982</v>
      </c>
      <c r="D552" s="191" t="s">
        <v>477</v>
      </c>
      <c r="E552" s="191">
        <v>20</v>
      </c>
      <c r="F552" s="191">
        <v>0</v>
      </c>
      <c r="G552" s="191">
        <v>0</v>
      </c>
      <c r="H552" s="191" t="s">
        <v>479</v>
      </c>
      <c r="I552" s="191" t="s">
        <v>548</v>
      </c>
      <c r="J552" s="191">
        <v>0</v>
      </c>
    </row>
    <row r="553" spans="1:10" ht="15.75" customHeight="1">
      <c r="A553" s="98" t="s">
        <v>6</v>
      </c>
      <c r="B553" s="133" t="s">
        <v>3668</v>
      </c>
      <c r="C553" s="191" t="s">
        <v>3815</v>
      </c>
      <c r="D553" s="191" t="s">
        <v>496</v>
      </c>
      <c r="E553" s="191">
        <v>4</v>
      </c>
      <c r="F553" s="191">
        <v>16</v>
      </c>
      <c r="G553" s="191">
        <v>0</v>
      </c>
      <c r="H553" s="191" t="s">
        <v>735</v>
      </c>
      <c r="I553" s="191" t="s">
        <v>548</v>
      </c>
      <c r="J553" s="191">
        <v>0</v>
      </c>
    </row>
    <row r="554" spans="1:10" ht="15.75" customHeight="1">
      <c r="A554" s="98" t="s">
        <v>6</v>
      </c>
      <c r="B554" s="133" t="s">
        <v>3668</v>
      </c>
      <c r="C554" s="191" t="s">
        <v>1334</v>
      </c>
      <c r="D554" s="191" t="s">
        <v>477</v>
      </c>
      <c r="E554" s="191">
        <v>100</v>
      </c>
      <c r="F554" s="191">
        <v>0</v>
      </c>
      <c r="G554" s="191">
        <v>0</v>
      </c>
      <c r="H554" s="191" t="s">
        <v>1282</v>
      </c>
      <c r="I554" s="191" t="s">
        <v>548</v>
      </c>
      <c r="J554" s="191">
        <v>0</v>
      </c>
    </row>
    <row r="555" spans="1:10" ht="15.75" customHeight="1">
      <c r="A555" s="98" t="s">
        <v>6</v>
      </c>
      <c r="B555" s="133" t="s">
        <v>3668</v>
      </c>
      <c r="C555" s="191" t="s">
        <v>3816</v>
      </c>
      <c r="D555" s="191" t="s">
        <v>496</v>
      </c>
      <c r="E555" s="191">
        <v>4</v>
      </c>
      <c r="F555" s="191">
        <v>16</v>
      </c>
      <c r="G555" s="191">
        <v>0</v>
      </c>
      <c r="H555" s="191" t="s">
        <v>803</v>
      </c>
      <c r="I555" s="191" t="s">
        <v>548</v>
      </c>
      <c r="J555" s="191">
        <v>0</v>
      </c>
    </row>
    <row r="556" spans="1:10" ht="15.75" customHeight="1">
      <c r="A556" s="98" t="s">
        <v>6</v>
      </c>
      <c r="B556" s="133" t="s">
        <v>3668</v>
      </c>
      <c r="C556" s="191" t="s">
        <v>1336</v>
      </c>
      <c r="D556" s="191" t="s">
        <v>477</v>
      </c>
      <c r="E556" s="191">
        <v>100</v>
      </c>
      <c r="F556" s="191">
        <v>0</v>
      </c>
      <c r="G556" s="191">
        <v>0</v>
      </c>
      <c r="H556" s="191" t="s">
        <v>802</v>
      </c>
      <c r="I556" s="191" t="s">
        <v>548</v>
      </c>
      <c r="J556" s="191">
        <v>0</v>
      </c>
    </row>
    <row r="557" spans="1:10" ht="15.75" customHeight="1">
      <c r="A557" s="98" t="s">
        <v>6</v>
      </c>
      <c r="B557" s="133" t="s">
        <v>3672</v>
      </c>
      <c r="C557" s="191" t="s">
        <v>3863</v>
      </c>
      <c r="D557" s="191" t="s">
        <v>477</v>
      </c>
      <c r="E557" s="191">
        <v>6</v>
      </c>
      <c r="F557" s="191">
        <v>0</v>
      </c>
      <c r="G557" s="191">
        <v>0</v>
      </c>
      <c r="H557" s="191" t="s">
        <v>3974</v>
      </c>
      <c r="I557" s="191" t="s">
        <v>548</v>
      </c>
      <c r="J557" s="191">
        <v>0</v>
      </c>
    </row>
    <row r="558" spans="1:10" ht="15.75" customHeight="1">
      <c r="A558" s="98" t="s">
        <v>6</v>
      </c>
      <c r="B558" s="133" t="s">
        <v>3672</v>
      </c>
      <c r="C558" s="191" t="s">
        <v>3983</v>
      </c>
      <c r="D558" s="191" t="s">
        <v>477</v>
      </c>
      <c r="E558" s="191">
        <v>30</v>
      </c>
      <c r="F558" s="191">
        <v>0</v>
      </c>
      <c r="G558" s="191">
        <v>0</v>
      </c>
      <c r="H558" s="191" t="s">
        <v>3984</v>
      </c>
      <c r="I558" s="191" t="s">
        <v>548</v>
      </c>
      <c r="J558" s="191">
        <v>0</v>
      </c>
    </row>
    <row r="559" spans="1:10" ht="15.75" customHeight="1">
      <c r="A559" s="98" t="s">
        <v>6</v>
      </c>
      <c r="B559" s="133" t="s">
        <v>3672</v>
      </c>
      <c r="C559" s="191" t="s">
        <v>371</v>
      </c>
      <c r="D559" s="191" t="s">
        <v>477</v>
      </c>
      <c r="E559" s="191">
        <v>7</v>
      </c>
      <c r="F559" s="191">
        <v>0</v>
      </c>
      <c r="G559" s="191">
        <v>0</v>
      </c>
      <c r="H559" s="191" t="s">
        <v>3985</v>
      </c>
      <c r="I559" s="191" t="s">
        <v>548</v>
      </c>
      <c r="J559" s="191">
        <v>0</v>
      </c>
    </row>
    <row r="560" spans="1:10" ht="15.75" customHeight="1">
      <c r="A560" s="98" t="s">
        <v>6</v>
      </c>
      <c r="B560" s="133" t="s">
        <v>3672</v>
      </c>
      <c r="C560" s="191" t="s">
        <v>1823</v>
      </c>
      <c r="D560" s="191" t="s">
        <v>477</v>
      </c>
      <c r="E560" s="191">
        <v>500</v>
      </c>
      <c r="F560" s="191">
        <v>0</v>
      </c>
      <c r="G560" s="191">
        <v>0</v>
      </c>
      <c r="H560" s="191" t="s">
        <v>3986</v>
      </c>
      <c r="I560" s="191" t="s">
        <v>548</v>
      </c>
      <c r="J560" s="191">
        <v>0</v>
      </c>
    </row>
    <row r="561" spans="1:10" ht="15.75" customHeight="1">
      <c r="A561" s="98" t="s">
        <v>6</v>
      </c>
      <c r="B561" s="133" t="s">
        <v>3672</v>
      </c>
      <c r="C561" s="191" t="s">
        <v>3987</v>
      </c>
      <c r="D561" s="191" t="s">
        <v>484</v>
      </c>
      <c r="E561" s="191">
        <v>4</v>
      </c>
      <c r="F561" s="191">
        <v>10</v>
      </c>
      <c r="G561" s="191">
        <v>0</v>
      </c>
      <c r="H561" s="191" t="s">
        <v>3988</v>
      </c>
      <c r="I561" s="191" t="s">
        <v>615</v>
      </c>
      <c r="J561" s="191">
        <v>0</v>
      </c>
    </row>
    <row r="562" spans="1:10" ht="15.75" customHeight="1">
      <c r="A562" s="98" t="s">
        <v>6</v>
      </c>
      <c r="B562" s="133" t="s">
        <v>3672</v>
      </c>
      <c r="C562" s="191" t="s">
        <v>3989</v>
      </c>
      <c r="D562" s="191" t="s">
        <v>484</v>
      </c>
      <c r="E562" s="191">
        <v>4</v>
      </c>
      <c r="F562" s="191">
        <v>10</v>
      </c>
      <c r="G562" s="191">
        <v>0</v>
      </c>
      <c r="H562" s="191" t="s">
        <v>3990</v>
      </c>
      <c r="I562" s="191" t="s">
        <v>615</v>
      </c>
      <c r="J562" s="191">
        <v>0</v>
      </c>
    </row>
    <row r="563" spans="1:10" ht="15.75" customHeight="1">
      <c r="A563" s="98" t="s">
        <v>6</v>
      </c>
      <c r="B563" s="133" t="s">
        <v>3672</v>
      </c>
      <c r="C563" s="191" t="s">
        <v>1419</v>
      </c>
      <c r="D563" s="191" t="s">
        <v>477</v>
      </c>
      <c r="E563" s="191">
        <v>8</v>
      </c>
      <c r="F563" s="191">
        <v>0</v>
      </c>
      <c r="G563" s="191">
        <v>0</v>
      </c>
      <c r="H563" s="191" t="s">
        <v>3991</v>
      </c>
      <c r="I563" s="191" t="s">
        <v>548</v>
      </c>
      <c r="J563" s="191">
        <v>0</v>
      </c>
    </row>
    <row r="564" spans="1:10" ht="15.75" customHeight="1">
      <c r="A564" s="98" t="s">
        <v>6</v>
      </c>
      <c r="B564" s="133" t="s">
        <v>3672</v>
      </c>
      <c r="C564" s="191" t="s">
        <v>3896</v>
      </c>
      <c r="D564" s="191" t="s">
        <v>481</v>
      </c>
      <c r="E564" s="191">
        <v>5</v>
      </c>
      <c r="F564" s="191">
        <v>9</v>
      </c>
      <c r="G564" s="191">
        <v>2</v>
      </c>
      <c r="H564" s="191" t="s">
        <v>3992</v>
      </c>
      <c r="I564" s="191" t="s">
        <v>615</v>
      </c>
      <c r="J564" s="191">
        <v>0</v>
      </c>
    </row>
    <row r="565" spans="1:10" ht="15.75" customHeight="1">
      <c r="A565" s="98" t="s">
        <v>6</v>
      </c>
      <c r="B565" s="133" t="s">
        <v>3672</v>
      </c>
      <c r="C565" s="191" t="s">
        <v>1395</v>
      </c>
      <c r="D565" s="191" t="s">
        <v>477</v>
      </c>
      <c r="E565" s="191">
        <v>7</v>
      </c>
      <c r="F565" s="191">
        <v>0</v>
      </c>
      <c r="G565" s="191">
        <v>0</v>
      </c>
      <c r="H565" s="191" t="s">
        <v>3381</v>
      </c>
      <c r="I565" s="191" t="s">
        <v>548</v>
      </c>
      <c r="J565" s="191">
        <v>0</v>
      </c>
    </row>
    <row r="566" spans="1:10" ht="15.75" customHeight="1">
      <c r="A566" s="98" t="s">
        <v>6</v>
      </c>
      <c r="B566" s="133" t="s">
        <v>3672</v>
      </c>
      <c r="C566" s="191" t="s">
        <v>3993</v>
      </c>
      <c r="D566" s="191" t="s">
        <v>481</v>
      </c>
      <c r="E566" s="191">
        <v>5</v>
      </c>
      <c r="F566" s="191">
        <v>9</v>
      </c>
      <c r="G566" s="191">
        <v>2</v>
      </c>
      <c r="H566" s="191" t="s">
        <v>3389</v>
      </c>
      <c r="I566" s="191" t="s">
        <v>615</v>
      </c>
      <c r="J566" s="191">
        <v>0</v>
      </c>
    </row>
    <row r="567" spans="1:10" ht="15.75" customHeight="1">
      <c r="A567" s="98" t="s">
        <v>6</v>
      </c>
      <c r="B567" s="133" t="s">
        <v>3672</v>
      </c>
      <c r="C567" s="191" t="s">
        <v>3994</v>
      </c>
      <c r="D567" s="191" t="s">
        <v>481</v>
      </c>
      <c r="E567" s="191">
        <v>5</v>
      </c>
      <c r="F567" s="191">
        <v>9</v>
      </c>
      <c r="G567" s="191">
        <v>2</v>
      </c>
      <c r="H567" s="191" t="s">
        <v>3391</v>
      </c>
      <c r="I567" s="191" t="s">
        <v>615</v>
      </c>
      <c r="J567" s="191">
        <v>0</v>
      </c>
    </row>
    <row r="568" spans="1:10" ht="15.75" customHeight="1">
      <c r="A568" s="98" t="s">
        <v>6</v>
      </c>
      <c r="B568" s="133" t="s">
        <v>3672</v>
      </c>
      <c r="C568" s="191" t="s">
        <v>3995</v>
      </c>
      <c r="D568" s="191" t="s">
        <v>481</v>
      </c>
      <c r="E568" s="191">
        <v>5</v>
      </c>
      <c r="F568" s="191">
        <v>9</v>
      </c>
      <c r="G568" s="191">
        <v>2</v>
      </c>
      <c r="H568" s="191" t="s">
        <v>3996</v>
      </c>
      <c r="I568" s="191" t="s">
        <v>615</v>
      </c>
      <c r="J568" s="191">
        <v>0</v>
      </c>
    </row>
    <row r="569" spans="1:10" ht="15.75" customHeight="1">
      <c r="A569" s="98" t="s">
        <v>6</v>
      </c>
      <c r="B569" s="133" t="s">
        <v>3672</v>
      </c>
      <c r="C569" s="191" t="s">
        <v>3997</v>
      </c>
      <c r="D569" s="191" t="s">
        <v>481</v>
      </c>
      <c r="E569" s="191">
        <v>5</v>
      </c>
      <c r="F569" s="191">
        <v>9</v>
      </c>
      <c r="G569" s="191">
        <v>2</v>
      </c>
      <c r="H569" s="191" t="s">
        <v>479</v>
      </c>
      <c r="I569" s="191" t="s">
        <v>615</v>
      </c>
      <c r="J569" s="191">
        <v>0</v>
      </c>
    </row>
    <row r="570" spans="1:10" ht="15.75" customHeight="1">
      <c r="A570" s="98" t="s">
        <v>6</v>
      </c>
      <c r="B570" s="133" t="s">
        <v>3672</v>
      </c>
      <c r="C570" s="191" t="s">
        <v>3998</v>
      </c>
      <c r="D570" s="191" t="s">
        <v>481</v>
      </c>
      <c r="E570" s="191">
        <v>5</v>
      </c>
      <c r="F570" s="191">
        <v>9</v>
      </c>
      <c r="G570" s="191">
        <v>2</v>
      </c>
      <c r="H570" s="191" t="s">
        <v>479</v>
      </c>
      <c r="I570" s="191" t="s">
        <v>615</v>
      </c>
      <c r="J570" s="191">
        <v>0</v>
      </c>
    </row>
    <row r="571" spans="1:10" ht="15.75" customHeight="1">
      <c r="A571" s="98" t="s">
        <v>6</v>
      </c>
      <c r="B571" s="133" t="s">
        <v>3672</v>
      </c>
      <c r="C571" s="191" t="s">
        <v>3999</v>
      </c>
      <c r="D571" s="191" t="s">
        <v>484</v>
      </c>
      <c r="E571" s="191">
        <v>4</v>
      </c>
      <c r="F571" s="191">
        <v>10</v>
      </c>
      <c r="G571" s="191">
        <v>0</v>
      </c>
      <c r="H571" s="191" t="s">
        <v>4000</v>
      </c>
      <c r="I571" s="191" t="s">
        <v>615</v>
      </c>
      <c r="J571" s="191">
        <v>0</v>
      </c>
    </row>
    <row r="572" spans="1:10" ht="15.75" customHeight="1">
      <c r="A572" s="98" t="s">
        <v>6</v>
      </c>
      <c r="B572" s="133" t="s">
        <v>3672</v>
      </c>
      <c r="C572" s="191" t="s">
        <v>3815</v>
      </c>
      <c r="D572" s="191" t="s">
        <v>496</v>
      </c>
      <c r="E572" s="191">
        <v>4</v>
      </c>
      <c r="F572" s="191">
        <v>16</v>
      </c>
      <c r="G572" s="191">
        <v>0</v>
      </c>
      <c r="H572" s="191" t="s">
        <v>4001</v>
      </c>
      <c r="I572" s="191" t="s">
        <v>1559</v>
      </c>
      <c r="J572" s="191">
        <v>0</v>
      </c>
    </row>
    <row r="573" spans="1:10" ht="15.75" customHeight="1">
      <c r="A573" s="98" t="s">
        <v>6</v>
      </c>
      <c r="B573" s="133" t="s">
        <v>3672</v>
      </c>
      <c r="C573" s="191" t="s">
        <v>1334</v>
      </c>
      <c r="D573" s="191" t="s">
        <v>477</v>
      </c>
      <c r="E573" s="191">
        <v>100</v>
      </c>
      <c r="F573" s="191">
        <v>0</v>
      </c>
      <c r="G573" s="191">
        <v>0</v>
      </c>
      <c r="H573" s="191" t="s">
        <v>1282</v>
      </c>
      <c r="I573" s="191" t="s">
        <v>548</v>
      </c>
      <c r="J573" s="191">
        <v>0</v>
      </c>
    </row>
    <row r="574" spans="1:10" ht="15.75" customHeight="1">
      <c r="A574" s="98" t="s">
        <v>6</v>
      </c>
      <c r="B574" s="133" t="s">
        <v>3672</v>
      </c>
      <c r="C574" s="191" t="s">
        <v>3816</v>
      </c>
      <c r="D574" s="191" t="s">
        <v>496</v>
      </c>
      <c r="E574" s="191">
        <v>4</v>
      </c>
      <c r="F574" s="191">
        <v>16</v>
      </c>
      <c r="G574" s="191">
        <v>0</v>
      </c>
      <c r="H574" s="191" t="s">
        <v>4002</v>
      </c>
      <c r="I574" s="191" t="s">
        <v>1559</v>
      </c>
      <c r="J574" s="191">
        <v>0</v>
      </c>
    </row>
    <row r="575" spans="1:10" ht="15.75" customHeight="1">
      <c r="A575" s="98" t="s">
        <v>6</v>
      </c>
      <c r="B575" s="133" t="s">
        <v>3672</v>
      </c>
      <c r="C575" s="191" t="s">
        <v>1336</v>
      </c>
      <c r="D575" s="191" t="s">
        <v>477</v>
      </c>
      <c r="E575" s="191">
        <v>100</v>
      </c>
      <c r="F575" s="191">
        <v>0</v>
      </c>
      <c r="G575" s="191">
        <v>0</v>
      </c>
      <c r="H575" s="191" t="s">
        <v>1285</v>
      </c>
      <c r="I575" s="191" t="s">
        <v>548</v>
      </c>
      <c r="J575" s="191">
        <v>0</v>
      </c>
    </row>
    <row r="576" spans="1:10" ht="15.75" customHeight="1">
      <c r="A576" s="98" t="s">
        <v>6</v>
      </c>
      <c r="B576" s="133" t="s">
        <v>3673</v>
      </c>
      <c r="C576" s="191" t="s">
        <v>371</v>
      </c>
      <c r="D576" s="191" t="s">
        <v>477</v>
      </c>
      <c r="E576" s="191">
        <v>7</v>
      </c>
      <c r="F576" s="191">
        <v>0</v>
      </c>
      <c r="G576" s="191">
        <v>0</v>
      </c>
      <c r="H576" s="191" t="s">
        <v>4003</v>
      </c>
      <c r="I576" s="191" t="s">
        <v>548</v>
      </c>
      <c r="J576" s="191">
        <v>0</v>
      </c>
    </row>
    <row r="577" spans="1:10" ht="15.75" customHeight="1">
      <c r="A577" s="98" t="s">
        <v>6</v>
      </c>
      <c r="B577" s="133" t="s">
        <v>3673</v>
      </c>
      <c r="C577" s="191" t="s">
        <v>1823</v>
      </c>
      <c r="D577" s="191" t="s">
        <v>477</v>
      </c>
      <c r="E577" s="191">
        <v>500</v>
      </c>
      <c r="F577" s="191">
        <v>0</v>
      </c>
      <c r="G577" s="191">
        <v>0</v>
      </c>
      <c r="H577" s="191" t="s">
        <v>3986</v>
      </c>
      <c r="I577" s="191" t="s">
        <v>548</v>
      </c>
      <c r="J577" s="191">
        <v>0</v>
      </c>
    </row>
    <row r="578" spans="1:10" ht="15.75" customHeight="1">
      <c r="A578" s="98" t="s">
        <v>6</v>
      </c>
      <c r="B578" s="133" t="s">
        <v>3673</v>
      </c>
      <c r="C578" s="191" t="s">
        <v>3863</v>
      </c>
      <c r="D578" s="191" t="s">
        <v>477</v>
      </c>
      <c r="E578" s="191">
        <v>6</v>
      </c>
      <c r="F578" s="191">
        <v>0</v>
      </c>
      <c r="G578" s="191">
        <v>0</v>
      </c>
      <c r="H578" s="191" t="s">
        <v>3974</v>
      </c>
      <c r="I578" s="191" t="s">
        <v>548</v>
      </c>
      <c r="J578" s="191">
        <v>0</v>
      </c>
    </row>
    <row r="579" spans="1:10" ht="15.75" customHeight="1">
      <c r="A579" s="98" t="s">
        <v>6</v>
      </c>
      <c r="B579" s="133" t="s">
        <v>3673</v>
      </c>
      <c r="C579" s="191" t="s">
        <v>3987</v>
      </c>
      <c r="D579" s="191" t="s">
        <v>484</v>
      </c>
      <c r="E579" s="191">
        <v>4</v>
      </c>
      <c r="F579" s="191">
        <v>10</v>
      </c>
      <c r="G579" s="191">
        <v>0</v>
      </c>
      <c r="H579" s="191" t="s">
        <v>3988</v>
      </c>
      <c r="I579" s="191" t="s">
        <v>615</v>
      </c>
      <c r="J579" s="191">
        <v>0</v>
      </c>
    </row>
    <row r="580" spans="1:10" ht="15.75" customHeight="1">
      <c r="A580" s="98" t="s">
        <v>6</v>
      </c>
      <c r="B580" s="133" t="s">
        <v>3673</v>
      </c>
      <c r="C580" s="98" t="s">
        <v>3989</v>
      </c>
      <c r="D580" s="98" t="s">
        <v>484</v>
      </c>
      <c r="E580" s="98">
        <v>4</v>
      </c>
      <c r="F580" s="98">
        <v>10</v>
      </c>
      <c r="G580" s="98">
        <v>0</v>
      </c>
      <c r="H580" s="98" t="s">
        <v>3990</v>
      </c>
      <c r="I580" s="98" t="s">
        <v>615</v>
      </c>
      <c r="J580" s="98">
        <v>0</v>
      </c>
    </row>
    <row r="581" spans="1:10" ht="15.75" customHeight="1">
      <c r="A581" s="98" t="s">
        <v>6</v>
      </c>
      <c r="B581" s="133" t="s">
        <v>3673</v>
      </c>
      <c r="C581" s="98" t="s">
        <v>1419</v>
      </c>
      <c r="D581" s="98" t="s">
        <v>477</v>
      </c>
      <c r="E581" s="98">
        <v>8</v>
      </c>
      <c r="F581" s="98">
        <v>0</v>
      </c>
      <c r="G581" s="98">
        <v>0</v>
      </c>
      <c r="H581" s="98" t="s">
        <v>4004</v>
      </c>
      <c r="I581" s="98" t="s">
        <v>548</v>
      </c>
      <c r="J581" s="98">
        <v>0</v>
      </c>
    </row>
    <row r="582" spans="1:10" ht="15.75" customHeight="1">
      <c r="A582" s="98" t="s">
        <v>6</v>
      </c>
      <c r="B582" s="133" t="s">
        <v>3673</v>
      </c>
      <c r="C582" s="98" t="s">
        <v>1334</v>
      </c>
      <c r="D582" s="98" t="s">
        <v>477</v>
      </c>
      <c r="E582" s="98">
        <v>100</v>
      </c>
      <c r="F582" s="98">
        <v>0</v>
      </c>
      <c r="G582" s="98">
        <v>0</v>
      </c>
      <c r="H582" s="98" t="s">
        <v>1282</v>
      </c>
      <c r="I582" s="98" t="s">
        <v>548</v>
      </c>
      <c r="J582" s="98">
        <v>0</v>
      </c>
    </row>
    <row r="583" spans="1:10" ht="15.75" customHeight="1">
      <c r="A583" s="98" t="s">
        <v>6</v>
      </c>
      <c r="B583" s="133" t="s">
        <v>3673</v>
      </c>
      <c r="C583" s="98" t="s">
        <v>3815</v>
      </c>
      <c r="D583" s="98" t="s">
        <v>496</v>
      </c>
      <c r="E583" s="98">
        <v>4</v>
      </c>
      <c r="F583" s="98">
        <v>16</v>
      </c>
      <c r="G583" s="98">
        <v>0</v>
      </c>
      <c r="H583" s="98" t="s">
        <v>4001</v>
      </c>
      <c r="I583" s="98" t="s">
        <v>1559</v>
      </c>
      <c r="J583" s="98">
        <v>0</v>
      </c>
    </row>
    <row r="584" spans="1:10" ht="15.75" customHeight="1">
      <c r="A584" s="98" t="s">
        <v>6</v>
      </c>
      <c r="B584" s="133" t="s">
        <v>3673</v>
      </c>
      <c r="C584" s="98" t="s">
        <v>1336</v>
      </c>
      <c r="D584" s="98" t="s">
        <v>477</v>
      </c>
      <c r="E584" s="98">
        <v>100</v>
      </c>
      <c r="F584" s="98">
        <v>0</v>
      </c>
      <c r="G584" s="98">
        <v>0</v>
      </c>
      <c r="H584" s="98" t="s">
        <v>1285</v>
      </c>
      <c r="I584" s="98" t="s">
        <v>548</v>
      </c>
      <c r="J584" s="98">
        <v>0</v>
      </c>
    </row>
    <row r="585" spans="1:10" ht="15.75" customHeight="1">
      <c r="A585" s="98" t="s">
        <v>6</v>
      </c>
      <c r="B585" s="133" t="s">
        <v>3673</v>
      </c>
      <c r="C585" s="98" t="s">
        <v>3816</v>
      </c>
      <c r="D585" s="98" t="s">
        <v>496</v>
      </c>
      <c r="E585" s="98">
        <v>4</v>
      </c>
      <c r="F585" s="98">
        <v>16</v>
      </c>
      <c r="G585" s="98">
        <v>0</v>
      </c>
      <c r="H585" s="98" t="s">
        <v>4002</v>
      </c>
      <c r="I585" s="98" t="s">
        <v>1559</v>
      </c>
      <c r="J585" s="98">
        <v>0</v>
      </c>
    </row>
    <row r="586" spans="1:10" ht="15.75" customHeight="1">
      <c r="A586" s="98" t="s">
        <v>6</v>
      </c>
      <c r="B586" s="133" t="s">
        <v>3673</v>
      </c>
      <c r="C586" s="98" t="s">
        <v>3896</v>
      </c>
      <c r="D586" s="98" t="s">
        <v>481</v>
      </c>
      <c r="E586" s="98">
        <v>5</v>
      </c>
      <c r="F586" s="98">
        <v>9</v>
      </c>
      <c r="G586" s="98">
        <v>2</v>
      </c>
      <c r="H586" s="98" t="s">
        <v>479</v>
      </c>
      <c r="I586" s="98" t="s">
        <v>615</v>
      </c>
      <c r="J586" s="98">
        <v>0</v>
      </c>
    </row>
    <row r="587" spans="1:10" ht="15.75" customHeight="1">
      <c r="A587" s="98" t="s">
        <v>6</v>
      </c>
      <c r="B587" s="177" t="s">
        <v>3641</v>
      </c>
      <c r="C587" s="98" t="s">
        <v>3635</v>
      </c>
      <c r="D587" s="98" t="s">
        <v>477</v>
      </c>
      <c r="E587" s="98">
        <v>20</v>
      </c>
      <c r="F587" s="98">
        <v>0</v>
      </c>
      <c r="G587" s="98">
        <v>0</v>
      </c>
      <c r="H587" s="98" t="s">
        <v>479</v>
      </c>
      <c r="I587" s="98" t="s">
        <v>479</v>
      </c>
      <c r="J587" s="98">
        <v>0</v>
      </c>
    </row>
    <row r="588" spans="1:10" ht="15.75" customHeight="1">
      <c r="A588" s="98" t="s">
        <v>6</v>
      </c>
      <c r="B588" s="177" t="s">
        <v>3641</v>
      </c>
      <c r="C588" s="98" t="s">
        <v>3650</v>
      </c>
      <c r="D588" s="98" t="s">
        <v>477</v>
      </c>
      <c r="E588" s="98">
        <v>50</v>
      </c>
      <c r="F588" s="98">
        <v>0</v>
      </c>
      <c r="G588" s="98">
        <v>0</v>
      </c>
      <c r="H588" s="98" t="s">
        <v>479</v>
      </c>
      <c r="I588" s="98" t="s">
        <v>479</v>
      </c>
      <c r="J588" s="98">
        <v>0</v>
      </c>
    </row>
    <row r="589" spans="1:10" ht="15.75" customHeight="1">
      <c r="A589" s="98" t="s">
        <v>6</v>
      </c>
      <c r="B589" s="177" t="s">
        <v>3641</v>
      </c>
      <c r="C589" s="98" t="s">
        <v>3761</v>
      </c>
      <c r="D589" s="98" t="s">
        <v>496</v>
      </c>
      <c r="E589" s="98">
        <v>4</v>
      </c>
      <c r="F589" s="98">
        <v>16</v>
      </c>
      <c r="G589" s="98">
        <v>0</v>
      </c>
      <c r="H589" s="98" t="s">
        <v>479</v>
      </c>
      <c r="I589" s="98" t="s">
        <v>479</v>
      </c>
      <c r="J589" s="98">
        <v>0</v>
      </c>
    </row>
    <row r="590" spans="1:10" ht="15.75" customHeight="1">
      <c r="A590" s="98" t="s">
        <v>6</v>
      </c>
      <c r="B590" s="177" t="s">
        <v>3641</v>
      </c>
      <c r="C590" s="98" t="s">
        <v>2900</v>
      </c>
      <c r="D590" s="98" t="s">
        <v>496</v>
      </c>
      <c r="E590" s="98">
        <v>4</v>
      </c>
      <c r="F590" s="98">
        <v>16</v>
      </c>
      <c r="G590" s="98">
        <v>0</v>
      </c>
      <c r="H590" s="98" t="s">
        <v>479</v>
      </c>
      <c r="I590" s="98" t="s">
        <v>479</v>
      </c>
      <c r="J590" s="98">
        <v>0</v>
      </c>
    </row>
    <row r="591" spans="1:10" ht="15.75" customHeight="1">
      <c r="A591" s="98" t="s">
        <v>6</v>
      </c>
      <c r="B591" s="177" t="s">
        <v>3641</v>
      </c>
      <c r="C591" s="98" t="s">
        <v>3762</v>
      </c>
      <c r="D591" s="98" t="s">
        <v>477</v>
      </c>
      <c r="E591" s="98">
        <v>20</v>
      </c>
      <c r="F591" s="98">
        <v>0</v>
      </c>
      <c r="G591" s="98">
        <v>0</v>
      </c>
      <c r="H591" s="98" t="s">
        <v>479</v>
      </c>
      <c r="I591" s="98" t="s">
        <v>479</v>
      </c>
      <c r="J591" s="98">
        <v>0</v>
      </c>
    </row>
    <row r="592" spans="1:10" ht="15.75" customHeight="1">
      <c r="A592" s="98" t="s">
        <v>6</v>
      </c>
      <c r="B592" s="177" t="s">
        <v>3641</v>
      </c>
      <c r="C592" s="98" t="s">
        <v>3763</v>
      </c>
      <c r="D592" s="98" t="s">
        <v>484</v>
      </c>
      <c r="E592" s="98">
        <v>4</v>
      </c>
      <c r="F592" s="98">
        <v>10</v>
      </c>
      <c r="G592" s="98">
        <v>0</v>
      </c>
      <c r="H592" s="98" t="s">
        <v>479</v>
      </c>
      <c r="I592" s="98" t="s">
        <v>479</v>
      </c>
      <c r="J592" s="98">
        <v>0</v>
      </c>
    </row>
    <row r="593" spans="1:10" ht="15.75" customHeight="1">
      <c r="A593" s="98" t="s">
        <v>6</v>
      </c>
      <c r="B593" s="177" t="s">
        <v>3641</v>
      </c>
      <c r="C593" s="98" t="s">
        <v>3764</v>
      </c>
      <c r="D593" s="98" t="s">
        <v>477</v>
      </c>
      <c r="E593" s="98">
        <v>20</v>
      </c>
      <c r="F593" s="98">
        <v>0</v>
      </c>
      <c r="G593" s="98">
        <v>0</v>
      </c>
      <c r="H593" s="98" t="s">
        <v>479</v>
      </c>
      <c r="I593" s="98" t="s">
        <v>479</v>
      </c>
      <c r="J593" s="98">
        <v>0</v>
      </c>
    </row>
    <row r="594" spans="1:10" ht="15.75" customHeight="1">
      <c r="A594" s="98" t="s">
        <v>6</v>
      </c>
      <c r="B594" s="177" t="s">
        <v>3641</v>
      </c>
      <c r="C594" s="98" t="s">
        <v>174</v>
      </c>
      <c r="D594" s="98" t="s">
        <v>477</v>
      </c>
      <c r="E594" s="98">
        <v>20</v>
      </c>
      <c r="F594" s="98">
        <v>0</v>
      </c>
      <c r="G594" s="98">
        <v>0</v>
      </c>
      <c r="H594" s="98" t="s">
        <v>479</v>
      </c>
      <c r="I594" s="98" t="s">
        <v>479</v>
      </c>
      <c r="J594" s="98">
        <v>0</v>
      </c>
    </row>
    <row r="595" spans="1:10" ht="15.75" customHeight="1">
      <c r="A595" s="98" t="s">
        <v>6</v>
      </c>
      <c r="B595" s="177" t="s">
        <v>3641</v>
      </c>
      <c r="C595" s="98" t="s">
        <v>1821</v>
      </c>
      <c r="D595" s="98" t="s">
        <v>477</v>
      </c>
      <c r="E595" s="98">
        <v>100</v>
      </c>
      <c r="F595" s="98">
        <v>0</v>
      </c>
      <c r="G595" s="98">
        <v>0</v>
      </c>
      <c r="H595" s="98" t="s">
        <v>479</v>
      </c>
      <c r="I595" s="98" t="s">
        <v>479</v>
      </c>
      <c r="J595" s="98">
        <v>0</v>
      </c>
    </row>
    <row r="596" spans="1:10" ht="15.75" customHeight="1">
      <c r="A596" s="98" t="s">
        <v>6</v>
      </c>
      <c r="B596" s="177" t="s">
        <v>3641</v>
      </c>
      <c r="C596" s="98" t="s">
        <v>1433</v>
      </c>
      <c r="D596" s="98" t="s">
        <v>477</v>
      </c>
      <c r="E596" s="98">
        <v>20</v>
      </c>
      <c r="F596" s="98">
        <v>0</v>
      </c>
      <c r="G596" s="98">
        <v>0</v>
      </c>
      <c r="H596" s="98" t="s">
        <v>479</v>
      </c>
      <c r="I596" s="98" t="s">
        <v>479</v>
      </c>
      <c r="J596" s="98">
        <v>0</v>
      </c>
    </row>
    <row r="597" spans="1:10" ht="15.75" customHeight="1">
      <c r="A597" s="98" t="s">
        <v>6</v>
      </c>
      <c r="B597" s="177" t="s">
        <v>3641</v>
      </c>
      <c r="C597" s="98" t="s">
        <v>1322</v>
      </c>
      <c r="D597" s="98" t="s">
        <v>477</v>
      </c>
      <c r="E597" s="98">
        <v>5</v>
      </c>
      <c r="F597" s="98">
        <v>0</v>
      </c>
      <c r="G597" s="98">
        <v>0</v>
      </c>
      <c r="H597" s="98" t="s">
        <v>479</v>
      </c>
      <c r="I597" s="98" t="s">
        <v>479</v>
      </c>
      <c r="J597" s="98">
        <v>0</v>
      </c>
    </row>
    <row r="598" spans="1:10" ht="15.75" customHeight="1">
      <c r="A598" s="98" t="s">
        <v>6</v>
      </c>
      <c r="B598" s="177" t="s">
        <v>3641</v>
      </c>
      <c r="C598" s="98" t="s">
        <v>3765</v>
      </c>
      <c r="D598" s="98" t="s">
        <v>484</v>
      </c>
      <c r="E598" s="98">
        <v>4</v>
      </c>
      <c r="F598" s="98">
        <v>10</v>
      </c>
      <c r="G598" s="98">
        <v>0</v>
      </c>
      <c r="H598" s="98" t="s">
        <v>479</v>
      </c>
      <c r="I598" s="98" t="s">
        <v>479</v>
      </c>
      <c r="J598" s="98">
        <v>0</v>
      </c>
    </row>
    <row r="599" spans="1:10" ht="15.75" customHeight="1">
      <c r="A599" s="98" t="s">
        <v>6</v>
      </c>
      <c r="B599" s="177" t="s">
        <v>3641</v>
      </c>
      <c r="C599" s="98" t="s">
        <v>3766</v>
      </c>
      <c r="D599" s="98" t="s">
        <v>477</v>
      </c>
      <c r="E599" s="98">
        <v>150</v>
      </c>
      <c r="F599" s="98">
        <v>0</v>
      </c>
      <c r="G599" s="98">
        <v>0</v>
      </c>
      <c r="H599" s="98" t="s">
        <v>479</v>
      </c>
      <c r="I599" s="98" t="s">
        <v>479</v>
      </c>
      <c r="J599" s="98">
        <v>0</v>
      </c>
    </row>
    <row r="600" spans="1:10" ht="15.75" customHeight="1">
      <c r="A600" s="98" t="s">
        <v>6</v>
      </c>
      <c r="B600" s="177" t="s">
        <v>3641</v>
      </c>
      <c r="C600" s="98" t="s">
        <v>3767</v>
      </c>
      <c r="D600" s="98" t="s">
        <v>477</v>
      </c>
      <c r="E600" s="98">
        <v>150</v>
      </c>
      <c r="F600" s="98">
        <v>0</v>
      </c>
      <c r="G600" s="98">
        <v>0</v>
      </c>
      <c r="H600" s="98" t="s">
        <v>479</v>
      </c>
      <c r="I600" s="98" t="s">
        <v>479</v>
      </c>
      <c r="J600" s="98">
        <v>0</v>
      </c>
    </row>
    <row r="601" spans="1:10" ht="15.75" customHeight="1">
      <c r="A601" s="98" t="s">
        <v>6</v>
      </c>
      <c r="B601" s="177" t="s">
        <v>3641</v>
      </c>
      <c r="C601" s="98" t="s">
        <v>3768</v>
      </c>
      <c r="D601" s="98" t="s">
        <v>477</v>
      </c>
      <c r="E601" s="98">
        <v>55</v>
      </c>
      <c r="F601" s="98">
        <v>0</v>
      </c>
      <c r="G601" s="98">
        <v>0</v>
      </c>
      <c r="H601" s="98" t="s">
        <v>479</v>
      </c>
      <c r="I601" s="98" t="s">
        <v>479</v>
      </c>
      <c r="J601" s="98">
        <v>0</v>
      </c>
    </row>
    <row r="602" spans="1:10" ht="15.75" customHeight="1">
      <c r="A602" s="98" t="s">
        <v>6</v>
      </c>
      <c r="B602" s="177" t="s">
        <v>3641</v>
      </c>
      <c r="C602" s="98" t="s">
        <v>3769</v>
      </c>
      <c r="D602" s="98" t="s">
        <v>477</v>
      </c>
      <c r="E602" s="98">
        <v>55</v>
      </c>
      <c r="F602" s="98">
        <v>0</v>
      </c>
      <c r="G602" s="98">
        <v>0</v>
      </c>
      <c r="H602" s="98" t="s">
        <v>479</v>
      </c>
      <c r="I602" s="98" t="s">
        <v>479</v>
      </c>
      <c r="J602" s="98">
        <v>0</v>
      </c>
    </row>
    <row r="603" spans="1:10" ht="15.75" customHeight="1">
      <c r="A603" s="98" t="s">
        <v>6</v>
      </c>
      <c r="B603" s="177" t="s">
        <v>3641</v>
      </c>
      <c r="C603" s="98" t="s">
        <v>1883</v>
      </c>
      <c r="D603" s="98" t="s">
        <v>477</v>
      </c>
      <c r="E603" s="98">
        <v>27</v>
      </c>
      <c r="F603" s="98">
        <v>0</v>
      </c>
      <c r="G603" s="98">
        <v>0</v>
      </c>
      <c r="H603" s="98" t="s">
        <v>479</v>
      </c>
      <c r="I603" s="98" t="s">
        <v>479</v>
      </c>
      <c r="J603" s="98">
        <v>0</v>
      </c>
    </row>
    <row r="604" spans="1:10" ht="15.75" customHeight="1">
      <c r="A604" s="98" t="s">
        <v>6</v>
      </c>
      <c r="B604" s="177" t="s">
        <v>3641</v>
      </c>
      <c r="C604" s="98" t="s">
        <v>1884</v>
      </c>
      <c r="D604" s="98" t="s">
        <v>477</v>
      </c>
      <c r="E604" s="98">
        <v>27</v>
      </c>
      <c r="F604" s="98">
        <v>0</v>
      </c>
      <c r="G604" s="98">
        <v>0</v>
      </c>
      <c r="H604" s="98" t="s">
        <v>479</v>
      </c>
      <c r="I604" s="98" t="s">
        <v>479</v>
      </c>
      <c r="J604" s="98">
        <v>0</v>
      </c>
    </row>
    <row r="605" spans="1:10" ht="15.75" customHeight="1">
      <c r="A605" s="98" t="s">
        <v>6</v>
      </c>
      <c r="B605" s="177" t="s">
        <v>3641</v>
      </c>
      <c r="C605" s="98" t="s">
        <v>1885</v>
      </c>
      <c r="D605" s="98" t="s">
        <v>477</v>
      </c>
      <c r="E605" s="98">
        <v>30</v>
      </c>
      <c r="F605" s="98">
        <v>0</v>
      </c>
      <c r="G605" s="98">
        <v>0</v>
      </c>
      <c r="H605" s="98" t="s">
        <v>479</v>
      </c>
      <c r="I605" s="98" t="s">
        <v>479</v>
      </c>
      <c r="J605" s="98">
        <v>0</v>
      </c>
    </row>
    <row r="606" spans="1:10" ht="15.75" customHeight="1">
      <c r="A606" s="98" t="s">
        <v>6</v>
      </c>
      <c r="B606" s="177" t="s">
        <v>3641</v>
      </c>
      <c r="C606" s="98" t="s">
        <v>1886</v>
      </c>
      <c r="D606" s="98" t="s">
        <v>477</v>
      </c>
      <c r="E606" s="98">
        <v>5</v>
      </c>
      <c r="F606" s="98">
        <v>0</v>
      </c>
      <c r="G606" s="98">
        <v>0</v>
      </c>
      <c r="H606" s="98" t="s">
        <v>479</v>
      </c>
      <c r="I606" s="98" t="s">
        <v>479</v>
      </c>
      <c r="J606" s="98">
        <v>0</v>
      </c>
    </row>
    <row r="607" spans="1:10" ht="15.75" customHeight="1">
      <c r="A607" s="98" t="s">
        <v>6</v>
      </c>
      <c r="B607" s="177" t="s">
        <v>3641</v>
      </c>
      <c r="C607" s="98" t="s">
        <v>208</v>
      </c>
      <c r="D607" s="98" t="s">
        <v>1631</v>
      </c>
      <c r="E607" s="98">
        <v>8</v>
      </c>
      <c r="F607" s="98">
        <v>19</v>
      </c>
      <c r="G607" s="98">
        <v>0</v>
      </c>
      <c r="H607" s="98" t="s">
        <v>479</v>
      </c>
      <c r="I607" s="98" t="s">
        <v>479</v>
      </c>
      <c r="J607" s="98">
        <v>0</v>
      </c>
    </row>
    <row r="608" spans="1:10" ht="15.75" customHeight="1">
      <c r="A608" s="98" t="s">
        <v>6</v>
      </c>
      <c r="B608" s="177" t="s">
        <v>3641</v>
      </c>
      <c r="C608" s="98" t="s">
        <v>3770</v>
      </c>
      <c r="D608" s="98" t="s">
        <v>1631</v>
      </c>
      <c r="E608" s="98">
        <v>8</v>
      </c>
      <c r="F608" s="98">
        <v>19</v>
      </c>
      <c r="G608" s="98">
        <v>0</v>
      </c>
      <c r="H608" s="98" t="s">
        <v>479</v>
      </c>
      <c r="I608" s="98" t="s">
        <v>479</v>
      </c>
      <c r="J608" s="98">
        <v>0</v>
      </c>
    </row>
    <row r="609" spans="1:10" ht="15.75" customHeight="1">
      <c r="A609" s="98" t="s">
        <v>6</v>
      </c>
      <c r="B609" s="177" t="s">
        <v>3641</v>
      </c>
      <c r="C609" s="98" t="s">
        <v>2912</v>
      </c>
      <c r="D609" s="98" t="s">
        <v>477</v>
      </c>
      <c r="E609" s="98">
        <v>10</v>
      </c>
      <c r="F609" s="98">
        <v>0</v>
      </c>
      <c r="G609" s="98">
        <v>0</v>
      </c>
      <c r="H609" s="98" t="s">
        <v>479</v>
      </c>
      <c r="I609" s="98" t="s">
        <v>479</v>
      </c>
      <c r="J609" s="98">
        <v>0</v>
      </c>
    </row>
    <row r="610" spans="1:10" ht="15.75" customHeight="1">
      <c r="A610" s="98" t="s">
        <v>6</v>
      </c>
      <c r="B610" s="177" t="s">
        <v>3641</v>
      </c>
      <c r="C610" s="98" t="s">
        <v>1660</v>
      </c>
      <c r="D610" s="98" t="s">
        <v>477</v>
      </c>
      <c r="E610" s="98">
        <v>50</v>
      </c>
      <c r="F610" s="98">
        <v>0</v>
      </c>
      <c r="G610" s="98">
        <v>0</v>
      </c>
      <c r="H610" s="98" t="s">
        <v>479</v>
      </c>
      <c r="I610" s="98" t="s">
        <v>479</v>
      </c>
      <c r="J610" s="98">
        <v>0</v>
      </c>
    </row>
    <row r="611" spans="1:10" ht="15.75" customHeight="1">
      <c r="A611" s="98" t="s">
        <v>6</v>
      </c>
      <c r="B611" s="177" t="s">
        <v>3641</v>
      </c>
      <c r="C611" s="98" t="s">
        <v>3771</v>
      </c>
      <c r="D611" s="98" t="s">
        <v>477</v>
      </c>
      <c r="E611" s="98">
        <v>20</v>
      </c>
      <c r="F611" s="98">
        <v>0</v>
      </c>
      <c r="G611" s="98">
        <v>0</v>
      </c>
      <c r="H611" s="98" t="s">
        <v>479</v>
      </c>
      <c r="I611" s="98" t="s">
        <v>479</v>
      </c>
      <c r="J611" s="98">
        <v>0</v>
      </c>
    </row>
    <row r="612" spans="1:10" ht="15.75" customHeight="1">
      <c r="A612" s="98" t="s">
        <v>6</v>
      </c>
      <c r="B612" s="177" t="s">
        <v>3641</v>
      </c>
      <c r="C612" s="98" t="s">
        <v>3772</v>
      </c>
      <c r="D612" s="98" t="s">
        <v>477</v>
      </c>
      <c r="E612" s="98">
        <v>6</v>
      </c>
      <c r="F612" s="98">
        <v>0</v>
      </c>
      <c r="G612" s="98">
        <v>0</v>
      </c>
      <c r="H612" s="98" t="s">
        <v>479</v>
      </c>
      <c r="I612" s="98" t="s">
        <v>479</v>
      </c>
      <c r="J612" s="98">
        <v>0</v>
      </c>
    </row>
    <row r="613" spans="1:10" ht="15.75" customHeight="1">
      <c r="A613" s="98" t="s">
        <v>6</v>
      </c>
      <c r="B613" s="177" t="s">
        <v>3641</v>
      </c>
      <c r="C613" s="98" t="s">
        <v>1653</v>
      </c>
      <c r="D613" s="98" t="s">
        <v>477</v>
      </c>
      <c r="E613" s="98">
        <v>100</v>
      </c>
      <c r="F613" s="98">
        <v>0</v>
      </c>
      <c r="G613" s="98">
        <v>0</v>
      </c>
      <c r="H613" s="98" t="s">
        <v>479</v>
      </c>
      <c r="I613" s="98" t="s">
        <v>479</v>
      </c>
      <c r="J613" s="98">
        <v>0</v>
      </c>
    </row>
    <row r="614" spans="1:10" ht="15.75" customHeight="1">
      <c r="A614" s="98" t="s">
        <v>6</v>
      </c>
      <c r="B614" s="177" t="s">
        <v>3641</v>
      </c>
      <c r="C614" s="98" t="s">
        <v>3773</v>
      </c>
      <c r="D614" s="98" t="s">
        <v>477</v>
      </c>
      <c r="E614" s="98">
        <v>100</v>
      </c>
      <c r="F614" s="98">
        <v>0</v>
      </c>
      <c r="G614" s="98">
        <v>0</v>
      </c>
      <c r="H614" s="98" t="s">
        <v>479</v>
      </c>
      <c r="I614" s="98" t="s">
        <v>479</v>
      </c>
      <c r="J614" s="98">
        <v>0</v>
      </c>
    </row>
    <row r="615" spans="1:10" ht="15.75" customHeight="1">
      <c r="A615" s="98" t="s">
        <v>6</v>
      </c>
      <c r="B615" s="177" t="s">
        <v>3641</v>
      </c>
      <c r="C615" s="98" t="s">
        <v>2184</v>
      </c>
      <c r="D615" s="98" t="s">
        <v>484</v>
      </c>
      <c r="E615" s="98">
        <v>4</v>
      </c>
      <c r="F615" s="98">
        <v>10</v>
      </c>
      <c r="G615" s="98">
        <v>0</v>
      </c>
      <c r="H615" s="98" t="s">
        <v>479</v>
      </c>
      <c r="I615" s="98" t="s">
        <v>479</v>
      </c>
      <c r="J615" s="98">
        <v>0</v>
      </c>
    </row>
    <row r="616" spans="1:10" ht="15.75" customHeight="1">
      <c r="A616" s="98" t="s">
        <v>6</v>
      </c>
      <c r="B616" s="177" t="s">
        <v>3641</v>
      </c>
      <c r="C616" s="98" t="s">
        <v>3774</v>
      </c>
      <c r="D616" s="98" t="s">
        <v>484</v>
      </c>
      <c r="E616" s="98">
        <v>4</v>
      </c>
      <c r="F616" s="98">
        <v>10</v>
      </c>
      <c r="G616" s="98">
        <v>0</v>
      </c>
      <c r="H616" s="98" t="s">
        <v>479</v>
      </c>
      <c r="I616" s="98" t="s">
        <v>479</v>
      </c>
      <c r="J616" s="98">
        <v>0</v>
      </c>
    </row>
    <row r="617" spans="1:10" ht="15.75" customHeight="1">
      <c r="A617" s="98" t="s">
        <v>6</v>
      </c>
      <c r="B617" s="177" t="s">
        <v>3641</v>
      </c>
      <c r="C617" s="98" t="s">
        <v>3107</v>
      </c>
      <c r="D617" s="98" t="s">
        <v>477</v>
      </c>
      <c r="E617" s="98">
        <v>10</v>
      </c>
      <c r="F617" s="98">
        <v>0</v>
      </c>
      <c r="G617" s="98">
        <v>0</v>
      </c>
      <c r="H617" s="98" t="s">
        <v>479</v>
      </c>
      <c r="I617" s="98" t="s">
        <v>479</v>
      </c>
      <c r="J617" s="98">
        <v>0</v>
      </c>
    </row>
    <row r="618" spans="1:10" ht="15.75" customHeight="1">
      <c r="A618" s="98" t="s">
        <v>6</v>
      </c>
      <c r="B618" s="177" t="s">
        <v>3641</v>
      </c>
      <c r="C618" s="98" t="s">
        <v>2185</v>
      </c>
      <c r="D618" s="98" t="s">
        <v>477</v>
      </c>
      <c r="E618" s="98">
        <v>50</v>
      </c>
      <c r="F618" s="98">
        <v>0</v>
      </c>
      <c r="G618" s="98">
        <v>0</v>
      </c>
      <c r="H618" s="98" t="s">
        <v>479</v>
      </c>
      <c r="I618" s="98" t="s">
        <v>479</v>
      </c>
      <c r="J618" s="98">
        <v>0</v>
      </c>
    </row>
    <row r="619" spans="1:10" ht="15.75" customHeight="1">
      <c r="A619" s="98" t="s">
        <v>6</v>
      </c>
      <c r="B619" s="177" t="s">
        <v>3641</v>
      </c>
      <c r="C619" s="98" t="s">
        <v>3775</v>
      </c>
      <c r="D619" s="98" t="s">
        <v>477</v>
      </c>
      <c r="E619" s="98">
        <v>150</v>
      </c>
      <c r="F619" s="98">
        <v>0</v>
      </c>
      <c r="G619" s="98">
        <v>0</v>
      </c>
      <c r="H619" s="98" t="s">
        <v>479</v>
      </c>
      <c r="I619" s="98" t="s">
        <v>479</v>
      </c>
      <c r="J619" s="98">
        <v>0</v>
      </c>
    </row>
    <row r="620" spans="1:10" ht="15.75" customHeight="1">
      <c r="A620" s="98" t="s">
        <v>6</v>
      </c>
      <c r="B620" s="177" t="s">
        <v>3641</v>
      </c>
      <c r="C620" s="98" t="s">
        <v>3776</v>
      </c>
      <c r="D620" s="98" t="s">
        <v>477</v>
      </c>
      <c r="E620" s="98">
        <v>150</v>
      </c>
      <c r="F620" s="98">
        <v>0</v>
      </c>
      <c r="G620" s="98">
        <v>0</v>
      </c>
      <c r="H620" s="98" t="s">
        <v>479</v>
      </c>
      <c r="I620" s="98" t="s">
        <v>479</v>
      </c>
      <c r="J620" s="98">
        <v>0</v>
      </c>
    </row>
    <row r="621" spans="1:10" ht="15.75" customHeight="1">
      <c r="A621" s="98" t="s">
        <v>6</v>
      </c>
      <c r="B621" s="177" t="s">
        <v>3641</v>
      </c>
      <c r="C621" s="98" t="s">
        <v>2202</v>
      </c>
      <c r="D621" s="98" t="s">
        <v>477</v>
      </c>
      <c r="E621" s="98">
        <v>27</v>
      </c>
      <c r="F621" s="98">
        <v>0</v>
      </c>
      <c r="G621" s="98">
        <v>0</v>
      </c>
      <c r="H621" s="98" t="s">
        <v>479</v>
      </c>
      <c r="I621" s="98" t="s">
        <v>479</v>
      </c>
      <c r="J621" s="98">
        <v>0</v>
      </c>
    </row>
    <row r="622" spans="1:10" ht="15.75" customHeight="1">
      <c r="A622" s="98" t="s">
        <v>6</v>
      </c>
      <c r="B622" s="177" t="s">
        <v>3641</v>
      </c>
      <c r="C622" s="98" t="s">
        <v>2204</v>
      </c>
      <c r="D622" s="98" t="s">
        <v>477</v>
      </c>
      <c r="E622" s="98">
        <v>27</v>
      </c>
      <c r="F622" s="98">
        <v>0</v>
      </c>
      <c r="G622" s="98">
        <v>0</v>
      </c>
      <c r="H622" s="98" t="s">
        <v>479</v>
      </c>
      <c r="I622" s="98" t="s">
        <v>479</v>
      </c>
      <c r="J622" s="98">
        <v>0</v>
      </c>
    </row>
    <row r="623" spans="1:10" ht="15.75" customHeight="1">
      <c r="A623" s="98" t="s">
        <v>6</v>
      </c>
      <c r="B623" s="177" t="s">
        <v>3641</v>
      </c>
      <c r="C623" s="98" t="s">
        <v>2206</v>
      </c>
      <c r="D623" s="98" t="s">
        <v>477</v>
      </c>
      <c r="E623" s="98">
        <v>30</v>
      </c>
      <c r="F623" s="98">
        <v>0</v>
      </c>
      <c r="G623" s="98">
        <v>0</v>
      </c>
      <c r="H623" s="98" t="s">
        <v>479</v>
      </c>
      <c r="I623" s="98" t="s">
        <v>479</v>
      </c>
      <c r="J623" s="98">
        <v>0</v>
      </c>
    </row>
    <row r="624" spans="1:10" ht="15.75" customHeight="1">
      <c r="A624" s="98" t="s">
        <v>6</v>
      </c>
      <c r="B624" s="177" t="s">
        <v>3641</v>
      </c>
      <c r="C624" s="98" t="s">
        <v>2208</v>
      </c>
      <c r="D624" s="98" t="s">
        <v>477</v>
      </c>
      <c r="E624" s="98">
        <v>5</v>
      </c>
      <c r="F624" s="98">
        <v>0</v>
      </c>
      <c r="G624" s="98">
        <v>0</v>
      </c>
      <c r="H624" s="98" t="s">
        <v>479</v>
      </c>
      <c r="I624" s="98" t="s">
        <v>479</v>
      </c>
      <c r="J624" s="98">
        <v>0</v>
      </c>
    </row>
    <row r="625" spans="1:10" ht="15.75" customHeight="1">
      <c r="A625" s="98" t="s">
        <v>6</v>
      </c>
      <c r="B625" s="177" t="s">
        <v>3641</v>
      </c>
      <c r="C625" s="98" t="s">
        <v>2224</v>
      </c>
      <c r="D625" s="98" t="s">
        <v>477</v>
      </c>
      <c r="E625" s="98">
        <v>500</v>
      </c>
      <c r="F625" s="98">
        <v>0</v>
      </c>
      <c r="G625" s="98">
        <v>0</v>
      </c>
      <c r="H625" s="98" t="s">
        <v>479</v>
      </c>
      <c r="I625" s="98" t="s">
        <v>479</v>
      </c>
      <c r="J625" s="98">
        <v>0</v>
      </c>
    </row>
    <row r="626" spans="1:10" ht="15.75" customHeight="1">
      <c r="A626" s="98" t="s">
        <v>6</v>
      </c>
      <c r="B626" s="177" t="s">
        <v>3641</v>
      </c>
      <c r="C626" s="98" t="s">
        <v>3777</v>
      </c>
      <c r="D626" s="98" t="s">
        <v>477</v>
      </c>
      <c r="E626" s="98">
        <v>20</v>
      </c>
      <c r="F626" s="98">
        <v>0</v>
      </c>
      <c r="G626" s="98">
        <v>0</v>
      </c>
      <c r="H626" s="98" t="s">
        <v>479</v>
      </c>
      <c r="I626" s="98" t="s">
        <v>479</v>
      </c>
      <c r="J626" s="98">
        <v>0</v>
      </c>
    </row>
    <row r="627" spans="1:10" ht="15.75" customHeight="1">
      <c r="A627" s="98" t="s">
        <v>6</v>
      </c>
      <c r="B627" s="177" t="s">
        <v>3641</v>
      </c>
      <c r="C627" s="98" t="s">
        <v>3778</v>
      </c>
      <c r="D627" s="98" t="s">
        <v>477</v>
      </c>
      <c r="E627" s="98">
        <v>6</v>
      </c>
      <c r="F627" s="98">
        <v>0</v>
      </c>
      <c r="G627" s="98">
        <v>0</v>
      </c>
      <c r="H627" s="98" t="s">
        <v>479</v>
      </c>
      <c r="I627" s="98" t="s">
        <v>479</v>
      </c>
      <c r="J627" s="98">
        <v>0</v>
      </c>
    </row>
    <row r="628" spans="1:10" ht="15.75" customHeight="1">
      <c r="A628" s="98" t="s">
        <v>6</v>
      </c>
      <c r="B628" s="177" t="s">
        <v>3641</v>
      </c>
      <c r="C628" s="98" t="s">
        <v>3779</v>
      </c>
      <c r="D628" s="98" t="s">
        <v>477</v>
      </c>
      <c r="E628" s="98">
        <v>3</v>
      </c>
      <c r="F628" s="98">
        <v>0</v>
      </c>
      <c r="G628" s="98">
        <v>0</v>
      </c>
      <c r="H628" s="98" t="s">
        <v>479</v>
      </c>
      <c r="I628" s="98" t="s">
        <v>479</v>
      </c>
      <c r="J628" s="98">
        <v>0</v>
      </c>
    </row>
    <row r="629" spans="1:10" ht="15.75" customHeight="1">
      <c r="A629" s="98" t="s">
        <v>6</v>
      </c>
      <c r="B629" s="177" t="s">
        <v>3641</v>
      </c>
      <c r="C629" s="98" t="s">
        <v>3780</v>
      </c>
      <c r="D629" s="98" t="s">
        <v>477</v>
      </c>
      <c r="E629" s="98">
        <v>5</v>
      </c>
      <c r="F629" s="98">
        <v>0</v>
      </c>
      <c r="G629" s="98">
        <v>0</v>
      </c>
      <c r="H629" s="98" t="s">
        <v>479</v>
      </c>
      <c r="I629" s="98" t="s">
        <v>479</v>
      </c>
      <c r="J629" s="98">
        <v>0</v>
      </c>
    </row>
    <row r="630" spans="1:10" ht="15.75" customHeight="1">
      <c r="A630" s="98" t="s">
        <v>6</v>
      </c>
      <c r="B630" s="177" t="s">
        <v>3641</v>
      </c>
      <c r="C630" s="98" t="s">
        <v>2969</v>
      </c>
      <c r="D630" s="98" t="s">
        <v>477</v>
      </c>
      <c r="E630" s="98">
        <v>10</v>
      </c>
      <c r="F630" s="98">
        <v>0</v>
      </c>
      <c r="G630" s="98">
        <v>0</v>
      </c>
      <c r="H630" s="98" t="s">
        <v>479</v>
      </c>
      <c r="I630" s="98" t="s">
        <v>479</v>
      </c>
      <c r="J630" s="98">
        <v>0</v>
      </c>
    </row>
    <row r="631" spans="1:10" ht="15.75" customHeight="1">
      <c r="A631" s="98" t="s">
        <v>6</v>
      </c>
      <c r="B631" s="177" t="s">
        <v>3641</v>
      </c>
      <c r="C631" s="98" t="s">
        <v>2971</v>
      </c>
      <c r="D631" s="98" t="s">
        <v>477</v>
      </c>
      <c r="E631" s="98">
        <v>30</v>
      </c>
      <c r="F631" s="98">
        <v>0</v>
      </c>
      <c r="G631" s="98">
        <v>0</v>
      </c>
      <c r="H631" s="98" t="s">
        <v>479</v>
      </c>
      <c r="I631" s="98" t="s">
        <v>479</v>
      </c>
      <c r="J631" s="98">
        <v>0</v>
      </c>
    </row>
    <row r="632" spans="1:10" ht="15.75" customHeight="1">
      <c r="A632" s="98" t="s">
        <v>6</v>
      </c>
      <c r="B632" s="177" t="s">
        <v>3641</v>
      </c>
      <c r="C632" s="98" t="s">
        <v>3781</v>
      </c>
      <c r="D632" s="98" t="s">
        <v>481</v>
      </c>
      <c r="E632" s="98">
        <v>5</v>
      </c>
      <c r="F632" s="98">
        <v>9</v>
      </c>
      <c r="G632" s="98">
        <v>2</v>
      </c>
      <c r="H632" s="98" t="s">
        <v>479</v>
      </c>
      <c r="I632" s="98" t="s">
        <v>479</v>
      </c>
      <c r="J632" s="98">
        <v>0</v>
      </c>
    </row>
    <row r="633" spans="1:10" ht="15.75" customHeight="1">
      <c r="A633" s="98" t="s">
        <v>6</v>
      </c>
      <c r="B633" s="177" t="s">
        <v>3641</v>
      </c>
      <c r="C633" s="98" t="s">
        <v>1923</v>
      </c>
      <c r="D633" s="98" t="s">
        <v>481</v>
      </c>
      <c r="E633" s="98">
        <v>5</v>
      </c>
      <c r="F633" s="98">
        <v>9</v>
      </c>
      <c r="G633" s="98">
        <v>2</v>
      </c>
      <c r="H633" s="98" t="s">
        <v>479</v>
      </c>
      <c r="I633" s="98" t="s">
        <v>479</v>
      </c>
      <c r="J633" s="98">
        <v>0</v>
      </c>
    </row>
    <row r="634" spans="1:10" ht="15.75" customHeight="1">
      <c r="A634" s="98" t="s">
        <v>6</v>
      </c>
      <c r="B634" s="177" t="s">
        <v>3641</v>
      </c>
      <c r="C634" s="98" t="s">
        <v>3782</v>
      </c>
      <c r="D634" s="98" t="s">
        <v>481</v>
      </c>
      <c r="E634" s="98">
        <v>5</v>
      </c>
      <c r="F634" s="98">
        <v>9</v>
      </c>
      <c r="G634" s="98">
        <v>2</v>
      </c>
      <c r="H634" s="98" t="s">
        <v>479</v>
      </c>
      <c r="I634" s="98" t="s">
        <v>479</v>
      </c>
      <c r="J634" s="98">
        <v>0</v>
      </c>
    </row>
    <row r="635" spans="1:10" ht="15.75" customHeight="1">
      <c r="A635" s="98" t="s">
        <v>6</v>
      </c>
      <c r="B635" s="177" t="s">
        <v>3641</v>
      </c>
      <c r="C635" s="98" t="s">
        <v>1914</v>
      </c>
      <c r="D635" s="98" t="s">
        <v>481</v>
      </c>
      <c r="E635" s="98">
        <v>5</v>
      </c>
      <c r="F635" s="98">
        <v>9</v>
      </c>
      <c r="G635" s="98">
        <v>2</v>
      </c>
      <c r="H635" s="98" t="s">
        <v>479</v>
      </c>
      <c r="I635" s="98" t="s">
        <v>479</v>
      </c>
      <c r="J635" s="98">
        <v>0</v>
      </c>
    </row>
    <row r="636" spans="1:10" ht="15.75" customHeight="1">
      <c r="A636" s="98" t="s">
        <v>6</v>
      </c>
      <c r="B636" s="177" t="s">
        <v>3641</v>
      </c>
      <c r="C636" s="98" t="s">
        <v>1912</v>
      </c>
      <c r="D636" s="98" t="s">
        <v>481</v>
      </c>
      <c r="E636" s="98">
        <v>5</v>
      </c>
      <c r="F636" s="98">
        <v>9</v>
      </c>
      <c r="G636" s="98">
        <v>2</v>
      </c>
      <c r="H636" s="98" t="s">
        <v>479</v>
      </c>
      <c r="I636" s="98" t="s">
        <v>479</v>
      </c>
      <c r="J636" s="98">
        <v>0</v>
      </c>
    </row>
    <row r="637" spans="1:10" ht="15.75" customHeight="1">
      <c r="A637" s="98" t="s">
        <v>6</v>
      </c>
      <c r="B637" s="177" t="s">
        <v>3641</v>
      </c>
      <c r="C637" s="98" t="s">
        <v>3783</v>
      </c>
      <c r="D637" s="98" t="s">
        <v>481</v>
      </c>
      <c r="E637" s="98">
        <v>5</v>
      </c>
      <c r="F637" s="98">
        <v>9</v>
      </c>
      <c r="G637" s="98">
        <v>2</v>
      </c>
      <c r="H637" s="98" t="s">
        <v>479</v>
      </c>
      <c r="I637" s="98" t="s">
        <v>479</v>
      </c>
      <c r="J637" s="98">
        <v>0</v>
      </c>
    </row>
    <row r="638" spans="1:10" ht="15.75" customHeight="1">
      <c r="A638" s="98" t="s">
        <v>6</v>
      </c>
      <c r="B638" s="177" t="s">
        <v>3641</v>
      </c>
      <c r="C638" s="98" t="s">
        <v>3784</v>
      </c>
      <c r="D638" s="98" t="s">
        <v>481</v>
      </c>
      <c r="E638" s="98">
        <v>5</v>
      </c>
      <c r="F638" s="98">
        <v>9</v>
      </c>
      <c r="G638" s="98">
        <v>2</v>
      </c>
      <c r="H638" s="98" t="s">
        <v>479</v>
      </c>
      <c r="I638" s="98" t="s">
        <v>479</v>
      </c>
      <c r="J638" s="98">
        <v>0</v>
      </c>
    </row>
    <row r="639" spans="1:10" ht="15.75" customHeight="1">
      <c r="A639" s="98" t="s">
        <v>6</v>
      </c>
      <c r="B639" s="177" t="s">
        <v>3641</v>
      </c>
      <c r="C639" s="98" t="s">
        <v>2119</v>
      </c>
      <c r="D639" s="98" t="s">
        <v>481</v>
      </c>
      <c r="E639" s="98">
        <v>5</v>
      </c>
      <c r="F639" s="98">
        <v>9</v>
      </c>
      <c r="G639" s="98">
        <v>2</v>
      </c>
      <c r="H639" s="98" t="s">
        <v>479</v>
      </c>
      <c r="I639" s="98" t="s">
        <v>479</v>
      </c>
      <c r="J639" s="98">
        <v>0</v>
      </c>
    </row>
    <row r="640" spans="1:10" ht="15.75" customHeight="1">
      <c r="A640" s="98" t="s">
        <v>6</v>
      </c>
      <c r="B640" s="177" t="s">
        <v>3641</v>
      </c>
      <c r="C640" s="98" t="s">
        <v>3785</v>
      </c>
      <c r="D640" s="98" t="s">
        <v>481</v>
      </c>
      <c r="E640" s="98">
        <v>5</v>
      </c>
      <c r="F640" s="98">
        <v>9</v>
      </c>
      <c r="G640" s="98">
        <v>2</v>
      </c>
      <c r="H640" s="98" t="s">
        <v>479</v>
      </c>
      <c r="I640" s="98" t="s">
        <v>479</v>
      </c>
      <c r="J640" s="98">
        <v>0</v>
      </c>
    </row>
    <row r="641" spans="1:10" ht="15.75" customHeight="1">
      <c r="A641" s="98" t="s">
        <v>6</v>
      </c>
      <c r="B641" s="177" t="s">
        <v>3641</v>
      </c>
      <c r="C641" s="98" t="s">
        <v>3786</v>
      </c>
      <c r="D641" s="98" t="s">
        <v>481</v>
      </c>
      <c r="E641" s="98">
        <v>5</v>
      </c>
      <c r="F641" s="98">
        <v>5</v>
      </c>
      <c r="G641" s="98">
        <v>2</v>
      </c>
      <c r="H641" s="98" t="s">
        <v>479</v>
      </c>
      <c r="I641" s="98" t="s">
        <v>479</v>
      </c>
      <c r="J641" s="98">
        <v>0</v>
      </c>
    </row>
    <row r="642" spans="1:10" ht="15.75" customHeight="1">
      <c r="A642" s="98" t="s">
        <v>6</v>
      </c>
      <c r="B642" s="177" t="s">
        <v>3641</v>
      </c>
      <c r="C642" s="98" t="s">
        <v>3787</v>
      </c>
      <c r="D642" s="98" t="s">
        <v>481</v>
      </c>
      <c r="E642" s="98">
        <v>5</v>
      </c>
      <c r="F642" s="98">
        <v>9</v>
      </c>
      <c r="G642" s="98">
        <v>2</v>
      </c>
      <c r="H642" s="98" t="s">
        <v>479</v>
      </c>
      <c r="I642" s="98" t="s">
        <v>479</v>
      </c>
      <c r="J642" s="98">
        <v>0</v>
      </c>
    </row>
    <row r="643" spans="1:10" ht="15.75" customHeight="1">
      <c r="A643" s="98" t="s">
        <v>6</v>
      </c>
      <c r="B643" s="177" t="s">
        <v>3641</v>
      </c>
      <c r="C643" s="98" t="s">
        <v>3788</v>
      </c>
      <c r="D643" s="98" t="s">
        <v>481</v>
      </c>
      <c r="E643" s="98">
        <v>5</v>
      </c>
      <c r="F643" s="98">
        <v>9</v>
      </c>
      <c r="G643" s="98">
        <v>2</v>
      </c>
      <c r="H643" s="98" t="s">
        <v>479</v>
      </c>
      <c r="I643" s="98" t="s">
        <v>479</v>
      </c>
      <c r="J643" s="98">
        <v>0</v>
      </c>
    </row>
    <row r="644" spans="1:10" ht="15.75" customHeight="1">
      <c r="A644" s="98" t="s">
        <v>6</v>
      </c>
      <c r="B644" s="177" t="s">
        <v>3641</v>
      </c>
      <c r="C644" s="98" t="s">
        <v>3789</v>
      </c>
      <c r="D644" s="98" t="s">
        <v>481</v>
      </c>
      <c r="E644" s="98">
        <v>5</v>
      </c>
      <c r="F644" s="98">
        <v>9</v>
      </c>
      <c r="G644" s="98">
        <v>2</v>
      </c>
      <c r="H644" s="98" t="s">
        <v>479</v>
      </c>
      <c r="I644" s="98" t="s">
        <v>479</v>
      </c>
      <c r="J644" s="98">
        <v>0</v>
      </c>
    </row>
    <row r="645" spans="1:10" ht="15.75" customHeight="1">
      <c r="A645" s="98" t="s">
        <v>6</v>
      </c>
      <c r="B645" s="177" t="s">
        <v>3641</v>
      </c>
      <c r="C645" s="98" t="s">
        <v>3790</v>
      </c>
      <c r="D645" s="98" t="s">
        <v>481</v>
      </c>
      <c r="E645" s="98">
        <v>5</v>
      </c>
      <c r="F645" s="98">
        <v>9</v>
      </c>
      <c r="G645" s="98">
        <v>2</v>
      </c>
      <c r="H645" s="98" t="s">
        <v>479</v>
      </c>
      <c r="I645" s="98" t="s">
        <v>479</v>
      </c>
      <c r="J645" s="98">
        <v>0</v>
      </c>
    </row>
    <row r="646" spans="1:10" ht="15.75" customHeight="1">
      <c r="A646" s="98" t="s">
        <v>6</v>
      </c>
      <c r="B646" s="177" t="s">
        <v>3641</v>
      </c>
      <c r="C646" s="98" t="s">
        <v>3791</v>
      </c>
      <c r="D646" s="98" t="s">
        <v>481</v>
      </c>
      <c r="E646" s="98">
        <v>5</v>
      </c>
      <c r="F646" s="98">
        <v>9</v>
      </c>
      <c r="G646" s="98">
        <v>2</v>
      </c>
      <c r="H646" s="98" t="s">
        <v>479</v>
      </c>
      <c r="I646" s="98" t="s">
        <v>479</v>
      </c>
      <c r="J646" s="98">
        <v>0</v>
      </c>
    </row>
    <row r="647" spans="1:10" ht="15.75" customHeight="1">
      <c r="A647" s="98" t="s">
        <v>6</v>
      </c>
      <c r="B647" s="177" t="s">
        <v>3641</v>
      </c>
      <c r="C647" s="98" t="s">
        <v>3013</v>
      </c>
      <c r="D647" s="98" t="s">
        <v>477</v>
      </c>
      <c r="E647" s="98">
        <v>13</v>
      </c>
      <c r="F647" s="98">
        <v>0</v>
      </c>
      <c r="G647" s="98">
        <v>0</v>
      </c>
      <c r="H647" s="98" t="s">
        <v>479</v>
      </c>
      <c r="I647" s="98" t="s">
        <v>479</v>
      </c>
      <c r="J647" s="98">
        <v>0</v>
      </c>
    </row>
    <row r="648" spans="1:10" ht="15.75" customHeight="1">
      <c r="A648" s="98" t="s">
        <v>6</v>
      </c>
      <c r="B648" s="177" t="s">
        <v>3641</v>
      </c>
      <c r="C648" s="98" t="s">
        <v>3021</v>
      </c>
      <c r="D648" s="98" t="s">
        <v>477</v>
      </c>
      <c r="E648" s="98">
        <v>11</v>
      </c>
      <c r="F648" s="98">
        <v>0</v>
      </c>
      <c r="G648" s="98">
        <v>0</v>
      </c>
      <c r="H648" s="98" t="s">
        <v>479</v>
      </c>
      <c r="I648" s="98" t="s">
        <v>479</v>
      </c>
      <c r="J648" s="98">
        <v>0</v>
      </c>
    </row>
    <row r="649" spans="1:10" ht="15.75" customHeight="1">
      <c r="A649" s="98" t="s">
        <v>6</v>
      </c>
      <c r="B649" s="177" t="s">
        <v>3641</v>
      </c>
      <c r="C649" s="98" t="s">
        <v>3792</v>
      </c>
      <c r="D649" s="98" t="s">
        <v>481</v>
      </c>
      <c r="E649" s="98">
        <v>5</v>
      </c>
      <c r="F649" s="98">
        <v>9</v>
      </c>
      <c r="G649" s="98">
        <v>2</v>
      </c>
      <c r="H649" s="98" t="s">
        <v>479</v>
      </c>
      <c r="I649" s="98" t="s">
        <v>479</v>
      </c>
      <c r="J649" s="98">
        <v>0</v>
      </c>
    </row>
    <row r="650" spans="1:10" ht="15.75" customHeight="1">
      <c r="A650" s="98" t="s">
        <v>6</v>
      </c>
      <c r="B650" s="177" t="s">
        <v>3641</v>
      </c>
      <c r="C650" s="98" t="s">
        <v>3022</v>
      </c>
      <c r="D650" s="98" t="s">
        <v>481</v>
      </c>
      <c r="E650" s="98">
        <v>5</v>
      </c>
      <c r="F650" s="98">
        <v>9</v>
      </c>
      <c r="G650" s="98">
        <v>2</v>
      </c>
      <c r="H650" s="98" t="s">
        <v>479</v>
      </c>
      <c r="I650" s="98" t="s">
        <v>479</v>
      </c>
      <c r="J650" s="98">
        <v>0</v>
      </c>
    </row>
    <row r="651" spans="1:10" ht="15.75" customHeight="1">
      <c r="A651" s="98" t="s">
        <v>6</v>
      </c>
      <c r="B651" s="177" t="s">
        <v>3641</v>
      </c>
      <c r="C651" s="98" t="s">
        <v>3793</v>
      </c>
      <c r="D651" s="98" t="s">
        <v>481</v>
      </c>
      <c r="E651" s="98">
        <v>5</v>
      </c>
      <c r="F651" s="98">
        <v>9</v>
      </c>
      <c r="G651" s="98">
        <v>2</v>
      </c>
      <c r="H651" s="98" t="s">
        <v>479</v>
      </c>
      <c r="I651" s="98" t="s">
        <v>479</v>
      </c>
      <c r="J651" s="98">
        <v>0</v>
      </c>
    </row>
    <row r="652" spans="1:10" ht="15.75" customHeight="1">
      <c r="A652" s="98" t="s">
        <v>6</v>
      </c>
      <c r="B652" s="177" t="s">
        <v>3641</v>
      </c>
      <c r="C652" s="98" t="s">
        <v>3794</v>
      </c>
      <c r="D652" s="98" t="s">
        <v>481</v>
      </c>
      <c r="E652" s="98">
        <v>5</v>
      </c>
      <c r="F652" s="98">
        <v>9</v>
      </c>
      <c r="G652" s="98">
        <v>2</v>
      </c>
      <c r="H652" s="98" t="s">
        <v>479</v>
      </c>
      <c r="I652" s="98" t="s">
        <v>479</v>
      </c>
      <c r="J652" s="98">
        <v>0</v>
      </c>
    </row>
    <row r="653" spans="1:10" ht="15.75" customHeight="1">
      <c r="A653" s="98" t="s">
        <v>6</v>
      </c>
      <c r="B653" s="177" t="s">
        <v>3641</v>
      </c>
      <c r="C653" s="98" t="s">
        <v>3795</v>
      </c>
      <c r="D653" s="98" t="s">
        <v>481</v>
      </c>
      <c r="E653" s="98">
        <v>5</v>
      </c>
      <c r="F653" s="98">
        <v>9</v>
      </c>
      <c r="G653" s="98">
        <v>2</v>
      </c>
      <c r="H653" s="98" t="s">
        <v>479</v>
      </c>
      <c r="I653" s="98" t="s">
        <v>479</v>
      </c>
      <c r="J653" s="98">
        <v>0</v>
      </c>
    </row>
    <row r="654" spans="1:10" ht="15.75" customHeight="1">
      <c r="A654" s="98" t="s">
        <v>6</v>
      </c>
      <c r="B654" s="177" t="s">
        <v>3641</v>
      </c>
      <c r="C654" s="98" t="s">
        <v>3796</v>
      </c>
      <c r="D654" s="98" t="s">
        <v>481</v>
      </c>
      <c r="E654" s="98">
        <v>5</v>
      </c>
      <c r="F654" s="98">
        <v>9</v>
      </c>
      <c r="G654" s="98">
        <v>2</v>
      </c>
      <c r="H654" s="98" t="s">
        <v>479</v>
      </c>
      <c r="I654" s="98" t="s">
        <v>479</v>
      </c>
      <c r="J654" s="98">
        <v>0</v>
      </c>
    </row>
    <row r="655" spans="1:10" ht="15.75" customHeight="1">
      <c r="A655" s="98" t="s">
        <v>6</v>
      </c>
      <c r="B655" s="177" t="s">
        <v>3641</v>
      </c>
      <c r="C655" s="98" t="s">
        <v>3797</v>
      </c>
      <c r="D655" s="98" t="s">
        <v>481</v>
      </c>
      <c r="E655" s="98">
        <v>5</v>
      </c>
      <c r="F655" s="98">
        <v>9</v>
      </c>
      <c r="G655" s="98">
        <v>2</v>
      </c>
      <c r="H655" s="98" t="s">
        <v>479</v>
      </c>
      <c r="I655" s="98" t="s">
        <v>479</v>
      </c>
      <c r="J655" s="98">
        <v>0</v>
      </c>
    </row>
    <row r="656" spans="1:10" ht="15.75" customHeight="1">
      <c r="A656" s="98" t="s">
        <v>6</v>
      </c>
      <c r="B656" s="177" t="s">
        <v>3641</v>
      </c>
      <c r="C656" s="98" t="s">
        <v>3026</v>
      </c>
      <c r="D656" s="98" t="s">
        <v>481</v>
      </c>
      <c r="E656" s="98">
        <v>5</v>
      </c>
      <c r="F656" s="98">
        <v>9</v>
      </c>
      <c r="G656" s="98">
        <v>2</v>
      </c>
      <c r="H656" s="98" t="s">
        <v>479</v>
      </c>
      <c r="I656" s="98" t="s">
        <v>479</v>
      </c>
      <c r="J656" s="98">
        <v>0</v>
      </c>
    </row>
    <row r="657" spans="1:10" ht="15.75" customHeight="1">
      <c r="A657" s="98" t="s">
        <v>6</v>
      </c>
      <c r="B657" s="177" t="s">
        <v>3641</v>
      </c>
      <c r="C657" s="98" t="s">
        <v>3798</v>
      </c>
      <c r="D657" s="98" t="s">
        <v>477</v>
      </c>
      <c r="E657" s="98">
        <v>100</v>
      </c>
      <c r="F657" s="98">
        <v>0</v>
      </c>
      <c r="G657" s="98">
        <v>0</v>
      </c>
      <c r="H657" s="98" t="s">
        <v>479</v>
      </c>
      <c r="I657" s="98" t="s">
        <v>479</v>
      </c>
      <c r="J657" s="98">
        <v>0</v>
      </c>
    </row>
    <row r="658" spans="1:10" ht="15.75" customHeight="1">
      <c r="A658" s="98" t="s">
        <v>6</v>
      </c>
      <c r="B658" s="177" t="s">
        <v>3641</v>
      </c>
      <c r="C658" s="98" t="s">
        <v>3799</v>
      </c>
      <c r="D658" s="98" t="s">
        <v>477</v>
      </c>
      <c r="E658" s="98">
        <v>20</v>
      </c>
      <c r="F658" s="98">
        <v>0</v>
      </c>
      <c r="G658" s="98">
        <v>0</v>
      </c>
      <c r="H658" s="98" t="s">
        <v>479</v>
      </c>
      <c r="I658" s="98" t="s">
        <v>479</v>
      </c>
      <c r="J658" s="98">
        <v>0</v>
      </c>
    </row>
    <row r="659" spans="1:10" ht="15.75" customHeight="1">
      <c r="A659" s="98" t="s">
        <v>6</v>
      </c>
      <c r="B659" s="177" t="s">
        <v>3641</v>
      </c>
      <c r="C659" s="98" t="s">
        <v>3800</v>
      </c>
      <c r="D659" s="98" t="s">
        <v>477</v>
      </c>
      <c r="E659" s="98">
        <v>100</v>
      </c>
      <c r="F659" s="98">
        <v>0</v>
      </c>
      <c r="G659" s="98">
        <v>0</v>
      </c>
      <c r="H659" s="98" t="s">
        <v>479</v>
      </c>
      <c r="I659" s="98" t="s">
        <v>479</v>
      </c>
      <c r="J659" s="98">
        <v>0</v>
      </c>
    </row>
    <row r="660" spans="1:10" ht="15.75" customHeight="1">
      <c r="A660" s="98" t="s">
        <v>6</v>
      </c>
      <c r="B660" s="177" t="s">
        <v>3641</v>
      </c>
      <c r="C660" s="98" t="s">
        <v>3801</v>
      </c>
      <c r="D660" s="98" t="s">
        <v>477</v>
      </c>
      <c r="E660" s="98">
        <v>100</v>
      </c>
      <c r="F660" s="98">
        <v>0</v>
      </c>
      <c r="G660" s="98">
        <v>0</v>
      </c>
      <c r="H660" s="98" t="s">
        <v>479</v>
      </c>
      <c r="I660" s="98" t="s">
        <v>479</v>
      </c>
      <c r="J660" s="98">
        <v>0</v>
      </c>
    </row>
    <row r="661" spans="1:10" ht="15.75" customHeight="1">
      <c r="A661" s="98" t="s">
        <v>6</v>
      </c>
      <c r="B661" s="177" t="s">
        <v>3641</v>
      </c>
      <c r="C661" s="98" t="s">
        <v>3802</v>
      </c>
      <c r="D661" s="98" t="s">
        <v>477</v>
      </c>
      <c r="E661" s="98">
        <v>100</v>
      </c>
      <c r="F661" s="98">
        <v>0</v>
      </c>
      <c r="G661" s="98">
        <v>0</v>
      </c>
      <c r="H661" s="98" t="s">
        <v>479</v>
      </c>
      <c r="I661" s="98" t="s">
        <v>479</v>
      </c>
      <c r="J661" s="98">
        <v>0</v>
      </c>
    </row>
    <row r="662" spans="1:10" ht="15.75" customHeight="1">
      <c r="A662" s="98" t="s">
        <v>6</v>
      </c>
      <c r="B662" s="177" t="s">
        <v>3641</v>
      </c>
      <c r="C662" s="98" t="s">
        <v>3803</v>
      </c>
      <c r="D662" s="98" t="s">
        <v>477</v>
      </c>
      <c r="E662" s="98">
        <v>200</v>
      </c>
      <c r="F662" s="98">
        <v>0</v>
      </c>
      <c r="G662" s="98">
        <v>0</v>
      </c>
      <c r="H662" s="98" t="s">
        <v>479</v>
      </c>
      <c r="I662" s="98" t="s">
        <v>479</v>
      </c>
      <c r="J662" s="98">
        <v>0</v>
      </c>
    </row>
    <row r="663" spans="1:10" ht="15.75" customHeight="1">
      <c r="A663" s="98" t="s">
        <v>6</v>
      </c>
      <c r="B663" s="177" t="s">
        <v>3641</v>
      </c>
      <c r="C663" s="98" t="s">
        <v>3804</v>
      </c>
      <c r="D663" s="98" t="s">
        <v>477</v>
      </c>
      <c r="E663" s="98">
        <v>200</v>
      </c>
      <c r="F663" s="98">
        <v>0</v>
      </c>
      <c r="G663" s="98">
        <v>0</v>
      </c>
      <c r="H663" s="98" t="s">
        <v>479</v>
      </c>
      <c r="I663" s="98" t="s">
        <v>479</v>
      </c>
      <c r="J663" s="98">
        <v>0</v>
      </c>
    </row>
    <row r="664" spans="1:10" ht="15.75" customHeight="1">
      <c r="A664" s="98" t="s">
        <v>6</v>
      </c>
      <c r="B664" s="177" t="s">
        <v>3641</v>
      </c>
      <c r="C664" s="98" t="s">
        <v>3805</v>
      </c>
      <c r="D664" s="98" t="s">
        <v>477</v>
      </c>
      <c r="E664" s="98">
        <v>20</v>
      </c>
      <c r="F664" s="98">
        <v>0</v>
      </c>
      <c r="G664" s="98">
        <v>0</v>
      </c>
      <c r="H664" s="98" t="s">
        <v>479</v>
      </c>
      <c r="I664" s="98" t="s">
        <v>479</v>
      </c>
      <c r="J664" s="98">
        <v>0</v>
      </c>
    </row>
    <row r="665" spans="1:10" ht="15.75" customHeight="1">
      <c r="A665" s="98" t="s">
        <v>6</v>
      </c>
      <c r="B665" s="177" t="s">
        <v>3641</v>
      </c>
      <c r="C665" s="98" t="s">
        <v>3043</v>
      </c>
      <c r="D665" s="98" t="s">
        <v>477</v>
      </c>
      <c r="E665" s="98">
        <v>100</v>
      </c>
      <c r="F665" s="98">
        <v>0</v>
      </c>
      <c r="G665" s="98">
        <v>0</v>
      </c>
      <c r="H665" s="98" t="s">
        <v>479</v>
      </c>
      <c r="I665" s="98" t="s">
        <v>479</v>
      </c>
      <c r="J665" s="98">
        <v>0</v>
      </c>
    </row>
    <row r="666" spans="1:10" ht="15.75" customHeight="1">
      <c r="A666" s="98" t="s">
        <v>6</v>
      </c>
      <c r="B666" s="177" t="s">
        <v>3641</v>
      </c>
      <c r="C666" s="98" t="s">
        <v>1467</v>
      </c>
      <c r="D666" s="98" t="s">
        <v>477</v>
      </c>
      <c r="E666" s="98">
        <v>20</v>
      </c>
      <c r="F666" s="98">
        <v>0</v>
      </c>
      <c r="G666" s="98">
        <v>0</v>
      </c>
      <c r="H666" s="98" t="s">
        <v>479</v>
      </c>
      <c r="I666" s="98" t="s">
        <v>479</v>
      </c>
      <c r="J666" s="98">
        <v>0</v>
      </c>
    </row>
    <row r="667" spans="1:10" ht="15.75" customHeight="1">
      <c r="A667" s="98" t="s">
        <v>6</v>
      </c>
      <c r="B667" s="177" t="s">
        <v>3641</v>
      </c>
      <c r="C667" s="98" t="s">
        <v>3038</v>
      </c>
      <c r="D667" s="98" t="s">
        <v>481</v>
      </c>
      <c r="E667" s="98">
        <v>5</v>
      </c>
      <c r="F667" s="98">
        <v>9</v>
      </c>
      <c r="G667" s="98">
        <v>2</v>
      </c>
      <c r="H667" s="98" t="s">
        <v>479</v>
      </c>
      <c r="I667" s="98" t="s">
        <v>479</v>
      </c>
      <c r="J667" s="98">
        <v>0</v>
      </c>
    </row>
    <row r="668" spans="1:10" ht="15.75" customHeight="1">
      <c r="A668" s="98" t="s">
        <v>6</v>
      </c>
      <c r="B668" s="177" t="s">
        <v>3641</v>
      </c>
      <c r="C668" s="98" t="s">
        <v>3034</v>
      </c>
      <c r="D668" s="98" t="s">
        <v>481</v>
      </c>
      <c r="E668" s="98">
        <v>5</v>
      </c>
      <c r="F668" s="98">
        <v>9</v>
      </c>
      <c r="G668" s="98">
        <v>2</v>
      </c>
      <c r="H668" s="98" t="s">
        <v>479</v>
      </c>
      <c r="I668" s="98" t="s">
        <v>479</v>
      </c>
      <c r="J668" s="98">
        <v>0</v>
      </c>
    </row>
    <row r="669" spans="1:10" ht="15.75" customHeight="1">
      <c r="A669" s="98" t="s">
        <v>6</v>
      </c>
      <c r="B669" s="177" t="s">
        <v>3641</v>
      </c>
      <c r="C669" s="98" t="s">
        <v>3036</v>
      </c>
      <c r="D669" s="98" t="s">
        <v>484</v>
      </c>
      <c r="E669" s="98">
        <v>4</v>
      </c>
      <c r="F669" s="98">
        <v>10</v>
      </c>
      <c r="G669" s="98">
        <v>0</v>
      </c>
      <c r="H669" s="98" t="s">
        <v>479</v>
      </c>
      <c r="I669" s="98" t="s">
        <v>479</v>
      </c>
      <c r="J669" s="98">
        <v>0</v>
      </c>
    </row>
    <row r="670" spans="1:10" ht="15.75" customHeight="1">
      <c r="A670" s="98" t="s">
        <v>6</v>
      </c>
      <c r="B670" s="177" t="s">
        <v>3641</v>
      </c>
      <c r="C670" s="98" t="s">
        <v>3039</v>
      </c>
      <c r="D670" s="98" t="s">
        <v>484</v>
      </c>
      <c r="E670" s="98">
        <v>4</v>
      </c>
      <c r="F670" s="98">
        <v>10</v>
      </c>
      <c r="G670" s="98">
        <v>0</v>
      </c>
      <c r="H670" s="98" t="s">
        <v>479</v>
      </c>
      <c r="I670" s="98" t="s">
        <v>479</v>
      </c>
      <c r="J670" s="98">
        <v>0</v>
      </c>
    </row>
    <row r="671" spans="1:10" ht="15.75" customHeight="1">
      <c r="A671" s="98" t="s">
        <v>6</v>
      </c>
      <c r="B671" s="177" t="s">
        <v>3641</v>
      </c>
      <c r="C671" s="98" t="s">
        <v>3806</v>
      </c>
      <c r="D671" s="98" t="s">
        <v>484</v>
      </c>
      <c r="E671" s="98">
        <v>4</v>
      </c>
      <c r="F671" s="98">
        <v>10</v>
      </c>
      <c r="G671" s="98">
        <v>0</v>
      </c>
      <c r="H671" s="98" t="s">
        <v>479</v>
      </c>
      <c r="I671" s="98" t="s">
        <v>479</v>
      </c>
      <c r="J671" s="98">
        <v>0</v>
      </c>
    </row>
    <row r="672" spans="1:10" ht="15.75" customHeight="1">
      <c r="A672" s="98" t="s">
        <v>6</v>
      </c>
      <c r="B672" s="177" t="s">
        <v>3641</v>
      </c>
      <c r="C672" s="98" t="s">
        <v>3807</v>
      </c>
      <c r="D672" s="98" t="s">
        <v>477</v>
      </c>
      <c r="E672" s="98">
        <v>20</v>
      </c>
      <c r="F672" s="98">
        <v>0</v>
      </c>
      <c r="G672" s="98">
        <v>0</v>
      </c>
      <c r="H672" s="98" t="s">
        <v>479</v>
      </c>
      <c r="I672" s="98" t="s">
        <v>479</v>
      </c>
      <c r="J672" s="98">
        <v>0</v>
      </c>
    </row>
    <row r="673" spans="1:10" ht="15.75" customHeight="1">
      <c r="A673" s="98" t="s">
        <v>6</v>
      </c>
      <c r="B673" s="177" t="s">
        <v>3641</v>
      </c>
      <c r="C673" s="98" t="s">
        <v>3808</v>
      </c>
      <c r="D673" s="98" t="s">
        <v>477</v>
      </c>
      <c r="E673" s="98">
        <v>20</v>
      </c>
      <c r="F673" s="98">
        <v>0</v>
      </c>
      <c r="G673" s="98">
        <v>0</v>
      </c>
      <c r="H673" s="98" t="s">
        <v>479</v>
      </c>
      <c r="I673" s="98" t="s">
        <v>479</v>
      </c>
      <c r="J673" s="98">
        <v>0</v>
      </c>
    </row>
    <row r="674" spans="1:10" ht="15.75" customHeight="1">
      <c r="A674" s="98" t="s">
        <v>6</v>
      </c>
      <c r="B674" s="177" t="s">
        <v>3641</v>
      </c>
      <c r="C674" s="98" t="s">
        <v>3809</v>
      </c>
      <c r="D674" s="98" t="s">
        <v>477</v>
      </c>
      <c r="E674" s="98">
        <v>500</v>
      </c>
      <c r="F674" s="98">
        <v>0</v>
      </c>
      <c r="G674" s="98">
        <v>0</v>
      </c>
      <c r="H674" s="98" t="s">
        <v>479</v>
      </c>
      <c r="I674" s="98" t="s">
        <v>479</v>
      </c>
      <c r="J674" s="98">
        <v>0</v>
      </c>
    </row>
    <row r="675" spans="1:10" ht="15.75" customHeight="1">
      <c r="A675" s="98" t="s">
        <v>6</v>
      </c>
      <c r="B675" s="177" t="s">
        <v>3641</v>
      </c>
      <c r="C675" s="98" t="s">
        <v>3810</v>
      </c>
      <c r="D675" s="98" t="s">
        <v>477</v>
      </c>
      <c r="E675" s="98">
        <v>10</v>
      </c>
      <c r="F675" s="98">
        <v>0</v>
      </c>
      <c r="G675" s="98">
        <v>0</v>
      </c>
      <c r="H675" s="98" t="s">
        <v>479</v>
      </c>
      <c r="I675" s="98" t="s">
        <v>479</v>
      </c>
      <c r="J675" s="98">
        <v>0</v>
      </c>
    </row>
    <row r="676" spans="1:10" ht="15.75" customHeight="1">
      <c r="A676" s="98" t="s">
        <v>6</v>
      </c>
      <c r="B676" s="177" t="s">
        <v>3641</v>
      </c>
      <c r="C676" s="98" t="s">
        <v>3811</v>
      </c>
      <c r="D676" s="98" t="s">
        <v>477</v>
      </c>
      <c r="E676" s="98">
        <v>3</v>
      </c>
      <c r="F676" s="98">
        <v>0</v>
      </c>
      <c r="G676" s="98">
        <v>0</v>
      </c>
      <c r="H676" s="98" t="s">
        <v>479</v>
      </c>
      <c r="I676" s="98" t="s">
        <v>479</v>
      </c>
      <c r="J676" s="98">
        <v>0</v>
      </c>
    </row>
    <row r="677" spans="1:10" ht="15.75" customHeight="1">
      <c r="A677" s="98" t="s">
        <v>6</v>
      </c>
      <c r="B677" s="177" t="s">
        <v>3641</v>
      </c>
      <c r="C677" s="98" t="s">
        <v>3812</v>
      </c>
      <c r="D677" s="98" t="s">
        <v>477</v>
      </c>
      <c r="E677" s="98">
        <v>3</v>
      </c>
      <c r="F677" s="98">
        <v>0</v>
      </c>
      <c r="G677" s="98">
        <v>0</v>
      </c>
      <c r="H677" s="98" t="s">
        <v>479</v>
      </c>
      <c r="I677" s="98" t="s">
        <v>479</v>
      </c>
      <c r="J677" s="98">
        <v>0</v>
      </c>
    </row>
    <row r="678" spans="1:10" ht="15.75" customHeight="1">
      <c r="A678" s="98" t="s">
        <v>6</v>
      </c>
      <c r="B678" s="177" t="s">
        <v>3641</v>
      </c>
      <c r="C678" s="98" t="s">
        <v>3813</v>
      </c>
      <c r="D678" s="98" t="s">
        <v>477</v>
      </c>
      <c r="E678" s="98">
        <v>50</v>
      </c>
      <c r="F678" s="98">
        <v>0</v>
      </c>
      <c r="G678" s="98">
        <v>0</v>
      </c>
      <c r="H678" s="98" t="s">
        <v>479</v>
      </c>
      <c r="I678" s="98" t="s">
        <v>479</v>
      </c>
      <c r="J678" s="98">
        <v>0</v>
      </c>
    </row>
    <row r="679" spans="1:10" ht="15.75" customHeight="1">
      <c r="A679" s="98" t="s">
        <v>6</v>
      </c>
      <c r="B679" s="177" t="s">
        <v>3641</v>
      </c>
      <c r="C679" s="98" t="s">
        <v>3814</v>
      </c>
      <c r="D679" s="98" t="s">
        <v>477</v>
      </c>
      <c r="E679" s="98">
        <v>2</v>
      </c>
      <c r="F679" s="98">
        <v>0</v>
      </c>
      <c r="G679" s="98">
        <v>0</v>
      </c>
      <c r="H679" s="98" t="s">
        <v>479</v>
      </c>
      <c r="I679" s="98" t="s">
        <v>479</v>
      </c>
      <c r="J679" s="98">
        <v>0</v>
      </c>
    </row>
    <row r="680" spans="1:10" ht="15.75" customHeight="1">
      <c r="A680" s="98" t="s">
        <v>6</v>
      </c>
      <c r="B680" s="177" t="s">
        <v>3641</v>
      </c>
      <c r="C680" s="98" t="s">
        <v>3815</v>
      </c>
      <c r="D680" s="98" t="s">
        <v>496</v>
      </c>
      <c r="E680" s="98">
        <v>4</v>
      </c>
      <c r="F680" s="98">
        <v>16</v>
      </c>
      <c r="G680" s="98">
        <v>0</v>
      </c>
      <c r="H680" s="98" t="s">
        <v>479</v>
      </c>
      <c r="I680" s="98" t="s">
        <v>479</v>
      </c>
      <c r="J680" s="98">
        <v>0</v>
      </c>
    </row>
    <row r="681" spans="1:10" ht="15.75" customHeight="1">
      <c r="A681" s="98" t="s">
        <v>6</v>
      </c>
      <c r="B681" s="177" t="s">
        <v>3641</v>
      </c>
      <c r="C681" s="98" t="s">
        <v>1334</v>
      </c>
      <c r="D681" s="98" t="s">
        <v>477</v>
      </c>
      <c r="E681" s="98">
        <v>100</v>
      </c>
      <c r="F681" s="98">
        <v>0</v>
      </c>
      <c r="G681" s="98">
        <v>0</v>
      </c>
      <c r="H681" s="98" t="s">
        <v>479</v>
      </c>
      <c r="I681" s="98" t="s">
        <v>479</v>
      </c>
      <c r="J681" s="98">
        <v>0</v>
      </c>
    </row>
    <row r="682" spans="1:10" ht="15.75" customHeight="1">
      <c r="A682" s="98" t="s">
        <v>6</v>
      </c>
      <c r="B682" s="177" t="s">
        <v>3641</v>
      </c>
      <c r="C682" s="98" t="s">
        <v>3816</v>
      </c>
      <c r="D682" s="98" t="s">
        <v>496</v>
      </c>
      <c r="E682" s="98">
        <v>4</v>
      </c>
      <c r="F682" s="98">
        <v>16</v>
      </c>
      <c r="G682" s="98">
        <v>0</v>
      </c>
      <c r="H682" s="98" t="s">
        <v>479</v>
      </c>
      <c r="I682" s="98" t="s">
        <v>479</v>
      </c>
      <c r="J682" s="98">
        <v>0</v>
      </c>
    </row>
    <row r="683" spans="1:10" ht="15.75" customHeight="1">
      <c r="A683" s="98" t="s">
        <v>6</v>
      </c>
      <c r="B683" s="177" t="s">
        <v>3641</v>
      </c>
      <c r="C683" s="98" t="s">
        <v>1336</v>
      </c>
      <c r="D683" s="98" t="s">
        <v>477</v>
      </c>
      <c r="E683" s="98">
        <v>100</v>
      </c>
      <c r="F683" s="98">
        <v>0</v>
      </c>
      <c r="G683" s="98">
        <v>0</v>
      </c>
      <c r="H683" s="98" t="s">
        <v>479</v>
      </c>
      <c r="I683" s="98" t="s">
        <v>479</v>
      </c>
      <c r="J683" s="98">
        <v>0</v>
      </c>
    </row>
    <row r="684" spans="1:10" ht="15.75" customHeight="1">
      <c r="A684" s="98" t="s">
        <v>6</v>
      </c>
      <c r="B684" s="177" t="s">
        <v>3641</v>
      </c>
      <c r="C684" s="98" t="s">
        <v>3817</v>
      </c>
      <c r="D684" s="98" t="s">
        <v>477</v>
      </c>
      <c r="E684" s="98">
        <v>20</v>
      </c>
      <c r="F684" s="98">
        <v>0</v>
      </c>
      <c r="G684" s="98">
        <v>0</v>
      </c>
      <c r="H684" s="98" t="s">
        <v>479</v>
      </c>
      <c r="I684" s="98" t="s">
        <v>479</v>
      </c>
      <c r="J684" s="98">
        <v>0</v>
      </c>
    </row>
    <row r="685" spans="1:10" ht="15.75" customHeight="1">
      <c r="A685" s="98" t="s">
        <v>6</v>
      </c>
      <c r="B685" s="177" t="s">
        <v>3641</v>
      </c>
      <c r="C685" s="98" t="s">
        <v>3818</v>
      </c>
      <c r="D685" s="98" t="s">
        <v>477</v>
      </c>
      <c r="E685" s="98">
        <v>255</v>
      </c>
      <c r="F685" s="98">
        <v>0</v>
      </c>
      <c r="G685" s="98">
        <v>0</v>
      </c>
      <c r="H685" s="98" t="s">
        <v>479</v>
      </c>
      <c r="I685" s="98" t="s">
        <v>479</v>
      </c>
      <c r="J685" s="98">
        <v>0</v>
      </c>
    </row>
    <row r="686" spans="1:10" ht="15.75" customHeight="1">
      <c r="A686" s="98" t="s">
        <v>6</v>
      </c>
      <c r="B686" s="177" t="s">
        <v>3641</v>
      </c>
      <c r="C686" s="98" t="s">
        <v>3819</v>
      </c>
      <c r="D686" s="98" t="s">
        <v>477</v>
      </c>
      <c r="E686" s="98">
        <v>3</v>
      </c>
      <c r="F686" s="98">
        <v>0</v>
      </c>
      <c r="G686" s="98">
        <v>0</v>
      </c>
      <c r="H686" s="98" t="s">
        <v>479</v>
      </c>
      <c r="I686" s="98" t="s">
        <v>479</v>
      </c>
      <c r="J686" s="98">
        <v>0</v>
      </c>
    </row>
    <row r="687" spans="1:10" ht="15.75" customHeight="1">
      <c r="A687" s="98" t="s">
        <v>6</v>
      </c>
      <c r="B687" s="177" t="s">
        <v>3641</v>
      </c>
      <c r="C687" s="98" t="s">
        <v>3820</v>
      </c>
      <c r="D687" s="98" t="s">
        <v>484</v>
      </c>
      <c r="E687" s="98">
        <v>4</v>
      </c>
      <c r="F687" s="98">
        <v>10</v>
      </c>
      <c r="G687" s="98">
        <v>0</v>
      </c>
      <c r="H687" s="98" t="s">
        <v>479</v>
      </c>
      <c r="I687" s="98" t="s">
        <v>479</v>
      </c>
      <c r="J687" s="98">
        <v>0</v>
      </c>
    </row>
    <row r="688" spans="1:10" ht="15.75" customHeight="1">
      <c r="A688" s="98" t="s">
        <v>6</v>
      </c>
      <c r="B688" s="177" t="s">
        <v>3641</v>
      </c>
      <c r="C688" s="98" t="s">
        <v>3821</v>
      </c>
      <c r="D688" s="98" t="s">
        <v>477</v>
      </c>
      <c r="E688" s="98">
        <v>100</v>
      </c>
      <c r="F688" s="98">
        <v>0</v>
      </c>
      <c r="G688" s="98">
        <v>0</v>
      </c>
      <c r="H688" s="98" t="s">
        <v>479</v>
      </c>
      <c r="I688" s="98" t="s">
        <v>479</v>
      </c>
      <c r="J688" s="98">
        <v>0</v>
      </c>
    </row>
    <row r="689" spans="1:10" ht="15.75" customHeight="1">
      <c r="A689" s="98" t="s">
        <v>6</v>
      </c>
      <c r="B689" s="177" t="s">
        <v>3641</v>
      </c>
      <c r="C689" s="98" t="s">
        <v>3822</v>
      </c>
      <c r="D689" s="98" t="s">
        <v>477</v>
      </c>
      <c r="E689" s="98">
        <v>40</v>
      </c>
      <c r="F689" s="98">
        <v>0</v>
      </c>
      <c r="G689" s="98">
        <v>0</v>
      </c>
      <c r="H689" s="98" t="s">
        <v>479</v>
      </c>
      <c r="I689" s="98" t="s">
        <v>479</v>
      </c>
      <c r="J689" s="98">
        <v>0</v>
      </c>
    </row>
    <row r="690" spans="1:10" ht="15.75" customHeight="1">
      <c r="A690" s="98" t="s">
        <v>6</v>
      </c>
      <c r="B690" s="177" t="s">
        <v>3641</v>
      </c>
      <c r="C690" s="98" t="s">
        <v>3823</v>
      </c>
      <c r="D690" s="98" t="s">
        <v>481</v>
      </c>
      <c r="E690" s="98">
        <v>5</v>
      </c>
      <c r="F690" s="98">
        <v>9</v>
      </c>
      <c r="G690" s="98">
        <v>2</v>
      </c>
      <c r="H690" s="98" t="s">
        <v>479</v>
      </c>
      <c r="I690" s="98" t="s">
        <v>479</v>
      </c>
      <c r="J690" s="98">
        <v>0</v>
      </c>
    </row>
    <row r="691" spans="1:10" ht="15.75" customHeight="1">
      <c r="A691" s="98" t="s">
        <v>6</v>
      </c>
      <c r="B691" s="177" t="s">
        <v>3641</v>
      </c>
      <c r="C691" s="98" t="s">
        <v>3824</v>
      </c>
      <c r="D691" s="98" t="s">
        <v>481</v>
      </c>
      <c r="E691" s="98">
        <v>5</v>
      </c>
      <c r="F691" s="98">
        <v>9</v>
      </c>
      <c r="G691" s="98">
        <v>2</v>
      </c>
      <c r="H691" s="98" t="s">
        <v>479</v>
      </c>
      <c r="I691" s="98" t="s">
        <v>479</v>
      </c>
      <c r="J691" s="98">
        <v>0</v>
      </c>
    </row>
    <row r="692" spans="1:10" ht="15.75" customHeight="1">
      <c r="A692" s="98" t="s">
        <v>6</v>
      </c>
      <c r="B692" s="177" t="s">
        <v>3641</v>
      </c>
      <c r="C692" s="98" t="s">
        <v>3825</v>
      </c>
      <c r="D692" s="98" t="s">
        <v>481</v>
      </c>
      <c r="E692" s="98">
        <v>5</v>
      </c>
      <c r="F692" s="98">
        <v>9</v>
      </c>
      <c r="G692" s="98">
        <v>2</v>
      </c>
      <c r="H692" s="98" t="s">
        <v>479</v>
      </c>
      <c r="I692" s="98" t="s">
        <v>479</v>
      </c>
      <c r="J692" s="98">
        <v>0</v>
      </c>
    </row>
    <row r="693" spans="1:10" ht="15.75" customHeight="1">
      <c r="A693" s="98" t="s">
        <v>6</v>
      </c>
      <c r="B693" s="177" t="s">
        <v>3641</v>
      </c>
      <c r="C693" s="98" t="s">
        <v>3826</v>
      </c>
      <c r="D693" s="98" t="s">
        <v>477</v>
      </c>
      <c r="E693" s="98">
        <v>3</v>
      </c>
      <c r="F693" s="98">
        <v>0</v>
      </c>
      <c r="G693" s="98">
        <v>0</v>
      </c>
      <c r="H693" s="98" t="s">
        <v>479</v>
      </c>
      <c r="I693" s="98" t="s">
        <v>479</v>
      </c>
      <c r="J693" s="98">
        <v>0</v>
      </c>
    </row>
    <row r="694" spans="1:10" ht="15.75" customHeight="1">
      <c r="A694" s="98" t="s">
        <v>6</v>
      </c>
      <c r="B694" s="177" t="s">
        <v>3641</v>
      </c>
      <c r="C694" s="98" t="s">
        <v>3827</v>
      </c>
      <c r="D694" s="98" t="s">
        <v>477</v>
      </c>
      <c r="E694" s="98">
        <v>100</v>
      </c>
      <c r="F694" s="98">
        <v>0</v>
      </c>
      <c r="G694" s="98">
        <v>0</v>
      </c>
      <c r="H694" s="98" t="s">
        <v>479</v>
      </c>
      <c r="I694" s="98" t="s">
        <v>479</v>
      </c>
      <c r="J694" s="98">
        <v>0</v>
      </c>
    </row>
    <row r="695" spans="1:10" ht="15.75" customHeight="1">
      <c r="A695" s="98" t="s">
        <v>6</v>
      </c>
      <c r="B695" s="177" t="s">
        <v>3641</v>
      </c>
      <c r="C695" s="98" t="s">
        <v>3828</v>
      </c>
      <c r="D695" s="98" t="s">
        <v>477</v>
      </c>
      <c r="E695" s="98">
        <v>100</v>
      </c>
      <c r="F695" s="98">
        <v>0</v>
      </c>
      <c r="G695" s="98">
        <v>0</v>
      </c>
      <c r="H695" s="98" t="s">
        <v>479</v>
      </c>
      <c r="I695" s="98" t="s">
        <v>479</v>
      </c>
      <c r="J695" s="98">
        <v>0</v>
      </c>
    </row>
    <row r="696" spans="1:10" ht="15.75" customHeight="1">
      <c r="A696" s="98" t="s">
        <v>6</v>
      </c>
      <c r="B696" s="177" t="s">
        <v>3641</v>
      </c>
      <c r="C696" s="98" t="s">
        <v>1423</v>
      </c>
      <c r="D696" s="98" t="s">
        <v>477</v>
      </c>
      <c r="E696" s="98">
        <v>10</v>
      </c>
      <c r="F696" s="98">
        <v>0</v>
      </c>
      <c r="G696" s="98">
        <v>0</v>
      </c>
      <c r="H696" s="98" t="s">
        <v>479</v>
      </c>
      <c r="I696" s="98" t="s">
        <v>479</v>
      </c>
      <c r="J696" s="98">
        <v>0</v>
      </c>
    </row>
    <row r="697" spans="1:10" ht="15.75" customHeight="1">
      <c r="A697" s="98" t="s">
        <v>6</v>
      </c>
      <c r="B697" s="177" t="s">
        <v>3641</v>
      </c>
      <c r="C697" s="98" t="s">
        <v>3829</v>
      </c>
      <c r="D697" s="98" t="s">
        <v>477</v>
      </c>
      <c r="E697" s="98">
        <v>3</v>
      </c>
      <c r="F697" s="98">
        <v>0</v>
      </c>
      <c r="G697" s="98">
        <v>0</v>
      </c>
      <c r="H697" s="98" t="s">
        <v>479</v>
      </c>
      <c r="I697" s="98" t="s">
        <v>479</v>
      </c>
      <c r="J697" s="98">
        <v>0</v>
      </c>
    </row>
    <row r="698" spans="1:10" ht="15.75" customHeight="1"/>
    <row r="699" spans="1:10" ht="15.75" customHeight="1"/>
    <row r="700" spans="1:10" ht="15.75" customHeight="1"/>
    <row r="701" spans="1:10" ht="15.75" customHeight="1"/>
    <row r="702" spans="1:10" ht="15.75" customHeight="1"/>
    <row r="703" spans="1:10" ht="15.75" customHeight="1"/>
    <row r="704" spans="1:10"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697" xr:uid="{00000000-0009-0000-0000-000006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P1001"/>
  <sheetViews>
    <sheetView topLeftCell="E1" zoomScale="140" zoomScaleNormal="140" workbookViewId="0">
      <pane ySplit="1" topLeftCell="A2" activePane="bottomLeft" state="frozen"/>
      <selection pane="bottomLeft" activeCell="N26" sqref="N26"/>
    </sheetView>
  </sheetViews>
  <sheetFormatPr baseColWidth="10" defaultColWidth="12.6640625" defaultRowHeight="15" customHeight="1"/>
  <cols>
    <col min="1" max="1" width="10.83203125" customWidth="1"/>
    <col min="2" max="2" width="18.6640625" customWidth="1"/>
    <col min="3" max="3" width="25.6640625" customWidth="1"/>
    <col min="4" max="4" width="56.6640625" customWidth="1"/>
    <col min="5" max="5" width="7.5" customWidth="1"/>
    <col min="6" max="6" width="7.83203125" customWidth="1"/>
    <col min="7" max="7" width="13.6640625" customWidth="1"/>
    <col min="8" max="8" width="10.5" customWidth="1"/>
    <col min="9" max="9" width="15" customWidth="1"/>
    <col min="10" max="10" width="12.6640625" customWidth="1"/>
    <col min="11" max="11" width="17.5" customWidth="1"/>
    <col min="12" max="12" width="12.1640625" customWidth="1"/>
    <col min="13" max="13" width="5.83203125" customWidth="1"/>
    <col min="14" max="14" width="31.6640625" customWidth="1"/>
    <col min="15" max="15" width="25.1640625" customWidth="1"/>
    <col min="16" max="16" width="17.83203125" customWidth="1"/>
    <col min="17" max="27" width="7.6640625" customWidth="1"/>
  </cols>
  <sheetData>
    <row r="1" spans="1:16">
      <c r="A1" s="192" t="s">
        <v>4005</v>
      </c>
      <c r="B1" s="174" t="s">
        <v>155</v>
      </c>
      <c r="C1" s="193" t="s">
        <v>156</v>
      </c>
      <c r="D1" s="192" t="s">
        <v>1729</v>
      </c>
      <c r="E1" s="174" t="s">
        <v>157</v>
      </c>
      <c r="F1" s="174" t="s">
        <v>158</v>
      </c>
      <c r="G1" s="174" t="s">
        <v>3628</v>
      </c>
      <c r="H1" s="174" t="s">
        <v>3629</v>
      </c>
      <c r="I1" s="174" t="s">
        <v>3630</v>
      </c>
      <c r="J1" s="174" t="s">
        <v>3631</v>
      </c>
      <c r="K1" s="175" t="s">
        <v>163</v>
      </c>
      <c r="L1" s="194" t="s">
        <v>165</v>
      </c>
      <c r="M1" s="194" t="s">
        <v>3632</v>
      </c>
      <c r="N1" s="103" t="s">
        <v>166</v>
      </c>
      <c r="O1" s="104" t="s">
        <v>167</v>
      </c>
      <c r="P1" s="105" t="s">
        <v>168</v>
      </c>
    </row>
    <row r="2" spans="1:16">
      <c r="A2" s="184" t="s">
        <v>2</v>
      </c>
      <c r="B2" s="133" t="s">
        <v>4006</v>
      </c>
      <c r="C2" s="177" t="s">
        <v>4007</v>
      </c>
      <c r="D2" s="158"/>
      <c r="E2" s="158">
        <v>52150</v>
      </c>
      <c r="F2" s="133" t="s">
        <v>171</v>
      </c>
      <c r="G2" s="158">
        <v>11224</v>
      </c>
      <c r="H2" s="158">
        <v>10800</v>
      </c>
      <c r="I2" s="158">
        <v>216</v>
      </c>
      <c r="J2" s="158">
        <v>208</v>
      </c>
      <c r="K2" s="178" t="s">
        <v>4008</v>
      </c>
      <c r="L2" s="177" t="s">
        <v>3678</v>
      </c>
      <c r="M2" s="189"/>
      <c r="N2" s="98" t="s">
        <v>4009</v>
      </c>
      <c r="O2" s="98" t="s">
        <v>2228</v>
      </c>
      <c r="P2" s="113" t="s">
        <v>176</v>
      </c>
    </row>
    <row r="3" spans="1:16">
      <c r="A3" s="184" t="s">
        <v>2</v>
      </c>
      <c r="B3" s="133" t="s">
        <v>4006</v>
      </c>
      <c r="C3" s="177" t="s">
        <v>4010</v>
      </c>
      <c r="D3" s="158"/>
      <c r="E3" s="158">
        <v>34430</v>
      </c>
      <c r="F3" s="133" t="s">
        <v>171</v>
      </c>
      <c r="G3" s="158">
        <v>8648</v>
      </c>
      <c r="H3" s="158">
        <v>8232</v>
      </c>
      <c r="I3" s="158">
        <v>48</v>
      </c>
      <c r="J3" s="158">
        <v>368</v>
      </c>
      <c r="K3" s="178" t="s">
        <v>4011</v>
      </c>
      <c r="L3" s="177" t="s">
        <v>3678</v>
      </c>
      <c r="M3" s="189"/>
      <c r="N3" s="98" t="s">
        <v>4012</v>
      </c>
      <c r="O3" s="98" t="s">
        <v>2228</v>
      </c>
      <c r="P3" s="113" t="s">
        <v>176</v>
      </c>
    </row>
    <row r="4" spans="1:16">
      <c r="A4" s="184" t="s">
        <v>2</v>
      </c>
      <c r="B4" s="133" t="s">
        <v>4013</v>
      </c>
      <c r="C4" s="177" t="s">
        <v>4014</v>
      </c>
      <c r="D4" s="158"/>
      <c r="E4" s="158">
        <v>46</v>
      </c>
      <c r="F4" s="133" t="s">
        <v>171</v>
      </c>
      <c r="G4" s="158">
        <v>72</v>
      </c>
      <c r="H4" s="158">
        <v>8</v>
      </c>
      <c r="I4" s="158">
        <v>8</v>
      </c>
      <c r="J4" s="158">
        <v>56</v>
      </c>
      <c r="K4" s="181">
        <v>241893.69166666668</v>
      </c>
      <c r="L4" s="177" t="s">
        <v>3678</v>
      </c>
      <c r="M4" s="189"/>
      <c r="N4" s="98" t="s">
        <v>325</v>
      </c>
      <c r="O4" s="98" t="s">
        <v>2228</v>
      </c>
      <c r="P4" s="113" t="s">
        <v>176</v>
      </c>
    </row>
    <row r="5" spans="1:16">
      <c r="A5" s="184" t="s">
        <v>2</v>
      </c>
      <c r="B5" s="133" t="s">
        <v>4013</v>
      </c>
      <c r="C5" s="177" t="s">
        <v>4015</v>
      </c>
      <c r="D5" s="158"/>
      <c r="E5" s="158">
        <v>1916</v>
      </c>
      <c r="F5" s="133" t="s">
        <v>171</v>
      </c>
      <c r="G5" s="158">
        <v>1496</v>
      </c>
      <c r="H5" s="158">
        <v>800</v>
      </c>
      <c r="I5" s="158">
        <v>464</v>
      </c>
      <c r="J5" s="158">
        <v>232</v>
      </c>
      <c r="K5" s="178" t="s">
        <v>4016</v>
      </c>
      <c r="L5" s="177" t="s">
        <v>3678</v>
      </c>
      <c r="M5" s="189"/>
      <c r="N5" s="98" t="s">
        <v>4017</v>
      </c>
      <c r="O5" s="98" t="s">
        <v>2228</v>
      </c>
      <c r="P5" s="113" t="s">
        <v>176</v>
      </c>
    </row>
    <row r="6" spans="1:16">
      <c r="A6" s="184" t="s">
        <v>2</v>
      </c>
      <c r="B6" s="133" t="s">
        <v>4013</v>
      </c>
      <c r="C6" s="177" t="s">
        <v>4018</v>
      </c>
      <c r="D6" s="158"/>
      <c r="E6" s="158">
        <v>7</v>
      </c>
      <c r="F6" s="133" t="s">
        <v>171</v>
      </c>
      <c r="G6" s="158">
        <v>72</v>
      </c>
      <c r="H6" s="158">
        <v>8</v>
      </c>
      <c r="I6" s="158">
        <v>8</v>
      </c>
      <c r="J6" s="158">
        <v>56</v>
      </c>
      <c r="K6" s="181">
        <v>241069.49652777778</v>
      </c>
      <c r="L6" s="177" t="s">
        <v>3678</v>
      </c>
      <c r="M6" s="189"/>
      <c r="N6" s="98" t="s">
        <v>4019</v>
      </c>
      <c r="O6" s="98" t="s">
        <v>2228</v>
      </c>
      <c r="P6" s="113" t="s">
        <v>176</v>
      </c>
    </row>
    <row r="7" spans="1:16">
      <c r="A7" s="184" t="s">
        <v>2</v>
      </c>
      <c r="B7" s="133" t="s">
        <v>4013</v>
      </c>
      <c r="C7" s="177" t="s">
        <v>4020</v>
      </c>
      <c r="D7" s="158"/>
      <c r="E7" s="158">
        <v>11</v>
      </c>
      <c r="F7" s="133" t="s">
        <v>171</v>
      </c>
      <c r="G7" s="158">
        <v>72</v>
      </c>
      <c r="H7" s="158">
        <v>8</v>
      </c>
      <c r="I7" s="158">
        <v>8</v>
      </c>
      <c r="J7" s="158">
        <v>56</v>
      </c>
      <c r="K7" s="178" t="s">
        <v>4021</v>
      </c>
      <c r="L7" s="177" t="s">
        <v>3678</v>
      </c>
      <c r="M7" s="189"/>
      <c r="N7" s="98" t="s">
        <v>11</v>
      </c>
      <c r="P7" s="195" t="s">
        <v>236</v>
      </c>
    </row>
    <row r="8" spans="1:16">
      <c r="A8" s="184" t="s">
        <v>2</v>
      </c>
      <c r="B8" s="133" t="s">
        <v>4013</v>
      </c>
      <c r="C8" s="177" t="s">
        <v>4022</v>
      </c>
      <c r="D8" s="158"/>
      <c r="E8" s="158">
        <v>14</v>
      </c>
      <c r="F8" s="133" t="s">
        <v>171</v>
      </c>
      <c r="G8" s="158">
        <v>72</v>
      </c>
      <c r="H8" s="158">
        <v>8</v>
      </c>
      <c r="I8" s="158">
        <v>8</v>
      </c>
      <c r="J8" s="158">
        <v>56</v>
      </c>
      <c r="K8" s="185">
        <v>241102.62361111111</v>
      </c>
      <c r="L8" s="177" t="s">
        <v>3678</v>
      </c>
      <c r="M8" s="189"/>
      <c r="N8" s="98" t="s">
        <v>4023</v>
      </c>
      <c r="O8" s="98" t="s">
        <v>2228</v>
      </c>
      <c r="P8" s="113" t="s">
        <v>176</v>
      </c>
    </row>
    <row r="9" spans="1:16">
      <c r="A9" s="184" t="s">
        <v>2</v>
      </c>
      <c r="B9" s="133" t="s">
        <v>4013</v>
      </c>
      <c r="C9" s="177" t="s">
        <v>4024</v>
      </c>
      <c r="D9" s="158"/>
      <c r="E9" s="158">
        <v>9</v>
      </c>
      <c r="F9" s="133" t="s">
        <v>171</v>
      </c>
      <c r="G9" s="158">
        <v>72</v>
      </c>
      <c r="H9" s="158">
        <v>8</v>
      </c>
      <c r="I9" s="158">
        <v>8</v>
      </c>
      <c r="J9" s="158">
        <v>56</v>
      </c>
      <c r="K9" s="178" t="s">
        <v>4025</v>
      </c>
      <c r="L9" s="177" t="s">
        <v>3678</v>
      </c>
      <c r="M9" s="189"/>
      <c r="N9" s="98" t="s">
        <v>4026</v>
      </c>
      <c r="O9" s="98" t="s">
        <v>2228</v>
      </c>
      <c r="P9" s="113" t="s">
        <v>176</v>
      </c>
    </row>
    <row r="10" spans="1:16">
      <c r="A10" s="184" t="s">
        <v>2</v>
      </c>
      <c r="B10" s="133" t="s">
        <v>4013</v>
      </c>
      <c r="C10" s="177" t="s">
        <v>4027</v>
      </c>
      <c r="D10" s="158"/>
      <c r="E10" s="158">
        <v>38</v>
      </c>
      <c r="F10" s="133" t="s">
        <v>171</v>
      </c>
      <c r="G10" s="158">
        <v>72</v>
      </c>
      <c r="H10" s="158">
        <v>8</v>
      </c>
      <c r="I10" s="158">
        <v>8</v>
      </c>
      <c r="J10" s="158">
        <v>56</v>
      </c>
      <c r="K10" s="178" t="s">
        <v>4028</v>
      </c>
      <c r="L10" s="177" t="s">
        <v>3678</v>
      </c>
      <c r="M10" s="189"/>
      <c r="N10" s="98" t="s">
        <v>3720</v>
      </c>
      <c r="O10" s="98" t="s">
        <v>310</v>
      </c>
      <c r="P10" s="113" t="s">
        <v>185</v>
      </c>
    </row>
    <row r="11" spans="1:16">
      <c r="A11" s="184" t="s">
        <v>2</v>
      </c>
      <c r="B11" s="133" t="s">
        <v>266</v>
      </c>
      <c r="C11" s="177" t="s">
        <v>4029</v>
      </c>
      <c r="D11" s="160"/>
      <c r="E11" s="160"/>
      <c r="F11" s="160"/>
      <c r="G11" s="160"/>
      <c r="H11" s="160"/>
      <c r="I11" s="160"/>
      <c r="J11" s="160"/>
      <c r="K11" s="196"/>
      <c r="L11" s="177" t="s">
        <v>3753</v>
      </c>
      <c r="M11" s="189"/>
      <c r="N11" s="98" t="s">
        <v>253</v>
      </c>
      <c r="O11" s="98" t="s">
        <v>2228</v>
      </c>
      <c r="P11" s="113" t="s">
        <v>176</v>
      </c>
    </row>
    <row r="12" spans="1:16">
      <c r="A12" s="184" t="s">
        <v>2</v>
      </c>
      <c r="B12" s="133" t="s">
        <v>266</v>
      </c>
      <c r="C12" s="177" t="s">
        <v>4030</v>
      </c>
      <c r="D12" s="160"/>
      <c r="E12" s="160"/>
      <c r="F12" s="160"/>
      <c r="G12" s="160"/>
      <c r="H12" s="160"/>
      <c r="I12" s="160"/>
      <c r="J12" s="160"/>
      <c r="K12" s="187"/>
      <c r="L12" s="177" t="s">
        <v>3678</v>
      </c>
      <c r="M12" s="189"/>
      <c r="N12" s="98" t="s">
        <v>4031</v>
      </c>
      <c r="O12" s="98" t="s">
        <v>2228</v>
      </c>
      <c r="P12" s="113" t="s">
        <v>176</v>
      </c>
    </row>
    <row r="13" spans="1:16">
      <c r="A13" s="184" t="s">
        <v>2</v>
      </c>
      <c r="B13" s="133" t="s">
        <v>4032</v>
      </c>
      <c r="C13" s="177" t="s">
        <v>4033</v>
      </c>
      <c r="D13" s="158"/>
      <c r="E13" s="158">
        <v>133</v>
      </c>
      <c r="F13" s="133" t="s">
        <v>171</v>
      </c>
      <c r="G13" s="158">
        <v>136</v>
      </c>
      <c r="H13" s="158">
        <v>16</v>
      </c>
      <c r="I13" s="158">
        <v>8</v>
      </c>
      <c r="J13" s="158">
        <v>112</v>
      </c>
      <c r="K13" s="178" t="s">
        <v>4034</v>
      </c>
      <c r="L13" s="177" t="s">
        <v>3678</v>
      </c>
      <c r="M13" s="189"/>
      <c r="N13" s="98" t="s">
        <v>371</v>
      </c>
      <c r="P13" s="195" t="s">
        <v>236</v>
      </c>
    </row>
    <row r="14" spans="1:16">
      <c r="A14" s="184" t="s">
        <v>2</v>
      </c>
      <c r="B14" s="133" t="s">
        <v>4032</v>
      </c>
      <c r="C14" s="177" t="s">
        <v>4035</v>
      </c>
      <c r="D14" s="158"/>
      <c r="E14" s="158">
        <v>72</v>
      </c>
      <c r="F14" s="133" t="s">
        <v>171</v>
      </c>
      <c r="G14" s="158">
        <v>72</v>
      </c>
      <c r="H14" s="158">
        <v>8</v>
      </c>
      <c r="I14" s="158">
        <v>8</v>
      </c>
      <c r="J14" s="158">
        <v>56</v>
      </c>
      <c r="K14" s="181">
        <v>242041.45486111112</v>
      </c>
      <c r="L14" s="177" t="s">
        <v>3678</v>
      </c>
      <c r="M14" s="189"/>
      <c r="N14" s="98" t="s">
        <v>335</v>
      </c>
      <c r="P14" s="113" t="s">
        <v>176</v>
      </c>
    </row>
    <row r="15" spans="1:16">
      <c r="A15" s="184" t="s">
        <v>2</v>
      </c>
      <c r="B15" s="133" t="s">
        <v>4032</v>
      </c>
      <c r="C15" s="177" t="s">
        <v>4036</v>
      </c>
      <c r="D15" s="158"/>
      <c r="E15" s="158">
        <v>503</v>
      </c>
      <c r="F15" s="133" t="s">
        <v>171</v>
      </c>
      <c r="G15" s="158">
        <v>200</v>
      </c>
      <c r="H15" s="158">
        <v>56</v>
      </c>
      <c r="I15" s="158">
        <v>16</v>
      </c>
      <c r="J15" s="158">
        <v>128</v>
      </c>
      <c r="K15" s="178" t="s">
        <v>4037</v>
      </c>
      <c r="L15" s="177" t="s">
        <v>3678</v>
      </c>
      <c r="M15" s="189"/>
      <c r="N15" s="98" t="s">
        <v>4038</v>
      </c>
      <c r="O15" s="98" t="s">
        <v>2228</v>
      </c>
      <c r="P15" s="113" t="s">
        <v>176</v>
      </c>
    </row>
    <row r="16" spans="1:16">
      <c r="A16" s="184" t="s">
        <v>2</v>
      </c>
      <c r="B16" s="133" t="s">
        <v>4032</v>
      </c>
      <c r="C16" s="177" t="s">
        <v>4039</v>
      </c>
      <c r="D16" s="158"/>
      <c r="E16" s="158">
        <v>32990</v>
      </c>
      <c r="F16" s="133" t="s">
        <v>171</v>
      </c>
      <c r="G16" s="158">
        <v>17944</v>
      </c>
      <c r="H16" s="158">
        <v>11912</v>
      </c>
      <c r="I16" s="158">
        <v>4368</v>
      </c>
      <c r="J16" s="158">
        <v>1664</v>
      </c>
      <c r="K16" s="178" t="s">
        <v>4040</v>
      </c>
      <c r="L16" s="177" t="s">
        <v>3678</v>
      </c>
      <c r="M16" s="189"/>
      <c r="N16" s="98" t="s">
        <v>4041</v>
      </c>
      <c r="O16" s="98" t="s">
        <v>2228</v>
      </c>
      <c r="P16" s="113" t="s">
        <v>176</v>
      </c>
    </row>
    <row r="17" spans="1:16">
      <c r="A17" s="184" t="s">
        <v>2</v>
      </c>
      <c r="B17" s="133" t="s">
        <v>4032</v>
      </c>
      <c r="C17" s="177" t="s">
        <v>4042</v>
      </c>
      <c r="D17" s="158"/>
      <c r="E17" s="158">
        <v>3111</v>
      </c>
      <c r="F17" s="133" t="s">
        <v>171</v>
      </c>
      <c r="G17" s="158">
        <v>23192</v>
      </c>
      <c r="H17" s="158">
        <v>3392</v>
      </c>
      <c r="I17" s="158">
        <v>4592</v>
      </c>
      <c r="J17" s="158">
        <v>15208</v>
      </c>
      <c r="K17" s="178" t="s">
        <v>4043</v>
      </c>
      <c r="L17" s="177" t="s">
        <v>3678</v>
      </c>
      <c r="M17" s="189"/>
      <c r="N17" s="98" t="s">
        <v>4044</v>
      </c>
      <c r="O17" s="98" t="s">
        <v>2228</v>
      </c>
      <c r="P17" s="113" t="s">
        <v>176</v>
      </c>
    </row>
    <row r="18" spans="1:16">
      <c r="A18" s="184" t="s">
        <v>2</v>
      </c>
      <c r="B18" s="133" t="s">
        <v>4045</v>
      </c>
      <c r="C18" s="177" t="s">
        <v>4046</v>
      </c>
      <c r="D18" s="158"/>
      <c r="E18" s="158">
        <v>8862</v>
      </c>
      <c r="F18" s="133" t="s">
        <v>171</v>
      </c>
      <c r="G18" s="158">
        <v>1880</v>
      </c>
      <c r="H18" s="158">
        <v>1280</v>
      </c>
      <c r="I18" s="158">
        <v>112</v>
      </c>
      <c r="J18" s="158">
        <v>488</v>
      </c>
      <c r="K18" s="181">
        <v>241280.57916666666</v>
      </c>
      <c r="L18" s="177" t="s">
        <v>3678</v>
      </c>
      <c r="M18" s="189"/>
      <c r="N18" s="98" t="s">
        <v>4047</v>
      </c>
      <c r="O18" s="98" t="s">
        <v>310</v>
      </c>
      <c r="P18" s="113" t="s">
        <v>176</v>
      </c>
    </row>
    <row r="19" spans="1:16">
      <c r="A19" s="184" t="s">
        <v>2</v>
      </c>
      <c r="B19" s="133" t="s">
        <v>4045</v>
      </c>
      <c r="C19" s="177" t="s">
        <v>4048</v>
      </c>
      <c r="D19" s="158"/>
      <c r="E19" s="158">
        <v>3</v>
      </c>
      <c r="F19" s="133" t="s">
        <v>171</v>
      </c>
      <c r="G19" s="158">
        <v>72</v>
      </c>
      <c r="H19" s="158">
        <v>8</v>
      </c>
      <c r="I19" s="158">
        <v>8</v>
      </c>
      <c r="J19" s="158">
        <v>56</v>
      </c>
      <c r="K19" s="181">
        <v>241102.62361111111</v>
      </c>
      <c r="L19" s="177" t="s">
        <v>3678</v>
      </c>
      <c r="M19" s="189"/>
      <c r="N19" s="98" t="s">
        <v>4049</v>
      </c>
      <c r="O19" s="98" t="s">
        <v>2228</v>
      </c>
      <c r="P19" s="113" t="s">
        <v>176</v>
      </c>
    </row>
    <row r="20" spans="1:16">
      <c r="A20" s="184" t="s">
        <v>2</v>
      </c>
      <c r="B20" s="133" t="s">
        <v>4045</v>
      </c>
      <c r="C20" s="177" t="s">
        <v>4050</v>
      </c>
      <c r="D20" s="158"/>
      <c r="E20" s="158">
        <v>52</v>
      </c>
      <c r="F20" s="133" t="s">
        <v>171</v>
      </c>
      <c r="G20" s="158">
        <v>216</v>
      </c>
      <c r="H20" s="158">
        <v>8</v>
      </c>
      <c r="I20" s="158">
        <v>40</v>
      </c>
      <c r="J20" s="158">
        <v>168</v>
      </c>
      <c r="K20" s="178" t="s">
        <v>4051</v>
      </c>
      <c r="L20" s="177" t="s">
        <v>3678</v>
      </c>
      <c r="M20" s="189"/>
      <c r="N20" s="98" t="s">
        <v>4052</v>
      </c>
      <c r="O20" s="98" t="s">
        <v>2228</v>
      </c>
      <c r="P20" s="113" t="s">
        <v>176</v>
      </c>
    </row>
    <row r="21" spans="1:16" ht="15.75" customHeight="1">
      <c r="A21" s="184" t="s">
        <v>2</v>
      </c>
      <c r="B21" s="133" t="s">
        <v>4045</v>
      </c>
      <c r="C21" s="177" t="s">
        <v>4053</v>
      </c>
      <c r="D21" s="158"/>
      <c r="E21" s="158">
        <v>139141</v>
      </c>
      <c r="F21" s="133" t="s">
        <v>171</v>
      </c>
      <c r="G21" s="158">
        <v>140464</v>
      </c>
      <c r="H21" s="158">
        <v>71080</v>
      </c>
      <c r="I21" s="158">
        <v>19520</v>
      </c>
      <c r="J21" s="158">
        <v>49864</v>
      </c>
      <c r="K21" s="185">
        <v>241736.77013888888</v>
      </c>
      <c r="L21" s="177" t="s">
        <v>3678</v>
      </c>
      <c r="M21" s="189"/>
      <c r="N21" s="98" t="s">
        <v>325</v>
      </c>
      <c r="O21" s="98" t="s">
        <v>2228</v>
      </c>
      <c r="P21" s="113" t="s">
        <v>176</v>
      </c>
    </row>
    <row r="22" spans="1:16" ht="15.75" customHeight="1">
      <c r="A22" s="184" t="s">
        <v>2</v>
      </c>
      <c r="B22" s="133" t="s">
        <v>4045</v>
      </c>
      <c r="C22" s="177" t="s">
        <v>4054</v>
      </c>
      <c r="D22" s="158"/>
      <c r="E22" s="158">
        <v>77681</v>
      </c>
      <c r="F22" s="133" t="s">
        <v>171</v>
      </c>
      <c r="G22" s="158">
        <v>118032</v>
      </c>
      <c r="H22" s="158">
        <v>32248</v>
      </c>
      <c r="I22" s="158">
        <v>17040</v>
      </c>
      <c r="J22" s="158">
        <v>68744</v>
      </c>
      <c r="K22" s="178" t="s">
        <v>4055</v>
      </c>
      <c r="L22" s="177" t="s">
        <v>3678</v>
      </c>
      <c r="M22" s="189"/>
      <c r="N22" s="98" t="s">
        <v>325</v>
      </c>
      <c r="O22" s="98" t="s">
        <v>2228</v>
      </c>
      <c r="P22" s="113" t="s">
        <v>176</v>
      </c>
    </row>
    <row r="23" spans="1:16" ht="15.75" customHeight="1">
      <c r="A23" s="184" t="s">
        <v>2</v>
      </c>
      <c r="B23" s="133" t="s">
        <v>4045</v>
      </c>
      <c r="C23" s="177" t="s">
        <v>4056</v>
      </c>
      <c r="D23" s="158"/>
      <c r="E23" s="158">
        <v>5343</v>
      </c>
      <c r="F23" s="133" t="s">
        <v>171</v>
      </c>
      <c r="G23" s="158">
        <v>2128</v>
      </c>
      <c r="H23" s="158">
        <v>520</v>
      </c>
      <c r="I23" s="158">
        <v>968</v>
      </c>
      <c r="J23" s="158">
        <v>640</v>
      </c>
      <c r="K23" s="181">
        <v>241494.75972222222</v>
      </c>
      <c r="L23" s="177" t="s">
        <v>3678</v>
      </c>
      <c r="M23" s="189"/>
      <c r="N23" s="98" t="s">
        <v>325</v>
      </c>
      <c r="O23" s="98" t="s">
        <v>310</v>
      </c>
      <c r="P23" s="113" t="s">
        <v>185</v>
      </c>
    </row>
    <row r="24" spans="1:16" ht="15.75" customHeight="1">
      <c r="A24" s="184" t="s">
        <v>2</v>
      </c>
      <c r="B24" s="133" t="s">
        <v>4045</v>
      </c>
      <c r="C24" s="177" t="s">
        <v>4057</v>
      </c>
      <c r="D24" s="158"/>
      <c r="E24" s="158">
        <v>312</v>
      </c>
      <c r="F24" s="133" t="s">
        <v>171</v>
      </c>
      <c r="G24" s="158">
        <v>728</v>
      </c>
      <c r="H24" s="158">
        <v>48</v>
      </c>
      <c r="I24" s="158">
        <v>456</v>
      </c>
      <c r="J24" s="158">
        <v>224</v>
      </c>
      <c r="K24" s="178" t="s">
        <v>4058</v>
      </c>
      <c r="L24" s="177" t="s">
        <v>3678</v>
      </c>
      <c r="M24" s="189"/>
      <c r="N24" s="98" t="s">
        <v>325</v>
      </c>
      <c r="O24" s="98" t="s">
        <v>310</v>
      </c>
      <c r="P24" s="113" t="s">
        <v>185</v>
      </c>
    </row>
    <row r="25" spans="1:16" ht="15.75" customHeight="1">
      <c r="A25" s="184" t="s">
        <v>2</v>
      </c>
      <c r="B25" s="133" t="s">
        <v>4045</v>
      </c>
      <c r="C25" s="177" t="s">
        <v>4059</v>
      </c>
      <c r="D25" s="158"/>
      <c r="E25" s="158">
        <v>12870</v>
      </c>
      <c r="F25" s="133" t="s">
        <v>171</v>
      </c>
      <c r="G25" s="158">
        <v>3368</v>
      </c>
      <c r="H25" s="158">
        <v>2888</v>
      </c>
      <c r="I25" s="158">
        <v>192</v>
      </c>
      <c r="J25" s="158">
        <v>288</v>
      </c>
      <c r="K25" s="178" t="s">
        <v>4060</v>
      </c>
      <c r="L25" s="177" t="s">
        <v>3678</v>
      </c>
      <c r="M25" s="189"/>
      <c r="N25" s="98" t="s">
        <v>4061</v>
      </c>
      <c r="O25" s="98" t="s">
        <v>2228</v>
      </c>
      <c r="P25" s="113" t="s">
        <v>176</v>
      </c>
    </row>
    <row r="26" spans="1:16" ht="15.75" customHeight="1">
      <c r="A26" s="184" t="s">
        <v>2</v>
      </c>
      <c r="B26" s="133" t="s">
        <v>4045</v>
      </c>
      <c r="C26" s="177" t="s">
        <v>4062</v>
      </c>
      <c r="D26" s="158"/>
      <c r="E26" s="158">
        <v>176011</v>
      </c>
      <c r="F26" s="133" t="s">
        <v>171</v>
      </c>
      <c r="G26" s="158">
        <v>157880</v>
      </c>
      <c r="H26" s="158">
        <v>100968</v>
      </c>
      <c r="I26" s="158">
        <v>24584</v>
      </c>
      <c r="J26" s="158">
        <v>32328</v>
      </c>
      <c r="K26" s="181">
        <v>241736.77083333334</v>
      </c>
      <c r="L26" s="177" t="s">
        <v>3678</v>
      </c>
      <c r="M26" s="189"/>
      <c r="N26" s="98" t="s">
        <v>325</v>
      </c>
      <c r="O26" s="98" t="s">
        <v>2228</v>
      </c>
      <c r="P26" s="113" t="s">
        <v>176</v>
      </c>
    </row>
    <row r="27" spans="1:16" ht="15.75" customHeight="1">
      <c r="A27" s="184" t="s">
        <v>2</v>
      </c>
      <c r="B27" s="133" t="s">
        <v>4045</v>
      </c>
      <c r="C27" s="177" t="s">
        <v>4063</v>
      </c>
      <c r="D27" s="158"/>
      <c r="E27" s="158">
        <v>21733</v>
      </c>
      <c r="F27" s="133" t="s">
        <v>171</v>
      </c>
      <c r="G27" s="158">
        <v>53360</v>
      </c>
      <c r="H27" s="158">
        <v>3392</v>
      </c>
      <c r="I27" s="158">
        <v>4904</v>
      </c>
      <c r="J27" s="158">
        <v>45064</v>
      </c>
      <c r="K27" s="178" t="s">
        <v>4064</v>
      </c>
      <c r="L27" s="177" t="s">
        <v>3678</v>
      </c>
      <c r="M27" s="189"/>
      <c r="N27" s="98" t="s">
        <v>325</v>
      </c>
      <c r="O27" s="98" t="s">
        <v>2228</v>
      </c>
      <c r="P27" s="113" t="s">
        <v>176</v>
      </c>
    </row>
    <row r="28" spans="1:16" ht="15.75" customHeight="1">
      <c r="A28" s="184" t="s">
        <v>2</v>
      </c>
      <c r="B28" s="133" t="s">
        <v>4045</v>
      </c>
      <c r="C28" s="177" t="s">
        <v>4065</v>
      </c>
      <c r="D28" s="158"/>
      <c r="E28" s="158">
        <v>7</v>
      </c>
      <c r="F28" s="133" t="s">
        <v>171</v>
      </c>
      <c r="G28" s="158">
        <v>72</v>
      </c>
      <c r="H28" s="158">
        <v>8</v>
      </c>
      <c r="I28" s="158">
        <v>8</v>
      </c>
      <c r="J28" s="158">
        <v>56</v>
      </c>
      <c r="K28" s="178" t="s">
        <v>4066</v>
      </c>
      <c r="L28" s="177" t="s">
        <v>3678</v>
      </c>
      <c r="M28" s="189"/>
      <c r="N28" s="98" t="s">
        <v>3720</v>
      </c>
      <c r="O28" s="98" t="s">
        <v>310</v>
      </c>
      <c r="P28" s="113" t="s">
        <v>185</v>
      </c>
    </row>
    <row r="29" spans="1:16" ht="15.75" customHeight="1">
      <c r="A29" s="184" t="s">
        <v>2</v>
      </c>
      <c r="B29" s="133" t="s">
        <v>4045</v>
      </c>
      <c r="C29" s="177" t="s">
        <v>4067</v>
      </c>
      <c r="D29" s="158"/>
      <c r="E29" s="158">
        <v>8212857</v>
      </c>
      <c r="F29" s="133" t="s">
        <v>171</v>
      </c>
      <c r="G29" s="158">
        <v>5350168</v>
      </c>
      <c r="H29" s="158">
        <v>2043464</v>
      </c>
      <c r="I29" s="158">
        <v>3283424</v>
      </c>
      <c r="J29" s="158">
        <v>23280</v>
      </c>
      <c r="K29" s="178" t="s">
        <v>4068</v>
      </c>
      <c r="L29" s="177" t="s">
        <v>3678</v>
      </c>
      <c r="M29" s="189"/>
      <c r="N29" s="98" t="s">
        <v>4069</v>
      </c>
      <c r="O29" s="98" t="s">
        <v>2228</v>
      </c>
      <c r="P29" s="113" t="s">
        <v>176</v>
      </c>
    </row>
    <row r="30" spans="1:16" ht="15.75" customHeight="1">
      <c r="A30" s="184" t="s">
        <v>2</v>
      </c>
      <c r="B30" s="133" t="s">
        <v>4045</v>
      </c>
      <c r="C30" s="177" t="s">
        <v>4070</v>
      </c>
      <c r="D30" s="158"/>
      <c r="E30" s="158">
        <v>6699271</v>
      </c>
      <c r="F30" s="133" t="s">
        <v>171</v>
      </c>
      <c r="G30" s="158">
        <v>2270768</v>
      </c>
      <c r="H30" s="158">
        <v>1340088</v>
      </c>
      <c r="I30" s="158">
        <v>921984</v>
      </c>
      <c r="J30" s="158">
        <v>8696</v>
      </c>
      <c r="K30" s="178" t="s">
        <v>4071</v>
      </c>
      <c r="L30" s="177" t="s">
        <v>3678</v>
      </c>
      <c r="M30" s="189"/>
      <c r="N30" s="98" t="s">
        <v>4072</v>
      </c>
      <c r="O30" s="98" t="s">
        <v>2228</v>
      </c>
      <c r="P30" s="113" t="s">
        <v>176</v>
      </c>
    </row>
    <row r="31" spans="1:16" ht="15.75" customHeight="1">
      <c r="A31" s="184" t="s">
        <v>2</v>
      </c>
      <c r="B31" s="133" t="s">
        <v>4045</v>
      </c>
      <c r="C31" s="177" t="s">
        <v>4073</v>
      </c>
      <c r="D31" s="158"/>
      <c r="E31" s="158">
        <v>50896</v>
      </c>
      <c r="F31" s="133" t="s">
        <v>171</v>
      </c>
      <c r="G31" s="158">
        <v>30800</v>
      </c>
      <c r="H31" s="158">
        <v>19600</v>
      </c>
      <c r="I31" s="158">
        <v>7144</v>
      </c>
      <c r="J31" s="158">
        <v>4056</v>
      </c>
      <c r="K31" s="178" t="s">
        <v>4074</v>
      </c>
      <c r="L31" s="177" t="s">
        <v>3678</v>
      </c>
      <c r="M31" s="189"/>
      <c r="N31" s="98" t="s">
        <v>325</v>
      </c>
      <c r="O31" s="98" t="s">
        <v>310</v>
      </c>
      <c r="P31" s="113" t="s">
        <v>185</v>
      </c>
    </row>
    <row r="32" spans="1:16" ht="15.75" customHeight="1">
      <c r="A32" s="184" t="s">
        <v>2</v>
      </c>
      <c r="B32" s="133" t="s">
        <v>4045</v>
      </c>
      <c r="C32" s="177" t="s">
        <v>76</v>
      </c>
      <c r="D32" s="158"/>
      <c r="E32" s="158">
        <v>1417534</v>
      </c>
      <c r="F32" s="133" t="s">
        <v>171</v>
      </c>
      <c r="G32" s="158">
        <v>971792</v>
      </c>
      <c r="H32" s="158">
        <v>710056</v>
      </c>
      <c r="I32" s="158">
        <v>258000</v>
      </c>
      <c r="J32" s="158">
        <v>3736</v>
      </c>
      <c r="K32" s="178" t="s">
        <v>4075</v>
      </c>
      <c r="L32" s="177" t="s">
        <v>3678</v>
      </c>
      <c r="M32" s="189"/>
      <c r="N32" s="98" t="s">
        <v>4076</v>
      </c>
      <c r="O32" s="98" t="s">
        <v>2228</v>
      </c>
      <c r="P32" s="113" t="s">
        <v>176</v>
      </c>
    </row>
    <row r="33" spans="1:16" ht="15.75" customHeight="1">
      <c r="A33" s="184" t="s">
        <v>2</v>
      </c>
      <c r="B33" s="133" t="s">
        <v>4077</v>
      </c>
      <c r="C33" s="177" t="s">
        <v>4078</v>
      </c>
      <c r="D33" s="158"/>
      <c r="E33" s="158">
        <v>7395511</v>
      </c>
      <c r="F33" s="133" t="s">
        <v>171</v>
      </c>
      <c r="G33" s="158">
        <v>2642800</v>
      </c>
      <c r="H33" s="158">
        <v>2618512</v>
      </c>
      <c r="I33" s="158">
        <v>23336</v>
      </c>
      <c r="J33" s="158">
        <v>952</v>
      </c>
      <c r="K33" s="185">
        <v>241831.75208333333</v>
      </c>
      <c r="L33" s="177" t="s">
        <v>3678</v>
      </c>
      <c r="M33" s="189"/>
      <c r="N33" s="98" t="s">
        <v>4079</v>
      </c>
      <c r="O33" s="98" t="s">
        <v>2228</v>
      </c>
      <c r="P33" s="113" t="s">
        <v>176</v>
      </c>
    </row>
    <row r="34" spans="1:16" ht="15.75" customHeight="1">
      <c r="A34" s="184" t="s">
        <v>2</v>
      </c>
      <c r="B34" s="133" t="s">
        <v>415</v>
      </c>
      <c r="C34" s="177" t="s">
        <v>4080</v>
      </c>
      <c r="D34" s="160"/>
      <c r="E34" s="160"/>
      <c r="F34" s="160"/>
      <c r="G34" s="160"/>
      <c r="H34" s="160"/>
      <c r="I34" s="160"/>
      <c r="J34" s="160"/>
      <c r="K34" s="187"/>
      <c r="L34" s="177" t="s">
        <v>3753</v>
      </c>
      <c r="M34" s="189"/>
      <c r="N34" s="98" t="s">
        <v>4081</v>
      </c>
      <c r="P34" s="113" t="s">
        <v>176</v>
      </c>
    </row>
    <row r="35" spans="1:16" ht="15.75" customHeight="1">
      <c r="A35" s="184" t="s">
        <v>2</v>
      </c>
      <c r="B35" s="133" t="s">
        <v>415</v>
      </c>
      <c r="C35" s="177" t="s">
        <v>4082</v>
      </c>
      <c r="D35" s="160"/>
      <c r="E35" s="160"/>
      <c r="F35" s="160"/>
      <c r="G35" s="160"/>
      <c r="H35" s="160"/>
      <c r="I35" s="160"/>
      <c r="J35" s="160"/>
      <c r="K35" s="187"/>
      <c r="L35" s="177" t="s">
        <v>3753</v>
      </c>
      <c r="M35" s="189"/>
      <c r="N35" s="98" t="s">
        <v>4083</v>
      </c>
      <c r="O35" s="98" t="s">
        <v>2228</v>
      </c>
      <c r="P35" s="113" t="s">
        <v>176</v>
      </c>
    </row>
    <row r="36" spans="1:16" ht="15.75" customHeight="1">
      <c r="A36" s="184" t="s">
        <v>2</v>
      </c>
      <c r="B36" s="133" t="s">
        <v>415</v>
      </c>
      <c r="C36" s="177" t="s">
        <v>4084</v>
      </c>
      <c r="D36" s="160"/>
      <c r="E36" s="160"/>
      <c r="F36" s="160"/>
      <c r="G36" s="160"/>
      <c r="H36" s="160"/>
      <c r="I36" s="160"/>
      <c r="J36" s="160"/>
      <c r="K36" s="187"/>
      <c r="L36" s="177" t="s">
        <v>3753</v>
      </c>
      <c r="M36" s="189"/>
      <c r="N36" s="98" t="s">
        <v>4085</v>
      </c>
      <c r="P36" s="113" t="s">
        <v>176</v>
      </c>
    </row>
    <row r="37" spans="1:16" ht="15.75" customHeight="1">
      <c r="A37" s="184" t="s">
        <v>2</v>
      </c>
      <c r="B37" s="133" t="s">
        <v>415</v>
      </c>
      <c r="C37" s="177" t="s">
        <v>4086</v>
      </c>
      <c r="D37" s="160"/>
      <c r="E37" s="160"/>
      <c r="F37" s="160"/>
      <c r="G37" s="160"/>
      <c r="H37" s="160"/>
      <c r="I37" s="160"/>
      <c r="J37" s="160"/>
      <c r="K37" s="187"/>
      <c r="L37" s="177" t="s">
        <v>3753</v>
      </c>
      <c r="M37" s="189"/>
      <c r="N37" s="98" t="s">
        <v>4087</v>
      </c>
      <c r="O37" s="98" t="s">
        <v>2228</v>
      </c>
      <c r="P37" s="113" t="s">
        <v>176</v>
      </c>
    </row>
    <row r="38" spans="1:16" ht="15.75" customHeight="1">
      <c r="A38" s="184" t="s">
        <v>2</v>
      </c>
      <c r="B38" s="133" t="s">
        <v>415</v>
      </c>
      <c r="C38" s="177" t="s">
        <v>4088</v>
      </c>
      <c r="D38" s="160"/>
      <c r="E38" s="160"/>
      <c r="F38" s="160"/>
      <c r="G38" s="160"/>
      <c r="H38" s="160"/>
      <c r="I38" s="160"/>
      <c r="J38" s="160"/>
      <c r="K38" s="187"/>
      <c r="L38" s="177" t="s">
        <v>3753</v>
      </c>
      <c r="M38" s="189"/>
      <c r="N38" s="98" t="s">
        <v>2619</v>
      </c>
      <c r="O38" s="98" t="s">
        <v>2228</v>
      </c>
      <c r="P38" s="113" t="s">
        <v>176</v>
      </c>
    </row>
    <row r="39" spans="1:16" ht="15.75" customHeight="1">
      <c r="A39" s="184" t="s">
        <v>2</v>
      </c>
      <c r="B39" s="133" t="s">
        <v>415</v>
      </c>
      <c r="C39" s="177" t="s">
        <v>4089</v>
      </c>
      <c r="D39" s="160"/>
      <c r="E39" s="160"/>
      <c r="F39" s="160"/>
      <c r="G39" s="160"/>
      <c r="H39" s="160"/>
      <c r="I39" s="160"/>
      <c r="J39" s="160"/>
      <c r="K39" s="187"/>
      <c r="L39" s="177" t="s">
        <v>3753</v>
      </c>
      <c r="M39" s="189"/>
      <c r="N39" s="98" t="s">
        <v>4090</v>
      </c>
      <c r="P39" s="113" t="s">
        <v>176</v>
      </c>
    </row>
    <row r="40" spans="1:16" ht="15.75" customHeight="1">
      <c r="A40" s="184" t="s">
        <v>2</v>
      </c>
      <c r="B40" s="133" t="s">
        <v>415</v>
      </c>
      <c r="C40" s="177" t="s">
        <v>4091</v>
      </c>
      <c r="D40" s="160"/>
      <c r="E40" s="160"/>
      <c r="F40" s="160"/>
      <c r="G40" s="160"/>
      <c r="H40" s="160"/>
      <c r="I40" s="160"/>
      <c r="J40" s="160"/>
      <c r="K40" s="196"/>
      <c r="L40" s="177" t="s">
        <v>3753</v>
      </c>
      <c r="M40" s="189"/>
      <c r="N40" s="98" t="s">
        <v>4092</v>
      </c>
      <c r="O40" s="98" t="s">
        <v>2228</v>
      </c>
      <c r="P40" s="113" t="s">
        <v>176</v>
      </c>
    </row>
    <row r="41" spans="1:16" ht="15.75" customHeight="1">
      <c r="A41" s="184" t="s">
        <v>2</v>
      </c>
      <c r="B41" s="133" t="s">
        <v>415</v>
      </c>
      <c r="C41" s="177" t="s">
        <v>4093</v>
      </c>
      <c r="D41" s="160"/>
      <c r="E41" s="160"/>
      <c r="F41" s="160"/>
      <c r="G41" s="160"/>
      <c r="H41" s="160"/>
      <c r="I41" s="160"/>
      <c r="J41" s="160"/>
      <c r="K41" s="196"/>
      <c r="L41" s="177" t="s">
        <v>3753</v>
      </c>
      <c r="M41" s="189"/>
      <c r="N41" s="197" t="s">
        <v>4094</v>
      </c>
      <c r="P41" s="113" t="s">
        <v>176</v>
      </c>
    </row>
    <row r="42" spans="1:16" ht="15.75" customHeight="1">
      <c r="A42" s="184" t="s">
        <v>2</v>
      </c>
      <c r="B42" s="133" t="s">
        <v>415</v>
      </c>
      <c r="C42" s="177" t="s">
        <v>4095</v>
      </c>
      <c r="D42" s="160"/>
      <c r="E42" s="160"/>
      <c r="F42" s="160"/>
      <c r="G42" s="160"/>
      <c r="H42" s="160"/>
      <c r="I42" s="160"/>
      <c r="J42" s="160"/>
      <c r="K42" s="196"/>
      <c r="L42" s="177" t="s">
        <v>3753</v>
      </c>
      <c r="M42" s="189"/>
      <c r="N42" s="98" t="s">
        <v>4096</v>
      </c>
      <c r="O42" s="98" t="s">
        <v>2228</v>
      </c>
      <c r="P42" s="113" t="s">
        <v>176</v>
      </c>
    </row>
    <row r="43" spans="1:16" ht="15.75" customHeight="1">
      <c r="A43" s="184" t="s">
        <v>2</v>
      </c>
      <c r="B43" s="133" t="s">
        <v>415</v>
      </c>
      <c r="C43" s="177" t="s">
        <v>4097</v>
      </c>
      <c r="D43" s="160"/>
      <c r="E43" s="160"/>
      <c r="F43" s="160"/>
      <c r="G43" s="160"/>
      <c r="H43" s="160"/>
      <c r="I43" s="160"/>
      <c r="J43" s="160"/>
      <c r="K43" s="196"/>
      <c r="L43" s="177" t="s">
        <v>3753</v>
      </c>
      <c r="M43" s="189"/>
      <c r="N43" s="98" t="s">
        <v>4098</v>
      </c>
      <c r="O43" s="98" t="s">
        <v>2228</v>
      </c>
      <c r="P43" s="113" t="s">
        <v>176</v>
      </c>
    </row>
    <row r="44" spans="1:16" ht="15.75" customHeight="1">
      <c r="A44" s="184" t="s">
        <v>2</v>
      </c>
      <c r="B44" s="133" t="s">
        <v>415</v>
      </c>
      <c r="C44" s="177" t="s">
        <v>4099</v>
      </c>
      <c r="D44" s="160"/>
      <c r="E44" s="160"/>
      <c r="F44" s="160"/>
      <c r="G44" s="160"/>
      <c r="H44" s="160"/>
      <c r="I44" s="160"/>
      <c r="J44" s="160"/>
      <c r="K44" s="196"/>
      <c r="L44" s="177" t="s">
        <v>3753</v>
      </c>
      <c r="M44" s="189"/>
      <c r="N44" s="98" t="s">
        <v>4100</v>
      </c>
      <c r="O44" s="98" t="s">
        <v>2228</v>
      </c>
      <c r="P44" s="113" t="s">
        <v>176</v>
      </c>
    </row>
    <row r="45" spans="1:16" ht="15.75" customHeight="1">
      <c r="A45" s="191" t="s">
        <v>2</v>
      </c>
      <c r="B45" s="191" t="s">
        <v>266</v>
      </c>
      <c r="C45" s="198" t="s">
        <v>4101</v>
      </c>
      <c r="D45" s="191"/>
      <c r="E45" s="191">
        <v>30</v>
      </c>
      <c r="F45" s="191" t="s">
        <v>171</v>
      </c>
      <c r="G45" s="191" t="s">
        <v>4102</v>
      </c>
      <c r="H45" s="191" t="s">
        <v>4103</v>
      </c>
      <c r="I45" s="191" t="s">
        <v>4103</v>
      </c>
      <c r="J45" s="191" t="s">
        <v>4104</v>
      </c>
      <c r="K45" s="199">
        <v>43677.62533703704</v>
      </c>
      <c r="L45" s="177" t="s">
        <v>3678</v>
      </c>
      <c r="M45" s="189"/>
      <c r="N45" s="98" t="s">
        <v>793</v>
      </c>
      <c r="O45" s="98" t="s">
        <v>215</v>
      </c>
      <c r="P45" s="113" t="s">
        <v>176</v>
      </c>
    </row>
    <row r="46" spans="1:16" ht="15.75" customHeight="1">
      <c r="A46" s="184" t="s">
        <v>2</v>
      </c>
      <c r="B46" s="133" t="s">
        <v>415</v>
      </c>
      <c r="C46" s="200" t="s">
        <v>4105</v>
      </c>
      <c r="D46" s="191" t="s">
        <v>4106</v>
      </c>
      <c r="E46" s="191">
        <v>112084</v>
      </c>
      <c r="F46" s="191" t="s">
        <v>171</v>
      </c>
      <c r="G46" s="191" t="s">
        <v>4107</v>
      </c>
      <c r="H46" s="191" t="s">
        <v>4108</v>
      </c>
      <c r="I46" s="191" t="s">
        <v>4109</v>
      </c>
      <c r="J46" s="191" t="s">
        <v>4110</v>
      </c>
      <c r="K46" s="199">
        <v>43075.511302430554</v>
      </c>
      <c r="L46" s="177" t="s">
        <v>3678</v>
      </c>
      <c r="M46" s="189"/>
      <c r="N46" s="98" t="s">
        <v>1163</v>
      </c>
      <c r="O46" s="98" t="s">
        <v>215</v>
      </c>
      <c r="P46" s="113" t="s">
        <v>176</v>
      </c>
    </row>
    <row r="47" spans="1:16" ht="15.75" customHeight="1">
      <c r="A47" s="184" t="s">
        <v>2</v>
      </c>
      <c r="B47" s="133" t="s">
        <v>415</v>
      </c>
      <c r="C47" s="201" t="s">
        <v>4111</v>
      </c>
      <c r="D47" s="191" t="s">
        <v>4112</v>
      </c>
      <c r="E47" s="191">
        <v>463289</v>
      </c>
      <c r="F47" s="191" t="s">
        <v>171</v>
      </c>
      <c r="G47" s="191" t="s">
        <v>4113</v>
      </c>
      <c r="H47" s="191" t="s">
        <v>4114</v>
      </c>
      <c r="I47" s="191" t="s">
        <v>4115</v>
      </c>
      <c r="J47" s="191" t="s">
        <v>4116</v>
      </c>
      <c r="K47" s="202">
        <v>42940.731187500001</v>
      </c>
      <c r="L47" s="177" t="s">
        <v>3678</v>
      </c>
      <c r="M47" s="189"/>
      <c r="N47" s="98" t="s">
        <v>4117</v>
      </c>
      <c r="O47" s="98" t="s">
        <v>215</v>
      </c>
      <c r="P47" s="113" t="s">
        <v>176</v>
      </c>
    </row>
    <row r="48" spans="1:16" ht="15.75" customHeight="1">
      <c r="A48" s="184" t="s">
        <v>2</v>
      </c>
      <c r="B48" s="133" t="s">
        <v>415</v>
      </c>
      <c r="C48" s="200" t="s">
        <v>4118</v>
      </c>
      <c r="D48" s="191" t="s">
        <v>4119</v>
      </c>
      <c r="E48" s="191">
        <v>6926</v>
      </c>
      <c r="F48" s="191" t="s">
        <v>171</v>
      </c>
      <c r="G48" s="191" t="s">
        <v>4120</v>
      </c>
      <c r="H48" s="191" t="s">
        <v>4121</v>
      </c>
      <c r="I48" s="191" t="s">
        <v>4122</v>
      </c>
      <c r="J48" s="191" t="s">
        <v>4123</v>
      </c>
      <c r="K48" s="199">
        <v>43679.659242858797</v>
      </c>
      <c r="L48" s="177" t="s">
        <v>3678</v>
      </c>
      <c r="M48" s="189"/>
      <c r="N48" s="98" t="s">
        <v>4124</v>
      </c>
      <c r="O48" s="98" t="s">
        <v>215</v>
      </c>
      <c r="P48" s="113" t="s">
        <v>176</v>
      </c>
    </row>
    <row r="49" spans="1:16" ht="15.75" customHeight="1">
      <c r="A49" s="184" t="s">
        <v>2</v>
      </c>
      <c r="B49" s="133" t="s">
        <v>415</v>
      </c>
      <c r="C49" s="200" t="s">
        <v>4125</v>
      </c>
      <c r="D49" s="191" t="s">
        <v>4126</v>
      </c>
      <c r="E49" s="191">
        <v>7391</v>
      </c>
      <c r="F49" s="191" t="s">
        <v>171</v>
      </c>
      <c r="G49" s="191" t="s">
        <v>4127</v>
      </c>
      <c r="H49" s="191" t="s">
        <v>4128</v>
      </c>
      <c r="I49" s="191" t="s">
        <v>4129</v>
      </c>
      <c r="J49" s="191" t="s">
        <v>4130</v>
      </c>
      <c r="K49" s="199">
        <v>43679.660413738427</v>
      </c>
      <c r="L49" s="177" t="s">
        <v>3678</v>
      </c>
      <c r="M49" s="189"/>
      <c r="N49" s="98" t="s">
        <v>4131</v>
      </c>
      <c r="O49" s="98" t="s">
        <v>215</v>
      </c>
      <c r="P49" s="113" t="s">
        <v>176</v>
      </c>
    </row>
    <row r="50" spans="1:16" ht="15.75" customHeight="1">
      <c r="A50" s="184" t="s">
        <v>2</v>
      </c>
      <c r="B50" s="133" t="s">
        <v>415</v>
      </c>
      <c r="C50" s="203" t="s">
        <v>4132</v>
      </c>
      <c r="D50" s="98" t="s">
        <v>4133</v>
      </c>
      <c r="E50" s="98">
        <v>140587</v>
      </c>
      <c r="F50" s="191" t="s">
        <v>171</v>
      </c>
      <c r="G50" s="98" t="s">
        <v>4134</v>
      </c>
      <c r="H50" s="98" t="s">
        <v>4135</v>
      </c>
      <c r="I50" s="98" t="s">
        <v>4136</v>
      </c>
      <c r="J50" s="98" t="s">
        <v>4137</v>
      </c>
      <c r="K50" s="204">
        <v>43679.647040509262</v>
      </c>
      <c r="L50" s="177" t="s">
        <v>3678</v>
      </c>
      <c r="M50" s="189"/>
      <c r="N50" s="98" t="s">
        <v>4138</v>
      </c>
      <c r="O50" s="98" t="s">
        <v>215</v>
      </c>
      <c r="P50" s="113" t="s">
        <v>176</v>
      </c>
    </row>
    <row r="51" spans="1:16" ht="15.75" customHeight="1">
      <c r="A51" s="184" t="s">
        <v>2</v>
      </c>
      <c r="B51" s="133" t="s">
        <v>415</v>
      </c>
      <c r="C51" s="205" t="s">
        <v>4139</v>
      </c>
      <c r="D51" s="98" t="s">
        <v>4140</v>
      </c>
      <c r="E51" s="98">
        <v>395789</v>
      </c>
      <c r="F51" s="191" t="s">
        <v>171</v>
      </c>
      <c r="G51" s="98" t="s">
        <v>4141</v>
      </c>
      <c r="H51" s="98" t="s">
        <v>4142</v>
      </c>
      <c r="I51" s="98" t="s">
        <v>4143</v>
      </c>
      <c r="J51" s="98" t="s">
        <v>4144</v>
      </c>
      <c r="K51" s="204">
        <v>43679.647782326392</v>
      </c>
      <c r="L51" s="177" t="s">
        <v>3678</v>
      </c>
      <c r="M51" s="189"/>
      <c r="N51" s="98" t="s">
        <v>4145</v>
      </c>
      <c r="O51" s="98" t="s">
        <v>215</v>
      </c>
      <c r="P51" s="113" t="s">
        <v>176</v>
      </c>
    </row>
    <row r="52" spans="1:16" ht="15.75" customHeight="1">
      <c r="A52" s="184" t="s">
        <v>2</v>
      </c>
      <c r="B52" s="133" t="s">
        <v>415</v>
      </c>
      <c r="C52" s="200" t="s">
        <v>4146</v>
      </c>
      <c r="D52" s="98" t="s">
        <v>4147</v>
      </c>
      <c r="E52" s="98">
        <v>6921</v>
      </c>
      <c r="F52" s="191" t="s">
        <v>171</v>
      </c>
      <c r="G52" s="98" t="s">
        <v>4148</v>
      </c>
      <c r="H52" s="98" t="s">
        <v>4149</v>
      </c>
      <c r="I52" s="98" t="s">
        <v>4150</v>
      </c>
      <c r="J52" s="98" t="s">
        <v>4151</v>
      </c>
      <c r="K52" s="204">
        <v>43701.101024537034</v>
      </c>
      <c r="L52" s="177" t="s">
        <v>3678</v>
      </c>
      <c r="M52" s="189"/>
      <c r="N52" s="98" t="s">
        <v>4152</v>
      </c>
      <c r="O52" s="98" t="s">
        <v>215</v>
      </c>
      <c r="P52" s="113" t="s">
        <v>176</v>
      </c>
    </row>
    <row r="53" spans="1:16" ht="15.75" customHeight="1">
      <c r="A53" s="184" t="s">
        <v>2</v>
      </c>
      <c r="B53" s="133" t="s">
        <v>415</v>
      </c>
      <c r="C53" s="200" t="s">
        <v>4153</v>
      </c>
      <c r="D53" s="98" t="s">
        <v>4154</v>
      </c>
      <c r="E53" s="98">
        <v>7375</v>
      </c>
      <c r="F53" s="191" t="s">
        <v>171</v>
      </c>
      <c r="G53" s="98" t="s">
        <v>4155</v>
      </c>
      <c r="H53" s="98" t="s">
        <v>4156</v>
      </c>
      <c r="I53" s="98" t="s">
        <v>4157</v>
      </c>
      <c r="J53" s="98" t="s">
        <v>4158</v>
      </c>
      <c r="K53" s="204">
        <v>43679.664774999997</v>
      </c>
      <c r="L53" s="177" t="s">
        <v>3678</v>
      </c>
      <c r="M53" s="189"/>
      <c r="N53" s="98" t="s">
        <v>4159</v>
      </c>
      <c r="O53" s="98" t="s">
        <v>215</v>
      </c>
      <c r="P53" s="113" t="s">
        <v>176</v>
      </c>
    </row>
    <row r="54" spans="1:16" ht="15.75" customHeight="1">
      <c r="A54" s="184" t="s">
        <v>2</v>
      </c>
      <c r="B54" s="133" t="s">
        <v>415</v>
      </c>
      <c r="C54" s="200" t="s">
        <v>4160</v>
      </c>
      <c r="D54" s="98" t="s">
        <v>4161</v>
      </c>
      <c r="E54" s="98">
        <v>1282</v>
      </c>
      <c r="F54" s="191" t="s">
        <v>171</v>
      </c>
      <c r="G54" s="98" t="s">
        <v>4162</v>
      </c>
      <c r="H54" s="98" t="s">
        <v>4163</v>
      </c>
      <c r="I54" s="98" t="s">
        <v>4164</v>
      </c>
      <c r="J54" s="98" t="s">
        <v>4165</v>
      </c>
      <c r="K54" s="204">
        <v>43679.752178553237</v>
      </c>
      <c r="L54" s="177" t="s">
        <v>3678</v>
      </c>
      <c r="M54" s="189"/>
      <c r="N54" s="98" t="s">
        <v>4166</v>
      </c>
      <c r="O54" s="98" t="s">
        <v>215</v>
      </c>
      <c r="P54" s="113" t="s">
        <v>176</v>
      </c>
    </row>
    <row r="55" spans="1:16" ht="15.75" customHeight="1">
      <c r="A55" s="184" t="s">
        <v>2</v>
      </c>
      <c r="B55" s="133" t="s">
        <v>415</v>
      </c>
      <c r="C55" s="200" t="s">
        <v>4167</v>
      </c>
      <c r="D55" s="98" t="s">
        <v>4168</v>
      </c>
      <c r="E55" s="98">
        <v>3716</v>
      </c>
      <c r="F55" s="191" t="s">
        <v>171</v>
      </c>
      <c r="G55" s="98" t="s">
        <v>4169</v>
      </c>
      <c r="H55" s="98" t="s">
        <v>4170</v>
      </c>
      <c r="I55" s="98" t="s">
        <v>4171</v>
      </c>
      <c r="J55" s="98" t="s">
        <v>4172</v>
      </c>
      <c r="K55" s="204">
        <v>43679.75217832176</v>
      </c>
      <c r="L55" s="177" t="s">
        <v>3678</v>
      </c>
      <c r="M55" s="189"/>
      <c r="N55" s="98" t="s">
        <v>4173</v>
      </c>
      <c r="O55" s="98" t="s">
        <v>215</v>
      </c>
      <c r="P55" s="113" t="s">
        <v>176</v>
      </c>
    </row>
    <row r="56" spans="1:16" ht="15.75" customHeight="1">
      <c r="C56" s="189"/>
      <c r="K56" s="182"/>
      <c r="L56" s="189"/>
      <c r="M56" s="189"/>
    </row>
    <row r="57" spans="1:16" ht="15.75" customHeight="1">
      <c r="C57" s="189"/>
      <c r="K57" s="182"/>
      <c r="L57" s="189"/>
      <c r="M57" s="189"/>
    </row>
    <row r="58" spans="1:16" ht="15.75" customHeight="1">
      <c r="C58" s="189"/>
      <c r="K58" s="182"/>
      <c r="L58" s="189"/>
      <c r="M58" s="189"/>
    </row>
    <row r="59" spans="1:16" ht="15.75" customHeight="1">
      <c r="C59" s="189"/>
      <c r="K59" s="182"/>
      <c r="L59" s="189"/>
      <c r="M59" s="189"/>
    </row>
    <row r="60" spans="1:16" ht="15.75" customHeight="1">
      <c r="C60" s="189"/>
      <c r="K60" s="182"/>
      <c r="L60" s="189"/>
      <c r="M60" s="189"/>
    </row>
    <row r="61" spans="1:16" ht="15.75" customHeight="1">
      <c r="C61" s="189"/>
      <c r="K61" s="182"/>
      <c r="L61" s="189"/>
      <c r="M61" s="189"/>
    </row>
    <row r="62" spans="1:16" ht="15.75" customHeight="1">
      <c r="C62" s="189"/>
      <c r="K62" s="182"/>
      <c r="L62" s="189"/>
      <c r="M62" s="189"/>
    </row>
    <row r="63" spans="1:16" ht="15.75" customHeight="1">
      <c r="C63" s="189"/>
      <c r="K63" s="182"/>
      <c r="L63" s="189"/>
      <c r="M63" s="189"/>
    </row>
    <row r="64" spans="1:16" ht="15.75" customHeight="1">
      <c r="C64" s="189"/>
      <c r="K64" s="182"/>
      <c r="L64" s="189"/>
      <c r="M64" s="189"/>
    </row>
    <row r="65" spans="3:13" ht="15.75" customHeight="1">
      <c r="C65" s="189"/>
      <c r="K65" s="182"/>
      <c r="L65" s="189"/>
      <c r="M65" s="189"/>
    </row>
    <row r="66" spans="3:13" ht="15.75" customHeight="1">
      <c r="C66" s="189"/>
      <c r="K66" s="182"/>
      <c r="L66" s="189"/>
      <c r="M66" s="189"/>
    </row>
    <row r="67" spans="3:13" ht="15.75" customHeight="1">
      <c r="C67" s="189"/>
      <c r="K67" s="182"/>
      <c r="L67" s="189"/>
      <c r="M67" s="189"/>
    </row>
    <row r="68" spans="3:13" ht="15.75" customHeight="1">
      <c r="C68" s="189"/>
      <c r="K68" s="182"/>
      <c r="L68" s="189"/>
      <c r="M68" s="189"/>
    </row>
    <row r="69" spans="3:13" ht="15.75" customHeight="1">
      <c r="C69" s="189"/>
      <c r="K69" s="182"/>
      <c r="L69" s="189"/>
      <c r="M69" s="189"/>
    </row>
    <row r="70" spans="3:13" ht="15.75" customHeight="1">
      <c r="C70" s="189"/>
      <c r="K70" s="182"/>
      <c r="L70" s="189"/>
      <c r="M70" s="189"/>
    </row>
    <row r="71" spans="3:13" ht="15.75" customHeight="1">
      <c r="C71" s="189"/>
      <c r="K71" s="182"/>
      <c r="L71" s="189"/>
      <c r="M71" s="189"/>
    </row>
    <row r="72" spans="3:13" ht="15.75" customHeight="1">
      <c r="C72" s="189"/>
      <c r="K72" s="182"/>
      <c r="L72" s="189"/>
      <c r="M72" s="189"/>
    </row>
    <row r="73" spans="3:13" ht="15.75" customHeight="1">
      <c r="C73" s="189"/>
      <c r="K73" s="182"/>
      <c r="L73" s="189"/>
      <c r="M73" s="189"/>
    </row>
    <row r="74" spans="3:13" ht="15.75" customHeight="1">
      <c r="C74" s="189"/>
      <c r="K74" s="182"/>
      <c r="L74" s="189"/>
      <c r="M74" s="189"/>
    </row>
    <row r="75" spans="3:13" ht="15.75" customHeight="1">
      <c r="C75" s="189"/>
      <c r="K75" s="182"/>
      <c r="L75" s="189"/>
      <c r="M75" s="189"/>
    </row>
    <row r="76" spans="3:13" ht="15.75" customHeight="1">
      <c r="C76" s="189"/>
      <c r="K76" s="182"/>
      <c r="L76" s="189"/>
      <c r="M76" s="189"/>
    </row>
    <row r="77" spans="3:13" ht="15.75" customHeight="1">
      <c r="C77" s="189"/>
      <c r="K77" s="182"/>
      <c r="L77" s="189"/>
      <c r="M77" s="189"/>
    </row>
    <row r="78" spans="3:13" ht="15.75" customHeight="1">
      <c r="C78" s="189"/>
      <c r="K78" s="182"/>
      <c r="L78" s="189"/>
      <c r="M78" s="189"/>
    </row>
    <row r="79" spans="3:13" ht="15.75" customHeight="1">
      <c r="C79" s="189"/>
      <c r="K79" s="182"/>
      <c r="L79" s="189"/>
      <c r="M79" s="189"/>
    </row>
    <row r="80" spans="3:13" ht="15.75" customHeight="1">
      <c r="C80" s="189"/>
      <c r="K80" s="182"/>
      <c r="L80" s="189"/>
      <c r="M80" s="189"/>
    </row>
    <row r="81" spans="3:13" ht="15.75" customHeight="1">
      <c r="C81" s="189"/>
      <c r="K81" s="182"/>
      <c r="L81" s="189"/>
      <c r="M81" s="189"/>
    </row>
    <row r="82" spans="3:13" ht="15.75" customHeight="1">
      <c r="C82" s="189"/>
      <c r="K82" s="182"/>
      <c r="L82" s="189"/>
      <c r="M82" s="189"/>
    </row>
    <row r="83" spans="3:13" ht="15.75" customHeight="1">
      <c r="C83" s="189"/>
      <c r="K83" s="182"/>
      <c r="L83" s="189"/>
      <c r="M83" s="189"/>
    </row>
    <row r="84" spans="3:13" ht="15.75" customHeight="1">
      <c r="C84" s="189"/>
      <c r="K84" s="182"/>
      <c r="L84" s="189"/>
      <c r="M84" s="189"/>
    </row>
    <row r="85" spans="3:13" ht="15.75" customHeight="1">
      <c r="C85" s="189"/>
      <c r="K85" s="182"/>
      <c r="L85" s="189"/>
      <c r="M85" s="189"/>
    </row>
    <row r="86" spans="3:13" ht="15.75" customHeight="1">
      <c r="C86" s="189"/>
      <c r="K86" s="182"/>
      <c r="L86" s="189"/>
      <c r="M86" s="189"/>
    </row>
    <row r="87" spans="3:13" ht="15.75" customHeight="1">
      <c r="C87" s="189"/>
      <c r="K87" s="182"/>
      <c r="L87" s="189"/>
      <c r="M87" s="189"/>
    </row>
    <row r="88" spans="3:13" ht="15.75" customHeight="1">
      <c r="C88" s="189"/>
      <c r="K88" s="182"/>
      <c r="L88" s="189"/>
      <c r="M88" s="189"/>
    </row>
    <row r="89" spans="3:13" ht="15.75" customHeight="1">
      <c r="C89" s="189"/>
      <c r="K89" s="182"/>
      <c r="L89" s="189"/>
      <c r="M89" s="189"/>
    </row>
    <row r="90" spans="3:13" ht="15.75" customHeight="1">
      <c r="C90" s="189"/>
      <c r="K90" s="182"/>
      <c r="L90" s="189"/>
      <c r="M90" s="189"/>
    </row>
    <row r="91" spans="3:13" ht="15.75" customHeight="1">
      <c r="C91" s="189"/>
      <c r="K91" s="182"/>
      <c r="L91" s="189"/>
      <c r="M91" s="189"/>
    </row>
    <row r="92" spans="3:13" ht="15.75" customHeight="1">
      <c r="C92" s="189"/>
      <c r="K92" s="182"/>
      <c r="L92" s="189"/>
      <c r="M92" s="189"/>
    </row>
    <row r="93" spans="3:13" ht="15.75" customHeight="1">
      <c r="C93" s="189"/>
      <c r="K93" s="182"/>
      <c r="L93" s="189"/>
      <c r="M93" s="189"/>
    </row>
    <row r="94" spans="3:13" ht="15.75" customHeight="1">
      <c r="C94" s="189"/>
      <c r="K94" s="182"/>
      <c r="L94" s="189"/>
      <c r="M94" s="189"/>
    </row>
    <row r="95" spans="3:13" ht="15.75" customHeight="1">
      <c r="C95" s="189"/>
      <c r="K95" s="182"/>
      <c r="L95" s="189"/>
      <c r="M95" s="189"/>
    </row>
    <row r="96" spans="3:13" ht="15.75" customHeight="1">
      <c r="C96" s="189"/>
      <c r="K96" s="182"/>
      <c r="L96" s="189"/>
      <c r="M96" s="189"/>
    </row>
    <row r="97" spans="3:13" ht="15.75" customHeight="1">
      <c r="C97" s="189"/>
      <c r="K97" s="182"/>
      <c r="L97" s="189"/>
      <c r="M97" s="189"/>
    </row>
    <row r="98" spans="3:13" ht="15.75" customHeight="1">
      <c r="C98" s="189"/>
      <c r="K98" s="182"/>
      <c r="L98" s="189"/>
      <c r="M98" s="189"/>
    </row>
    <row r="99" spans="3:13" ht="15.75" customHeight="1">
      <c r="C99" s="189"/>
      <c r="K99" s="182"/>
      <c r="L99" s="189"/>
      <c r="M99" s="189"/>
    </row>
    <row r="100" spans="3:13" ht="15.75" customHeight="1">
      <c r="C100" s="189"/>
      <c r="K100" s="182"/>
      <c r="L100" s="189"/>
      <c r="M100" s="189"/>
    </row>
    <row r="101" spans="3:13" ht="15.75" customHeight="1">
      <c r="C101" s="189"/>
      <c r="K101" s="182"/>
      <c r="L101" s="189"/>
      <c r="M101" s="189"/>
    </row>
    <row r="102" spans="3:13" ht="15.75" customHeight="1">
      <c r="C102" s="189"/>
      <c r="K102" s="182"/>
      <c r="L102" s="189"/>
      <c r="M102" s="189"/>
    </row>
    <row r="103" spans="3:13" ht="15.75" customHeight="1">
      <c r="C103" s="189"/>
      <c r="K103" s="182"/>
      <c r="L103" s="189"/>
      <c r="M103" s="189"/>
    </row>
    <row r="104" spans="3:13" ht="15.75" customHeight="1">
      <c r="C104" s="189"/>
      <c r="K104" s="182"/>
      <c r="L104" s="189"/>
      <c r="M104" s="189"/>
    </row>
    <row r="105" spans="3:13" ht="15.75" customHeight="1">
      <c r="C105" s="189"/>
      <c r="K105" s="182"/>
      <c r="L105" s="189"/>
      <c r="M105" s="189"/>
    </row>
    <row r="106" spans="3:13" ht="15.75" customHeight="1">
      <c r="C106" s="189"/>
      <c r="K106" s="182"/>
      <c r="L106" s="189"/>
      <c r="M106" s="189"/>
    </row>
    <row r="107" spans="3:13" ht="15.75" customHeight="1">
      <c r="C107" s="189"/>
      <c r="K107" s="182"/>
      <c r="L107" s="189"/>
      <c r="M107" s="189"/>
    </row>
    <row r="108" spans="3:13" ht="15.75" customHeight="1">
      <c r="C108" s="189"/>
      <c r="K108" s="182"/>
      <c r="L108" s="189"/>
      <c r="M108" s="189"/>
    </row>
    <row r="109" spans="3:13" ht="15.75" customHeight="1">
      <c r="C109" s="189"/>
      <c r="K109" s="182"/>
      <c r="L109" s="189"/>
      <c r="M109" s="189"/>
    </row>
    <row r="110" spans="3:13" ht="15.75" customHeight="1">
      <c r="C110" s="189"/>
      <c r="K110" s="182"/>
      <c r="L110" s="189"/>
      <c r="M110" s="189"/>
    </row>
    <row r="111" spans="3:13" ht="15.75" customHeight="1">
      <c r="C111" s="189"/>
      <c r="K111" s="182"/>
      <c r="L111" s="189"/>
      <c r="M111" s="189"/>
    </row>
    <row r="112" spans="3:13" ht="15.75" customHeight="1">
      <c r="C112" s="189"/>
      <c r="K112" s="182"/>
      <c r="L112" s="189"/>
      <c r="M112" s="189"/>
    </row>
    <row r="113" spans="3:13" ht="15.75" customHeight="1">
      <c r="C113" s="189"/>
      <c r="K113" s="182"/>
      <c r="L113" s="189"/>
      <c r="M113" s="189"/>
    </row>
    <row r="114" spans="3:13" ht="15.75" customHeight="1">
      <c r="C114" s="189"/>
      <c r="K114" s="182"/>
      <c r="L114" s="189"/>
      <c r="M114" s="189"/>
    </row>
    <row r="115" spans="3:13" ht="15.75" customHeight="1">
      <c r="C115" s="189"/>
      <c r="K115" s="182"/>
      <c r="L115" s="189"/>
      <c r="M115" s="189"/>
    </row>
    <row r="116" spans="3:13" ht="15.75" customHeight="1">
      <c r="C116" s="189"/>
      <c r="K116" s="182"/>
      <c r="L116" s="189"/>
      <c r="M116" s="189"/>
    </row>
    <row r="117" spans="3:13" ht="15.75" customHeight="1">
      <c r="C117" s="189"/>
      <c r="K117" s="182"/>
      <c r="L117" s="189"/>
      <c r="M117" s="189"/>
    </row>
    <row r="118" spans="3:13" ht="15.75" customHeight="1">
      <c r="C118" s="189"/>
      <c r="K118" s="182"/>
      <c r="L118" s="189"/>
      <c r="M118" s="189"/>
    </row>
    <row r="119" spans="3:13" ht="15.75" customHeight="1">
      <c r="C119" s="189"/>
      <c r="K119" s="182"/>
      <c r="L119" s="189"/>
      <c r="M119" s="189"/>
    </row>
    <row r="120" spans="3:13" ht="15.75" customHeight="1">
      <c r="C120" s="189"/>
      <c r="K120" s="182"/>
      <c r="L120" s="189"/>
      <c r="M120" s="189"/>
    </row>
    <row r="121" spans="3:13" ht="15.75" customHeight="1">
      <c r="C121" s="189"/>
      <c r="K121" s="182"/>
      <c r="L121" s="189"/>
      <c r="M121" s="189"/>
    </row>
    <row r="122" spans="3:13" ht="15.75" customHeight="1">
      <c r="C122" s="189"/>
      <c r="K122" s="182"/>
      <c r="L122" s="189"/>
      <c r="M122" s="189"/>
    </row>
    <row r="123" spans="3:13" ht="15.75" customHeight="1">
      <c r="C123" s="189"/>
      <c r="K123" s="182"/>
      <c r="L123" s="189"/>
      <c r="M123" s="189"/>
    </row>
    <row r="124" spans="3:13" ht="15.75" customHeight="1">
      <c r="C124" s="189"/>
      <c r="K124" s="182"/>
      <c r="L124" s="189"/>
      <c r="M124" s="189"/>
    </row>
    <row r="125" spans="3:13" ht="15.75" customHeight="1">
      <c r="C125" s="189"/>
      <c r="K125" s="182"/>
      <c r="L125" s="189"/>
      <c r="M125" s="189"/>
    </row>
    <row r="126" spans="3:13" ht="15.75" customHeight="1">
      <c r="C126" s="189"/>
      <c r="K126" s="182"/>
      <c r="L126" s="189"/>
      <c r="M126" s="189"/>
    </row>
    <row r="127" spans="3:13" ht="15.75" customHeight="1">
      <c r="C127" s="189"/>
      <c r="K127" s="182"/>
      <c r="L127" s="189"/>
      <c r="M127" s="189"/>
    </row>
    <row r="128" spans="3:13" ht="15.75" customHeight="1">
      <c r="C128" s="189"/>
      <c r="K128" s="182"/>
      <c r="L128" s="189"/>
      <c r="M128" s="189"/>
    </row>
    <row r="129" spans="3:13" ht="15.75" customHeight="1">
      <c r="C129" s="189"/>
      <c r="K129" s="182"/>
      <c r="L129" s="189"/>
      <c r="M129" s="189"/>
    </row>
    <row r="130" spans="3:13" ht="15.75" customHeight="1">
      <c r="C130" s="189"/>
      <c r="K130" s="182"/>
      <c r="L130" s="189"/>
      <c r="M130" s="189"/>
    </row>
    <row r="131" spans="3:13" ht="15.75" customHeight="1">
      <c r="C131" s="189"/>
      <c r="K131" s="182"/>
      <c r="L131" s="189"/>
      <c r="M131" s="189"/>
    </row>
    <row r="132" spans="3:13" ht="15.75" customHeight="1">
      <c r="C132" s="189"/>
      <c r="K132" s="182"/>
      <c r="L132" s="189"/>
      <c r="M132" s="189"/>
    </row>
    <row r="133" spans="3:13" ht="15.75" customHeight="1">
      <c r="C133" s="189"/>
      <c r="K133" s="182"/>
      <c r="L133" s="189"/>
      <c r="M133" s="189"/>
    </row>
    <row r="134" spans="3:13" ht="15.75" customHeight="1">
      <c r="C134" s="189"/>
      <c r="K134" s="182"/>
      <c r="L134" s="189"/>
      <c r="M134" s="189"/>
    </row>
    <row r="135" spans="3:13" ht="15.75" customHeight="1">
      <c r="C135" s="189"/>
      <c r="K135" s="182"/>
      <c r="L135" s="189"/>
      <c r="M135" s="189"/>
    </row>
    <row r="136" spans="3:13" ht="15.75" customHeight="1">
      <c r="C136" s="189"/>
      <c r="K136" s="182"/>
      <c r="L136" s="189"/>
      <c r="M136" s="189"/>
    </row>
    <row r="137" spans="3:13" ht="15.75" customHeight="1">
      <c r="C137" s="189"/>
      <c r="K137" s="182"/>
      <c r="L137" s="189"/>
      <c r="M137" s="189"/>
    </row>
    <row r="138" spans="3:13" ht="15.75" customHeight="1">
      <c r="C138" s="189"/>
      <c r="K138" s="182"/>
      <c r="L138" s="189"/>
      <c r="M138" s="189"/>
    </row>
    <row r="139" spans="3:13" ht="15.75" customHeight="1">
      <c r="C139" s="189"/>
      <c r="K139" s="182"/>
      <c r="L139" s="189"/>
      <c r="M139" s="189"/>
    </row>
    <row r="140" spans="3:13" ht="15.75" customHeight="1">
      <c r="C140" s="189"/>
      <c r="K140" s="182"/>
      <c r="L140" s="189"/>
      <c r="M140" s="189"/>
    </row>
    <row r="141" spans="3:13" ht="15.75" customHeight="1">
      <c r="C141" s="189"/>
      <c r="K141" s="182"/>
      <c r="L141" s="189"/>
      <c r="M141" s="189"/>
    </row>
    <row r="142" spans="3:13" ht="15.75" customHeight="1">
      <c r="C142" s="189"/>
      <c r="K142" s="182"/>
      <c r="L142" s="189"/>
      <c r="M142" s="189"/>
    </row>
    <row r="143" spans="3:13" ht="15.75" customHeight="1">
      <c r="C143" s="189"/>
      <c r="K143" s="182"/>
      <c r="L143" s="189"/>
      <c r="M143" s="189"/>
    </row>
    <row r="144" spans="3:13" ht="15.75" customHeight="1">
      <c r="C144" s="189"/>
      <c r="K144" s="182"/>
      <c r="L144" s="189"/>
      <c r="M144" s="189"/>
    </row>
    <row r="145" spans="3:13" ht="15.75" customHeight="1">
      <c r="C145" s="189"/>
      <c r="K145" s="182"/>
      <c r="L145" s="189"/>
      <c r="M145" s="189"/>
    </row>
    <row r="146" spans="3:13" ht="15.75" customHeight="1">
      <c r="C146" s="189"/>
      <c r="K146" s="182"/>
      <c r="L146" s="189"/>
      <c r="M146" s="189"/>
    </row>
    <row r="147" spans="3:13" ht="15.75" customHeight="1">
      <c r="C147" s="189"/>
      <c r="K147" s="182"/>
      <c r="L147" s="189"/>
      <c r="M147" s="189"/>
    </row>
    <row r="148" spans="3:13" ht="15.75" customHeight="1">
      <c r="C148" s="189"/>
      <c r="K148" s="182"/>
      <c r="L148" s="189"/>
      <c r="M148" s="189"/>
    </row>
    <row r="149" spans="3:13" ht="15.75" customHeight="1">
      <c r="C149" s="189"/>
      <c r="K149" s="182"/>
      <c r="L149" s="189"/>
      <c r="M149" s="189"/>
    </row>
    <row r="150" spans="3:13" ht="15.75" customHeight="1">
      <c r="C150" s="189"/>
      <c r="K150" s="182"/>
      <c r="L150" s="189"/>
      <c r="M150" s="189"/>
    </row>
    <row r="151" spans="3:13" ht="15.75" customHeight="1">
      <c r="C151" s="189"/>
      <c r="K151" s="182"/>
      <c r="L151" s="189"/>
      <c r="M151" s="189"/>
    </row>
    <row r="152" spans="3:13" ht="15.75" customHeight="1">
      <c r="C152" s="189"/>
      <c r="K152" s="182"/>
      <c r="L152" s="189"/>
      <c r="M152" s="189"/>
    </row>
    <row r="153" spans="3:13" ht="15.75" customHeight="1">
      <c r="C153" s="189"/>
      <c r="K153" s="182"/>
      <c r="L153" s="189"/>
      <c r="M153" s="189"/>
    </row>
    <row r="154" spans="3:13" ht="15.75" customHeight="1">
      <c r="C154" s="189"/>
      <c r="K154" s="182"/>
      <c r="L154" s="189"/>
      <c r="M154" s="189"/>
    </row>
    <row r="155" spans="3:13" ht="15.75" customHeight="1">
      <c r="C155" s="189"/>
      <c r="K155" s="182"/>
      <c r="L155" s="189"/>
      <c r="M155" s="189"/>
    </row>
    <row r="156" spans="3:13" ht="15.75" customHeight="1">
      <c r="C156" s="189"/>
      <c r="K156" s="182"/>
      <c r="L156" s="189"/>
      <c r="M156" s="189"/>
    </row>
    <row r="157" spans="3:13" ht="15.75" customHeight="1">
      <c r="C157" s="189"/>
      <c r="K157" s="182"/>
      <c r="L157" s="189"/>
      <c r="M157" s="189"/>
    </row>
    <row r="158" spans="3:13" ht="15.75" customHeight="1">
      <c r="C158" s="189"/>
      <c r="K158" s="182"/>
      <c r="L158" s="189"/>
      <c r="M158" s="189"/>
    </row>
    <row r="159" spans="3:13" ht="15.75" customHeight="1">
      <c r="C159" s="189"/>
      <c r="K159" s="182"/>
      <c r="L159" s="189"/>
      <c r="M159" s="189"/>
    </row>
    <row r="160" spans="3:13" ht="15.75" customHeight="1">
      <c r="C160" s="189"/>
      <c r="K160" s="182"/>
      <c r="L160" s="189"/>
      <c r="M160" s="189"/>
    </row>
    <row r="161" spans="3:13" ht="15.75" customHeight="1">
      <c r="C161" s="189"/>
      <c r="K161" s="182"/>
      <c r="L161" s="189"/>
      <c r="M161" s="189"/>
    </row>
    <row r="162" spans="3:13" ht="15.75" customHeight="1">
      <c r="C162" s="189"/>
      <c r="K162" s="182"/>
      <c r="L162" s="189"/>
      <c r="M162" s="189"/>
    </row>
    <row r="163" spans="3:13" ht="15.75" customHeight="1">
      <c r="C163" s="189"/>
      <c r="K163" s="182"/>
      <c r="L163" s="189"/>
      <c r="M163" s="189"/>
    </row>
    <row r="164" spans="3:13" ht="15.75" customHeight="1">
      <c r="C164" s="189"/>
      <c r="K164" s="182"/>
      <c r="L164" s="189"/>
      <c r="M164" s="189"/>
    </row>
    <row r="165" spans="3:13" ht="15.75" customHeight="1">
      <c r="C165" s="189"/>
      <c r="K165" s="182"/>
      <c r="L165" s="189"/>
      <c r="M165" s="189"/>
    </row>
    <row r="166" spans="3:13" ht="15.75" customHeight="1">
      <c r="C166" s="189"/>
      <c r="K166" s="182"/>
      <c r="L166" s="189"/>
      <c r="M166" s="189"/>
    </row>
    <row r="167" spans="3:13" ht="15.75" customHeight="1">
      <c r="C167" s="189"/>
      <c r="K167" s="182"/>
      <c r="L167" s="189"/>
      <c r="M167" s="189"/>
    </row>
    <row r="168" spans="3:13" ht="15.75" customHeight="1">
      <c r="C168" s="189"/>
      <c r="K168" s="182"/>
      <c r="L168" s="189"/>
      <c r="M168" s="189"/>
    </row>
    <row r="169" spans="3:13" ht="15.75" customHeight="1">
      <c r="C169" s="189"/>
      <c r="K169" s="182"/>
      <c r="L169" s="189"/>
      <c r="M169" s="189"/>
    </row>
    <row r="170" spans="3:13" ht="15.75" customHeight="1">
      <c r="C170" s="189"/>
      <c r="K170" s="182"/>
      <c r="L170" s="189"/>
      <c r="M170" s="189"/>
    </row>
    <row r="171" spans="3:13" ht="15.75" customHeight="1">
      <c r="C171" s="189"/>
      <c r="K171" s="182"/>
      <c r="L171" s="189"/>
      <c r="M171" s="189"/>
    </row>
    <row r="172" spans="3:13" ht="15.75" customHeight="1">
      <c r="C172" s="189"/>
      <c r="K172" s="182"/>
      <c r="L172" s="189"/>
      <c r="M172" s="189"/>
    </row>
    <row r="173" spans="3:13" ht="15.75" customHeight="1">
      <c r="C173" s="189"/>
      <c r="K173" s="182"/>
      <c r="L173" s="189"/>
      <c r="M173" s="189"/>
    </row>
    <row r="174" spans="3:13" ht="15.75" customHeight="1">
      <c r="C174" s="189"/>
      <c r="K174" s="182"/>
      <c r="L174" s="189"/>
      <c r="M174" s="189"/>
    </row>
    <row r="175" spans="3:13" ht="15.75" customHeight="1">
      <c r="C175" s="189"/>
      <c r="K175" s="182"/>
      <c r="L175" s="189"/>
      <c r="M175" s="189"/>
    </row>
    <row r="176" spans="3:13" ht="15.75" customHeight="1">
      <c r="C176" s="189"/>
      <c r="K176" s="182"/>
      <c r="L176" s="189"/>
      <c r="M176" s="189"/>
    </row>
    <row r="177" spans="3:13" ht="15.75" customHeight="1">
      <c r="C177" s="189"/>
      <c r="K177" s="182"/>
      <c r="L177" s="189"/>
      <c r="M177" s="189"/>
    </row>
    <row r="178" spans="3:13" ht="15.75" customHeight="1">
      <c r="C178" s="189"/>
      <c r="K178" s="182"/>
      <c r="L178" s="189"/>
      <c r="M178" s="189"/>
    </row>
    <row r="179" spans="3:13" ht="15.75" customHeight="1">
      <c r="C179" s="189"/>
      <c r="K179" s="182"/>
      <c r="L179" s="189"/>
      <c r="M179" s="189"/>
    </row>
    <row r="180" spans="3:13" ht="15.75" customHeight="1">
      <c r="C180" s="189"/>
      <c r="K180" s="182"/>
      <c r="L180" s="189"/>
      <c r="M180" s="189"/>
    </row>
    <row r="181" spans="3:13" ht="15.75" customHeight="1">
      <c r="C181" s="189"/>
      <c r="K181" s="182"/>
      <c r="L181" s="189"/>
      <c r="M181" s="189"/>
    </row>
    <row r="182" spans="3:13" ht="15.75" customHeight="1">
      <c r="C182" s="189"/>
      <c r="K182" s="182"/>
      <c r="L182" s="189"/>
      <c r="M182" s="189"/>
    </row>
    <row r="183" spans="3:13" ht="15.75" customHeight="1">
      <c r="C183" s="189"/>
      <c r="K183" s="182"/>
      <c r="L183" s="189"/>
      <c r="M183" s="189"/>
    </row>
    <row r="184" spans="3:13" ht="15.75" customHeight="1">
      <c r="C184" s="189"/>
      <c r="K184" s="182"/>
      <c r="L184" s="189"/>
      <c r="M184" s="189"/>
    </row>
    <row r="185" spans="3:13" ht="15.75" customHeight="1">
      <c r="C185" s="189"/>
      <c r="K185" s="182"/>
      <c r="L185" s="189"/>
      <c r="M185" s="189"/>
    </row>
    <row r="186" spans="3:13" ht="15.75" customHeight="1">
      <c r="C186" s="189"/>
      <c r="K186" s="182"/>
      <c r="L186" s="189"/>
      <c r="M186" s="189"/>
    </row>
    <row r="187" spans="3:13" ht="15.75" customHeight="1">
      <c r="C187" s="189"/>
      <c r="K187" s="182"/>
      <c r="L187" s="189"/>
      <c r="M187" s="189"/>
    </row>
    <row r="188" spans="3:13" ht="15.75" customHeight="1">
      <c r="C188" s="189"/>
      <c r="K188" s="182"/>
      <c r="L188" s="189"/>
      <c r="M188" s="189"/>
    </row>
    <row r="189" spans="3:13" ht="15.75" customHeight="1">
      <c r="C189" s="189"/>
      <c r="K189" s="182"/>
      <c r="L189" s="189"/>
      <c r="M189" s="189"/>
    </row>
    <row r="190" spans="3:13" ht="15.75" customHeight="1">
      <c r="C190" s="189"/>
      <c r="K190" s="182"/>
      <c r="L190" s="189"/>
      <c r="M190" s="189"/>
    </row>
    <row r="191" spans="3:13" ht="15.75" customHeight="1">
      <c r="C191" s="189"/>
      <c r="K191" s="182"/>
      <c r="L191" s="189"/>
      <c r="M191" s="189"/>
    </row>
    <row r="192" spans="3:13" ht="15.75" customHeight="1">
      <c r="C192" s="189"/>
      <c r="K192" s="182"/>
      <c r="L192" s="189"/>
      <c r="M192" s="189"/>
    </row>
    <row r="193" spans="3:13" ht="15.75" customHeight="1">
      <c r="C193" s="189"/>
      <c r="K193" s="182"/>
      <c r="L193" s="189"/>
      <c r="M193" s="189"/>
    </row>
    <row r="194" spans="3:13" ht="15.75" customHeight="1">
      <c r="C194" s="189"/>
      <c r="K194" s="182"/>
      <c r="L194" s="189"/>
      <c r="M194" s="189"/>
    </row>
    <row r="195" spans="3:13" ht="15.75" customHeight="1">
      <c r="C195" s="189"/>
      <c r="K195" s="182"/>
      <c r="L195" s="189"/>
      <c r="M195" s="189"/>
    </row>
    <row r="196" spans="3:13" ht="15.75" customHeight="1">
      <c r="C196" s="189"/>
      <c r="K196" s="182"/>
      <c r="L196" s="189"/>
      <c r="M196" s="189"/>
    </row>
    <row r="197" spans="3:13" ht="15.75" customHeight="1">
      <c r="C197" s="189"/>
      <c r="K197" s="182"/>
      <c r="L197" s="189"/>
      <c r="M197" s="189"/>
    </row>
    <row r="198" spans="3:13" ht="15.75" customHeight="1">
      <c r="C198" s="189"/>
      <c r="K198" s="182"/>
      <c r="L198" s="189"/>
      <c r="M198" s="189"/>
    </row>
    <row r="199" spans="3:13" ht="15.75" customHeight="1">
      <c r="C199" s="189"/>
      <c r="K199" s="182"/>
      <c r="L199" s="189"/>
      <c r="M199" s="189"/>
    </row>
    <row r="200" spans="3:13" ht="15.75" customHeight="1">
      <c r="C200" s="189"/>
      <c r="K200" s="182"/>
      <c r="L200" s="189"/>
      <c r="M200" s="189"/>
    </row>
    <row r="201" spans="3:13" ht="15.75" customHeight="1">
      <c r="C201" s="189"/>
      <c r="K201" s="182"/>
      <c r="L201" s="189"/>
      <c r="M201" s="189"/>
    </row>
    <row r="202" spans="3:13" ht="15.75" customHeight="1">
      <c r="C202" s="189"/>
      <c r="K202" s="182"/>
      <c r="L202" s="189"/>
      <c r="M202" s="189"/>
    </row>
    <row r="203" spans="3:13" ht="15.75" customHeight="1">
      <c r="C203" s="189"/>
      <c r="K203" s="182"/>
      <c r="L203" s="189"/>
      <c r="M203" s="189"/>
    </row>
    <row r="204" spans="3:13" ht="15.75" customHeight="1">
      <c r="C204" s="189"/>
      <c r="K204" s="182"/>
      <c r="L204" s="189"/>
      <c r="M204" s="189"/>
    </row>
    <row r="205" spans="3:13" ht="15.75" customHeight="1">
      <c r="C205" s="189"/>
      <c r="K205" s="182"/>
      <c r="L205" s="189"/>
      <c r="M205" s="189"/>
    </row>
    <row r="206" spans="3:13" ht="15.75" customHeight="1">
      <c r="C206" s="189"/>
      <c r="K206" s="182"/>
      <c r="L206" s="189"/>
      <c r="M206" s="189"/>
    </row>
    <row r="207" spans="3:13" ht="15.75" customHeight="1">
      <c r="C207" s="189"/>
      <c r="K207" s="182"/>
      <c r="L207" s="189"/>
      <c r="M207" s="189"/>
    </row>
    <row r="208" spans="3:13" ht="15.75" customHeight="1">
      <c r="C208" s="189"/>
      <c r="K208" s="182"/>
      <c r="L208" s="189"/>
      <c r="M208" s="189"/>
    </row>
    <row r="209" spans="3:13" ht="15.75" customHeight="1">
      <c r="C209" s="189"/>
      <c r="K209" s="182"/>
      <c r="L209" s="189"/>
      <c r="M209" s="189"/>
    </row>
    <row r="210" spans="3:13" ht="15.75" customHeight="1">
      <c r="C210" s="189"/>
      <c r="K210" s="182"/>
      <c r="L210" s="189"/>
      <c r="M210" s="189"/>
    </row>
    <row r="211" spans="3:13" ht="15.75" customHeight="1">
      <c r="C211" s="189"/>
      <c r="K211" s="182"/>
      <c r="L211" s="189"/>
      <c r="M211" s="189"/>
    </row>
    <row r="212" spans="3:13" ht="15.75" customHeight="1">
      <c r="C212" s="189"/>
      <c r="K212" s="182"/>
      <c r="L212" s="189"/>
      <c r="M212" s="189"/>
    </row>
    <row r="213" spans="3:13" ht="15.75" customHeight="1">
      <c r="C213" s="189"/>
      <c r="K213" s="182"/>
      <c r="L213" s="189"/>
      <c r="M213" s="189"/>
    </row>
    <row r="214" spans="3:13" ht="15.75" customHeight="1">
      <c r="C214" s="189"/>
      <c r="K214" s="182"/>
      <c r="L214" s="189"/>
      <c r="M214" s="189"/>
    </row>
    <row r="215" spans="3:13" ht="15.75" customHeight="1">
      <c r="C215" s="189"/>
      <c r="K215" s="182"/>
      <c r="L215" s="189"/>
      <c r="M215" s="189"/>
    </row>
    <row r="216" spans="3:13" ht="15.75" customHeight="1">
      <c r="C216" s="189"/>
      <c r="K216" s="182"/>
      <c r="L216" s="189"/>
      <c r="M216" s="189"/>
    </row>
    <row r="217" spans="3:13" ht="15.75" customHeight="1">
      <c r="C217" s="189"/>
      <c r="K217" s="182"/>
      <c r="L217" s="189"/>
      <c r="M217" s="189"/>
    </row>
    <row r="218" spans="3:13" ht="15.75" customHeight="1">
      <c r="C218" s="189"/>
      <c r="K218" s="182"/>
      <c r="L218" s="189"/>
      <c r="M218" s="189"/>
    </row>
    <row r="219" spans="3:13" ht="15.75" customHeight="1">
      <c r="C219" s="189"/>
      <c r="K219" s="182"/>
      <c r="L219" s="189"/>
      <c r="M219" s="189"/>
    </row>
    <row r="220" spans="3:13" ht="15.75" customHeight="1">
      <c r="C220" s="189"/>
      <c r="K220" s="182"/>
      <c r="L220" s="189"/>
      <c r="M220" s="189"/>
    </row>
    <row r="221" spans="3:13" ht="15.75" customHeight="1">
      <c r="C221" s="189"/>
      <c r="K221" s="182"/>
      <c r="L221" s="189"/>
      <c r="M221" s="189"/>
    </row>
    <row r="222" spans="3:13" ht="15.75" customHeight="1">
      <c r="C222" s="189"/>
      <c r="K222" s="182"/>
      <c r="L222" s="189"/>
      <c r="M222" s="189"/>
    </row>
    <row r="223" spans="3:13" ht="15.75" customHeight="1">
      <c r="C223" s="189"/>
      <c r="K223" s="182"/>
      <c r="L223" s="189"/>
      <c r="M223" s="189"/>
    </row>
    <row r="224" spans="3:13" ht="15.75" customHeight="1">
      <c r="C224" s="189"/>
      <c r="K224" s="182"/>
      <c r="L224" s="189"/>
      <c r="M224" s="189"/>
    </row>
    <row r="225" spans="3:13" ht="15.75" customHeight="1">
      <c r="C225" s="189"/>
      <c r="K225" s="182"/>
      <c r="L225" s="189"/>
      <c r="M225" s="189"/>
    </row>
    <row r="226" spans="3:13" ht="15.75" customHeight="1">
      <c r="C226" s="189"/>
      <c r="K226" s="182"/>
      <c r="L226" s="189"/>
      <c r="M226" s="189"/>
    </row>
    <row r="227" spans="3:13" ht="15.75" customHeight="1">
      <c r="C227" s="189"/>
      <c r="K227" s="182"/>
      <c r="L227" s="189"/>
      <c r="M227" s="189"/>
    </row>
    <row r="228" spans="3:13" ht="15.75" customHeight="1">
      <c r="C228" s="189"/>
      <c r="K228" s="182"/>
      <c r="L228" s="189"/>
      <c r="M228" s="189"/>
    </row>
    <row r="229" spans="3:13" ht="15.75" customHeight="1">
      <c r="C229" s="189"/>
      <c r="K229" s="182"/>
      <c r="L229" s="189"/>
      <c r="M229" s="189"/>
    </row>
    <row r="230" spans="3:13" ht="15.75" customHeight="1">
      <c r="C230" s="189"/>
      <c r="K230" s="182"/>
      <c r="L230" s="189"/>
      <c r="M230" s="189"/>
    </row>
    <row r="231" spans="3:13" ht="15.75" customHeight="1">
      <c r="C231" s="189"/>
      <c r="K231" s="182"/>
      <c r="L231" s="189"/>
      <c r="M231" s="189"/>
    </row>
    <row r="232" spans="3:13" ht="15.75" customHeight="1">
      <c r="C232" s="189"/>
      <c r="K232" s="182"/>
      <c r="L232" s="189"/>
      <c r="M232" s="189"/>
    </row>
    <row r="233" spans="3:13" ht="15.75" customHeight="1">
      <c r="C233" s="189"/>
      <c r="K233" s="182"/>
      <c r="L233" s="189"/>
      <c r="M233" s="189"/>
    </row>
    <row r="234" spans="3:13" ht="15.75" customHeight="1">
      <c r="C234" s="189"/>
      <c r="K234" s="182"/>
      <c r="L234" s="189"/>
      <c r="M234" s="189"/>
    </row>
    <row r="235" spans="3:13" ht="15.75" customHeight="1">
      <c r="C235" s="189"/>
      <c r="K235" s="182"/>
      <c r="L235" s="189"/>
      <c r="M235" s="189"/>
    </row>
    <row r="236" spans="3:13" ht="15.75" customHeight="1">
      <c r="C236" s="189"/>
      <c r="K236" s="182"/>
      <c r="L236" s="189"/>
      <c r="M236" s="189"/>
    </row>
    <row r="237" spans="3:13" ht="15.75" customHeight="1">
      <c r="C237" s="189"/>
      <c r="K237" s="182"/>
      <c r="L237" s="189"/>
      <c r="M237" s="189"/>
    </row>
    <row r="238" spans="3:13" ht="15.75" customHeight="1">
      <c r="C238" s="189"/>
      <c r="K238" s="182"/>
      <c r="L238" s="189"/>
      <c r="M238" s="189"/>
    </row>
    <row r="239" spans="3:13" ht="15.75" customHeight="1">
      <c r="C239" s="189"/>
      <c r="K239" s="182"/>
      <c r="L239" s="189"/>
      <c r="M239" s="189"/>
    </row>
    <row r="240" spans="3:13" ht="15.75" customHeight="1">
      <c r="C240" s="189"/>
      <c r="K240" s="182"/>
      <c r="L240" s="189"/>
      <c r="M240" s="189"/>
    </row>
    <row r="241" spans="3:13" ht="15.75" customHeight="1">
      <c r="C241" s="189"/>
      <c r="K241" s="182"/>
      <c r="L241" s="189"/>
      <c r="M241" s="189"/>
    </row>
    <row r="242" spans="3:13" ht="15.75" customHeight="1">
      <c r="C242" s="189"/>
      <c r="K242" s="182"/>
      <c r="L242" s="189"/>
      <c r="M242" s="189"/>
    </row>
    <row r="243" spans="3:13" ht="15.75" customHeight="1">
      <c r="C243" s="189"/>
      <c r="K243" s="182"/>
      <c r="L243" s="189"/>
      <c r="M243" s="189"/>
    </row>
    <row r="244" spans="3:13" ht="15.75" customHeight="1">
      <c r="C244" s="189"/>
      <c r="K244" s="182"/>
      <c r="L244" s="189"/>
      <c r="M244" s="189"/>
    </row>
    <row r="245" spans="3:13" ht="15.75" customHeight="1">
      <c r="C245" s="189"/>
      <c r="K245" s="182"/>
      <c r="L245" s="189"/>
      <c r="M245" s="189"/>
    </row>
    <row r="246" spans="3:13" ht="15.75" customHeight="1">
      <c r="C246" s="189"/>
      <c r="K246" s="182"/>
      <c r="L246" s="189"/>
      <c r="M246" s="189"/>
    </row>
    <row r="247" spans="3:13" ht="15.75" customHeight="1">
      <c r="C247" s="189"/>
      <c r="K247" s="182"/>
      <c r="L247" s="189"/>
      <c r="M247" s="189"/>
    </row>
    <row r="248" spans="3:13" ht="15.75" customHeight="1">
      <c r="C248" s="189"/>
      <c r="K248" s="182"/>
      <c r="L248" s="189"/>
      <c r="M248" s="189"/>
    </row>
    <row r="249" spans="3:13" ht="15.75" customHeight="1">
      <c r="C249" s="189"/>
      <c r="K249" s="182"/>
      <c r="L249" s="189"/>
      <c r="M249" s="189"/>
    </row>
    <row r="250" spans="3:13" ht="15.75" customHeight="1">
      <c r="C250" s="189"/>
      <c r="K250" s="182"/>
      <c r="L250" s="189"/>
      <c r="M250" s="189"/>
    </row>
    <row r="251" spans="3:13" ht="15.75" customHeight="1">
      <c r="C251" s="189"/>
      <c r="K251" s="182"/>
      <c r="L251" s="189"/>
      <c r="M251" s="189"/>
    </row>
    <row r="252" spans="3:13" ht="15.75" customHeight="1">
      <c r="C252" s="189"/>
      <c r="K252" s="182"/>
      <c r="L252" s="189"/>
      <c r="M252" s="189"/>
    </row>
    <row r="253" spans="3:13" ht="15.75" customHeight="1">
      <c r="C253" s="189"/>
      <c r="K253" s="182"/>
      <c r="L253" s="189"/>
      <c r="M253" s="189"/>
    </row>
    <row r="254" spans="3:13" ht="15.75" customHeight="1">
      <c r="C254" s="189"/>
      <c r="K254" s="182"/>
      <c r="L254" s="189"/>
      <c r="M254" s="189"/>
    </row>
    <row r="255" spans="3:13" ht="15.75" customHeight="1">
      <c r="C255" s="189"/>
      <c r="K255" s="182"/>
      <c r="L255" s="189"/>
      <c r="M255" s="189"/>
    </row>
    <row r="256" spans="3:13" ht="15.75" customHeight="1">
      <c r="C256" s="189"/>
      <c r="K256" s="182"/>
      <c r="L256" s="189"/>
      <c r="M256" s="189"/>
    </row>
    <row r="257" spans="3:13" ht="15.75" customHeight="1">
      <c r="C257" s="189"/>
      <c r="K257" s="182"/>
      <c r="L257" s="189"/>
      <c r="M257" s="189"/>
    </row>
    <row r="258" spans="3:13" ht="15.75" customHeight="1">
      <c r="C258" s="189"/>
      <c r="K258" s="182"/>
      <c r="L258" s="189"/>
      <c r="M258" s="189"/>
    </row>
    <row r="259" spans="3:13" ht="15.75" customHeight="1">
      <c r="C259" s="189"/>
      <c r="K259" s="182"/>
      <c r="L259" s="189"/>
      <c r="M259" s="189"/>
    </row>
    <row r="260" spans="3:13" ht="15.75" customHeight="1">
      <c r="C260" s="189"/>
      <c r="K260" s="182"/>
      <c r="L260" s="189"/>
      <c r="M260" s="189"/>
    </row>
    <row r="261" spans="3:13" ht="15.75" customHeight="1">
      <c r="C261" s="189"/>
      <c r="K261" s="182"/>
      <c r="L261" s="189"/>
      <c r="M261" s="189"/>
    </row>
    <row r="262" spans="3:13" ht="15.75" customHeight="1">
      <c r="C262" s="189"/>
      <c r="K262" s="182"/>
      <c r="L262" s="189"/>
      <c r="M262" s="189"/>
    </row>
    <row r="263" spans="3:13" ht="15.75" customHeight="1">
      <c r="C263" s="189"/>
      <c r="K263" s="182"/>
      <c r="L263" s="189"/>
      <c r="M263" s="189"/>
    </row>
    <row r="264" spans="3:13" ht="15.75" customHeight="1">
      <c r="C264" s="189"/>
      <c r="K264" s="182"/>
      <c r="L264" s="189"/>
      <c r="M264" s="189"/>
    </row>
    <row r="265" spans="3:13" ht="15.75" customHeight="1">
      <c r="C265" s="189"/>
      <c r="K265" s="182"/>
      <c r="L265" s="189"/>
      <c r="M265" s="189"/>
    </row>
    <row r="266" spans="3:13" ht="15.75" customHeight="1">
      <c r="C266" s="189"/>
      <c r="K266" s="182"/>
      <c r="L266" s="189"/>
      <c r="M266" s="189"/>
    </row>
    <row r="267" spans="3:13" ht="15.75" customHeight="1">
      <c r="C267" s="189"/>
      <c r="K267" s="182"/>
      <c r="L267" s="189"/>
      <c r="M267" s="189"/>
    </row>
    <row r="268" spans="3:13" ht="15.75" customHeight="1">
      <c r="C268" s="189"/>
      <c r="K268" s="182"/>
      <c r="L268" s="189"/>
      <c r="M268" s="189"/>
    </row>
    <row r="269" spans="3:13" ht="15.75" customHeight="1">
      <c r="C269" s="189"/>
      <c r="K269" s="182"/>
      <c r="L269" s="189"/>
      <c r="M269" s="189"/>
    </row>
    <row r="270" spans="3:13" ht="15.75" customHeight="1">
      <c r="C270" s="189"/>
      <c r="K270" s="182"/>
      <c r="L270" s="189"/>
      <c r="M270" s="189"/>
    </row>
    <row r="271" spans="3:13" ht="15.75" customHeight="1">
      <c r="C271" s="189"/>
      <c r="K271" s="182"/>
      <c r="L271" s="189"/>
      <c r="M271" s="189"/>
    </row>
    <row r="272" spans="3:13" ht="15.75" customHeight="1">
      <c r="C272" s="189"/>
      <c r="K272" s="182"/>
      <c r="L272" s="189"/>
      <c r="M272" s="189"/>
    </row>
    <row r="273" spans="3:13" ht="15.75" customHeight="1">
      <c r="C273" s="189"/>
      <c r="K273" s="182"/>
      <c r="L273" s="189"/>
      <c r="M273" s="189"/>
    </row>
    <row r="274" spans="3:13" ht="15.75" customHeight="1">
      <c r="C274" s="189"/>
      <c r="K274" s="182"/>
      <c r="L274" s="189"/>
      <c r="M274" s="189"/>
    </row>
    <row r="275" spans="3:13" ht="15.75" customHeight="1">
      <c r="C275" s="189"/>
      <c r="K275" s="182"/>
      <c r="L275" s="189"/>
      <c r="M275" s="189"/>
    </row>
    <row r="276" spans="3:13" ht="15.75" customHeight="1">
      <c r="C276" s="189"/>
      <c r="K276" s="182"/>
      <c r="L276" s="189"/>
      <c r="M276" s="189"/>
    </row>
    <row r="277" spans="3:13" ht="15.75" customHeight="1">
      <c r="C277" s="189"/>
      <c r="K277" s="182"/>
      <c r="L277" s="189"/>
      <c r="M277" s="189"/>
    </row>
    <row r="278" spans="3:13" ht="15.75" customHeight="1">
      <c r="C278" s="189"/>
      <c r="K278" s="182"/>
      <c r="L278" s="189"/>
      <c r="M278" s="189"/>
    </row>
    <row r="279" spans="3:13" ht="15.75" customHeight="1">
      <c r="C279" s="189"/>
      <c r="K279" s="182"/>
      <c r="L279" s="189"/>
      <c r="M279" s="189"/>
    </row>
    <row r="280" spans="3:13" ht="15.75" customHeight="1">
      <c r="C280" s="189"/>
      <c r="K280" s="182"/>
      <c r="L280" s="189"/>
      <c r="M280" s="189"/>
    </row>
    <row r="281" spans="3:13" ht="15.75" customHeight="1">
      <c r="C281" s="189"/>
      <c r="K281" s="182"/>
      <c r="L281" s="189"/>
      <c r="M281" s="189"/>
    </row>
    <row r="282" spans="3:13" ht="15.75" customHeight="1">
      <c r="C282" s="189"/>
      <c r="K282" s="182"/>
      <c r="L282" s="189"/>
      <c r="M282" s="189"/>
    </row>
    <row r="283" spans="3:13" ht="15.75" customHeight="1">
      <c r="C283" s="189"/>
      <c r="K283" s="182"/>
      <c r="L283" s="189"/>
      <c r="M283" s="189"/>
    </row>
    <row r="284" spans="3:13" ht="15.75" customHeight="1">
      <c r="C284" s="189"/>
      <c r="K284" s="182"/>
      <c r="L284" s="189"/>
      <c r="M284" s="189"/>
    </row>
    <row r="285" spans="3:13" ht="15.75" customHeight="1">
      <c r="C285" s="189"/>
      <c r="K285" s="182"/>
      <c r="L285" s="189"/>
      <c r="M285" s="189"/>
    </row>
    <row r="286" spans="3:13" ht="15.75" customHeight="1">
      <c r="C286" s="189"/>
      <c r="K286" s="182"/>
      <c r="L286" s="189"/>
      <c r="M286" s="189"/>
    </row>
    <row r="287" spans="3:13" ht="15.75" customHeight="1">
      <c r="C287" s="189"/>
      <c r="K287" s="182"/>
      <c r="L287" s="189"/>
      <c r="M287" s="189"/>
    </row>
    <row r="288" spans="3:13" ht="15.75" customHeight="1">
      <c r="C288" s="189"/>
      <c r="K288" s="182"/>
      <c r="L288" s="189"/>
      <c r="M288" s="189"/>
    </row>
    <row r="289" spans="3:13" ht="15.75" customHeight="1">
      <c r="C289" s="189"/>
      <c r="K289" s="182"/>
      <c r="L289" s="189"/>
      <c r="M289" s="189"/>
    </row>
    <row r="290" spans="3:13" ht="15.75" customHeight="1">
      <c r="C290" s="189"/>
      <c r="K290" s="182"/>
      <c r="L290" s="189"/>
      <c r="M290" s="189"/>
    </row>
    <row r="291" spans="3:13" ht="15.75" customHeight="1">
      <c r="C291" s="189"/>
      <c r="K291" s="182"/>
      <c r="L291" s="189"/>
      <c r="M291" s="189"/>
    </row>
    <row r="292" spans="3:13" ht="15.75" customHeight="1">
      <c r="C292" s="189"/>
      <c r="K292" s="182"/>
      <c r="L292" s="189"/>
      <c r="M292" s="189"/>
    </row>
    <row r="293" spans="3:13" ht="15.75" customHeight="1">
      <c r="C293" s="189"/>
      <c r="K293" s="182"/>
      <c r="L293" s="189"/>
      <c r="M293" s="189"/>
    </row>
    <row r="294" spans="3:13" ht="15.75" customHeight="1">
      <c r="C294" s="189"/>
      <c r="K294" s="182"/>
      <c r="L294" s="189"/>
      <c r="M294" s="189"/>
    </row>
    <row r="295" spans="3:13" ht="15.75" customHeight="1">
      <c r="C295" s="189"/>
      <c r="K295" s="182"/>
      <c r="L295" s="189"/>
      <c r="M295" s="189"/>
    </row>
    <row r="296" spans="3:13" ht="15.75" customHeight="1">
      <c r="C296" s="189"/>
      <c r="K296" s="182"/>
      <c r="L296" s="189"/>
      <c r="M296" s="189"/>
    </row>
    <row r="297" spans="3:13" ht="15.75" customHeight="1">
      <c r="C297" s="189"/>
      <c r="K297" s="182"/>
      <c r="L297" s="189"/>
      <c r="M297" s="189"/>
    </row>
    <row r="298" spans="3:13" ht="15.75" customHeight="1">
      <c r="C298" s="189"/>
      <c r="K298" s="182"/>
      <c r="L298" s="189"/>
      <c r="M298" s="189"/>
    </row>
    <row r="299" spans="3:13" ht="15.75" customHeight="1">
      <c r="C299" s="189"/>
      <c r="K299" s="182"/>
      <c r="L299" s="189"/>
      <c r="M299" s="189"/>
    </row>
    <row r="300" spans="3:13" ht="15.75" customHeight="1">
      <c r="C300" s="189"/>
      <c r="K300" s="182"/>
      <c r="L300" s="189"/>
      <c r="M300" s="189"/>
    </row>
    <row r="301" spans="3:13" ht="15.75" customHeight="1">
      <c r="C301" s="189"/>
      <c r="K301" s="182"/>
      <c r="L301" s="189"/>
      <c r="M301" s="189"/>
    </row>
    <row r="302" spans="3:13" ht="15.75" customHeight="1">
      <c r="C302" s="189"/>
      <c r="K302" s="182"/>
      <c r="L302" s="189"/>
      <c r="M302" s="189"/>
    </row>
    <row r="303" spans="3:13" ht="15.75" customHeight="1">
      <c r="C303" s="189"/>
      <c r="K303" s="182"/>
      <c r="L303" s="189"/>
      <c r="M303" s="189"/>
    </row>
    <row r="304" spans="3:13" ht="15.75" customHeight="1">
      <c r="C304" s="189"/>
      <c r="K304" s="182"/>
      <c r="L304" s="189"/>
      <c r="M304" s="189"/>
    </row>
    <row r="305" spans="3:13" ht="15.75" customHeight="1">
      <c r="C305" s="189"/>
      <c r="K305" s="182"/>
      <c r="L305" s="189"/>
      <c r="M305" s="189"/>
    </row>
    <row r="306" spans="3:13" ht="15.75" customHeight="1">
      <c r="C306" s="189"/>
      <c r="K306" s="182"/>
      <c r="L306" s="189"/>
      <c r="M306" s="189"/>
    </row>
    <row r="307" spans="3:13" ht="15.75" customHeight="1">
      <c r="C307" s="189"/>
      <c r="K307" s="182"/>
      <c r="L307" s="189"/>
      <c r="M307" s="189"/>
    </row>
    <row r="308" spans="3:13" ht="15.75" customHeight="1">
      <c r="C308" s="189"/>
      <c r="K308" s="182"/>
      <c r="L308" s="189"/>
      <c r="M308" s="189"/>
    </row>
    <row r="309" spans="3:13" ht="15.75" customHeight="1">
      <c r="C309" s="189"/>
      <c r="K309" s="182"/>
      <c r="L309" s="189"/>
      <c r="M309" s="189"/>
    </row>
    <row r="310" spans="3:13" ht="15.75" customHeight="1">
      <c r="C310" s="189"/>
      <c r="K310" s="182"/>
      <c r="L310" s="189"/>
      <c r="M310" s="189"/>
    </row>
    <row r="311" spans="3:13" ht="15.75" customHeight="1">
      <c r="C311" s="189"/>
      <c r="K311" s="182"/>
      <c r="L311" s="189"/>
      <c r="M311" s="189"/>
    </row>
    <row r="312" spans="3:13" ht="15.75" customHeight="1">
      <c r="C312" s="189"/>
      <c r="K312" s="182"/>
      <c r="L312" s="189"/>
      <c r="M312" s="189"/>
    </row>
    <row r="313" spans="3:13" ht="15.75" customHeight="1">
      <c r="C313" s="189"/>
      <c r="K313" s="182"/>
      <c r="L313" s="189"/>
      <c r="M313" s="189"/>
    </row>
    <row r="314" spans="3:13" ht="15.75" customHeight="1">
      <c r="C314" s="189"/>
      <c r="K314" s="182"/>
      <c r="L314" s="189"/>
      <c r="M314" s="189"/>
    </row>
    <row r="315" spans="3:13" ht="15.75" customHeight="1">
      <c r="C315" s="189"/>
      <c r="K315" s="182"/>
      <c r="L315" s="189"/>
      <c r="M315" s="189"/>
    </row>
    <row r="316" spans="3:13" ht="15.75" customHeight="1">
      <c r="C316" s="189"/>
      <c r="K316" s="182"/>
      <c r="L316" s="189"/>
      <c r="M316" s="189"/>
    </row>
    <row r="317" spans="3:13" ht="15.75" customHeight="1">
      <c r="C317" s="189"/>
      <c r="K317" s="182"/>
      <c r="L317" s="189"/>
      <c r="M317" s="189"/>
    </row>
    <row r="318" spans="3:13" ht="15.75" customHeight="1">
      <c r="C318" s="189"/>
      <c r="K318" s="182"/>
      <c r="L318" s="189"/>
      <c r="M318" s="189"/>
    </row>
    <row r="319" spans="3:13" ht="15.75" customHeight="1">
      <c r="C319" s="189"/>
      <c r="K319" s="182"/>
      <c r="L319" s="189"/>
      <c r="M319" s="189"/>
    </row>
    <row r="320" spans="3:13" ht="15.75" customHeight="1">
      <c r="C320" s="189"/>
      <c r="K320" s="182"/>
      <c r="L320" s="189"/>
      <c r="M320" s="189"/>
    </row>
    <row r="321" spans="3:13" ht="15.75" customHeight="1">
      <c r="C321" s="189"/>
      <c r="K321" s="182"/>
      <c r="L321" s="189"/>
      <c r="M321" s="189"/>
    </row>
    <row r="322" spans="3:13" ht="15.75" customHeight="1">
      <c r="C322" s="189"/>
      <c r="K322" s="182"/>
      <c r="L322" s="189"/>
      <c r="M322" s="189"/>
    </row>
    <row r="323" spans="3:13" ht="15.75" customHeight="1">
      <c r="C323" s="189"/>
      <c r="K323" s="182"/>
      <c r="L323" s="189"/>
      <c r="M323" s="189"/>
    </row>
    <row r="324" spans="3:13" ht="15.75" customHeight="1">
      <c r="C324" s="189"/>
      <c r="K324" s="182"/>
      <c r="L324" s="189"/>
      <c r="M324" s="189"/>
    </row>
    <row r="325" spans="3:13" ht="15.75" customHeight="1">
      <c r="C325" s="189"/>
      <c r="K325" s="182"/>
      <c r="L325" s="189"/>
      <c r="M325" s="189"/>
    </row>
    <row r="326" spans="3:13" ht="15.75" customHeight="1">
      <c r="C326" s="189"/>
      <c r="K326" s="182"/>
      <c r="L326" s="189"/>
      <c r="M326" s="189"/>
    </row>
    <row r="327" spans="3:13" ht="15.75" customHeight="1">
      <c r="C327" s="189"/>
      <c r="K327" s="182"/>
      <c r="L327" s="189"/>
      <c r="M327" s="189"/>
    </row>
    <row r="328" spans="3:13" ht="15.75" customHeight="1">
      <c r="C328" s="189"/>
      <c r="K328" s="182"/>
      <c r="L328" s="189"/>
      <c r="M328" s="189"/>
    </row>
    <row r="329" spans="3:13" ht="15.75" customHeight="1">
      <c r="C329" s="189"/>
      <c r="K329" s="182"/>
      <c r="L329" s="189"/>
      <c r="M329" s="189"/>
    </row>
    <row r="330" spans="3:13" ht="15.75" customHeight="1">
      <c r="C330" s="189"/>
      <c r="K330" s="182"/>
      <c r="L330" s="189"/>
      <c r="M330" s="189"/>
    </row>
    <row r="331" spans="3:13" ht="15.75" customHeight="1">
      <c r="C331" s="189"/>
      <c r="K331" s="182"/>
      <c r="L331" s="189"/>
      <c r="M331" s="189"/>
    </row>
    <row r="332" spans="3:13" ht="15.75" customHeight="1">
      <c r="C332" s="189"/>
      <c r="K332" s="182"/>
      <c r="L332" s="189"/>
      <c r="M332" s="189"/>
    </row>
    <row r="333" spans="3:13" ht="15.75" customHeight="1">
      <c r="C333" s="189"/>
      <c r="K333" s="182"/>
      <c r="L333" s="189"/>
      <c r="M333" s="189"/>
    </row>
    <row r="334" spans="3:13" ht="15.75" customHeight="1">
      <c r="C334" s="189"/>
      <c r="K334" s="182"/>
      <c r="L334" s="189"/>
      <c r="M334" s="189"/>
    </row>
    <row r="335" spans="3:13" ht="15.75" customHeight="1">
      <c r="C335" s="189"/>
      <c r="K335" s="182"/>
      <c r="L335" s="189"/>
      <c r="M335" s="189"/>
    </row>
    <row r="336" spans="3:13" ht="15.75" customHeight="1">
      <c r="C336" s="189"/>
      <c r="K336" s="182"/>
      <c r="L336" s="189"/>
      <c r="M336" s="189"/>
    </row>
    <row r="337" spans="3:13" ht="15.75" customHeight="1">
      <c r="C337" s="189"/>
      <c r="K337" s="182"/>
      <c r="L337" s="189"/>
      <c r="M337" s="189"/>
    </row>
    <row r="338" spans="3:13" ht="15.75" customHeight="1">
      <c r="C338" s="189"/>
      <c r="K338" s="182"/>
      <c r="L338" s="189"/>
      <c r="M338" s="189"/>
    </row>
    <row r="339" spans="3:13" ht="15.75" customHeight="1">
      <c r="C339" s="189"/>
      <c r="K339" s="182"/>
      <c r="L339" s="189"/>
      <c r="M339" s="189"/>
    </row>
    <row r="340" spans="3:13" ht="15.75" customHeight="1">
      <c r="C340" s="189"/>
      <c r="K340" s="182"/>
      <c r="L340" s="189"/>
      <c r="M340" s="189"/>
    </row>
    <row r="341" spans="3:13" ht="15.75" customHeight="1">
      <c r="C341" s="189"/>
      <c r="K341" s="182"/>
      <c r="L341" s="189"/>
      <c r="M341" s="189"/>
    </row>
    <row r="342" spans="3:13" ht="15.75" customHeight="1">
      <c r="C342" s="189"/>
      <c r="K342" s="182"/>
      <c r="L342" s="189"/>
      <c r="M342" s="189"/>
    </row>
    <row r="343" spans="3:13" ht="15.75" customHeight="1">
      <c r="C343" s="189"/>
      <c r="K343" s="182"/>
      <c r="L343" s="189"/>
      <c r="M343" s="189"/>
    </row>
    <row r="344" spans="3:13" ht="15.75" customHeight="1">
      <c r="C344" s="189"/>
      <c r="K344" s="182"/>
      <c r="L344" s="189"/>
      <c r="M344" s="189"/>
    </row>
    <row r="345" spans="3:13" ht="15.75" customHeight="1">
      <c r="C345" s="189"/>
      <c r="K345" s="182"/>
      <c r="L345" s="189"/>
      <c r="M345" s="189"/>
    </row>
    <row r="346" spans="3:13" ht="15.75" customHeight="1">
      <c r="C346" s="189"/>
      <c r="K346" s="182"/>
      <c r="L346" s="189"/>
      <c r="M346" s="189"/>
    </row>
    <row r="347" spans="3:13" ht="15.75" customHeight="1">
      <c r="C347" s="189"/>
      <c r="K347" s="182"/>
      <c r="L347" s="189"/>
      <c r="M347" s="189"/>
    </row>
    <row r="348" spans="3:13" ht="15.75" customHeight="1">
      <c r="C348" s="189"/>
      <c r="K348" s="182"/>
      <c r="L348" s="189"/>
      <c r="M348" s="189"/>
    </row>
    <row r="349" spans="3:13" ht="15.75" customHeight="1">
      <c r="C349" s="189"/>
      <c r="K349" s="182"/>
      <c r="L349" s="189"/>
      <c r="M349" s="189"/>
    </row>
    <row r="350" spans="3:13" ht="15.75" customHeight="1">
      <c r="C350" s="189"/>
      <c r="K350" s="182"/>
      <c r="L350" s="189"/>
      <c r="M350" s="189"/>
    </row>
    <row r="351" spans="3:13" ht="15.75" customHeight="1">
      <c r="C351" s="189"/>
      <c r="K351" s="182"/>
      <c r="L351" s="189"/>
      <c r="M351" s="189"/>
    </row>
    <row r="352" spans="3:13" ht="15.75" customHeight="1">
      <c r="C352" s="189"/>
      <c r="K352" s="182"/>
      <c r="L352" s="189"/>
      <c r="M352" s="189"/>
    </row>
    <row r="353" spans="3:13" ht="15.75" customHeight="1">
      <c r="C353" s="189"/>
      <c r="K353" s="182"/>
      <c r="L353" s="189"/>
      <c r="M353" s="189"/>
    </row>
    <row r="354" spans="3:13" ht="15.75" customHeight="1">
      <c r="C354" s="189"/>
      <c r="K354" s="182"/>
      <c r="L354" s="189"/>
      <c r="M354" s="189"/>
    </row>
    <row r="355" spans="3:13" ht="15.75" customHeight="1">
      <c r="C355" s="189"/>
      <c r="K355" s="182"/>
      <c r="L355" s="189"/>
      <c r="M355" s="189"/>
    </row>
    <row r="356" spans="3:13" ht="15.75" customHeight="1">
      <c r="C356" s="189"/>
      <c r="K356" s="182"/>
      <c r="L356" s="189"/>
      <c r="M356" s="189"/>
    </row>
    <row r="357" spans="3:13" ht="15.75" customHeight="1">
      <c r="C357" s="189"/>
      <c r="K357" s="182"/>
      <c r="L357" s="189"/>
      <c r="M357" s="189"/>
    </row>
    <row r="358" spans="3:13" ht="15.75" customHeight="1">
      <c r="C358" s="189"/>
      <c r="K358" s="182"/>
      <c r="L358" s="189"/>
      <c r="M358" s="189"/>
    </row>
    <row r="359" spans="3:13" ht="15.75" customHeight="1">
      <c r="C359" s="189"/>
      <c r="K359" s="182"/>
      <c r="L359" s="189"/>
      <c r="M359" s="189"/>
    </row>
    <row r="360" spans="3:13" ht="15.75" customHeight="1">
      <c r="C360" s="189"/>
      <c r="K360" s="182"/>
      <c r="L360" s="189"/>
      <c r="M360" s="189"/>
    </row>
    <row r="361" spans="3:13" ht="15.75" customHeight="1">
      <c r="C361" s="189"/>
      <c r="K361" s="182"/>
      <c r="L361" s="189"/>
      <c r="M361" s="189"/>
    </row>
    <row r="362" spans="3:13" ht="15.75" customHeight="1">
      <c r="C362" s="189"/>
      <c r="K362" s="182"/>
      <c r="L362" s="189"/>
      <c r="M362" s="189"/>
    </row>
    <row r="363" spans="3:13" ht="15.75" customHeight="1">
      <c r="C363" s="189"/>
      <c r="K363" s="182"/>
      <c r="L363" s="189"/>
      <c r="M363" s="189"/>
    </row>
    <row r="364" spans="3:13" ht="15.75" customHeight="1">
      <c r="C364" s="189"/>
      <c r="K364" s="182"/>
      <c r="L364" s="189"/>
      <c r="M364" s="189"/>
    </row>
    <row r="365" spans="3:13" ht="15.75" customHeight="1">
      <c r="C365" s="189"/>
      <c r="K365" s="182"/>
      <c r="L365" s="189"/>
      <c r="M365" s="189"/>
    </row>
    <row r="366" spans="3:13" ht="15.75" customHeight="1">
      <c r="C366" s="189"/>
      <c r="K366" s="182"/>
      <c r="L366" s="189"/>
      <c r="M366" s="189"/>
    </row>
    <row r="367" spans="3:13" ht="15.75" customHeight="1">
      <c r="C367" s="189"/>
      <c r="K367" s="182"/>
      <c r="L367" s="189"/>
      <c r="M367" s="189"/>
    </row>
    <row r="368" spans="3:13" ht="15.75" customHeight="1">
      <c r="C368" s="189"/>
      <c r="K368" s="182"/>
      <c r="L368" s="189"/>
      <c r="M368" s="189"/>
    </row>
    <row r="369" spans="3:13" ht="15.75" customHeight="1">
      <c r="C369" s="189"/>
      <c r="K369" s="182"/>
      <c r="L369" s="189"/>
      <c r="M369" s="189"/>
    </row>
    <row r="370" spans="3:13" ht="15.75" customHeight="1">
      <c r="C370" s="189"/>
      <c r="K370" s="182"/>
      <c r="L370" s="189"/>
      <c r="M370" s="189"/>
    </row>
    <row r="371" spans="3:13" ht="15.75" customHeight="1">
      <c r="C371" s="189"/>
      <c r="K371" s="182"/>
      <c r="L371" s="189"/>
      <c r="M371" s="189"/>
    </row>
    <row r="372" spans="3:13" ht="15.75" customHeight="1">
      <c r="C372" s="189"/>
      <c r="K372" s="182"/>
      <c r="L372" s="189"/>
      <c r="M372" s="189"/>
    </row>
    <row r="373" spans="3:13" ht="15.75" customHeight="1">
      <c r="C373" s="189"/>
      <c r="K373" s="182"/>
      <c r="L373" s="189"/>
      <c r="M373" s="189"/>
    </row>
    <row r="374" spans="3:13" ht="15.75" customHeight="1">
      <c r="C374" s="189"/>
      <c r="K374" s="182"/>
      <c r="L374" s="189"/>
      <c r="M374" s="189"/>
    </row>
    <row r="375" spans="3:13" ht="15.75" customHeight="1">
      <c r="C375" s="189"/>
      <c r="K375" s="182"/>
      <c r="L375" s="189"/>
      <c r="M375" s="189"/>
    </row>
    <row r="376" spans="3:13" ht="15.75" customHeight="1">
      <c r="C376" s="189"/>
      <c r="K376" s="182"/>
      <c r="L376" s="189"/>
      <c r="M376" s="189"/>
    </row>
    <row r="377" spans="3:13" ht="15.75" customHeight="1">
      <c r="C377" s="189"/>
      <c r="K377" s="182"/>
      <c r="L377" s="189"/>
      <c r="M377" s="189"/>
    </row>
    <row r="378" spans="3:13" ht="15.75" customHeight="1">
      <c r="C378" s="189"/>
      <c r="K378" s="182"/>
      <c r="L378" s="189"/>
      <c r="M378" s="189"/>
    </row>
    <row r="379" spans="3:13" ht="15.75" customHeight="1">
      <c r="C379" s="189"/>
      <c r="K379" s="182"/>
      <c r="L379" s="189"/>
      <c r="M379" s="189"/>
    </row>
    <row r="380" spans="3:13" ht="15.75" customHeight="1">
      <c r="C380" s="189"/>
      <c r="K380" s="182"/>
      <c r="L380" s="189"/>
      <c r="M380" s="189"/>
    </row>
    <row r="381" spans="3:13" ht="15.75" customHeight="1">
      <c r="C381" s="189"/>
      <c r="K381" s="182"/>
      <c r="L381" s="189"/>
      <c r="M381" s="189"/>
    </row>
    <row r="382" spans="3:13" ht="15.75" customHeight="1">
      <c r="C382" s="189"/>
      <c r="K382" s="182"/>
      <c r="L382" s="189"/>
      <c r="M382" s="189"/>
    </row>
    <row r="383" spans="3:13" ht="15.75" customHeight="1">
      <c r="C383" s="189"/>
      <c r="K383" s="182"/>
      <c r="L383" s="189"/>
      <c r="M383" s="189"/>
    </row>
    <row r="384" spans="3:13" ht="15.75" customHeight="1">
      <c r="C384" s="189"/>
      <c r="K384" s="182"/>
      <c r="L384" s="189"/>
      <c r="M384" s="189"/>
    </row>
    <row r="385" spans="3:13" ht="15.75" customHeight="1">
      <c r="C385" s="189"/>
      <c r="K385" s="182"/>
      <c r="L385" s="189"/>
      <c r="M385" s="189"/>
    </row>
    <row r="386" spans="3:13" ht="15.75" customHeight="1">
      <c r="C386" s="189"/>
      <c r="K386" s="182"/>
      <c r="L386" s="189"/>
      <c r="M386" s="189"/>
    </row>
    <row r="387" spans="3:13" ht="15.75" customHeight="1">
      <c r="C387" s="189"/>
      <c r="K387" s="182"/>
      <c r="L387" s="189"/>
      <c r="M387" s="189"/>
    </row>
    <row r="388" spans="3:13" ht="15.75" customHeight="1">
      <c r="C388" s="189"/>
      <c r="K388" s="182"/>
      <c r="L388" s="189"/>
      <c r="M388" s="189"/>
    </row>
    <row r="389" spans="3:13" ht="15.75" customHeight="1">
      <c r="C389" s="189"/>
      <c r="K389" s="182"/>
      <c r="L389" s="189"/>
      <c r="M389" s="189"/>
    </row>
    <row r="390" spans="3:13" ht="15.75" customHeight="1">
      <c r="C390" s="189"/>
      <c r="K390" s="182"/>
      <c r="L390" s="189"/>
      <c r="M390" s="189"/>
    </row>
    <row r="391" spans="3:13" ht="15.75" customHeight="1">
      <c r="C391" s="189"/>
      <c r="K391" s="182"/>
      <c r="L391" s="189"/>
      <c r="M391" s="189"/>
    </row>
    <row r="392" spans="3:13" ht="15.75" customHeight="1">
      <c r="C392" s="189"/>
      <c r="K392" s="182"/>
      <c r="L392" s="189"/>
      <c r="M392" s="189"/>
    </row>
    <row r="393" spans="3:13" ht="15.75" customHeight="1">
      <c r="C393" s="189"/>
      <c r="K393" s="182"/>
      <c r="L393" s="189"/>
      <c r="M393" s="189"/>
    </row>
    <row r="394" spans="3:13" ht="15.75" customHeight="1">
      <c r="C394" s="189"/>
      <c r="K394" s="182"/>
      <c r="L394" s="189"/>
      <c r="M394" s="189"/>
    </row>
    <row r="395" spans="3:13" ht="15.75" customHeight="1">
      <c r="C395" s="189"/>
      <c r="K395" s="182"/>
      <c r="L395" s="189"/>
      <c r="M395" s="189"/>
    </row>
    <row r="396" spans="3:13" ht="15.75" customHeight="1">
      <c r="C396" s="189"/>
      <c r="K396" s="182"/>
      <c r="L396" s="189"/>
      <c r="M396" s="189"/>
    </row>
    <row r="397" spans="3:13" ht="15.75" customHeight="1">
      <c r="C397" s="189"/>
      <c r="K397" s="182"/>
      <c r="L397" s="189"/>
      <c r="M397" s="189"/>
    </row>
    <row r="398" spans="3:13" ht="15.75" customHeight="1">
      <c r="C398" s="189"/>
      <c r="K398" s="182"/>
      <c r="L398" s="189"/>
      <c r="M398" s="189"/>
    </row>
    <row r="399" spans="3:13" ht="15.75" customHeight="1">
      <c r="C399" s="189"/>
      <c r="K399" s="182"/>
      <c r="L399" s="189"/>
      <c r="M399" s="189"/>
    </row>
    <row r="400" spans="3:13" ht="15.75" customHeight="1">
      <c r="C400" s="189"/>
      <c r="K400" s="182"/>
      <c r="L400" s="189"/>
      <c r="M400" s="189"/>
    </row>
    <row r="401" spans="3:13" ht="15.75" customHeight="1">
      <c r="C401" s="189"/>
      <c r="K401" s="182"/>
      <c r="L401" s="189"/>
      <c r="M401" s="189"/>
    </row>
    <row r="402" spans="3:13" ht="15.75" customHeight="1">
      <c r="C402" s="189"/>
      <c r="K402" s="182"/>
      <c r="L402" s="189"/>
      <c r="M402" s="189"/>
    </row>
    <row r="403" spans="3:13" ht="15.75" customHeight="1">
      <c r="C403" s="189"/>
      <c r="K403" s="182"/>
      <c r="L403" s="189"/>
      <c r="M403" s="189"/>
    </row>
    <row r="404" spans="3:13" ht="15.75" customHeight="1">
      <c r="C404" s="189"/>
      <c r="K404" s="182"/>
      <c r="L404" s="189"/>
      <c r="M404" s="189"/>
    </row>
    <row r="405" spans="3:13" ht="15.75" customHeight="1">
      <c r="C405" s="189"/>
      <c r="K405" s="182"/>
      <c r="L405" s="189"/>
      <c r="M405" s="189"/>
    </row>
    <row r="406" spans="3:13" ht="15.75" customHeight="1">
      <c r="C406" s="189"/>
      <c r="K406" s="182"/>
      <c r="L406" s="189"/>
      <c r="M406" s="189"/>
    </row>
    <row r="407" spans="3:13" ht="15.75" customHeight="1">
      <c r="C407" s="189"/>
      <c r="K407" s="182"/>
      <c r="L407" s="189"/>
      <c r="M407" s="189"/>
    </row>
    <row r="408" spans="3:13" ht="15.75" customHeight="1">
      <c r="C408" s="189"/>
      <c r="K408" s="182"/>
      <c r="L408" s="189"/>
      <c r="M408" s="189"/>
    </row>
    <row r="409" spans="3:13" ht="15.75" customHeight="1">
      <c r="C409" s="189"/>
      <c r="K409" s="182"/>
      <c r="L409" s="189"/>
      <c r="M409" s="189"/>
    </row>
    <row r="410" spans="3:13" ht="15.75" customHeight="1">
      <c r="C410" s="189"/>
      <c r="K410" s="182"/>
      <c r="L410" s="189"/>
      <c r="M410" s="189"/>
    </row>
    <row r="411" spans="3:13" ht="15.75" customHeight="1">
      <c r="C411" s="189"/>
      <c r="K411" s="182"/>
      <c r="L411" s="189"/>
      <c r="M411" s="189"/>
    </row>
    <row r="412" spans="3:13" ht="15.75" customHeight="1">
      <c r="C412" s="189"/>
      <c r="K412" s="182"/>
      <c r="L412" s="189"/>
      <c r="M412" s="189"/>
    </row>
    <row r="413" spans="3:13" ht="15.75" customHeight="1">
      <c r="C413" s="189"/>
      <c r="K413" s="182"/>
      <c r="L413" s="189"/>
      <c r="M413" s="189"/>
    </row>
    <row r="414" spans="3:13" ht="15.75" customHeight="1">
      <c r="C414" s="189"/>
      <c r="K414" s="182"/>
      <c r="L414" s="189"/>
      <c r="M414" s="189"/>
    </row>
    <row r="415" spans="3:13" ht="15.75" customHeight="1">
      <c r="C415" s="189"/>
      <c r="K415" s="182"/>
      <c r="L415" s="189"/>
      <c r="M415" s="189"/>
    </row>
    <row r="416" spans="3:13" ht="15.75" customHeight="1">
      <c r="C416" s="189"/>
      <c r="K416" s="182"/>
      <c r="L416" s="189"/>
      <c r="M416" s="189"/>
    </row>
    <row r="417" spans="3:13" ht="15.75" customHeight="1">
      <c r="C417" s="189"/>
      <c r="K417" s="182"/>
      <c r="L417" s="189"/>
      <c r="M417" s="189"/>
    </row>
    <row r="418" spans="3:13" ht="15.75" customHeight="1">
      <c r="C418" s="189"/>
      <c r="K418" s="182"/>
      <c r="L418" s="189"/>
      <c r="M418" s="189"/>
    </row>
    <row r="419" spans="3:13" ht="15.75" customHeight="1">
      <c r="C419" s="189"/>
      <c r="K419" s="182"/>
      <c r="L419" s="189"/>
      <c r="M419" s="189"/>
    </row>
    <row r="420" spans="3:13" ht="15.75" customHeight="1">
      <c r="C420" s="189"/>
      <c r="K420" s="182"/>
      <c r="L420" s="189"/>
      <c r="M420" s="189"/>
    </row>
    <row r="421" spans="3:13" ht="15.75" customHeight="1">
      <c r="C421" s="189"/>
      <c r="K421" s="182"/>
      <c r="L421" s="189"/>
      <c r="M421" s="189"/>
    </row>
    <row r="422" spans="3:13" ht="15.75" customHeight="1">
      <c r="C422" s="189"/>
      <c r="K422" s="182"/>
      <c r="L422" s="189"/>
      <c r="M422" s="189"/>
    </row>
    <row r="423" spans="3:13" ht="15.75" customHeight="1">
      <c r="C423" s="189"/>
      <c r="K423" s="182"/>
      <c r="L423" s="189"/>
      <c r="M423" s="189"/>
    </row>
    <row r="424" spans="3:13" ht="15.75" customHeight="1">
      <c r="C424" s="189"/>
      <c r="K424" s="182"/>
      <c r="L424" s="189"/>
      <c r="M424" s="189"/>
    </row>
    <row r="425" spans="3:13" ht="15.75" customHeight="1">
      <c r="C425" s="189"/>
      <c r="K425" s="182"/>
      <c r="L425" s="189"/>
      <c r="M425" s="189"/>
    </row>
    <row r="426" spans="3:13" ht="15.75" customHeight="1">
      <c r="C426" s="189"/>
      <c r="K426" s="182"/>
      <c r="L426" s="189"/>
      <c r="M426" s="189"/>
    </row>
    <row r="427" spans="3:13" ht="15.75" customHeight="1">
      <c r="C427" s="189"/>
      <c r="K427" s="182"/>
      <c r="L427" s="189"/>
      <c r="M427" s="189"/>
    </row>
    <row r="428" spans="3:13" ht="15.75" customHeight="1">
      <c r="C428" s="189"/>
      <c r="K428" s="182"/>
      <c r="L428" s="189"/>
      <c r="M428" s="189"/>
    </row>
    <row r="429" spans="3:13" ht="15.75" customHeight="1">
      <c r="C429" s="189"/>
      <c r="K429" s="182"/>
      <c r="L429" s="189"/>
      <c r="M429" s="189"/>
    </row>
    <row r="430" spans="3:13" ht="15.75" customHeight="1">
      <c r="C430" s="189"/>
      <c r="K430" s="182"/>
      <c r="L430" s="189"/>
      <c r="M430" s="189"/>
    </row>
    <row r="431" spans="3:13" ht="15.75" customHeight="1">
      <c r="C431" s="189"/>
      <c r="K431" s="182"/>
      <c r="L431" s="189"/>
      <c r="M431" s="189"/>
    </row>
    <row r="432" spans="3:13" ht="15.75" customHeight="1">
      <c r="C432" s="189"/>
      <c r="K432" s="182"/>
      <c r="L432" s="189"/>
      <c r="M432" s="189"/>
    </row>
    <row r="433" spans="3:13" ht="15.75" customHeight="1">
      <c r="C433" s="189"/>
      <c r="K433" s="182"/>
      <c r="L433" s="189"/>
      <c r="M433" s="189"/>
    </row>
    <row r="434" spans="3:13" ht="15.75" customHeight="1">
      <c r="C434" s="189"/>
      <c r="K434" s="182"/>
      <c r="L434" s="189"/>
      <c r="M434" s="189"/>
    </row>
    <row r="435" spans="3:13" ht="15.75" customHeight="1">
      <c r="C435" s="189"/>
      <c r="K435" s="182"/>
      <c r="L435" s="189"/>
      <c r="M435" s="189"/>
    </row>
    <row r="436" spans="3:13" ht="15.75" customHeight="1">
      <c r="C436" s="189"/>
      <c r="K436" s="182"/>
      <c r="L436" s="189"/>
      <c r="M436" s="189"/>
    </row>
    <row r="437" spans="3:13" ht="15.75" customHeight="1">
      <c r="C437" s="189"/>
      <c r="K437" s="182"/>
      <c r="L437" s="189"/>
      <c r="M437" s="189"/>
    </row>
    <row r="438" spans="3:13" ht="15.75" customHeight="1">
      <c r="C438" s="189"/>
      <c r="K438" s="182"/>
      <c r="L438" s="189"/>
      <c r="M438" s="189"/>
    </row>
    <row r="439" spans="3:13" ht="15.75" customHeight="1">
      <c r="C439" s="189"/>
      <c r="K439" s="182"/>
      <c r="L439" s="189"/>
      <c r="M439" s="189"/>
    </row>
    <row r="440" spans="3:13" ht="15.75" customHeight="1">
      <c r="C440" s="189"/>
      <c r="K440" s="182"/>
      <c r="L440" s="189"/>
      <c r="M440" s="189"/>
    </row>
    <row r="441" spans="3:13" ht="15.75" customHeight="1">
      <c r="C441" s="189"/>
      <c r="K441" s="182"/>
      <c r="L441" s="189"/>
      <c r="M441" s="189"/>
    </row>
    <row r="442" spans="3:13" ht="15.75" customHeight="1">
      <c r="C442" s="189"/>
      <c r="K442" s="182"/>
      <c r="L442" s="189"/>
      <c r="M442" s="189"/>
    </row>
    <row r="443" spans="3:13" ht="15.75" customHeight="1">
      <c r="C443" s="189"/>
      <c r="K443" s="182"/>
      <c r="L443" s="189"/>
      <c r="M443" s="189"/>
    </row>
    <row r="444" spans="3:13" ht="15.75" customHeight="1">
      <c r="C444" s="189"/>
      <c r="K444" s="182"/>
      <c r="L444" s="189"/>
      <c r="M444" s="189"/>
    </row>
    <row r="445" spans="3:13" ht="15.75" customHeight="1">
      <c r="C445" s="189"/>
      <c r="K445" s="182"/>
      <c r="L445" s="189"/>
      <c r="M445" s="189"/>
    </row>
    <row r="446" spans="3:13" ht="15.75" customHeight="1">
      <c r="C446" s="189"/>
      <c r="K446" s="182"/>
      <c r="L446" s="189"/>
      <c r="M446" s="189"/>
    </row>
    <row r="447" spans="3:13" ht="15.75" customHeight="1">
      <c r="C447" s="189"/>
      <c r="K447" s="182"/>
      <c r="L447" s="189"/>
      <c r="M447" s="189"/>
    </row>
    <row r="448" spans="3:13" ht="15.75" customHeight="1">
      <c r="C448" s="189"/>
      <c r="K448" s="182"/>
      <c r="L448" s="189"/>
      <c r="M448" s="189"/>
    </row>
    <row r="449" spans="3:13" ht="15.75" customHeight="1">
      <c r="C449" s="189"/>
      <c r="K449" s="182"/>
      <c r="L449" s="189"/>
      <c r="M449" s="189"/>
    </row>
    <row r="450" spans="3:13" ht="15.75" customHeight="1">
      <c r="C450" s="189"/>
      <c r="K450" s="182"/>
      <c r="L450" s="189"/>
      <c r="M450" s="189"/>
    </row>
    <row r="451" spans="3:13" ht="15.75" customHeight="1">
      <c r="C451" s="189"/>
      <c r="K451" s="182"/>
      <c r="L451" s="189"/>
      <c r="M451" s="189"/>
    </row>
    <row r="452" spans="3:13" ht="15.75" customHeight="1">
      <c r="C452" s="189"/>
      <c r="K452" s="182"/>
      <c r="L452" s="189"/>
      <c r="M452" s="189"/>
    </row>
    <row r="453" spans="3:13" ht="15.75" customHeight="1">
      <c r="C453" s="189"/>
      <c r="K453" s="182"/>
      <c r="L453" s="189"/>
      <c r="M453" s="189"/>
    </row>
    <row r="454" spans="3:13" ht="15.75" customHeight="1">
      <c r="C454" s="189"/>
      <c r="K454" s="182"/>
      <c r="L454" s="189"/>
      <c r="M454" s="189"/>
    </row>
    <row r="455" spans="3:13" ht="15.75" customHeight="1">
      <c r="C455" s="189"/>
      <c r="K455" s="182"/>
      <c r="L455" s="189"/>
      <c r="M455" s="189"/>
    </row>
    <row r="456" spans="3:13" ht="15.75" customHeight="1">
      <c r="C456" s="189"/>
      <c r="K456" s="182"/>
      <c r="L456" s="189"/>
      <c r="M456" s="189"/>
    </row>
    <row r="457" spans="3:13" ht="15.75" customHeight="1">
      <c r="C457" s="189"/>
      <c r="K457" s="182"/>
      <c r="L457" s="189"/>
      <c r="M457" s="189"/>
    </row>
    <row r="458" spans="3:13" ht="15.75" customHeight="1">
      <c r="C458" s="189"/>
      <c r="K458" s="182"/>
      <c r="L458" s="189"/>
      <c r="M458" s="189"/>
    </row>
    <row r="459" spans="3:13" ht="15.75" customHeight="1">
      <c r="C459" s="189"/>
      <c r="K459" s="182"/>
      <c r="L459" s="189"/>
      <c r="M459" s="189"/>
    </row>
    <row r="460" spans="3:13" ht="15.75" customHeight="1">
      <c r="C460" s="189"/>
      <c r="K460" s="182"/>
      <c r="L460" s="189"/>
      <c r="M460" s="189"/>
    </row>
    <row r="461" spans="3:13" ht="15.75" customHeight="1">
      <c r="C461" s="189"/>
      <c r="K461" s="182"/>
      <c r="L461" s="189"/>
      <c r="M461" s="189"/>
    </row>
    <row r="462" spans="3:13" ht="15.75" customHeight="1">
      <c r="C462" s="189"/>
      <c r="K462" s="182"/>
      <c r="L462" s="189"/>
      <c r="M462" s="189"/>
    </row>
    <row r="463" spans="3:13" ht="15.75" customHeight="1">
      <c r="C463" s="189"/>
      <c r="K463" s="182"/>
      <c r="L463" s="189"/>
      <c r="M463" s="189"/>
    </row>
    <row r="464" spans="3:13" ht="15.75" customHeight="1">
      <c r="C464" s="189"/>
      <c r="K464" s="182"/>
      <c r="L464" s="189"/>
      <c r="M464" s="189"/>
    </row>
    <row r="465" spans="3:13" ht="15.75" customHeight="1">
      <c r="C465" s="189"/>
      <c r="K465" s="182"/>
      <c r="L465" s="189"/>
      <c r="M465" s="189"/>
    </row>
    <row r="466" spans="3:13" ht="15.75" customHeight="1">
      <c r="C466" s="189"/>
      <c r="K466" s="182"/>
      <c r="L466" s="189"/>
      <c r="M466" s="189"/>
    </row>
    <row r="467" spans="3:13" ht="15.75" customHeight="1">
      <c r="C467" s="189"/>
      <c r="K467" s="182"/>
      <c r="L467" s="189"/>
      <c r="M467" s="189"/>
    </row>
    <row r="468" spans="3:13" ht="15.75" customHeight="1">
      <c r="C468" s="189"/>
      <c r="K468" s="182"/>
      <c r="L468" s="189"/>
      <c r="M468" s="189"/>
    </row>
    <row r="469" spans="3:13" ht="15.75" customHeight="1">
      <c r="C469" s="189"/>
      <c r="K469" s="182"/>
      <c r="L469" s="189"/>
      <c r="M469" s="189"/>
    </row>
    <row r="470" spans="3:13" ht="15.75" customHeight="1">
      <c r="C470" s="189"/>
      <c r="K470" s="182"/>
      <c r="L470" s="189"/>
      <c r="M470" s="189"/>
    </row>
    <row r="471" spans="3:13" ht="15.75" customHeight="1">
      <c r="C471" s="189"/>
      <c r="K471" s="182"/>
      <c r="L471" s="189"/>
      <c r="M471" s="189"/>
    </row>
    <row r="472" spans="3:13" ht="15.75" customHeight="1">
      <c r="C472" s="189"/>
      <c r="K472" s="182"/>
      <c r="L472" s="189"/>
      <c r="M472" s="189"/>
    </row>
    <row r="473" spans="3:13" ht="15.75" customHeight="1">
      <c r="C473" s="189"/>
      <c r="K473" s="182"/>
      <c r="L473" s="189"/>
      <c r="M473" s="189"/>
    </row>
    <row r="474" spans="3:13" ht="15.75" customHeight="1">
      <c r="C474" s="189"/>
      <c r="K474" s="182"/>
      <c r="L474" s="189"/>
      <c r="M474" s="189"/>
    </row>
    <row r="475" spans="3:13" ht="15.75" customHeight="1">
      <c r="C475" s="189"/>
      <c r="K475" s="182"/>
      <c r="L475" s="189"/>
      <c r="M475" s="189"/>
    </row>
    <row r="476" spans="3:13" ht="15.75" customHeight="1">
      <c r="C476" s="189"/>
      <c r="K476" s="182"/>
      <c r="L476" s="189"/>
      <c r="M476" s="189"/>
    </row>
    <row r="477" spans="3:13" ht="15.75" customHeight="1">
      <c r="C477" s="189"/>
      <c r="K477" s="182"/>
      <c r="L477" s="189"/>
      <c r="M477" s="189"/>
    </row>
    <row r="478" spans="3:13" ht="15.75" customHeight="1">
      <c r="C478" s="189"/>
      <c r="K478" s="182"/>
      <c r="L478" s="189"/>
      <c r="M478" s="189"/>
    </row>
    <row r="479" spans="3:13" ht="15.75" customHeight="1">
      <c r="C479" s="189"/>
      <c r="K479" s="182"/>
      <c r="L479" s="189"/>
      <c r="M479" s="189"/>
    </row>
    <row r="480" spans="3:13" ht="15.75" customHeight="1">
      <c r="C480" s="189"/>
      <c r="K480" s="182"/>
      <c r="L480" s="189"/>
      <c r="M480" s="189"/>
    </row>
    <row r="481" spans="3:13" ht="15.75" customHeight="1">
      <c r="C481" s="189"/>
      <c r="K481" s="182"/>
      <c r="L481" s="189"/>
      <c r="M481" s="189"/>
    </row>
    <row r="482" spans="3:13" ht="15.75" customHeight="1">
      <c r="C482" s="189"/>
      <c r="K482" s="182"/>
      <c r="L482" s="189"/>
      <c r="M482" s="189"/>
    </row>
    <row r="483" spans="3:13" ht="15.75" customHeight="1">
      <c r="C483" s="189"/>
      <c r="K483" s="182"/>
      <c r="L483" s="189"/>
      <c r="M483" s="189"/>
    </row>
    <row r="484" spans="3:13" ht="15.75" customHeight="1">
      <c r="C484" s="189"/>
      <c r="K484" s="182"/>
      <c r="L484" s="189"/>
      <c r="M484" s="189"/>
    </row>
    <row r="485" spans="3:13" ht="15.75" customHeight="1">
      <c r="C485" s="189"/>
      <c r="K485" s="182"/>
      <c r="L485" s="189"/>
      <c r="M485" s="189"/>
    </row>
    <row r="486" spans="3:13" ht="15.75" customHeight="1">
      <c r="C486" s="189"/>
      <c r="K486" s="182"/>
      <c r="L486" s="189"/>
      <c r="M486" s="189"/>
    </row>
    <row r="487" spans="3:13" ht="15.75" customHeight="1">
      <c r="C487" s="189"/>
      <c r="K487" s="182"/>
      <c r="L487" s="189"/>
      <c r="M487" s="189"/>
    </row>
    <row r="488" spans="3:13" ht="15.75" customHeight="1">
      <c r="C488" s="189"/>
      <c r="K488" s="182"/>
      <c r="L488" s="189"/>
      <c r="M488" s="189"/>
    </row>
    <row r="489" spans="3:13" ht="15.75" customHeight="1">
      <c r="C489" s="189"/>
      <c r="K489" s="182"/>
      <c r="L489" s="189"/>
      <c r="M489" s="189"/>
    </row>
    <row r="490" spans="3:13" ht="15.75" customHeight="1">
      <c r="C490" s="189"/>
      <c r="K490" s="182"/>
      <c r="L490" s="189"/>
      <c r="M490" s="189"/>
    </row>
    <row r="491" spans="3:13" ht="15.75" customHeight="1">
      <c r="C491" s="189"/>
      <c r="K491" s="182"/>
      <c r="L491" s="189"/>
      <c r="M491" s="189"/>
    </row>
    <row r="492" spans="3:13" ht="15.75" customHeight="1">
      <c r="C492" s="189"/>
      <c r="K492" s="182"/>
      <c r="L492" s="189"/>
      <c r="M492" s="189"/>
    </row>
    <row r="493" spans="3:13" ht="15.75" customHeight="1">
      <c r="C493" s="189"/>
      <c r="K493" s="182"/>
      <c r="L493" s="189"/>
      <c r="M493" s="189"/>
    </row>
    <row r="494" spans="3:13" ht="15.75" customHeight="1">
      <c r="C494" s="189"/>
      <c r="K494" s="182"/>
      <c r="L494" s="189"/>
      <c r="M494" s="189"/>
    </row>
    <row r="495" spans="3:13" ht="15.75" customHeight="1">
      <c r="C495" s="189"/>
      <c r="K495" s="182"/>
      <c r="L495" s="189"/>
      <c r="M495" s="189"/>
    </row>
    <row r="496" spans="3:13" ht="15.75" customHeight="1">
      <c r="C496" s="189"/>
      <c r="K496" s="182"/>
      <c r="L496" s="189"/>
      <c r="M496" s="189"/>
    </row>
    <row r="497" spans="3:13" ht="15.75" customHeight="1">
      <c r="C497" s="189"/>
      <c r="K497" s="182"/>
      <c r="L497" s="189"/>
      <c r="M497" s="189"/>
    </row>
    <row r="498" spans="3:13" ht="15.75" customHeight="1">
      <c r="C498" s="189"/>
      <c r="K498" s="182"/>
      <c r="L498" s="189"/>
      <c r="M498" s="189"/>
    </row>
    <row r="499" spans="3:13" ht="15.75" customHeight="1">
      <c r="C499" s="189"/>
      <c r="K499" s="182"/>
      <c r="L499" s="189"/>
      <c r="M499" s="189"/>
    </row>
    <row r="500" spans="3:13" ht="15.75" customHeight="1">
      <c r="C500" s="189"/>
      <c r="K500" s="182"/>
      <c r="L500" s="189"/>
      <c r="M500" s="189"/>
    </row>
    <row r="501" spans="3:13" ht="15.75" customHeight="1">
      <c r="C501" s="189"/>
      <c r="K501" s="182"/>
      <c r="L501" s="189"/>
      <c r="M501" s="189"/>
    </row>
    <row r="502" spans="3:13" ht="15.75" customHeight="1">
      <c r="C502" s="189"/>
      <c r="K502" s="182"/>
      <c r="L502" s="189"/>
      <c r="M502" s="189"/>
    </row>
    <row r="503" spans="3:13" ht="15.75" customHeight="1">
      <c r="C503" s="189"/>
      <c r="K503" s="182"/>
      <c r="L503" s="189"/>
      <c r="M503" s="189"/>
    </row>
    <row r="504" spans="3:13" ht="15.75" customHeight="1">
      <c r="C504" s="189"/>
      <c r="K504" s="182"/>
      <c r="L504" s="189"/>
      <c r="M504" s="189"/>
    </row>
    <row r="505" spans="3:13" ht="15.75" customHeight="1">
      <c r="C505" s="189"/>
      <c r="K505" s="182"/>
      <c r="L505" s="189"/>
      <c r="M505" s="189"/>
    </row>
    <row r="506" spans="3:13" ht="15.75" customHeight="1">
      <c r="C506" s="189"/>
      <c r="K506" s="182"/>
      <c r="L506" s="189"/>
      <c r="M506" s="189"/>
    </row>
    <row r="507" spans="3:13" ht="15.75" customHeight="1">
      <c r="C507" s="189"/>
      <c r="K507" s="182"/>
      <c r="L507" s="189"/>
      <c r="M507" s="189"/>
    </row>
    <row r="508" spans="3:13" ht="15.75" customHeight="1">
      <c r="C508" s="189"/>
      <c r="K508" s="182"/>
      <c r="L508" s="189"/>
      <c r="M508" s="189"/>
    </row>
    <row r="509" spans="3:13" ht="15.75" customHeight="1">
      <c r="C509" s="189"/>
      <c r="K509" s="182"/>
      <c r="L509" s="189"/>
      <c r="M509" s="189"/>
    </row>
    <row r="510" spans="3:13" ht="15.75" customHeight="1">
      <c r="C510" s="189"/>
      <c r="K510" s="182"/>
      <c r="L510" s="189"/>
      <c r="M510" s="189"/>
    </row>
    <row r="511" spans="3:13" ht="15.75" customHeight="1">
      <c r="C511" s="189"/>
      <c r="K511" s="182"/>
      <c r="L511" s="189"/>
      <c r="M511" s="189"/>
    </row>
    <row r="512" spans="3:13" ht="15.75" customHeight="1">
      <c r="C512" s="189"/>
      <c r="K512" s="182"/>
      <c r="L512" s="189"/>
      <c r="M512" s="189"/>
    </row>
    <row r="513" spans="3:13" ht="15.75" customHeight="1">
      <c r="C513" s="189"/>
      <c r="K513" s="182"/>
      <c r="L513" s="189"/>
      <c r="M513" s="189"/>
    </row>
    <row r="514" spans="3:13" ht="15.75" customHeight="1">
      <c r="C514" s="189"/>
      <c r="K514" s="182"/>
      <c r="L514" s="189"/>
      <c r="M514" s="189"/>
    </row>
    <row r="515" spans="3:13" ht="15.75" customHeight="1">
      <c r="C515" s="189"/>
      <c r="K515" s="182"/>
      <c r="L515" s="189"/>
      <c r="M515" s="189"/>
    </row>
    <row r="516" spans="3:13" ht="15.75" customHeight="1">
      <c r="C516" s="189"/>
      <c r="K516" s="182"/>
      <c r="L516" s="189"/>
      <c r="M516" s="189"/>
    </row>
    <row r="517" spans="3:13" ht="15.75" customHeight="1">
      <c r="C517" s="189"/>
      <c r="K517" s="182"/>
      <c r="L517" s="189"/>
      <c r="M517" s="189"/>
    </row>
    <row r="518" spans="3:13" ht="15.75" customHeight="1">
      <c r="C518" s="189"/>
      <c r="K518" s="182"/>
      <c r="L518" s="189"/>
      <c r="M518" s="189"/>
    </row>
    <row r="519" spans="3:13" ht="15.75" customHeight="1">
      <c r="C519" s="189"/>
      <c r="K519" s="182"/>
      <c r="L519" s="189"/>
      <c r="M519" s="189"/>
    </row>
    <row r="520" spans="3:13" ht="15.75" customHeight="1">
      <c r="C520" s="189"/>
      <c r="K520" s="182"/>
      <c r="L520" s="189"/>
      <c r="M520" s="189"/>
    </row>
    <row r="521" spans="3:13" ht="15.75" customHeight="1">
      <c r="C521" s="189"/>
      <c r="K521" s="182"/>
      <c r="L521" s="189"/>
      <c r="M521" s="189"/>
    </row>
    <row r="522" spans="3:13" ht="15.75" customHeight="1">
      <c r="C522" s="189"/>
      <c r="K522" s="182"/>
      <c r="L522" s="189"/>
      <c r="M522" s="189"/>
    </row>
    <row r="523" spans="3:13" ht="15.75" customHeight="1">
      <c r="C523" s="189"/>
      <c r="K523" s="182"/>
      <c r="L523" s="189"/>
      <c r="M523" s="189"/>
    </row>
    <row r="524" spans="3:13" ht="15.75" customHeight="1">
      <c r="C524" s="189"/>
      <c r="K524" s="182"/>
      <c r="L524" s="189"/>
      <c r="M524" s="189"/>
    </row>
    <row r="525" spans="3:13" ht="15.75" customHeight="1">
      <c r="C525" s="189"/>
      <c r="K525" s="182"/>
      <c r="L525" s="189"/>
      <c r="M525" s="189"/>
    </row>
    <row r="526" spans="3:13" ht="15.75" customHeight="1">
      <c r="C526" s="189"/>
      <c r="K526" s="182"/>
      <c r="L526" s="189"/>
      <c r="M526" s="189"/>
    </row>
    <row r="527" spans="3:13" ht="15.75" customHeight="1">
      <c r="C527" s="189"/>
      <c r="K527" s="182"/>
      <c r="L527" s="189"/>
      <c r="M527" s="189"/>
    </row>
    <row r="528" spans="3:13" ht="15.75" customHeight="1">
      <c r="C528" s="189"/>
      <c r="K528" s="182"/>
      <c r="L528" s="189"/>
      <c r="M528" s="189"/>
    </row>
    <row r="529" spans="3:13" ht="15.75" customHeight="1">
      <c r="C529" s="189"/>
      <c r="K529" s="182"/>
      <c r="L529" s="189"/>
      <c r="M529" s="189"/>
    </row>
    <row r="530" spans="3:13" ht="15.75" customHeight="1">
      <c r="C530" s="189"/>
      <c r="K530" s="182"/>
      <c r="L530" s="189"/>
      <c r="M530" s="189"/>
    </row>
    <row r="531" spans="3:13" ht="15.75" customHeight="1">
      <c r="C531" s="189"/>
      <c r="K531" s="182"/>
      <c r="L531" s="189"/>
      <c r="M531" s="189"/>
    </row>
    <row r="532" spans="3:13" ht="15.75" customHeight="1">
      <c r="C532" s="189"/>
      <c r="K532" s="182"/>
      <c r="L532" s="189"/>
      <c r="M532" s="189"/>
    </row>
    <row r="533" spans="3:13" ht="15.75" customHeight="1">
      <c r="C533" s="189"/>
      <c r="K533" s="182"/>
      <c r="L533" s="189"/>
      <c r="M533" s="189"/>
    </row>
    <row r="534" spans="3:13" ht="15.75" customHeight="1">
      <c r="C534" s="189"/>
      <c r="K534" s="182"/>
      <c r="L534" s="189"/>
      <c r="M534" s="189"/>
    </row>
    <row r="535" spans="3:13" ht="15.75" customHeight="1">
      <c r="C535" s="189"/>
      <c r="K535" s="182"/>
      <c r="L535" s="189"/>
      <c r="M535" s="189"/>
    </row>
    <row r="536" spans="3:13" ht="15.75" customHeight="1">
      <c r="C536" s="189"/>
      <c r="K536" s="182"/>
      <c r="L536" s="189"/>
      <c r="M536" s="189"/>
    </row>
    <row r="537" spans="3:13" ht="15.75" customHeight="1">
      <c r="C537" s="189"/>
      <c r="K537" s="182"/>
      <c r="L537" s="189"/>
      <c r="M537" s="189"/>
    </row>
    <row r="538" spans="3:13" ht="15.75" customHeight="1">
      <c r="C538" s="189"/>
      <c r="K538" s="182"/>
      <c r="L538" s="189"/>
      <c r="M538" s="189"/>
    </row>
    <row r="539" spans="3:13" ht="15.75" customHeight="1">
      <c r="C539" s="189"/>
      <c r="K539" s="182"/>
      <c r="L539" s="189"/>
      <c r="M539" s="189"/>
    </row>
    <row r="540" spans="3:13" ht="15.75" customHeight="1">
      <c r="C540" s="189"/>
      <c r="K540" s="182"/>
      <c r="L540" s="189"/>
      <c r="M540" s="189"/>
    </row>
    <row r="541" spans="3:13" ht="15.75" customHeight="1">
      <c r="C541" s="189"/>
      <c r="K541" s="182"/>
      <c r="L541" s="189"/>
      <c r="M541" s="189"/>
    </row>
    <row r="542" spans="3:13" ht="15.75" customHeight="1">
      <c r="C542" s="189"/>
      <c r="K542" s="182"/>
      <c r="L542" s="189"/>
      <c r="M542" s="189"/>
    </row>
    <row r="543" spans="3:13" ht="15.75" customHeight="1">
      <c r="C543" s="189"/>
      <c r="K543" s="182"/>
      <c r="L543" s="189"/>
      <c r="M543" s="189"/>
    </row>
    <row r="544" spans="3:13" ht="15.75" customHeight="1">
      <c r="C544" s="189"/>
      <c r="K544" s="182"/>
      <c r="L544" s="189"/>
      <c r="M544" s="189"/>
    </row>
    <row r="545" spans="3:13" ht="15.75" customHeight="1">
      <c r="C545" s="189"/>
      <c r="K545" s="182"/>
      <c r="L545" s="189"/>
      <c r="M545" s="189"/>
    </row>
    <row r="546" spans="3:13" ht="15.75" customHeight="1">
      <c r="C546" s="189"/>
      <c r="K546" s="182"/>
      <c r="L546" s="189"/>
      <c r="M546" s="189"/>
    </row>
    <row r="547" spans="3:13" ht="15.75" customHeight="1">
      <c r="C547" s="189"/>
      <c r="K547" s="182"/>
      <c r="L547" s="189"/>
      <c r="M547" s="189"/>
    </row>
    <row r="548" spans="3:13" ht="15.75" customHeight="1">
      <c r="C548" s="189"/>
      <c r="K548" s="182"/>
      <c r="L548" s="189"/>
      <c r="M548" s="189"/>
    </row>
    <row r="549" spans="3:13" ht="15.75" customHeight="1">
      <c r="C549" s="189"/>
      <c r="K549" s="182"/>
      <c r="L549" s="189"/>
      <c r="M549" s="189"/>
    </row>
    <row r="550" spans="3:13" ht="15.75" customHeight="1">
      <c r="C550" s="189"/>
      <c r="K550" s="182"/>
      <c r="L550" s="189"/>
      <c r="M550" s="189"/>
    </row>
    <row r="551" spans="3:13" ht="15.75" customHeight="1">
      <c r="C551" s="189"/>
      <c r="K551" s="182"/>
      <c r="L551" s="189"/>
      <c r="M551" s="189"/>
    </row>
    <row r="552" spans="3:13" ht="15.75" customHeight="1">
      <c r="C552" s="189"/>
      <c r="K552" s="182"/>
      <c r="L552" s="189"/>
      <c r="M552" s="189"/>
    </row>
    <row r="553" spans="3:13" ht="15.75" customHeight="1">
      <c r="C553" s="189"/>
      <c r="K553" s="182"/>
      <c r="L553" s="189"/>
      <c r="M553" s="189"/>
    </row>
    <row r="554" spans="3:13" ht="15.75" customHeight="1">
      <c r="C554" s="189"/>
      <c r="K554" s="182"/>
      <c r="L554" s="189"/>
      <c r="M554" s="189"/>
    </row>
    <row r="555" spans="3:13" ht="15.75" customHeight="1">
      <c r="C555" s="189"/>
      <c r="K555" s="182"/>
      <c r="L555" s="189"/>
      <c r="M555" s="189"/>
    </row>
    <row r="556" spans="3:13" ht="15.75" customHeight="1">
      <c r="C556" s="189"/>
      <c r="K556" s="182"/>
      <c r="L556" s="189"/>
      <c r="M556" s="189"/>
    </row>
    <row r="557" spans="3:13" ht="15.75" customHeight="1">
      <c r="C557" s="189"/>
      <c r="K557" s="182"/>
      <c r="L557" s="189"/>
      <c r="M557" s="189"/>
    </row>
    <row r="558" spans="3:13" ht="15.75" customHeight="1">
      <c r="C558" s="189"/>
      <c r="K558" s="182"/>
      <c r="L558" s="189"/>
      <c r="M558" s="189"/>
    </row>
    <row r="559" spans="3:13" ht="15.75" customHeight="1">
      <c r="C559" s="189"/>
      <c r="K559" s="182"/>
      <c r="L559" s="189"/>
      <c r="M559" s="189"/>
    </row>
    <row r="560" spans="3:13" ht="15.75" customHeight="1">
      <c r="C560" s="189"/>
      <c r="K560" s="182"/>
      <c r="L560" s="189"/>
      <c r="M560" s="189"/>
    </row>
    <row r="561" spans="3:13" ht="15.75" customHeight="1">
      <c r="C561" s="189"/>
      <c r="K561" s="182"/>
      <c r="L561" s="189"/>
      <c r="M561" s="189"/>
    </row>
    <row r="562" spans="3:13" ht="15.75" customHeight="1">
      <c r="C562" s="189"/>
      <c r="K562" s="182"/>
      <c r="L562" s="189"/>
      <c r="M562" s="189"/>
    </row>
    <row r="563" spans="3:13" ht="15.75" customHeight="1">
      <c r="C563" s="189"/>
      <c r="K563" s="182"/>
      <c r="L563" s="189"/>
      <c r="M563" s="189"/>
    </row>
    <row r="564" spans="3:13" ht="15.75" customHeight="1">
      <c r="C564" s="189"/>
      <c r="K564" s="182"/>
      <c r="L564" s="189"/>
      <c r="M564" s="189"/>
    </row>
    <row r="565" spans="3:13" ht="15.75" customHeight="1">
      <c r="C565" s="189"/>
      <c r="K565" s="182"/>
      <c r="L565" s="189"/>
      <c r="M565" s="189"/>
    </row>
    <row r="566" spans="3:13" ht="15.75" customHeight="1">
      <c r="C566" s="189"/>
      <c r="K566" s="182"/>
      <c r="L566" s="189"/>
      <c r="M566" s="189"/>
    </row>
    <row r="567" spans="3:13" ht="15.75" customHeight="1">
      <c r="C567" s="189"/>
      <c r="K567" s="182"/>
      <c r="L567" s="189"/>
      <c r="M567" s="189"/>
    </row>
    <row r="568" spans="3:13" ht="15.75" customHeight="1">
      <c r="C568" s="189"/>
      <c r="K568" s="182"/>
      <c r="L568" s="189"/>
      <c r="M568" s="189"/>
    </row>
    <row r="569" spans="3:13" ht="15.75" customHeight="1">
      <c r="C569" s="189"/>
      <c r="K569" s="182"/>
      <c r="L569" s="189"/>
      <c r="M569" s="189"/>
    </row>
    <row r="570" spans="3:13" ht="15.75" customHeight="1">
      <c r="C570" s="189"/>
      <c r="K570" s="182"/>
      <c r="L570" s="189"/>
      <c r="M570" s="189"/>
    </row>
    <row r="571" spans="3:13" ht="15.75" customHeight="1">
      <c r="C571" s="189"/>
      <c r="K571" s="182"/>
      <c r="L571" s="189"/>
      <c r="M571" s="189"/>
    </row>
    <row r="572" spans="3:13" ht="15.75" customHeight="1">
      <c r="C572" s="189"/>
      <c r="K572" s="182"/>
      <c r="L572" s="189"/>
      <c r="M572" s="189"/>
    </row>
    <row r="573" spans="3:13" ht="15.75" customHeight="1">
      <c r="C573" s="189"/>
      <c r="K573" s="182"/>
      <c r="L573" s="189"/>
      <c r="M573" s="189"/>
    </row>
    <row r="574" spans="3:13" ht="15.75" customHeight="1">
      <c r="C574" s="189"/>
      <c r="K574" s="182"/>
      <c r="L574" s="189"/>
      <c r="M574" s="189"/>
    </row>
    <row r="575" spans="3:13" ht="15.75" customHeight="1">
      <c r="C575" s="189"/>
      <c r="K575" s="182"/>
      <c r="L575" s="189"/>
      <c r="M575" s="189"/>
    </row>
    <row r="576" spans="3:13" ht="15.75" customHeight="1">
      <c r="C576" s="189"/>
      <c r="K576" s="182"/>
      <c r="L576" s="189"/>
      <c r="M576" s="189"/>
    </row>
    <row r="577" spans="3:13" ht="15.75" customHeight="1">
      <c r="C577" s="189"/>
      <c r="K577" s="182"/>
      <c r="L577" s="189"/>
      <c r="M577" s="189"/>
    </row>
    <row r="578" spans="3:13" ht="15.75" customHeight="1">
      <c r="C578" s="189"/>
      <c r="K578" s="182"/>
      <c r="L578" s="189"/>
      <c r="M578" s="189"/>
    </row>
    <row r="579" spans="3:13" ht="15.75" customHeight="1">
      <c r="C579" s="189"/>
      <c r="K579" s="182"/>
      <c r="L579" s="189"/>
      <c r="M579" s="189"/>
    </row>
    <row r="580" spans="3:13" ht="15.75" customHeight="1">
      <c r="C580" s="189"/>
      <c r="K580" s="182"/>
      <c r="L580" s="189"/>
      <c r="M580" s="189"/>
    </row>
    <row r="581" spans="3:13" ht="15.75" customHeight="1">
      <c r="C581" s="189"/>
      <c r="K581" s="182"/>
      <c r="L581" s="189"/>
      <c r="M581" s="189"/>
    </row>
    <row r="582" spans="3:13" ht="15.75" customHeight="1">
      <c r="C582" s="189"/>
      <c r="K582" s="182"/>
      <c r="L582" s="189"/>
      <c r="M582" s="189"/>
    </row>
    <row r="583" spans="3:13" ht="15.75" customHeight="1">
      <c r="C583" s="189"/>
      <c r="K583" s="182"/>
      <c r="L583" s="189"/>
      <c r="M583" s="189"/>
    </row>
    <row r="584" spans="3:13" ht="15.75" customHeight="1">
      <c r="C584" s="189"/>
      <c r="K584" s="182"/>
      <c r="L584" s="189"/>
      <c r="M584" s="189"/>
    </row>
    <row r="585" spans="3:13" ht="15.75" customHeight="1">
      <c r="C585" s="189"/>
      <c r="K585" s="182"/>
      <c r="L585" s="189"/>
      <c r="M585" s="189"/>
    </row>
    <row r="586" spans="3:13" ht="15.75" customHeight="1">
      <c r="C586" s="189"/>
      <c r="K586" s="182"/>
      <c r="L586" s="189"/>
      <c r="M586" s="189"/>
    </row>
    <row r="587" spans="3:13" ht="15.75" customHeight="1">
      <c r="C587" s="189"/>
      <c r="K587" s="182"/>
      <c r="L587" s="189"/>
      <c r="M587" s="189"/>
    </row>
    <row r="588" spans="3:13" ht="15.75" customHeight="1">
      <c r="C588" s="189"/>
      <c r="K588" s="182"/>
      <c r="L588" s="189"/>
      <c r="M588" s="189"/>
    </row>
    <row r="589" spans="3:13" ht="15.75" customHeight="1">
      <c r="C589" s="189"/>
      <c r="K589" s="182"/>
      <c r="L589" s="189"/>
      <c r="M589" s="189"/>
    </row>
    <row r="590" spans="3:13" ht="15.75" customHeight="1">
      <c r="C590" s="189"/>
      <c r="K590" s="182"/>
      <c r="L590" s="189"/>
      <c r="M590" s="189"/>
    </row>
    <row r="591" spans="3:13" ht="15.75" customHeight="1">
      <c r="C591" s="189"/>
      <c r="K591" s="182"/>
      <c r="L591" s="189"/>
      <c r="M591" s="189"/>
    </row>
    <row r="592" spans="3:13" ht="15.75" customHeight="1">
      <c r="C592" s="189"/>
      <c r="K592" s="182"/>
      <c r="L592" s="189"/>
      <c r="M592" s="189"/>
    </row>
    <row r="593" spans="3:13" ht="15.75" customHeight="1">
      <c r="C593" s="189"/>
      <c r="K593" s="182"/>
      <c r="L593" s="189"/>
      <c r="M593" s="189"/>
    </row>
    <row r="594" spans="3:13" ht="15.75" customHeight="1">
      <c r="C594" s="189"/>
      <c r="K594" s="182"/>
      <c r="L594" s="189"/>
      <c r="M594" s="189"/>
    </row>
    <row r="595" spans="3:13" ht="15.75" customHeight="1">
      <c r="C595" s="189"/>
      <c r="K595" s="182"/>
      <c r="L595" s="189"/>
      <c r="M595" s="189"/>
    </row>
    <row r="596" spans="3:13" ht="15.75" customHeight="1">
      <c r="C596" s="189"/>
      <c r="K596" s="182"/>
      <c r="L596" s="189"/>
      <c r="M596" s="189"/>
    </row>
    <row r="597" spans="3:13" ht="15.75" customHeight="1">
      <c r="C597" s="189"/>
      <c r="K597" s="182"/>
      <c r="L597" s="189"/>
      <c r="M597" s="189"/>
    </row>
    <row r="598" spans="3:13" ht="15.75" customHeight="1">
      <c r="C598" s="189"/>
      <c r="K598" s="182"/>
      <c r="L598" s="189"/>
      <c r="M598" s="189"/>
    </row>
    <row r="599" spans="3:13" ht="15.75" customHeight="1">
      <c r="C599" s="189"/>
      <c r="K599" s="182"/>
      <c r="L599" s="189"/>
      <c r="M599" s="189"/>
    </row>
    <row r="600" spans="3:13" ht="15.75" customHeight="1">
      <c r="C600" s="189"/>
      <c r="K600" s="182"/>
      <c r="L600" s="189"/>
      <c r="M600" s="189"/>
    </row>
    <row r="601" spans="3:13" ht="15.75" customHeight="1">
      <c r="C601" s="189"/>
      <c r="K601" s="182"/>
      <c r="L601" s="189"/>
      <c r="M601" s="189"/>
    </row>
    <row r="602" spans="3:13" ht="15.75" customHeight="1">
      <c r="C602" s="189"/>
      <c r="K602" s="182"/>
      <c r="L602" s="189"/>
      <c r="M602" s="189"/>
    </row>
    <row r="603" spans="3:13" ht="15.75" customHeight="1">
      <c r="C603" s="189"/>
      <c r="K603" s="182"/>
      <c r="L603" s="189"/>
      <c r="M603" s="189"/>
    </row>
    <row r="604" spans="3:13" ht="15.75" customHeight="1">
      <c r="C604" s="189"/>
      <c r="K604" s="182"/>
      <c r="L604" s="189"/>
      <c r="M604" s="189"/>
    </row>
    <row r="605" spans="3:13" ht="15.75" customHeight="1">
      <c r="C605" s="189"/>
      <c r="K605" s="182"/>
      <c r="L605" s="189"/>
      <c r="M605" s="189"/>
    </row>
    <row r="606" spans="3:13" ht="15.75" customHeight="1">
      <c r="C606" s="189"/>
      <c r="K606" s="182"/>
      <c r="L606" s="189"/>
      <c r="M606" s="189"/>
    </row>
    <row r="607" spans="3:13" ht="15.75" customHeight="1">
      <c r="C607" s="189"/>
      <c r="K607" s="182"/>
      <c r="L607" s="189"/>
      <c r="M607" s="189"/>
    </row>
    <row r="608" spans="3:13" ht="15.75" customHeight="1">
      <c r="C608" s="189"/>
      <c r="K608" s="182"/>
      <c r="L608" s="189"/>
      <c r="M608" s="189"/>
    </row>
    <row r="609" spans="3:13" ht="15.75" customHeight="1">
      <c r="C609" s="189"/>
      <c r="K609" s="182"/>
      <c r="L609" s="189"/>
      <c r="M609" s="189"/>
    </row>
    <row r="610" spans="3:13" ht="15.75" customHeight="1">
      <c r="C610" s="189"/>
      <c r="K610" s="182"/>
      <c r="L610" s="189"/>
      <c r="M610" s="189"/>
    </row>
    <row r="611" spans="3:13" ht="15.75" customHeight="1">
      <c r="C611" s="189"/>
      <c r="K611" s="182"/>
      <c r="L611" s="189"/>
      <c r="M611" s="189"/>
    </row>
    <row r="612" spans="3:13" ht="15.75" customHeight="1">
      <c r="C612" s="189"/>
      <c r="K612" s="182"/>
      <c r="L612" s="189"/>
      <c r="M612" s="189"/>
    </row>
    <row r="613" spans="3:13" ht="15.75" customHeight="1">
      <c r="C613" s="189"/>
      <c r="K613" s="182"/>
      <c r="L613" s="189"/>
      <c r="M613" s="189"/>
    </row>
    <row r="614" spans="3:13" ht="15.75" customHeight="1">
      <c r="C614" s="189"/>
      <c r="K614" s="182"/>
      <c r="L614" s="189"/>
      <c r="M614" s="189"/>
    </row>
    <row r="615" spans="3:13" ht="15.75" customHeight="1">
      <c r="C615" s="189"/>
      <c r="K615" s="182"/>
      <c r="L615" s="189"/>
      <c r="M615" s="189"/>
    </row>
    <row r="616" spans="3:13" ht="15.75" customHeight="1">
      <c r="C616" s="189"/>
      <c r="K616" s="182"/>
      <c r="L616" s="189"/>
      <c r="M616" s="189"/>
    </row>
    <row r="617" spans="3:13" ht="15.75" customHeight="1">
      <c r="C617" s="189"/>
      <c r="K617" s="182"/>
      <c r="L617" s="189"/>
      <c r="M617" s="189"/>
    </row>
    <row r="618" spans="3:13" ht="15.75" customHeight="1">
      <c r="C618" s="189"/>
      <c r="K618" s="182"/>
      <c r="L618" s="189"/>
      <c r="M618" s="189"/>
    </row>
    <row r="619" spans="3:13" ht="15.75" customHeight="1">
      <c r="C619" s="189"/>
      <c r="K619" s="182"/>
      <c r="L619" s="189"/>
      <c r="M619" s="189"/>
    </row>
    <row r="620" spans="3:13" ht="15.75" customHeight="1">
      <c r="C620" s="189"/>
      <c r="K620" s="182"/>
      <c r="L620" s="189"/>
      <c r="M620" s="189"/>
    </row>
    <row r="621" spans="3:13" ht="15.75" customHeight="1">
      <c r="C621" s="189"/>
      <c r="K621" s="182"/>
      <c r="L621" s="189"/>
      <c r="M621" s="189"/>
    </row>
    <row r="622" spans="3:13" ht="15.75" customHeight="1">
      <c r="C622" s="189"/>
      <c r="K622" s="182"/>
      <c r="L622" s="189"/>
      <c r="M622" s="189"/>
    </row>
    <row r="623" spans="3:13" ht="15.75" customHeight="1">
      <c r="C623" s="189"/>
      <c r="K623" s="182"/>
      <c r="L623" s="189"/>
      <c r="M623" s="189"/>
    </row>
    <row r="624" spans="3:13" ht="15.75" customHeight="1">
      <c r="C624" s="189"/>
      <c r="K624" s="182"/>
      <c r="L624" s="189"/>
      <c r="M624" s="189"/>
    </row>
    <row r="625" spans="3:13" ht="15.75" customHeight="1">
      <c r="C625" s="189"/>
      <c r="K625" s="182"/>
      <c r="L625" s="189"/>
      <c r="M625" s="189"/>
    </row>
    <row r="626" spans="3:13" ht="15.75" customHeight="1">
      <c r="C626" s="189"/>
      <c r="K626" s="182"/>
      <c r="L626" s="189"/>
      <c r="M626" s="189"/>
    </row>
    <row r="627" spans="3:13" ht="15.75" customHeight="1">
      <c r="C627" s="189"/>
      <c r="K627" s="182"/>
      <c r="L627" s="189"/>
      <c r="M627" s="189"/>
    </row>
    <row r="628" spans="3:13" ht="15.75" customHeight="1">
      <c r="C628" s="189"/>
      <c r="K628" s="182"/>
      <c r="L628" s="189"/>
      <c r="M628" s="189"/>
    </row>
    <row r="629" spans="3:13" ht="15.75" customHeight="1">
      <c r="C629" s="189"/>
      <c r="K629" s="182"/>
      <c r="L629" s="189"/>
      <c r="M629" s="189"/>
    </row>
    <row r="630" spans="3:13" ht="15.75" customHeight="1">
      <c r="C630" s="189"/>
      <c r="K630" s="182"/>
      <c r="L630" s="189"/>
      <c r="M630" s="189"/>
    </row>
    <row r="631" spans="3:13" ht="15.75" customHeight="1">
      <c r="C631" s="189"/>
      <c r="K631" s="182"/>
      <c r="L631" s="189"/>
      <c r="M631" s="189"/>
    </row>
    <row r="632" spans="3:13" ht="15.75" customHeight="1">
      <c r="C632" s="189"/>
      <c r="K632" s="182"/>
      <c r="L632" s="189"/>
      <c r="M632" s="189"/>
    </row>
    <row r="633" spans="3:13" ht="15.75" customHeight="1">
      <c r="C633" s="189"/>
      <c r="K633" s="182"/>
      <c r="L633" s="189"/>
      <c r="M633" s="189"/>
    </row>
    <row r="634" spans="3:13" ht="15.75" customHeight="1">
      <c r="C634" s="189"/>
      <c r="K634" s="182"/>
      <c r="L634" s="189"/>
      <c r="M634" s="189"/>
    </row>
    <row r="635" spans="3:13" ht="15.75" customHeight="1">
      <c r="C635" s="189"/>
      <c r="K635" s="182"/>
      <c r="L635" s="189"/>
      <c r="M635" s="189"/>
    </row>
    <row r="636" spans="3:13" ht="15.75" customHeight="1">
      <c r="C636" s="189"/>
      <c r="K636" s="182"/>
      <c r="L636" s="189"/>
      <c r="M636" s="189"/>
    </row>
    <row r="637" spans="3:13" ht="15.75" customHeight="1">
      <c r="C637" s="189"/>
      <c r="K637" s="182"/>
      <c r="L637" s="189"/>
      <c r="M637" s="189"/>
    </row>
    <row r="638" spans="3:13" ht="15.75" customHeight="1">
      <c r="C638" s="189"/>
      <c r="K638" s="182"/>
      <c r="L638" s="189"/>
      <c r="M638" s="189"/>
    </row>
    <row r="639" spans="3:13" ht="15.75" customHeight="1">
      <c r="C639" s="189"/>
      <c r="K639" s="182"/>
      <c r="L639" s="189"/>
      <c r="M639" s="189"/>
    </row>
    <row r="640" spans="3:13" ht="15.75" customHeight="1">
      <c r="C640" s="189"/>
      <c r="K640" s="182"/>
      <c r="L640" s="189"/>
      <c r="M640" s="189"/>
    </row>
    <row r="641" spans="3:13" ht="15.75" customHeight="1">
      <c r="C641" s="189"/>
      <c r="K641" s="182"/>
      <c r="L641" s="189"/>
      <c r="M641" s="189"/>
    </row>
    <row r="642" spans="3:13" ht="15.75" customHeight="1">
      <c r="C642" s="189"/>
      <c r="K642" s="182"/>
      <c r="L642" s="189"/>
      <c r="M642" s="189"/>
    </row>
    <row r="643" spans="3:13" ht="15.75" customHeight="1">
      <c r="C643" s="189"/>
      <c r="K643" s="182"/>
      <c r="L643" s="189"/>
      <c r="M643" s="189"/>
    </row>
    <row r="644" spans="3:13" ht="15.75" customHeight="1">
      <c r="C644" s="189"/>
      <c r="K644" s="182"/>
      <c r="L644" s="189"/>
      <c r="M644" s="189"/>
    </row>
    <row r="645" spans="3:13" ht="15.75" customHeight="1">
      <c r="C645" s="189"/>
      <c r="K645" s="182"/>
      <c r="L645" s="189"/>
      <c r="M645" s="189"/>
    </row>
    <row r="646" spans="3:13" ht="15.75" customHeight="1">
      <c r="C646" s="189"/>
      <c r="K646" s="182"/>
      <c r="L646" s="189"/>
      <c r="M646" s="189"/>
    </row>
    <row r="647" spans="3:13" ht="15.75" customHeight="1">
      <c r="C647" s="189"/>
      <c r="K647" s="182"/>
      <c r="L647" s="189"/>
      <c r="M647" s="189"/>
    </row>
    <row r="648" spans="3:13" ht="15.75" customHeight="1">
      <c r="C648" s="189"/>
      <c r="K648" s="182"/>
      <c r="L648" s="189"/>
      <c r="M648" s="189"/>
    </row>
    <row r="649" spans="3:13" ht="15.75" customHeight="1">
      <c r="C649" s="189"/>
      <c r="K649" s="182"/>
      <c r="L649" s="189"/>
      <c r="M649" s="189"/>
    </row>
    <row r="650" spans="3:13" ht="15.75" customHeight="1">
      <c r="C650" s="189"/>
      <c r="K650" s="182"/>
      <c r="L650" s="189"/>
      <c r="M650" s="189"/>
    </row>
    <row r="651" spans="3:13" ht="15.75" customHeight="1">
      <c r="C651" s="189"/>
      <c r="K651" s="182"/>
      <c r="L651" s="189"/>
      <c r="M651" s="189"/>
    </row>
    <row r="652" spans="3:13" ht="15.75" customHeight="1">
      <c r="C652" s="189"/>
      <c r="K652" s="182"/>
      <c r="L652" s="189"/>
      <c r="M652" s="189"/>
    </row>
    <row r="653" spans="3:13" ht="15.75" customHeight="1">
      <c r="C653" s="189"/>
      <c r="K653" s="182"/>
      <c r="L653" s="189"/>
      <c r="M653" s="189"/>
    </row>
    <row r="654" spans="3:13" ht="15.75" customHeight="1">
      <c r="C654" s="189"/>
      <c r="K654" s="182"/>
      <c r="L654" s="189"/>
      <c r="M654" s="189"/>
    </row>
    <row r="655" spans="3:13" ht="15.75" customHeight="1">
      <c r="C655" s="189"/>
      <c r="K655" s="182"/>
      <c r="L655" s="189"/>
      <c r="M655" s="189"/>
    </row>
    <row r="656" spans="3:13" ht="15.75" customHeight="1">
      <c r="C656" s="189"/>
      <c r="K656" s="182"/>
      <c r="L656" s="189"/>
      <c r="M656" s="189"/>
    </row>
    <row r="657" spans="3:13" ht="15.75" customHeight="1">
      <c r="C657" s="189"/>
      <c r="K657" s="182"/>
      <c r="L657" s="189"/>
      <c r="M657" s="189"/>
    </row>
    <row r="658" spans="3:13" ht="15.75" customHeight="1">
      <c r="C658" s="189"/>
      <c r="K658" s="182"/>
      <c r="L658" s="189"/>
      <c r="M658" s="189"/>
    </row>
    <row r="659" spans="3:13" ht="15.75" customHeight="1">
      <c r="C659" s="189"/>
      <c r="K659" s="182"/>
      <c r="L659" s="189"/>
      <c r="M659" s="189"/>
    </row>
    <row r="660" spans="3:13" ht="15.75" customHeight="1">
      <c r="C660" s="189"/>
      <c r="K660" s="182"/>
      <c r="L660" s="189"/>
      <c r="M660" s="189"/>
    </row>
    <row r="661" spans="3:13" ht="15.75" customHeight="1">
      <c r="C661" s="189"/>
      <c r="K661" s="182"/>
      <c r="L661" s="189"/>
      <c r="M661" s="189"/>
    </row>
    <row r="662" spans="3:13" ht="15.75" customHeight="1">
      <c r="C662" s="189"/>
      <c r="K662" s="182"/>
      <c r="L662" s="189"/>
      <c r="M662" s="189"/>
    </row>
    <row r="663" spans="3:13" ht="15.75" customHeight="1">
      <c r="C663" s="189"/>
      <c r="K663" s="182"/>
      <c r="L663" s="189"/>
      <c r="M663" s="189"/>
    </row>
    <row r="664" spans="3:13" ht="15.75" customHeight="1">
      <c r="C664" s="189"/>
      <c r="K664" s="182"/>
      <c r="L664" s="189"/>
      <c r="M664" s="189"/>
    </row>
    <row r="665" spans="3:13" ht="15.75" customHeight="1">
      <c r="C665" s="189"/>
      <c r="K665" s="182"/>
      <c r="L665" s="189"/>
      <c r="M665" s="189"/>
    </row>
    <row r="666" spans="3:13" ht="15.75" customHeight="1">
      <c r="C666" s="189"/>
      <c r="K666" s="182"/>
      <c r="L666" s="189"/>
      <c r="M666" s="189"/>
    </row>
    <row r="667" spans="3:13" ht="15.75" customHeight="1">
      <c r="C667" s="189"/>
      <c r="K667" s="182"/>
      <c r="L667" s="189"/>
      <c r="M667" s="189"/>
    </row>
    <row r="668" spans="3:13" ht="15.75" customHeight="1">
      <c r="C668" s="189"/>
      <c r="K668" s="182"/>
      <c r="L668" s="189"/>
      <c r="M668" s="189"/>
    </row>
    <row r="669" spans="3:13" ht="15.75" customHeight="1">
      <c r="C669" s="189"/>
      <c r="K669" s="182"/>
      <c r="L669" s="189"/>
      <c r="M669" s="189"/>
    </row>
    <row r="670" spans="3:13" ht="15.75" customHeight="1">
      <c r="C670" s="189"/>
      <c r="K670" s="182"/>
      <c r="L670" s="189"/>
      <c r="M670" s="189"/>
    </row>
    <row r="671" spans="3:13" ht="15.75" customHeight="1">
      <c r="C671" s="189"/>
      <c r="K671" s="182"/>
      <c r="L671" s="189"/>
      <c r="M671" s="189"/>
    </row>
    <row r="672" spans="3:13" ht="15.75" customHeight="1">
      <c r="C672" s="189"/>
      <c r="K672" s="182"/>
      <c r="L672" s="189"/>
      <c r="M672" s="189"/>
    </row>
    <row r="673" spans="3:13" ht="15.75" customHeight="1">
      <c r="C673" s="189"/>
      <c r="K673" s="182"/>
      <c r="L673" s="189"/>
      <c r="M673" s="189"/>
    </row>
    <row r="674" spans="3:13" ht="15.75" customHeight="1">
      <c r="C674" s="189"/>
      <c r="K674" s="182"/>
      <c r="L674" s="189"/>
      <c r="M674" s="189"/>
    </row>
    <row r="675" spans="3:13" ht="15.75" customHeight="1">
      <c r="C675" s="189"/>
      <c r="K675" s="182"/>
      <c r="L675" s="189"/>
      <c r="M675" s="189"/>
    </row>
    <row r="676" spans="3:13" ht="15.75" customHeight="1">
      <c r="C676" s="189"/>
      <c r="K676" s="182"/>
      <c r="L676" s="189"/>
      <c r="M676" s="189"/>
    </row>
    <row r="677" spans="3:13" ht="15.75" customHeight="1">
      <c r="C677" s="189"/>
      <c r="K677" s="182"/>
      <c r="L677" s="189"/>
      <c r="M677" s="189"/>
    </row>
    <row r="678" spans="3:13" ht="15.75" customHeight="1">
      <c r="C678" s="189"/>
      <c r="K678" s="182"/>
      <c r="L678" s="189"/>
      <c r="M678" s="189"/>
    </row>
    <row r="679" spans="3:13" ht="15.75" customHeight="1">
      <c r="C679" s="189"/>
      <c r="K679" s="182"/>
      <c r="L679" s="189"/>
      <c r="M679" s="189"/>
    </row>
    <row r="680" spans="3:13" ht="15.75" customHeight="1">
      <c r="C680" s="189"/>
      <c r="K680" s="182"/>
      <c r="L680" s="189"/>
      <c r="M680" s="189"/>
    </row>
    <row r="681" spans="3:13" ht="15.75" customHeight="1">
      <c r="C681" s="189"/>
      <c r="K681" s="182"/>
      <c r="L681" s="189"/>
      <c r="M681" s="189"/>
    </row>
    <row r="682" spans="3:13" ht="15.75" customHeight="1">
      <c r="C682" s="189"/>
      <c r="K682" s="182"/>
      <c r="L682" s="189"/>
      <c r="M682" s="189"/>
    </row>
    <row r="683" spans="3:13" ht="15.75" customHeight="1">
      <c r="C683" s="189"/>
      <c r="K683" s="182"/>
      <c r="L683" s="189"/>
      <c r="M683" s="189"/>
    </row>
    <row r="684" spans="3:13" ht="15.75" customHeight="1">
      <c r="C684" s="189"/>
      <c r="K684" s="182"/>
      <c r="L684" s="189"/>
      <c r="M684" s="189"/>
    </row>
    <row r="685" spans="3:13" ht="15.75" customHeight="1">
      <c r="C685" s="189"/>
      <c r="K685" s="182"/>
      <c r="L685" s="189"/>
      <c r="M685" s="189"/>
    </row>
    <row r="686" spans="3:13" ht="15.75" customHeight="1">
      <c r="C686" s="189"/>
      <c r="K686" s="182"/>
      <c r="L686" s="189"/>
      <c r="M686" s="189"/>
    </row>
    <row r="687" spans="3:13" ht="15.75" customHeight="1">
      <c r="C687" s="189"/>
      <c r="K687" s="182"/>
      <c r="L687" s="189"/>
      <c r="M687" s="189"/>
    </row>
    <row r="688" spans="3:13" ht="15.75" customHeight="1">
      <c r="C688" s="189"/>
      <c r="K688" s="182"/>
      <c r="L688" s="189"/>
      <c r="M688" s="189"/>
    </row>
    <row r="689" spans="3:13" ht="15.75" customHeight="1">
      <c r="C689" s="189"/>
      <c r="K689" s="182"/>
      <c r="L689" s="189"/>
      <c r="M689" s="189"/>
    </row>
    <row r="690" spans="3:13" ht="15.75" customHeight="1">
      <c r="C690" s="189"/>
      <c r="K690" s="182"/>
      <c r="L690" s="189"/>
      <c r="M690" s="189"/>
    </row>
    <row r="691" spans="3:13" ht="15.75" customHeight="1">
      <c r="C691" s="189"/>
      <c r="K691" s="182"/>
      <c r="L691" s="189"/>
      <c r="M691" s="189"/>
    </row>
    <row r="692" spans="3:13" ht="15.75" customHeight="1">
      <c r="C692" s="189"/>
      <c r="K692" s="182"/>
      <c r="L692" s="189"/>
      <c r="M692" s="189"/>
    </row>
    <row r="693" spans="3:13" ht="15.75" customHeight="1">
      <c r="C693" s="189"/>
      <c r="K693" s="182"/>
      <c r="L693" s="189"/>
      <c r="M693" s="189"/>
    </row>
    <row r="694" spans="3:13" ht="15.75" customHeight="1">
      <c r="C694" s="189"/>
      <c r="K694" s="182"/>
      <c r="L694" s="189"/>
      <c r="M694" s="189"/>
    </row>
    <row r="695" spans="3:13" ht="15.75" customHeight="1">
      <c r="C695" s="189"/>
      <c r="K695" s="182"/>
      <c r="L695" s="189"/>
      <c r="M695" s="189"/>
    </row>
    <row r="696" spans="3:13" ht="15.75" customHeight="1">
      <c r="C696" s="189"/>
      <c r="K696" s="182"/>
      <c r="L696" s="189"/>
      <c r="M696" s="189"/>
    </row>
    <row r="697" spans="3:13" ht="15.75" customHeight="1">
      <c r="C697" s="189"/>
      <c r="K697" s="182"/>
      <c r="L697" s="189"/>
      <c r="M697" s="189"/>
    </row>
    <row r="698" spans="3:13" ht="15.75" customHeight="1">
      <c r="C698" s="189"/>
      <c r="K698" s="182"/>
      <c r="L698" s="189"/>
      <c r="M698" s="189"/>
    </row>
    <row r="699" spans="3:13" ht="15.75" customHeight="1">
      <c r="C699" s="189"/>
      <c r="K699" s="182"/>
      <c r="L699" s="189"/>
      <c r="M699" s="189"/>
    </row>
    <row r="700" spans="3:13" ht="15.75" customHeight="1">
      <c r="C700" s="189"/>
      <c r="K700" s="182"/>
      <c r="L700" s="189"/>
      <c r="M700" s="189"/>
    </row>
    <row r="701" spans="3:13" ht="15.75" customHeight="1">
      <c r="C701" s="189"/>
      <c r="K701" s="182"/>
      <c r="L701" s="189"/>
      <c r="M701" s="189"/>
    </row>
    <row r="702" spans="3:13" ht="15.75" customHeight="1">
      <c r="C702" s="189"/>
      <c r="K702" s="182"/>
      <c r="L702" s="189"/>
      <c r="M702" s="189"/>
    </row>
    <row r="703" spans="3:13" ht="15.75" customHeight="1">
      <c r="C703" s="189"/>
      <c r="K703" s="182"/>
      <c r="L703" s="189"/>
      <c r="M703" s="189"/>
    </row>
    <row r="704" spans="3:13" ht="15.75" customHeight="1">
      <c r="C704" s="189"/>
      <c r="K704" s="182"/>
      <c r="L704" s="189"/>
      <c r="M704" s="189"/>
    </row>
    <row r="705" spans="3:13" ht="15.75" customHeight="1">
      <c r="C705" s="189"/>
      <c r="K705" s="182"/>
      <c r="L705" s="189"/>
      <c r="M705" s="189"/>
    </row>
    <row r="706" spans="3:13" ht="15.75" customHeight="1">
      <c r="C706" s="189"/>
      <c r="K706" s="182"/>
      <c r="L706" s="189"/>
      <c r="M706" s="189"/>
    </row>
    <row r="707" spans="3:13" ht="15.75" customHeight="1">
      <c r="C707" s="189"/>
      <c r="K707" s="182"/>
      <c r="L707" s="189"/>
      <c r="M707" s="189"/>
    </row>
    <row r="708" spans="3:13" ht="15.75" customHeight="1">
      <c r="C708" s="189"/>
      <c r="K708" s="182"/>
      <c r="L708" s="189"/>
      <c r="M708" s="189"/>
    </row>
    <row r="709" spans="3:13" ht="15.75" customHeight="1">
      <c r="C709" s="189"/>
      <c r="K709" s="182"/>
      <c r="L709" s="189"/>
      <c r="M709" s="189"/>
    </row>
    <row r="710" spans="3:13" ht="15.75" customHeight="1">
      <c r="C710" s="189"/>
      <c r="K710" s="182"/>
      <c r="L710" s="189"/>
      <c r="M710" s="189"/>
    </row>
    <row r="711" spans="3:13" ht="15.75" customHeight="1">
      <c r="C711" s="189"/>
      <c r="K711" s="182"/>
      <c r="L711" s="189"/>
      <c r="M711" s="189"/>
    </row>
    <row r="712" spans="3:13" ht="15.75" customHeight="1">
      <c r="C712" s="189"/>
      <c r="K712" s="182"/>
      <c r="L712" s="189"/>
      <c r="M712" s="189"/>
    </row>
    <row r="713" spans="3:13" ht="15.75" customHeight="1">
      <c r="C713" s="189"/>
      <c r="K713" s="182"/>
      <c r="L713" s="189"/>
      <c r="M713" s="189"/>
    </row>
    <row r="714" spans="3:13" ht="15.75" customHeight="1">
      <c r="C714" s="189"/>
      <c r="K714" s="182"/>
      <c r="L714" s="189"/>
      <c r="M714" s="189"/>
    </row>
    <row r="715" spans="3:13" ht="15.75" customHeight="1">
      <c r="C715" s="189"/>
      <c r="K715" s="182"/>
      <c r="L715" s="189"/>
      <c r="M715" s="189"/>
    </row>
    <row r="716" spans="3:13" ht="15.75" customHeight="1">
      <c r="C716" s="189"/>
      <c r="K716" s="182"/>
      <c r="L716" s="189"/>
      <c r="M716" s="189"/>
    </row>
    <row r="717" spans="3:13" ht="15.75" customHeight="1">
      <c r="C717" s="189"/>
      <c r="K717" s="182"/>
      <c r="L717" s="189"/>
      <c r="M717" s="189"/>
    </row>
    <row r="718" spans="3:13" ht="15.75" customHeight="1">
      <c r="C718" s="189"/>
      <c r="K718" s="182"/>
      <c r="L718" s="189"/>
      <c r="M718" s="189"/>
    </row>
    <row r="719" spans="3:13" ht="15.75" customHeight="1">
      <c r="C719" s="189"/>
      <c r="K719" s="182"/>
      <c r="L719" s="189"/>
      <c r="M719" s="189"/>
    </row>
    <row r="720" spans="3:13" ht="15.75" customHeight="1">
      <c r="C720" s="189"/>
      <c r="K720" s="182"/>
      <c r="L720" s="189"/>
      <c r="M720" s="189"/>
    </row>
    <row r="721" spans="3:13" ht="15.75" customHeight="1">
      <c r="C721" s="189"/>
      <c r="K721" s="182"/>
      <c r="L721" s="189"/>
      <c r="M721" s="189"/>
    </row>
    <row r="722" spans="3:13" ht="15.75" customHeight="1">
      <c r="C722" s="189"/>
      <c r="K722" s="182"/>
      <c r="L722" s="189"/>
      <c r="M722" s="189"/>
    </row>
    <row r="723" spans="3:13" ht="15.75" customHeight="1">
      <c r="C723" s="189"/>
      <c r="K723" s="182"/>
      <c r="L723" s="189"/>
      <c r="M723" s="189"/>
    </row>
    <row r="724" spans="3:13" ht="15.75" customHeight="1">
      <c r="C724" s="189"/>
      <c r="K724" s="182"/>
      <c r="L724" s="189"/>
      <c r="M724" s="189"/>
    </row>
    <row r="725" spans="3:13" ht="15.75" customHeight="1">
      <c r="C725" s="189"/>
      <c r="K725" s="182"/>
      <c r="L725" s="189"/>
      <c r="M725" s="189"/>
    </row>
    <row r="726" spans="3:13" ht="15.75" customHeight="1">
      <c r="C726" s="189"/>
      <c r="K726" s="182"/>
      <c r="L726" s="189"/>
      <c r="M726" s="189"/>
    </row>
    <row r="727" spans="3:13" ht="15.75" customHeight="1">
      <c r="C727" s="189"/>
      <c r="K727" s="182"/>
      <c r="L727" s="189"/>
      <c r="M727" s="189"/>
    </row>
    <row r="728" spans="3:13" ht="15.75" customHeight="1">
      <c r="C728" s="189"/>
      <c r="K728" s="182"/>
      <c r="L728" s="189"/>
      <c r="M728" s="189"/>
    </row>
    <row r="729" spans="3:13" ht="15.75" customHeight="1">
      <c r="C729" s="189"/>
      <c r="K729" s="182"/>
      <c r="L729" s="189"/>
      <c r="M729" s="189"/>
    </row>
    <row r="730" spans="3:13" ht="15.75" customHeight="1">
      <c r="C730" s="189"/>
      <c r="K730" s="182"/>
      <c r="L730" s="189"/>
      <c r="M730" s="189"/>
    </row>
    <row r="731" spans="3:13" ht="15.75" customHeight="1">
      <c r="C731" s="189"/>
      <c r="K731" s="182"/>
      <c r="L731" s="189"/>
      <c r="M731" s="189"/>
    </row>
    <row r="732" spans="3:13" ht="15.75" customHeight="1">
      <c r="C732" s="189"/>
      <c r="K732" s="182"/>
      <c r="L732" s="189"/>
      <c r="M732" s="189"/>
    </row>
    <row r="733" spans="3:13" ht="15.75" customHeight="1">
      <c r="C733" s="189"/>
      <c r="K733" s="182"/>
      <c r="L733" s="189"/>
      <c r="M733" s="189"/>
    </row>
    <row r="734" spans="3:13" ht="15.75" customHeight="1">
      <c r="C734" s="189"/>
      <c r="K734" s="182"/>
      <c r="L734" s="189"/>
      <c r="M734" s="189"/>
    </row>
    <row r="735" spans="3:13" ht="15.75" customHeight="1">
      <c r="C735" s="189"/>
      <c r="K735" s="182"/>
      <c r="L735" s="189"/>
      <c r="M735" s="189"/>
    </row>
    <row r="736" spans="3:13" ht="15.75" customHeight="1">
      <c r="C736" s="189"/>
      <c r="K736" s="182"/>
      <c r="L736" s="189"/>
      <c r="M736" s="189"/>
    </row>
    <row r="737" spans="3:13" ht="15.75" customHeight="1">
      <c r="C737" s="189"/>
      <c r="K737" s="182"/>
      <c r="L737" s="189"/>
      <c r="M737" s="189"/>
    </row>
    <row r="738" spans="3:13" ht="15.75" customHeight="1">
      <c r="C738" s="189"/>
      <c r="K738" s="182"/>
      <c r="L738" s="189"/>
      <c r="M738" s="189"/>
    </row>
    <row r="739" spans="3:13" ht="15.75" customHeight="1">
      <c r="C739" s="189"/>
      <c r="K739" s="182"/>
      <c r="L739" s="189"/>
      <c r="M739" s="189"/>
    </row>
    <row r="740" spans="3:13" ht="15.75" customHeight="1">
      <c r="C740" s="189"/>
      <c r="K740" s="182"/>
      <c r="L740" s="189"/>
      <c r="M740" s="189"/>
    </row>
    <row r="741" spans="3:13" ht="15.75" customHeight="1">
      <c r="C741" s="189"/>
      <c r="K741" s="182"/>
      <c r="L741" s="189"/>
      <c r="M741" s="189"/>
    </row>
    <row r="742" spans="3:13" ht="15.75" customHeight="1">
      <c r="C742" s="189"/>
      <c r="K742" s="182"/>
      <c r="L742" s="189"/>
      <c r="M742" s="189"/>
    </row>
    <row r="743" spans="3:13" ht="15.75" customHeight="1">
      <c r="C743" s="189"/>
      <c r="K743" s="182"/>
      <c r="L743" s="189"/>
      <c r="M743" s="189"/>
    </row>
    <row r="744" spans="3:13" ht="15.75" customHeight="1">
      <c r="C744" s="189"/>
      <c r="K744" s="182"/>
      <c r="L744" s="189"/>
      <c r="M744" s="189"/>
    </row>
    <row r="745" spans="3:13" ht="15.75" customHeight="1">
      <c r="C745" s="189"/>
      <c r="K745" s="182"/>
      <c r="L745" s="189"/>
      <c r="M745" s="189"/>
    </row>
    <row r="746" spans="3:13" ht="15.75" customHeight="1">
      <c r="C746" s="189"/>
      <c r="K746" s="182"/>
      <c r="L746" s="189"/>
      <c r="M746" s="189"/>
    </row>
    <row r="747" spans="3:13" ht="15.75" customHeight="1">
      <c r="C747" s="189"/>
      <c r="K747" s="182"/>
      <c r="L747" s="189"/>
      <c r="M747" s="189"/>
    </row>
    <row r="748" spans="3:13" ht="15.75" customHeight="1">
      <c r="C748" s="189"/>
      <c r="K748" s="182"/>
      <c r="L748" s="189"/>
      <c r="M748" s="189"/>
    </row>
    <row r="749" spans="3:13" ht="15.75" customHeight="1">
      <c r="C749" s="189"/>
      <c r="K749" s="182"/>
      <c r="L749" s="189"/>
      <c r="M749" s="189"/>
    </row>
    <row r="750" spans="3:13" ht="15.75" customHeight="1">
      <c r="C750" s="189"/>
      <c r="K750" s="182"/>
      <c r="L750" s="189"/>
      <c r="M750" s="189"/>
    </row>
    <row r="751" spans="3:13" ht="15.75" customHeight="1">
      <c r="C751" s="189"/>
      <c r="K751" s="182"/>
      <c r="L751" s="189"/>
      <c r="M751" s="189"/>
    </row>
    <row r="752" spans="3:13" ht="15.75" customHeight="1">
      <c r="C752" s="189"/>
      <c r="K752" s="182"/>
      <c r="L752" s="189"/>
      <c r="M752" s="189"/>
    </row>
    <row r="753" spans="3:13" ht="15.75" customHeight="1">
      <c r="C753" s="189"/>
      <c r="K753" s="182"/>
      <c r="L753" s="189"/>
      <c r="M753" s="189"/>
    </row>
    <row r="754" spans="3:13" ht="15.75" customHeight="1">
      <c r="C754" s="189"/>
      <c r="K754" s="182"/>
      <c r="L754" s="189"/>
      <c r="M754" s="189"/>
    </row>
    <row r="755" spans="3:13" ht="15.75" customHeight="1">
      <c r="C755" s="189"/>
      <c r="K755" s="182"/>
      <c r="L755" s="189"/>
      <c r="M755" s="189"/>
    </row>
    <row r="756" spans="3:13" ht="15.75" customHeight="1">
      <c r="C756" s="189"/>
      <c r="K756" s="182"/>
      <c r="L756" s="189"/>
      <c r="M756" s="189"/>
    </row>
    <row r="757" spans="3:13" ht="15.75" customHeight="1">
      <c r="C757" s="189"/>
      <c r="K757" s="182"/>
      <c r="L757" s="189"/>
      <c r="M757" s="189"/>
    </row>
    <row r="758" spans="3:13" ht="15.75" customHeight="1">
      <c r="C758" s="189"/>
      <c r="K758" s="182"/>
      <c r="L758" s="189"/>
      <c r="M758" s="189"/>
    </row>
    <row r="759" spans="3:13" ht="15.75" customHeight="1">
      <c r="C759" s="189"/>
      <c r="K759" s="182"/>
      <c r="L759" s="189"/>
      <c r="M759" s="189"/>
    </row>
    <row r="760" spans="3:13" ht="15.75" customHeight="1">
      <c r="C760" s="189"/>
      <c r="K760" s="182"/>
      <c r="L760" s="189"/>
      <c r="M760" s="189"/>
    </row>
    <row r="761" spans="3:13" ht="15.75" customHeight="1">
      <c r="C761" s="189"/>
      <c r="K761" s="182"/>
      <c r="L761" s="189"/>
      <c r="M761" s="189"/>
    </row>
    <row r="762" spans="3:13" ht="15.75" customHeight="1">
      <c r="C762" s="189"/>
      <c r="K762" s="182"/>
      <c r="L762" s="189"/>
      <c r="M762" s="189"/>
    </row>
    <row r="763" spans="3:13" ht="15.75" customHeight="1">
      <c r="C763" s="189"/>
      <c r="K763" s="182"/>
      <c r="L763" s="189"/>
      <c r="M763" s="189"/>
    </row>
    <row r="764" spans="3:13" ht="15.75" customHeight="1">
      <c r="C764" s="189"/>
      <c r="K764" s="182"/>
      <c r="L764" s="189"/>
      <c r="M764" s="189"/>
    </row>
    <row r="765" spans="3:13" ht="15.75" customHeight="1">
      <c r="C765" s="189"/>
      <c r="K765" s="182"/>
      <c r="L765" s="189"/>
      <c r="M765" s="189"/>
    </row>
    <row r="766" spans="3:13" ht="15.75" customHeight="1">
      <c r="C766" s="189"/>
      <c r="K766" s="182"/>
      <c r="L766" s="189"/>
      <c r="M766" s="189"/>
    </row>
    <row r="767" spans="3:13" ht="15.75" customHeight="1">
      <c r="C767" s="189"/>
      <c r="K767" s="182"/>
      <c r="L767" s="189"/>
      <c r="M767" s="189"/>
    </row>
    <row r="768" spans="3:13" ht="15.75" customHeight="1">
      <c r="C768" s="189"/>
      <c r="K768" s="182"/>
      <c r="L768" s="189"/>
      <c r="M768" s="189"/>
    </row>
    <row r="769" spans="3:13" ht="15.75" customHeight="1">
      <c r="C769" s="189"/>
      <c r="K769" s="182"/>
      <c r="L769" s="189"/>
      <c r="M769" s="189"/>
    </row>
    <row r="770" spans="3:13" ht="15.75" customHeight="1">
      <c r="C770" s="189"/>
      <c r="K770" s="182"/>
      <c r="L770" s="189"/>
      <c r="M770" s="189"/>
    </row>
    <row r="771" spans="3:13" ht="15.75" customHeight="1">
      <c r="C771" s="189"/>
      <c r="K771" s="182"/>
      <c r="L771" s="189"/>
      <c r="M771" s="189"/>
    </row>
    <row r="772" spans="3:13" ht="15.75" customHeight="1">
      <c r="C772" s="189"/>
      <c r="K772" s="182"/>
      <c r="L772" s="189"/>
      <c r="M772" s="189"/>
    </row>
    <row r="773" spans="3:13" ht="15.75" customHeight="1">
      <c r="C773" s="189"/>
      <c r="K773" s="182"/>
      <c r="L773" s="189"/>
      <c r="M773" s="189"/>
    </row>
    <row r="774" spans="3:13" ht="15.75" customHeight="1">
      <c r="C774" s="189"/>
      <c r="K774" s="182"/>
      <c r="L774" s="189"/>
      <c r="M774" s="189"/>
    </row>
    <row r="775" spans="3:13" ht="15.75" customHeight="1">
      <c r="C775" s="189"/>
      <c r="K775" s="182"/>
      <c r="L775" s="189"/>
      <c r="M775" s="189"/>
    </row>
    <row r="776" spans="3:13" ht="15.75" customHeight="1">
      <c r="C776" s="189"/>
      <c r="K776" s="182"/>
      <c r="L776" s="189"/>
      <c r="M776" s="189"/>
    </row>
    <row r="777" spans="3:13" ht="15.75" customHeight="1">
      <c r="C777" s="189"/>
      <c r="K777" s="182"/>
      <c r="L777" s="189"/>
      <c r="M777" s="189"/>
    </row>
    <row r="778" spans="3:13" ht="15.75" customHeight="1">
      <c r="C778" s="189"/>
      <c r="K778" s="182"/>
      <c r="L778" s="189"/>
      <c r="M778" s="189"/>
    </row>
    <row r="779" spans="3:13" ht="15.75" customHeight="1">
      <c r="C779" s="189"/>
      <c r="K779" s="182"/>
      <c r="L779" s="189"/>
      <c r="M779" s="189"/>
    </row>
    <row r="780" spans="3:13" ht="15.75" customHeight="1">
      <c r="C780" s="189"/>
      <c r="K780" s="182"/>
      <c r="L780" s="189"/>
      <c r="M780" s="189"/>
    </row>
    <row r="781" spans="3:13" ht="15.75" customHeight="1">
      <c r="C781" s="189"/>
      <c r="K781" s="182"/>
      <c r="L781" s="189"/>
      <c r="M781" s="189"/>
    </row>
    <row r="782" spans="3:13" ht="15.75" customHeight="1">
      <c r="C782" s="189"/>
      <c r="K782" s="182"/>
      <c r="L782" s="189"/>
      <c r="M782" s="189"/>
    </row>
    <row r="783" spans="3:13" ht="15.75" customHeight="1">
      <c r="C783" s="189"/>
      <c r="K783" s="182"/>
      <c r="L783" s="189"/>
      <c r="M783" s="189"/>
    </row>
    <row r="784" spans="3:13" ht="15.75" customHeight="1">
      <c r="C784" s="189"/>
      <c r="K784" s="182"/>
      <c r="L784" s="189"/>
      <c r="M784" s="189"/>
    </row>
    <row r="785" spans="3:13" ht="15.75" customHeight="1">
      <c r="C785" s="189"/>
      <c r="K785" s="182"/>
      <c r="L785" s="189"/>
      <c r="M785" s="189"/>
    </row>
    <row r="786" spans="3:13" ht="15.75" customHeight="1">
      <c r="C786" s="189"/>
      <c r="K786" s="182"/>
      <c r="L786" s="189"/>
      <c r="M786" s="189"/>
    </row>
    <row r="787" spans="3:13" ht="15.75" customHeight="1">
      <c r="C787" s="189"/>
      <c r="K787" s="182"/>
      <c r="L787" s="189"/>
      <c r="M787" s="189"/>
    </row>
    <row r="788" spans="3:13" ht="15.75" customHeight="1">
      <c r="C788" s="189"/>
      <c r="K788" s="182"/>
      <c r="L788" s="189"/>
      <c r="M788" s="189"/>
    </row>
    <row r="789" spans="3:13" ht="15.75" customHeight="1">
      <c r="C789" s="189"/>
      <c r="K789" s="182"/>
      <c r="L789" s="189"/>
      <c r="M789" s="189"/>
    </row>
    <row r="790" spans="3:13" ht="15.75" customHeight="1">
      <c r="C790" s="189"/>
      <c r="K790" s="182"/>
      <c r="L790" s="189"/>
      <c r="M790" s="189"/>
    </row>
    <row r="791" spans="3:13" ht="15.75" customHeight="1">
      <c r="C791" s="189"/>
      <c r="K791" s="182"/>
      <c r="L791" s="189"/>
      <c r="M791" s="189"/>
    </row>
    <row r="792" spans="3:13" ht="15.75" customHeight="1">
      <c r="C792" s="189"/>
      <c r="K792" s="182"/>
      <c r="L792" s="189"/>
      <c r="M792" s="189"/>
    </row>
    <row r="793" spans="3:13" ht="15.75" customHeight="1">
      <c r="C793" s="189"/>
      <c r="K793" s="182"/>
      <c r="L793" s="189"/>
      <c r="M793" s="189"/>
    </row>
    <row r="794" spans="3:13" ht="15.75" customHeight="1">
      <c r="C794" s="189"/>
      <c r="K794" s="182"/>
      <c r="L794" s="189"/>
      <c r="M794" s="189"/>
    </row>
    <row r="795" spans="3:13" ht="15.75" customHeight="1">
      <c r="C795" s="189"/>
      <c r="K795" s="182"/>
      <c r="L795" s="189"/>
      <c r="M795" s="189"/>
    </row>
    <row r="796" spans="3:13" ht="15.75" customHeight="1">
      <c r="C796" s="189"/>
      <c r="K796" s="182"/>
      <c r="L796" s="189"/>
      <c r="M796" s="189"/>
    </row>
    <row r="797" spans="3:13" ht="15.75" customHeight="1">
      <c r="C797" s="189"/>
      <c r="K797" s="182"/>
      <c r="L797" s="189"/>
      <c r="M797" s="189"/>
    </row>
    <row r="798" spans="3:13" ht="15.75" customHeight="1">
      <c r="C798" s="189"/>
      <c r="K798" s="182"/>
      <c r="L798" s="189"/>
      <c r="M798" s="189"/>
    </row>
    <row r="799" spans="3:13" ht="15.75" customHeight="1">
      <c r="C799" s="189"/>
      <c r="K799" s="182"/>
      <c r="L799" s="189"/>
      <c r="M799" s="189"/>
    </row>
    <row r="800" spans="3:13" ht="15.75" customHeight="1">
      <c r="C800" s="189"/>
      <c r="K800" s="182"/>
      <c r="L800" s="189"/>
      <c r="M800" s="189"/>
    </row>
    <row r="801" spans="3:13" ht="15.75" customHeight="1">
      <c r="C801" s="189"/>
      <c r="K801" s="182"/>
      <c r="L801" s="189"/>
      <c r="M801" s="189"/>
    </row>
    <row r="802" spans="3:13" ht="15.75" customHeight="1">
      <c r="C802" s="189"/>
      <c r="K802" s="182"/>
      <c r="L802" s="189"/>
      <c r="M802" s="189"/>
    </row>
    <row r="803" spans="3:13" ht="15.75" customHeight="1">
      <c r="C803" s="189"/>
      <c r="K803" s="182"/>
      <c r="L803" s="189"/>
      <c r="M803" s="189"/>
    </row>
    <row r="804" spans="3:13" ht="15.75" customHeight="1">
      <c r="C804" s="189"/>
      <c r="K804" s="182"/>
      <c r="L804" s="189"/>
      <c r="M804" s="189"/>
    </row>
    <row r="805" spans="3:13" ht="15.75" customHeight="1">
      <c r="C805" s="189"/>
      <c r="K805" s="182"/>
      <c r="L805" s="189"/>
      <c r="M805" s="189"/>
    </row>
    <row r="806" spans="3:13" ht="15.75" customHeight="1">
      <c r="C806" s="189"/>
      <c r="K806" s="182"/>
      <c r="L806" s="189"/>
      <c r="M806" s="189"/>
    </row>
    <row r="807" spans="3:13" ht="15.75" customHeight="1">
      <c r="C807" s="189"/>
      <c r="K807" s="182"/>
      <c r="L807" s="189"/>
      <c r="M807" s="189"/>
    </row>
    <row r="808" spans="3:13" ht="15.75" customHeight="1">
      <c r="C808" s="189"/>
      <c r="K808" s="182"/>
      <c r="L808" s="189"/>
      <c r="M808" s="189"/>
    </row>
    <row r="809" spans="3:13" ht="15.75" customHeight="1">
      <c r="C809" s="189"/>
      <c r="K809" s="182"/>
      <c r="L809" s="189"/>
      <c r="M809" s="189"/>
    </row>
    <row r="810" spans="3:13" ht="15.75" customHeight="1">
      <c r="C810" s="189"/>
      <c r="K810" s="182"/>
      <c r="L810" s="189"/>
      <c r="M810" s="189"/>
    </row>
    <row r="811" spans="3:13" ht="15.75" customHeight="1">
      <c r="C811" s="189"/>
      <c r="K811" s="182"/>
      <c r="L811" s="189"/>
      <c r="M811" s="189"/>
    </row>
    <row r="812" spans="3:13" ht="15.75" customHeight="1">
      <c r="C812" s="189"/>
      <c r="K812" s="182"/>
      <c r="L812" s="189"/>
      <c r="M812" s="189"/>
    </row>
    <row r="813" spans="3:13" ht="15.75" customHeight="1">
      <c r="C813" s="189"/>
      <c r="K813" s="182"/>
      <c r="L813" s="189"/>
      <c r="M813" s="189"/>
    </row>
    <row r="814" spans="3:13" ht="15.75" customHeight="1">
      <c r="C814" s="189"/>
      <c r="K814" s="182"/>
      <c r="L814" s="189"/>
      <c r="M814" s="189"/>
    </row>
    <row r="815" spans="3:13" ht="15.75" customHeight="1">
      <c r="C815" s="189"/>
      <c r="K815" s="182"/>
      <c r="L815" s="189"/>
      <c r="M815" s="189"/>
    </row>
    <row r="816" spans="3:13" ht="15.75" customHeight="1">
      <c r="C816" s="189"/>
      <c r="K816" s="182"/>
      <c r="L816" s="189"/>
      <c r="M816" s="189"/>
    </row>
    <row r="817" spans="3:13" ht="15.75" customHeight="1">
      <c r="C817" s="189"/>
      <c r="K817" s="182"/>
      <c r="L817" s="189"/>
      <c r="M817" s="189"/>
    </row>
    <row r="818" spans="3:13" ht="15.75" customHeight="1">
      <c r="C818" s="189"/>
      <c r="K818" s="182"/>
      <c r="L818" s="189"/>
      <c r="M818" s="189"/>
    </row>
    <row r="819" spans="3:13" ht="15.75" customHeight="1">
      <c r="C819" s="189"/>
      <c r="K819" s="182"/>
      <c r="L819" s="189"/>
      <c r="M819" s="189"/>
    </row>
    <row r="820" spans="3:13" ht="15.75" customHeight="1">
      <c r="C820" s="189"/>
      <c r="K820" s="182"/>
      <c r="L820" s="189"/>
      <c r="M820" s="189"/>
    </row>
    <row r="821" spans="3:13" ht="15.75" customHeight="1">
      <c r="C821" s="189"/>
      <c r="K821" s="182"/>
      <c r="L821" s="189"/>
      <c r="M821" s="189"/>
    </row>
    <row r="822" spans="3:13" ht="15.75" customHeight="1">
      <c r="C822" s="189"/>
      <c r="K822" s="182"/>
      <c r="L822" s="189"/>
      <c r="M822" s="189"/>
    </row>
    <row r="823" spans="3:13" ht="15.75" customHeight="1">
      <c r="C823" s="189"/>
      <c r="K823" s="182"/>
      <c r="L823" s="189"/>
      <c r="M823" s="189"/>
    </row>
    <row r="824" spans="3:13" ht="15.75" customHeight="1">
      <c r="C824" s="189"/>
      <c r="K824" s="182"/>
      <c r="L824" s="189"/>
      <c r="M824" s="189"/>
    </row>
    <row r="825" spans="3:13" ht="15.75" customHeight="1">
      <c r="C825" s="189"/>
      <c r="K825" s="182"/>
      <c r="L825" s="189"/>
      <c r="M825" s="189"/>
    </row>
    <row r="826" spans="3:13" ht="15.75" customHeight="1">
      <c r="C826" s="189"/>
      <c r="K826" s="182"/>
      <c r="L826" s="189"/>
      <c r="M826" s="189"/>
    </row>
    <row r="827" spans="3:13" ht="15.75" customHeight="1">
      <c r="C827" s="189"/>
      <c r="K827" s="182"/>
      <c r="L827" s="189"/>
      <c r="M827" s="189"/>
    </row>
    <row r="828" spans="3:13" ht="15.75" customHeight="1">
      <c r="C828" s="189"/>
      <c r="K828" s="182"/>
      <c r="L828" s="189"/>
      <c r="M828" s="189"/>
    </row>
    <row r="829" spans="3:13" ht="15.75" customHeight="1">
      <c r="C829" s="189"/>
      <c r="K829" s="182"/>
      <c r="L829" s="189"/>
      <c r="M829" s="189"/>
    </row>
    <row r="830" spans="3:13" ht="15.75" customHeight="1">
      <c r="C830" s="189"/>
      <c r="K830" s="182"/>
      <c r="L830" s="189"/>
      <c r="M830" s="189"/>
    </row>
    <row r="831" spans="3:13" ht="15.75" customHeight="1">
      <c r="C831" s="189"/>
      <c r="K831" s="182"/>
      <c r="L831" s="189"/>
      <c r="M831" s="189"/>
    </row>
    <row r="832" spans="3:13" ht="15.75" customHeight="1">
      <c r="C832" s="189"/>
      <c r="K832" s="182"/>
      <c r="L832" s="189"/>
      <c r="M832" s="189"/>
    </row>
    <row r="833" spans="3:13" ht="15.75" customHeight="1">
      <c r="C833" s="189"/>
      <c r="K833" s="182"/>
      <c r="L833" s="189"/>
      <c r="M833" s="189"/>
    </row>
    <row r="834" spans="3:13" ht="15.75" customHeight="1">
      <c r="C834" s="189"/>
      <c r="K834" s="182"/>
      <c r="L834" s="189"/>
      <c r="M834" s="189"/>
    </row>
    <row r="835" spans="3:13" ht="15.75" customHeight="1">
      <c r="C835" s="189"/>
      <c r="K835" s="182"/>
      <c r="L835" s="189"/>
      <c r="M835" s="189"/>
    </row>
    <row r="836" spans="3:13" ht="15.75" customHeight="1">
      <c r="C836" s="189"/>
      <c r="K836" s="182"/>
      <c r="L836" s="189"/>
      <c r="M836" s="189"/>
    </row>
    <row r="837" spans="3:13" ht="15.75" customHeight="1">
      <c r="C837" s="189"/>
      <c r="K837" s="182"/>
      <c r="L837" s="189"/>
      <c r="M837" s="189"/>
    </row>
    <row r="838" spans="3:13" ht="15.75" customHeight="1">
      <c r="C838" s="189"/>
      <c r="K838" s="182"/>
      <c r="L838" s="189"/>
      <c r="M838" s="189"/>
    </row>
    <row r="839" spans="3:13" ht="15.75" customHeight="1">
      <c r="C839" s="189"/>
      <c r="K839" s="182"/>
      <c r="L839" s="189"/>
      <c r="M839" s="189"/>
    </row>
    <row r="840" spans="3:13" ht="15.75" customHeight="1">
      <c r="C840" s="189"/>
      <c r="K840" s="182"/>
      <c r="L840" s="189"/>
      <c r="M840" s="189"/>
    </row>
    <row r="841" spans="3:13" ht="15.75" customHeight="1">
      <c r="C841" s="189"/>
      <c r="K841" s="182"/>
      <c r="L841" s="189"/>
      <c r="M841" s="189"/>
    </row>
    <row r="842" spans="3:13" ht="15.75" customHeight="1">
      <c r="C842" s="189"/>
      <c r="K842" s="182"/>
      <c r="L842" s="189"/>
      <c r="M842" s="189"/>
    </row>
    <row r="843" spans="3:13" ht="15.75" customHeight="1">
      <c r="C843" s="189"/>
      <c r="K843" s="182"/>
      <c r="L843" s="189"/>
      <c r="M843" s="189"/>
    </row>
    <row r="844" spans="3:13" ht="15.75" customHeight="1">
      <c r="C844" s="189"/>
      <c r="K844" s="182"/>
      <c r="L844" s="189"/>
      <c r="M844" s="189"/>
    </row>
    <row r="845" spans="3:13" ht="15.75" customHeight="1">
      <c r="C845" s="189"/>
      <c r="K845" s="182"/>
      <c r="L845" s="189"/>
      <c r="M845" s="189"/>
    </row>
    <row r="846" spans="3:13" ht="15.75" customHeight="1">
      <c r="C846" s="189"/>
      <c r="K846" s="182"/>
      <c r="L846" s="189"/>
      <c r="M846" s="189"/>
    </row>
    <row r="847" spans="3:13" ht="15.75" customHeight="1">
      <c r="C847" s="189"/>
      <c r="K847" s="182"/>
      <c r="L847" s="189"/>
      <c r="M847" s="189"/>
    </row>
    <row r="848" spans="3:13" ht="15.75" customHeight="1">
      <c r="C848" s="189"/>
      <c r="K848" s="182"/>
      <c r="L848" s="189"/>
      <c r="M848" s="189"/>
    </row>
    <row r="849" spans="3:13" ht="15.75" customHeight="1">
      <c r="C849" s="189"/>
      <c r="K849" s="182"/>
      <c r="L849" s="189"/>
      <c r="M849" s="189"/>
    </row>
    <row r="850" spans="3:13" ht="15.75" customHeight="1">
      <c r="C850" s="189"/>
      <c r="K850" s="182"/>
      <c r="L850" s="189"/>
      <c r="M850" s="189"/>
    </row>
    <row r="851" spans="3:13" ht="15.75" customHeight="1">
      <c r="C851" s="189"/>
      <c r="K851" s="182"/>
      <c r="L851" s="189"/>
      <c r="M851" s="189"/>
    </row>
    <row r="852" spans="3:13" ht="15.75" customHeight="1">
      <c r="C852" s="189"/>
      <c r="K852" s="182"/>
      <c r="L852" s="189"/>
      <c r="M852" s="189"/>
    </row>
    <row r="853" spans="3:13" ht="15.75" customHeight="1">
      <c r="C853" s="189"/>
      <c r="K853" s="182"/>
      <c r="L853" s="189"/>
      <c r="M853" s="189"/>
    </row>
    <row r="854" spans="3:13" ht="15.75" customHeight="1">
      <c r="C854" s="189"/>
      <c r="K854" s="182"/>
      <c r="L854" s="189"/>
      <c r="M854" s="189"/>
    </row>
    <row r="855" spans="3:13" ht="15.75" customHeight="1">
      <c r="C855" s="189"/>
      <c r="K855" s="182"/>
      <c r="L855" s="189"/>
      <c r="M855" s="189"/>
    </row>
    <row r="856" spans="3:13" ht="15.75" customHeight="1">
      <c r="C856" s="189"/>
      <c r="K856" s="182"/>
      <c r="L856" s="189"/>
      <c r="M856" s="189"/>
    </row>
    <row r="857" spans="3:13" ht="15.75" customHeight="1">
      <c r="C857" s="189"/>
      <c r="K857" s="182"/>
      <c r="L857" s="189"/>
      <c r="M857" s="189"/>
    </row>
    <row r="858" spans="3:13" ht="15.75" customHeight="1">
      <c r="C858" s="189"/>
      <c r="K858" s="182"/>
      <c r="L858" s="189"/>
      <c r="M858" s="189"/>
    </row>
    <row r="859" spans="3:13" ht="15.75" customHeight="1">
      <c r="C859" s="189"/>
      <c r="K859" s="182"/>
      <c r="L859" s="189"/>
      <c r="M859" s="189"/>
    </row>
    <row r="860" spans="3:13" ht="15.75" customHeight="1">
      <c r="C860" s="189"/>
      <c r="K860" s="182"/>
      <c r="L860" s="189"/>
      <c r="M860" s="189"/>
    </row>
    <row r="861" spans="3:13" ht="15.75" customHeight="1">
      <c r="C861" s="189"/>
      <c r="K861" s="182"/>
      <c r="L861" s="189"/>
      <c r="M861" s="189"/>
    </row>
    <row r="862" spans="3:13" ht="15.75" customHeight="1">
      <c r="C862" s="189"/>
      <c r="K862" s="182"/>
      <c r="L862" s="189"/>
      <c r="M862" s="189"/>
    </row>
    <row r="863" spans="3:13" ht="15.75" customHeight="1">
      <c r="C863" s="189"/>
      <c r="K863" s="182"/>
      <c r="L863" s="189"/>
      <c r="M863" s="189"/>
    </row>
    <row r="864" spans="3:13" ht="15.75" customHeight="1">
      <c r="C864" s="189"/>
      <c r="K864" s="182"/>
      <c r="L864" s="189"/>
      <c r="M864" s="189"/>
    </row>
    <row r="865" spans="3:13" ht="15.75" customHeight="1">
      <c r="C865" s="189"/>
      <c r="K865" s="182"/>
      <c r="L865" s="189"/>
      <c r="M865" s="189"/>
    </row>
    <row r="866" spans="3:13" ht="15.75" customHeight="1">
      <c r="C866" s="189"/>
      <c r="K866" s="182"/>
      <c r="L866" s="189"/>
      <c r="M866" s="189"/>
    </row>
    <row r="867" spans="3:13" ht="15.75" customHeight="1">
      <c r="C867" s="189"/>
      <c r="K867" s="182"/>
      <c r="L867" s="189"/>
      <c r="M867" s="189"/>
    </row>
    <row r="868" spans="3:13" ht="15.75" customHeight="1">
      <c r="C868" s="189"/>
      <c r="K868" s="182"/>
      <c r="L868" s="189"/>
      <c r="M868" s="189"/>
    </row>
    <row r="869" spans="3:13" ht="15.75" customHeight="1">
      <c r="C869" s="189"/>
      <c r="K869" s="182"/>
      <c r="L869" s="189"/>
      <c r="M869" s="189"/>
    </row>
    <row r="870" spans="3:13" ht="15.75" customHeight="1">
      <c r="C870" s="189"/>
      <c r="K870" s="182"/>
      <c r="L870" s="189"/>
      <c r="M870" s="189"/>
    </row>
    <row r="871" spans="3:13" ht="15.75" customHeight="1">
      <c r="C871" s="189"/>
      <c r="K871" s="182"/>
      <c r="L871" s="189"/>
      <c r="M871" s="189"/>
    </row>
    <row r="872" spans="3:13" ht="15.75" customHeight="1">
      <c r="C872" s="189"/>
      <c r="K872" s="182"/>
      <c r="L872" s="189"/>
      <c r="M872" s="189"/>
    </row>
    <row r="873" spans="3:13" ht="15.75" customHeight="1">
      <c r="C873" s="189"/>
      <c r="K873" s="182"/>
      <c r="L873" s="189"/>
      <c r="M873" s="189"/>
    </row>
    <row r="874" spans="3:13" ht="15.75" customHeight="1">
      <c r="C874" s="189"/>
      <c r="K874" s="182"/>
      <c r="L874" s="189"/>
      <c r="M874" s="189"/>
    </row>
    <row r="875" spans="3:13" ht="15.75" customHeight="1">
      <c r="C875" s="189"/>
      <c r="K875" s="182"/>
      <c r="L875" s="189"/>
      <c r="M875" s="189"/>
    </row>
    <row r="876" spans="3:13" ht="15.75" customHeight="1">
      <c r="C876" s="189"/>
      <c r="K876" s="182"/>
      <c r="L876" s="189"/>
      <c r="M876" s="189"/>
    </row>
    <row r="877" spans="3:13" ht="15.75" customHeight="1">
      <c r="C877" s="189"/>
      <c r="K877" s="182"/>
      <c r="L877" s="189"/>
      <c r="M877" s="189"/>
    </row>
    <row r="878" spans="3:13" ht="15.75" customHeight="1">
      <c r="C878" s="189"/>
      <c r="K878" s="182"/>
      <c r="L878" s="189"/>
      <c r="M878" s="189"/>
    </row>
    <row r="879" spans="3:13" ht="15.75" customHeight="1">
      <c r="C879" s="189"/>
      <c r="K879" s="182"/>
      <c r="L879" s="189"/>
      <c r="M879" s="189"/>
    </row>
    <row r="880" spans="3:13" ht="15.75" customHeight="1">
      <c r="C880" s="189"/>
      <c r="K880" s="182"/>
      <c r="L880" s="189"/>
      <c r="M880" s="189"/>
    </row>
    <row r="881" spans="3:13" ht="15.75" customHeight="1">
      <c r="C881" s="189"/>
      <c r="K881" s="182"/>
      <c r="L881" s="189"/>
      <c r="M881" s="189"/>
    </row>
    <row r="882" spans="3:13" ht="15.75" customHeight="1">
      <c r="C882" s="189"/>
      <c r="K882" s="182"/>
      <c r="L882" s="189"/>
      <c r="M882" s="189"/>
    </row>
    <row r="883" spans="3:13" ht="15.75" customHeight="1">
      <c r="C883" s="189"/>
      <c r="K883" s="182"/>
      <c r="L883" s="189"/>
      <c r="M883" s="189"/>
    </row>
    <row r="884" spans="3:13" ht="15.75" customHeight="1">
      <c r="C884" s="189"/>
      <c r="K884" s="182"/>
      <c r="L884" s="189"/>
      <c r="M884" s="189"/>
    </row>
    <row r="885" spans="3:13" ht="15.75" customHeight="1">
      <c r="C885" s="189"/>
      <c r="K885" s="182"/>
      <c r="L885" s="189"/>
      <c r="M885" s="189"/>
    </row>
    <row r="886" spans="3:13" ht="15.75" customHeight="1">
      <c r="C886" s="189"/>
      <c r="K886" s="182"/>
      <c r="L886" s="189"/>
      <c r="M886" s="189"/>
    </row>
    <row r="887" spans="3:13" ht="15.75" customHeight="1">
      <c r="C887" s="189"/>
      <c r="K887" s="182"/>
      <c r="L887" s="189"/>
      <c r="M887" s="189"/>
    </row>
    <row r="888" spans="3:13" ht="15.75" customHeight="1">
      <c r="C888" s="189"/>
      <c r="K888" s="182"/>
      <c r="L888" s="189"/>
      <c r="M888" s="189"/>
    </row>
    <row r="889" spans="3:13" ht="15.75" customHeight="1">
      <c r="C889" s="189"/>
      <c r="K889" s="182"/>
      <c r="L889" s="189"/>
      <c r="M889" s="189"/>
    </row>
    <row r="890" spans="3:13" ht="15.75" customHeight="1">
      <c r="C890" s="189"/>
      <c r="K890" s="182"/>
      <c r="L890" s="189"/>
      <c r="M890" s="189"/>
    </row>
    <row r="891" spans="3:13" ht="15.75" customHeight="1">
      <c r="C891" s="189"/>
      <c r="K891" s="182"/>
      <c r="L891" s="189"/>
      <c r="M891" s="189"/>
    </row>
    <row r="892" spans="3:13" ht="15.75" customHeight="1">
      <c r="C892" s="189"/>
      <c r="K892" s="182"/>
      <c r="L892" s="189"/>
      <c r="M892" s="189"/>
    </row>
    <row r="893" spans="3:13" ht="15.75" customHeight="1">
      <c r="C893" s="189"/>
      <c r="K893" s="182"/>
      <c r="L893" s="189"/>
      <c r="M893" s="189"/>
    </row>
    <row r="894" spans="3:13" ht="15.75" customHeight="1">
      <c r="C894" s="189"/>
      <c r="K894" s="182"/>
      <c r="L894" s="189"/>
      <c r="M894" s="189"/>
    </row>
    <row r="895" spans="3:13" ht="15.75" customHeight="1">
      <c r="C895" s="189"/>
      <c r="K895" s="182"/>
      <c r="L895" s="189"/>
      <c r="M895" s="189"/>
    </row>
    <row r="896" spans="3:13" ht="15.75" customHeight="1">
      <c r="C896" s="189"/>
      <c r="K896" s="182"/>
      <c r="L896" s="189"/>
      <c r="M896" s="189"/>
    </row>
    <row r="897" spans="3:13" ht="15.75" customHeight="1">
      <c r="C897" s="189"/>
      <c r="K897" s="182"/>
      <c r="L897" s="189"/>
      <c r="M897" s="189"/>
    </row>
    <row r="898" spans="3:13" ht="15.75" customHeight="1">
      <c r="C898" s="189"/>
      <c r="K898" s="182"/>
      <c r="L898" s="189"/>
      <c r="M898" s="189"/>
    </row>
    <row r="899" spans="3:13" ht="15.75" customHeight="1">
      <c r="C899" s="189"/>
      <c r="K899" s="182"/>
      <c r="L899" s="189"/>
      <c r="M899" s="189"/>
    </row>
    <row r="900" spans="3:13" ht="15.75" customHeight="1">
      <c r="C900" s="189"/>
      <c r="K900" s="182"/>
      <c r="L900" s="189"/>
      <c r="M900" s="189"/>
    </row>
    <row r="901" spans="3:13" ht="15.75" customHeight="1">
      <c r="C901" s="189"/>
      <c r="K901" s="182"/>
      <c r="L901" s="189"/>
      <c r="M901" s="189"/>
    </row>
    <row r="902" spans="3:13" ht="15.75" customHeight="1">
      <c r="C902" s="189"/>
      <c r="K902" s="182"/>
      <c r="L902" s="189"/>
      <c r="M902" s="189"/>
    </row>
    <row r="903" spans="3:13" ht="15.75" customHeight="1">
      <c r="C903" s="189"/>
      <c r="K903" s="182"/>
      <c r="L903" s="189"/>
      <c r="M903" s="189"/>
    </row>
    <row r="904" spans="3:13" ht="15.75" customHeight="1">
      <c r="C904" s="189"/>
      <c r="K904" s="182"/>
      <c r="L904" s="189"/>
      <c r="M904" s="189"/>
    </row>
    <row r="905" spans="3:13" ht="15.75" customHeight="1">
      <c r="C905" s="189"/>
      <c r="K905" s="182"/>
      <c r="L905" s="189"/>
      <c r="M905" s="189"/>
    </row>
    <row r="906" spans="3:13" ht="15.75" customHeight="1">
      <c r="C906" s="189"/>
      <c r="K906" s="182"/>
      <c r="L906" s="189"/>
      <c r="M906" s="189"/>
    </row>
    <row r="907" spans="3:13" ht="15.75" customHeight="1">
      <c r="C907" s="189"/>
      <c r="K907" s="182"/>
      <c r="L907" s="189"/>
      <c r="M907" s="189"/>
    </row>
    <row r="908" spans="3:13" ht="15.75" customHeight="1">
      <c r="C908" s="189"/>
      <c r="K908" s="182"/>
      <c r="L908" s="189"/>
      <c r="M908" s="189"/>
    </row>
    <row r="909" spans="3:13" ht="15.75" customHeight="1">
      <c r="C909" s="189"/>
      <c r="K909" s="182"/>
      <c r="L909" s="189"/>
      <c r="M909" s="189"/>
    </row>
    <row r="910" spans="3:13" ht="15.75" customHeight="1">
      <c r="C910" s="189"/>
      <c r="K910" s="182"/>
      <c r="L910" s="189"/>
      <c r="M910" s="189"/>
    </row>
    <row r="911" spans="3:13" ht="15.75" customHeight="1">
      <c r="C911" s="189"/>
      <c r="K911" s="182"/>
      <c r="L911" s="189"/>
      <c r="M911" s="189"/>
    </row>
    <row r="912" spans="3:13" ht="15.75" customHeight="1">
      <c r="C912" s="189"/>
      <c r="K912" s="182"/>
      <c r="L912" s="189"/>
      <c r="M912" s="189"/>
    </row>
    <row r="913" spans="3:13" ht="15.75" customHeight="1">
      <c r="C913" s="189"/>
      <c r="K913" s="182"/>
      <c r="L913" s="189"/>
      <c r="M913" s="189"/>
    </row>
    <row r="914" spans="3:13" ht="15.75" customHeight="1">
      <c r="C914" s="189"/>
      <c r="K914" s="182"/>
      <c r="L914" s="189"/>
      <c r="M914" s="189"/>
    </row>
    <row r="915" spans="3:13" ht="15.75" customHeight="1">
      <c r="C915" s="189"/>
      <c r="K915" s="182"/>
      <c r="L915" s="189"/>
      <c r="M915" s="189"/>
    </row>
    <row r="916" spans="3:13" ht="15.75" customHeight="1">
      <c r="C916" s="189"/>
      <c r="K916" s="182"/>
      <c r="L916" s="189"/>
      <c r="M916" s="189"/>
    </row>
    <row r="917" spans="3:13" ht="15.75" customHeight="1">
      <c r="C917" s="189"/>
      <c r="K917" s="182"/>
      <c r="L917" s="189"/>
      <c r="M917" s="189"/>
    </row>
    <row r="918" spans="3:13" ht="15.75" customHeight="1">
      <c r="C918" s="189"/>
      <c r="K918" s="182"/>
      <c r="L918" s="189"/>
      <c r="M918" s="189"/>
    </row>
    <row r="919" spans="3:13" ht="15.75" customHeight="1">
      <c r="C919" s="189"/>
      <c r="K919" s="182"/>
      <c r="L919" s="189"/>
      <c r="M919" s="189"/>
    </row>
    <row r="920" spans="3:13" ht="15.75" customHeight="1">
      <c r="C920" s="189"/>
      <c r="K920" s="182"/>
      <c r="L920" s="189"/>
      <c r="M920" s="189"/>
    </row>
    <row r="921" spans="3:13" ht="15.75" customHeight="1">
      <c r="C921" s="189"/>
      <c r="K921" s="182"/>
      <c r="L921" s="189"/>
      <c r="M921" s="189"/>
    </row>
    <row r="922" spans="3:13" ht="15.75" customHeight="1">
      <c r="C922" s="189"/>
      <c r="K922" s="182"/>
      <c r="L922" s="189"/>
      <c r="M922" s="189"/>
    </row>
    <row r="923" spans="3:13" ht="15.75" customHeight="1">
      <c r="C923" s="189"/>
      <c r="K923" s="182"/>
      <c r="L923" s="189"/>
      <c r="M923" s="189"/>
    </row>
    <row r="924" spans="3:13" ht="15.75" customHeight="1">
      <c r="C924" s="189"/>
      <c r="K924" s="182"/>
      <c r="L924" s="189"/>
      <c r="M924" s="189"/>
    </row>
    <row r="925" spans="3:13" ht="15.75" customHeight="1">
      <c r="C925" s="189"/>
      <c r="K925" s="182"/>
      <c r="L925" s="189"/>
      <c r="M925" s="189"/>
    </row>
    <row r="926" spans="3:13" ht="15.75" customHeight="1">
      <c r="C926" s="189"/>
      <c r="K926" s="182"/>
      <c r="L926" s="189"/>
      <c r="M926" s="189"/>
    </row>
    <row r="927" spans="3:13" ht="15.75" customHeight="1">
      <c r="C927" s="189"/>
      <c r="K927" s="182"/>
      <c r="L927" s="189"/>
      <c r="M927" s="189"/>
    </row>
    <row r="928" spans="3:13" ht="15.75" customHeight="1">
      <c r="C928" s="189"/>
      <c r="K928" s="182"/>
      <c r="L928" s="189"/>
      <c r="M928" s="189"/>
    </row>
    <row r="929" spans="3:13" ht="15.75" customHeight="1">
      <c r="C929" s="189"/>
      <c r="K929" s="182"/>
      <c r="L929" s="189"/>
      <c r="M929" s="189"/>
    </row>
    <row r="930" spans="3:13" ht="15.75" customHeight="1">
      <c r="C930" s="189"/>
      <c r="K930" s="182"/>
      <c r="L930" s="189"/>
      <c r="M930" s="189"/>
    </row>
    <row r="931" spans="3:13" ht="15.75" customHeight="1">
      <c r="C931" s="189"/>
      <c r="K931" s="182"/>
      <c r="L931" s="189"/>
      <c r="M931" s="189"/>
    </row>
    <row r="932" spans="3:13" ht="15.75" customHeight="1">
      <c r="C932" s="189"/>
      <c r="K932" s="182"/>
      <c r="L932" s="189"/>
      <c r="M932" s="189"/>
    </row>
    <row r="933" spans="3:13" ht="15.75" customHeight="1">
      <c r="C933" s="189"/>
      <c r="K933" s="182"/>
      <c r="L933" s="189"/>
      <c r="M933" s="189"/>
    </row>
    <row r="934" spans="3:13" ht="15.75" customHeight="1">
      <c r="C934" s="189"/>
      <c r="K934" s="182"/>
      <c r="L934" s="189"/>
      <c r="M934" s="189"/>
    </row>
    <row r="935" spans="3:13" ht="15.75" customHeight="1">
      <c r="C935" s="189"/>
      <c r="K935" s="182"/>
      <c r="L935" s="189"/>
      <c r="M935" s="189"/>
    </row>
    <row r="936" spans="3:13" ht="15.75" customHeight="1">
      <c r="C936" s="189"/>
      <c r="K936" s="182"/>
      <c r="L936" s="189"/>
      <c r="M936" s="189"/>
    </row>
    <row r="937" spans="3:13" ht="15.75" customHeight="1">
      <c r="C937" s="189"/>
      <c r="K937" s="182"/>
      <c r="L937" s="189"/>
      <c r="M937" s="189"/>
    </row>
    <row r="938" spans="3:13" ht="15.75" customHeight="1">
      <c r="C938" s="189"/>
      <c r="K938" s="182"/>
      <c r="L938" s="189"/>
      <c r="M938" s="189"/>
    </row>
    <row r="939" spans="3:13" ht="15.75" customHeight="1">
      <c r="C939" s="189"/>
      <c r="K939" s="182"/>
      <c r="L939" s="189"/>
      <c r="M939" s="189"/>
    </row>
    <row r="940" spans="3:13" ht="15.75" customHeight="1">
      <c r="C940" s="189"/>
      <c r="K940" s="182"/>
      <c r="L940" s="189"/>
      <c r="M940" s="189"/>
    </row>
    <row r="941" spans="3:13" ht="15.75" customHeight="1">
      <c r="C941" s="189"/>
      <c r="K941" s="182"/>
      <c r="L941" s="189"/>
      <c r="M941" s="189"/>
    </row>
    <row r="942" spans="3:13" ht="15.75" customHeight="1">
      <c r="C942" s="189"/>
      <c r="K942" s="182"/>
      <c r="L942" s="189"/>
      <c r="M942" s="189"/>
    </row>
    <row r="943" spans="3:13" ht="15.75" customHeight="1">
      <c r="C943" s="189"/>
      <c r="K943" s="182"/>
      <c r="L943" s="189"/>
      <c r="M943" s="189"/>
    </row>
    <row r="944" spans="3:13" ht="15.75" customHeight="1">
      <c r="C944" s="189"/>
      <c r="K944" s="182"/>
      <c r="L944" s="189"/>
      <c r="M944" s="189"/>
    </row>
    <row r="945" spans="3:13" ht="15.75" customHeight="1">
      <c r="C945" s="189"/>
      <c r="K945" s="182"/>
      <c r="L945" s="189"/>
      <c r="M945" s="189"/>
    </row>
    <row r="946" spans="3:13" ht="15.75" customHeight="1">
      <c r="C946" s="189"/>
      <c r="K946" s="182"/>
      <c r="L946" s="189"/>
      <c r="M946" s="189"/>
    </row>
    <row r="947" spans="3:13" ht="15.75" customHeight="1">
      <c r="C947" s="189"/>
      <c r="K947" s="182"/>
      <c r="L947" s="189"/>
      <c r="M947" s="189"/>
    </row>
    <row r="948" spans="3:13" ht="15.75" customHeight="1">
      <c r="C948" s="189"/>
      <c r="K948" s="182"/>
      <c r="L948" s="189"/>
      <c r="M948" s="189"/>
    </row>
    <row r="949" spans="3:13" ht="15.75" customHeight="1">
      <c r="C949" s="189"/>
      <c r="K949" s="182"/>
      <c r="L949" s="189"/>
      <c r="M949" s="189"/>
    </row>
    <row r="950" spans="3:13" ht="15.75" customHeight="1">
      <c r="C950" s="189"/>
      <c r="K950" s="182"/>
      <c r="L950" s="189"/>
      <c r="M950" s="189"/>
    </row>
    <row r="951" spans="3:13" ht="15.75" customHeight="1">
      <c r="C951" s="189"/>
      <c r="K951" s="182"/>
      <c r="L951" s="189"/>
      <c r="M951" s="189"/>
    </row>
    <row r="952" spans="3:13" ht="15.75" customHeight="1">
      <c r="C952" s="189"/>
      <c r="K952" s="182"/>
      <c r="L952" s="189"/>
      <c r="M952" s="189"/>
    </row>
    <row r="953" spans="3:13" ht="15.75" customHeight="1">
      <c r="C953" s="189"/>
      <c r="K953" s="182"/>
      <c r="L953" s="189"/>
      <c r="M953" s="189"/>
    </row>
    <row r="954" spans="3:13" ht="15.75" customHeight="1">
      <c r="C954" s="189"/>
      <c r="K954" s="182"/>
      <c r="L954" s="189"/>
      <c r="M954" s="189"/>
    </row>
    <row r="955" spans="3:13" ht="15.75" customHeight="1">
      <c r="C955" s="189"/>
      <c r="K955" s="182"/>
      <c r="L955" s="189"/>
      <c r="M955" s="189"/>
    </row>
    <row r="956" spans="3:13" ht="15.75" customHeight="1">
      <c r="C956" s="189"/>
      <c r="K956" s="182"/>
      <c r="L956" s="189"/>
      <c r="M956" s="189"/>
    </row>
    <row r="957" spans="3:13" ht="15.75" customHeight="1">
      <c r="C957" s="189"/>
      <c r="K957" s="182"/>
      <c r="L957" s="189"/>
      <c r="M957" s="189"/>
    </row>
    <row r="958" spans="3:13" ht="15.75" customHeight="1">
      <c r="C958" s="189"/>
      <c r="K958" s="182"/>
      <c r="L958" s="189"/>
      <c r="M958" s="189"/>
    </row>
    <row r="959" spans="3:13" ht="15.75" customHeight="1">
      <c r="C959" s="189"/>
      <c r="K959" s="182"/>
      <c r="L959" s="189"/>
      <c r="M959" s="189"/>
    </row>
    <row r="960" spans="3:13" ht="15.75" customHeight="1">
      <c r="C960" s="189"/>
      <c r="K960" s="182"/>
      <c r="L960" s="189"/>
      <c r="M960" s="189"/>
    </row>
    <row r="961" spans="3:13" ht="15.75" customHeight="1">
      <c r="C961" s="189"/>
      <c r="K961" s="182"/>
      <c r="L961" s="189"/>
      <c r="M961" s="189"/>
    </row>
    <row r="962" spans="3:13" ht="15.75" customHeight="1">
      <c r="C962" s="189"/>
      <c r="K962" s="182"/>
      <c r="L962" s="189"/>
      <c r="M962" s="189"/>
    </row>
    <row r="963" spans="3:13" ht="15.75" customHeight="1">
      <c r="C963" s="189"/>
      <c r="K963" s="182"/>
      <c r="L963" s="189"/>
      <c r="M963" s="189"/>
    </row>
    <row r="964" spans="3:13" ht="15.75" customHeight="1">
      <c r="C964" s="189"/>
      <c r="K964" s="182"/>
      <c r="L964" s="189"/>
      <c r="M964" s="189"/>
    </row>
    <row r="965" spans="3:13" ht="15.75" customHeight="1">
      <c r="C965" s="189"/>
      <c r="K965" s="182"/>
      <c r="L965" s="189"/>
      <c r="M965" s="189"/>
    </row>
    <row r="966" spans="3:13" ht="15.75" customHeight="1">
      <c r="C966" s="189"/>
      <c r="K966" s="182"/>
      <c r="L966" s="189"/>
      <c r="M966" s="189"/>
    </row>
    <row r="967" spans="3:13" ht="15.75" customHeight="1">
      <c r="C967" s="189"/>
      <c r="K967" s="182"/>
      <c r="L967" s="189"/>
      <c r="M967" s="189"/>
    </row>
    <row r="968" spans="3:13" ht="15.75" customHeight="1">
      <c r="C968" s="189"/>
      <c r="K968" s="182"/>
      <c r="L968" s="189"/>
      <c r="M968" s="189"/>
    </row>
    <row r="969" spans="3:13" ht="15.75" customHeight="1">
      <c r="C969" s="189"/>
      <c r="K969" s="182"/>
      <c r="L969" s="189"/>
      <c r="M969" s="189"/>
    </row>
    <row r="970" spans="3:13" ht="15.75" customHeight="1">
      <c r="C970" s="189"/>
      <c r="K970" s="182"/>
      <c r="L970" s="189"/>
      <c r="M970" s="189"/>
    </row>
    <row r="971" spans="3:13" ht="15.75" customHeight="1">
      <c r="C971" s="189"/>
      <c r="K971" s="182"/>
      <c r="L971" s="189"/>
      <c r="M971" s="189"/>
    </row>
    <row r="972" spans="3:13" ht="15.75" customHeight="1">
      <c r="C972" s="189"/>
      <c r="K972" s="182"/>
      <c r="L972" s="189"/>
      <c r="M972" s="189"/>
    </row>
    <row r="973" spans="3:13" ht="15.75" customHeight="1">
      <c r="C973" s="189"/>
      <c r="K973" s="182"/>
      <c r="L973" s="189"/>
      <c r="M973" s="189"/>
    </row>
    <row r="974" spans="3:13" ht="15.75" customHeight="1">
      <c r="C974" s="189"/>
      <c r="K974" s="182"/>
      <c r="L974" s="189"/>
      <c r="M974" s="189"/>
    </row>
    <row r="975" spans="3:13" ht="15.75" customHeight="1">
      <c r="C975" s="189"/>
      <c r="K975" s="182"/>
      <c r="L975" s="189"/>
      <c r="M975" s="189"/>
    </row>
    <row r="976" spans="3:13" ht="15.75" customHeight="1">
      <c r="C976" s="189"/>
      <c r="K976" s="182"/>
      <c r="L976" s="189"/>
      <c r="M976" s="189"/>
    </row>
    <row r="977" spans="3:13" ht="15.75" customHeight="1">
      <c r="C977" s="189"/>
      <c r="K977" s="182"/>
      <c r="L977" s="189"/>
      <c r="M977" s="189"/>
    </row>
    <row r="978" spans="3:13" ht="15.75" customHeight="1">
      <c r="C978" s="189"/>
      <c r="K978" s="182"/>
      <c r="L978" s="189"/>
      <c r="M978" s="189"/>
    </row>
    <row r="979" spans="3:13" ht="15.75" customHeight="1">
      <c r="C979" s="189"/>
      <c r="K979" s="182"/>
      <c r="L979" s="189"/>
      <c r="M979" s="189"/>
    </row>
    <row r="980" spans="3:13" ht="15.75" customHeight="1">
      <c r="C980" s="189"/>
      <c r="K980" s="182"/>
      <c r="L980" s="189"/>
      <c r="M980" s="189"/>
    </row>
    <row r="981" spans="3:13" ht="15.75" customHeight="1">
      <c r="C981" s="189"/>
      <c r="K981" s="182"/>
      <c r="L981" s="189"/>
      <c r="M981" s="189"/>
    </row>
    <row r="982" spans="3:13" ht="15.75" customHeight="1">
      <c r="C982" s="189"/>
      <c r="K982" s="182"/>
      <c r="L982" s="189"/>
      <c r="M982" s="189"/>
    </row>
    <row r="983" spans="3:13" ht="15.75" customHeight="1">
      <c r="C983" s="189"/>
      <c r="K983" s="182"/>
      <c r="L983" s="189"/>
      <c r="M983" s="189"/>
    </row>
    <row r="984" spans="3:13" ht="15.75" customHeight="1">
      <c r="C984" s="189"/>
      <c r="K984" s="182"/>
      <c r="L984" s="189"/>
      <c r="M984" s="189"/>
    </row>
    <row r="985" spans="3:13" ht="15.75" customHeight="1">
      <c r="C985" s="189"/>
      <c r="K985" s="182"/>
      <c r="L985" s="189"/>
      <c r="M985" s="189"/>
    </row>
    <row r="986" spans="3:13" ht="15.75" customHeight="1">
      <c r="C986" s="189"/>
      <c r="K986" s="182"/>
      <c r="L986" s="189"/>
      <c r="M986" s="189"/>
    </row>
    <row r="987" spans="3:13" ht="15.75" customHeight="1">
      <c r="C987" s="189"/>
      <c r="K987" s="182"/>
      <c r="L987" s="189"/>
      <c r="M987" s="189"/>
    </row>
    <row r="988" spans="3:13" ht="15.75" customHeight="1">
      <c r="C988" s="189"/>
      <c r="K988" s="182"/>
      <c r="L988" s="189"/>
      <c r="M988" s="189"/>
    </row>
    <row r="989" spans="3:13" ht="15.75" customHeight="1">
      <c r="C989" s="189"/>
      <c r="K989" s="182"/>
      <c r="L989" s="189"/>
      <c r="M989" s="189"/>
    </row>
    <row r="990" spans="3:13" ht="15.75" customHeight="1">
      <c r="C990" s="189"/>
      <c r="K990" s="182"/>
      <c r="L990" s="189"/>
      <c r="M990" s="189"/>
    </row>
    <row r="991" spans="3:13" ht="15.75" customHeight="1">
      <c r="C991" s="189"/>
      <c r="K991" s="182"/>
      <c r="L991" s="189"/>
      <c r="M991" s="189"/>
    </row>
    <row r="992" spans="3:13" ht="15.75" customHeight="1">
      <c r="C992" s="189"/>
      <c r="K992" s="182"/>
      <c r="L992" s="189"/>
      <c r="M992" s="189"/>
    </row>
    <row r="993" spans="3:13" ht="15.75" customHeight="1">
      <c r="C993" s="189"/>
      <c r="K993" s="182"/>
      <c r="L993" s="189"/>
      <c r="M993" s="189"/>
    </row>
    <row r="994" spans="3:13" ht="15.75" customHeight="1">
      <c r="C994" s="189"/>
      <c r="K994" s="182"/>
      <c r="L994" s="189"/>
      <c r="M994" s="189"/>
    </row>
    <row r="995" spans="3:13" ht="15.75" customHeight="1">
      <c r="C995" s="189"/>
      <c r="K995" s="182"/>
      <c r="L995" s="189"/>
      <c r="M995" s="189"/>
    </row>
    <row r="996" spans="3:13" ht="15.75" customHeight="1">
      <c r="C996" s="189"/>
      <c r="K996" s="182"/>
      <c r="L996" s="189"/>
      <c r="M996" s="189"/>
    </row>
    <row r="997" spans="3:13" ht="15.75" customHeight="1">
      <c r="C997" s="189"/>
      <c r="K997" s="182"/>
      <c r="L997" s="189"/>
      <c r="M997" s="189"/>
    </row>
    <row r="998" spans="3:13" ht="15.75" customHeight="1">
      <c r="C998" s="189"/>
      <c r="K998" s="182"/>
      <c r="L998" s="189"/>
      <c r="M998" s="189"/>
    </row>
    <row r="999" spans="3:13" ht="15.75" customHeight="1">
      <c r="C999" s="189"/>
      <c r="K999" s="182"/>
      <c r="L999" s="189"/>
      <c r="M999" s="189"/>
    </row>
    <row r="1000" spans="3:13" ht="15.75" customHeight="1">
      <c r="C1000" s="189"/>
      <c r="K1000" s="182"/>
      <c r="L1000" s="189"/>
      <c r="M1000" s="189"/>
    </row>
    <row r="1001" spans="3:13" ht="15.75" customHeight="1">
      <c r="C1001" s="189"/>
      <c r="K1001" s="182"/>
      <c r="L1001" s="189"/>
      <c r="M1001" s="189"/>
    </row>
  </sheetData>
  <autoFilter ref="A1:P55" xr:uid="{00000000-0009-0000-0000-000007000000}"/>
  <customSheetViews>
    <customSheetView guid="{D2464F85-EDE4-4567-AE99-72086A9419EC}" filter="1" showAutoFilter="1">
      <pageMargins left="0.7" right="0.7" top="0.75" bottom="0.75" header="0.3" footer="0.3"/>
      <autoFilter ref="A1:AA55" xr:uid="{3D2BA2B1-1E59-C543-A079-34CB552F5ADC}"/>
    </customSheetView>
  </customSheetView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rgb="FFD9E2F3"/>
  </sheetPr>
  <dimension ref="A1:Z1735"/>
  <sheetViews>
    <sheetView tabSelected="1" zoomScale="140" zoomScaleNormal="140" workbookViewId="0">
      <selection activeCell="D1609" sqref="D1609"/>
    </sheetView>
  </sheetViews>
  <sheetFormatPr baseColWidth="10" defaultColWidth="12.6640625" defaultRowHeight="15" customHeight="1"/>
  <cols>
    <col min="1" max="1" width="10.83203125" customWidth="1"/>
    <col min="2" max="2" width="34.33203125" customWidth="1"/>
    <col min="3" max="3" width="27.33203125" bestFit="1" customWidth="1"/>
    <col min="4" max="4" width="15.6640625" customWidth="1"/>
    <col min="5" max="7" width="7.6640625" hidden="1" customWidth="1"/>
    <col min="8" max="8" width="26.33203125" hidden="1" customWidth="1"/>
    <col min="9" max="9" width="14.83203125" hidden="1" customWidth="1"/>
    <col min="10" max="10" width="13.1640625" customWidth="1"/>
    <col min="11" max="11" width="12" bestFit="1" customWidth="1"/>
    <col min="12" max="26" width="7.6640625" customWidth="1"/>
  </cols>
  <sheetData>
    <row r="1" spans="1:11">
      <c r="A1" s="206" t="s">
        <v>154</v>
      </c>
      <c r="B1" s="155" t="s">
        <v>466</v>
      </c>
      <c r="C1" s="155" t="s">
        <v>467</v>
      </c>
      <c r="D1" s="155" t="s">
        <v>468</v>
      </c>
      <c r="E1" s="155" t="s">
        <v>469</v>
      </c>
      <c r="F1" s="155" t="s">
        <v>470</v>
      </c>
      <c r="G1" s="207" t="s">
        <v>471</v>
      </c>
      <c r="H1" s="155" t="s">
        <v>472</v>
      </c>
      <c r="I1" s="155" t="s">
        <v>473</v>
      </c>
      <c r="J1" s="155" t="s">
        <v>474</v>
      </c>
    </row>
    <row r="2" spans="1:11" hidden="1">
      <c r="A2" s="98" t="s">
        <v>2</v>
      </c>
      <c r="B2" s="191" t="s">
        <v>4007</v>
      </c>
      <c r="C2" s="191" t="s">
        <v>1163</v>
      </c>
      <c r="D2" s="191" t="s">
        <v>477</v>
      </c>
      <c r="E2" s="191">
        <v>20</v>
      </c>
      <c r="F2" s="191">
        <v>0</v>
      </c>
      <c r="G2" s="191">
        <v>0</v>
      </c>
      <c r="H2" s="191" t="s">
        <v>479</v>
      </c>
      <c r="I2" s="191" t="s">
        <v>548</v>
      </c>
      <c r="J2" s="191">
        <v>0</v>
      </c>
      <c r="K2" s="159"/>
    </row>
    <row r="3" spans="1:11" hidden="1">
      <c r="A3" s="98" t="s">
        <v>2</v>
      </c>
      <c r="B3" s="191" t="s">
        <v>4007</v>
      </c>
      <c r="C3" s="191" t="s">
        <v>292</v>
      </c>
      <c r="D3" s="191" t="s">
        <v>484</v>
      </c>
      <c r="E3" s="191">
        <v>4</v>
      </c>
      <c r="F3" s="191">
        <v>10</v>
      </c>
      <c r="G3" s="191">
        <v>0</v>
      </c>
      <c r="H3" s="191" t="s">
        <v>479</v>
      </c>
      <c r="I3" s="191" t="s">
        <v>615</v>
      </c>
      <c r="J3" s="191">
        <v>0</v>
      </c>
      <c r="K3" s="159"/>
    </row>
    <row r="4" spans="1:11" hidden="1">
      <c r="A4" s="98" t="s">
        <v>2</v>
      </c>
      <c r="B4" s="191" t="s">
        <v>4007</v>
      </c>
      <c r="C4" s="191" t="s">
        <v>4174</v>
      </c>
      <c r="D4" s="191" t="s">
        <v>477</v>
      </c>
      <c r="E4" s="191">
        <v>3</v>
      </c>
      <c r="F4" s="191">
        <v>0</v>
      </c>
      <c r="G4" s="191">
        <v>0</v>
      </c>
      <c r="H4" s="191" t="s">
        <v>479</v>
      </c>
      <c r="I4" s="191" t="s">
        <v>548</v>
      </c>
      <c r="J4" s="191">
        <v>0</v>
      </c>
      <c r="K4" s="159"/>
    </row>
    <row r="5" spans="1:11" hidden="1">
      <c r="A5" s="98" t="s">
        <v>2</v>
      </c>
      <c r="B5" s="191" t="s">
        <v>4007</v>
      </c>
      <c r="C5" s="191" t="s">
        <v>257</v>
      </c>
      <c r="D5" s="191" t="s">
        <v>477</v>
      </c>
      <c r="E5" s="191">
        <v>12</v>
      </c>
      <c r="F5" s="191">
        <v>0</v>
      </c>
      <c r="G5" s="191">
        <v>0</v>
      </c>
      <c r="H5" s="191" t="s">
        <v>479</v>
      </c>
      <c r="I5" s="191" t="s">
        <v>548</v>
      </c>
      <c r="J5" s="191">
        <v>0</v>
      </c>
      <c r="K5" s="159"/>
    </row>
    <row r="6" spans="1:11" hidden="1">
      <c r="A6" s="98" t="s">
        <v>2</v>
      </c>
      <c r="B6" s="191" t="s">
        <v>4007</v>
      </c>
      <c r="C6" s="191" t="s">
        <v>2321</v>
      </c>
      <c r="D6" s="191" t="s">
        <v>477</v>
      </c>
      <c r="E6" s="191">
        <v>55</v>
      </c>
      <c r="F6" s="191">
        <v>0</v>
      </c>
      <c r="G6" s="191">
        <v>0</v>
      </c>
      <c r="H6" s="191" t="s">
        <v>479</v>
      </c>
      <c r="I6" s="191" t="s">
        <v>548</v>
      </c>
      <c r="J6" s="191">
        <v>0</v>
      </c>
      <c r="K6" s="159"/>
    </row>
    <row r="7" spans="1:11" hidden="1">
      <c r="A7" s="98" t="s">
        <v>2</v>
      </c>
      <c r="B7" s="191" t="s">
        <v>4007</v>
      </c>
      <c r="C7" s="191" t="s">
        <v>2415</v>
      </c>
      <c r="D7" s="191" t="s">
        <v>484</v>
      </c>
      <c r="E7" s="191">
        <v>4</v>
      </c>
      <c r="F7" s="191">
        <v>10</v>
      </c>
      <c r="G7" s="191">
        <v>0</v>
      </c>
      <c r="H7" s="191" t="s">
        <v>479</v>
      </c>
      <c r="I7" s="191" t="s">
        <v>615</v>
      </c>
      <c r="J7" s="191">
        <v>0</v>
      </c>
      <c r="K7" s="159"/>
    </row>
    <row r="8" spans="1:11" hidden="1">
      <c r="A8" s="98" t="s">
        <v>2</v>
      </c>
      <c r="B8" s="191" t="s">
        <v>4007</v>
      </c>
      <c r="C8" s="191" t="s">
        <v>4175</v>
      </c>
      <c r="D8" s="191" t="s">
        <v>484</v>
      </c>
      <c r="E8" s="191">
        <v>4</v>
      </c>
      <c r="F8" s="191">
        <v>10</v>
      </c>
      <c r="G8" s="191">
        <v>0</v>
      </c>
      <c r="H8" s="191" t="s">
        <v>479</v>
      </c>
      <c r="I8" s="191" t="s">
        <v>615</v>
      </c>
      <c r="J8" s="191">
        <v>0</v>
      </c>
      <c r="K8" s="159"/>
    </row>
    <row r="9" spans="1:11" hidden="1">
      <c r="A9" s="98" t="s">
        <v>2</v>
      </c>
      <c r="B9" s="191" t="s">
        <v>4007</v>
      </c>
      <c r="C9" s="191" t="s">
        <v>4176</v>
      </c>
      <c r="D9" s="191" t="s">
        <v>484</v>
      </c>
      <c r="E9" s="191">
        <v>4</v>
      </c>
      <c r="F9" s="191">
        <v>10</v>
      </c>
      <c r="G9" s="191">
        <v>0</v>
      </c>
      <c r="H9" s="191" t="s">
        <v>479</v>
      </c>
      <c r="I9" s="191" t="s">
        <v>615</v>
      </c>
      <c r="J9" s="191">
        <v>0</v>
      </c>
      <c r="K9" s="159"/>
    </row>
    <row r="10" spans="1:11" hidden="1">
      <c r="A10" s="98" t="s">
        <v>2</v>
      </c>
      <c r="B10" s="191" t="s">
        <v>4007</v>
      </c>
      <c r="C10" s="191" t="s">
        <v>3204</v>
      </c>
      <c r="D10" s="191" t="s">
        <v>477</v>
      </c>
      <c r="E10" s="191">
        <v>20</v>
      </c>
      <c r="F10" s="191">
        <v>0</v>
      </c>
      <c r="G10" s="191">
        <v>0</v>
      </c>
      <c r="H10" s="191" t="s">
        <v>479</v>
      </c>
      <c r="I10" s="191" t="s">
        <v>548</v>
      </c>
      <c r="J10" s="191">
        <v>0</v>
      </c>
      <c r="K10" s="159"/>
    </row>
    <row r="11" spans="1:11" hidden="1">
      <c r="A11" s="98" t="s">
        <v>2</v>
      </c>
      <c r="B11" s="191" t="s">
        <v>4007</v>
      </c>
      <c r="C11" s="191" t="s">
        <v>523</v>
      </c>
      <c r="D11" s="191" t="s">
        <v>477</v>
      </c>
      <c r="E11" s="191">
        <v>8</v>
      </c>
      <c r="F11" s="191">
        <v>0</v>
      </c>
      <c r="G11" s="191">
        <v>0</v>
      </c>
      <c r="H11" s="191" t="s">
        <v>479</v>
      </c>
      <c r="I11" s="191" t="s">
        <v>548</v>
      </c>
      <c r="J11" s="191">
        <v>0</v>
      </c>
      <c r="K11" s="159"/>
    </row>
    <row r="12" spans="1:11" hidden="1">
      <c r="A12" s="98" t="s">
        <v>2</v>
      </c>
      <c r="B12" s="191" t="s">
        <v>4007</v>
      </c>
      <c r="C12" s="191" t="s">
        <v>669</v>
      </c>
      <c r="D12" s="191" t="s">
        <v>496</v>
      </c>
      <c r="E12" s="191">
        <v>4</v>
      </c>
      <c r="F12" s="191">
        <v>16</v>
      </c>
      <c r="G12" s="191">
        <v>0</v>
      </c>
      <c r="H12" s="191" t="s">
        <v>479</v>
      </c>
      <c r="I12" s="191" t="s">
        <v>548</v>
      </c>
      <c r="J12" s="191">
        <v>0</v>
      </c>
      <c r="K12" s="159"/>
    </row>
    <row r="13" spans="1:11" hidden="1">
      <c r="A13" s="98" t="s">
        <v>2</v>
      </c>
      <c r="B13" s="191" t="s">
        <v>4007</v>
      </c>
      <c r="C13" s="191" t="s">
        <v>670</v>
      </c>
      <c r="D13" s="191" t="s">
        <v>477</v>
      </c>
      <c r="E13" s="191">
        <v>8</v>
      </c>
      <c r="F13" s="191">
        <v>0</v>
      </c>
      <c r="G13" s="191">
        <v>0</v>
      </c>
      <c r="H13" s="191" t="s">
        <v>479</v>
      </c>
      <c r="I13" s="191" t="s">
        <v>548</v>
      </c>
      <c r="J13" s="191">
        <v>0</v>
      </c>
      <c r="K13" s="159"/>
    </row>
    <row r="14" spans="1:11" hidden="1">
      <c r="A14" s="98" t="s">
        <v>2</v>
      </c>
      <c r="B14" s="191" t="s">
        <v>4007</v>
      </c>
      <c r="C14" s="191" t="s">
        <v>215</v>
      </c>
      <c r="D14" s="191" t="s">
        <v>496</v>
      </c>
      <c r="E14" s="191">
        <v>4</v>
      </c>
      <c r="F14" s="191">
        <v>16</v>
      </c>
      <c r="G14" s="191">
        <v>0</v>
      </c>
      <c r="H14" s="191" t="s">
        <v>479</v>
      </c>
      <c r="I14" s="191" t="s">
        <v>548</v>
      </c>
      <c r="J14" s="191">
        <v>0</v>
      </c>
      <c r="K14" s="159"/>
    </row>
    <row r="15" spans="1:11" hidden="1">
      <c r="A15" s="98" t="s">
        <v>2</v>
      </c>
      <c r="B15" s="191" t="s">
        <v>4007</v>
      </c>
      <c r="C15" s="191" t="s">
        <v>2477</v>
      </c>
      <c r="D15" s="191" t="s">
        <v>477</v>
      </c>
      <c r="E15" s="191">
        <v>3</v>
      </c>
      <c r="F15" s="191">
        <v>0</v>
      </c>
      <c r="G15" s="191">
        <v>0</v>
      </c>
      <c r="H15" s="191" t="s">
        <v>4177</v>
      </c>
      <c r="I15" s="191" t="s">
        <v>548</v>
      </c>
      <c r="J15" s="191">
        <v>0</v>
      </c>
      <c r="K15" s="159"/>
    </row>
    <row r="16" spans="1:11" hidden="1">
      <c r="A16" s="98" t="s">
        <v>2</v>
      </c>
      <c r="B16" s="191" t="s">
        <v>4007</v>
      </c>
      <c r="C16" s="191" t="s">
        <v>4178</v>
      </c>
      <c r="D16" s="191" t="s">
        <v>477</v>
      </c>
      <c r="E16" s="191">
        <v>10</v>
      </c>
      <c r="F16" s="191">
        <v>0</v>
      </c>
      <c r="G16" s="191">
        <v>0</v>
      </c>
      <c r="H16" s="191" t="s">
        <v>4179</v>
      </c>
      <c r="I16" s="191" t="s">
        <v>548</v>
      </c>
      <c r="J16" s="191">
        <v>0</v>
      </c>
      <c r="K16" s="159"/>
    </row>
    <row r="17" spans="1:11" hidden="1">
      <c r="A17" s="98" t="s">
        <v>2</v>
      </c>
      <c r="B17" s="191" t="s">
        <v>4007</v>
      </c>
      <c r="C17" s="191" t="s">
        <v>4180</v>
      </c>
      <c r="D17" s="191" t="s">
        <v>477</v>
      </c>
      <c r="E17" s="191">
        <v>3</v>
      </c>
      <c r="F17" s="191">
        <v>0</v>
      </c>
      <c r="G17" s="191">
        <v>0</v>
      </c>
      <c r="H17" s="191" t="s">
        <v>4181</v>
      </c>
      <c r="I17" s="191" t="s">
        <v>548</v>
      </c>
      <c r="J17" s="191">
        <v>1</v>
      </c>
      <c r="K17" s="159"/>
    </row>
    <row r="18" spans="1:11" hidden="1">
      <c r="A18" s="98" t="s">
        <v>2</v>
      </c>
      <c r="B18" s="191" t="s">
        <v>4007</v>
      </c>
      <c r="C18" s="191" t="s">
        <v>4182</v>
      </c>
      <c r="D18" s="191" t="s">
        <v>477</v>
      </c>
      <c r="E18" s="191">
        <v>8</v>
      </c>
      <c r="F18" s="191">
        <v>0</v>
      </c>
      <c r="G18" s="191">
        <v>0</v>
      </c>
      <c r="H18" s="191" t="s">
        <v>4183</v>
      </c>
      <c r="I18" s="191" t="s">
        <v>548</v>
      </c>
      <c r="J18" s="279">
        <v>1</v>
      </c>
      <c r="K18" s="159"/>
    </row>
    <row r="19" spans="1:11" hidden="1">
      <c r="A19" s="98" t="s">
        <v>2</v>
      </c>
      <c r="B19" s="191" t="s">
        <v>4007</v>
      </c>
      <c r="C19" s="191" t="s">
        <v>4184</v>
      </c>
      <c r="D19" s="191" t="s">
        <v>477</v>
      </c>
      <c r="E19" s="191">
        <v>2</v>
      </c>
      <c r="F19" s="191">
        <v>0</v>
      </c>
      <c r="G19" s="191">
        <v>0</v>
      </c>
      <c r="H19" s="191" t="s">
        <v>4185</v>
      </c>
      <c r="I19" s="191" t="s">
        <v>548</v>
      </c>
      <c r="J19" s="191">
        <v>0</v>
      </c>
      <c r="K19" s="159"/>
    </row>
    <row r="20" spans="1:11" hidden="1">
      <c r="A20" s="98" t="s">
        <v>2</v>
      </c>
      <c r="B20" s="191" t="s">
        <v>4007</v>
      </c>
      <c r="C20" s="191" t="s">
        <v>4186</v>
      </c>
      <c r="D20" s="191" t="s">
        <v>477</v>
      </c>
      <c r="E20" s="191">
        <v>10</v>
      </c>
      <c r="F20" s="191">
        <v>0</v>
      </c>
      <c r="G20" s="191">
        <v>0</v>
      </c>
      <c r="H20" s="191" t="s">
        <v>4187</v>
      </c>
      <c r="I20" s="191" t="s">
        <v>548</v>
      </c>
      <c r="J20" s="191">
        <v>0</v>
      </c>
      <c r="K20" s="159"/>
    </row>
    <row r="21" spans="1:11" ht="15.75" hidden="1" customHeight="1">
      <c r="A21" s="98" t="s">
        <v>2</v>
      </c>
      <c r="B21" s="191" t="s">
        <v>4007</v>
      </c>
      <c r="C21" s="191" t="s">
        <v>4188</v>
      </c>
      <c r="D21" s="191" t="s">
        <v>477</v>
      </c>
      <c r="E21" s="191">
        <v>10</v>
      </c>
      <c r="F21" s="191">
        <v>0</v>
      </c>
      <c r="G21" s="191">
        <v>0</v>
      </c>
      <c r="H21" s="191" t="s">
        <v>4189</v>
      </c>
      <c r="I21" s="191" t="s">
        <v>548</v>
      </c>
      <c r="J21" s="191">
        <v>0</v>
      </c>
      <c r="K21" s="159"/>
    </row>
    <row r="22" spans="1:11" ht="15.75" hidden="1" customHeight="1">
      <c r="A22" s="98" t="s">
        <v>2</v>
      </c>
      <c r="B22" s="191" t="s">
        <v>4007</v>
      </c>
      <c r="C22" s="191" t="s">
        <v>4190</v>
      </c>
      <c r="D22" s="191" t="s">
        <v>484</v>
      </c>
      <c r="E22" s="191">
        <v>4</v>
      </c>
      <c r="F22" s="191">
        <v>10</v>
      </c>
      <c r="G22" s="191">
        <v>0</v>
      </c>
      <c r="H22" s="191" t="s">
        <v>4191</v>
      </c>
      <c r="I22" s="191" t="s">
        <v>615</v>
      </c>
      <c r="J22" s="191">
        <v>0</v>
      </c>
      <c r="K22" s="159"/>
    </row>
    <row r="23" spans="1:11" ht="15.75" hidden="1" customHeight="1">
      <c r="A23" s="98" t="s">
        <v>2</v>
      </c>
      <c r="B23" s="191" t="s">
        <v>4007</v>
      </c>
      <c r="C23" s="191" t="s">
        <v>4192</v>
      </c>
      <c r="D23" s="191" t="s">
        <v>477</v>
      </c>
      <c r="E23" s="191">
        <v>8</v>
      </c>
      <c r="F23" s="191">
        <v>0</v>
      </c>
      <c r="G23" s="191">
        <v>0</v>
      </c>
      <c r="H23" s="191" t="s">
        <v>4193</v>
      </c>
      <c r="I23" s="191" t="s">
        <v>548</v>
      </c>
      <c r="J23" s="191">
        <v>1</v>
      </c>
      <c r="K23" s="159"/>
    </row>
    <row r="24" spans="1:11" ht="15.75" hidden="1" customHeight="1">
      <c r="A24" s="98" t="s">
        <v>2</v>
      </c>
      <c r="B24" s="191" t="s">
        <v>4007</v>
      </c>
      <c r="C24" s="191" t="s">
        <v>4194</v>
      </c>
      <c r="D24" s="191" t="s">
        <v>477</v>
      </c>
      <c r="E24" s="191">
        <v>8</v>
      </c>
      <c r="F24" s="191">
        <v>0</v>
      </c>
      <c r="G24" s="191">
        <v>0</v>
      </c>
      <c r="H24" s="191" t="s">
        <v>4195</v>
      </c>
      <c r="I24" s="191" t="s">
        <v>548</v>
      </c>
      <c r="J24" s="279">
        <v>1</v>
      </c>
      <c r="K24" s="159"/>
    </row>
    <row r="25" spans="1:11" ht="15.75" hidden="1" customHeight="1">
      <c r="A25" s="98" t="s">
        <v>2</v>
      </c>
      <c r="B25" s="191" t="s">
        <v>4007</v>
      </c>
      <c r="C25" s="191" t="s">
        <v>1611</v>
      </c>
      <c r="D25" s="191" t="s">
        <v>477</v>
      </c>
      <c r="E25" s="191">
        <v>3</v>
      </c>
      <c r="F25" s="191">
        <v>0</v>
      </c>
      <c r="G25" s="191">
        <v>0</v>
      </c>
      <c r="H25" s="191" t="s">
        <v>4196</v>
      </c>
      <c r="I25" s="191" t="s">
        <v>4197</v>
      </c>
      <c r="J25" s="191">
        <v>0</v>
      </c>
      <c r="K25" s="159"/>
    </row>
    <row r="26" spans="1:11" ht="15.75" hidden="1" customHeight="1">
      <c r="A26" s="98" t="s">
        <v>2</v>
      </c>
      <c r="B26" s="191" t="s">
        <v>4010</v>
      </c>
      <c r="C26" s="191" t="s">
        <v>4012</v>
      </c>
      <c r="D26" s="191" t="s">
        <v>477</v>
      </c>
      <c r="E26" s="191">
        <v>20</v>
      </c>
      <c r="F26" s="191">
        <v>0</v>
      </c>
      <c r="G26" s="191">
        <v>0</v>
      </c>
      <c r="H26" s="191" t="s">
        <v>479</v>
      </c>
      <c r="I26" s="191" t="s">
        <v>548</v>
      </c>
      <c r="J26" s="191">
        <v>0</v>
      </c>
      <c r="K26" s="159"/>
    </row>
    <row r="27" spans="1:11" ht="15.75" hidden="1" customHeight="1">
      <c r="A27" s="98" t="s">
        <v>2</v>
      </c>
      <c r="B27" s="191" t="s">
        <v>4010</v>
      </c>
      <c r="C27" s="191" t="s">
        <v>1557</v>
      </c>
      <c r="D27" s="191" t="s">
        <v>496</v>
      </c>
      <c r="E27" s="191">
        <v>4</v>
      </c>
      <c r="F27" s="191">
        <v>16</v>
      </c>
      <c r="G27" s="191">
        <v>0</v>
      </c>
      <c r="H27" s="191" t="s">
        <v>479</v>
      </c>
      <c r="I27" s="191" t="s">
        <v>548</v>
      </c>
      <c r="J27" s="191">
        <v>0</v>
      </c>
      <c r="K27" s="159"/>
    </row>
    <row r="28" spans="1:11" ht="15.75" hidden="1" customHeight="1">
      <c r="A28" s="98" t="s">
        <v>2</v>
      </c>
      <c r="B28" s="191" t="s">
        <v>4010</v>
      </c>
      <c r="C28" s="191" t="s">
        <v>4198</v>
      </c>
      <c r="D28" s="191" t="s">
        <v>477</v>
      </c>
      <c r="E28" s="191">
        <v>12</v>
      </c>
      <c r="F28" s="191">
        <v>0</v>
      </c>
      <c r="G28" s="191">
        <v>0</v>
      </c>
      <c r="H28" s="191" t="s">
        <v>479</v>
      </c>
      <c r="I28" s="191" t="s">
        <v>548</v>
      </c>
      <c r="J28" s="191">
        <v>0</v>
      </c>
      <c r="K28" s="159"/>
    </row>
    <row r="29" spans="1:11" ht="15.75" hidden="1" customHeight="1">
      <c r="A29" s="98" t="s">
        <v>2</v>
      </c>
      <c r="B29" s="191" t="s">
        <v>4010</v>
      </c>
      <c r="C29" s="191" t="s">
        <v>811</v>
      </c>
      <c r="D29" s="191" t="s">
        <v>477</v>
      </c>
      <c r="E29" s="191">
        <v>10</v>
      </c>
      <c r="F29" s="191">
        <v>0</v>
      </c>
      <c r="G29" s="191">
        <v>0</v>
      </c>
      <c r="H29" s="191" t="s">
        <v>479</v>
      </c>
      <c r="I29" s="191" t="s">
        <v>548</v>
      </c>
      <c r="J29" s="191">
        <v>0</v>
      </c>
      <c r="K29" s="159"/>
    </row>
    <row r="30" spans="1:11" ht="15.75" hidden="1" customHeight="1">
      <c r="A30" s="98" t="s">
        <v>2</v>
      </c>
      <c r="B30" s="191" t="s">
        <v>4010</v>
      </c>
      <c r="C30" s="191" t="s">
        <v>4199</v>
      </c>
      <c r="D30" s="191" t="s">
        <v>477</v>
      </c>
      <c r="E30" s="191">
        <v>3</v>
      </c>
      <c r="F30" s="191">
        <v>0</v>
      </c>
      <c r="G30" s="191">
        <v>0</v>
      </c>
      <c r="H30" s="191" t="s">
        <v>479</v>
      </c>
      <c r="I30" s="191" t="s">
        <v>548</v>
      </c>
      <c r="J30" s="191">
        <v>0</v>
      </c>
      <c r="K30" s="159"/>
    </row>
    <row r="31" spans="1:11" ht="15.75" hidden="1" customHeight="1">
      <c r="A31" s="98" t="s">
        <v>2</v>
      </c>
      <c r="B31" s="191" t="s">
        <v>4010</v>
      </c>
      <c r="C31" s="191" t="s">
        <v>4200</v>
      </c>
      <c r="D31" s="191" t="s">
        <v>477</v>
      </c>
      <c r="E31" s="191">
        <v>100</v>
      </c>
      <c r="F31" s="191">
        <v>0</v>
      </c>
      <c r="G31" s="191">
        <v>0</v>
      </c>
      <c r="H31" s="191" t="s">
        <v>479</v>
      </c>
      <c r="I31" s="191" t="s">
        <v>548</v>
      </c>
      <c r="J31" s="191">
        <v>0</v>
      </c>
      <c r="K31" s="159"/>
    </row>
    <row r="32" spans="1:11" ht="15.75" hidden="1" customHeight="1">
      <c r="A32" s="98" t="s">
        <v>2</v>
      </c>
      <c r="B32" s="191" t="s">
        <v>4010</v>
      </c>
      <c r="C32" s="191" t="s">
        <v>4201</v>
      </c>
      <c r="D32" s="191" t="s">
        <v>477</v>
      </c>
      <c r="E32" s="191">
        <v>1000</v>
      </c>
      <c r="F32" s="191">
        <v>0</v>
      </c>
      <c r="G32" s="191">
        <v>0</v>
      </c>
      <c r="H32" s="191" t="s">
        <v>479</v>
      </c>
      <c r="I32" s="191" t="s">
        <v>548</v>
      </c>
      <c r="J32" s="191">
        <v>0</v>
      </c>
      <c r="K32" s="159"/>
    </row>
    <row r="33" spans="1:11" ht="15.75" hidden="1" customHeight="1">
      <c r="A33" s="98" t="s">
        <v>2</v>
      </c>
      <c r="B33" s="191" t="s">
        <v>4010</v>
      </c>
      <c r="C33" s="191" t="s">
        <v>164</v>
      </c>
      <c r="D33" s="191" t="s">
        <v>477</v>
      </c>
      <c r="E33" s="191">
        <v>255</v>
      </c>
      <c r="F33" s="191">
        <v>0</v>
      </c>
      <c r="G33" s="191">
        <v>0</v>
      </c>
      <c r="H33" s="191" t="s">
        <v>479</v>
      </c>
      <c r="I33" s="191" t="s">
        <v>548</v>
      </c>
      <c r="J33" s="191">
        <v>0</v>
      </c>
      <c r="K33" s="159"/>
    </row>
    <row r="34" spans="1:11" ht="15.75" hidden="1" customHeight="1">
      <c r="A34" s="98" t="s">
        <v>2</v>
      </c>
      <c r="B34" s="191" t="s">
        <v>4010</v>
      </c>
      <c r="C34" s="191" t="s">
        <v>4202</v>
      </c>
      <c r="D34" s="191" t="s">
        <v>477</v>
      </c>
      <c r="E34" s="191">
        <v>20</v>
      </c>
      <c r="F34" s="191">
        <v>0</v>
      </c>
      <c r="G34" s="191">
        <v>0</v>
      </c>
      <c r="H34" s="191" t="s">
        <v>479</v>
      </c>
      <c r="I34" s="191" t="s">
        <v>548</v>
      </c>
      <c r="J34" s="191">
        <v>0</v>
      </c>
      <c r="K34" s="159"/>
    </row>
    <row r="35" spans="1:11" ht="15.75" hidden="1" customHeight="1">
      <c r="A35" s="98" t="s">
        <v>2</v>
      </c>
      <c r="B35" s="191" t="s">
        <v>4010</v>
      </c>
      <c r="C35" s="191" t="s">
        <v>523</v>
      </c>
      <c r="D35" s="191" t="s">
        <v>477</v>
      </c>
      <c r="E35" s="191">
        <v>8</v>
      </c>
      <c r="F35" s="191">
        <v>0</v>
      </c>
      <c r="G35" s="191">
        <v>0</v>
      </c>
      <c r="H35" s="191" t="s">
        <v>479</v>
      </c>
      <c r="I35" s="191" t="s">
        <v>548</v>
      </c>
      <c r="J35" s="191">
        <v>0</v>
      </c>
      <c r="K35" s="159"/>
    </row>
    <row r="36" spans="1:11" ht="15.75" hidden="1" customHeight="1">
      <c r="A36" s="98" t="s">
        <v>2</v>
      </c>
      <c r="B36" s="191" t="s">
        <v>4010</v>
      </c>
      <c r="C36" s="191" t="s">
        <v>669</v>
      </c>
      <c r="D36" s="191" t="s">
        <v>496</v>
      </c>
      <c r="E36" s="191">
        <v>4</v>
      </c>
      <c r="F36" s="191">
        <v>16</v>
      </c>
      <c r="G36" s="191">
        <v>0</v>
      </c>
      <c r="H36" s="191" t="s">
        <v>479</v>
      </c>
      <c r="I36" s="191" t="s">
        <v>548</v>
      </c>
      <c r="J36" s="191">
        <v>0</v>
      </c>
      <c r="K36" s="159"/>
    </row>
    <row r="37" spans="1:11" ht="15.75" hidden="1" customHeight="1">
      <c r="A37" s="98" t="s">
        <v>2</v>
      </c>
      <c r="B37" s="191" t="s">
        <v>4010</v>
      </c>
      <c r="C37" s="191" t="s">
        <v>670</v>
      </c>
      <c r="D37" s="191" t="s">
        <v>477</v>
      </c>
      <c r="E37" s="191">
        <v>8</v>
      </c>
      <c r="F37" s="191">
        <v>0</v>
      </c>
      <c r="G37" s="191">
        <v>0</v>
      </c>
      <c r="H37" s="191" t="s">
        <v>479</v>
      </c>
      <c r="I37" s="191" t="s">
        <v>548</v>
      </c>
      <c r="J37" s="191">
        <v>0</v>
      </c>
      <c r="K37" s="159"/>
    </row>
    <row r="38" spans="1:11" ht="15.75" hidden="1" customHeight="1">
      <c r="A38" s="98" t="s">
        <v>2</v>
      </c>
      <c r="B38" s="191" t="s">
        <v>4010</v>
      </c>
      <c r="C38" s="191" t="s">
        <v>215</v>
      </c>
      <c r="D38" s="191" t="s">
        <v>496</v>
      </c>
      <c r="E38" s="191">
        <v>4</v>
      </c>
      <c r="F38" s="191">
        <v>16</v>
      </c>
      <c r="G38" s="191">
        <v>0</v>
      </c>
      <c r="H38" s="191" t="s">
        <v>479</v>
      </c>
      <c r="I38" s="191" t="s">
        <v>548</v>
      </c>
      <c r="J38" s="191">
        <v>0</v>
      </c>
      <c r="K38" s="159"/>
    </row>
    <row r="39" spans="1:11" ht="15.75" hidden="1" customHeight="1">
      <c r="A39" s="98" t="s">
        <v>2</v>
      </c>
      <c r="B39" s="191" t="s">
        <v>4010</v>
      </c>
      <c r="C39" s="191" t="s">
        <v>4203</v>
      </c>
      <c r="D39" s="191" t="s">
        <v>477</v>
      </c>
      <c r="E39" s="191">
        <v>20</v>
      </c>
      <c r="F39" s="191">
        <v>0</v>
      </c>
      <c r="G39" s="191">
        <v>0</v>
      </c>
      <c r="H39" s="191" t="s">
        <v>4204</v>
      </c>
      <c r="I39" s="191" t="s">
        <v>548</v>
      </c>
      <c r="J39" s="191">
        <v>0</v>
      </c>
      <c r="K39" s="159"/>
    </row>
    <row r="40" spans="1:11" ht="15.75" hidden="1" customHeight="1">
      <c r="A40" s="98" t="s">
        <v>2</v>
      </c>
      <c r="B40" s="191" t="s">
        <v>4010</v>
      </c>
      <c r="C40" s="191" t="s">
        <v>4205</v>
      </c>
      <c r="D40" s="191" t="s">
        <v>477</v>
      </c>
      <c r="E40" s="191">
        <v>20</v>
      </c>
      <c r="F40" s="191">
        <v>0</v>
      </c>
      <c r="G40" s="191">
        <v>0</v>
      </c>
      <c r="H40" s="191" t="s">
        <v>479</v>
      </c>
      <c r="I40" s="191" t="s">
        <v>548</v>
      </c>
      <c r="J40" s="191">
        <v>0</v>
      </c>
      <c r="K40" s="159"/>
    </row>
    <row r="41" spans="1:11" ht="15.75" hidden="1" customHeight="1">
      <c r="A41" s="98" t="s">
        <v>2</v>
      </c>
      <c r="B41" s="191" t="s">
        <v>4010</v>
      </c>
      <c r="C41" s="191" t="s">
        <v>4206</v>
      </c>
      <c r="D41" s="191" t="s">
        <v>538</v>
      </c>
      <c r="E41" s="191">
        <v>8</v>
      </c>
      <c r="F41" s="191">
        <v>23</v>
      </c>
      <c r="G41" s="191">
        <v>3</v>
      </c>
      <c r="H41" s="191" t="s">
        <v>4207</v>
      </c>
      <c r="I41" s="191" t="s">
        <v>1363</v>
      </c>
      <c r="J41" s="191">
        <v>0</v>
      </c>
      <c r="K41" s="159"/>
    </row>
    <row r="42" spans="1:11" ht="15.75" hidden="1" customHeight="1">
      <c r="A42" s="98" t="s">
        <v>2</v>
      </c>
      <c r="B42" s="191" t="s">
        <v>4010</v>
      </c>
      <c r="C42" s="191" t="s">
        <v>369</v>
      </c>
      <c r="D42" s="191" t="s">
        <v>477</v>
      </c>
      <c r="E42" s="191">
        <v>20</v>
      </c>
      <c r="F42" s="191">
        <v>0</v>
      </c>
      <c r="G42" s="191">
        <v>0</v>
      </c>
      <c r="H42" s="191" t="s">
        <v>1264</v>
      </c>
      <c r="I42" s="191" t="s">
        <v>548</v>
      </c>
      <c r="J42" s="191">
        <v>0</v>
      </c>
      <c r="K42" s="159"/>
    </row>
    <row r="43" spans="1:11" ht="15.75" hidden="1" customHeight="1">
      <c r="A43" s="98" t="s">
        <v>2</v>
      </c>
      <c r="B43" s="191" t="s">
        <v>4010</v>
      </c>
      <c r="C43" s="191" t="s">
        <v>2290</v>
      </c>
      <c r="D43" s="191" t="s">
        <v>477</v>
      </c>
      <c r="E43" s="191">
        <v>100</v>
      </c>
      <c r="F43" s="191">
        <v>0</v>
      </c>
      <c r="G43" s="191">
        <v>0</v>
      </c>
      <c r="H43" s="191" t="s">
        <v>2864</v>
      </c>
      <c r="I43" s="191" t="s">
        <v>548</v>
      </c>
      <c r="J43" s="191">
        <v>0</v>
      </c>
      <c r="K43" s="159"/>
    </row>
    <row r="44" spans="1:11" ht="15.75" hidden="1" customHeight="1">
      <c r="A44" s="98" t="s">
        <v>2</v>
      </c>
      <c r="B44" s="191" t="s">
        <v>4010</v>
      </c>
      <c r="C44" s="191" t="s">
        <v>1273</v>
      </c>
      <c r="D44" s="191" t="s">
        <v>477</v>
      </c>
      <c r="E44" s="191">
        <v>20</v>
      </c>
      <c r="F44" s="191">
        <v>0</v>
      </c>
      <c r="G44" s="191">
        <v>0</v>
      </c>
      <c r="H44" s="191" t="s">
        <v>2865</v>
      </c>
      <c r="I44" s="191" t="s">
        <v>548</v>
      </c>
      <c r="J44" s="191">
        <v>0</v>
      </c>
      <c r="K44" s="159"/>
    </row>
    <row r="45" spans="1:11" ht="15.75" hidden="1" customHeight="1">
      <c r="A45" s="98" t="s">
        <v>2</v>
      </c>
      <c r="B45" s="191" t="s">
        <v>4010</v>
      </c>
      <c r="C45" s="191" t="s">
        <v>4208</v>
      </c>
      <c r="D45" s="191" t="s">
        <v>477</v>
      </c>
      <c r="E45" s="191">
        <v>100</v>
      </c>
      <c r="F45" s="191">
        <v>0</v>
      </c>
      <c r="G45" s="191">
        <v>0</v>
      </c>
      <c r="H45" s="191" t="s">
        <v>2866</v>
      </c>
      <c r="I45" s="191" t="s">
        <v>548</v>
      </c>
      <c r="J45" s="191">
        <v>0</v>
      </c>
      <c r="K45" s="159"/>
    </row>
    <row r="46" spans="1:11" ht="15.75" hidden="1" customHeight="1">
      <c r="A46" s="98" t="s">
        <v>2</v>
      </c>
      <c r="B46" s="191" t="s">
        <v>4014</v>
      </c>
      <c r="C46" s="191" t="s">
        <v>325</v>
      </c>
      <c r="D46" s="191" t="s">
        <v>484</v>
      </c>
      <c r="E46" s="191">
        <v>4</v>
      </c>
      <c r="F46" s="191">
        <v>10</v>
      </c>
      <c r="G46" s="191">
        <v>0</v>
      </c>
      <c r="H46" s="191" t="s">
        <v>4209</v>
      </c>
      <c r="I46" s="191" t="s">
        <v>479</v>
      </c>
      <c r="J46" s="191">
        <v>0</v>
      </c>
      <c r="K46" s="159"/>
    </row>
    <row r="47" spans="1:11" ht="15.75" hidden="1" customHeight="1">
      <c r="A47" s="98" t="s">
        <v>2</v>
      </c>
      <c r="B47" s="191" t="s">
        <v>4014</v>
      </c>
      <c r="C47" s="191" t="s">
        <v>4210</v>
      </c>
      <c r="D47" s="191" t="s">
        <v>477</v>
      </c>
      <c r="E47" s="191">
        <v>20</v>
      </c>
      <c r="F47" s="191">
        <v>0</v>
      </c>
      <c r="G47" s="191">
        <v>0</v>
      </c>
      <c r="H47" s="191" t="s">
        <v>4211</v>
      </c>
      <c r="I47" s="191" t="s">
        <v>548</v>
      </c>
      <c r="J47" s="191">
        <v>0</v>
      </c>
      <c r="K47" s="159"/>
    </row>
    <row r="48" spans="1:11" ht="15.75" hidden="1" customHeight="1">
      <c r="A48" s="98" t="s">
        <v>2</v>
      </c>
      <c r="B48" s="191" t="s">
        <v>4014</v>
      </c>
      <c r="C48" s="191" t="s">
        <v>4212</v>
      </c>
      <c r="D48" s="191" t="s">
        <v>477</v>
      </c>
      <c r="E48" s="191">
        <v>20</v>
      </c>
      <c r="F48" s="191">
        <v>0</v>
      </c>
      <c r="G48" s="191">
        <v>0</v>
      </c>
      <c r="H48" s="191" t="s">
        <v>4213</v>
      </c>
      <c r="I48" s="191" t="s">
        <v>548</v>
      </c>
      <c r="J48" s="191">
        <v>0</v>
      </c>
      <c r="K48" s="159"/>
    </row>
    <row r="49" spans="1:11" ht="15.75" hidden="1" customHeight="1">
      <c r="A49" s="98" t="s">
        <v>2</v>
      </c>
      <c r="B49" s="191" t="s">
        <v>4014</v>
      </c>
      <c r="C49" s="191" t="s">
        <v>669</v>
      </c>
      <c r="D49" s="191" t="s">
        <v>538</v>
      </c>
      <c r="E49" s="191">
        <v>8</v>
      </c>
      <c r="F49" s="191">
        <v>23</v>
      </c>
      <c r="G49" s="191">
        <v>3</v>
      </c>
      <c r="H49" s="191" t="s">
        <v>735</v>
      </c>
      <c r="I49" s="191" t="s">
        <v>1284</v>
      </c>
      <c r="J49" s="191">
        <v>0</v>
      </c>
      <c r="K49" s="159"/>
    </row>
    <row r="50" spans="1:11" ht="15.75" hidden="1" customHeight="1">
      <c r="A50" s="98" t="s">
        <v>2</v>
      </c>
      <c r="B50" s="191" t="s">
        <v>4014</v>
      </c>
      <c r="C50" s="191" t="s">
        <v>523</v>
      </c>
      <c r="D50" s="191" t="s">
        <v>477</v>
      </c>
      <c r="E50" s="191">
        <v>20</v>
      </c>
      <c r="F50" s="191">
        <v>0</v>
      </c>
      <c r="G50" s="191">
        <v>0</v>
      </c>
      <c r="H50" s="191" t="s">
        <v>1282</v>
      </c>
      <c r="I50" s="191" t="s">
        <v>548</v>
      </c>
      <c r="J50" s="191">
        <v>0</v>
      </c>
      <c r="K50" s="159"/>
    </row>
    <row r="51" spans="1:11" ht="15.75" hidden="1" customHeight="1">
      <c r="A51" s="98" t="s">
        <v>2</v>
      </c>
      <c r="B51" s="191" t="s">
        <v>4014</v>
      </c>
      <c r="C51" s="191" t="s">
        <v>814</v>
      </c>
      <c r="D51" s="191" t="s">
        <v>477</v>
      </c>
      <c r="E51" s="191">
        <v>100</v>
      </c>
      <c r="F51" s="191">
        <v>0</v>
      </c>
      <c r="G51" s="191">
        <v>0</v>
      </c>
      <c r="H51" s="191" t="s">
        <v>734</v>
      </c>
      <c r="I51" s="191" t="s">
        <v>548</v>
      </c>
      <c r="J51" s="191">
        <v>0</v>
      </c>
      <c r="K51" s="159"/>
    </row>
    <row r="52" spans="1:11" ht="15.75" hidden="1" customHeight="1">
      <c r="A52" s="98" t="s">
        <v>2</v>
      </c>
      <c r="B52" s="191" t="s">
        <v>4014</v>
      </c>
      <c r="C52" s="191" t="s">
        <v>215</v>
      </c>
      <c r="D52" s="191" t="s">
        <v>538</v>
      </c>
      <c r="E52" s="191">
        <v>8</v>
      </c>
      <c r="F52" s="191">
        <v>23</v>
      </c>
      <c r="G52" s="191">
        <v>3</v>
      </c>
      <c r="H52" s="191" t="s">
        <v>872</v>
      </c>
      <c r="I52" s="191" t="s">
        <v>1284</v>
      </c>
      <c r="J52" s="191">
        <v>0</v>
      </c>
      <c r="K52" s="159"/>
    </row>
    <row r="53" spans="1:11" ht="15.75" hidden="1" customHeight="1">
      <c r="A53" s="98" t="s">
        <v>2</v>
      </c>
      <c r="B53" s="191" t="s">
        <v>4014</v>
      </c>
      <c r="C53" s="191" t="s">
        <v>670</v>
      </c>
      <c r="D53" s="191" t="s">
        <v>477</v>
      </c>
      <c r="E53" s="191">
        <v>20</v>
      </c>
      <c r="F53" s="191">
        <v>0</v>
      </c>
      <c r="G53" s="191">
        <v>0</v>
      </c>
      <c r="H53" s="191" t="s">
        <v>4214</v>
      </c>
      <c r="I53" s="191" t="s">
        <v>548</v>
      </c>
      <c r="J53" s="191">
        <v>0</v>
      </c>
      <c r="K53" s="159"/>
    </row>
    <row r="54" spans="1:11" ht="15.75" hidden="1" customHeight="1">
      <c r="A54" s="98" t="s">
        <v>2</v>
      </c>
      <c r="B54" s="191" t="s">
        <v>4014</v>
      </c>
      <c r="C54" s="191" t="s">
        <v>816</v>
      </c>
      <c r="D54" s="191" t="s">
        <v>477</v>
      </c>
      <c r="E54" s="191">
        <v>100</v>
      </c>
      <c r="F54" s="191">
        <v>0</v>
      </c>
      <c r="G54" s="191">
        <v>0</v>
      </c>
      <c r="H54" s="191" t="s">
        <v>871</v>
      </c>
      <c r="I54" s="191" t="s">
        <v>548</v>
      </c>
      <c r="J54" s="191">
        <v>0</v>
      </c>
      <c r="K54" s="159"/>
    </row>
    <row r="55" spans="1:11" ht="15.75" hidden="1" customHeight="1">
      <c r="A55" s="98" t="s">
        <v>2</v>
      </c>
      <c r="B55" s="191" t="s">
        <v>4015</v>
      </c>
      <c r="C55" s="191" t="s">
        <v>1133</v>
      </c>
      <c r="D55" s="191" t="s">
        <v>477</v>
      </c>
      <c r="E55" s="191">
        <v>20</v>
      </c>
      <c r="F55" s="191">
        <v>0</v>
      </c>
      <c r="G55" s="191">
        <v>0</v>
      </c>
      <c r="H55" s="191" t="s">
        <v>4215</v>
      </c>
      <c r="I55" s="191" t="s">
        <v>548</v>
      </c>
      <c r="J55" s="191">
        <v>0</v>
      </c>
      <c r="K55" s="159"/>
    </row>
    <row r="56" spans="1:11" ht="15.75" hidden="1" customHeight="1">
      <c r="A56" s="98" t="s">
        <v>2</v>
      </c>
      <c r="B56" s="191" t="s">
        <v>4015</v>
      </c>
      <c r="C56" s="191" t="s">
        <v>369</v>
      </c>
      <c r="D56" s="191" t="s">
        <v>477</v>
      </c>
      <c r="E56" s="191">
        <v>20</v>
      </c>
      <c r="F56" s="191">
        <v>0</v>
      </c>
      <c r="G56" s="191">
        <v>0</v>
      </c>
      <c r="H56" s="191" t="s">
        <v>1264</v>
      </c>
      <c r="I56" s="191" t="s">
        <v>548</v>
      </c>
      <c r="J56" s="191">
        <v>0</v>
      </c>
      <c r="K56" s="159"/>
    </row>
    <row r="57" spans="1:11" ht="15.75" hidden="1" customHeight="1">
      <c r="A57" s="98" t="s">
        <v>2</v>
      </c>
      <c r="B57" s="191" t="s">
        <v>4015</v>
      </c>
      <c r="C57" s="191" t="s">
        <v>2290</v>
      </c>
      <c r="D57" s="191" t="s">
        <v>477</v>
      </c>
      <c r="E57" s="191">
        <v>100</v>
      </c>
      <c r="F57" s="191">
        <v>0</v>
      </c>
      <c r="G57" s="191">
        <v>0</v>
      </c>
      <c r="H57" s="191" t="s">
        <v>2864</v>
      </c>
      <c r="I57" s="191" t="s">
        <v>548</v>
      </c>
      <c r="J57" s="191">
        <v>0</v>
      </c>
      <c r="K57" s="159"/>
    </row>
    <row r="58" spans="1:11" ht="15.75" hidden="1" customHeight="1">
      <c r="A58" s="98" t="s">
        <v>2</v>
      </c>
      <c r="B58" s="191" t="s">
        <v>4015</v>
      </c>
      <c r="C58" s="191" t="s">
        <v>793</v>
      </c>
      <c r="D58" s="191" t="s">
        <v>477</v>
      </c>
      <c r="E58" s="191">
        <v>20</v>
      </c>
      <c r="F58" s="191">
        <v>0</v>
      </c>
      <c r="G58" s="191">
        <v>0</v>
      </c>
      <c r="H58" s="191" t="s">
        <v>3437</v>
      </c>
      <c r="I58" s="191" t="s">
        <v>548</v>
      </c>
      <c r="J58" s="191">
        <v>0</v>
      </c>
      <c r="K58" s="159"/>
    </row>
    <row r="59" spans="1:11" ht="15.75" hidden="1" customHeight="1">
      <c r="A59" s="98" t="s">
        <v>2</v>
      </c>
      <c r="B59" s="191" t="s">
        <v>4015</v>
      </c>
      <c r="C59" s="191" t="s">
        <v>3438</v>
      </c>
      <c r="D59" s="191" t="s">
        <v>477</v>
      </c>
      <c r="E59" s="191">
        <v>100</v>
      </c>
      <c r="F59" s="191">
        <v>0</v>
      </c>
      <c r="G59" s="191">
        <v>0</v>
      </c>
      <c r="H59" s="191" t="s">
        <v>3439</v>
      </c>
      <c r="I59" s="191" t="s">
        <v>548</v>
      </c>
      <c r="J59" s="191">
        <v>0</v>
      </c>
      <c r="K59" s="159"/>
    </row>
    <row r="60" spans="1:11" ht="15.75" hidden="1" customHeight="1">
      <c r="A60" s="98" t="s">
        <v>2</v>
      </c>
      <c r="B60" s="191" t="s">
        <v>4015</v>
      </c>
      <c r="C60" s="191" t="s">
        <v>4216</v>
      </c>
      <c r="D60" s="191" t="s">
        <v>477</v>
      </c>
      <c r="E60" s="191">
        <v>20</v>
      </c>
      <c r="F60" s="191">
        <v>0</v>
      </c>
      <c r="G60" s="191">
        <v>0</v>
      </c>
      <c r="H60" s="191" t="s">
        <v>4217</v>
      </c>
      <c r="I60" s="191" t="s">
        <v>548</v>
      </c>
      <c r="J60" s="191">
        <v>0</v>
      </c>
      <c r="K60" s="159"/>
    </row>
    <row r="61" spans="1:11" ht="15.75" hidden="1" customHeight="1">
      <c r="A61" s="98" t="s">
        <v>2</v>
      </c>
      <c r="B61" s="191" t="s">
        <v>4015</v>
      </c>
      <c r="C61" s="191" t="s">
        <v>4218</v>
      </c>
      <c r="D61" s="191" t="s">
        <v>477</v>
      </c>
      <c r="E61" s="191">
        <v>20</v>
      </c>
      <c r="F61" s="191">
        <v>0</v>
      </c>
      <c r="G61" s="191">
        <v>0</v>
      </c>
      <c r="H61" s="191" t="s">
        <v>4219</v>
      </c>
      <c r="I61" s="191" t="s">
        <v>548</v>
      </c>
      <c r="J61" s="191">
        <v>0</v>
      </c>
      <c r="K61" s="159"/>
    </row>
    <row r="62" spans="1:11" ht="15.75" hidden="1" customHeight="1">
      <c r="A62" s="98" t="s">
        <v>2</v>
      </c>
      <c r="B62" s="191" t="s">
        <v>4015</v>
      </c>
      <c r="C62" s="191" t="s">
        <v>4220</v>
      </c>
      <c r="D62" s="191" t="s">
        <v>477</v>
      </c>
      <c r="E62" s="191">
        <v>20</v>
      </c>
      <c r="F62" s="191">
        <v>0</v>
      </c>
      <c r="G62" s="191">
        <v>0</v>
      </c>
      <c r="H62" s="191" t="s">
        <v>4221</v>
      </c>
      <c r="I62" s="191" t="s">
        <v>548</v>
      </c>
      <c r="J62" s="191">
        <v>0</v>
      </c>
      <c r="K62" s="159"/>
    </row>
    <row r="63" spans="1:11" ht="15.75" hidden="1" customHeight="1">
      <c r="A63" s="98" t="s">
        <v>2</v>
      </c>
      <c r="B63" s="191" t="s">
        <v>4015</v>
      </c>
      <c r="C63" s="191" t="s">
        <v>4210</v>
      </c>
      <c r="D63" s="191" t="s">
        <v>477</v>
      </c>
      <c r="E63" s="191">
        <v>20</v>
      </c>
      <c r="F63" s="191">
        <v>0</v>
      </c>
      <c r="G63" s="191">
        <v>0</v>
      </c>
      <c r="H63" s="191" t="s">
        <v>4222</v>
      </c>
      <c r="I63" s="191" t="s">
        <v>548</v>
      </c>
      <c r="J63" s="191">
        <v>0</v>
      </c>
      <c r="K63" s="159"/>
    </row>
    <row r="64" spans="1:11" ht="15.75" hidden="1" customHeight="1">
      <c r="A64" s="98" t="s">
        <v>2</v>
      </c>
      <c r="B64" s="191" t="s">
        <v>4015</v>
      </c>
      <c r="C64" s="191" t="s">
        <v>4223</v>
      </c>
      <c r="D64" s="191" t="s">
        <v>477</v>
      </c>
      <c r="E64" s="191">
        <v>20</v>
      </c>
      <c r="F64" s="191">
        <v>0</v>
      </c>
      <c r="G64" s="191">
        <v>0</v>
      </c>
      <c r="H64" s="191" t="s">
        <v>4224</v>
      </c>
      <c r="I64" s="191" t="s">
        <v>548</v>
      </c>
      <c r="J64" s="191">
        <v>0</v>
      </c>
      <c r="K64" s="159"/>
    </row>
    <row r="65" spans="1:11" ht="15.75" hidden="1" customHeight="1">
      <c r="A65" s="98" t="s">
        <v>2</v>
      </c>
      <c r="B65" s="191" t="s">
        <v>4015</v>
      </c>
      <c r="C65" s="191" t="s">
        <v>4225</v>
      </c>
      <c r="D65" s="279" t="s">
        <v>481</v>
      </c>
      <c r="E65" s="191">
        <v>4</v>
      </c>
      <c r="F65" s="191">
        <v>10</v>
      </c>
      <c r="G65" s="191">
        <v>0</v>
      </c>
      <c r="H65" s="191" t="s">
        <v>4226</v>
      </c>
      <c r="I65" s="191" t="s">
        <v>615</v>
      </c>
      <c r="J65" s="191">
        <v>0</v>
      </c>
      <c r="K65" s="228" t="s">
        <v>484</v>
      </c>
    </row>
    <row r="66" spans="1:11" ht="15.75" hidden="1" customHeight="1">
      <c r="A66" s="98" t="s">
        <v>2</v>
      </c>
      <c r="B66" s="191" t="s">
        <v>4015</v>
      </c>
      <c r="C66" s="191" t="s">
        <v>669</v>
      </c>
      <c r="D66" s="279" t="s">
        <v>477</v>
      </c>
      <c r="E66" s="191">
        <v>8</v>
      </c>
      <c r="F66" s="191">
        <v>23</v>
      </c>
      <c r="G66" s="191">
        <v>3</v>
      </c>
      <c r="H66" s="191" t="s">
        <v>3461</v>
      </c>
      <c r="I66" s="191" t="s">
        <v>1284</v>
      </c>
      <c r="J66" s="191">
        <v>0</v>
      </c>
      <c r="K66" s="228" t="s">
        <v>538</v>
      </c>
    </row>
    <row r="67" spans="1:11" ht="15.75" hidden="1" customHeight="1">
      <c r="A67" s="98" t="s">
        <v>2</v>
      </c>
      <c r="B67" s="191" t="s">
        <v>4015</v>
      </c>
      <c r="C67" s="191" t="s">
        <v>523</v>
      </c>
      <c r="D67" s="191" t="s">
        <v>477</v>
      </c>
      <c r="E67" s="191">
        <v>20</v>
      </c>
      <c r="F67" s="191">
        <v>0</v>
      </c>
      <c r="G67" s="191">
        <v>0</v>
      </c>
      <c r="H67" s="191" t="s">
        <v>3462</v>
      </c>
      <c r="I67" s="191" t="s">
        <v>548</v>
      </c>
      <c r="J67" s="191">
        <v>0</v>
      </c>
      <c r="K67" s="159"/>
    </row>
    <row r="68" spans="1:11" ht="15.75" hidden="1" customHeight="1">
      <c r="A68" s="98" t="s">
        <v>2</v>
      </c>
      <c r="B68" s="191" t="s">
        <v>4015</v>
      </c>
      <c r="C68" s="191" t="s">
        <v>814</v>
      </c>
      <c r="D68" s="191" t="s">
        <v>477</v>
      </c>
      <c r="E68" s="191">
        <v>100</v>
      </c>
      <c r="F68" s="191">
        <v>0</v>
      </c>
      <c r="G68" s="191">
        <v>0</v>
      </c>
      <c r="H68" s="191" t="s">
        <v>3463</v>
      </c>
      <c r="I68" s="191" t="s">
        <v>548</v>
      </c>
      <c r="J68" s="191">
        <v>0</v>
      </c>
      <c r="K68" s="159"/>
    </row>
    <row r="69" spans="1:11" ht="15.75" hidden="1" customHeight="1">
      <c r="A69" s="98" t="s">
        <v>2</v>
      </c>
      <c r="B69" s="191" t="s">
        <v>4015</v>
      </c>
      <c r="C69" s="191" t="s">
        <v>215</v>
      </c>
      <c r="D69" s="279" t="s">
        <v>477</v>
      </c>
      <c r="E69" s="191">
        <v>8</v>
      </c>
      <c r="F69" s="191">
        <v>23</v>
      </c>
      <c r="G69" s="191">
        <v>3</v>
      </c>
      <c r="H69" s="191" t="s">
        <v>3464</v>
      </c>
      <c r="I69" s="191" t="s">
        <v>1284</v>
      </c>
      <c r="J69" s="191">
        <v>0</v>
      </c>
      <c r="K69" s="228" t="s">
        <v>538</v>
      </c>
    </row>
    <row r="70" spans="1:11" ht="15.75" hidden="1" customHeight="1">
      <c r="A70" s="98" t="s">
        <v>2</v>
      </c>
      <c r="B70" s="191" t="s">
        <v>4015</v>
      </c>
      <c r="C70" s="191" t="s">
        <v>670</v>
      </c>
      <c r="D70" s="191" t="s">
        <v>477</v>
      </c>
      <c r="E70" s="191">
        <v>20</v>
      </c>
      <c r="F70" s="191">
        <v>0</v>
      </c>
      <c r="G70" s="191">
        <v>0</v>
      </c>
      <c r="H70" s="191" t="s">
        <v>3465</v>
      </c>
      <c r="I70" s="191" t="s">
        <v>548</v>
      </c>
      <c r="J70" s="191">
        <v>0</v>
      </c>
      <c r="K70" s="159"/>
    </row>
    <row r="71" spans="1:11" ht="15.75" hidden="1" customHeight="1">
      <c r="A71" s="98" t="s">
        <v>2</v>
      </c>
      <c r="B71" s="191" t="s">
        <v>4015</v>
      </c>
      <c r="C71" s="191" t="s">
        <v>816</v>
      </c>
      <c r="D71" s="191" t="s">
        <v>477</v>
      </c>
      <c r="E71" s="191">
        <v>100</v>
      </c>
      <c r="F71" s="191">
        <v>0</v>
      </c>
      <c r="G71" s="191">
        <v>0</v>
      </c>
      <c r="H71" s="191" t="s">
        <v>3466</v>
      </c>
      <c r="I71" s="191" t="s">
        <v>548</v>
      </c>
      <c r="J71" s="191">
        <v>0</v>
      </c>
      <c r="K71" s="159"/>
    </row>
    <row r="72" spans="1:11" ht="15.75" hidden="1" customHeight="1">
      <c r="A72" s="98" t="s">
        <v>2</v>
      </c>
      <c r="B72" s="191" t="s">
        <v>4015</v>
      </c>
      <c r="C72" s="191" t="s">
        <v>4227</v>
      </c>
      <c r="D72" s="191" t="s">
        <v>477</v>
      </c>
      <c r="E72" s="191">
        <v>20</v>
      </c>
      <c r="F72" s="191">
        <v>0</v>
      </c>
      <c r="G72" s="191">
        <v>0</v>
      </c>
      <c r="H72" s="191" t="s">
        <v>479</v>
      </c>
      <c r="I72" s="191" t="s">
        <v>813</v>
      </c>
      <c r="J72" s="191">
        <v>0</v>
      </c>
      <c r="K72" s="159"/>
    </row>
    <row r="73" spans="1:11" ht="15.75" hidden="1" customHeight="1">
      <c r="A73" s="98" t="s">
        <v>2</v>
      </c>
      <c r="B73" s="191" t="s">
        <v>4015</v>
      </c>
      <c r="C73" s="191" t="s">
        <v>4228</v>
      </c>
      <c r="D73" s="191" t="s">
        <v>477</v>
      </c>
      <c r="E73" s="191">
        <v>2</v>
      </c>
      <c r="F73" s="191">
        <v>0</v>
      </c>
      <c r="G73" s="191">
        <v>0</v>
      </c>
      <c r="H73" s="191" t="s">
        <v>4229</v>
      </c>
      <c r="I73" s="191" t="s">
        <v>4230</v>
      </c>
      <c r="J73" s="191">
        <v>0</v>
      </c>
      <c r="K73" s="159"/>
    </row>
    <row r="74" spans="1:11" ht="15.75" hidden="1" customHeight="1">
      <c r="A74" s="98" t="s">
        <v>2</v>
      </c>
      <c r="B74" s="191" t="s">
        <v>4015</v>
      </c>
      <c r="C74" s="191" t="s">
        <v>4231</v>
      </c>
      <c r="D74" s="191" t="s">
        <v>477</v>
      </c>
      <c r="E74" s="191">
        <v>2</v>
      </c>
      <c r="F74" s="191">
        <v>0</v>
      </c>
      <c r="G74" s="191">
        <v>0</v>
      </c>
      <c r="H74" s="159" t="e">
        <f>ช่อง ของชั้นวางสินค้า</f>
        <v>#NAME?</v>
      </c>
      <c r="I74" s="191" t="s">
        <v>4230</v>
      </c>
      <c r="J74" s="191">
        <v>0</v>
      </c>
      <c r="K74" s="159"/>
    </row>
    <row r="75" spans="1:11" ht="15.75" hidden="1" customHeight="1">
      <c r="A75" s="98" t="s">
        <v>2</v>
      </c>
      <c r="B75" s="191" t="s">
        <v>4015</v>
      </c>
      <c r="C75" s="191" t="s">
        <v>4232</v>
      </c>
      <c r="D75" s="191" t="s">
        <v>477</v>
      </c>
      <c r="E75" s="191">
        <v>2</v>
      </c>
      <c r="F75" s="191">
        <v>0</v>
      </c>
      <c r="G75" s="191">
        <v>0</v>
      </c>
      <c r="H75" s="159" t="e">
        <f>ลำดับชั้น ของชั้นวางสินค้า</f>
        <v>#NAME?</v>
      </c>
      <c r="I75" s="191" t="s">
        <v>4230</v>
      </c>
      <c r="J75" s="191">
        <v>0</v>
      </c>
      <c r="K75" s="159"/>
    </row>
    <row r="76" spans="1:11" ht="15.75" hidden="1" customHeight="1">
      <c r="A76" s="98" t="s">
        <v>2</v>
      </c>
      <c r="B76" s="191" t="s">
        <v>4018</v>
      </c>
      <c r="C76" s="191" t="s">
        <v>4233</v>
      </c>
      <c r="D76" s="191" t="s">
        <v>484</v>
      </c>
      <c r="E76" s="191">
        <v>4</v>
      </c>
      <c r="F76" s="191">
        <v>10</v>
      </c>
      <c r="G76" s="191">
        <v>0</v>
      </c>
      <c r="H76" s="191" t="s">
        <v>4234</v>
      </c>
      <c r="I76" s="191" t="s">
        <v>479</v>
      </c>
      <c r="J76" s="191">
        <v>0</v>
      </c>
      <c r="K76" s="159"/>
    </row>
    <row r="77" spans="1:11" ht="15.75" hidden="1" customHeight="1">
      <c r="A77" s="98" t="s">
        <v>2</v>
      </c>
      <c r="B77" s="191" t="s">
        <v>4018</v>
      </c>
      <c r="C77" s="191" t="s">
        <v>4235</v>
      </c>
      <c r="D77" s="191" t="s">
        <v>491</v>
      </c>
      <c r="E77" s="191">
        <v>1</v>
      </c>
      <c r="F77" s="191">
        <v>0</v>
      </c>
      <c r="G77" s="191">
        <v>0</v>
      </c>
      <c r="H77" s="191" t="s">
        <v>4236</v>
      </c>
      <c r="I77" s="191" t="s">
        <v>548</v>
      </c>
      <c r="J77" s="191">
        <v>0</v>
      </c>
      <c r="K77" s="159"/>
    </row>
    <row r="78" spans="1:11" ht="15.75" hidden="1" customHeight="1">
      <c r="A78" s="98" t="s">
        <v>2</v>
      </c>
      <c r="B78" s="191" t="s">
        <v>4018</v>
      </c>
      <c r="C78" s="191" t="s">
        <v>4237</v>
      </c>
      <c r="D78" s="191" t="s">
        <v>477</v>
      </c>
      <c r="E78" s="191">
        <v>100</v>
      </c>
      <c r="F78" s="191">
        <v>0</v>
      </c>
      <c r="G78" s="191">
        <v>0</v>
      </c>
      <c r="H78" s="191" t="s">
        <v>4238</v>
      </c>
      <c r="I78" s="191" t="s">
        <v>548</v>
      </c>
      <c r="J78" s="191">
        <v>0</v>
      </c>
      <c r="K78" s="159"/>
    </row>
    <row r="79" spans="1:11" ht="15.75" hidden="1" customHeight="1">
      <c r="A79" s="98" t="s">
        <v>2</v>
      </c>
      <c r="B79" s="191" t="s">
        <v>4018</v>
      </c>
      <c r="C79" s="191" t="s">
        <v>4239</v>
      </c>
      <c r="D79" s="191" t="s">
        <v>477</v>
      </c>
      <c r="E79" s="191">
        <v>3</v>
      </c>
      <c r="F79" s="191">
        <v>0</v>
      </c>
      <c r="G79" s="191">
        <v>0</v>
      </c>
      <c r="H79" s="191" t="s">
        <v>4240</v>
      </c>
      <c r="I79" s="191" t="s">
        <v>596</v>
      </c>
      <c r="J79" s="191">
        <v>0</v>
      </c>
      <c r="K79" s="159"/>
    </row>
    <row r="80" spans="1:11" ht="15.75" hidden="1" customHeight="1">
      <c r="A80" s="98" t="s">
        <v>2</v>
      </c>
      <c r="B80" s="191" t="s">
        <v>4018</v>
      </c>
      <c r="C80" s="191" t="s">
        <v>523</v>
      </c>
      <c r="D80" s="191" t="s">
        <v>477</v>
      </c>
      <c r="E80" s="191">
        <v>8</v>
      </c>
      <c r="F80" s="191">
        <v>0</v>
      </c>
      <c r="G80" s="191">
        <v>0</v>
      </c>
      <c r="H80" s="191" t="s">
        <v>4241</v>
      </c>
      <c r="I80" s="191" t="s">
        <v>548</v>
      </c>
      <c r="J80" s="191">
        <v>0</v>
      </c>
      <c r="K80" s="159"/>
    </row>
    <row r="81" spans="1:11" ht="15.75" hidden="1" customHeight="1">
      <c r="A81" s="98" t="s">
        <v>2</v>
      </c>
      <c r="B81" s="191" t="s">
        <v>4018</v>
      </c>
      <c r="C81" s="191" t="s">
        <v>669</v>
      </c>
      <c r="D81" s="191" t="s">
        <v>496</v>
      </c>
      <c r="E81" s="191">
        <v>4</v>
      </c>
      <c r="F81" s="191">
        <v>16</v>
      </c>
      <c r="G81" s="191">
        <v>0</v>
      </c>
      <c r="H81" s="191" t="s">
        <v>4242</v>
      </c>
      <c r="I81" s="191" t="s">
        <v>548</v>
      </c>
      <c r="J81" s="191">
        <v>0</v>
      </c>
      <c r="K81" s="159"/>
    </row>
    <row r="82" spans="1:11" ht="15.75" hidden="1" customHeight="1">
      <c r="A82" s="98" t="s">
        <v>2</v>
      </c>
      <c r="B82" s="191" t="s">
        <v>4018</v>
      </c>
      <c r="C82" s="191" t="s">
        <v>670</v>
      </c>
      <c r="D82" s="191" t="s">
        <v>477</v>
      </c>
      <c r="E82" s="191">
        <v>8</v>
      </c>
      <c r="F82" s="191">
        <v>0</v>
      </c>
      <c r="G82" s="191">
        <v>0</v>
      </c>
      <c r="H82" s="191" t="s">
        <v>4243</v>
      </c>
      <c r="I82" s="191" t="s">
        <v>548</v>
      </c>
      <c r="J82" s="191">
        <v>0</v>
      </c>
      <c r="K82" s="159"/>
    </row>
    <row r="83" spans="1:11" ht="15.75" hidden="1" customHeight="1">
      <c r="A83" s="98" t="s">
        <v>2</v>
      </c>
      <c r="B83" s="191" t="s">
        <v>4018</v>
      </c>
      <c r="C83" s="191" t="s">
        <v>215</v>
      </c>
      <c r="D83" s="191" t="s">
        <v>496</v>
      </c>
      <c r="E83" s="191">
        <v>4</v>
      </c>
      <c r="F83" s="191">
        <v>16</v>
      </c>
      <c r="G83" s="191">
        <v>0</v>
      </c>
      <c r="H83" s="191" t="s">
        <v>4244</v>
      </c>
      <c r="I83" s="191" t="s">
        <v>548</v>
      </c>
      <c r="J83" s="191">
        <v>0</v>
      </c>
      <c r="K83" s="159"/>
    </row>
    <row r="84" spans="1:11" ht="15.75" hidden="1" customHeight="1">
      <c r="A84" s="98" t="s">
        <v>2</v>
      </c>
      <c r="B84" s="191" t="s">
        <v>4020</v>
      </c>
      <c r="C84" s="191" t="s">
        <v>11</v>
      </c>
      <c r="D84" s="191" t="s">
        <v>484</v>
      </c>
      <c r="E84" s="191">
        <v>4</v>
      </c>
      <c r="F84" s="191">
        <v>10</v>
      </c>
      <c r="G84" s="191">
        <v>0</v>
      </c>
      <c r="H84" s="191" t="s">
        <v>479</v>
      </c>
      <c r="I84" s="191" t="s">
        <v>479</v>
      </c>
      <c r="J84" s="191">
        <v>0</v>
      </c>
      <c r="K84" s="159"/>
    </row>
    <row r="85" spans="1:11" ht="15.75" hidden="1" customHeight="1">
      <c r="A85" s="98" t="s">
        <v>2</v>
      </c>
      <c r="B85" s="191" t="s">
        <v>4020</v>
      </c>
      <c r="C85" s="191" t="s">
        <v>4245</v>
      </c>
      <c r="D85" s="191" t="s">
        <v>477</v>
      </c>
      <c r="E85" s="191">
        <v>100</v>
      </c>
      <c r="F85" s="191">
        <v>0</v>
      </c>
      <c r="G85" s="191">
        <v>0</v>
      </c>
      <c r="H85" s="191" t="s">
        <v>479</v>
      </c>
      <c r="I85" s="191" t="s">
        <v>479</v>
      </c>
      <c r="J85" s="191">
        <v>0</v>
      </c>
      <c r="K85" s="159"/>
    </row>
    <row r="86" spans="1:11" ht="15.75" hidden="1" customHeight="1">
      <c r="A86" s="98" t="s">
        <v>2</v>
      </c>
      <c r="B86" s="191" t="s">
        <v>4020</v>
      </c>
      <c r="C86" s="191" t="s">
        <v>4246</v>
      </c>
      <c r="D86" s="191" t="s">
        <v>477</v>
      </c>
      <c r="E86" s="191">
        <v>50</v>
      </c>
      <c r="F86" s="191">
        <v>0</v>
      </c>
      <c r="G86" s="191">
        <v>0</v>
      </c>
      <c r="H86" s="191" t="s">
        <v>479</v>
      </c>
      <c r="I86" s="191" t="s">
        <v>479</v>
      </c>
      <c r="J86" s="191">
        <v>0</v>
      </c>
      <c r="K86" s="159"/>
    </row>
    <row r="87" spans="1:11" ht="15.75" hidden="1" customHeight="1">
      <c r="A87" s="98" t="s">
        <v>2</v>
      </c>
      <c r="B87" s="191" t="s">
        <v>4020</v>
      </c>
      <c r="C87" s="191" t="s">
        <v>1611</v>
      </c>
      <c r="D87" s="191" t="s">
        <v>491</v>
      </c>
      <c r="E87" s="191">
        <v>1</v>
      </c>
      <c r="F87" s="191">
        <v>0</v>
      </c>
      <c r="G87" s="191">
        <v>0</v>
      </c>
      <c r="H87" s="191" t="s">
        <v>479</v>
      </c>
      <c r="I87" s="191" t="s">
        <v>479</v>
      </c>
      <c r="J87" s="191">
        <v>0</v>
      </c>
      <c r="K87" s="159"/>
    </row>
    <row r="88" spans="1:11" ht="15.75" hidden="1" customHeight="1">
      <c r="A88" s="98" t="s">
        <v>2</v>
      </c>
      <c r="B88" s="191" t="s">
        <v>4020</v>
      </c>
      <c r="C88" s="191" t="s">
        <v>4247</v>
      </c>
      <c r="D88" s="191" t="s">
        <v>481</v>
      </c>
      <c r="E88" s="191">
        <v>5</v>
      </c>
      <c r="F88" s="191">
        <v>9</v>
      </c>
      <c r="G88" s="191">
        <v>2</v>
      </c>
      <c r="H88" s="191" t="s">
        <v>479</v>
      </c>
      <c r="I88" s="191" t="s">
        <v>479</v>
      </c>
      <c r="J88" s="191">
        <v>0</v>
      </c>
      <c r="K88" s="159"/>
    </row>
    <row r="89" spans="1:11" ht="15.75" hidden="1" customHeight="1">
      <c r="A89" s="98" t="s">
        <v>2</v>
      </c>
      <c r="B89" s="191" t="s">
        <v>4020</v>
      </c>
      <c r="C89" s="191" t="s">
        <v>3271</v>
      </c>
      <c r="D89" s="191" t="s">
        <v>481</v>
      </c>
      <c r="E89" s="191">
        <v>5</v>
      </c>
      <c r="F89" s="191">
        <v>9</v>
      </c>
      <c r="G89" s="191">
        <v>2</v>
      </c>
      <c r="H89" s="191" t="s">
        <v>479</v>
      </c>
      <c r="I89" s="191" t="s">
        <v>479</v>
      </c>
      <c r="J89" s="191">
        <v>0</v>
      </c>
      <c r="K89" s="159"/>
    </row>
    <row r="90" spans="1:11" ht="15.75" hidden="1" customHeight="1">
      <c r="A90" s="98" t="s">
        <v>2</v>
      </c>
      <c r="B90" s="191" t="s">
        <v>4020</v>
      </c>
      <c r="C90" s="191" t="s">
        <v>3273</v>
      </c>
      <c r="D90" s="191" t="s">
        <v>481</v>
      </c>
      <c r="E90" s="191">
        <v>5</v>
      </c>
      <c r="F90" s="191">
        <v>9</v>
      </c>
      <c r="G90" s="191">
        <v>2</v>
      </c>
      <c r="H90" s="191" t="s">
        <v>479</v>
      </c>
      <c r="I90" s="191" t="s">
        <v>479</v>
      </c>
      <c r="J90" s="191">
        <v>0</v>
      </c>
      <c r="K90" s="159"/>
    </row>
    <row r="91" spans="1:11" ht="15.75" hidden="1" customHeight="1">
      <c r="A91" s="98" t="s">
        <v>2</v>
      </c>
      <c r="B91" s="191" t="s">
        <v>4020</v>
      </c>
      <c r="C91" s="191" t="s">
        <v>3275</v>
      </c>
      <c r="D91" s="191" t="s">
        <v>481</v>
      </c>
      <c r="E91" s="191">
        <v>5</v>
      </c>
      <c r="F91" s="191">
        <v>9</v>
      </c>
      <c r="G91" s="191">
        <v>2</v>
      </c>
      <c r="H91" s="191" t="s">
        <v>479</v>
      </c>
      <c r="I91" s="191" t="s">
        <v>479</v>
      </c>
      <c r="J91" s="191">
        <v>0</v>
      </c>
      <c r="K91" s="159"/>
    </row>
    <row r="92" spans="1:11" ht="15.75" hidden="1" customHeight="1">
      <c r="A92" s="98" t="s">
        <v>2</v>
      </c>
      <c r="B92" s="191" t="s">
        <v>4020</v>
      </c>
      <c r="C92" s="191" t="s">
        <v>4248</v>
      </c>
      <c r="D92" s="191" t="s">
        <v>477</v>
      </c>
      <c r="E92" s="191">
        <v>20</v>
      </c>
      <c r="F92" s="191">
        <v>0</v>
      </c>
      <c r="G92" s="191">
        <v>0</v>
      </c>
      <c r="H92" s="191" t="s">
        <v>479</v>
      </c>
      <c r="I92" s="191" t="s">
        <v>479</v>
      </c>
      <c r="J92" s="191">
        <v>0</v>
      </c>
      <c r="K92" s="159"/>
    </row>
    <row r="93" spans="1:11" ht="15.75" hidden="1" customHeight="1">
      <c r="A93" s="98" t="s">
        <v>2</v>
      </c>
      <c r="B93" s="191" t="s">
        <v>4020</v>
      </c>
      <c r="C93" s="191" t="s">
        <v>4249</v>
      </c>
      <c r="D93" s="191" t="s">
        <v>477</v>
      </c>
      <c r="E93" s="191">
        <v>3</v>
      </c>
      <c r="F93" s="191">
        <v>0</v>
      </c>
      <c r="G93" s="191">
        <v>0</v>
      </c>
      <c r="H93" s="191" t="s">
        <v>479</v>
      </c>
      <c r="I93" s="191" t="s">
        <v>479</v>
      </c>
      <c r="J93" s="191">
        <v>0</v>
      </c>
      <c r="K93" s="159"/>
    </row>
    <row r="94" spans="1:11" ht="15.75" hidden="1" customHeight="1">
      <c r="A94" s="98" t="s">
        <v>2</v>
      </c>
      <c r="B94" s="191" t="s">
        <v>4020</v>
      </c>
      <c r="C94" s="191" t="s">
        <v>2595</v>
      </c>
      <c r="D94" s="191" t="s">
        <v>477</v>
      </c>
      <c r="E94" s="191">
        <v>3</v>
      </c>
      <c r="F94" s="191">
        <v>0</v>
      </c>
      <c r="G94" s="191">
        <v>0</v>
      </c>
      <c r="H94" s="191" t="s">
        <v>479</v>
      </c>
      <c r="I94" s="191" t="s">
        <v>479</v>
      </c>
      <c r="J94" s="191">
        <v>0</v>
      </c>
      <c r="K94" s="159"/>
    </row>
    <row r="95" spans="1:11" ht="15.75" hidden="1" customHeight="1">
      <c r="A95" s="98" t="s">
        <v>2</v>
      </c>
      <c r="B95" s="191" t="s">
        <v>4033</v>
      </c>
      <c r="C95" s="191" t="s">
        <v>4250</v>
      </c>
      <c r="D95" s="191" t="s">
        <v>477</v>
      </c>
      <c r="E95" s="191">
        <v>6</v>
      </c>
      <c r="F95" s="191">
        <v>0</v>
      </c>
      <c r="G95" s="191">
        <v>0</v>
      </c>
      <c r="H95" s="191" t="s">
        <v>479</v>
      </c>
      <c r="I95" s="191" t="s">
        <v>479</v>
      </c>
      <c r="J95" s="191">
        <v>0</v>
      </c>
      <c r="K95" s="159"/>
    </row>
    <row r="96" spans="1:11" ht="15.75" hidden="1" customHeight="1">
      <c r="A96" s="98" t="s">
        <v>2</v>
      </c>
      <c r="B96" s="191" t="s">
        <v>4033</v>
      </c>
      <c r="C96" s="191" t="s">
        <v>371</v>
      </c>
      <c r="D96" s="191" t="s">
        <v>477</v>
      </c>
      <c r="E96" s="191">
        <v>20</v>
      </c>
      <c r="F96" s="191">
        <v>0</v>
      </c>
      <c r="G96" s="191">
        <v>0</v>
      </c>
      <c r="H96" s="191" t="s">
        <v>479</v>
      </c>
      <c r="I96" s="191" t="s">
        <v>479</v>
      </c>
      <c r="J96" s="191">
        <v>0</v>
      </c>
      <c r="K96" s="159"/>
    </row>
    <row r="97" spans="1:11" ht="15.75" hidden="1" customHeight="1">
      <c r="A97" s="98" t="s">
        <v>2</v>
      </c>
      <c r="B97" s="191" t="s">
        <v>4033</v>
      </c>
      <c r="C97" s="191" t="s">
        <v>4251</v>
      </c>
      <c r="D97" s="191" t="s">
        <v>477</v>
      </c>
      <c r="E97" s="191">
        <v>255</v>
      </c>
      <c r="F97" s="191">
        <v>0</v>
      </c>
      <c r="G97" s="191">
        <v>0</v>
      </c>
      <c r="H97" s="191" t="s">
        <v>479</v>
      </c>
      <c r="I97" s="191" t="s">
        <v>479</v>
      </c>
      <c r="J97" s="191">
        <v>0</v>
      </c>
      <c r="K97" s="159"/>
    </row>
    <row r="98" spans="1:11" ht="15.75" hidden="1" customHeight="1">
      <c r="A98" s="98" t="s">
        <v>2</v>
      </c>
      <c r="B98" s="191" t="s">
        <v>4035</v>
      </c>
      <c r="C98" s="191" t="s">
        <v>164</v>
      </c>
      <c r="D98" s="191" t="s">
        <v>477</v>
      </c>
      <c r="E98" s="191">
        <v>20</v>
      </c>
      <c r="F98" s="191">
        <v>0</v>
      </c>
      <c r="G98" s="191">
        <v>0</v>
      </c>
      <c r="H98" s="191" t="s">
        <v>479</v>
      </c>
      <c r="I98" s="191" t="s">
        <v>479</v>
      </c>
      <c r="J98" s="191">
        <v>1</v>
      </c>
      <c r="K98" s="159"/>
    </row>
    <row r="99" spans="1:11" ht="15.75" hidden="1" customHeight="1">
      <c r="A99" s="98" t="s">
        <v>2</v>
      </c>
      <c r="B99" s="191" t="s">
        <v>4035</v>
      </c>
      <c r="C99" s="191" t="s">
        <v>335</v>
      </c>
      <c r="D99" s="191" t="s">
        <v>477</v>
      </c>
      <c r="E99" s="191">
        <v>7</v>
      </c>
      <c r="F99" s="191">
        <v>0</v>
      </c>
      <c r="G99" s="191">
        <v>0</v>
      </c>
      <c r="H99" s="191" t="s">
        <v>479</v>
      </c>
      <c r="I99" s="191" t="s">
        <v>548</v>
      </c>
      <c r="J99" s="191">
        <v>0</v>
      </c>
      <c r="K99" s="159"/>
    </row>
    <row r="100" spans="1:11" ht="15.75" hidden="1" customHeight="1">
      <c r="A100" s="98" t="s">
        <v>2</v>
      </c>
      <c r="B100" s="191" t="s">
        <v>4035</v>
      </c>
      <c r="C100" s="191" t="s">
        <v>2321</v>
      </c>
      <c r="D100" s="191" t="s">
        <v>477</v>
      </c>
      <c r="E100" s="191">
        <v>55</v>
      </c>
      <c r="F100" s="191">
        <v>0</v>
      </c>
      <c r="G100" s="191">
        <v>0</v>
      </c>
      <c r="H100" s="191" t="s">
        <v>479</v>
      </c>
      <c r="I100" s="191" t="s">
        <v>479</v>
      </c>
      <c r="J100" s="191">
        <v>1</v>
      </c>
      <c r="K100" s="159"/>
    </row>
    <row r="101" spans="1:11" ht="15.75" hidden="1" customHeight="1">
      <c r="A101" s="98" t="s">
        <v>2</v>
      </c>
      <c r="B101" s="133" t="s">
        <v>4036</v>
      </c>
      <c r="C101" s="191" t="s">
        <v>4252</v>
      </c>
      <c r="D101" s="191" t="s">
        <v>477</v>
      </c>
      <c r="E101" s="191">
        <v>7</v>
      </c>
      <c r="F101" s="191">
        <v>0</v>
      </c>
      <c r="G101" s="191">
        <v>0</v>
      </c>
      <c r="H101" s="191" t="s">
        <v>1130</v>
      </c>
      <c r="I101" s="191" t="s">
        <v>548</v>
      </c>
      <c r="J101" s="191">
        <v>0</v>
      </c>
      <c r="K101" s="159"/>
    </row>
    <row r="102" spans="1:11" ht="15.75" hidden="1" customHeight="1">
      <c r="A102" s="98" t="s">
        <v>2</v>
      </c>
      <c r="B102" s="133" t="s">
        <v>4036</v>
      </c>
      <c r="C102" s="191" t="s">
        <v>4253</v>
      </c>
      <c r="D102" s="191" t="s">
        <v>477</v>
      </c>
      <c r="E102" s="191">
        <v>10</v>
      </c>
      <c r="F102" s="191">
        <v>0</v>
      </c>
      <c r="G102" s="191">
        <v>0</v>
      </c>
      <c r="H102" s="191" t="s">
        <v>4254</v>
      </c>
      <c r="I102" s="191" t="s">
        <v>548</v>
      </c>
      <c r="J102" s="191">
        <v>0</v>
      </c>
      <c r="K102" s="159"/>
    </row>
    <row r="103" spans="1:11" ht="15.75" hidden="1" customHeight="1">
      <c r="A103" s="98" t="s">
        <v>2</v>
      </c>
      <c r="B103" s="133" t="s">
        <v>4036</v>
      </c>
      <c r="C103" s="191" t="s">
        <v>4255</v>
      </c>
      <c r="D103" s="191" t="s">
        <v>477</v>
      </c>
      <c r="E103" s="191">
        <v>55</v>
      </c>
      <c r="F103" s="191">
        <v>0</v>
      </c>
      <c r="G103" s="191">
        <v>0</v>
      </c>
      <c r="H103" s="191" t="s">
        <v>3180</v>
      </c>
      <c r="I103" s="191" t="s">
        <v>548</v>
      </c>
      <c r="J103" s="191">
        <v>0</v>
      </c>
      <c r="K103" s="159"/>
    </row>
    <row r="104" spans="1:11" ht="15.75" hidden="1" customHeight="1">
      <c r="A104" s="98" t="s">
        <v>2</v>
      </c>
      <c r="B104" s="133" t="s">
        <v>4036</v>
      </c>
      <c r="C104" s="191" t="s">
        <v>4256</v>
      </c>
      <c r="D104" s="191" t="s">
        <v>477</v>
      </c>
      <c r="E104" s="191">
        <v>20</v>
      </c>
      <c r="F104" s="191">
        <v>0</v>
      </c>
      <c r="G104" s="191">
        <v>0</v>
      </c>
      <c r="H104" s="191" t="s">
        <v>3178</v>
      </c>
      <c r="I104" s="191" t="s">
        <v>548</v>
      </c>
      <c r="J104" s="191">
        <v>0</v>
      </c>
      <c r="K104" s="159"/>
    </row>
    <row r="105" spans="1:11" ht="15.75" hidden="1" customHeight="1">
      <c r="A105" s="98" t="s">
        <v>2</v>
      </c>
      <c r="B105" s="133" t="s">
        <v>4036</v>
      </c>
      <c r="C105" s="191" t="s">
        <v>4257</v>
      </c>
      <c r="D105" s="191" t="s">
        <v>477</v>
      </c>
      <c r="E105" s="191">
        <v>20</v>
      </c>
      <c r="F105" s="191">
        <v>0</v>
      </c>
      <c r="G105" s="191">
        <v>0</v>
      </c>
      <c r="H105" s="191" t="s">
        <v>4258</v>
      </c>
      <c r="I105" s="191" t="s">
        <v>548</v>
      </c>
      <c r="J105" s="191">
        <v>0</v>
      </c>
      <c r="K105" s="159"/>
    </row>
    <row r="106" spans="1:11" ht="15.75" hidden="1" customHeight="1">
      <c r="A106" s="98" t="s">
        <v>2</v>
      </c>
      <c r="B106" s="133" t="s">
        <v>4036</v>
      </c>
      <c r="C106" s="191" t="s">
        <v>2415</v>
      </c>
      <c r="D106" s="191" t="s">
        <v>484</v>
      </c>
      <c r="E106" s="191">
        <v>4</v>
      </c>
      <c r="F106" s="191">
        <v>10</v>
      </c>
      <c r="G106" s="191">
        <v>0</v>
      </c>
      <c r="H106" s="191" t="s">
        <v>4259</v>
      </c>
      <c r="I106" s="191" t="s">
        <v>615</v>
      </c>
      <c r="J106" s="191">
        <v>0</v>
      </c>
      <c r="K106" s="159"/>
    </row>
    <row r="107" spans="1:11" ht="15.75" hidden="1" customHeight="1">
      <c r="A107" s="98" t="s">
        <v>2</v>
      </c>
      <c r="B107" s="133" t="s">
        <v>4036</v>
      </c>
      <c r="C107" s="191" t="s">
        <v>669</v>
      </c>
      <c r="D107" s="191" t="s">
        <v>496</v>
      </c>
      <c r="E107" s="191">
        <v>4</v>
      </c>
      <c r="F107" s="191">
        <v>16</v>
      </c>
      <c r="G107" s="191">
        <v>0</v>
      </c>
      <c r="H107" s="191" t="s">
        <v>4260</v>
      </c>
      <c r="I107" s="191" t="s">
        <v>548</v>
      </c>
      <c r="J107" s="191">
        <v>0</v>
      </c>
      <c r="K107" s="159"/>
    </row>
    <row r="108" spans="1:11" ht="15.75" hidden="1" customHeight="1">
      <c r="A108" s="98" t="s">
        <v>2</v>
      </c>
      <c r="B108" s="133" t="s">
        <v>4036</v>
      </c>
      <c r="C108" s="191" t="s">
        <v>523</v>
      </c>
      <c r="D108" s="191" t="s">
        <v>477</v>
      </c>
      <c r="E108" s="191">
        <v>7</v>
      </c>
      <c r="F108" s="191">
        <v>0</v>
      </c>
      <c r="G108" s="191">
        <v>0</v>
      </c>
      <c r="H108" s="191" t="s">
        <v>1733</v>
      </c>
      <c r="I108" s="191" t="s">
        <v>548</v>
      </c>
      <c r="J108" s="191">
        <v>0</v>
      </c>
      <c r="K108" s="159"/>
    </row>
    <row r="109" spans="1:11" ht="15.75" hidden="1" customHeight="1">
      <c r="A109" s="98" t="s">
        <v>2</v>
      </c>
      <c r="B109" s="133" t="s">
        <v>4036</v>
      </c>
      <c r="C109" s="191" t="s">
        <v>215</v>
      </c>
      <c r="D109" s="191" t="s">
        <v>496</v>
      </c>
      <c r="E109" s="191">
        <v>4</v>
      </c>
      <c r="F109" s="191">
        <v>16</v>
      </c>
      <c r="G109" s="191">
        <v>0</v>
      </c>
      <c r="H109" s="191" t="s">
        <v>4261</v>
      </c>
      <c r="I109" s="191" t="s">
        <v>548</v>
      </c>
      <c r="J109" s="191">
        <v>0</v>
      </c>
      <c r="K109" s="159"/>
    </row>
    <row r="110" spans="1:11" ht="15.75" hidden="1" customHeight="1">
      <c r="A110" s="98" t="s">
        <v>2</v>
      </c>
      <c r="B110" s="133" t="s">
        <v>4036</v>
      </c>
      <c r="C110" s="191" t="s">
        <v>670</v>
      </c>
      <c r="D110" s="191" t="s">
        <v>477</v>
      </c>
      <c r="E110" s="191">
        <v>7</v>
      </c>
      <c r="F110" s="191">
        <v>0</v>
      </c>
      <c r="G110" s="191">
        <v>0</v>
      </c>
      <c r="H110" s="191" t="s">
        <v>4262</v>
      </c>
      <c r="I110" s="191" t="s">
        <v>548</v>
      </c>
      <c r="J110" s="191">
        <v>0</v>
      </c>
      <c r="K110" s="159"/>
    </row>
    <row r="111" spans="1:11" ht="15.75" hidden="1" customHeight="1">
      <c r="A111" s="98" t="s">
        <v>2</v>
      </c>
      <c r="B111" s="133" t="s">
        <v>4036</v>
      </c>
      <c r="C111" s="191" t="s">
        <v>811</v>
      </c>
      <c r="D111" s="191" t="s">
        <v>477</v>
      </c>
      <c r="E111" s="191">
        <v>10</v>
      </c>
      <c r="F111" s="191">
        <v>0</v>
      </c>
      <c r="G111" s="191">
        <v>0</v>
      </c>
      <c r="H111" s="191" t="s">
        <v>4263</v>
      </c>
      <c r="I111" s="191" t="s">
        <v>813</v>
      </c>
      <c r="J111" s="191">
        <v>0</v>
      </c>
      <c r="K111" s="159"/>
    </row>
    <row r="112" spans="1:11" ht="15.75" hidden="1" customHeight="1">
      <c r="A112" s="98" t="s">
        <v>2</v>
      </c>
      <c r="B112" s="191" t="s">
        <v>4039</v>
      </c>
      <c r="C112" s="191" t="s">
        <v>1133</v>
      </c>
      <c r="D112" s="191" t="s">
        <v>477</v>
      </c>
      <c r="E112" s="191">
        <v>20</v>
      </c>
      <c r="F112" s="191">
        <v>0</v>
      </c>
      <c r="G112" s="191">
        <v>0</v>
      </c>
      <c r="H112" s="191" t="s">
        <v>4215</v>
      </c>
      <c r="I112" s="191" t="s">
        <v>479</v>
      </c>
      <c r="J112" s="191">
        <v>0</v>
      </c>
      <c r="K112" s="159"/>
    </row>
    <row r="113" spans="1:11" ht="15.75" hidden="1" customHeight="1">
      <c r="A113" s="98" t="s">
        <v>2</v>
      </c>
      <c r="B113" s="191" t="s">
        <v>4039</v>
      </c>
      <c r="C113" s="191" t="s">
        <v>257</v>
      </c>
      <c r="D113" s="191" t="s">
        <v>477</v>
      </c>
      <c r="E113" s="191">
        <v>20</v>
      </c>
      <c r="F113" s="191">
        <v>0</v>
      </c>
      <c r="G113" s="191">
        <v>0</v>
      </c>
      <c r="H113" s="191" t="s">
        <v>1130</v>
      </c>
      <c r="I113" s="191" t="s">
        <v>479</v>
      </c>
      <c r="J113" s="191">
        <v>0</v>
      </c>
      <c r="K113" s="159"/>
    </row>
    <row r="114" spans="1:11" ht="15.75" hidden="1" customHeight="1">
      <c r="A114" s="98" t="s">
        <v>2</v>
      </c>
      <c r="B114" s="191" t="s">
        <v>4039</v>
      </c>
      <c r="C114" s="191" t="s">
        <v>369</v>
      </c>
      <c r="D114" s="191" t="s">
        <v>477</v>
      </c>
      <c r="E114" s="191">
        <v>20</v>
      </c>
      <c r="F114" s="191">
        <v>0</v>
      </c>
      <c r="G114" s="191">
        <v>0</v>
      </c>
      <c r="H114" s="191" t="s">
        <v>1264</v>
      </c>
      <c r="I114" s="191" t="s">
        <v>479</v>
      </c>
      <c r="J114" s="191">
        <v>0</v>
      </c>
      <c r="K114" s="159"/>
    </row>
    <row r="115" spans="1:11" ht="15.75" hidden="1" customHeight="1">
      <c r="A115" s="98" t="s">
        <v>2</v>
      </c>
      <c r="B115" s="191" t="s">
        <v>4039</v>
      </c>
      <c r="C115" s="191" t="s">
        <v>2290</v>
      </c>
      <c r="D115" s="191" t="s">
        <v>477</v>
      </c>
      <c r="E115" s="191">
        <v>100</v>
      </c>
      <c r="F115" s="191">
        <v>0</v>
      </c>
      <c r="G115" s="191">
        <v>0</v>
      </c>
      <c r="H115" s="191" t="s">
        <v>2864</v>
      </c>
      <c r="I115" s="191" t="s">
        <v>479</v>
      </c>
      <c r="J115" s="191">
        <v>0</v>
      </c>
      <c r="K115" s="159"/>
    </row>
    <row r="116" spans="1:11" ht="15.75" hidden="1" customHeight="1">
      <c r="A116" s="98" t="s">
        <v>2</v>
      </c>
      <c r="B116" s="191" t="s">
        <v>4039</v>
      </c>
      <c r="C116" s="191" t="s">
        <v>793</v>
      </c>
      <c r="D116" s="191" t="s">
        <v>477</v>
      </c>
      <c r="E116" s="191">
        <v>20</v>
      </c>
      <c r="F116" s="191">
        <v>0</v>
      </c>
      <c r="G116" s="191">
        <v>0</v>
      </c>
      <c r="H116" s="191" t="s">
        <v>4264</v>
      </c>
      <c r="I116" s="191" t="s">
        <v>479</v>
      </c>
      <c r="J116" s="191">
        <v>0</v>
      </c>
      <c r="K116" s="159"/>
    </row>
    <row r="117" spans="1:11" ht="15.75" hidden="1" customHeight="1">
      <c r="A117" s="98" t="s">
        <v>2</v>
      </c>
      <c r="B117" s="191" t="s">
        <v>4039</v>
      </c>
      <c r="C117" s="191" t="s">
        <v>3438</v>
      </c>
      <c r="D117" s="191" t="s">
        <v>477</v>
      </c>
      <c r="E117" s="191">
        <v>100</v>
      </c>
      <c r="F117" s="191">
        <v>0</v>
      </c>
      <c r="G117" s="191">
        <v>0</v>
      </c>
      <c r="H117" s="191" t="s">
        <v>3439</v>
      </c>
      <c r="I117" s="191" t="s">
        <v>479</v>
      </c>
      <c r="J117" s="191">
        <v>0</v>
      </c>
      <c r="K117" s="159"/>
    </row>
    <row r="118" spans="1:11" ht="15.75" hidden="1" customHeight="1">
      <c r="A118" s="98" t="s">
        <v>2</v>
      </c>
      <c r="B118" s="191" t="s">
        <v>4039</v>
      </c>
      <c r="C118" s="191" t="s">
        <v>3441</v>
      </c>
      <c r="D118" s="191" t="s">
        <v>477</v>
      </c>
      <c r="E118" s="191">
        <v>100</v>
      </c>
      <c r="F118" s="191">
        <v>0</v>
      </c>
      <c r="G118" s="191">
        <v>0</v>
      </c>
      <c r="H118" s="191" t="s">
        <v>1132</v>
      </c>
      <c r="I118" s="191" t="s">
        <v>479</v>
      </c>
      <c r="J118" s="191">
        <v>0</v>
      </c>
      <c r="K118" s="159"/>
    </row>
    <row r="119" spans="1:11" ht="15.75" hidden="1" customHeight="1">
      <c r="A119" s="98" t="s">
        <v>2</v>
      </c>
      <c r="B119" s="191" t="s">
        <v>4039</v>
      </c>
      <c r="C119" s="191" t="s">
        <v>1141</v>
      </c>
      <c r="D119" s="191" t="s">
        <v>477</v>
      </c>
      <c r="E119" s="191">
        <v>20</v>
      </c>
      <c r="F119" s="191">
        <v>0</v>
      </c>
      <c r="G119" s="191">
        <v>0</v>
      </c>
      <c r="H119" s="191" t="s">
        <v>3442</v>
      </c>
      <c r="I119" s="191" t="s">
        <v>479</v>
      </c>
      <c r="J119" s="191">
        <v>0</v>
      </c>
      <c r="K119" s="159"/>
    </row>
    <row r="120" spans="1:11" ht="15.75" hidden="1" customHeight="1">
      <c r="A120" s="98" t="s">
        <v>2</v>
      </c>
      <c r="B120" s="191" t="s">
        <v>4039</v>
      </c>
      <c r="C120" s="191" t="s">
        <v>4265</v>
      </c>
      <c r="D120" s="191" t="s">
        <v>484</v>
      </c>
      <c r="E120" s="191">
        <v>4</v>
      </c>
      <c r="F120" s="191">
        <v>10</v>
      </c>
      <c r="G120" s="191">
        <v>0</v>
      </c>
      <c r="H120" s="191" t="s">
        <v>4266</v>
      </c>
      <c r="I120" s="191" t="s">
        <v>479</v>
      </c>
      <c r="J120" s="191">
        <v>0</v>
      </c>
      <c r="K120" s="159"/>
    </row>
    <row r="121" spans="1:11" ht="15.75" hidden="1" customHeight="1">
      <c r="A121" s="98" t="s">
        <v>2</v>
      </c>
      <c r="B121" s="191" t="s">
        <v>4039</v>
      </c>
      <c r="C121" s="191" t="s">
        <v>4267</v>
      </c>
      <c r="D121" s="191" t="s">
        <v>484</v>
      </c>
      <c r="E121" s="191">
        <v>4</v>
      </c>
      <c r="F121" s="191">
        <v>10</v>
      </c>
      <c r="G121" s="191">
        <v>0</v>
      </c>
      <c r="H121" s="191" t="s">
        <v>4268</v>
      </c>
      <c r="I121" s="191" t="s">
        <v>479</v>
      </c>
      <c r="J121" s="191">
        <v>0</v>
      </c>
      <c r="K121" s="159"/>
    </row>
    <row r="122" spans="1:11" ht="15.75" hidden="1" customHeight="1">
      <c r="A122" s="98" t="s">
        <v>2</v>
      </c>
      <c r="B122" s="191" t="s">
        <v>4039</v>
      </c>
      <c r="C122" s="191" t="s">
        <v>4269</v>
      </c>
      <c r="D122" s="191" t="s">
        <v>484</v>
      </c>
      <c r="E122" s="191">
        <v>4</v>
      </c>
      <c r="F122" s="191">
        <v>10</v>
      </c>
      <c r="G122" s="191">
        <v>0</v>
      </c>
      <c r="H122" s="191" t="s">
        <v>4270</v>
      </c>
      <c r="I122" s="191" t="s">
        <v>479</v>
      </c>
      <c r="J122" s="191">
        <v>0</v>
      </c>
      <c r="K122" s="159"/>
    </row>
    <row r="123" spans="1:11" ht="15.75" hidden="1" customHeight="1">
      <c r="A123" s="98" t="s">
        <v>2</v>
      </c>
      <c r="B123" s="191" t="s">
        <v>4039</v>
      </c>
      <c r="C123" s="191" t="s">
        <v>3459</v>
      </c>
      <c r="D123" s="191" t="s">
        <v>484</v>
      </c>
      <c r="E123" s="191">
        <v>4</v>
      </c>
      <c r="F123" s="191">
        <v>10</v>
      </c>
      <c r="G123" s="191">
        <v>0</v>
      </c>
      <c r="H123" s="191" t="s">
        <v>4271</v>
      </c>
      <c r="I123" s="191" t="s">
        <v>479</v>
      </c>
      <c r="J123" s="191">
        <v>0</v>
      </c>
      <c r="K123" s="159"/>
    </row>
    <row r="124" spans="1:11" ht="15.75" hidden="1" customHeight="1">
      <c r="A124" s="98" t="s">
        <v>2</v>
      </c>
      <c r="B124" s="191" t="s">
        <v>4039</v>
      </c>
      <c r="C124" s="191" t="s">
        <v>3467</v>
      </c>
      <c r="D124" s="191" t="s">
        <v>538</v>
      </c>
      <c r="E124" s="191">
        <v>8</v>
      </c>
      <c r="F124" s="191">
        <v>23</v>
      </c>
      <c r="G124" s="191">
        <v>3</v>
      </c>
      <c r="H124" s="191" t="s">
        <v>4272</v>
      </c>
      <c r="I124" s="191" t="s">
        <v>479</v>
      </c>
      <c r="J124" s="191">
        <v>0</v>
      </c>
      <c r="K124" s="159"/>
    </row>
    <row r="125" spans="1:11" ht="15.75" hidden="1" customHeight="1">
      <c r="A125" s="98" t="s">
        <v>2</v>
      </c>
      <c r="B125" s="191" t="s">
        <v>4039</v>
      </c>
      <c r="C125" s="191" t="s">
        <v>3150</v>
      </c>
      <c r="D125" s="191" t="s">
        <v>538</v>
      </c>
      <c r="E125" s="191">
        <v>8</v>
      </c>
      <c r="F125" s="191">
        <v>23</v>
      </c>
      <c r="G125" s="191">
        <v>3</v>
      </c>
      <c r="H125" s="191" t="s">
        <v>4273</v>
      </c>
      <c r="I125" s="191" t="s">
        <v>479</v>
      </c>
      <c r="J125" s="191">
        <v>0</v>
      </c>
      <c r="K125" s="159"/>
    </row>
    <row r="126" spans="1:11" ht="15.75" hidden="1" customHeight="1">
      <c r="A126" s="98" t="s">
        <v>2</v>
      </c>
      <c r="B126" s="191" t="s">
        <v>4039</v>
      </c>
      <c r="C126" s="191" t="s">
        <v>3164</v>
      </c>
      <c r="D126" s="191" t="s">
        <v>538</v>
      </c>
      <c r="E126" s="191">
        <v>8</v>
      </c>
      <c r="F126" s="191">
        <v>23</v>
      </c>
      <c r="G126" s="191">
        <v>3</v>
      </c>
      <c r="H126" s="191" t="s">
        <v>4274</v>
      </c>
      <c r="I126" s="191" t="s">
        <v>479</v>
      </c>
      <c r="J126" s="191">
        <v>0</v>
      </c>
      <c r="K126" s="159"/>
    </row>
    <row r="127" spans="1:11" ht="15.75" hidden="1" customHeight="1">
      <c r="A127" s="98" t="s">
        <v>2</v>
      </c>
      <c r="B127" s="191" t="s">
        <v>4039</v>
      </c>
      <c r="C127" s="191" t="s">
        <v>3166</v>
      </c>
      <c r="D127" s="191" t="s">
        <v>538</v>
      </c>
      <c r="E127" s="191">
        <v>8</v>
      </c>
      <c r="F127" s="191">
        <v>23</v>
      </c>
      <c r="G127" s="191">
        <v>3</v>
      </c>
      <c r="H127" s="191" t="s">
        <v>4275</v>
      </c>
      <c r="I127" s="191" t="s">
        <v>479</v>
      </c>
      <c r="J127" s="191">
        <v>0</v>
      </c>
      <c r="K127" s="159"/>
    </row>
    <row r="128" spans="1:11" ht="15.75" hidden="1" customHeight="1">
      <c r="A128" s="98" t="s">
        <v>2</v>
      </c>
      <c r="B128" s="191" t="s">
        <v>4039</v>
      </c>
      <c r="C128" s="191" t="s">
        <v>4276</v>
      </c>
      <c r="D128" s="191" t="s">
        <v>538</v>
      </c>
      <c r="E128" s="191">
        <v>8</v>
      </c>
      <c r="F128" s="191">
        <v>23</v>
      </c>
      <c r="G128" s="191">
        <v>3</v>
      </c>
      <c r="H128" s="191" t="s">
        <v>4277</v>
      </c>
      <c r="I128" s="191" t="s">
        <v>479</v>
      </c>
      <c r="J128" s="191">
        <v>0</v>
      </c>
      <c r="K128" s="159"/>
    </row>
    <row r="129" spans="1:11" ht="15.75" hidden="1" customHeight="1">
      <c r="A129" s="98" t="s">
        <v>2</v>
      </c>
      <c r="B129" s="191" t="s">
        <v>4039</v>
      </c>
      <c r="C129" s="191" t="s">
        <v>4278</v>
      </c>
      <c r="D129" s="191" t="s">
        <v>538</v>
      </c>
      <c r="E129" s="191">
        <v>8</v>
      </c>
      <c r="F129" s="191">
        <v>23</v>
      </c>
      <c r="G129" s="191">
        <v>3</v>
      </c>
      <c r="H129" s="191" t="s">
        <v>4279</v>
      </c>
      <c r="I129" s="191" t="s">
        <v>479</v>
      </c>
      <c r="J129" s="191">
        <v>0</v>
      </c>
      <c r="K129" s="159"/>
    </row>
    <row r="130" spans="1:11" ht="15.75" hidden="1" customHeight="1">
      <c r="A130" s="98" t="s">
        <v>2</v>
      </c>
      <c r="B130" s="191" t="s">
        <v>4039</v>
      </c>
      <c r="C130" s="191" t="s">
        <v>4280</v>
      </c>
      <c r="D130" s="191" t="s">
        <v>538</v>
      </c>
      <c r="E130" s="191">
        <v>8</v>
      </c>
      <c r="F130" s="191">
        <v>23</v>
      </c>
      <c r="G130" s="191">
        <v>3</v>
      </c>
      <c r="H130" s="191" t="s">
        <v>4281</v>
      </c>
      <c r="I130" s="191" t="s">
        <v>479</v>
      </c>
      <c r="J130" s="191">
        <v>0</v>
      </c>
      <c r="K130" s="159"/>
    </row>
    <row r="131" spans="1:11" ht="15.75" hidden="1" customHeight="1">
      <c r="A131" s="98" t="s">
        <v>2</v>
      </c>
      <c r="B131" s="191" t="s">
        <v>4039</v>
      </c>
      <c r="C131" s="191" t="s">
        <v>4282</v>
      </c>
      <c r="D131" s="191" t="s">
        <v>538</v>
      </c>
      <c r="E131" s="191">
        <v>8</v>
      </c>
      <c r="F131" s="191">
        <v>23</v>
      </c>
      <c r="G131" s="191">
        <v>3</v>
      </c>
      <c r="H131" s="191" t="s">
        <v>4283</v>
      </c>
      <c r="I131" s="191" t="s">
        <v>479</v>
      </c>
      <c r="J131" s="191">
        <v>0</v>
      </c>
      <c r="K131" s="159"/>
    </row>
    <row r="132" spans="1:11" ht="15.75" hidden="1" customHeight="1">
      <c r="A132" s="98" t="s">
        <v>2</v>
      </c>
      <c r="B132" s="191" t="s">
        <v>4039</v>
      </c>
      <c r="C132" s="191" t="s">
        <v>4216</v>
      </c>
      <c r="D132" s="191" t="s">
        <v>477</v>
      </c>
      <c r="E132" s="191">
        <v>20</v>
      </c>
      <c r="F132" s="191">
        <v>0</v>
      </c>
      <c r="G132" s="191">
        <v>0</v>
      </c>
      <c r="H132" s="191" t="s">
        <v>4284</v>
      </c>
      <c r="I132" s="191" t="s">
        <v>479</v>
      </c>
      <c r="J132" s="191">
        <v>0</v>
      </c>
      <c r="K132" s="159"/>
    </row>
    <row r="133" spans="1:11" ht="15.75" hidden="1" customHeight="1">
      <c r="A133" s="98" t="s">
        <v>2</v>
      </c>
      <c r="B133" s="191" t="s">
        <v>4039</v>
      </c>
      <c r="C133" s="191" t="s">
        <v>4218</v>
      </c>
      <c r="D133" s="191" t="s">
        <v>477</v>
      </c>
      <c r="E133" s="191">
        <v>20</v>
      </c>
      <c r="F133" s="191">
        <v>0</v>
      </c>
      <c r="G133" s="191">
        <v>0</v>
      </c>
      <c r="H133" s="191" t="s">
        <v>4219</v>
      </c>
      <c r="I133" s="191" t="s">
        <v>479</v>
      </c>
      <c r="J133" s="191">
        <v>0</v>
      </c>
      <c r="K133" s="159"/>
    </row>
    <row r="134" spans="1:11" ht="15.75" hidden="1" customHeight="1">
      <c r="A134" s="98" t="s">
        <v>2</v>
      </c>
      <c r="B134" s="191" t="s">
        <v>4039</v>
      </c>
      <c r="C134" s="191" t="s">
        <v>4220</v>
      </c>
      <c r="D134" s="191" t="s">
        <v>477</v>
      </c>
      <c r="E134" s="191">
        <v>20</v>
      </c>
      <c r="F134" s="191">
        <v>0</v>
      </c>
      <c r="G134" s="191">
        <v>0</v>
      </c>
      <c r="H134" s="191" t="s">
        <v>4221</v>
      </c>
      <c r="I134" s="191" t="s">
        <v>479</v>
      </c>
      <c r="J134" s="191">
        <v>0</v>
      </c>
      <c r="K134" s="159"/>
    </row>
    <row r="135" spans="1:11" ht="15.75" hidden="1" customHeight="1">
      <c r="A135" s="98" t="s">
        <v>2</v>
      </c>
      <c r="B135" s="191" t="s">
        <v>4039</v>
      </c>
      <c r="C135" s="191" t="s">
        <v>4210</v>
      </c>
      <c r="D135" s="191" t="s">
        <v>477</v>
      </c>
      <c r="E135" s="191">
        <v>20</v>
      </c>
      <c r="F135" s="191">
        <v>0</v>
      </c>
      <c r="G135" s="191">
        <v>0</v>
      </c>
      <c r="H135" s="191" t="s">
        <v>4222</v>
      </c>
      <c r="I135" s="191" t="s">
        <v>479</v>
      </c>
      <c r="J135" s="191">
        <v>0</v>
      </c>
      <c r="K135" s="159"/>
    </row>
    <row r="136" spans="1:11" ht="15.75" hidden="1" customHeight="1">
      <c r="A136" s="98" t="s">
        <v>2</v>
      </c>
      <c r="B136" s="191" t="s">
        <v>4039</v>
      </c>
      <c r="C136" s="191" t="s">
        <v>4223</v>
      </c>
      <c r="D136" s="191" t="s">
        <v>477</v>
      </c>
      <c r="E136" s="191">
        <v>20</v>
      </c>
      <c r="F136" s="191">
        <v>0</v>
      </c>
      <c r="G136" s="191">
        <v>0</v>
      </c>
      <c r="H136" s="191" t="s">
        <v>4224</v>
      </c>
      <c r="I136" s="191" t="s">
        <v>479</v>
      </c>
      <c r="J136" s="191">
        <v>0</v>
      </c>
      <c r="K136" s="159"/>
    </row>
    <row r="137" spans="1:11" ht="15.75" hidden="1" customHeight="1">
      <c r="A137" s="98" t="s">
        <v>2</v>
      </c>
      <c r="B137" s="191" t="s">
        <v>4039</v>
      </c>
      <c r="C137" s="191" t="s">
        <v>4285</v>
      </c>
      <c r="D137" s="191" t="s">
        <v>484</v>
      </c>
      <c r="E137" s="191">
        <v>4</v>
      </c>
      <c r="F137" s="191">
        <v>10</v>
      </c>
      <c r="G137" s="191">
        <v>0</v>
      </c>
      <c r="H137" s="191" t="s">
        <v>4286</v>
      </c>
      <c r="I137" s="191" t="s">
        <v>479</v>
      </c>
      <c r="J137" s="191">
        <v>0</v>
      </c>
      <c r="K137" s="159"/>
    </row>
    <row r="138" spans="1:11" ht="15.75" hidden="1" customHeight="1">
      <c r="A138" s="98" t="s">
        <v>2</v>
      </c>
      <c r="B138" s="191" t="s">
        <v>4039</v>
      </c>
      <c r="C138" s="191" t="s">
        <v>4287</v>
      </c>
      <c r="D138" s="191" t="s">
        <v>484</v>
      </c>
      <c r="E138" s="191">
        <v>4</v>
      </c>
      <c r="F138" s="191">
        <v>10</v>
      </c>
      <c r="G138" s="191">
        <v>0</v>
      </c>
      <c r="H138" s="191" t="s">
        <v>4288</v>
      </c>
      <c r="I138" s="191" t="s">
        <v>479</v>
      </c>
      <c r="J138" s="191">
        <v>0</v>
      </c>
      <c r="K138" s="159"/>
    </row>
    <row r="139" spans="1:11" ht="15.75" hidden="1" customHeight="1">
      <c r="A139" s="98" t="s">
        <v>2</v>
      </c>
      <c r="B139" s="191" t="s">
        <v>4039</v>
      </c>
      <c r="C139" s="191" t="s">
        <v>4225</v>
      </c>
      <c r="D139" s="191" t="s">
        <v>484</v>
      </c>
      <c r="E139" s="191">
        <v>4</v>
      </c>
      <c r="F139" s="191">
        <v>10</v>
      </c>
      <c r="G139" s="191">
        <v>0</v>
      </c>
      <c r="H139" s="191" t="s">
        <v>4226</v>
      </c>
      <c r="I139" s="191" t="s">
        <v>479</v>
      </c>
      <c r="J139" s="191">
        <v>0</v>
      </c>
      <c r="K139" s="159"/>
    </row>
    <row r="140" spans="1:11" ht="15.75" hidden="1" customHeight="1">
      <c r="A140" s="98" t="s">
        <v>2</v>
      </c>
      <c r="B140" s="191" t="s">
        <v>4039</v>
      </c>
      <c r="C140" s="191" t="s">
        <v>669</v>
      </c>
      <c r="D140" s="191" t="s">
        <v>538</v>
      </c>
      <c r="E140" s="191">
        <v>8</v>
      </c>
      <c r="F140" s="191">
        <v>23</v>
      </c>
      <c r="G140" s="191">
        <v>3</v>
      </c>
      <c r="H140" s="191" t="s">
        <v>735</v>
      </c>
      <c r="I140" s="191" t="s">
        <v>479</v>
      </c>
      <c r="J140" s="191">
        <v>0</v>
      </c>
      <c r="K140" s="159"/>
    </row>
    <row r="141" spans="1:11" ht="15.75" hidden="1" customHeight="1">
      <c r="A141" s="98" t="s">
        <v>2</v>
      </c>
      <c r="B141" s="191" t="s">
        <v>4039</v>
      </c>
      <c r="C141" s="191" t="s">
        <v>523</v>
      </c>
      <c r="D141" s="191" t="s">
        <v>477</v>
      </c>
      <c r="E141" s="191">
        <v>20</v>
      </c>
      <c r="F141" s="191">
        <v>0</v>
      </c>
      <c r="G141" s="191">
        <v>0</v>
      </c>
      <c r="H141" s="191" t="s">
        <v>1282</v>
      </c>
      <c r="I141" s="191" t="s">
        <v>479</v>
      </c>
      <c r="J141" s="191">
        <v>0</v>
      </c>
      <c r="K141" s="159"/>
    </row>
    <row r="142" spans="1:11" ht="15.75" hidden="1" customHeight="1">
      <c r="A142" s="98" t="s">
        <v>2</v>
      </c>
      <c r="B142" s="191" t="s">
        <v>4039</v>
      </c>
      <c r="C142" s="191" t="s">
        <v>814</v>
      </c>
      <c r="D142" s="191" t="s">
        <v>477</v>
      </c>
      <c r="E142" s="191">
        <v>100</v>
      </c>
      <c r="F142" s="191">
        <v>0</v>
      </c>
      <c r="G142" s="191">
        <v>0</v>
      </c>
      <c r="H142" s="191" t="s">
        <v>734</v>
      </c>
      <c r="I142" s="191" t="s">
        <v>479</v>
      </c>
      <c r="J142" s="191">
        <v>0</v>
      </c>
      <c r="K142" s="159"/>
    </row>
    <row r="143" spans="1:11" ht="15.75" hidden="1" customHeight="1">
      <c r="A143" s="98" t="s">
        <v>2</v>
      </c>
      <c r="B143" s="191" t="s">
        <v>4039</v>
      </c>
      <c r="C143" s="191" t="s">
        <v>215</v>
      </c>
      <c r="D143" s="191" t="s">
        <v>538</v>
      </c>
      <c r="E143" s="191">
        <v>8</v>
      </c>
      <c r="F143" s="191">
        <v>23</v>
      </c>
      <c r="G143" s="191">
        <v>3</v>
      </c>
      <c r="H143" s="191" t="s">
        <v>872</v>
      </c>
      <c r="I143" s="191" t="s">
        <v>479</v>
      </c>
      <c r="J143" s="191">
        <v>0</v>
      </c>
      <c r="K143" s="159"/>
    </row>
    <row r="144" spans="1:11" ht="15.75" hidden="1" customHeight="1">
      <c r="A144" s="98" t="s">
        <v>2</v>
      </c>
      <c r="B144" s="191" t="s">
        <v>4039</v>
      </c>
      <c r="C144" s="191" t="s">
        <v>670</v>
      </c>
      <c r="D144" s="191" t="s">
        <v>477</v>
      </c>
      <c r="E144" s="191">
        <v>20</v>
      </c>
      <c r="F144" s="191">
        <v>0</v>
      </c>
      <c r="G144" s="191">
        <v>0</v>
      </c>
      <c r="H144" s="191" t="s">
        <v>4214</v>
      </c>
      <c r="I144" s="191" t="s">
        <v>479</v>
      </c>
      <c r="J144" s="191">
        <v>0</v>
      </c>
      <c r="K144" s="159"/>
    </row>
    <row r="145" spans="1:11" ht="15.75" hidden="1" customHeight="1">
      <c r="A145" s="98" t="s">
        <v>2</v>
      </c>
      <c r="B145" s="191" t="s">
        <v>4039</v>
      </c>
      <c r="C145" s="191" t="s">
        <v>816</v>
      </c>
      <c r="D145" s="191" t="s">
        <v>477</v>
      </c>
      <c r="E145" s="191">
        <v>100</v>
      </c>
      <c r="F145" s="191">
        <v>0</v>
      </c>
      <c r="G145" s="191">
        <v>0</v>
      </c>
      <c r="H145" s="191" t="s">
        <v>4289</v>
      </c>
      <c r="I145" s="191" t="s">
        <v>479</v>
      </c>
      <c r="J145" s="191">
        <v>0</v>
      </c>
      <c r="K145" s="159"/>
    </row>
    <row r="146" spans="1:11" ht="15.75" hidden="1" customHeight="1">
      <c r="A146" s="98" t="s">
        <v>2</v>
      </c>
      <c r="B146" s="191" t="s">
        <v>4039</v>
      </c>
      <c r="C146" s="191" t="s">
        <v>4290</v>
      </c>
      <c r="D146" s="191" t="s">
        <v>538</v>
      </c>
      <c r="E146" s="191">
        <v>8</v>
      </c>
      <c r="F146" s="191">
        <v>23</v>
      </c>
      <c r="G146" s="191">
        <v>3</v>
      </c>
      <c r="H146" s="191" t="s">
        <v>4291</v>
      </c>
      <c r="I146" s="191" t="s">
        <v>1363</v>
      </c>
      <c r="J146" s="191">
        <v>0</v>
      </c>
      <c r="K146" s="159"/>
    </row>
    <row r="147" spans="1:11" ht="15.75" hidden="1" customHeight="1">
      <c r="A147" s="98" t="s">
        <v>2</v>
      </c>
      <c r="B147" s="191" t="s">
        <v>4039</v>
      </c>
      <c r="C147" s="191" t="s">
        <v>4292</v>
      </c>
      <c r="D147" s="191" t="s">
        <v>538</v>
      </c>
      <c r="E147" s="191">
        <v>8</v>
      </c>
      <c r="F147" s="191">
        <v>23</v>
      </c>
      <c r="G147" s="191">
        <v>3</v>
      </c>
      <c r="H147" s="191" t="s">
        <v>4293</v>
      </c>
      <c r="I147" s="191" t="s">
        <v>1363</v>
      </c>
      <c r="J147" s="191">
        <v>0</v>
      </c>
      <c r="K147" s="159"/>
    </row>
    <row r="148" spans="1:11" ht="15.75" hidden="1" customHeight="1">
      <c r="A148" s="98" t="s">
        <v>2</v>
      </c>
      <c r="B148" s="191" t="s">
        <v>4042</v>
      </c>
      <c r="C148" s="191" t="s">
        <v>1133</v>
      </c>
      <c r="D148" s="191" t="s">
        <v>477</v>
      </c>
      <c r="E148" s="191">
        <v>20</v>
      </c>
      <c r="F148" s="191">
        <v>0</v>
      </c>
      <c r="G148" s="191">
        <v>0</v>
      </c>
      <c r="H148" s="191" t="s">
        <v>4215</v>
      </c>
      <c r="I148" s="191" t="s">
        <v>479</v>
      </c>
      <c r="J148" s="191">
        <v>0</v>
      </c>
      <c r="K148" s="159"/>
    </row>
    <row r="149" spans="1:11" ht="15.75" hidden="1" customHeight="1">
      <c r="A149" s="98" t="s">
        <v>2</v>
      </c>
      <c r="B149" s="191" t="s">
        <v>4042</v>
      </c>
      <c r="C149" s="191" t="s">
        <v>4294</v>
      </c>
      <c r="D149" s="191" t="s">
        <v>477</v>
      </c>
      <c r="E149" s="191">
        <v>20</v>
      </c>
      <c r="F149" s="191">
        <v>0</v>
      </c>
      <c r="G149" s="191">
        <v>0</v>
      </c>
      <c r="H149" s="191" t="s">
        <v>4295</v>
      </c>
      <c r="I149" s="191" t="s">
        <v>479</v>
      </c>
      <c r="J149" s="191">
        <v>0</v>
      </c>
      <c r="K149" s="159"/>
    </row>
    <row r="150" spans="1:11" ht="15.75" hidden="1" customHeight="1">
      <c r="A150" s="98" t="s">
        <v>2</v>
      </c>
      <c r="B150" s="191" t="s">
        <v>4042</v>
      </c>
      <c r="C150" s="191" t="s">
        <v>257</v>
      </c>
      <c r="D150" s="191" t="s">
        <v>477</v>
      </c>
      <c r="E150" s="191">
        <v>20</v>
      </c>
      <c r="F150" s="191">
        <v>0</v>
      </c>
      <c r="G150" s="191">
        <v>0</v>
      </c>
      <c r="H150" s="191" t="s">
        <v>1130</v>
      </c>
      <c r="I150" s="191" t="s">
        <v>479</v>
      </c>
      <c r="J150" s="191">
        <v>0</v>
      </c>
      <c r="K150" s="159"/>
    </row>
    <row r="151" spans="1:11" ht="15.75" hidden="1" customHeight="1">
      <c r="A151" s="98" t="s">
        <v>2</v>
      </c>
      <c r="B151" s="191" t="s">
        <v>4042</v>
      </c>
      <c r="C151" s="191" t="s">
        <v>369</v>
      </c>
      <c r="D151" s="191" t="s">
        <v>477</v>
      </c>
      <c r="E151" s="191">
        <v>20</v>
      </c>
      <c r="F151" s="191">
        <v>0</v>
      </c>
      <c r="G151" s="191">
        <v>0</v>
      </c>
      <c r="H151" s="191" t="s">
        <v>1264</v>
      </c>
      <c r="I151" s="191" t="s">
        <v>479</v>
      </c>
      <c r="J151" s="191">
        <v>0</v>
      </c>
      <c r="K151" s="159"/>
    </row>
    <row r="152" spans="1:11" ht="15.75" hidden="1" customHeight="1">
      <c r="A152" s="98" t="s">
        <v>2</v>
      </c>
      <c r="B152" s="191" t="s">
        <v>4042</v>
      </c>
      <c r="C152" s="191" t="s">
        <v>2290</v>
      </c>
      <c r="D152" s="191" t="s">
        <v>477</v>
      </c>
      <c r="E152" s="191">
        <v>100</v>
      </c>
      <c r="F152" s="191">
        <v>0</v>
      </c>
      <c r="G152" s="191">
        <v>0</v>
      </c>
      <c r="H152" s="191" t="s">
        <v>2864</v>
      </c>
      <c r="I152" s="191" t="s">
        <v>479</v>
      </c>
      <c r="J152" s="191">
        <v>0</v>
      </c>
      <c r="K152" s="159"/>
    </row>
    <row r="153" spans="1:11" ht="15.75" hidden="1" customHeight="1">
      <c r="A153" s="98" t="s">
        <v>2</v>
      </c>
      <c r="B153" s="191" t="s">
        <v>4042</v>
      </c>
      <c r="C153" s="191" t="s">
        <v>793</v>
      </c>
      <c r="D153" s="191" t="s">
        <v>477</v>
      </c>
      <c r="E153" s="191">
        <v>20</v>
      </c>
      <c r="F153" s="191">
        <v>0</v>
      </c>
      <c r="G153" s="191">
        <v>0</v>
      </c>
      <c r="H153" s="191" t="s">
        <v>4264</v>
      </c>
      <c r="I153" s="191" t="s">
        <v>479</v>
      </c>
      <c r="J153" s="191">
        <v>0</v>
      </c>
      <c r="K153" s="159"/>
    </row>
    <row r="154" spans="1:11" ht="15.75" hidden="1" customHeight="1">
      <c r="A154" s="98" t="s">
        <v>2</v>
      </c>
      <c r="B154" s="191" t="s">
        <v>4042</v>
      </c>
      <c r="C154" s="191" t="s">
        <v>3438</v>
      </c>
      <c r="D154" s="191" t="s">
        <v>477</v>
      </c>
      <c r="E154" s="191">
        <v>100</v>
      </c>
      <c r="F154" s="191">
        <v>0</v>
      </c>
      <c r="G154" s="191">
        <v>0</v>
      </c>
      <c r="H154" s="191" t="s">
        <v>4296</v>
      </c>
      <c r="I154" s="191" t="s">
        <v>479</v>
      </c>
      <c r="J154" s="191">
        <v>0</v>
      </c>
      <c r="K154" s="159"/>
    </row>
    <row r="155" spans="1:11" ht="15.75" hidden="1" customHeight="1">
      <c r="A155" s="98" t="s">
        <v>2</v>
      </c>
      <c r="B155" s="191" t="s">
        <v>4042</v>
      </c>
      <c r="C155" s="191" t="s">
        <v>3441</v>
      </c>
      <c r="D155" s="191" t="s">
        <v>477</v>
      </c>
      <c r="E155" s="191">
        <v>100</v>
      </c>
      <c r="F155" s="191">
        <v>0</v>
      </c>
      <c r="G155" s="191">
        <v>0</v>
      </c>
      <c r="H155" s="191" t="s">
        <v>1132</v>
      </c>
      <c r="I155" s="191" t="s">
        <v>479</v>
      </c>
      <c r="J155" s="191">
        <v>0</v>
      </c>
      <c r="K155" s="159"/>
    </row>
    <row r="156" spans="1:11" ht="15.75" hidden="1" customHeight="1">
      <c r="A156" s="98" t="s">
        <v>2</v>
      </c>
      <c r="B156" s="191" t="s">
        <v>4042</v>
      </c>
      <c r="C156" s="191" t="s">
        <v>4297</v>
      </c>
      <c r="D156" s="191" t="s">
        <v>484</v>
      </c>
      <c r="E156" s="191">
        <v>4</v>
      </c>
      <c r="F156" s="191">
        <v>10</v>
      </c>
      <c r="G156" s="191">
        <v>0</v>
      </c>
      <c r="H156" s="191" t="s">
        <v>4298</v>
      </c>
      <c r="I156" s="191" t="s">
        <v>479</v>
      </c>
      <c r="J156" s="191">
        <v>0</v>
      </c>
      <c r="K156" s="159"/>
    </row>
    <row r="157" spans="1:11" ht="15.75" hidden="1" customHeight="1">
      <c r="A157" s="98" t="s">
        <v>2</v>
      </c>
      <c r="B157" s="191" t="s">
        <v>4042</v>
      </c>
      <c r="C157" s="191" t="s">
        <v>558</v>
      </c>
      <c r="D157" s="191" t="s">
        <v>538</v>
      </c>
      <c r="E157" s="191">
        <v>8</v>
      </c>
      <c r="F157" s="191">
        <v>23</v>
      </c>
      <c r="G157" s="191">
        <v>3</v>
      </c>
      <c r="H157" s="191" t="s">
        <v>4299</v>
      </c>
      <c r="I157" s="191" t="s">
        <v>479</v>
      </c>
      <c r="J157" s="191">
        <v>0</v>
      </c>
      <c r="K157" s="159"/>
    </row>
    <row r="158" spans="1:11" ht="15.75" hidden="1" customHeight="1">
      <c r="A158" s="98" t="s">
        <v>2</v>
      </c>
      <c r="B158" s="191" t="s">
        <v>4042</v>
      </c>
      <c r="C158" s="191" t="s">
        <v>4300</v>
      </c>
      <c r="D158" s="191" t="s">
        <v>477</v>
      </c>
      <c r="E158" s="191">
        <v>20</v>
      </c>
      <c r="F158" s="191">
        <v>0</v>
      </c>
      <c r="G158" s="191">
        <v>0</v>
      </c>
      <c r="H158" s="191" t="s">
        <v>4301</v>
      </c>
      <c r="I158" s="191" t="s">
        <v>479</v>
      </c>
      <c r="J158" s="191">
        <v>0</v>
      </c>
      <c r="K158" s="159"/>
    </row>
    <row r="159" spans="1:11" ht="15.75" hidden="1" customHeight="1">
      <c r="A159" s="98" t="s">
        <v>2</v>
      </c>
      <c r="B159" s="191" t="s">
        <v>4042</v>
      </c>
      <c r="C159" s="191" t="s">
        <v>669</v>
      </c>
      <c r="D159" s="191" t="s">
        <v>538</v>
      </c>
      <c r="E159" s="191">
        <v>8</v>
      </c>
      <c r="F159" s="191">
        <v>23</v>
      </c>
      <c r="G159" s="191">
        <v>3</v>
      </c>
      <c r="H159" s="191" t="s">
        <v>735</v>
      </c>
      <c r="I159" s="191" t="s">
        <v>479</v>
      </c>
      <c r="J159" s="191">
        <v>0</v>
      </c>
      <c r="K159" s="159"/>
    </row>
    <row r="160" spans="1:11" ht="15.75" hidden="1" customHeight="1">
      <c r="A160" s="98" t="s">
        <v>2</v>
      </c>
      <c r="B160" s="191" t="s">
        <v>4042</v>
      </c>
      <c r="C160" s="191" t="s">
        <v>523</v>
      </c>
      <c r="D160" s="191" t="s">
        <v>477</v>
      </c>
      <c r="E160" s="191">
        <v>20</v>
      </c>
      <c r="F160" s="191">
        <v>0</v>
      </c>
      <c r="G160" s="191">
        <v>0</v>
      </c>
      <c r="H160" s="191" t="s">
        <v>1282</v>
      </c>
      <c r="I160" s="191" t="s">
        <v>479</v>
      </c>
      <c r="J160" s="191">
        <v>0</v>
      </c>
      <c r="K160" s="159"/>
    </row>
    <row r="161" spans="1:11" ht="15.75" hidden="1" customHeight="1">
      <c r="A161" s="98" t="s">
        <v>2</v>
      </c>
      <c r="B161" s="191" t="s">
        <v>4042</v>
      </c>
      <c r="C161" s="191" t="s">
        <v>814</v>
      </c>
      <c r="D161" s="191" t="s">
        <v>477</v>
      </c>
      <c r="E161" s="191">
        <v>100</v>
      </c>
      <c r="F161" s="191">
        <v>0</v>
      </c>
      <c r="G161" s="191">
        <v>0</v>
      </c>
      <c r="H161" s="191" t="s">
        <v>734</v>
      </c>
      <c r="I161" s="191" t="s">
        <v>479</v>
      </c>
      <c r="J161" s="191">
        <v>0</v>
      </c>
      <c r="K161" s="159"/>
    </row>
    <row r="162" spans="1:11" ht="15.75" hidden="1" customHeight="1">
      <c r="A162" s="98" t="s">
        <v>2</v>
      </c>
      <c r="B162" s="191" t="s">
        <v>4042</v>
      </c>
      <c r="C162" s="191" t="s">
        <v>215</v>
      </c>
      <c r="D162" s="191" t="s">
        <v>538</v>
      </c>
      <c r="E162" s="191">
        <v>8</v>
      </c>
      <c r="F162" s="191">
        <v>23</v>
      </c>
      <c r="G162" s="191">
        <v>3</v>
      </c>
      <c r="H162" s="191" t="s">
        <v>872</v>
      </c>
      <c r="I162" s="191" t="s">
        <v>479</v>
      </c>
      <c r="J162" s="191">
        <v>0</v>
      </c>
      <c r="K162" s="159"/>
    </row>
    <row r="163" spans="1:11" ht="15.75" hidden="1" customHeight="1">
      <c r="A163" s="98" t="s">
        <v>2</v>
      </c>
      <c r="B163" s="191" t="s">
        <v>4042</v>
      </c>
      <c r="C163" s="191" t="s">
        <v>670</v>
      </c>
      <c r="D163" s="191" t="s">
        <v>477</v>
      </c>
      <c r="E163" s="191">
        <v>20</v>
      </c>
      <c r="F163" s="191">
        <v>0</v>
      </c>
      <c r="G163" s="191">
        <v>0</v>
      </c>
      <c r="H163" s="191" t="s">
        <v>4214</v>
      </c>
      <c r="I163" s="191" t="s">
        <v>479</v>
      </c>
      <c r="J163" s="191">
        <v>0</v>
      </c>
      <c r="K163" s="159"/>
    </row>
    <row r="164" spans="1:11" ht="15.75" hidden="1" customHeight="1">
      <c r="A164" s="98" t="s">
        <v>2</v>
      </c>
      <c r="B164" s="191" t="s">
        <v>4042</v>
      </c>
      <c r="C164" s="191" t="s">
        <v>816</v>
      </c>
      <c r="D164" s="191" t="s">
        <v>477</v>
      </c>
      <c r="E164" s="191">
        <v>100</v>
      </c>
      <c r="F164" s="191">
        <v>0</v>
      </c>
      <c r="G164" s="191">
        <v>0</v>
      </c>
      <c r="H164" s="191" t="s">
        <v>871</v>
      </c>
      <c r="I164" s="191" t="s">
        <v>479</v>
      </c>
      <c r="J164" s="191">
        <v>0</v>
      </c>
      <c r="K164" s="159"/>
    </row>
    <row r="165" spans="1:11" ht="15.75" hidden="1" customHeight="1">
      <c r="A165" s="98" t="s">
        <v>2</v>
      </c>
      <c r="B165" s="191" t="s">
        <v>4042</v>
      </c>
      <c r="C165" s="191" t="s">
        <v>4302</v>
      </c>
      <c r="D165" s="191" t="s">
        <v>484</v>
      </c>
      <c r="E165" s="191">
        <v>4</v>
      </c>
      <c r="F165" s="191">
        <v>10</v>
      </c>
      <c r="G165" s="191">
        <v>0</v>
      </c>
      <c r="H165" s="191" t="s">
        <v>4303</v>
      </c>
      <c r="I165" s="191" t="s">
        <v>479</v>
      </c>
      <c r="J165" s="191">
        <v>0</v>
      </c>
      <c r="K165" s="159"/>
    </row>
    <row r="166" spans="1:11" ht="15.75" hidden="1" customHeight="1">
      <c r="A166" s="98" t="s">
        <v>2</v>
      </c>
      <c r="B166" s="191" t="s">
        <v>4022</v>
      </c>
      <c r="C166" s="191" t="s">
        <v>4304</v>
      </c>
      <c r="D166" s="191" t="s">
        <v>477</v>
      </c>
      <c r="E166" s="191">
        <v>3</v>
      </c>
      <c r="F166" s="191">
        <v>0</v>
      </c>
      <c r="G166" s="191">
        <v>0</v>
      </c>
      <c r="H166" s="191" t="s">
        <v>4305</v>
      </c>
      <c r="I166" s="191" t="s">
        <v>548</v>
      </c>
      <c r="J166" s="191">
        <v>0</v>
      </c>
      <c r="K166" s="159"/>
    </row>
    <row r="167" spans="1:11" ht="15.75" hidden="1" customHeight="1">
      <c r="A167" s="98" t="s">
        <v>2</v>
      </c>
      <c r="B167" s="191" t="s">
        <v>4022</v>
      </c>
      <c r="C167" s="191" t="s">
        <v>4306</v>
      </c>
      <c r="D167" s="191" t="s">
        <v>477</v>
      </c>
      <c r="E167" s="191">
        <v>20</v>
      </c>
      <c r="F167" s="191">
        <v>0</v>
      </c>
      <c r="G167" s="191">
        <v>0</v>
      </c>
      <c r="H167" s="191" t="s">
        <v>4307</v>
      </c>
      <c r="I167" s="191" t="s">
        <v>548</v>
      </c>
      <c r="J167" s="191">
        <v>0</v>
      </c>
      <c r="K167" s="159"/>
    </row>
    <row r="168" spans="1:11" ht="15.75" hidden="1" customHeight="1">
      <c r="A168" s="98" t="s">
        <v>2</v>
      </c>
      <c r="B168" s="191" t="s">
        <v>4022</v>
      </c>
      <c r="C168" s="191" t="s">
        <v>811</v>
      </c>
      <c r="D168" s="191" t="s">
        <v>477</v>
      </c>
      <c r="E168" s="191">
        <v>8</v>
      </c>
      <c r="F168" s="191">
        <v>0</v>
      </c>
      <c r="G168" s="191">
        <v>0</v>
      </c>
      <c r="H168" s="191" t="s">
        <v>4308</v>
      </c>
      <c r="I168" s="191" t="s">
        <v>813</v>
      </c>
      <c r="J168" s="191">
        <v>0</v>
      </c>
      <c r="K168" s="159"/>
    </row>
    <row r="169" spans="1:11" ht="15.75" hidden="1" customHeight="1">
      <c r="A169" s="98" t="s">
        <v>2</v>
      </c>
      <c r="B169" s="191" t="s">
        <v>4022</v>
      </c>
      <c r="C169" s="191" t="s">
        <v>1729</v>
      </c>
      <c r="D169" s="191" t="s">
        <v>477</v>
      </c>
      <c r="E169" s="191">
        <v>100</v>
      </c>
      <c r="F169" s="191">
        <v>0</v>
      </c>
      <c r="G169" s="191">
        <v>0</v>
      </c>
      <c r="H169" s="191" t="s">
        <v>4309</v>
      </c>
      <c r="I169" s="191" t="s">
        <v>548</v>
      </c>
      <c r="J169" s="191">
        <v>0</v>
      </c>
      <c r="K169" s="159"/>
    </row>
    <row r="170" spans="1:11" ht="15.75" hidden="1" customHeight="1">
      <c r="A170" s="98" t="s">
        <v>2</v>
      </c>
      <c r="B170" s="191" t="s">
        <v>4022</v>
      </c>
      <c r="C170" s="191" t="s">
        <v>4310</v>
      </c>
      <c r="D170" s="191" t="s">
        <v>477</v>
      </c>
      <c r="E170" s="191">
        <v>20</v>
      </c>
      <c r="F170" s="191">
        <v>0</v>
      </c>
      <c r="G170" s="191">
        <v>0</v>
      </c>
      <c r="H170" s="191" t="s">
        <v>4311</v>
      </c>
      <c r="I170" s="191" t="s">
        <v>548</v>
      </c>
      <c r="J170" s="191">
        <v>0</v>
      </c>
      <c r="K170" s="159"/>
    </row>
    <row r="171" spans="1:11" ht="15.75" hidden="1" customHeight="1">
      <c r="A171" s="98" t="s">
        <v>2</v>
      </c>
      <c r="B171" s="191" t="s">
        <v>4022</v>
      </c>
      <c r="C171" s="191" t="s">
        <v>4312</v>
      </c>
      <c r="D171" s="191" t="s">
        <v>477</v>
      </c>
      <c r="E171" s="191">
        <v>10</v>
      </c>
      <c r="F171" s="191">
        <v>0</v>
      </c>
      <c r="G171" s="191">
        <v>0</v>
      </c>
      <c r="H171" s="191" t="s">
        <v>479</v>
      </c>
      <c r="I171" s="191" t="s">
        <v>548</v>
      </c>
      <c r="J171" s="191">
        <v>0</v>
      </c>
      <c r="K171" s="159"/>
    </row>
    <row r="172" spans="1:11" ht="15.75" hidden="1" customHeight="1">
      <c r="A172" s="98" t="s">
        <v>2</v>
      </c>
      <c r="B172" s="191" t="s">
        <v>4022</v>
      </c>
      <c r="C172" s="191" t="s">
        <v>669</v>
      </c>
      <c r="D172" s="191" t="s">
        <v>496</v>
      </c>
      <c r="E172" s="191">
        <v>4</v>
      </c>
      <c r="F172" s="191">
        <v>16</v>
      </c>
      <c r="G172" s="191">
        <v>0</v>
      </c>
      <c r="H172" s="191" t="s">
        <v>4313</v>
      </c>
      <c r="I172" s="191" t="s">
        <v>548</v>
      </c>
      <c r="J172" s="191">
        <v>0</v>
      </c>
      <c r="K172" s="159"/>
    </row>
    <row r="173" spans="1:11" ht="15.75" hidden="1" customHeight="1">
      <c r="A173" s="98" t="s">
        <v>2</v>
      </c>
      <c r="B173" s="191" t="s">
        <v>4022</v>
      </c>
      <c r="C173" s="191" t="s">
        <v>523</v>
      </c>
      <c r="D173" s="191" t="s">
        <v>477</v>
      </c>
      <c r="E173" s="191">
        <v>8</v>
      </c>
      <c r="F173" s="191">
        <v>0</v>
      </c>
      <c r="G173" s="191">
        <v>0</v>
      </c>
      <c r="H173" s="191" t="s">
        <v>4314</v>
      </c>
      <c r="I173" s="191" t="s">
        <v>548</v>
      </c>
      <c r="J173" s="191">
        <v>0</v>
      </c>
      <c r="K173" s="159"/>
    </row>
    <row r="174" spans="1:11" ht="15.75" hidden="1" customHeight="1">
      <c r="A174" s="98" t="s">
        <v>2</v>
      </c>
      <c r="B174" s="191" t="s">
        <v>4022</v>
      </c>
      <c r="C174" s="191" t="s">
        <v>215</v>
      </c>
      <c r="D174" s="191" t="s">
        <v>496</v>
      </c>
      <c r="E174" s="191">
        <v>4</v>
      </c>
      <c r="F174" s="191">
        <v>16</v>
      </c>
      <c r="G174" s="191">
        <v>0</v>
      </c>
      <c r="H174" s="191" t="s">
        <v>4315</v>
      </c>
      <c r="I174" s="191" t="s">
        <v>548</v>
      </c>
      <c r="J174" s="191">
        <v>0</v>
      </c>
      <c r="K174" s="159"/>
    </row>
    <row r="175" spans="1:11" ht="15.75" hidden="1" customHeight="1">
      <c r="A175" s="98" t="s">
        <v>2</v>
      </c>
      <c r="B175" s="191" t="s">
        <v>4022</v>
      </c>
      <c r="C175" s="191" t="s">
        <v>670</v>
      </c>
      <c r="D175" s="191" t="s">
        <v>477</v>
      </c>
      <c r="E175" s="191">
        <v>8</v>
      </c>
      <c r="F175" s="191">
        <v>0</v>
      </c>
      <c r="G175" s="191">
        <v>0</v>
      </c>
      <c r="H175" s="191" t="s">
        <v>4316</v>
      </c>
      <c r="I175" s="191" t="s">
        <v>548</v>
      </c>
      <c r="J175" s="191">
        <v>0</v>
      </c>
      <c r="K175" s="159"/>
    </row>
    <row r="176" spans="1:11" ht="15.75" hidden="1" customHeight="1">
      <c r="A176" s="98" t="s">
        <v>2</v>
      </c>
      <c r="B176" s="191" t="s">
        <v>4024</v>
      </c>
      <c r="C176" s="191" t="s">
        <v>4026</v>
      </c>
      <c r="D176" s="191" t="s">
        <v>484</v>
      </c>
      <c r="E176" s="191">
        <v>4</v>
      </c>
      <c r="F176" s="191">
        <v>10</v>
      </c>
      <c r="G176" s="191">
        <v>0</v>
      </c>
      <c r="H176" s="191" t="s">
        <v>479</v>
      </c>
      <c r="I176" s="191" t="s">
        <v>479</v>
      </c>
      <c r="J176" s="191">
        <v>0</v>
      </c>
      <c r="K176" s="159"/>
    </row>
    <row r="177" spans="1:11" ht="15.75" hidden="1" customHeight="1">
      <c r="A177" s="98" t="s">
        <v>2</v>
      </c>
      <c r="B177" s="191" t="s">
        <v>4024</v>
      </c>
      <c r="C177" s="191" t="s">
        <v>4317</v>
      </c>
      <c r="D177" s="191" t="s">
        <v>477</v>
      </c>
      <c r="E177" s="191">
        <v>50</v>
      </c>
      <c r="F177" s="191">
        <v>0</v>
      </c>
      <c r="G177" s="191">
        <v>0</v>
      </c>
      <c r="H177" s="191" t="s">
        <v>4318</v>
      </c>
      <c r="I177" s="191" t="s">
        <v>548</v>
      </c>
      <c r="J177" s="191">
        <v>0</v>
      </c>
      <c r="K177" s="159"/>
    </row>
    <row r="178" spans="1:11" ht="15.75" hidden="1" customHeight="1">
      <c r="A178" s="98" t="s">
        <v>2</v>
      </c>
      <c r="B178" s="191" t="s">
        <v>4024</v>
      </c>
      <c r="C178" s="191" t="s">
        <v>811</v>
      </c>
      <c r="D178" s="191" t="s">
        <v>477</v>
      </c>
      <c r="E178" s="191">
        <v>8</v>
      </c>
      <c r="F178" s="191">
        <v>0</v>
      </c>
      <c r="G178" s="191">
        <v>0</v>
      </c>
      <c r="H178" s="191" t="s">
        <v>4319</v>
      </c>
      <c r="I178" s="191" t="s">
        <v>813</v>
      </c>
      <c r="J178" s="191">
        <v>0</v>
      </c>
      <c r="K178" s="159"/>
    </row>
    <row r="179" spans="1:11" ht="15.75" hidden="1" customHeight="1">
      <c r="A179" s="98" t="s">
        <v>2</v>
      </c>
      <c r="B179" s="191" t="s">
        <v>4024</v>
      </c>
      <c r="C179" s="191" t="s">
        <v>669</v>
      </c>
      <c r="D179" s="191" t="s">
        <v>496</v>
      </c>
      <c r="E179" s="191">
        <v>4</v>
      </c>
      <c r="F179" s="191">
        <v>16</v>
      </c>
      <c r="G179" s="191">
        <v>0</v>
      </c>
      <c r="H179" s="191" t="s">
        <v>735</v>
      </c>
      <c r="I179" s="191" t="s">
        <v>548</v>
      </c>
      <c r="J179" s="191">
        <v>0</v>
      </c>
      <c r="K179" s="159"/>
    </row>
    <row r="180" spans="1:11" ht="15.75" hidden="1" customHeight="1">
      <c r="A180" s="98" t="s">
        <v>2</v>
      </c>
      <c r="B180" s="191" t="s">
        <v>4024</v>
      </c>
      <c r="C180" s="191" t="s">
        <v>523</v>
      </c>
      <c r="D180" s="191" t="s">
        <v>477</v>
      </c>
      <c r="E180" s="191">
        <v>8</v>
      </c>
      <c r="F180" s="191">
        <v>0</v>
      </c>
      <c r="G180" s="191">
        <v>0</v>
      </c>
      <c r="H180" s="191" t="s">
        <v>834</v>
      </c>
      <c r="I180" s="191" t="s">
        <v>548</v>
      </c>
      <c r="J180" s="191">
        <v>0</v>
      </c>
      <c r="K180" s="159"/>
    </row>
    <row r="181" spans="1:11" ht="15.75" hidden="1" customHeight="1">
      <c r="A181" s="98" t="s">
        <v>2</v>
      </c>
      <c r="B181" s="191" t="s">
        <v>4024</v>
      </c>
      <c r="C181" s="191" t="s">
        <v>215</v>
      </c>
      <c r="D181" s="191" t="s">
        <v>496</v>
      </c>
      <c r="E181" s="191">
        <v>4</v>
      </c>
      <c r="F181" s="191">
        <v>16</v>
      </c>
      <c r="G181" s="191">
        <v>0</v>
      </c>
      <c r="H181" s="191" t="s">
        <v>803</v>
      </c>
      <c r="I181" s="191" t="s">
        <v>548</v>
      </c>
      <c r="J181" s="191">
        <v>0</v>
      </c>
      <c r="K181" s="159"/>
    </row>
    <row r="182" spans="1:11" ht="15.75" hidden="1" customHeight="1">
      <c r="A182" s="98" t="s">
        <v>2</v>
      </c>
      <c r="B182" s="191" t="s">
        <v>4024</v>
      </c>
      <c r="C182" s="191" t="s">
        <v>670</v>
      </c>
      <c r="D182" s="191" t="s">
        <v>477</v>
      </c>
      <c r="E182" s="191">
        <v>8</v>
      </c>
      <c r="F182" s="191">
        <v>0</v>
      </c>
      <c r="G182" s="191">
        <v>0</v>
      </c>
      <c r="H182" s="191" t="s">
        <v>4320</v>
      </c>
      <c r="I182" s="191" t="s">
        <v>548</v>
      </c>
      <c r="J182" s="191">
        <v>0</v>
      </c>
      <c r="K182" s="159"/>
    </row>
    <row r="183" spans="1:11" ht="15.75" hidden="1" customHeight="1">
      <c r="A183" s="98" t="s">
        <v>2</v>
      </c>
      <c r="B183" s="191" t="s">
        <v>4027</v>
      </c>
      <c r="C183" s="191" t="s">
        <v>3720</v>
      </c>
      <c r="D183" s="191" t="s">
        <v>484</v>
      </c>
      <c r="E183" s="191">
        <v>4</v>
      </c>
      <c r="F183" s="191">
        <v>10</v>
      </c>
      <c r="G183" s="191">
        <v>0</v>
      </c>
      <c r="H183" s="191" t="s">
        <v>479</v>
      </c>
      <c r="I183" s="191" t="s">
        <v>479</v>
      </c>
      <c r="J183" s="191">
        <v>0</v>
      </c>
      <c r="K183" s="159"/>
    </row>
    <row r="184" spans="1:11" ht="15.75" hidden="1" customHeight="1">
      <c r="A184" s="98" t="s">
        <v>2</v>
      </c>
      <c r="B184" s="191" t="s">
        <v>4027</v>
      </c>
      <c r="C184" s="191" t="s">
        <v>4321</v>
      </c>
      <c r="D184" s="191" t="s">
        <v>477</v>
      </c>
      <c r="E184" s="191">
        <v>100</v>
      </c>
      <c r="F184" s="191">
        <v>0</v>
      </c>
      <c r="G184" s="191">
        <v>0</v>
      </c>
      <c r="H184" s="191" t="s">
        <v>479</v>
      </c>
      <c r="I184" s="191" t="s">
        <v>548</v>
      </c>
      <c r="J184" s="191">
        <v>0</v>
      </c>
      <c r="K184" s="159"/>
    </row>
    <row r="185" spans="1:11" ht="15.75" hidden="1" customHeight="1">
      <c r="A185" s="98" t="s">
        <v>2</v>
      </c>
      <c r="B185" s="191" t="s">
        <v>4027</v>
      </c>
      <c r="C185" s="191" t="s">
        <v>1611</v>
      </c>
      <c r="D185" s="191" t="s">
        <v>477</v>
      </c>
      <c r="E185" s="191">
        <v>20</v>
      </c>
      <c r="F185" s="191">
        <v>0</v>
      </c>
      <c r="G185" s="191">
        <v>0</v>
      </c>
      <c r="H185" s="191" t="s">
        <v>479</v>
      </c>
      <c r="I185" s="191" t="s">
        <v>548</v>
      </c>
      <c r="J185" s="191">
        <v>0</v>
      </c>
      <c r="K185" s="159"/>
    </row>
    <row r="186" spans="1:11" ht="15.75" hidden="1" customHeight="1">
      <c r="A186" s="98" t="s">
        <v>2</v>
      </c>
      <c r="B186" s="191" t="s">
        <v>4027</v>
      </c>
      <c r="C186" s="191" t="s">
        <v>811</v>
      </c>
      <c r="D186" s="191" t="s">
        <v>477</v>
      </c>
      <c r="E186" s="191">
        <v>6</v>
      </c>
      <c r="F186" s="191">
        <v>0</v>
      </c>
      <c r="G186" s="191">
        <v>0</v>
      </c>
      <c r="H186" s="191" t="s">
        <v>479</v>
      </c>
      <c r="I186" s="191" t="s">
        <v>548</v>
      </c>
      <c r="J186" s="191">
        <v>0</v>
      </c>
      <c r="K186" s="159"/>
    </row>
    <row r="187" spans="1:11" ht="15.75" hidden="1" customHeight="1">
      <c r="A187" s="98" t="s">
        <v>2</v>
      </c>
      <c r="B187" s="191" t="s">
        <v>4027</v>
      </c>
      <c r="C187" s="191" t="s">
        <v>523</v>
      </c>
      <c r="D187" s="191" t="s">
        <v>477</v>
      </c>
      <c r="E187" s="191">
        <v>8</v>
      </c>
      <c r="F187" s="191">
        <v>0</v>
      </c>
      <c r="G187" s="191">
        <v>0</v>
      </c>
      <c r="H187" s="191" t="s">
        <v>479</v>
      </c>
      <c r="I187" s="191" t="s">
        <v>548</v>
      </c>
      <c r="J187" s="191">
        <v>0</v>
      </c>
      <c r="K187" s="159"/>
    </row>
    <row r="188" spans="1:11" ht="15.75" hidden="1" customHeight="1">
      <c r="A188" s="98" t="s">
        <v>2</v>
      </c>
      <c r="B188" s="191" t="s">
        <v>4027</v>
      </c>
      <c r="C188" s="191" t="s">
        <v>669</v>
      </c>
      <c r="D188" s="191" t="s">
        <v>496</v>
      </c>
      <c r="E188" s="191">
        <v>4</v>
      </c>
      <c r="F188" s="191">
        <v>16</v>
      </c>
      <c r="G188" s="191">
        <v>0</v>
      </c>
      <c r="H188" s="191" t="s">
        <v>479</v>
      </c>
      <c r="I188" s="191" t="s">
        <v>548</v>
      </c>
      <c r="J188" s="191">
        <v>0</v>
      </c>
      <c r="K188" s="159"/>
    </row>
    <row r="189" spans="1:11" ht="15.75" hidden="1" customHeight="1">
      <c r="A189" s="98" t="s">
        <v>2</v>
      </c>
      <c r="B189" s="191" t="s">
        <v>4046</v>
      </c>
      <c r="C189" s="191" t="s">
        <v>4322</v>
      </c>
      <c r="D189" s="191" t="s">
        <v>477</v>
      </c>
      <c r="E189" s="191">
        <v>10</v>
      </c>
      <c r="F189" s="191">
        <v>0</v>
      </c>
      <c r="G189" s="191">
        <v>0</v>
      </c>
      <c r="H189" s="191" t="s">
        <v>479</v>
      </c>
      <c r="I189" s="191" t="s">
        <v>479</v>
      </c>
      <c r="J189" s="191">
        <v>0</v>
      </c>
      <c r="K189" s="159"/>
    </row>
    <row r="190" spans="1:11" ht="15.75" hidden="1" customHeight="1">
      <c r="A190" s="98" t="s">
        <v>2</v>
      </c>
      <c r="B190" s="191" t="s">
        <v>4046</v>
      </c>
      <c r="C190" s="191" t="s">
        <v>2477</v>
      </c>
      <c r="D190" s="191" t="s">
        <v>477</v>
      </c>
      <c r="E190" s="191">
        <v>10</v>
      </c>
      <c r="F190" s="191">
        <v>0</v>
      </c>
      <c r="G190" s="191">
        <v>0</v>
      </c>
      <c r="H190" s="191" t="s">
        <v>479</v>
      </c>
      <c r="I190" s="191" t="s">
        <v>479</v>
      </c>
      <c r="J190" s="191">
        <v>0</v>
      </c>
      <c r="K190" s="159"/>
    </row>
    <row r="191" spans="1:11" ht="15.75" hidden="1" customHeight="1">
      <c r="A191" s="98" t="s">
        <v>2</v>
      </c>
      <c r="B191" s="191" t="s">
        <v>4046</v>
      </c>
      <c r="C191" s="191" t="s">
        <v>1815</v>
      </c>
      <c r="D191" s="191" t="s">
        <v>477</v>
      </c>
      <c r="E191" s="191">
        <v>50</v>
      </c>
      <c r="F191" s="191">
        <v>0</v>
      </c>
      <c r="G191" s="191">
        <v>0</v>
      </c>
      <c r="H191" s="191" t="s">
        <v>479</v>
      </c>
      <c r="I191" s="191" t="s">
        <v>548</v>
      </c>
      <c r="J191" s="191">
        <v>0</v>
      </c>
      <c r="K191" s="159"/>
    </row>
    <row r="192" spans="1:11" ht="15.75" hidden="1" customHeight="1">
      <c r="A192" s="98" t="s">
        <v>2</v>
      </c>
      <c r="B192" s="191" t="s">
        <v>4046</v>
      </c>
      <c r="C192" s="191" t="s">
        <v>4323</v>
      </c>
      <c r="D192" s="191" t="s">
        <v>477</v>
      </c>
      <c r="E192" s="191">
        <v>50</v>
      </c>
      <c r="F192" s="191">
        <v>0</v>
      </c>
      <c r="G192" s="191">
        <v>0</v>
      </c>
      <c r="H192" s="191" t="s">
        <v>479</v>
      </c>
      <c r="I192" s="191" t="s">
        <v>548</v>
      </c>
      <c r="J192" s="191">
        <v>0</v>
      </c>
      <c r="K192" s="159"/>
    </row>
    <row r="193" spans="1:11" ht="15.75" hidden="1" customHeight="1">
      <c r="A193" s="98" t="s">
        <v>2</v>
      </c>
      <c r="B193" s="191" t="s">
        <v>4046</v>
      </c>
      <c r="C193" s="191" t="s">
        <v>1585</v>
      </c>
      <c r="D193" s="191" t="s">
        <v>477</v>
      </c>
      <c r="E193" s="191">
        <v>50</v>
      </c>
      <c r="F193" s="191">
        <v>0</v>
      </c>
      <c r="G193" s="191">
        <v>0</v>
      </c>
      <c r="H193" s="191" t="s">
        <v>479</v>
      </c>
      <c r="I193" s="191" t="s">
        <v>479</v>
      </c>
      <c r="J193" s="191">
        <v>0</v>
      </c>
      <c r="K193" s="159"/>
    </row>
    <row r="194" spans="1:11" ht="15.75" hidden="1" customHeight="1">
      <c r="A194" s="98" t="s">
        <v>2</v>
      </c>
      <c r="B194" s="191" t="s">
        <v>4046</v>
      </c>
      <c r="C194" s="191" t="s">
        <v>1584</v>
      </c>
      <c r="D194" s="191" t="s">
        <v>477</v>
      </c>
      <c r="E194" s="191">
        <v>50</v>
      </c>
      <c r="F194" s="191">
        <v>0</v>
      </c>
      <c r="G194" s="191">
        <v>0</v>
      </c>
      <c r="H194" s="191" t="s">
        <v>479</v>
      </c>
      <c r="I194" s="191" t="s">
        <v>479</v>
      </c>
      <c r="J194" s="191">
        <v>0</v>
      </c>
      <c r="K194" s="159"/>
    </row>
    <row r="195" spans="1:11" ht="15.75" hidden="1" customHeight="1">
      <c r="A195" s="98" t="s">
        <v>2</v>
      </c>
      <c r="B195" s="191" t="s">
        <v>4046</v>
      </c>
      <c r="C195" s="191" t="s">
        <v>1804</v>
      </c>
      <c r="D195" s="191" t="s">
        <v>477</v>
      </c>
      <c r="E195" s="191">
        <v>50</v>
      </c>
      <c r="F195" s="191">
        <v>0</v>
      </c>
      <c r="G195" s="191">
        <v>0</v>
      </c>
      <c r="H195" s="191" t="s">
        <v>479</v>
      </c>
      <c r="I195" s="191" t="s">
        <v>479</v>
      </c>
      <c r="J195" s="191">
        <v>0</v>
      </c>
      <c r="K195" s="159"/>
    </row>
    <row r="196" spans="1:11" ht="15.75" hidden="1" customHeight="1">
      <c r="A196" s="98" t="s">
        <v>2</v>
      </c>
      <c r="B196" s="191" t="s">
        <v>4046</v>
      </c>
      <c r="C196" s="191" t="s">
        <v>4324</v>
      </c>
      <c r="D196" s="191" t="s">
        <v>477</v>
      </c>
      <c r="E196" s="191">
        <v>50</v>
      </c>
      <c r="F196" s="191">
        <v>0</v>
      </c>
      <c r="G196" s="191">
        <v>0</v>
      </c>
      <c r="H196" s="191" t="s">
        <v>479</v>
      </c>
      <c r="I196" s="191" t="s">
        <v>479</v>
      </c>
      <c r="J196" s="191">
        <v>0</v>
      </c>
      <c r="K196" s="159"/>
    </row>
    <row r="197" spans="1:11" ht="15.75" hidden="1" customHeight="1">
      <c r="A197" s="98" t="s">
        <v>2</v>
      </c>
      <c r="B197" s="191" t="s">
        <v>4046</v>
      </c>
      <c r="C197" s="191" t="s">
        <v>4325</v>
      </c>
      <c r="D197" s="191" t="s">
        <v>477</v>
      </c>
      <c r="E197" s="191">
        <v>2</v>
      </c>
      <c r="F197" s="191">
        <v>0</v>
      </c>
      <c r="G197" s="191">
        <v>0</v>
      </c>
      <c r="H197" s="191" t="s">
        <v>4326</v>
      </c>
      <c r="I197" s="191" t="s">
        <v>548</v>
      </c>
      <c r="J197" s="191">
        <v>0</v>
      </c>
      <c r="K197" s="159"/>
    </row>
    <row r="198" spans="1:11" ht="15.75" hidden="1" customHeight="1">
      <c r="A198" s="98" t="s">
        <v>2</v>
      </c>
      <c r="B198" s="191" t="s">
        <v>4046</v>
      </c>
      <c r="C198" s="191" t="s">
        <v>669</v>
      </c>
      <c r="D198" s="191" t="s">
        <v>496</v>
      </c>
      <c r="E198" s="191">
        <v>4</v>
      </c>
      <c r="F198" s="191">
        <v>16</v>
      </c>
      <c r="G198" s="191">
        <v>0</v>
      </c>
      <c r="H198" s="191" t="s">
        <v>735</v>
      </c>
      <c r="I198" s="191" t="s">
        <v>548</v>
      </c>
      <c r="J198" s="191">
        <v>0</v>
      </c>
      <c r="K198" s="159"/>
    </row>
    <row r="199" spans="1:11" ht="15.75" hidden="1" customHeight="1">
      <c r="A199" s="98" t="s">
        <v>2</v>
      </c>
      <c r="B199" s="191" t="s">
        <v>4046</v>
      </c>
      <c r="C199" s="191" t="s">
        <v>523</v>
      </c>
      <c r="D199" s="191" t="s">
        <v>477</v>
      </c>
      <c r="E199" s="191">
        <v>8</v>
      </c>
      <c r="F199" s="191">
        <v>0</v>
      </c>
      <c r="G199" s="191">
        <v>0</v>
      </c>
      <c r="H199" s="191" t="s">
        <v>1282</v>
      </c>
      <c r="I199" s="191" t="s">
        <v>548</v>
      </c>
      <c r="J199" s="191">
        <v>0</v>
      </c>
      <c r="K199" s="159"/>
    </row>
    <row r="200" spans="1:11" ht="15.75" hidden="1" customHeight="1">
      <c r="A200" s="98" t="s">
        <v>2</v>
      </c>
      <c r="B200" s="191" t="s">
        <v>4046</v>
      </c>
      <c r="C200" s="191" t="s">
        <v>215</v>
      </c>
      <c r="D200" s="191" t="s">
        <v>496</v>
      </c>
      <c r="E200" s="191">
        <v>4</v>
      </c>
      <c r="F200" s="191">
        <v>16</v>
      </c>
      <c r="G200" s="191">
        <v>0</v>
      </c>
      <c r="H200" s="191" t="s">
        <v>803</v>
      </c>
      <c r="I200" s="191" t="s">
        <v>548</v>
      </c>
      <c r="J200" s="191">
        <v>0</v>
      </c>
      <c r="K200" s="159"/>
    </row>
    <row r="201" spans="1:11" ht="15.75" hidden="1" customHeight="1">
      <c r="A201" s="98" t="s">
        <v>2</v>
      </c>
      <c r="B201" s="191" t="s">
        <v>4046</v>
      </c>
      <c r="C201" s="191" t="s">
        <v>670</v>
      </c>
      <c r="D201" s="191" t="s">
        <v>477</v>
      </c>
      <c r="E201" s="191">
        <v>8</v>
      </c>
      <c r="F201" s="191">
        <v>0</v>
      </c>
      <c r="G201" s="191">
        <v>0</v>
      </c>
      <c r="H201" s="191" t="s">
        <v>1285</v>
      </c>
      <c r="I201" s="191" t="s">
        <v>548</v>
      </c>
      <c r="J201" s="191">
        <v>0</v>
      </c>
      <c r="K201" s="159"/>
    </row>
    <row r="202" spans="1:11" ht="15.75" hidden="1" customHeight="1">
      <c r="A202" s="98" t="s">
        <v>2</v>
      </c>
      <c r="B202" s="191" t="s">
        <v>4048</v>
      </c>
      <c r="C202" s="191" t="s">
        <v>4327</v>
      </c>
      <c r="D202" s="191" t="s">
        <v>484</v>
      </c>
      <c r="E202" s="191">
        <v>4</v>
      </c>
      <c r="F202" s="191">
        <v>10</v>
      </c>
      <c r="G202" s="191">
        <v>0</v>
      </c>
      <c r="H202" s="191" t="s">
        <v>479</v>
      </c>
      <c r="I202" s="191" t="s">
        <v>479</v>
      </c>
      <c r="J202" s="191">
        <v>0</v>
      </c>
      <c r="K202" s="159"/>
    </row>
    <row r="203" spans="1:11" ht="15.75" hidden="1" customHeight="1">
      <c r="A203" s="98" t="s">
        <v>2</v>
      </c>
      <c r="B203" s="191" t="s">
        <v>4048</v>
      </c>
      <c r="C203" s="191" t="s">
        <v>4328</v>
      </c>
      <c r="D203" s="191" t="s">
        <v>491</v>
      </c>
      <c r="E203" s="191">
        <v>1</v>
      </c>
      <c r="F203" s="191">
        <v>0</v>
      </c>
      <c r="G203" s="191">
        <v>0</v>
      </c>
      <c r="H203" s="191" t="s">
        <v>479</v>
      </c>
      <c r="I203" s="191" t="s">
        <v>479</v>
      </c>
      <c r="J203" s="191">
        <v>0</v>
      </c>
      <c r="K203" s="159"/>
    </row>
    <row r="204" spans="1:11" ht="15.75" hidden="1" customHeight="1">
      <c r="A204" s="98" t="s">
        <v>2</v>
      </c>
      <c r="B204" s="191" t="s">
        <v>4048</v>
      </c>
      <c r="C204" s="191" t="s">
        <v>4329</v>
      </c>
      <c r="D204" s="191" t="s">
        <v>477</v>
      </c>
      <c r="E204" s="191">
        <v>20</v>
      </c>
      <c r="F204" s="191">
        <v>0</v>
      </c>
      <c r="G204" s="191">
        <v>0</v>
      </c>
      <c r="H204" s="191" t="s">
        <v>479</v>
      </c>
      <c r="I204" s="191" t="s">
        <v>479</v>
      </c>
      <c r="J204" s="191">
        <v>0</v>
      </c>
      <c r="K204" s="159"/>
    </row>
    <row r="205" spans="1:11" ht="15.75" hidden="1" customHeight="1">
      <c r="A205" s="98" t="s">
        <v>2</v>
      </c>
      <c r="B205" s="191" t="s">
        <v>4048</v>
      </c>
      <c r="C205" s="191" t="s">
        <v>4330</v>
      </c>
      <c r="D205" s="191" t="s">
        <v>481</v>
      </c>
      <c r="E205" s="191">
        <v>5</v>
      </c>
      <c r="F205" s="191">
        <v>9</v>
      </c>
      <c r="G205" s="191">
        <v>6</v>
      </c>
      <c r="H205" s="191" t="s">
        <v>479</v>
      </c>
      <c r="I205" s="191" t="s">
        <v>615</v>
      </c>
      <c r="J205" s="191">
        <v>0</v>
      </c>
      <c r="K205" s="159"/>
    </row>
    <row r="206" spans="1:11" ht="15.75" hidden="1" customHeight="1">
      <c r="A206" s="98" t="s">
        <v>2</v>
      </c>
      <c r="B206" s="191" t="s">
        <v>4048</v>
      </c>
      <c r="C206" s="191" t="s">
        <v>4331</v>
      </c>
      <c r="D206" s="191" t="s">
        <v>481</v>
      </c>
      <c r="E206" s="191">
        <v>5</v>
      </c>
      <c r="F206" s="191">
        <v>9</v>
      </c>
      <c r="G206" s="191">
        <v>6</v>
      </c>
      <c r="H206" s="191" t="s">
        <v>479</v>
      </c>
      <c r="I206" s="191" t="s">
        <v>615</v>
      </c>
      <c r="J206" s="191">
        <v>0</v>
      </c>
      <c r="K206" s="159"/>
    </row>
    <row r="207" spans="1:11" ht="15.75" hidden="1" customHeight="1">
      <c r="A207" s="98" t="s">
        <v>2</v>
      </c>
      <c r="B207" s="191" t="s">
        <v>4048</v>
      </c>
      <c r="C207" s="191" t="s">
        <v>4332</v>
      </c>
      <c r="D207" s="191" t="s">
        <v>484</v>
      </c>
      <c r="E207" s="191">
        <v>4</v>
      </c>
      <c r="F207" s="191">
        <v>10</v>
      </c>
      <c r="G207" s="191">
        <v>0</v>
      </c>
      <c r="H207" s="191" t="s">
        <v>4333</v>
      </c>
      <c r="I207" s="191" t="s">
        <v>615</v>
      </c>
      <c r="J207" s="191">
        <v>0</v>
      </c>
      <c r="K207" s="159"/>
    </row>
    <row r="208" spans="1:11" ht="15.75" hidden="1" customHeight="1">
      <c r="A208" s="98" t="s">
        <v>2</v>
      </c>
      <c r="B208" s="191" t="s">
        <v>4048</v>
      </c>
      <c r="C208" s="191" t="s">
        <v>4334</v>
      </c>
      <c r="D208" s="191" t="s">
        <v>484</v>
      </c>
      <c r="E208" s="191">
        <v>4</v>
      </c>
      <c r="F208" s="191">
        <v>10</v>
      </c>
      <c r="G208" s="191">
        <v>0</v>
      </c>
      <c r="H208" s="191" t="s">
        <v>4335</v>
      </c>
      <c r="I208" s="191" t="s">
        <v>615</v>
      </c>
      <c r="J208" s="191">
        <v>0</v>
      </c>
      <c r="K208" s="159"/>
    </row>
    <row r="209" spans="1:11" ht="15.75" hidden="1" customHeight="1">
      <c r="A209" s="98" t="s">
        <v>2</v>
      </c>
      <c r="B209" s="191" t="s">
        <v>4048</v>
      </c>
      <c r="C209" s="191" t="s">
        <v>3271</v>
      </c>
      <c r="D209" s="191" t="s">
        <v>484</v>
      </c>
      <c r="E209" s="191">
        <v>4</v>
      </c>
      <c r="F209" s="191">
        <v>10</v>
      </c>
      <c r="G209" s="191">
        <v>0</v>
      </c>
      <c r="H209" s="191" t="s">
        <v>4336</v>
      </c>
      <c r="I209" s="191" t="s">
        <v>615</v>
      </c>
      <c r="J209" s="191">
        <v>0</v>
      </c>
      <c r="K209" s="159"/>
    </row>
    <row r="210" spans="1:11" ht="15.75" hidden="1" customHeight="1">
      <c r="A210" s="98" t="s">
        <v>2</v>
      </c>
      <c r="B210" s="191" t="s">
        <v>4048</v>
      </c>
      <c r="C210" s="191" t="s">
        <v>4337</v>
      </c>
      <c r="D210" s="191" t="s">
        <v>484</v>
      </c>
      <c r="E210" s="191">
        <v>4</v>
      </c>
      <c r="F210" s="191">
        <v>10</v>
      </c>
      <c r="G210" s="191">
        <v>0</v>
      </c>
      <c r="H210" s="191" t="s">
        <v>4338</v>
      </c>
      <c r="I210" s="191" t="s">
        <v>615</v>
      </c>
      <c r="J210" s="191">
        <v>0</v>
      </c>
      <c r="K210" s="159"/>
    </row>
    <row r="211" spans="1:11" ht="15.75" hidden="1" customHeight="1">
      <c r="A211" s="98" t="s">
        <v>2</v>
      </c>
      <c r="B211" s="191" t="s">
        <v>4048</v>
      </c>
      <c r="C211" s="191" t="s">
        <v>3275</v>
      </c>
      <c r="D211" s="191" t="s">
        <v>484</v>
      </c>
      <c r="E211" s="191">
        <v>4</v>
      </c>
      <c r="F211" s="191">
        <v>10</v>
      </c>
      <c r="G211" s="191">
        <v>0</v>
      </c>
      <c r="H211" s="191" t="s">
        <v>4339</v>
      </c>
      <c r="I211" s="191" t="s">
        <v>615</v>
      </c>
      <c r="J211" s="191">
        <v>0</v>
      </c>
      <c r="K211" s="159"/>
    </row>
    <row r="212" spans="1:11" ht="15.75" hidden="1" customHeight="1">
      <c r="A212" s="98" t="s">
        <v>2</v>
      </c>
      <c r="B212" s="191" t="s">
        <v>4048</v>
      </c>
      <c r="C212" s="191" t="s">
        <v>811</v>
      </c>
      <c r="D212" s="191" t="s">
        <v>477</v>
      </c>
      <c r="E212" s="191">
        <v>8</v>
      </c>
      <c r="F212" s="191">
        <v>0</v>
      </c>
      <c r="G212" s="191">
        <v>0</v>
      </c>
      <c r="H212" s="191" t="s">
        <v>4340</v>
      </c>
      <c r="I212" s="191" t="s">
        <v>813</v>
      </c>
      <c r="J212" s="191">
        <v>0</v>
      </c>
      <c r="K212" s="159"/>
    </row>
    <row r="213" spans="1:11" ht="15.75" hidden="1" customHeight="1">
      <c r="A213" s="98" t="s">
        <v>2</v>
      </c>
      <c r="B213" s="191" t="s">
        <v>4048</v>
      </c>
      <c r="C213" s="191" t="s">
        <v>669</v>
      </c>
      <c r="D213" s="191" t="s">
        <v>496</v>
      </c>
      <c r="E213" s="191">
        <v>4</v>
      </c>
      <c r="F213" s="191">
        <v>16</v>
      </c>
      <c r="G213" s="191">
        <v>0</v>
      </c>
      <c r="H213" s="191" t="s">
        <v>4341</v>
      </c>
      <c r="I213" s="191" t="s">
        <v>548</v>
      </c>
      <c r="J213" s="191">
        <v>0</v>
      </c>
      <c r="K213" s="159"/>
    </row>
    <row r="214" spans="1:11" ht="15.75" hidden="1" customHeight="1">
      <c r="A214" s="98" t="s">
        <v>2</v>
      </c>
      <c r="B214" s="191" t="s">
        <v>4048</v>
      </c>
      <c r="C214" s="191" t="s">
        <v>523</v>
      </c>
      <c r="D214" s="191" t="s">
        <v>477</v>
      </c>
      <c r="E214" s="191">
        <v>8</v>
      </c>
      <c r="F214" s="191">
        <v>0</v>
      </c>
      <c r="G214" s="191">
        <v>0</v>
      </c>
      <c r="H214" s="191" t="s">
        <v>4342</v>
      </c>
      <c r="I214" s="191" t="s">
        <v>548</v>
      </c>
      <c r="J214" s="191">
        <v>0</v>
      </c>
      <c r="K214" s="159"/>
    </row>
    <row r="215" spans="1:11" ht="15.75" hidden="1" customHeight="1">
      <c r="A215" s="98" t="s">
        <v>2</v>
      </c>
      <c r="B215" s="191" t="s">
        <v>4048</v>
      </c>
      <c r="C215" s="191" t="s">
        <v>215</v>
      </c>
      <c r="D215" s="191" t="s">
        <v>496</v>
      </c>
      <c r="E215" s="191">
        <v>4</v>
      </c>
      <c r="F215" s="191">
        <v>16</v>
      </c>
      <c r="G215" s="191">
        <v>0</v>
      </c>
      <c r="H215" s="191" t="s">
        <v>4343</v>
      </c>
      <c r="I215" s="191" t="s">
        <v>548</v>
      </c>
      <c r="J215" s="191">
        <v>0</v>
      </c>
      <c r="K215" s="159"/>
    </row>
    <row r="216" spans="1:11" ht="15.75" hidden="1" customHeight="1">
      <c r="A216" s="98" t="s">
        <v>2</v>
      </c>
      <c r="B216" s="191" t="s">
        <v>4048</v>
      </c>
      <c r="C216" s="191" t="s">
        <v>670</v>
      </c>
      <c r="D216" s="191" t="s">
        <v>477</v>
      </c>
      <c r="E216" s="191">
        <v>8</v>
      </c>
      <c r="F216" s="191">
        <v>0</v>
      </c>
      <c r="G216" s="191">
        <v>0</v>
      </c>
      <c r="H216" s="191" t="s">
        <v>4344</v>
      </c>
      <c r="I216" s="191" t="s">
        <v>548</v>
      </c>
      <c r="J216" s="191">
        <v>0</v>
      </c>
      <c r="K216" s="159"/>
    </row>
    <row r="217" spans="1:11" ht="15.75" hidden="1" customHeight="1">
      <c r="A217" s="98" t="s">
        <v>2</v>
      </c>
      <c r="B217" s="191" t="s">
        <v>4050</v>
      </c>
      <c r="C217" s="191" t="s">
        <v>4345</v>
      </c>
      <c r="D217" s="191" t="s">
        <v>477</v>
      </c>
      <c r="E217" s="191">
        <v>12</v>
      </c>
      <c r="F217" s="191">
        <v>0</v>
      </c>
      <c r="G217" s="191">
        <v>0</v>
      </c>
      <c r="H217" s="191" t="s">
        <v>479</v>
      </c>
      <c r="I217" s="191" t="s">
        <v>548</v>
      </c>
      <c r="J217" s="191">
        <v>0</v>
      </c>
      <c r="K217" s="159"/>
    </row>
    <row r="218" spans="1:11" ht="15.75" hidden="1" customHeight="1">
      <c r="A218" s="98" t="s">
        <v>2</v>
      </c>
      <c r="B218" s="191" t="s">
        <v>4050</v>
      </c>
      <c r="C218" s="191" t="s">
        <v>292</v>
      </c>
      <c r="D218" s="191" t="s">
        <v>484</v>
      </c>
      <c r="E218" s="191">
        <v>4</v>
      </c>
      <c r="F218" s="191">
        <v>10</v>
      </c>
      <c r="G218" s="191">
        <v>0</v>
      </c>
      <c r="H218" s="191" t="s">
        <v>479</v>
      </c>
      <c r="I218" s="191" t="s">
        <v>479</v>
      </c>
      <c r="J218" s="191">
        <v>0</v>
      </c>
      <c r="K218" s="159"/>
    </row>
    <row r="219" spans="1:11" ht="15.75" hidden="1" customHeight="1">
      <c r="A219" s="98" t="s">
        <v>2</v>
      </c>
      <c r="B219" s="191" t="s">
        <v>4050</v>
      </c>
      <c r="C219" s="191" t="s">
        <v>4346</v>
      </c>
      <c r="D219" s="191" t="s">
        <v>1974</v>
      </c>
      <c r="E219" s="191">
        <v>3</v>
      </c>
      <c r="F219" s="191">
        <v>10</v>
      </c>
      <c r="G219" s="191">
        <v>0</v>
      </c>
      <c r="H219" s="191" t="s">
        <v>479</v>
      </c>
      <c r="I219" s="191" t="s">
        <v>479</v>
      </c>
      <c r="J219" s="191">
        <v>0</v>
      </c>
      <c r="K219" s="159"/>
    </row>
    <row r="220" spans="1:11" ht="15.75" hidden="1" customHeight="1">
      <c r="A220" s="98" t="s">
        <v>2</v>
      </c>
      <c r="B220" s="191" t="s">
        <v>4050</v>
      </c>
      <c r="C220" s="191" t="s">
        <v>2460</v>
      </c>
      <c r="D220" s="191" t="s">
        <v>477</v>
      </c>
      <c r="E220" s="191">
        <v>12</v>
      </c>
      <c r="F220" s="191">
        <v>0</v>
      </c>
      <c r="G220" s="191">
        <v>0</v>
      </c>
      <c r="H220" s="191" t="s">
        <v>479</v>
      </c>
      <c r="I220" s="191" t="s">
        <v>548</v>
      </c>
      <c r="J220" s="191">
        <v>0</v>
      </c>
      <c r="K220" s="159"/>
    </row>
    <row r="221" spans="1:11" ht="15.75" hidden="1" customHeight="1">
      <c r="A221" s="98" t="s">
        <v>2</v>
      </c>
      <c r="B221" s="191" t="s">
        <v>4050</v>
      </c>
      <c r="C221" s="191" t="s">
        <v>1928</v>
      </c>
      <c r="D221" s="191" t="s">
        <v>477</v>
      </c>
      <c r="E221" s="191">
        <v>100</v>
      </c>
      <c r="F221" s="191">
        <v>0</v>
      </c>
      <c r="G221" s="191">
        <v>0</v>
      </c>
      <c r="H221" s="191" t="s">
        <v>479</v>
      </c>
      <c r="I221" s="191" t="s">
        <v>548</v>
      </c>
      <c r="J221" s="191">
        <v>0</v>
      </c>
      <c r="K221" s="159"/>
    </row>
    <row r="222" spans="1:11" ht="15.75" hidden="1" customHeight="1">
      <c r="A222" s="98" t="s">
        <v>2</v>
      </c>
      <c r="B222" s="191" t="s">
        <v>4050</v>
      </c>
      <c r="C222" s="191" t="s">
        <v>811</v>
      </c>
      <c r="D222" s="191" t="s">
        <v>477</v>
      </c>
      <c r="E222" s="191">
        <v>20</v>
      </c>
      <c r="F222" s="191">
        <v>0</v>
      </c>
      <c r="G222" s="191">
        <v>0</v>
      </c>
      <c r="H222" s="191" t="s">
        <v>4347</v>
      </c>
      <c r="I222" s="191" t="s">
        <v>813</v>
      </c>
      <c r="J222" s="191">
        <v>0</v>
      </c>
      <c r="K222" s="159"/>
    </row>
    <row r="223" spans="1:11" ht="15.75" hidden="1" customHeight="1">
      <c r="A223" s="98" t="s">
        <v>2</v>
      </c>
      <c r="B223" s="191" t="s">
        <v>4050</v>
      </c>
      <c r="C223" s="191" t="s">
        <v>4348</v>
      </c>
      <c r="D223" s="191" t="s">
        <v>477</v>
      </c>
      <c r="E223" s="191">
        <v>12</v>
      </c>
      <c r="F223" s="191">
        <v>0</v>
      </c>
      <c r="G223" s="191">
        <v>0</v>
      </c>
      <c r="H223" s="191" t="s">
        <v>4349</v>
      </c>
      <c r="I223" s="191" t="s">
        <v>548</v>
      </c>
      <c r="J223" s="191">
        <v>0</v>
      </c>
      <c r="K223" s="159"/>
    </row>
    <row r="224" spans="1:11" ht="15.75" hidden="1" customHeight="1">
      <c r="A224" s="98" t="s">
        <v>2</v>
      </c>
      <c r="B224" s="191" t="s">
        <v>4050</v>
      </c>
      <c r="C224" s="191" t="s">
        <v>164</v>
      </c>
      <c r="D224" s="191" t="s">
        <v>477</v>
      </c>
      <c r="E224" s="191">
        <v>100</v>
      </c>
      <c r="F224" s="191">
        <v>0</v>
      </c>
      <c r="G224" s="191">
        <v>0</v>
      </c>
      <c r="H224" s="191" t="s">
        <v>4350</v>
      </c>
      <c r="I224" s="191" t="s">
        <v>548</v>
      </c>
      <c r="J224" s="191">
        <v>0</v>
      </c>
      <c r="K224" s="159"/>
    </row>
    <row r="225" spans="1:11" ht="15.75" hidden="1" customHeight="1">
      <c r="A225" s="98" t="s">
        <v>2</v>
      </c>
      <c r="B225" s="191" t="s">
        <v>4050</v>
      </c>
      <c r="C225" s="191" t="s">
        <v>523</v>
      </c>
      <c r="D225" s="191" t="s">
        <v>477</v>
      </c>
      <c r="E225" s="191">
        <v>8</v>
      </c>
      <c r="F225" s="191">
        <v>0</v>
      </c>
      <c r="G225" s="191">
        <v>0</v>
      </c>
      <c r="H225" s="191" t="s">
        <v>479</v>
      </c>
      <c r="I225" s="191" t="s">
        <v>548</v>
      </c>
      <c r="J225" s="191">
        <v>0</v>
      </c>
      <c r="K225" s="159"/>
    </row>
    <row r="226" spans="1:11" ht="15.75" hidden="1" customHeight="1">
      <c r="A226" s="98" t="s">
        <v>2</v>
      </c>
      <c r="B226" s="191" t="s">
        <v>4050</v>
      </c>
      <c r="C226" s="191" t="s">
        <v>669</v>
      </c>
      <c r="D226" s="191" t="s">
        <v>496</v>
      </c>
      <c r="E226" s="191">
        <v>4</v>
      </c>
      <c r="F226" s="191">
        <v>16</v>
      </c>
      <c r="G226" s="191">
        <v>0</v>
      </c>
      <c r="H226" s="191" t="s">
        <v>479</v>
      </c>
      <c r="I226" s="191" t="s">
        <v>479</v>
      </c>
      <c r="J226" s="191">
        <v>0</v>
      </c>
      <c r="K226" s="159"/>
    </row>
    <row r="227" spans="1:11" ht="15.75" hidden="1" customHeight="1">
      <c r="A227" s="98" t="s">
        <v>2</v>
      </c>
      <c r="B227" s="191" t="s">
        <v>4050</v>
      </c>
      <c r="C227" s="191" t="s">
        <v>670</v>
      </c>
      <c r="D227" s="191" t="s">
        <v>477</v>
      </c>
      <c r="E227" s="191">
        <v>8</v>
      </c>
      <c r="F227" s="191">
        <v>0</v>
      </c>
      <c r="G227" s="191">
        <v>0</v>
      </c>
      <c r="H227" s="191" t="s">
        <v>479</v>
      </c>
      <c r="I227" s="191" t="s">
        <v>548</v>
      </c>
      <c r="J227" s="191">
        <v>0</v>
      </c>
      <c r="K227" s="159"/>
    </row>
    <row r="228" spans="1:11" ht="15.75" hidden="1" customHeight="1">
      <c r="A228" s="98" t="s">
        <v>2</v>
      </c>
      <c r="B228" s="191" t="s">
        <v>4050</v>
      </c>
      <c r="C228" s="191" t="s">
        <v>215</v>
      </c>
      <c r="D228" s="191" t="s">
        <v>496</v>
      </c>
      <c r="E228" s="191">
        <v>4</v>
      </c>
      <c r="F228" s="191">
        <v>16</v>
      </c>
      <c r="G228" s="191">
        <v>0</v>
      </c>
      <c r="H228" s="191" t="s">
        <v>479</v>
      </c>
      <c r="I228" s="191" t="s">
        <v>479</v>
      </c>
      <c r="J228" s="191">
        <v>0</v>
      </c>
      <c r="K228" s="159"/>
    </row>
    <row r="229" spans="1:11" ht="15.75" hidden="1" customHeight="1">
      <c r="A229" s="98" t="s">
        <v>2</v>
      </c>
      <c r="B229" s="191" t="s">
        <v>4053</v>
      </c>
      <c r="C229" s="191" t="s">
        <v>325</v>
      </c>
      <c r="D229" s="191" t="s">
        <v>484</v>
      </c>
      <c r="E229" s="191">
        <v>4</v>
      </c>
      <c r="F229" s="191">
        <v>10</v>
      </c>
      <c r="G229" s="191">
        <v>0</v>
      </c>
      <c r="H229" s="191" t="s">
        <v>479</v>
      </c>
      <c r="I229" s="191" t="s">
        <v>479</v>
      </c>
      <c r="J229" s="191">
        <v>0</v>
      </c>
      <c r="K229" s="159"/>
    </row>
    <row r="230" spans="1:11" ht="15.75" hidden="1" customHeight="1">
      <c r="A230" s="98" t="s">
        <v>2</v>
      </c>
      <c r="B230" s="191" t="s">
        <v>4053</v>
      </c>
      <c r="C230" s="191" t="s">
        <v>4351</v>
      </c>
      <c r="D230" s="191" t="s">
        <v>477</v>
      </c>
      <c r="E230" s="191">
        <v>14</v>
      </c>
      <c r="F230" s="191">
        <v>0</v>
      </c>
      <c r="G230" s="191">
        <v>0</v>
      </c>
      <c r="H230" s="191" t="s">
        <v>479</v>
      </c>
      <c r="I230" s="191" t="s">
        <v>548</v>
      </c>
      <c r="J230" s="191">
        <v>0</v>
      </c>
      <c r="K230" s="159"/>
    </row>
    <row r="231" spans="1:11" ht="15.75" hidden="1" customHeight="1">
      <c r="A231" s="98" t="s">
        <v>2</v>
      </c>
      <c r="B231" s="191" t="s">
        <v>4053</v>
      </c>
      <c r="C231" s="191" t="s">
        <v>4352</v>
      </c>
      <c r="D231" s="191" t="s">
        <v>477</v>
      </c>
      <c r="E231" s="191">
        <v>5</v>
      </c>
      <c r="F231" s="191">
        <v>0</v>
      </c>
      <c r="G231" s="191">
        <v>0</v>
      </c>
      <c r="H231" s="191" t="s">
        <v>479</v>
      </c>
      <c r="I231" s="191" t="s">
        <v>548</v>
      </c>
      <c r="J231" s="191">
        <v>0</v>
      </c>
      <c r="K231" s="159"/>
    </row>
    <row r="232" spans="1:11" ht="15.75" hidden="1" customHeight="1">
      <c r="A232" s="98" t="s">
        <v>2</v>
      </c>
      <c r="B232" s="191" t="s">
        <v>4053</v>
      </c>
      <c r="C232" s="191" t="s">
        <v>4353</v>
      </c>
      <c r="D232" s="191" t="s">
        <v>477</v>
      </c>
      <c r="E232" s="191">
        <v>5</v>
      </c>
      <c r="F232" s="191">
        <v>0</v>
      </c>
      <c r="G232" s="191">
        <v>0</v>
      </c>
      <c r="H232" s="191" t="s">
        <v>479</v>
      </c>
      <c r="I232" s="191" t="s">
        <v>548</v>
      </c>
      <c r="J232" s="191">
        <v>0</v>
      </c>
      <c r="K232" s="159"/>
    </row>
    <row r="233" spans="1:11" ht="15.75" hidden="1" customHeight="1">
      <c r="A233" s="98" t="s">
        <v>2</v>
      </c>
      <c r="B233" s="191" t="s">
        <v>4053</v>
      </c>
      <c r="C233" s="191" t="s">
        <v>4354</v>
      </c>
      <c r="D233" s="191" t="s">
        <v>477</v>
      </c>
      <c r="E233" s="191">
        <v>20</v>
      </c>
      <c r="F233" s="191">
        <v>0</v>
      </c>
      <c r="G233" s="191">
        <v>0</v>
      </c>
      <c r="H233" s="191" t="s">
        <v>479</v>
      </c>
      <c r="I233" s="191" t="s">
        <v>548</v>
      </c>
      <c r="J233" s="191">
        <v>1</v>
      </c>
      <c r="K233" s="159"/>
    </row>
    <row r="234" spans="1:11" ht="15.75" hidden="1" customHeight="1">
      <c r="A234" s="98" t="s">
        <v>2</v>
      </c>
      <c r="B234" s="191" t="s">
        <v>4053</v>
      </c>
      <c r="C234" s="191" t="s">
        <v>4355</v>
      </c>
      <c r="D234" s="191" t="s">
        <v>477</v>
      </c>
      <c r="E234" s="191">
        <v>4</v>
      </c>
      <c r="F234" s="191">
        <v>0</v>
      </c>
      <c r="G234" s="191">
        <v>0</v>
      </c>
      <c r="H234" s="191" t="s">
        <v>479</v>
      </c>
      <c r="I234" s="191" t="s">
        <v>548</v>
      </c>
      <c r="J234" s="191">
        <v>0</v>
      </c>
      <c r="K234" s="159"/>
    </row>
    <row r="235" spans="1:11" ht="15.75" hidden="1" customHeight="1">
      <c r="A235" s="98" t="s">
        <v>2</v>
      </c>
      <c r="B235" s="191" t="s">
        <v>4053</v>
      </c>
      <c r="C235" s="191" t="s">
        <v>4356</v>
      </c>
      <c r="D235" s="191" t="s">
        <v>477</v>
      </c>
      <c r="E235" s="191">
        <v>5</v>
      </c>
      <c r="F235" s="191">
        <v>0</v>
      </c>
      <c r="G235" s="191">
        <v>0</v>
      </c>
      <c r="H235" s="191" t="s">
        <v>479</v>
      </c>
      <c r="I235" s="191" t="s">
        <v>548</v>
      </c>
      <c r="J235" s="191">
        <v>0</v>
      </c>
      <c r="K235" s="159"/>
    </row>
    <row r="236" spans="1:11" ht="15.75" hidden="1" customHeight="1">
      <c r="A236" s="98" t="s">
        <v>2</v>
      </c>
      <c r="B236" s="191" t="s">
        <v>4053</v>
      </c>
      <c r="C236" s="191" t="s">
        <v>4252</v>
      </c>
      <c r="D236" s="191" t="s">
        <v>477</v>
      </c>
      <c r="E236" s="191">
        <v>15</v>
      </c>
      <c r="F236" s="191">
        <v>0</v>
      </c>
      <c r="G236" s="191">
        <v>0</v>
      </c>
      <c r="H236" s="191" t="s">
        <v>479</v>
      </c>
      <c r="I236" s="191" t="s">
        <v>548</v>
      </c>
      <c r="J236" s="191">
        <v>0</v>
      </c>
      <c r="K236" s="159"/>
    </row>
    <row r="237" spans="1:11" ht="15.75" hidden="1" customHeight="1">
      <c r="A237" s="98" t="s">
        <v>2</v>
      </c>
      <c r="B237" s="191" t="s">
        <v>4053</v>
      </c>
      <c r="C237" s="191" t="s">
        <v>4357</v>
      </c>
      <c r="D237" s="191" t="s">
        <v>477</v>
      </c>
      <c r="E237" s="191">
        <v>2</v>
      </c>
      <c r="F237" s="191">
        <v>0</v>
      </c>
      <c r="G237" s="191">
        <v>0</v>
      </c>
      <c r="H237" s="191" t="s">
        <v>479</v>
      </c>
      <c r="I237" s="191" t="s">
        <v>548</v>
      </c>
      <c r="J237" s="191">
        <v>0</v>
      </c>
      <c r="K237" s="159"/>
    </row>
    <row r="238" spans="1:11" ht="15.75" hidden="1" customHeight="1">
      <c r="A238" s="98" t="s">
        <v>2</v>
      </c>
      <c r="B238" s="191" t="s">
        <v>4053</v>
      </c>
      <c r="C238" s="191" t="s">
        <v>4358</v>
      </c>
      <c r="D238" s="191" t="s">
        <v>477</v>
      </c>
      <c r="E238" s="191">
        <v>3</v>
      </c>
      <c r="F238" s="191">
        <v>0</v>
      </c>
      <c r="G238" s="191">
        <v>0</v>
      </c>
      <c r="H238" s="191" t="s">
        <v>479</v>
      </c>
      <c r="I238" s="191" t="s">
        <v>548</v>
      </c>
      <c r="J238" s="191">
        <v>0</v>
      </c>
      <c r="K238" s="159"/>
    </row>
    <row r="239" spans="1:11" ht="15.75" hidden="1" customHeight="1">
      <c r="A239" s="98" t="s">
        <v>2</v>
      </c>
      <c r="B239" s="191" t="s">
        <v>4053</v>
      </c>
      <c r="C239" s="191" t="s">
        <v>4186</v>
      </c>
      <c r="D239" s="191" t="s">
        <v>477</v>
      </c>
      <c r="E239" s="191">
        <v>10</v>
      </c>
      <c r="F239" s="191">
        <v>0</v>
      </c>
      <c r="G239" s="191">
        <v>0</v>
      </c>
      <c r="H239" s="191" t="s">
        <v>479</v>
      </c>
      <c r="I239" s="191" t="s">
        <v>548</v>
      </c>
      <c r="J239" s="191">
        <v>0</v>
      </c>
      <c r="K239" s="159"/>
    </row>
    <row r="240" spans="1:11" ht="15.75" hidden="1" customHeight="1">
      <c r="A240" s="98" t="s">
        <v>2</v>
      </c>
      <c r="B240" s="191" t="s">
        <v>4053</v>
      </c>
      <c r="C240" s="191" t="s">
        <v>4188</v>
      </c>
      <c r="D240" s="191" t="s">
        <v>477</v>
      </c>
      <c r="E240" s="191">
        <v>10</v>
      </c>
      <c r="F240" s="191">
        <v>0</v>
      </c>
      <c r="G240" s="191">
        <v>0</v>
      </c>
      <c r="H240" s="191" t="s">
        <v>479</v>
      </c>
      <c r="I240" s="191" t="s">
        <v>548</v>
      </c>
      <c r="J240" s="191">
        <v>0</v>
      </c>
      <c r="K240" s="159"/>
    </row>
    <row r="241" spans="1:11" ht="15.75" hidden="1" customHeight="1">
      <c r="A241" s="98" t="s">
        <v>2</v>
      </c>
      <c r="B241" s="191" t="s">
        <v>4053</v>
      </c>
      <c r="C241" s="191" t="s">
        <v>4359</v>
      </c>
      <c r="D241" s="191" t="s">
        <v>484</v>
      </c>
      <c r="E241" s="191">
        <v>4</v>
      </c>
      <c r="F241" s="191">
        <v>10</v>
      </c>
      <c r="G241" s="191">
        <v>0</v>
      </c>
      <c r="H241" s="191" t="s">
        <v>479</v>
      </c>
      <c r="I241" s="191" t="s">
        <v>615</v>
      </c>
      <c r="J241" s="191">
        <v>0</v>
      </c>
      <c r="K241" s="159"/>
    </row>
    <row r="242" spans="1:11" ht="15.75" hidden="1" customHeight="1">
      <c r="A242" s="98" t="s">
        <v>2</v>
      </c>
      <c r="B242" s="191" t="s">
        <v>4053</v>
      </c>
      <c r="C242" s="191" t="s">
        <v>4176</v>
      </c>
      <c r="D242" s="191" t="s">
        <v>484</v>
      </c>
      <c r="E242" s="191">
        <v>4</v>
      </c>
      <c r="F242" s="191">
        <v>10</v>
      </c>
      <c r="G242" s="191">
        <v>0</v>
      </c>
      <c r="H242" s="191" t="s">
        <v>479</v>
      </c>
      <c r="I242" s="191" t="s">
        <v>615</v>
      </c>
      <c r="J242" s="191">
        <v>0</v>
      </c>
      <c r="K242" s="159"/>
    </row>
    <row r="243" spans="1:11" ht="15.75" hidden="1" customHeight="1">
      <c r="A243" s="98" t="s">
        <v>2</v>
      </c>
      <c r="B243" s="191" t="s">
        <v>4053</v>
      </c>
      <c r="C243" s="191" t="s">
        <v>4346</v>
      </c>
      <c r="D243" s="191" t="s">
        <v>477</v>
      </c>
      <c r="E243" s="191">
        <v>10</v>
      </c>
      <c r="F243" s="191">
        <v>0</v>
      </c>
      <c r="G243" s="191">
        <v>0</v>
      </c>
      <c r="H243" s="191" t="s">
        <v>479</v>
      </c>
      <c r="I243" s="191" t="s">
        <v>548</v>
      </c>
      <c r="J243" s="191">
        <v>0</v>
      </c>
      <c r="K243" s="159"/>
    </row>
    <row r="244" spans="1:11" ht="15.75" hidden="1" customHeight="1">
      <c r="A244" s="98" t="s">
        <v>2</v>
      </c>
      <c r="B244" s="191" t="s">
        <v>4053</v>
      </c>
      <c r="C244" s="191" t="s">
        <v>2615</v>
      </c>
      <c r="D244" s="191" t="s">
        <v>477</v>
      </c>
      <c r="E244" s="191">
        <v>10</v>
      </c>
      <c r="F244" s="191">
        <v>0</v>
      </c>
      <c r="G244" s="191">
        <v>0</v>
      </c>
      <c r="H244" s="191" t="s">
        <v>479</v>
      </c>
      <c r="I244" s="191" t="s">
        <v>548</v>
      </c>
      <c r="J244" s="191">
        <v>0</v>
      </c>
      <c r="K244" s="159"/>
    </row>
    <row r="245" spans="1:11" ht="15.75" hidden="1" customHeight="1">
      <c r="A245" s="98" t="s">
        <v>2</v>
      </c>
      <c r="B245" s="191" t="s">
        <v>4053</v>
      </c>
      <c r="C245" s="191" t="s">
        <v>4360</v>
      </c>
      <c r="D245" s="191" t="s">
        <v>477</v>
      </c>
      <c r="E245" s="191">
        <v>14</v>
      </c>
      <c r="F245" s="191">
        <v>0</v>
      </c>
      <c r="G245" s="191">
        <v>0</v>
      </c>
      <c r="H245" s="191" t="s">
        <v>479</v>
      </c>
      <c r="I245" s="191" t="s">
        <v>548</v>
      </c>
      <c r="J245" s="191">
        <v>0</v>
      </c>
      <c r="K245" s="159"/>
    </row>
    <row r="246" spans="1:11" ht="15.75" hidden="1" customHeight="1">
      <c r="A246" s="98" t="s">
        <v>2</v>
      </c>
      <c r="B246" s="191" t="s">
        <v>4053</v>
      </c>
      <c r="C246" s="191" t="s">
        <v>4361</v>
      </c>
      <c r="D246" s="191" t="s">
        <v>477</v>
      </c>
      <c r="E246" s="191">
        <v>10</v>
      </c>
      <c r="F246" s="191">
        <v>0</v>
      </c>
      <c r="G246" s="191">
        <v>0</v>
      </c>
      <c r="H246" s="191" t="s">
        <v>479</v>
      </c>
      <c r="I246" s="191" t="s">
        <v>548</v>
      </c>
      <c r="J246" s="191">
        <v>0</v>
      </c>
      <c r="K246" s="159"/>
    </row>
    <row r="247" spans="1:11" ht="15.75" hidden="1" customHeight="1">
      <c r="A247" s="98" t="s">
        <v>2</v>
      </c>
      <c r="B247" s="191" t="s">
        <v>4053</v>
      </c>
      <c r="C247" s="191" t="s">
        <v>4362</v>
      </c>
      <c r="D247" s="191" t="s">
        <v>477</v>
      </c>
      <c r="E247" s="191">
        <v>55</v>
      </c>
      <c r="F247" s="191">
        <v>0</v>
      </c>
      <c r="G247" s="191">
        <v>0</v>
      </c>
      <c r="H247" s="191" t="s">
        <v>479</v>
      </c>
      <c r="I247" s="191" t="s">
        <v>548</v>
      </c>
      <c r="J247" s="191">
        <v>0</v>
      </c>
      <c r="K247" s="159"/>
    </row>
    <row r="248" spans="1:11" ht="15.75" hidden="1" customHeight="1">
      <c r="A248" s="98" t="s">
        <v>2</v>
      </c>
      <c r="B248" s="191" t="s">
        <v>4053</v>
      </c>
      <c r="C248" s="191" t="s">
        <v>4363</v>
      </c>
      <c r="D248" s="191" t="s">
        <v>477</v>
      </c>
      <c r="E248" s="191">
        <v>55</v>
      </c>
      <c r="F248" s="191">
        <v>0</v>
      </c>
      <c r="G248" s="191">
        <v>0</v>
      </c>
      <c r="H248" s="191" t="s">
        <v>479</v>
      </c>
      <c r="I248" s="191" t="s">
        <v>548</v>
      </c>
      <c r="J248" s="191">
        <v>0</v>
      </c>
      <c r="K248" s="159"/>
    </row>
    <row r="249" spans="1:11" ht="15.75" hidden="1" customHeight="1">
      <c r="A249" s="98" t="s">
        <v>2</v>
      </c>
      <c r="B249" s="191" t="s">
        <v>4053</v>
      </c>
      <c r="C249" s="191" t="s">
        <v>4364</v>
      </c>
      <c r="D249" s="191" t="s">
        <v>477</v>
      </c>
      <c r="E249" s="191">
        <v>55</v>
      </c>
      <c r="F249" s="191">
        <v>0</v>
      </c>
      <c r="G249" s="191">
        <v>0</v>
      </c>
      <c r="H249" s="191" t="s">
        <v>479</v>
      </c>
      <c r="I249" s="191" t="s">
        <v>548</v>
      </c>
      <c r="J249" s="191">
        <v>0</v>
      </c>
      <c r="K249" s="159"/>
    </row>
    <row r="250" spans="1:11" ht="15.75" hidden="1" customHeight="1">
      <c r="A250" s="98" t="s">
        <v>2</v>
      </c>
      <c r="B250" s="191" t="s">
        <v>4053</v>
      </c>
      <c r="C250" s="191" t="s">
        <v>4365</v>
      </c>
      <c r="D250" s="191" t="s">
        <v>477</v>
      </c>
      <c r="E250" s="191">
        <v>55</v>
      </c>
      <c r="F250" s="191">
        <v>0</v>
      </c>
      <c r="G250" s="191">
        <v>0</v>
      </c>
      <c r="H250" s="191" t="s">
        <v>479</v>
      </c>
      <c r="I250" s="191" t="s">
        <v>548</v>
      </c>
      <c r="J250" s="191">
        <v>0</v>
      </c>
      <c r="K250" s="159"/>
    </row>
    <row r="251" spans="1:11" ht="15.75" hidden="1" customHeight="1">
      <c r="A251" s="98" t="s">
        <v>2</v>
      </c>
      <c r="B251" s="191" t="s">
        <v>4053</v>
      </c>
      <c r="C251" s="191" t="s">
        <v>4366</v>
      </c>
      <c r="D251" s="191" t="s">
        <v>477</v>
      </c>
      <c r="E251" s="191">
        <v>55</v>
      </c>
      <c r="F251" s="191">
        <v>0</v>
      </c>
      <c r="G251" s="191">
        <v>0</v>
      </c>
      <c r="H251" s="191" t="s">
        <v>479</v>
      </c>
      <c r="I251" s="191" t="s">
        <v>548</v>
      </c>
      <c r="J251" s="191">
        <v>0</v>
      </c>
      <c r="K251" s="159"/>
    </row>
    <row r="252" spans="1:11" ht="15.75" hidden="1" customHeight="1">
      <c r="A252" s="98" t="s">
        <v>2</v>
      </c>
      <c r="B252" s="191" t="s">
        <v>4053</v>
      </c>
      <c r="C252" s="191" t="s">
        <v>4367</v>
      </c>
      <c r="D252" s="191" t="s">
        <v>477</v>
      </c>
      <c r="E252" s="191">
        <v>8</v>
      </c>
      <c r="F252" s="191">
        <v>0</v>
      </c>
      <c r="G252" s="191">
        <v>0</v>
      </c>
      <c r="H252" s="191" t="s">
        <v>479</v>
      </c>
      <c r="I252" s="191" t="s">
        <v>548</v>
      </c>
      <c r="J252" s="191">
        <v>1</v>
      </c>
      <c r="K252" s="159"/>
    </row>
    <row r="253" spans="1:11" ht="15.75" hidden="1" customHeight="1">
      <c r="A253" s="98" t="s">
        <v>2</v>
      </c>
      <c r="B253" s="191" t="s">
        <v>4053</v>
      </c>
      <c r="C253" s="191" t="s">
        <v>4368</v>
      </c>
      <c r="D253" s="191" t="s">
        <v>477</v>
      </c>
      <c r="E253" s="191">
        <v>55</v>
      </c>
      <c r="F253" s="191">
        <v>0</v>
      </c>
      <c r="G253" s="191">
        <v>0</v>
      </c>
      <c r="H253" s="191" t="s">
        <v>479</v>
      </c>
      <c r="I253" s="191" t="s">
        <v>548</v>
      </c>
      <c r="J253" s="191">
        <v>0</v>
      </c>
      <c r="K253" s="159"/>
    </row>
    <row r="254" spans="1:11" ht="15.75" hidden="1" customHeight="1">
      <c r="A254" s="98" t="s">
        <v>2</v>
      </c>
      <c r="B254" s="191" t="s">
        <v>4053</v>
      </c>
      <c r="C254" s="191" t="s">
        <v>4369</v>
      </c>
      <c r="D254" s="191" t="s">
        <v>477</v>
      </c>
      <c r="E254" s="191">
        <v>55</v>
      </c>
      <c r="F254" s="191">
        <v>0</v>
      </c>
      <c r="G254" s="191">
        <v>0</v>
      </c>
      <c r="H254" s="191" t="s">
        <v>479</v>
      </c>
      <c r="I254" s="191" t="s">
        <v>548</v>
      </c>
      <c r="J254" s="279">
        <v>1</v>
      </c>
      <c r="K254" s="159"/>
    </row>
    <row r="255" spans="1:11" ht="15.75" hidden="1" customHeight="1">
      <c r="A255" s="98" t="s">
        <v>2</v>
      </c>
      <c r="B255" s="191" t="s">
        <v>4053</v>
      </c>
      <c r="C255" s="191" t="s">
        <v>4370</v>
      </c>
      <c r="D255" s="191" t="s">
        <v>477</v>
      </c>
      <c r="E255" s="191">
        <v>20</v>
      </c>
      <c r="F255" s="191">
        <v>0</v>
      </c>
      <c r="G255" s="191">
        <v>0</v>
      </c>
      <c r="H255" s="191" t="s">
        <v>479</v>
      </c>
      <c r="I255" s="191" t="s">
        <v>548</v>
      </c>
      <c r="J255" s="191">
        <v>0</v>
      </c>
      <c r="K255" s="159"/>
    </row>
    <row r="256" spans="1:11" ht="15.75" hidden="1" customHeight="1">
      <c r="A256" s="98" t="s">
        <v>2</v>
      </c>
      <c r="B256" s="191" t="s">
        <v>4053</v>
      </c>
      <c r="C256" s="191" t="s">
        <v>4371</v>
      </c>
      <c r="D256" s="191" t="s">
        <v>477</v>
      </c>
      <c r="E256" s="191">
        <v>55</v>
      </c>
      <c r="F256" s="191">
        <v>0</v>
      </c>
      <c r="G256" s="191">
        <v>0</v>
      </c>
      <c r="H256" s="191" t="s">
        <v>479</v>
      </c>
      <c r="I256" s="191" t="s">
        <v>548</v>
      </c>
      <c r="J256" s="191">
        <v>0</v>
      </c>
      <c r="K256" s="159"/>
    </row>
    <row r="257" spans="1:11" ht="15.75" hidden="1" customHeight="1">
      <c r="A257" s="98" t="s">
        <v>2</v>
      </c>
      <c r="B257" s="191" t="s">
        <v>4053</v>
      </c>
      <c r="C257" s="191" t="s">
        <v>4372</v>
      </c>
      <c r="D257" s="191" t="s">
        <v>477</v>
      </c>
      <c r="E257" s="191">
        <v>255</v>
      </c>
      <c r="F257" s="191">
        <v>0</v>
      </c>
      <c r="G257" s="191">
        <v>0</v>
      </c>
      <c r="H257" s="191" t="s">
        <v>479</v>
      </c>
      <c r="I257" s="191" t="s">
        <v>548</v>
      </c>
      <c r="J257" s="191">
        <v>0</v>
      </c>
      <c r="K257" s="159"/>
    </row>
    <row r="258" spans="1:11" ht="15.75" hidden="1" customHeight="1">
      <c r="A258" s="98" t="s">
        <v>2</v>
      </c>
      <c r="B258" s="191" t="s">
        <v>4053</v>
      </c>
      <c r="C258" s="191" t="s">
        <v>4373</v>
      </c>
      <c r="D258" s="191" t="s">
        <v>477</v>
      </c>
      <c r="E258" s="191">
        <v>255</v>
      </c>
      <c r="F258" s="191">
        <v>0</v>
      </c>
      <c r="G258" s="191">
        <v>0</v>
      </c>
      <c r="H258" s="191" t="s">
        <v>479</v>
      </c>
      <c r="I258" s="191" t="s">
        <v>548</v>
      </c>
      <c r="J258" s="191">
        <v>0</v>
      </c>
      <c r="K258" s="159"/>
    </row>
    <row r="259" spans="1:11" ht="15.75" hidden="1" customHeight="1">
      <c r="A259" s="98" t="s">
        <v>2</v>
      </c>
      <c r="B259" s="191" t="s">
        <v>4053</v>
      </c>
      <c r="C259" s="191" t="s">
        <v>4374</v>
      </c>
      <c r="D259" s="191" t="s">
        <v>477</v>
      </c>
      <c r="E259" s="191">
        <v>10</v>
      </c>
      <c r="F259" s="191">
        <v>0</v>
      </c>
      <c r="G259" s="191">
        <v>0</v>
      </c>
      <c r="H259" s="191" t="s">
        <v>479</v>
      </c>
      <c r="I259" s="191" t="s">
        <v>548</v>
      </c>
      <c r="J259" s="191">
        <v>0</v>
      </c>
      <c r="K259" s="159"/>
    </row>
    <row r="260" spans="1:11" ht="15.75" hidden="1" customHeight="1">
      <c r="A260" s="98" t="s">
        <v>2</v>
      </c>
      <c r="B260" s="191" t="s">
        <v>4053</v>
      </c>
      <c r="C260" s="191" t="s">
        <v>4375</v>
      </c>
      <c r="D260" s="191" t="s">
        <v>477</v>
      </c>
      <c r="E260" s="191">
        <v>20</v>
      </c>
      <c r="F260" s="191">
        <v>0</v>
      </c>
      <c r="G260" s="191">
        <v>0</v>
      </c>
      <c r="H260" s="191" t="s">
        <v>479</v>
      </c>
      <c r="I260" s="191" t="s">
        <v>548</v>
      </c>
      <c r="J260" s="191">
        <v>0</v>
      </c>
      <c r="K260" s="159"/>
    </row>
    <row r="261" spans="1:11" ht="15.75" hidden="1" customHeight="1">
      <c r="A261" s="98" t="s">
        <v>2</v>
      </c>
      <c r="B261" s="191" t="s">
        <v>4053</v>
      </c>
      <c r="C261" s="191" t="s">
        <v>4376</v>
      </c>
      <c r="D261" s="191" t="s">
        <v>477</v>
      </c>
      <c r="E261" s="191">
        <v>55</v>
      </c>
      <c r="F261" s="191">
        <v>0</v>
      </c>
      <c r="G261" s="191">
        <v>0</v>
      </c>
      <c r="H261" s="191" t="s">
        <v>479</v>
      </c>
      <c r="I261" s="191" t="s">
        <v>548</v>
      </c>
      <c r="J261" s="191">
        <v>0</v>
      </c>
      <c r="K261" s="159"/>
    </row>
    <row r="262" spans="1:11" ht="15.75" hidden="1" customHeight="1">
      <c r="A262" s="98" t="s">
        <v>2</v>
      </c>
      <c r="B262" s="191" t="s">
        <v>4053</v>
      </c>
      <c r="C262" s="191" t="s">
        <v>4377</v>
      </c>
      <c r="D262" s="191" t="s">
        <v>496</v>
      </c>
      <c r="E262" s="191">
        <v>4</v>
      </c>
      <c r="F262" s="191">
        <v>16</v>
      </c>
      <c r="G262" s="191">
        <v>0</v>
      </c>
      <c r="H262" s="191" t="s">
        <v>479</v>
      </c>
      <c r="I262" s="191" t="s">
        <v>4378</v>
      </c>
      <c r="J262" s="191">
        <v>0</v>
      </c>
      <c r="K262" s="159"/>
    </row>
    <row r="263" spans="1:11" ht="15.75" hidden="1" customHeight="1">
      <c r="A263" s="98" t="s">
        <v>2</v>
      </c>
      <c r="B263" s="191" t="s">
        <v>4053</v>
      </c>
      <c r="C263" s="191" t="s">
        <v>4379</v>
      </c>
      <c r="D263" s="191" t="s">
        <v>477</v>
      </c>
      <c r="E263" s="191">
        <v>6</v>
      </c>
      <c r="F263" s="191">
        <v>0</v>
      </c>
      <c r="G263" s="191">
        <v>0</v>
      </c>
      <c r="H263" s="191" t="s">
        <v>479</v>
      </c>
      <c r="I263" s="191" t="s">
        <v>548</v>
      </c>
      <c r="J263" s="191">
        <v>0</v>
      </c>
      <c r="K263" s="159"/>
    </row>
    <row r="264" spans="1:11" ht="15.75" hidden="1" customHeight="1">
      <c r="A264" s="98" t="s">
        <v>2</v>
      </c>
      <c r="B264" s="191" t="s">
        <v>4053</v>
      </c>
      <c r="C264" s="191" t="s">
        <v>4380</v>
      </c>
      <c r="D264" s="191" t="s">
        <v>477</v>
      </c>
      <c r="E264" s="191">
        <v>15</v>
      </c>
      <c r="F264" s="191">
        <v>0</v>
      </c>
      <c r="G264" s="191">
        <v>0</v>
      </c>
      <c r="H264" s="191" t="s">
        <v>479</v>
      </c>
      <c r="I264" s="191" t="s">
        <v>548</v>
      </c>
      <c r="J264" s="191">
        <v>0</v>
      </c>
      <c r="K264" s="159"/>
    </row>
    <row r="265" spans="1:11" ht="15.75" hidden="1" customHeight="1">
      <c r="A265" s="98" t="s">
        <v>2</v>
      </c>
      <c r="B265" s="191" t="s">
        <v>4053</v>
      </c>
      <c r="C265" s="191" t="s">
        <v>4381</v>
      </c>
      <c r="D265" s="191" t="s">
        <v>477</v>
      </c>
      <c r="E265" s="191">
        <v>1</v>
      </c>
      <c r="F265" s="191">
        <v>0</v>
      </c>
      <c r="G265" s="191">
        <v>0</v>
      </c>
      <c r="H265" s="191" t="s">
        <v>479</v>
      </c>
      <c r="I265" s="191" t="s">
        <v>548</v>
      </c>
      <c r="J265" s="191">
        <v>0</v>
      </c>
      <c r="K265" s="159"/>
    </row>
    <row r="266" spans="1:11" ht="15.75" hidden="1" customHeight="1">
      <c r="A266" s="98" t="s">
        <v>2</v>
      </c>
      <c r="B266" s="191" t="s">
        <v>4053</v>
      </c>
      <c r="C266" s="191" t="s">
        <v>4382</v>
      </c>
      <c r="D266" s="191" t="s">
        <v>477</v>
      </c>
      <c r="E266" s="191">
        <v>20</v>
      </c>
      <c r="F266" s="191">
        <v>0</v>
      </c>
      <c r="G266" s="191">
        <v>0</v>
      </c>
      <c r="H266" s="191" t="s">
        <v>479</v>
      </c>
      <c r="I266" s="191" t="s">
        <v>548</v>
      </c>
      <c r="J266" s="191">
        <v>0</v>
      </c>
      <c r="K266" s="159"/>
    </row>
    <row r="267" spans="1:11" ht="15.75" hidden="1" customHeight="1">
      <c r="A267" s="98" t="s">
        <v>2</v>
      </c>
      <c r="B267" s="191" t="s">
        <v>4053</v>
      </c>
      <c r="C267" s="191" t="s">
        <v>811</v>
      </c>
      <c r="D267" s="191" t="s">
        <v>477</v>
      </c>
      <c r="E267" s="191">
        <v>10</v>
      </c>
      <c r="F267" s="191">
        <v>0</v>
      </c>
      <c r="G267" s="191">
        <v>0</v>
      </c>
      <c r="H267" s="191" t="s">
        <v>479</v>
      </c>
      <c r="I267" s="191" t="s">
        <v>813</v>
      </c>
      <c r="J267" s="191">
        <v>0</v>
      </c>
      <c r="K267" s="159"/>
    </row>
    <row r="268" spans="1:11" ht="15.75" hidden="1" customHeight="1">
      <c r="A268" s="98" t="s">
        <v>2</v>
      </c>
      <c r="B268" s="191" t="s">
        <v>4053</v>
      </c>
      <c r="C268" s="191" t="s">
        <v>215</v>
      </c>
      <c r="D268" s="191" t="s">
        <v>496</v>
      </c>
      <c r="E268" s="191">
        <v>4</v>
      </c>
      <c r="F268" s="191">
        <v>16</v>
      </c>
      <c r="G268" s="191">
        <v>0</v>
      </c>
      <c r="H268" s="191" t="s">
        <v>479</v>
      </c>
      <c r="I268" s="191" t="s">
        <v>4378</v>
      </c>
      <c r="J268" s="191">
        <v>0</v>
      </c>
      <c r="K268" s="159"/>
    </row>
    <row r="269" spans="1:11" ht="15.75" hidden="1" customHeight="1">
      <c r="A269" s="98" t="s">
        <v>2</v>
      </c>
      <c r="B269" s="191" t="s">
        <v>4053</v>
      </c>
      <c r="C269" s="191" t="s">
        <v>670</v>
      </c>
      <c r="D269" s="191" t="s">
        <v>477</v>
      </c>
      <c r="E269" s="191">
        <v>8</v>
      </c>
      <c r="F269" s="191">
        <v>0</v>
      </c>
      <c r="G269" s="191">
        <v>0</v>
      </c>
      <c r="H269" s="191" t="s">
        <v>479</v>
      </c>
      <c r="I269" s="191" t="s">
        <v>548</v>
      </c>
      <c r="J269" s="191">
        <v>0</v>
      </c>
      <c r="K269" s="159"/>
    </row>
    <row r="270" spans="1:11" ht="15.75" hidden="1" customHeight="1">
      <c r="A270" s="98" t="s">
        <v>2</v>
      </c>
      <c r="B270" s="191" t="s">
        <v>4053</v>
      </c>
      <c r="C270" s="191" t="s">
        <v>669</v>
      </c>
      <c r="D270" s="191" t="s">
        <v>496</v>
      </c>
      <c r="E270" s="191">
        <v>4</v>
      </c>
      <c r="F270" s="191">
        <v>16</v>
      </c>
      <c r="G270" s="191">
        <v>0</v>
      </c>
      <c r="H270" s="191" t="s">
        <v>479</v>
      </c>
      <c r="I270" s="191" t="s">
        <v>4378</v>
      </c>
      <c r="J270" s="191">
        <v>0</v>
      </c>
      <c r="K270" s="159"/>
    </row>
    <row r="271" spans="1:11" ht="15.75" hidden="1" customHeight="1">
      <c r="A271" s="98" t="s">
        <v>2</v>
      </c>
      <c r="B271" s="191" t="s">
        <v>4053</v>
      </c>
      <c r="C271" s="191" t="s">
        <v>523</v>
      </c>
      <c r="D271" s="191" t="s">
        <v>477</v>
      </c>
      <c r="E271" s="191">
        <v>8</v>
      </c>
      <c r="F271" s="191">
        <v>0</v>
      </c>
      <c r="G271" s="191">
        <v>0</v>
      </c>
      <c r="H271" s="191" t="s">
        <v>479</v>
      </c>
      <c r="I271" s="191" t="s">
        <v>548</v>
      </c>
      <c r="J271" s="191">
        <v>0</v>
      </c>
      <c r="K271" s="159"/>
    </row>
    <row r="272" spans="1:11" ht="15.75" hidden="1" customHeight="1">
      <c r="A272" s="98" t="s">
        <v>2</v>
      </c>
      <c r="B272" s="191" t="s">
        <v>4053</v>
      </c>
      <c r="C272" s="191" t="s">
        <v>4383</v>
      </c>
      <c r="D272" s="191" t="s">
        <v>477</v>
      </c>
      <c r="E272" s="191">
        <v>255</v>
      </c>
      <c r="F272" s="191">
        <v>0</v>
      </c>
      <c r="G272" s="191">
        <v>0</v>
      </c>
      <c r="H272" s="191" t="s">
        <v>479</v>
      </c>
      <c r="I272" s="191" t="s">
        <v>548</v>
      </c>
      <c r="J272" s="191">
        <v>0</v>
      </c>
      <c r="K272" s="159"/>
    </row>
    <row r="273" spans="1:11" ht="15.75" hidden="1" customHeight="1">
      <c r="A273" s="98" t="s">
        <v>2</v>
      </c>
      <c r="B273" s="191" t="s">
        <v>4054</v>
      </c>
      <c r="C273" s="191" t="s">
        <v>325</v>
      </c>
      <c r="D273" s="191" t="s">
        <v>484</v>
      </c>
      <c r="E273" s="191">
        <v>4</v>
      </c>
      <c r="F273" s="191">
        <v>10</v>
      </c>
      <c r="G273" s="191">
        <v>0</v>
      </c>
      <c r="H273" s="191" t="s">
        <v>4384</v>
      </c>
      <c r="I273" s="191" t="s">
        <v>479</v>
      </c>
      <c r="J273" s="191">
        <v>0</v>
      </c>
      <c r="K273" s="159"/>
    </row>
    <row r="274" spans="1:11" ht="15.75" hidden="1" customHeight="1">
      <c r="A274" s="98" t="s">
        <v>2</v>
      </c>
      <c r="B274" s="191" t="s">
        <v>4054</v>
      </c>
      <c r="C274" s="191" t="s">
        <v>811</v>
      </c>
      <c r="D274" s="191" t="s">
        <v>477</v>
      </c>
      <c r="E274" s="191">
        <v>10</v>
      </c>
      <c r="F274" s="191">
        <v>0</v>
      </c>
      <c r="G274" s="191">
        <v>0</v>
      </c>
      <c r="H274" s="191" t="s">
        <v>4385</v>
      </c>
      <c r="I274" s="191" t="s">
        <v>813</v>
      </c>
      <c r="J274" s="191">
        <v>0</v>
      </c>
      <c r="K274" s="159"/>
    </row>
    <row r="275" spans="1:11" ht="15.75" hidden="1" customHeight="1">
      <c r="A275" s="98" t="s">
        <v>2</v>
      </c>
      <c r="B275" s="191" t="s">
        <v>4054</v>
      </c>
      <c r="C275" s="191" t="s">
        <v>4352</v>
      </c>
      <c r="D275" s="191" t="s">
        <v>477</v>
      </c>
      <c r="E275" s="191">
        <v>5</v>
      </c>
      <c r="F275" s="191">
        <v>0</v>
      </c>
      <c r="G275" s="191">
        <v>0</v>
      </c>
      <c r="H275" s="191" t="s">
        <v>4386</v>
      </c>
      <c r="I275" s="191" t="s">
        <v>2404</v>
      </c>
      <c r="J275" s="191">
        <v>0</v>
      </c>
      <c r="K275" s="159"/>
    </row>
    <row r="276" spans="1:11" ht="15.75" hidden="1" customHeight="1">
      <c r="A276" s="98" t="s">
        <v>2</v>
      </c>
      <c r="B276" s="191" t="s">
        <v>4054</v>
      </c>
      <c r="C276" s="191" t="s">
        <v>4353</v>
      </c>
      <c r="D276" s="191" t="s">
        <v>477</v>
      </c>
      <c r="E276" s="191">
        <v>5</v>
      </c>
      <c r="F276" s="191">
        <v>0</v>
      </c>
      <c r="G276" s="191">
        <v>0</v>
      </c>
      <c r="H276" s="191" t="s">
        <v>4387</v>
      </c>
      <c r="I276" s="191" t="s">
        <v>548</v>
      </c>
      <c r="J276" s="191">
        <v>0</v>
      </c>
      <c r="K276" s="159"/>
    </row>
    <row r="277" spans="1:11" ht="15.75" hidden="1" customHeight="1">
      <c r="A277" s="98" t="s">
        <v>2</v>
      </c>
      <c r="B277" s="191" t="s">
        <v>4054</v>
      </c>
      <c r="C277" s="191" t="s">
        <v>4388</v>
      </c>
      <c r="D277" s="191" t="s">
        <v>477</v>
      </c>
      <c r="E277" s="191">
        <v>20</v>
      </c>
      <c r="F277" s="191">
        <v>0</v>
      </c>
      <c r="G277" s="191">
        <v>0</v>
      </c>
      <c r="H277" s="191" t="s">
        <v>4389</v>
      </c>
      <c r="I277" s="191" t="s">
        <v>548</v>
      </c>
      <c r="J277" s="191">
        <v>1</v>
      </c>
      <c r="K277" s="159"/>
    </row>
    <row r="278" spans="1:11" ht="15.75" hidden="1" customHeight="1">
      <c r="A278" s="98" t="s">
        <v>2</v>
      </c>
      <c r="B278" s="191" t="s">
        <v>4054</v>
      </c>
      <c r="C278" s="191" t="s">
        <v>4355</v>
      </c>
      <c r="D278" s="191" t="s">
        <v>484</v>
      </c>
      <c r="E278" s="191">
        <v>4</v>
      </c>
      <c r="F278" s="191">
        <v>10</v>
      </c>
      <c r="G278" s="191">
        <v>0</v>
      </c>
      <c r="H278" s="191" t="s">
        <v>4390</v>
      </c>
      <c r="I278" s="191" t="s">
        <v>615</v>
      </c>
      <c r="J278" s="191">
        <v>0</v>
      </c>
      <c r="K278" s="159"/>
    </row>
    <row r="279" spans="1:11" ht="15.75" hidden="1" customHeight="1">
      <c r="A279" s="98" t="s">
        <v>2</v>
      </c>
      <c r="B279" s="191" t="s">
        <v>4054</v>
      </c>
      <c r="C279" s="191" t="s">
        <v>4356</v>
      </c>
      <c r="D279" s="191" t="s">
        <v>477</v>
      </c>
      <c r="E279" s="191">
        <v>5</v>
      </c>
      <c r="F279" s="191">
        <v>0</v>
      </c>
      <c r="G279" s="191">
        <v>0</v>
      </c>
      <c r="H279" s="191" t="s">
        <v>4391</v>
      </c>
      <c r="I279" s="191" t="s">
        <v>548</v>
      </c>
      <c r="J279" s="191">
        <v>0</v>
      </c>
      <c r="K279" s="159"/>
    </row>
    <row r="280" spans="1:11" ht="15.75" hidden="1" customHeight="1">
      <c r="A280" s="98" t="s">
        <v>2</v>
      </c>
      <c r="B280" s="191" t="s">
        <v>4054</v>
      </c>
      <c r="C280" s="191" t="s">
        <v>4252</v>
      </c>
      <c r="D280" s="191" t="s">
        <v>477</v>
      </c>
      <c r="E280" s="191">
        <v>15</v>
      </c>
      <c r="F280" s="191">
        <v>0</v>
      </c>
      <c r="G280" s="191">
        <v>0</v>
      </c>
      <c r="H280" s="191" t="s">
        <v>1130</v>
      </c>
      <c r="I280" s="191" t="s">
        <v>548</v>
      </c>
      <c r="J280" s="191">
        <v>0</v>
      </c>
      <c r="K280" s="159"/>
    </row>
    <row r="281" spans="1:11" ht="15.75" hidden="1" customHeight="1">
      <c r="A281" s="98" t="s">
        <v>2</v>
      </c>
      <c r="B281" s="191" t="s">
        <v>4054</v>
      </c>
      <c r="C281" s="191" t="s">
        <v>4357</v>
      </c>
      <c r="D281" s="191" t="s">
        <v>477</v>
      </c>
      <c r="E281" s="191">
        <v>2</v>
      </c>
      <c r="F281" s="191">
        <v>0</v>
      </c>
      <c r="G281" s="191">
        <v>0</v>
      </c>
      <c r="H281" s="191" t="s">
        <v>479</v>
      </c>
      <c r="I281" s="191" t="s">
        <v>548</v>
      </c>
      <c r="J281" s="191">
        <v>0</v>
      </c>
      <c r="K281" s="159"/>
    </row>
    <row r="282" spans="1:11" ht="15.75" hidden="1" customHeight="1">
      <c r="A282" s="98" t="s">
        <v>2</v>
      </c>
      <c r="B282" s="191" t="s">
        <v>4054</v>
      </c>
      <c r="C282" s="191" t="s">
        <v>4358</v>
      </c>
      <c r="D282" s="191" t="s">
        <v>477</v>
      </c>
      <c r="E282" s="191">
        <v>3</v>
      </c>
      <c r="F282" s="191">
        <v>0</v>
      </c>
      <c r="G282" s="191">
        <v>0</v>
      </c>
      <c r="H282" s="191" t="s">
        <v>4392</v>
      </c>
      <c r="I282" s="191" t="s">
        <v>548</v>
      </c>
      <c r="J282" s="191">
        <v>0</v>
      </c>
      <c r="K282" s="159"/>
    </row>
    <row r="283" spans="1:11" ht="15.75" hidden="1" customHeight="1">
      <c r="A283" s="98" t="s">
        <v>2</v>
      </c>
      <c r="B283" s="191" t="s">
        <v>4054</v>
      </c>
      <c r="C283" s="191" t="s">
        <v>4186</v>
      </c>
      <c r="D283" s="191" t="s">
        <v>477</v>
      </c>
      <c r="E283" s="191">
        <v>10</v>
      </c>
      <c r="F283" s="191">
        <v>0</v>
      </c>
      <c r="G283" s="191">
        <v>0</v>
      </c>
      <c r="H283" s="191" t="s">
        <v>4393</v>
      </c>
      <c r="I283" s="191" t="s">
        <v>548</v>
      </c>
      <c r="J283" s="191">
        <v>0</v>
      </c>
      <c r="K283" s="159"/>
    </row>
    <row r="284" spans="1:11" ht="15.75" hidden="1" customHeight="1">
      <c r="A284" s="98" t="s">
        <v>2</v>
      </c>
      <c r="B284" s="191" t="s">
        <v>4054</v>
      </c>
      <c r="C284" s="191" t="s">
        <v>4394</v>
      </c>
      <c r="D284" s="191" t="s">
        <v>484</v>
      </c>
      <c r="E284" s="191">
        <v>4</v>
      </c>
      <c r="F284" s="191">
        <v>10</v>
      </c>
      <c r="G284" s="191">
        <v>0</v>
      </c>
      <c r="H284" s="191" t="s">
        <v>4395</v>
      </c>
      <c r="I284" s="191" t="s">
        <v>615</v>
      </c>
      <c r="J284" s="191">
        <v>0</v>
      </c>
      <c r="K284" s="159"/>
    </row>
    <row r="285" spans="1:11" ht="15.75" hidden="1" customHeight="1">
      <c r="A285" s="98" t="s">
        <v>2</v>
      </c>
      <c r="B285" s="191" t="s">
        <v>4054</v>
      </c>
      <c r="C285" s="191" t="s">
        <v>4346</v>
      </c>
      <c r="D285" s="191" t="s">
        <v>477</v>
      </c>
      <c r="E285" s="191">
        <v>8</v>
      </c>
      <c r="F285" s="191">
        <v>0</v>
      </c>
      <c r="G285" s="191">
        <v>0</v>
      </c>
      <c r="H285" s="191" t="s">
        <v>4396</v>
      </c>
      <c r="I285" s="191" t="s">
        <v>548</v>
      </c>
      <c r="J285" s="191">
        <v>0</v>
      </c>
      <c r="K285" s="159"/>
    </row>
    <row r="286" spans="1:11" ht="15.75" hidden="1" customHeight="1">
      <c r="A286" s="98" t="s">
        <v>2</v>
      </c>
      <c r="B286" s="191" t="s">
        <v>4054</v>
      </c>
      <c r="C286" s="191" t="s">
        <v>2615</v>
      </c>
      <c r="D286" s="191" t="s">
        <v>477</v>
      </c>
      <c r="E286" s="191">
        <v>10</v>
      </c>
      <c r="F286" s="191">
        <v>0</v>
      </c>
      <c r="G286" s="191">
        <v>0</v>
      </c>
      <c r="H286" s="191" t="s">
        <v>4397</v>
      </c>
      <c r="I286" s="191" t="s">
        <v>548</v>
      </c>
      <c r="J286" s="191">
        <v>0</v>
      </c>
      <c r="K286" s="159"/>
    </row>
    <row r="287" spans="1:11" ht="15.75" hidden="1" customHeight="1">
      <c r="A287" s="98" t="s">
        <v>2</v>
      </c>
      <c r="B287" s="191" t="s">
        <v>4054</v>
      </c>
      <c r="C287" s="191" t="s">
        <v>4398</v>
      </c>
      <c r="D287" s="191" t="s">
        <v>477</v>
      </c>
      <c r="E287" s="191">
        <v>4</v>
      </c>
      <c r="F287" s="191">
        <v>0</v>
      </c>
      <c r="G287" s="191">
        <v>0</v>
      </c>
      <c r="H287" s="191" t="s">
        <v>4399</v>
      </c>
      <c r="I287" s="191" t="s">
        <v>548</v>
      </c>
      <c r="J287" s="191">
        <v>0</v>
      </c>
      <c r="K287" s="159"/>
    </row>
    <row r="288" spans="1:11" ht="15.75" hidden="1" customHeight="1">
      <c r="A288" s="98" t="s">
        <v>2</v>
      </c>
      <c r="B288" s="191" t="s">
        <v>4054</v>
      </c>
      <c r="C288" s="191" t="s">
        <v>4361</v>
      </c>
      <c r="D288" s="191" t="s">
        <v>477</v>
      </c>
      <c r="E288" s="191">
        <v>10</v>
      </c>
      <c r="F288" s="191">
        <v>0</v>
      </c>
      <c r="G288" s="191">
        <v>0</v>
      </c>
      <c r="H288" s="191" t="s">
        <v>1292</v>
      </c>
      <c r="I288" s="191" t="s">
        <v>548</v>
      </c>
      <c r="J288" s="191">
        <v>0</v>
      </c>
      <c r="K288" s="159"/>
    </row>
    <row r="289" spans="1:11" ht="15.75" hidden="1" customHeight="1">
      <c r="A289" s="98" t="s">
        <v>2</v>
      </c>
      <c r="B289" s="191" t="s">
        <v>4054</v>
      </c>
      <c r="C289" s="191" t="s">
        <v>4362</v>
      </c>
      <c r="D289" s="191" t="s">
        <v>477</v>
      </c>
      <c r="E289" s="191">
        <v>55</v>
      </c>
      <c r="F289" s="191">
        <v>0</v>
      </c>
      <c r="G289" s="191">
        <v>0</v>
      </c>
      <c r="H289" s="191" t="s">
        <v>1563</v>
      </c>
      <c r="I289" s="191" t="s">
        <v>548</v>
      </c>
      <c r="J289" s="191">
        <v>0</v>
      </c>
      <c r="K289" s="159"/>
    </row>
    <row r="290" spans="1:11" ht="15.75" hidden="1" customHeight="1">
      <c r="A290" s="98" t="s">
        <v>2</v>
      </c>
      <c r="B290" s="191" t="s">
        <v>4054</v>
      </c>
      <c r="C290" s="191" t="s">
        <v>4363</v>
      </c>
      <c r="D290" s="191" t="s">
        <v>477</v>
      </c>
      <c r="E290" s="191">
        <v>55</v>
      </c>
      <c r="F290" s="191">
        <v>0</v>
      </c>
      <c r="G290" s="191">
        <v>0</v>
      </c>
      <c r="H290" s="191" t="s">
        <v>4400</v>
      </c>
      <c r="I290" s="191" t="s">
        <v>548</v>
      </c>
      <c r="J290" s="191">
        <v>0</v>
      </c>
      <c r="K290" s="159"/>
    </row>
    <row r="291" spans="1:11" ht="15.75" hidden="1" customHeight="1">
      <c r="A291" s="98" t="s">
        <v>2</v>
      </c>
      <c r="B291" s="191" t="s">
        <v>4054</v>
      </c>
      <c r="C291" s="191" t="s">
        <v>4364</v>
      </c>
      <c r="D291" s="191" t="s">
        <v>477</v>
      </c>
      <c r="E291" s="191">
        <v>55</v>
      </c>
      <c r="F291" s="191">
        <v>0</v>
      </c>
      <c r="G291" s="191">
        <v>0</v>
      </c>
      <c r="H291" s="191" t="s">
        <v>4401</v>
      </c>
      <c r="I291" s="191" t="s">
        <v>548</v>
      </c>
      <c r="J291" s="191">
        <v>0</v>
      </c>
      <c r="K291" s="159"/>
    </row>
    <row r="292" spans="1:11" ht="15.75" hidden="1" customHeight="1">
      <c r="A292" s="98" t="s">
        <v>2</v>
      </c>
      <c r="B292" s="191" t="s">
        <v>4054</v>
      </c>
      <c r="C292" s="191" t="s">
        <v>4365</v>
      </c>
      <c r="D292" s="191" t="s">
        <v>477</v>
      </c>
      <c r="E292" s="191">
        <v>55</v>
      </c>
      <c r="F292" s="191">
        <v>0</v>
      </c>
      <c r="G292" s="191">
        <v>0</v>
      </c>
      <c r="H292" s="191" t="s">
        <v>4401</v>
      </c>
      <c r="I292" s="191" t="s">
        <v>548</v>
      </c>
      <c r="J292" s="191">
        <v>0</v>
      </c>
      <c r="K292" s="159"/>
    </row>
    <row r="293" spans="1:11" ht="15.75" hidden="1" customHeight="1">
      <c r="A293" s="98" t="s">
        <v>2</v>
      </c>
      <c r="B293" s="191" t="s">
        <v>4054</v>
      </c>
      <c r="C293" s="191" t="s">
        <v>4366</v>
      </c>
      <c r="D293" s="191" t="s">
        <v>477</v>
      </c>
      <c r="E293" s="191">
        <v>55</v>
      </c>
      <c r="F293" s="191">
        <v>0</v>
      </c>
      <c r="G293" s="191">
        <v>0</v>
      </c>
      <c r="H293" s="191" t="s">
        <v>4401</v>
      </c>
      <c r="I293" s="191" t="s">
        <v>548</v>
      </c>
      <c r="J293" s="191">
        <v>0</v>
      </c>
      <c r="K293" s="159"/>
    </row>
    <row r="294" spans="1:11" ht="15.75" hidden="1" customHeight="1">
      <c r="A294" s="98" t="s">
        <v>2</v>
      </c>
      <c r="B294" s="191" t="s">
        <v>4054</v>
      </c>
      <c r="C294" s="191" t="s">
        <v>4367</v>
      </c>
      <c r="D294" s="191" t="s">
        <v>477</v>
      </c>
      <c r="E294" s="191">
        <v>8</v>
      </c>
      <c r="F294" s="191">
        <v>0</v>
      </c>
      <c r="G294" s="191">
        <v>0</v>
      </c>
      <c r="H294" s="191" t="s">
        <v>934</v>
      </c>
      <c r="I294" s="191" t="s">
        <v>548</v>
      </c>
      <c r="J294" s="191">
        <v>1</v>
      </c>
      <c r="K294" s="159"/>
    </row>
    <row r="295" spans="1:11" ht="15.75" hidden="1" customHeight="1">
      <c r="A295" s="98" t="s">
        <v>2</v>
      </c>
      <c r="B295" s="191" t="s">
        <v>4054</v>
      </c>
      <c r="C295" s="191" t="s">
        <v>4368</v>
      </c>
      <c r="D295" s="191" t="s">
        <v>477</v>
      </c>
      <c r="E295" s="191">
        <v>55</v>
      </c>
      <c r="F295" s="191">
        <v>0</v>
      </c>
      <c r="G295" s="191">
        <v>0</v>
      </c>
      <c r="H295" s="191" t="s">
        <v>2312</v>
      </c>
      <c r="I295" s="191" t="s">
        <v>548</v>
      </c>
      <c r="J295" s="191">
        <v>0</v>
      </c>
      <c r="K295" s="159"/>
    </row>
    <row r="296" spans="1:11" ht="15.75" hidden="1" customHeight="1">
      <c r="A296" s="98" t="s">
        <v>2</v>
      </c>
      <c r="B296" s="191" t="s">
        <v>4054</v>
      </c>
      <c r="C296" s="191" t="s">
        <v>4369</v>
      </c>
      <c r="D296" s="191" t="s">
        <v>477</v>
      </c>
      <c r="E296" s="191">
        <v>55</v>
      </c>
      <c r="F296" s="191">
        <v>0</v>
      </c>
      <c r="G296" s="191">
        <v>0</v>
      </c>
      <c r="H296" s="191" t="s">
        <v>2314</v>
      </c>
      <c r="I296" s="191" t="s">
        <v>548</v>
      </c>
      <c r="J296" s="279">
        <v>1</v>
      </c>
      <c r="K296" s="159"/>
    </row>
    <row r="297" spans="1:11" ht="15.75" hidden="1" customHeight="1">
      <c r="A297" s="98" t="s">
        <v>2</v>
      </c>
      <c r="B297" s="191" t="s">
        <v>4054</v>
      </c>
      <c r="C297" s="191" t="s">
        <v>4370</v>
      </c>
      <c r="D297" s="191" t="s">
        <v>477</v>
      </c>
      <c r="E297" s="191">
        <v>50</v>
      </c>
      <c r="F297" s="191">
        <v>0</v>
      </c>
      <c r="G297" s="191">
        <v>0</v>
      </c>
      <c r="H297" s="191" t="s">
        <v>479</v>
      </c>
      <c r="I297" s="191" t="s">
        <v>479</v>
      </c>
      <c r="J297" s="191">
        <v>0</v>
      </c>
      <c r="K297" s="159"/>
    </row>
    <row r="298" spans="1:11" ht="15.75" hidden="1" customHeight="1">
      <c r="A298" s="98" t="s">
        <v>2</v>
      </c>
      <c r="B298" s="191" t="s">
        <v>4054</v>
      </c>
      <c r="C298" s="191" t="s">
        <v>4371</v>
      </c>
      <c r="D298" s="191" t="s">
        <v>477</v>
      </c>
      <c r="E298" s="191">
        <v>50</v>
      </c>
      <c r="F298" s="191">
        <v>0</v>
      </c>
      <c r="G298" s="191">
        <v>0</v>
      </c>
      <c r="H298" s="159"/>
      <c r="I298" s="191" t="s">
        <v>548</v>
      </c>
      <c r="J298" s="191">
        <v>0</v>
      </c>
      <c r="K298" s="159"/>
    </row>
    <row r="299" spans="1:11" ht="15.75" hidden="1" customHeight="1">
      <c r="A299" s="98" t="s">
        <v>2</v>
      </c>
      <c r="B299" s="191" t="s">
        <v>4054</v>
      </c>
      <c r="C299" s="191" t="s">
        <v>4372</v>
      </c>
      <c r="D299" s="191" t="s">
        <v>477</v>
      </c>
      <c r="E299" s="191">
        <v>255</v>
      </c>
      <c r="F299" s="191">
        <v>0</v>
      </c>
      <c r="G299" s="191">
        <v>0</v>
      </c>
      <c r="H299" s="191" t="s">
        <v>4372</v>
      </c>
      <c r="I299" s="191" t="s">
        <v>548</v>
      </c>
      <c r="J299" s="191">
        <v>0</v>
      </c>
      <c r="K299" s="159"/>
    </row>
    <row r="300" spans="1:11" ht="15.75" hidden="1" customHeight="1">
      <c r="A300" s="98" t="s">
        <v>2</v>
      </c>
      <c r="B300" s="191" t="s">
        <v>4054</v>
      </c>
      <c r="C300" s="191" t="s">
        <v>4373</v>
      </c>
      <c r="D300" s="191" t="s">
        <v>477</v>
      </c>
      <c r="E300" s="191">
        <v>255</v>
      </c>
      <c r="F300" s="191">
        <v>0</v>
      </c>
      <c r="G300" s="191">
        <v>0</v>
      </c>
      <c r="H300" s="191" t="s">
        <v>4373</v>
      </c>
      <c r="I300" s="191" t="s">
        <v>548</v>
      </c>
      <c r="J300" s="191">
        <v>0</v>
      </c>
      <c r="K300" s="159"/>
    </row>
    <row r="301" spans="1:11" ht="15.75" hidden="1" customHeight="1">
      <c r="A301" s="98" t="s">
        <v>2</v>
      </c>
      <c r="B301" s="191" t="s">
        <v>4054</v>
      </c>
      <c r="C301" s="191" t="s">
        <v>4380</v>
      </c>
      <c r="D301" s="191" t="s">
        <v>484</v>
      </c>
      <c r="E301" s="191">
        <v>4</v>
      </c>
      <c r="F301" s="191">
        <v>10</v>
      </c>
      <c r="G301" s="191">
        <v>0</v>
      </c>
      <c r="H301" s="191" t="s">
        <v>479</v>
      </c>
      <c r="I301" s="191" t="s">
        <v>615</v>
      </c>
      <c r="J301" s="191">
        <v>0</v>
      </c>
      <c r="K301" s="159"/>
    </row>
    <row r="302" spans="1:11" ht="15.75" hidden="1" customHeight="1">
      <c r="A302" s="98" t="s">
        <v>2</v>
      </c>
      <c r="B302" s="191" t="s">
        <v>4054</v>
      </c>
      <c r="C302" s="191" t="s">
        <v>4381</v>
      </c>
      <c r="D302" s="191" t="s">
        <v>477</v>
      </c>
      <c r="E302" s="191">
        <v>1</v>
      </c>
      <c r="F302" s="191">
        <v>0</v>
      </c>
      <c r="G302" s="191">
        <v>0</v>
      </c>
      <c r="H302" s="191" t="s">
        <v>4402</v>
      </c>
      <c r="I302" s="191" t="s">
        <v>548</v>
      </c>
      <c r="J302" s="191">
        <v>0</v>
      </c>
      <c r="K302" s="159"/>
    </row>
    <row r="303" spans="1:11" ht="15.75" hidden="1" customHeight="1">
      <c r="A303" s="98" t="s">
        <v>2</v>
      </c>
      <c r="B303" s="191" t="s">
        <v>4054</v>
      </c>
      <c r="C303" s="191" t="s">
        <v>4403</v>
      </c>
      <c r="D303" s="191" t="s">
        <v>477</v>
      </c>
      <c r="E303" s="191">
        <v>2</v>
      </c>
      <c r="F303" s="191">
        <v>0</v>
      </c>
      <c r="G303" s="191">
        <v>0</v>
      </c>
      <c r="H303" s="191" t="s">
        <v>4404</v>
      </c>
      <c r="I303" s="191" t="s">
        <v>548</v>
      </c>
      <c r="J303" s="191">
        <v>0</v>
      </c>
      <c r="K303" s="159"/>
    </row>
    <row r="304" spans="1:11" ht="15.75" hidden="1" customHeight="1">
      <c r="A304" s="98" t="s">
        <v>2</v>
      </c>
      <c r="B304" s="191" t="s">
        <v>4054</v>
      </c>
      <c r="C304" s="191" t="s">
        <v>4382</v>
      </c>
      <c r="D304" s="191" t="s">
        <v>477</v>
      </c>
      <c r="E304" s="191">
        <v>23</v>
      </c>
      <c r="F304" s="191">
        <v>0</v>
      </c>
      <c r="G304" s="191">
        <v>0</v>
      </c>
      <c r="H304" s="191" t="s">
        <v>4405</v>
      </c>
      <c r="I304" s="191" t="s">
        <v>548</v>
      </c>
      <c r="J304" s="191">
        <v>0</v>
      </c>
      <c r="K304" s="159"/>
    </row>
    <row r="305" spans="1:11" ht="15.75" hidden="1" customHeight="1">
      <c r="A305" s="98" t="s">
        <v>2</v>
      </c>
      <c r="B305" s="191" t="s">
        <v>4054</v>
      </c>
      <c r="C305" s="191" t="s">
        <v>669</v>
      </c>
      <c r="D305" s="191" t="s">
        <v>496</v>
      </c>
      <c r="E305" s="191">
        <v>4</v>
      </c>
      <c r="F305" s="191">
        <v>16</v>
      </c>
      <c r="G305" s="191">
        <v>0</v>
      </c>
      <c r="H305" s="191" t="s">
        <v>479</v>
      </c>
      <c r="I305" s="191" t="s">
        <v>4406</v>
      </c>
      <c r="J305" s="191">
        <v>0</v>
      </c>
      <c r="K305" s="159"/>
    </row>
    <row r="306" spans="1:11" ht="15.75" hidden="1" customHeight="1">
      <c r="A306" s="98" t="s">
        <v>2</v>
      </c>
      <c r="B306" s="191" t="s">
        <v>4054</v>
      </c>
      <c r="C306" s="191" t="s">
        <v>523</v>
      </c>
      <c r="D306" s="191" t="s">
        <v>477</v>
      </c>
      <c r="E306" s="191">
        <v>8</v>
      </c>
      <c r="F306" s="191">
        <v>0</v>
      </c>
      <c r="G306" s="191">
        <v>0</v>
      </c>
      <c r="H306" s="191" t="s">
        <v>479</v>
      </c>
      <c r="I306" s="191" t="s">
        <v>548</v>
      </c>
      <c r="J306" s="191">
        <v>0</v>
      </c>
      <c r="K306" s="159"/>
    </row>
    <row r="307" spans="1:11" ht="15.75" hidden="1" customHeight="1">
      <c r="A307" s="98" t="s">
        <v>2</v>
      </c>
      <c r="B307" s="191" t="s">
        <v>4054</v>
      </c>
      <c r="C307" s="191" t="s">
        <v>215</v>
      </c>
      <c r="D307" s="191" t="s">
        <v>496</v>
      </c>
      <c r="E307" s="191">
        <v>4</v>
      </c>
      <c r="F307" s="191">
        <v>16</v>
      </c>
      <c r="G307" s="191">
        <v>0</v>
      </c>
      <c r="H307" s="191" t="s">
        <v>479</v>
      </c>
      <c r="I307" s="191" t="s">
        <v>4406</v>
      </c>
      <c r="J307" s="191">
        <v>0</v>
      </c>
      <c r="K307" s="159"/>
    </row>
    <row r="308" spans="1:11" ht="15.75" hidden="1" customHeight="1">
      <c r="A308" s="98" t="s">
        <v>2</v>
      </c>
      <c r="B308" s="191" t="s">
        <v>4054</v>
      </c>
      <c r="C308" s="191" t="s">
        <v>670</v>
      </c>
      <c r="D308" s="191" t="s">
        <v>477</v>
      </c>
      <c r="E308" s="191">
        <v>8</v>
      </c>
      <c r="F308" s="191">
        <v>0</v>
      </c>
      <c r="G308" s="191">
        <v>0</v>
      </c>
      <c r="H308" s="191" t="s">
        <v>479</v>
      </c>
      <c r="I308" s="191" t="s">
        <v>548</v>
      </c>
      <c r="J308" s="191">
        <v>0</v>
      </c>
      <c r="K308" s="159"/>
    </row>
    <row r="309" spans="1:11" ht="15.75" hidden="1" customHeight="1">
      <c r="A309" s="98" t="s">
        <v>2</v>
      </c>
      <c r="B309" s="191" t="s">
        <v>4054</v>
      </c>
      <c r="C309" s="191" t="s">
        <v>4407</v>
      </c>
      <c r="D309" s="191" t="s">
        <v>477</v>
      </c>
      <c r="E309" s="191">
        <v>255</v>
      </c>
      <c r="F309" s="191">
        <v>0</v>
      </c>
      <c r="G309" s="191">
        <v>0</v>
      </c>
      <c r="H309" s="191" t="s">
        <v>4408</v>
      </c>
      <c r="I309" s="191" t="s">
        <v>548</v>
      </c>
      <c r="J309" s="191">
        <v>0</v>
      </c>
      <c r="K309" s="159"/>
    </row>
    <row r="310" spans="1:11" ht="15.75" hidden="1" customHeight="1">
      <c r="A310" s="98" t="s">
        <v>2</v>
      </c>
      <c r="B310" s="191" t="s">
        <v>4056</v>
      </c>
      <c r="C310" s="191" t="s">
        <v>325</v>
      </c>
      <c r="D310" s="191" t="s">
        <v>484</v>
      </c>
      <c r="E310" s="191">
        <v>4</v>
      </c>
      <c r="F310" s="191">
        <v>10</v>
      </c>
      <c r="G310" s="191">
        <v>0</v>
      </c>
      <c r="H310" s="191" t="s">
        <v>479</v>
      </c>
      <c r="I310" s="191" t="s">
        <v>479</v>
      </c>
      <c r="J310" s="191">
        <v>0</v>
      </c>
      <c r="K310" s="159"/>
    </row>
    <row r="311" spans="1:11" ht="15.75" hidden="1" customHeight="1">
      <c r="A311" s="98" t="s">
        <v>2</v>
      </c>
      <c r="B311" s="191" t="s">
        <v>4056</v>
      </c>
      <c r="C311" s="191" t="s">
        <v>4352</v>
      </c>
      <c r="D311" s="191" t="s">
        <v>477</v>
      </c>
      <c r="E311" s="191">
        <v>5</v>
      </c>
      <c r="F311" s="191">
        <v>0</v>
      </c>
      <c r="G311" s="191">
        <v>0</v>
      </c>
      <c r="H311" s="191" t="s">
        <v>479</v>
      </c>
      <c r="I311" s="191" t="s">
        <v>479</v>
      </c>
      <c r="J311" s="191">
        <v>0</v>
      </c>
      <c r="K311" s="159"/>
    </row>
    <row r="312" spans="1:11" ht="15.75" hidden="1" customHeight="1">
      <c r="A312" s="98" t="s">
        <v>2</v>
      </c>
      <c r="B312" s="191" t="s">
        <v>4056</v>
      </c>
      <c r="C312" s="191" t="s">
        <v>4353</v>
      </c>
      <c r="D312" s="191" t="s">
        <v>477</v>
      </c>
      <c r="E312" s="191">
        <v>5</v>
      </c>
      <c r="F312" s="191">
        <v>0</v>
      </c>
      <c r="G312" s="191">
        <v>0</v>
      </c>
      <c r="H312" s="191" t="s">
        <v>479</v>
      </c>
      <c r="I312" s="191" t="s">
        <v>479</v>
      </c>
      <c r="J312" s="191">
        <v>0</v>
      </c>
      <c r="K312" s="159"/>
    </row>
    <row r="313" spans="1:11" ht="15.75" hidden="1" customHeight="1">
      <c r="A313" s="98" t="s">
        <v>2</v>
      </c>
      <c r="B313" s="191" t="s">
        <v>4056</v>
      </c>
      <c r="C313" s="191" t="s">
        <v>4388</v>
      </c>
      <c r="D313" s="191" t="s">
        <v>477</v>
      </c>
      <c r="E313" s="191">
        <v>20</v>
      </c>
      <c r="F313" s="191">
        <v>0</v>
      </c>
      <c r="G313" s="191">
        <v>0</v>
      </c>
      <c r="H313" s="191" t="s">
        <v>479</v>
      </c>
      <c r="I313" s="191" t="s">
        <v>479</v>
      </c>
      <c r="J313" s="191">
        <v>1</v>
      </c>
      <c r="K313" s="159"/>
    </row>
    <row r="314" spans="1:11" ht="15.75" hidden="1" customHeight="1">
      <c r="A314" s="98" t="s">
        <v>2</v>
      </c>
      <c r="B314" s="191" t="s">
        <v>4056</v>
      </c>
      <c r="C314" s="191" t="s">
        <v>4403</v>
      </c>
      <c r="D314" s="191" t="s">
        <v>477</v>
      </c>
      <c r="E314" s="191">
        <v>2</v>
      </c>
      <c r="F314" s="191">
        <v>0</v>
      </c>
      <c r="G314" s="191">
        <v>0</v>
      </c>
      <c r="H314" s="191" t="s">
        <v>479</v>
      </c>
      <c r="I314" s="191" t="s">
        <v>479</v>
      </c>
      <c r="J314" s="191">
        <v>0</v>
      </c>
      <c r="K314" s="159"/>
    </row>
    <row r="315" spans="1:11" ht="15.75" hidden="1" customHeight="1">
      <c r="A315" s="98" t="s">
        <v>2</v>
      </c>
      <c r="B315" s="191" t="s">
        <v>4056</v>
      </c>
      <c r="C315" s="191" t="s">
        <v>4405</v>
      </c>
      <c r="D315" s="191" t="s">
        <v>477</v>
      </c>
      <c r="E315" s="191">
        <v>25</v>
      </c>
      <c r="F315" s="191">
        <v>0</v>
      </c>
      <c r="G315" s="191">
        <v>0</v>
      </c>
      <c r="H315" s="191" t="s">
        <v>479</v>
      </c>
      <c r="I315" s="191" t="s">
        <v>479</v>
      </c>
      <c r="J315" s="191">
        <v>1</v>
      </c>
      <c r="K315" s="159"/>
    </row>
    <row r="316" spans="1:11" ht="15.75" hidden="1" customHeight="1">
      <c r="A316" s="98" t="s">
        <v>2</v>
      </c>
      <c r="B316" s="191" t="s">
        <v>4056</v>
      </c>
      <c r="C316" s="191" t="s">
        <v>523</v>
      </c>
      <c r="D316" s="191" t="s">
        <v>477</v>
      </c>
      <c r="E316" s="191">
        <v>8</v>
      </c>
      <c r="F316" s="191">
        <v>0</v>
      </c>
      <c r="G316" s="191">
        <v>0</v>
      </c>
      <c r="H316" s="191" t="s">
        <v>479</v>
      </c>
      <c r="I316" s="191" t="s">
        <v>479</v>
      </c>
      <c r="J316" s="191">
        <v>0</v>
      </c>
      <c r="K316" s="159"/>
    </row>
    <row r="317" spans="1:11" ht="15.75" hidden="1" customHeight="1">
      <c r="A317" s="98" t="s">
        <v>2</v>
      </c>
      <c r="B317" s="191" t="s">
        <v>4056</v>
      </c>
      <c r="C317" s="191" t="s">
        <v>669</v>
      </c>
      <c r="D317" s="191" t="s">
        <v>496</v>
      </c>
      <c r="E317" s="191">
        <v>4</v>
      </c>
      <c r="F317" s="191">
        <v>16</v>
      </c>
      <c r="G317" s="191">
        <v>0</v>
      </c>
      <c r="H317" s="191" t="s">
        <v>479</v>
      </c>
      <c r="I317" s="191" t="s">
        <v>479</v>
      </c>
      <c r="J317" s="191">
        <v>0</v>
      </c>
      <c r="K317" s="159"/>
    </row>
    <row r="318" spans="1:11" ht="15.75" hidden="1" customHeight="1">
      <c r="A318" s="98" t="s">
        <v>2</v>
      </c>
      <c r="B318" s="191" t="s">
        <v>4057</v>
      </c>
      <c r="C318" s="191" t="s">
        <v>325</v>
      </c>
      <c r="D318" s="191" t="s">
        <v>484</v>
      </c>
      <c r="E318" s="191">
        <v>4</v>
      </c>
      <c r="F318" s="191">
        <v>10</v>
      </c>
      <c r="G318" s="191">
        <v>0</v>
      </c>
      <c r="H318" s="191" t="s">
        <v>479</v>
      </c>
      <c r="I318" s="191" t="s">
        <v>479</v>
      </c>
      <c r="J318" s="191">
        <v>0</v>
      </c>
      <c r="K318" s="159"/>
    </row>
    <row r="319" spans="1:11" ht="15.75" hidden="1" customHeight="1">
      <c r="A319" s="98" t="s">
        <v>2</v>
      </c>
      <c r="B319" s="191" t="s">
        <v>4057</v>
      </c>
      <c r="C319" s="191" t="s">
        <v>4352</v>
      </c>
      <c r="D319" s="191" t="s">
        <v>477</v>
      </c>
      <c r="E319" s="191">
        <v>5</v>
      </c>
      <c r="F319" s="191">
        <v>0</v>
      </c>
      <c r="G319" s="191">
        <v>0</v>
      </c>
      <c r="H319" s="191" t="s">
        <v>479</v>
      </c>
      <c r="I319" s="191" t="s">
        <v>479</v>
      </c>
      <c r="J319" s="191">
        <v>0</v>
      </c>
      <c r="K319" s="159"/>
    </row>
    <row r="320" spans="1:11" ht="15.75" hidden="1" customHeight="1">
      <c r="A320" s="98" t="s">
        <v>2</v>
      </c>
      <c r="B320" s="191" t="s">
        <v>4057</v>
      </c>
      <c r="C320" s="191" t="s">
        <v>4353</v>
      </c>
      <c r="D320" s="191" t="s">
        <v>477</v>
      </c>
      <c r="E320" s="191">
        <v>5</v>
      </c>
      <c r="F320" s="191">
        <v>0</v>
      </c>
      <c r="G320" s="191">
        <v>0</v>
      </c>
      <c r="H320" s="191" t="s">
        <v>479</v>
      </c>
      <c r="I320" s="191" t="s">
        <v>479</v>
      </c>
      <c r="J320" s="191">
        <v>0</v>
      </c>
      <c r="K320" s="159"/>
    </row>
    <row r="321" spans="1:11" ht="15.75" hidden="1" customHeight="1">
      <c r="A321" s="98" t="s">
        <v>2</v>
      </c>
      <c r="B321" s="191" t="s">
        <v>4057</v>
      </c>
      <c r="C321" s="191" t="s">
        <v>4388</v>
      </c>
      <c r="D321" s="191" t="s">
        <v>477</v>
      </c>
      <c r="E321" s="191">
        <v>15</v>
      </c>
      <c r="F321" s="191">
        <v>0</v>
      </c>
      <c r="G321" s="191">
        <v>0</v>
      </c>
      <c r="H321" s="191" t="s">
        <v>479</v>
      </c>
      <c r="I321" s="191" t="s">
        <v>479</v>
      </c>
      <c r="J321" s="191">
        <v>0</v>
      </c>
      <c r="K321" s="159"/>
    </row>
    <row r="322" spans="1:11" ht="15.75" hidden="1" customHeight="1">
      <c r="A322" s="98" t="s">
        <v>2</v>
      </c>
      <c r="B322" s="191" t="s">
        <v>4057</v>
      </c>
      <c r="C322" s="191" t="s">
        <v>4382</v>
      </c>
      <c r="D322" s="191" t="s">
        <v>477</v>
      </c>
      <c r="E322" s="191">
        <v>25</v>
      </c>
      <c r="F322" s="191">
        <v>0</v>
      </c>
      <c r="G322" s="191">
        <v>0</v>
      </c>
      <c r="H322" s="191" t="s">
        <v>479</v>
      </c>
      <c r="I322" s="191" t="s">
        <v>479</v>
      </c>
      <c r="J322" s="191">
        <v>1</v>
      </c>
      <c r="K322" s="159"/>
    </row>
    <row r="323" spans="1:11" ht="15.75" hidden="1" customHeight="1">
      <c r="A323" s="98" t="s">
        <v>2</v>
      </c>
      <c r="B323" s="191" t="s">
        <v>4057</v>
      </c>
      <c r="C323" s="191" t="s">
        <v>523</v>
      </c>
      <c r="D323" s="191" t="s">
        <v>477</v>
      </c>
      <c r="E323" s="191">
        <v>8</v>
      </c>
      <c r="F323" s="191">
        <v>0</v>
      </c>
      <c r="G323" s="191">
        <v>0</v>
      </c>
      <c r="H323" s="191" t="s">
        <v>479</v>
      </c>
      <c r="I323" s="191" t="s">
        <v>479</v>
      </c>
      <c r="J323" s="191">
        <v>0</v>
      </c>
      <c r="K323" s="159"/>
    </row>
    <row r="324" spans="1:11" ht="15.75" hidden="1" customHeight="1">
      <c r="A324" s="98" t="s">
        <v>2</v>
      </c>
      <c r="B324" s="191" t="s">
        <v>4057</v>
      </c>
      <c r="C324" s="191" t="s">
        <v>669</v>
      </c>
      <c r="D324" s="191" t="s">
        <v>496</v>
      </c>
      <c r="E324" s="191">
        <v>4</v>
      </c>
      <c r="F324" s="191">
        <v>16</v>
      </c>
      <c r="G324" s="191">
        <v>0</v>
      </c>
      <c r="H324" s="191" t="s">
        <v>479</v>
      </c>
      <c r="I324" s="191" t="s">
        <v>479</v>
      </c>
      <c r="J324" s="191">
        <v>0</v>
      </c>
      <c r="K324" s="159"/>
    </row>
    <row r="325" spans="1:11" ht="15.75" hidden="1" customHeight="1">
      <c r="A325" s="98" t="s">
        <v>2</v>
      </c>
      <c r="B325" s="191" t="s">
        <v>4059</v>
      </c>
      <c r="C325" s="191" t="s">
        <v>4409</v>
      </c>
      <c r="D325" s="191" t="s">
        <v>484</v>
      </c>
      <c r="E325" s="191">
        <v>4</v>
      </c>
      <c r="F325" s="191">
        <v>10</v>
      </c>
      <c r="G325" s="191">
        <v>0</v>
      </c>
      <c r="H325" s="191" t="s">
        <v>479</v>
      </c>
      <c r="I325" s="191" t="s">
        <v>615</v>
      </c>
      <c r="J325" s="191">
        <v>0</v>
      </c>
      <c r="K325" s="159"/>
    </row>
    <row r="326" spans="1:11" ht="15.75" hidden="1" customHeight="1">
      <c r="A326" s="98" t="s">
        <v>2</v>
      </c>
      <c r="B326" s="191" t="s">
        <v>4059</v>
      </c>
      <c r="C326" s="191" t="s">
        <v>4410</v>
      </c>
      <c r="D326" s="191" t="s">
        <v>477</v>
      </c>
      <c r="E326" s="191">
        <v>20</v>
      </c>
      <c r="F326" s="191">
        <v>0</v>
      </c>
      <c r="G326" s="191">
        <v>0</v>
      </c>
      <c r="H326" s="191" t="s">
        <v>479</v>
      </c>
      <c r="I326" s="191" t="s">
        <v>479</v>
      </c>
      <c r="J326" s="191">
        <v>0</v>
      </c>
      <c r="K326" s="159"/>
    </row>
    <row r="327" spans="1:11" ht="15.75" hidden="1" customHeight="1">
      <c r="A327" s="98" t="s">
        <v>2</v>
      </c>
      <c r="B327" s="191" t="s">
        <v>4059</v>
      </c>
      <c r="C327" s="191" t="s">
        <v>4411</v>
      </c>
      <c r="D327" s="191" t="s">
        <v>477</v>
      </c>
      <c r="E327" s="191">
        <v>12</v>
      </c>
      <c r="F327" s="191">
        <v>0</v>
      </c>
      <c r="G327" s="191">
        <v>0</v>
      </c>
      <c r="H327" s="191" t="s">
        <v>479</v>
      </c>
      <c r="I327" s="191" t="s">
        <v>479</v>
      </c>
      <c r="J327" s="191">
        <v>0</v>
      </c>
      <c r="K327" s="159"/>
    </row>
    <row r="328" spans="1:11" ht="15.75" hidden="1" customHeight="1">
      <c r="A328" s="98" t="s">
        <v>2</v>
      </c>
      <c r="B328" s="191" t="s">
        <v>4059</v>
      </c>
      <c r="C328" s="191" t="s">
        <v>4412</v>
      </c>
      <c r="D328" s="191" t="s">
        <v>477</v>
      </c>
      <c r="E328" s="191">
        <v>12</v>
      </c>
      <c r="F328" s="191">
        <v>0</v>
      </c>
      <c r="G328" s="191">
        <v>0</v>
      </c>
      <c r="H328" s="191" t="s">
        <v>479</v>
      </c>
      <c r="I328" s="191" t="s">
        <v>479</v>
      </c>
      <c r="J328" s="191">
        <v>0</v>
      </c>
      <c r="K328" s="159"/>
    </row>
    <row r="329" spans="1:11" ht="15.75" hidden="1" customHeight="1">
      <c r="A329" s="98" t="s">
        <v>2</v>
      </c>
      <c r="B329" s="191" t="s">
        <v>4059</v>
      </c>
      <c r="C329" s="191" t="s">
        <v>4413</v>
      </c>
      <c r="D329" s="191" t="s">
        <v>477</v>
      </c>
      <c r="E329" s="191">
        <v>8</v>
      </c>
      <c r="F329" s="191">
        <v>0</v>
      </c>
      <c r="G329" s="191">
        <v>0</v>
      </c>
      <c r="H329" s="191" t="s">
        <v>479</v>
      </c>
      <c r="I329" s="191" t="s">
        <v>479</v>
      </c>
      <c r="J329" s="191">
        <v>0</v>
      </c>
      <c r="K329" s="159"/>
    </row>
    <row r="330" spans="1:11" ht="15.75" hidden="1" customHeight="1">
      <c r="A330" s="98" t="s">
        <v>2</v>
      </c>
      <c r="B330" s="191" t="s">
        <v>4059</v>
      </c>
      <c r="C330" s="191" t="s">
        <v>4414</v>
      </c>
      <c r="D330" s="191" t="s">
        <v>496</v>
      </c>
      <c r="E330" s="191">
        <v>4</v>
      </c>
      <c r="F330" s="191">
        <v>16</v>
      </c>
      <c r="G330" s="191">
        <v>0</v>
      </c>
      <c r="H330" s="191" t="s">
        <v>479</v>
      </c>
      <c r="I330" s="191" t="s">
        <v>479</v>
      </c>
      <c r="J330" s="191">
        <v>0</v>
      </c>
      <c r="K330" s="159"/>
    </row>
    <row r="331" spans="1:11" ht="15.75" hidden="1" customHeight="1">
      <c r="A331" s="98" t="s">
        <v>2</v>
      </c>
      <c r="B331" s="191" t="s">
        <v>4059</v>
      </c>
      <c r="C331" s="191" t="s">
        <v>4317</v>
      </c>
      <c r="D331" s="191" t="s">
        <v>477</v>
      </c>
      <c r="E331" s="191">
        <v>255</v>
      </c>
      <c r="F331" s="191">
        <v>0</v>
      </c>
      <c r="G331" s="191">
        <v>0</v>
      </c>
      <c r="H331" s="191" t="s">
        <v>479</v>
      </c>
      <c r="I331" s="191" t="s">
        <v>479</v>
      </c>
      <c r="J331" s="191">
        <v>0</v>
      </c>
      <c r="K331" s="159"/>
    </row>
    <row r="332" spans="1:11" ht="15.75" hidden="1" customHeight="1">
      <c r="A332" s="98" t="s">
        <v>2</v>
      </c>
      <c r="B332" s="191" t="s">
        <v>4059</v>
      </c>
      <c r="C332" s="191" t="s">
        <v>523</v>
      </c>
      <c r="D332" s="191" t="s">
        <v>477</v>
      </c>
      <c r="E332" s="191">
        <v>8</v>
      </c>
      <c r="F332" s="191">
        <v>0</v>
      </c>
      <c r="G332" s="191">
        <v>0</v>
      </c>
      <c r="H332" s="191" t="s">
        <v>479</v>
      </c>
      <c r="I332" s="191" t="s">
        <v>479</v>
      </c>
      <c r="J332" s="191">
        <v>0</v>
      </c>
      <c r="K332" s="159"/>
    </row>
    <row r="333" spans="1:11" ht="15.75" hidden="1" customHeight="1">
      <c r="A333" s="98" t="s">
        <v>2</v>
      </c>
      <c r="B333" s="191" t="s">
        <v>4059</v>
      </c>
      <c r="C333" s="191" t="s">
        <v>669</v>
      </c>
      <c r="D333" s="191" t="s">
        <v>496</v>
      </c>
      <c r="E333" s="191">
        <v>4</v>
      </c>
      <c r="F333" s="191">
        <v>16</v>
      </c>
      <c r="G333" s="191">
        <v>0</v>
      </c>
      <c r="H333" s="191" t="s">
        <v>479</v>
      </c>
      <c r="I333" s="191" t="s">
        <v>479</v>
      </c>
      <c r="J333" s="191">
        <v>0</v>
      </c>
      <c r="K333" s="159"/>
    </row>
    <row r="334" spans="1:11" ht="15.75" hidden="1" customHeight="1">
      <c r="A334" s="98" t="s">
        <v>2</v>
      </c>
      <c r="B334" s="191" t="s">
        <v>4059</v>
      </c>
      <c r="C334" s="191" t="s">
        <v>670</v>
      </c>
      <c r="D334" s="191" t="s">
        <v>477</v>
      </c>
      <c r="E334" s="191">
        <v>8</v>
      </c>
      <c r="F334" s="191">
        <v>0</v>
      </c>
      <c r="G334" s="191">
        <v>0</v>
      </c>
      <c r="H334" s="191" t="s">
        <v>479</v>
      </c>
      <c r="I334" s="191" t="s">
        <v>479</v>
      </c>
      <c r="J334" s="191">
        <v>0</v>
      </c>
      <c r="K334" s="159"/>
    </row>
    <row r="335" spans="1:11" ht="15.75" hidden="1" customHeight="1">
      <c r="A335" s="98" t="s">
        <v>2</v>
      </c>
      <c r="B335" s="191" t="s">
        <v>4059</v>
      </c>
      <c r="C335" s="191" t="s">
        <v>215</v>
      </c>
      <c r="D335" s="191" t="s">
        <v>496</v>
      </c>
      <c r="E335" s="191">
        <v>4</v>
      </c>
      <c r="F335" s="191">
        <v>16</v>
      </c>
      <c r="G335" s="191">
        <v>0</v>
      </c>
      <c r="H335" s="191" t="s">
        <v>479</v>
      </c>
      <c r="I335" s="191" t="s">
        <v>479</v>
      </c>
      <c r="J335" s="191">
        <v>0</v>
      </c>
      <c r="K335" s="159"/>
    </row>
    <row r="336" spans="1:11" ht="15.75" hidden="1" customHeight="1">
      <c r="A336" s="98" t="s">
        <v>2</v>
      </c>
      <c r="B336" s="191" t="s">
        <v>4062</v>
      </c>
      <c r="C336" s="191" t="s">
        <v>325</v>
      </c>
      <c r="D336" s="191" t="s">
        <v>484</v>
      </c>
      <c r="E336" s="191">
        <v>4</v>
      </c>
      <c r="F336" s="191">
        <v>10</v>
      </c>
      <c r="G336" s="191">
        <v>0</v>
      </c>
      <c r="H336" s="191" t="s">
        <v>479</v>
      </c>
      <c r="I336" s="191" t="s">
        <v>479</v>
      </c>
      <c r="J336" s="191">
        <v>0</v>
      </c>
      <c r="K336" s="159"/>
    </row>
    <row r="337" spans="1:11" ht="15.75" hidden="1" customHeight="1">
      <c r="A337" s="98" t="s">
        <v>2</v>
      </c>
      <c r="B337" s="191" t="s">
        <v>4062</v>
      </c>
      <c r="C337" s="191" t="s">
        <v>4351</v>
      </c>
      <c r="D337" s="191" t="s">
        <v>477</v>
      </c>
      <c r="E337" s="191">
        <v>14</v>
      </c>
      <c r="F337" s="191">
        <v>0</v>
      </c>
      <c r="G337" s="191">
        <v>0</v>
      </c>
      <c r="H337" s="191" t="s">
        <v>479</v>
      </c>
      <c r="I337" s="191" t="s">
        <v>548</v>
      </c>
      <c r="J337" s="191">
        <v>0</v>
      </c>
      <c r="K337" s="159"/>
    </row>
    <row r="338" spans="1:11" ht="15.75" hidden="1" customHeight="1">
      <c r="A338" s="98" t="s">
        <v>2</v>
      </c>
      <c r="B338" s="191" t="s">
        <v>4062</v>
      </c>
      <c r="C338" s="191" t="s">
        <v>4352</v>
      </c>
      <c r="D338" s="191" t="s">
        <v>477</v>
      </c>
      <c r="E338" s="191">
        <v>5</v>
      </c>
      <c r="F338" s="191">
        <v>0</v>
      </c>
      <c r="G338" s="191">
        <v>0</v>
      </c>
      <c r="H338" s="191" t="s">
        <v>479</v>
      </c>
      <c r="I338" s="191" t="s">
        <v>548</v>
      </c>
      <c r="J338" s="191">
        <v>0</v>
      </c>
      <c r="K338" s="159"/>
    </row>
    <row r="339" spans="1:11" ht="15.75" hidden="1" customHeight="1">
      <c r="A339" s="98" t="s">
        <v>2</v>
      </c>
      <c r="B339" s="191" t="s">
        <v>4062</v>
      </c>
      <c r="C339" s="191" t="s">
        <v>4353</v>
      </c>
      <c r="D339" s="191" t="s">
        <v>477</v>
      </c>
      <c r="E339" s="191">
        <v>5</v>
      </c>
      <c r="F339" s="191">
        <v>0</v>
      </c>
      <c r="G339" s="191">
        <v>0</v>
      </c>
      <c r="H339" s="191" t="s">
        <v>479</v>
      </c>
      <c r="I339" s="191" t="s">
        <v>548</v>
      </c>
      <c r="J339" s="191">
        <v>0</v>
      </c>
      <c r="K339" s="159"/>
    </row>
    <row r="340" spans="1:11" ht="15.75" hidden="1" customHeight="1">
      <c r="A340" s="98" t="s">
        <v>2</v>
      </c>
      <c r="B340" s="191" t="s">
        <v>4062</v>
      </c>
      <c r="C340" s="191" t="s">
        <v>811</v>
      </c>
      <c r="D340" s="191" t="s">
        <v>477</v>
      </c>
      <c r="E340" s="191">
        <v>10</v>
      </c>
      <c r="F340" s="191">
        <v>0</v>
      </c>
      <c r="G340" s="191">
        <v>0</v>
      </c>
      <c r="H340" s="191" t="s">
        <v>479</v>
      </c>
      <c r="I340" s="191" t="s">
        <v>813</v>
      </c>
      <c r="J340" s="191">
        <v>0</v>
      </c>
      <c r="K340" s="159"/>
    </row>
    <row r="341" spans="1:11" ht="15.75" hidden="1" customHeight="1">
      <c r="A341" s="98" t="s">
        <v>2</v>
      </c>
      <c r="B341" s="191" t="s">
        <v>4062</v>
      </c>
      <c r="C341" s="191" t="s">
        <v>4354</v>
      </c>
      <c r="D341" s="191" t="s">
        <v>477</v>
      </c>
      <c r="E341" s="191">
        <v>20</v>
      </c>
      <c r="F341" s="191">
        <v>0</v>
      </c>
      <c r="G341" s="191">
        <v>0</v>
      </c>
      <c r="H341" s="191" t="s">
        <v>479</v>
      </c>
      <c r="I341" s="191" t="s">
        <v>548</v>
      </c>
      <c r="J341" s="191">
        <v>1</v>
      </c>
      <c r="K341" s="159"/>
    </row>
    <row r="342" spans="1:11" ht="15.75" hidden="1" customHeight="1">
      <c r="A342" s="98" t="s">
        <v>2</v>
      </c>
      <c r="B342" s="191" t="s">
        <v>4062</v>
      </c>
      <c r="C342" s="191" t="s">
        <v>4355</v>
      </c>
      <c r="D342" s="191" t="s">
        <v>484</v>
      </c>
      <c r="E342" s="191">
        <v>4</v>
      </c>
      <c r="F342" s="191">
        <v>10</v>
      </c>
      <c r="G342" s="191">
        <v>0</v>
      </c>
      <c r="H342" s="191" t="s">
        <v>479</v>
      </c>
      <c r="I342" s="191" t="s">
        <v>615</v>
      </c>
      <c r="J342" s="191">
        <v>0</v>
      </c>
      <c r="K342" s="159"/>
    </row>
    <row r="343" spans="1:11" ht="15.75" hidden="1" customHeight="1">
      <c r="A343" s="98" t="s">
        <v>2</v>
      </c>
      <c r="B343" s="191" t="s">
        <v>4062</v>
      </c>
      <c r="C343" s="191" t="s">
        <v>4356</v>
      </c>
      <c r="D343" s="191" t="s">
        <v>477</v>
      </c>
      <c r="E343" s="191">
        <v>5</v>
      </c>
      <c r="F343" s="191">
        <v>0</v>
      </c>
      <c r="G343" s="191">
        <v>0</v>
      </c>
      <c r="H343" s="191" t="s">
        <v>479</v>
      </c>
      <c r="I343" s="191" t="s">
        <v>548</v>
      </c>
      <c r="J343" s="191">
        <v>0</v>
      </c>
      <c r="K343" s="159"/>
    </row>
    <row r="344" spans="1:11" ht="15.75" hidden="1" customHeight="1">
      <c r="A344" s="98" t="s">
        <v>2</v>
      </c>
      <c r="B344" s="191" t="s">
        <v>4062</v>
      </c>
      <c r="C344" s="191" t="s">
        <v>4252</v>
      </c>
      <c r="D344" s="191" t="s">
        <v>477</v>
      </c>
      <c r="E344" s="191">
        <v>15</v>
      </c>
      <c r="F344" s="191">
        <v>0</v>
      </c>
      <c r="G344" s="191">
        <v>0</v>
      </c>
      <c r="H344" s="191" t="s">
        <v>479</v>
      </c>
      <c r="I344" s="191" t="s">
        <v>548</v>
      </c>
      <c r="J344" s="191">
        <v>0</v>
      </c>
      <c r="K344" s="159"/>
    </row>
    <row r="345" spans="1:11" ht="15.75" hidden="1" customHeight="1">
      <c r="A345" s="98" t="s">
        <v>2</v>
      </c>
      <c r="B345" s="191" t="s">
        <v>4062</v>
      </c>
      <c r="C345" s="191" t="s">
        <v>4357</v>
      </c>
      <c r="D345" s="191" t="s">
        <v>477</v>
      </c>
      <c r="E345" s="191">
        <v>2</v>
      </c>
      <c r="F345" s="191">
        <v>0</v>
      </c>
      <c r="G345" s="191">
        <v>0</v>
      </c>
      <c r="H345" s="191" t="s">
        <v>479</v>
      </c>
      <c r="I345" s="191" t="s">
        <v>548</v>
      </c>
      <c r="J345" s="191">
        <v>0</v>
      </c>
      <c r="K345" s="159"/>
    </row>
    <row r="346" spans="1:11" ht="15.75" hidden="1" customHeight="1">
      <c r="A346" s="98" t="s">
        <v>2</v>
      </c>
      <c r="B346" s="191" t="s">
        <v>4062</v>
      </c>
      <c r="C346" s="191" t="s">
        <v>4358</v>
      </c>
      <c r="D346" s="191" t="s">
        <v>477</v>
      </c>
      <c r="E346" s="191">
        <v>3</v>
      </c>
      <c r="F346" s="191">
        <v>0</v>
      </c>
      <c r="G346" s="191">
        <v>0</v>
      </c>
      <c r="H346" s="191" t="s">
        <v>479</v>
      </c>
      <c r="I346" s="191" t="s">
        <v>548</v>
      </c>
      <c r="J346" s="191">
        <v>0</v>
      </c>
      <c r="K346" s="159"/>
    </row>
    <row r="347" spans="1:11" ht="15.75" hidden="1" customHeight="1">
      <c r="A347" s="98" t="s">
        <v>2</v>
      </c>
      <c r="B347" s="191" t="s">
        <v>4062</v>
      </c>
      <c r="C347" s="191" t="s">
        <v>4186</v>
      </c>
      <c r="D347" s="191" t="s">
        <v>477</v>
      </c>
      <c r="E347" s="191">
        <v>10</v>
      </c>
      <c r="F347" s="191">
        <v>0</v>
      </c>
      <c r="G347" s="191">
        <v>0</v>
      </c>
      <c r="H347" s="191" t="s">
        <v>479</v>
      </c>
      <c r="I347" s="191" t="s">
        <v>548</v>
      </c>
      <c r="J347" s="191">
        <v>0</v>
      </c>
      <c r="K347" s="159"/>
    </row>
    <row r="348" spans="1:11" ht="15.75" hidden="1" customHeight="1">
      <c r="A348" s="98" t="s">
        <v>2</v>
      </c>
      <c r="B348" s="191" t="s">
        <v>4062</v>
      </c>
      <c r="C348" s="191" t="s">
        <v>4188</v>
      </c>
      <c r="D348" s="191" t="s">
        <v>477</v>
      </c>
      <c r="E348" s="191">
        <v>10</v>
      </c>
      <c r="F348" s="191">
        <v>0</v>
      </c>
      <c r="G348" s="191">
        <v>0</v>
      </c>
      <c r="H348" s="191" t="s">
        <v>479</v>
      </c>
      <c r="I348" s="191" t="s">
        <v>548</v>
      </c>
      <c r="J348" s="191">
        <v>0</v>
      </c>
      <c r="K348" s="159"/>
    </row>
    <row r="349" spans="1:11" ht="15.75" hidden="1" customHeight="1">
      <c r="A349" s="98" t="s">
        <v>2</v>
      </c>
      <c r="B349" s="191" t="s">
        <v>4062</v>
      </c>
      <c r="C349" s="191" t="s">
        <v>4415</v>
      </c>
      <c r="D349" s="191" t="s">
        <v>484</v>
      </c>
      <c r="E349" s="191">
        <v>4</v>
      </c>
      <c r="F349" s="191">
        <v>10</v>
      </c>
      <c r="G349" s="191">
        <v>0</v>
      </c>
      <c r="H349" s="191" t="s">
        <v>479</v>
      </c>
      <c r="I349" s="191" t="s">
        <v>615</v>
      </c>
      <c r="J349" s="191">
        <v>0</v>
      </c>
      <c r="K349" s="159"/>
    </row>
    <row r="350" spans="1:11" ht="15.75" hidden="1" customHeight="1">
      <c r="A350" s="98" t="s">
        <v>2</v>
      </c>
      <c r="B350" s="191" t="s">
        <v>4062</v>
      </c>
      <c r="C350" s="191" t="s">
        <v>4176</v>
      </c>
      <c r="D350" s="191" t="s">
        <v>484</v>
      </c>
      <c r="E350" s="191">
        <v>4</v>
      </c>
      <c r="F350" s="191">
        <v>10</v>
      </c>
      <c r="G350" s="191">
        <v>0</v>
      </c>
      <c r="H350" s="191" t="s">
        <v>479</v>
      </c>
      <c r="I350" s="191" t="s">
        <v>615</v>
      </c>
      <c r="J350" s="191">
        <v>0</v>
      </c>
      <c r="K350" s="159"/>
    </row>
    <row r="351" spans="1:11" ht="15.75" hidden="1" customHeight="1">
      <c r="A351" s="98" t="s">
        <v>2</v>
      </c>
      <c r="B351" s="191" t="s">
        <v>4062</v>
      </c>
      <c r="C351" s="191" t="s">
        <v>4346</v>
      </c>
      <c r="D351" s="191" t="s">
        <v>477</v>
      </c>
      <c r="E351" s="191">
        <v>8</v>
      </c>
      <c r="F351" s="191">
        <v>0</v>
      </c>
      <c r="G351" s="191">
        <v>0</v>
      </c>
      <c r="H351" s="191" t="s">
        <v>479</v>
      </c>
      <c r="I351" s="191" t="s">
        <v>548</v>
      </c>
      <c r="J351" s="191">
        <v>0</v>
      </c>
      <c r="K351" s="159"/>
    </row>
    <row r="352" spans="1:11" ht="15.75" hidden="1" customHeight="1">
      <c r="A352" s="98" t="s">
        <v>2</v>
      </c>
      <c r="B352" s="191" t="s">
        <v>4062</v>
      </c>
      <c r="C352" s="191" t="s">
        <v>2615</v>
      </c>
      <c r="D352" s="191" t="s">
        <v>477</v>
      </c>
      <c r="E352" s="191">
        <v>10</v>
      </c>
      <c r="F352" s="191">
        <v>0</v>
      </c>
      <c r="G352" s="191">
        <v>0</v>
      </c>
      <c r="H352" s="191" t="s">
        <v>479</v>
      </c>
      <c r="I352" s="191" t="s">
        <v>548</v>
      </c>
      <c r="J352" s="191">
        <v>0</v>
      </c>
      <c r="K352" s="159"/>
    </row>
    <row r="353" spans="1:11" ht="15.75" hidden="1" customHeight="1">
      <c r="A353" s="98" t="s">
        <v>2</v>
      </c>
      <c r="B353" s="191" t="s">
        <v>4062</v>
      </c>
      <c r="C353" s="191" t="s">
        <v>4360</v>
      </c>
      <c r="D353" s="191" t="s">
        <v>477</v>
      </c>
      <c r="E353" s="191">
        <v>14</v>
      </c>
      <c r="F353" s="191">
        <v>0</v>
      </c>
      <c r="G353" s="191">
        <v>0</v>
      </c>
      <c r="H353" s="191" t="s">
        <v>479</v>
      </c>
      <c r="I353" s="191" t="s">
        <v>548</v>
      </c>
      <c r="J353" s="191">
        <v>0</v>
      </c>
      <c r="K353" s="159"/>
    </row>
    <row r="354" spans="1:11" ht="15.75" hidden="1" customHeight="1">
      <c r="A354" s="98" t="s">
        <v>2</v>
      </c>
      <c r="B354" s="191" t="s">
        <v>4062</v>
      </c>
      <c r="C354" s="191" t="s">
        <v>4361</v>
      </c>
      <c r="D354" s="191" t="s">
        <v>477</v>
      </c>
      <c r="E354" s="191">
        <v>10</v>
      </c>
      <c r="F354" s="191">
        <v>0</v>
      </c>
      <c r="G354" s="191">
        <v>0</v>
      </c>
      <c r="H354" s="191" t="s">
        <v>479</v>
      </c>
      <c r="I354" s="191" t="s">
        <v>548</v>
      </c>
      <c r="J354" s="191">
        <v>0</v>
      </c>
      <c r="K354" s="159"/>
    </row>
    <row r="355" spans="1:11" ht="15.75" hidden="1" customHeight="1">
      <c r="A355" s="98" t="s">
        <v>2</v>
      </c>
      <c r="B355" s="191" t="s">
        <v>4062</v>
      </c>
      <c r="C355" s="191" t="s">
        <v>4362</v>
      </c>
      <c r="D355" s="191" t="s">
        <v>477</v>
      </c>
      <c r="E355" s="191">
        <v>55</v>
      </c>
      <c r="F355" s="191">
        <v>0</v>
      </c>
      <c r="G355" s="191">
        <v>0</v>
      </c>
      <c r="H355" s="191" t="s">
        <v>479</v>
      </c>
      <c r="I355" s="191" t="s">
        <v>548</v>
      </c>
      <c r="J355" s="191">
        <v>0</v>
      </c>
      <c r="K355" s="159"/>
    </row>
    <row r="356" spans="1:11" ht="15.75" hidden="1" customHeight="1">
      <c r="A356" s="98" t="s">
        <v>2</v>
      </c>
      <c r="B356" s="191" t="s">
        <v>4062</v>
      </c>
      <c r="C356" s="191" t="s">
        <v>4363</v>
      </c>
      <c r="D356" s="191" t="s">
        <v>477</v>
      </c>
      <c r="E356" s="191">
        <v>55</v>
      </c>
      <c r="F356" s="191">
        <v>0</v>
      </c>
      <c r="G356" s="191">
        <v>0</v>
      </c>
      <c r="H356" s="191" t="s">
        <v>479</v>
      </c>
      <c r="I356" s="191" t="s">
        <v>548</v>
      </c>
      <c r="J356" s="191">
        <v>0</v>
      </c>
      <c r="K356" s="159"/>
    </row>
    <row r="357" spans="1:11" ht="15.75" hidden="1" customHeight="1">
      <c r="A357" s="98" t="s">
        <v>2</v>
      </c>
      <c r="B357" s="191" t="s">
        <v>4062</v>
      </c>
      <c r="C357" s="191" t="s">
        <v>4364</v>
      </c>
      <c r="D357" s="191" t="s">
        <v>477</v>
      </c>
      <c r="E357" s="191">
        <v>55</v>
      </c>
      <c r="F357" s="191">
        <v>0</v>
      </c>
      <c r="G357" s="191">
        <v>0</v>
      </c>
      <c r="H357" s="191" t="s">
        <v>479</v>
      </c>
      <c r="I357" s="191" t="s">
        <v>548</v>
      </c>
      <c r="J357" s="191">
        <v>0</v>
      </c>
      <c r="K357" s="159"/>
    </row>
    <row r="358" spans="1:11" ht="15.75" hidden="1" customHeight="1">
      <c r="A358" s="98" t="s">
        <v>2</v>
      </c>
      <c r="B358" s="191" t="s">
        <v>4062</v>
      </c>
      <c r="C358" s="191" t="s">
        <v>4365</v>
      </c>
      <c r="D358" s="191" t="s">
        <v>477</v>
      </c>
      <c r="E358" s="191">
        <v>55</v>
      </c>
      <c r="F358" s="191">
        <v>0</v>
      </c>
      <c r="G358" s="191">
        <v>0</v>
      </c>
      <c r="H358" s="191" t="s">
        <v>479</v>
      </c>
      <c r="I358" s="191" t="s">
        <v>548</v>
      </c>
      <c r="J358" s="191">
        <v>0</v>
      </c>
      <c r="K358" s="159"/>
    </row>
    <row r="359" spans="1:11" ht="15.75" hidden="1" customHeight="1">
      <c r="A359" s="98" t="s">
        <v>2</v>
      </c>
      <c r="B359" s="191" t="s">
        <v>4062</v>
      </c>
      <c r="C359" s="191" t="s">
        <v>4366</v>
      </c>
      <c r="D359" s="191" t="s">
        <v>477</v>
      </c>
      <c r="E359" s="191">
        <v>55</v>
      </c>
      <c r="F359" s="191">
        <v>0</v>
      </c>
      <c r="G359" s="191">
        <v>0</v>
      </c>
      <c r="H359" s="191" t="s">
        <v>479</v>
      </c>
      <c r="I359" s="191" t="s">
        <v>548</v>
      </c>
      <c r="J359" s="191">
        <v>0</v>
      </c>
      <c r="K359" s="159"/>
    </row>
    <row r="360" spans="1:11" ht="15.75" hidden="1" customHeight="1">
      <c r="A360" s="98" t="s">
        <v>2</v>
      </c>
      <c r="B360" s="191" t="s">
        <v>4062</v>
      </c>
      <c r="C360" s="191" t="s">
        <v>4367</v>
      </c>
      <c r="D360" s="191" t="s">
        <v>477</v>
      </c>
      <c r="E360" s="191">
        <v>8</v>
      </c>
      <c r="F360" s="191">
        <v>0</v>
      </c>
      <c r="G360" s="191">
        <v>0</v>
      </c>
      <c r="H360" s="191" t="s">
        <v>479</v>
      </c>
      <c r="I360" s="191" t="s">
        <v>548</v>
      </c>
      <c r="J360" s="191">
        <v>1</v>
      </c>
      <c r="K360" s="159"/>
    </row>
    <row r="361" spans="1:11" ht="15.75" hidden="1" customHeight="1">
      <c r="A361" s="98" t="s">
        <v>2</v>
      </c>
      <c r="B361" s="191" t="s">
        <v>4062</v>
      </c>
      <c r="C361" s="191" t="s">
        <v>4368</v>
      </c>
      <c r="D361" s="191" t="s">
        <v>477</v>
      </c>
      <c r="E361" s="191">
        <v>55</v>
      </c>
      <c r="F361" s="191">
        <v>0</v>
      </c>
      <c r="G361" s="191">
        <v>0</v>
      </c>
      <c r="H361" s="191" t="s">
        <v>479</v>
      </c>
      <c r="I361" s="191" t="s">
        <v>548</v>
      </c>
      <c r="J361" s="191">
        <v>0</v>
      </c>
      <c r="K361" s="159"/>
    </row>
    <row r="362" spans="1:11" ht="15.75" hidden="1" customHeight="1">
      <c r="A362" s="98" t="s">
        <v>2</v>
      </c>
      <c r="B362" s="191" t="s">
        <v>4062</v>
      </c>
      <c r="C362" s="191" t="s">
        <v>4369</v>
      </c>
      <c r="D362" s="191" t="s">
        <v>477</v>
      </c>
      <c r="E362" s="191">
        <v>55</v>
      </c>
      <c r="F362" s="191">
        <v>0</v>
      </c>
      <c r="G362" s="191">
        <v>0</v>
      </c>
      <c r="H362" s="191" t="s">
        <v>479</v>
      </c>
      <c r="I362" s="191" t="s">
        <v>548</v>
      </c>
      <c r="J362" s="279">
        <v>1</v>
      </c>
      <c r="K362" s="159"/>
    </row>
    <row r="363" spans="1:11" ht="15.75" hidden="1" customHeight="1">
      <c r="A363" s="98" t="s">
        <v>2</v>
      </c>
      <c r="B363" s="191" t="s">
        <v>4062</v>
      </c>
      <c r="C363" s="191" t="s">
        <v>4370</v>
      </c>
      <c r="D363" s="191" t="s">
        <v>477</v>
      </c>
      <c r="E363" s="191">
        <v>20</v>
      </c>
      <c r="F363" s="191">
        <v>0</v>
      </c>
      <c r="G363" s="191">
        <v>0</v>
      </c>
      <c r="H363" s="191" t="s">
        <v>479</v>
      </c>
      <c r="I363" s="191" t="s">
        <v>548</v>
      </c>
      <c r="J363" s="191">
        <v>0</v>
      </c>
      <c r="K363" s="159"/>
    </row>
    <row r="364" spans="1:11" ht="15.75" hidden="1" customHeight="1">
      <c r="A364" s="98" t="s">
        <v>2</v>
      </c>
      <c r="B364" s="191" t="s">
        <v>4062</v>
      </c>
      <c r="C364" s="191" t="s">
        <v>4371</v>
      </c>
      <c r="D364" s="191" t="s">
        <v>477</v>
      </c>
      <c r="E364" s="191">
        <v>55</v>
      </c>
      <c r="F364" s="191">
        <v>0</v>
      </c>
      <c r="G364" s="191">
        <v>0</v>
      </c>
      <c r="H364" s="191" t="s">
        <v>479</v>
      </c>
      <c r="I364" s="191" t="s">
        <v>548</v>
      </c>
      <c r="J364" s="191">
        <v>0</v>
      </c>
      <c r="K364" s="159"/>
    </row>
    <row r="365" spans="1:11" ht="15.75" hidden="1" customHeight="1">
      <c r="A365" s="98" t="s">
        <v>2</v>
      </c>
      <c r="B365" s="191" t="s">
        <v>4062</v>
      </c>
      <c r="C365" s="191" t="s">
        <v>4372</v>
      </c>
      <c r="D365" s="191" t="s">
        <v>477</v>
      </c>
      <c r="E365" s="191">
        <v>255</v>
      </c>
      <c r="F365" s="191">
        <v>0</v>
      </c>
      <c r="G365" s="191">
        <v>0</v>
      </c>
      <c r="H365" s="191" t="s">
        <v>479</v>
      </c>
      <c r="I365" s="191" t="s">
        <v>548</v>
      </c>
      <c r="J365" s="191">
        <v>0</v>
      </c>
      <c r="K365" s="159"/>
    </row>
    <row r="366" spans="1:11" ht="15.75" hidden="1" customHeight="1">
      <c r="A366" s="98" t="s">
        <v>2</v>
      </c>
      <c r="B366" s="191" t="s">
        <v>4062</v>
      </c>
      <c r="C366" s="191" t="s">
        <v>4373</v>
      </c>
      <c r="D366" s="191" t="s">
        <v>477</v>
      </c>
      <c r="E366" s="191">
        <v>255</v>
      </c>
      <c r="F366" s="191">
        <v>0</v>
      </c>
      <c r="G366" s="191">
        <v>0</v>
      </c>
      <c r="H366" s="191" t="s">
        <v>479</v>
      </c>
      <c r="I366" s="191" t="s">
        <v>548</v>
      </c>
      <c r="J366" s="191">
        <v>0</v>
      </c>
      <c r="K366" s="159"/>
    </row>
    <row r="367" spans="1:11" ht="15.75" hidden="1" customHeight="1">
      <c r="A367" s="98" t="s">
        <v>2</v>
      </c>
      <c r="B367" s="191" t="s">
        <v>4062</v>
      </c>
      <c r="C367" s="191" t="s">
        <v>4374</v>
      </c>
      <c r="D367" s="191" t="s">
        <v>477</v>
      </c>
      <c r="E367" s="191">
        <v>10</v>
      </c>
      <c r="F367" s="191">
        <v>0</v>
      </c>
      <c r="G367" s="191">
        <v>0</v>
      </c>
      <c r="H367" s="191" t="s">
        <v>479</v>
      </c>
      <c r="I367" s="191" t="s">
        <v>548</v>
      </c>
      <c r="J367" s="191">
        <v>0</v>
      </c>
      <c r="K367" s="159"/>
    </row>
    <row r="368" spans="1:11" ht="15.75" hidden="1" customHeight="1">
      <c r="A368" s="98" t="s">
        <v>2</v>
      </c>
      <c r="B368" s="191" t="s">
        <v>4062</v>
      </c>
      <c r="C368" s="191" t="s">
        <v>4375</v>
      </c>
      <c r="D368" s="191" t="s">
        <v>477</v>
      </c>
      <c r="E368" s="191">
        <v>20</v>
      </c>
      <c r="F368" s="191">
        <v>0</v>
      </c>
      <c r="G368" s="191">
        <v>0</v>
      </c>
      <c r="H368" s="191" t="s">
        <v>479</v>
      </c>
      <c r="I368" s="191" t="s">
        <v>548</v>
      </c>
      <c r="J368" s="191">
        <v>0</v>
      </c>
      <c r="K368" s="159"/>
    </row>
    <row r="369" spans="1:11" ht="15.75" hidden="1" customHeight="1">
      <c r="A369" s="98" t="s">
        <v>2</v>
      </c>
      <c r="B369" s="191" t="s">
        <v>4062</v>
      </c>
      <c r="C369" s="191" t="s">
        <v>4376</v>
      </c>
      <c r="D369" s="191" t="s">
        <v>477</v>
      </c>
      <c r="E369" s="191">
        <v>55</v>
      </c>
      <c r="F369" s="191">
        <v>0</v>
      </c>
      <c r="G369" s="191">
        <v>0</v>
      </c>
      <c r="H369" s="191" t="s">
        <v>479</v>
      </c>
      <c r="I369" s="191" t="s">
        <v>548</v>
      </c>
      <c r="J369" s="191">
        <v>0</v>
      </c>
      <c r="K369" s="159"/>
    </row>
    <row r="370" spans="1:11" ht="15.75" hidden="1" customHeight="1">
      <c r="A370" s="98" t="s">
        <v>2</v>
      </c>
      <c r="B370" s="191" t="s">
        <v>4062</v>
      </c>
      <c r="C370" s="191" t="s">
        <v>4416</v>
      </c>
      <c r="D370" s="191" t="s">
        <v>477</v>
      </c>
      <c r="E370" s="191">
        <v>8</v>
      </c>
      <c r="F370" s="191">
        <v>0</v>
      </c>
      <c r="G370" s="191">
        <v>0</v>
      </c>
      <c r="H370" s="191" t="s">
        <v>479</v>
      </c>
      <c r="I370" s="191" t="s">
        <v>548</v>
      </c>
      <c r="J370" s="191">
        <v>0</v>
      </c>
      <c r="K370" s="159"/>
    </row>
    <row r="371" spans="1:11" ht="15.75" hidden="1" customHeight="1">
      <c r="A371" s="98" t="s">
        <v>2</v>
      </c>
      <c r="B371" s="191" t="s">
        <v>4062</v>
      </c>
      <c r="C371" s="191" t="s">
        <v>4417</v>
      </c>
      <c r="D371" s="191" t="s">
        <v>477</v>
      </c>
      <c r="E371" s="191">
        <v>6</v>
      </c>
      <c r="F371" s="191">
        <v>0</v>
      </c>
      <c r="G371" s="191">
        <v>0</v>
      </c>
      <c r="H371" s="191" t="s">
        <v>479</v>
      </c>
      <c r="I371" s="191" t="s">
        <v>548</v>
      </c>
      <c r="J371" s="191">
        <v>0</v>
      </c>
      <c r="K371" s="159"/>
    </row>
    <row r="372" spans="1:11" ht="15.75" hidden="1" customHeight="1">
      <c r="A372" s="98" t="s">
        <v>2</v>
      </c>
      <c r="B372" s="191" t="s">
        <v>4062</v>
      </c>
      <c r="C372" s="191" t="s">
        <v>4380</v>
      </c>
      <c r="D372" s="191" t="s">
        <v>484</v>
      </c>
      <c r="E372" s="191">
        <v>4</v>
      </c>
      <c r="F372" s="191">
        <v>10</v>
      </c>
      <c r="G372" s="191">
        <v>0</v>
      </c>
      <c r="H372" s="191" t="s">
        <v>479</v>
      </c>
      <c r="I372" s="191" t="s">
        <v>615</v>
      </c>
      <c r="J372" s="191">
        <v>0</v>
      </c>
      <c r="K372" s="159"/>
    </row>
    <row r="373" spans="1:11" ht="15.75" hidden="1" customHeight="1">
      <c r="A373" s="98" t="s">
        <v>2</v>
      </c>
      <c r="B373" s="191" t="s">
        <v>4062</v>
      </c>
      <c r="C373" s="191" t="s">
        <v>4381</v>
      </c>
      <c r="D373" s="191" t="s">
        <v>477</v>
      </c>
      <c r="E373" s="191">
        <v>1</v>
      </c>
      <c r="F373" s="191">
        <v>0</v>
      </c>
      <c r="G373" s="191">
        <v>0</v>
      </c>
      <c r="H373" s="191" t="s">
        <v>479</v>
      </c>
      <c r="I373" s="191" t="s">
        <v>548</v>
      </c>
      <c r="J373" s="191">
        <v>0</v>
      </c>
      <c r="K373" s="159"/>
    </row>
    <row r="374" spans="1:11" ht="15.75" hidden="1" customHeight="1">
      <c r="A374" s="98" t="s">
        <v>2</v>
      </c>
      <c r="B374" s="191" t="s">
        <v>4062</v>
      </c>
      <c r="C374" s="191" t="s">
        <v>4418</v>
      </c>
      <c r="D374" s="191" t="s">
        <v>477</v>
      </c>
      <c r="E374" s="191">
        <v>5</v>
      </c>
      <c r="F374" s="191">
        <v>0</v>
      </c>
      <c r="G374" s="191">
        <v>0</v>
      </c>
      <c r="H374" s="191" t="s">
        <v>479</v>
      </c>
      <c r="I374" s="191" t="s">
        <v>548</v>
      </c>
      <c r="J374" s="191">
        <v>0</v>
      </c>
      <c r="K374" s="159"/>
    </row>
    <row r="375" spans="1:11" ht="15.75" hidden="1" customHeight="1">
      <c r="A375" s="98" t="s">
        <v>2</v>
      </c>
      <c r="B375" s="191" t="s">
        <v>4062</v>
      </c>
      <c r="C375" s="191" t="s">
        <v>4419</v>
      </c>
      <c r="D375" s="191" t="s">
        <v>477</v>
      </c>
      <c r="E375" s="191">
        <v>20</v>
      </c>
      <c r="F375" s="191">
        <v>0</v>
      </c>
      <c r="G375" s="191">
        <v>0</v>
      </c>
      <c r="H375" s="191" t="s">
        <v>479</v>
      </c>
      <c r="I375" s="191" t="s">
        <v>548</v>
      </c>
      <c r="J375" s="191">
        <v>0</v>
      </c>
      <c r="K375" s="159"/>
    </row>
    <row r="376" spans="1:11" ht="15.75" hidden="1" customHeight="1">
      <c r="A376" s="98" t="s">
        <v>2</v>
      </c>
      <c r="B376" s="191" t="s">
        <v>4062</v>
      </c>
      <c r="C376" s="191" t="s">
        <v>4382</v>
      </c>
      <c r="D376" s="191" t="s">
        <v>477</v>
      </c>
      <c r="E376" s="191">
        <v>20</v>
      </c>
      <c r="F376" s="191">
        <v>0</v>
      </c>
      <c r="G376" s="191">
        <v>0</v>
      </c>
      <c r="H376" s="191" t="s">
        <v>479</v>
      </c>
      <c r="I376" s="191" t="s">
        <v>548</v>
      </c>
      <c r="J376" s="191">
        <v>0</v>
      </c>
      <c r="K376" s="159"/>
    </row>
    <row r="377" spans="1:11" ht="15.75" hidden="1" customHeight="1">
      <c r="A377" s="98" t="s">
        <v>2</v>
      </c>
      <c r="B377" s="191" t="s">
        <v>4062</v>
      </c>
      <c r="C377" s="191" t="s">
        <v>669</v>
      </c>
      <c r="D377" s="191" t="s">
        <v>496</v>
      </c>
      <c r="E377" s="191">
        <v>4</v>
      </c>
      <c r="F377" s="191">
        <v>16</v>
      </c>
      <c r="G377" s="191">
        <v>0</v>
      </c>
      <c r="H377" s="191" t="s">
        <v>479</v>
      </c>
      <c r="I377" s="191" t="s">
        <v>1363</v>
      </c>
      <c r="J377" s="191">
        <v>0</v>
      </c>
      <c r="K377" s="159"/>
    </row>
    <row r="378" spans="1:11" ht="15.75" hidden="1" customHeight="1">
      <c r="A378" s="98" t="s">
        <v>2</v>
      </c>
      <c r="B378" s="191" t="s">
        <v>4062</v>
      </c>
      <c r="C378" s="191" t="s">
        <v>523</v>
      </c>
      <c r="D378" s="191" t="s">
        <v>477</v>
      </c>
      <c r="E378" s="191">
        <v>8</v>
      </c>
      <c r="F378" s="191">
        <v>0</v>
      </c>
      <c r="G378" s="191">
        <v>0</v>
      </c>
      <c r="H378" s="191" t="s">
        <v>479</v>
      </c>
      <c r="I378" s="191" t="s">
        <v>548</v>
      </c>
      <c r="J378" s="191">
        <v>0</v>
      </c>
      <c r="K378" s="159"/>
    </row>
    <row r="379" spans="1:11" ht="15.75" hidden="1" customHeight="1">
      <c r="A379" s="98" t="s">
        <v>2</v>
      </c>
      <c r="B379" s="191" t="s">
        <v>4062</v>
      </c>
      <c r="C379" s="191" t="s">
        <v>215</v>
      </c>
      <c r="D379" s="191" t="s">
        <v>496</v>
      </c>
      <c r="E379" s="191">
        <v>4</v>
      </c>
      <c r="F379" s="191">
        <v>16</v>
      </c>
      <c r="G379" s="191">
        <v>0</v>
      </c>
      <c r="H379" s="191" t="s">
        <v>479</v>
      </c>
      <c r="I379" s="191" t="s">
        <v>548</v>
      </c>
      <c r="J379" s="191">
        <v>0</v>
      </c>
      <c r="K379" s="159"/>
    </row>
    <row r="380" spans="1:11" ht="15.75" hidden="1" customHeight="1">
      <c r="A380" s="98" t="s">
        <v>2</v>
      </c>
      <c r="B380" s="191" t="s">
        <v>4062</v>
      </c>
      <c r="C380" s="191" t="s">
        <v>670</v>
      </c>
      <c r="D380" s="191" t="s">
        <v>477</v>
      </c>
      <c r="E380" s="191">
        <v>8</v>
      </c>
      <c r="F380" s="191">
        <v>0</v>
      </c>
      <c r="G380" s="191">
        <v>0</v>
      </c>
      <c r="H380" s="191" t="s">
        <v>479</v>
      </c>
      <c r="I380" s="191" t="s">
        <v>548</v>
      </c>
      <c r="J380" s="191">
        <v>0</v>
      </c>
      <c r="K380" s="159"/>
    </row>
    <row r="381" spans="1:11" ht="15.75" hidden="1" customHeight="1">
      <c r="A381" s="98" t="s">
        <v>2</v>
      </c>
      <c r="B381" s="191" t="s">
        <v>4062</v>
      </c>
      <c r="C381" s="191" t="s">
        <v>4407</v>
      </c>
      <c r="D381" s="191" t="s">
        <v>477</v>
      </c>
      <c r="E381" s="191">
        <v>255</v>
      </c>
      <c r="F381" s="191">
        <v>0</v>
      </c>
      <c r="G381" s="191">
        <v>0</v>
      </c>
      <c r="H381" s="191" t="s">
        <v>479</v>
      </c>
      <c r="I381" s="191" t="s">
        <v>548</v>
      </c>
      <c r="J381" s="191">
        <v>0</v>
      </c>
      <c r="K381" s="159"/>
    </row>
    <row r="382" spans="1:11" ht="15.75" hidden="1" customHeight="1">
      <c r="A382" s="98" t="s">
        <v>2</v>
      </c>
      <c r="B382" s="191" t="s">
        <v>4063</v>
      </c>
      <c r="C382" s="191" t="s">
        <v>325</v>
      </c>
      <c r="D382" s="191" t="s">
        <v>484</v>
      </c>
      <c r="E382" s="191">
        <v>4</v>
      </c>
      <c r="F382" s="191">
        <v>10</v>
      </c>
      <c r="G382" s="191">
        <v>0</v>
      </c>
      <c r="H382" s="191" t="s">
        <v>479</v>
      </c>
      <c r="I382" s="191" t="s">
        <v>479</v>
      </c>
      <c r="J382" s="191">
        <v>0</v>
      </c>
      <c r="K382" s="159"/>
    </row>
    <row r="383" spans="1:11" ht="15.75" hidden="1" customHeight="1">
      <c r="A383" s="98" t="s">
        <v>2</v>
      </c>
      <c r="B383" s="191" t="s">
        <v>4063</v>
      </c>
      <c r="C383" s="191" t="s">
        <v>4352</v>
      </c>
      <c r="D383" s="191" t="s">
        <v>477</v>
      </c>
      <c r="E383" s="191">
        <v>5</v>
      </c>
      <c r="F383" s="191">
        <v>0</v>
      </c>
      <c r="G383" s="191">
        <v>0</v>
      </c>
      <c r="H383" s="191" t="s">
        <v>479</v>
      </c>
      <c r="I383" s="191" t="s">
        <v>479</v>
      </c>
      <c r="J383" s="191">
        <v>0</v>
      </c>
      <c r="K383" s="159"/>
    </row>
    <row r="384" spans="1:11" ht="15.75" hidden="1" customHeight="1">
      <c r="A384" s="98" t="s">
        <v>2</v>
      </c>
      <c r="B384" s="191" t="s">
        <v>4063</v>
      </c>
      <c r="C384" s="191" t="s">
        <v>4353</v>
      </c>
      <c r="D384" s="191" t="s">
        <v>477</v>
      </c>
      <c r="E384" s="191">
        <v>5</v>
      </c>
      <c r="F384" s="191">
        <v>0</v>
      </c>
      <c r="G384" s="191">
        <v>0</v>
      </c>
      <c r="H384" s="191" t="s">
        <v>479</v>
      </c>
      <c r="I384" s="191" t="s">
        <v>479</v>
      </c>
      <c r="J384" s="191">
        <v>0</v>
      </c>
      <c r="K384" s="159"/>
    </row>
    <row r="385" spans="1:11" ht="15.75" hidden="1" customHeight="1">
      <c r="A385" s="98" t="s">
        <v>2</v>
      </c>
      <c r="B385" s="191" t="s">
        <v>4063</v>
      </c>
      <c r="C385" s="191" t="s">
        <v>4388</v>
      </c>
      <c r="D385" s="191" t="s">
        <v>477</v>
      </c>
      <c r="E385" s="191">
        <v>20</v>
      </c>
      <c r="F385" s="191">
        <v>0</v>
      </c>
      <c r="G385" s="191">
        <v>0</v>
      </c>
      <c r="H385" s="191" t="s">
        <v>479</v>
      </c>
      <c r="I385" s="191" t="s">
        <v>479</v>
      </c>
      <c r="J385" s="191">
        <v>1</v>
      </c>
      <c r="K385" s="159"/>
    </row>
    <row r="386" spans="1:11" ht="15.75" hidden="1" customHeight="1">
      <c r="A386" s="98" t="s">
        <v>2</v>
      </c>
      <c r="B386" s="191" t="s">
        <v>4063</v>
      </c>
      <c r="C386" s="191" t="s">
        <v>4405</v>
      </c>
      <c r="D386" s="191" t="s">
        <v>477</v>
      </c>
      <c r="E386" s="191">
        <v>25</v>
      </c>
      <c r="F386" s="191">
        <v>0</v>
      </c>
      <c r="G386" s="191">
        <v>0</v>
      </c>
      <c r="H386" s="191" t="s">
        <v>479</v>
      </c>
      <c r="I386" s="191" t="s">
        <v>479</v>
      </c>
      <c r="J386" s="191">
        <v>1</v>
      </c>
      <c r="K386" s="159"/>
    </row>
    <row r="387" spans="1:11" ht="15.75" hidden="1" customHeight="1">
      <c r="A387" s="98" t="s">
        <v>2</v>
      </c>
      <c r="B387" s="191" t="s">
        <v>4063</v>
      </c>
      <c r="C387" s="191" t="s">
        <v>523</v>
      </c>
      <c r="D387" s="191" t="s">
        <v>477</v>
      </c>
      <c r="E387" s="191">
        <v>8</v>
      </c>
      <c r="F387" s="191">
        <v>0</v>
      </c>
      <c r="G387" s="191">
        <v>0</v>
      </c>
      <c r="H387" s="191" t="s">
        <v>479</v>
      </c>
      <c r="I387" s="191" t="s">
        <v>479</v>
      </c>
      <c r="J387" s="191">
        <v>0</v>
      </c>
      <c r="K387" s="159"/>
    </row>
    <row r="388" spans="1:11" ht="15.75" hidden="1" customHeight="1">
      <c r="A388" s="98" t="s">
        <v>2</v>
      </c>
      <c r="B388" s="191" t="s">
        <v>4063</v>
      </c>
      <c r="C388" s="191" t="s">
        <v>669</v>
      </c>
      <c r="D388" s="191" t="s">
        <v>496</v>
      </c>
      <c r="E388" s="191">
        <v>4</v>
      </c>
      <c r="F388" s="191">
        <v>16</v>
      </c>
      <c r="G388" s="191">
        <v>0</v>
      </c>
      <c r="H388" s="191" t="s">
        <v>479</v>
      </c>
      <c r="I388" s="191" t="s">
        <v>479</v>
      </c>
      <c r="J388" s="191">
        <v>0</v>
      </c>
      <c r="K388" s="159"/>
    </row>
    <row r="389" spans="1:11" ht="15.75" hidden="1" customHeight="1">
      <c r="A389" s="98" t="s">
        <v>2</v>
      </c>
      <c r="B389" s="191" t="s">
        <v>4063</v>
      </c>
      <c r="C389" s="191" t="s">
        <v>811</v>
      </c>
      <c r="D389" s="191" t="s">
        <v>477</v>
      </c>
      <c r="E389" s="191">
        <v>20</v>
      </c>
      <c r="F389" s="191">
        <v>0</v>
      </c>
      <c r="G389" s="191">
        <v>0</v>
      </c>
      <c r="H389" s="191" t="s">
        <v>479</v>
      </c>
      <c r="I389" s="191" t="s">
        <v>813</v>
      </c>
      <c r="J389" s="191">
        <v>0</v>
      </c>
      <c r="K389" s="159"/>
    </row>
    <row r="390" spans="1:11" ht="15.75" hidden="1" customHeight="1">
      <c r="A390" s="98" t="s">
        <v>2</v>
      </c>
      <c r="B390" s="191" t="s">
        <v>4063</v>
      </c>
      <c r="C390" s="191" t="s">
        <v>4407</v>
      </c>
      <c r="D390" s="191" t="s">
        <v>477</v>
      </c>
      <c r="E390" s="191">
        <v>255</v>
      </c>
      <c r="F390" s="191">
        <v>0</v>
      </c>
      <c r="G390" s="191">
        <v>0</v>
      </c>
      <c r="H390" s="191" t="s">
        <v>479</v>
      </c>
      <c r="I390" s="191" t="s">
        <v>548</v>
      </c>
      <c r="J390" s="191">
        <v>0</v>
      </c>
      <c r="K390" s="159"/>
    </row>
    <row r="391" spans="1:11" ht="15.75" hidden="1" customHeight="1">
      <c r="A391" s="98" t="s">
        <v>2</v>
      </c>
      <c r="B391" s="191" t="s">
        <v>4063</v>
      </c>
      <c r="C391" s="191" t="s">
        <v>670</v>
      </c>
      <c r="D391" s="191" t="s">
        <v>477</v>
      </c>
      <c r="E391" s="191">
        <v>9</v>
      </c>
      <c r="F391" s="191">
        <v>0</v>
      </c>
      <c r="G391" s="191">
        <v>0</v>
      </c>
      <c r="H391" s="191" t="s">
        <v>479</v>
      </c>
      <c r="I391" s="191" t="s">
        <v>548</v>
      </c>
      <c r="J391" s="191">
        <v>0</v>
      </c>
      <c r="K391" s="159"/>
    </row>
    <row r="392" spans="1:11" ht="15.75" hidden="1" customHeight="1">
      <c r="A392" s="98" t="s">
        <v>2</v>
      </c>
      <c r="B392" s="191" t="s">
        <v>4063</v>
      </c>
      <c r="C392" s="191" t="s">
        <v>215</v>
      </c>
      <c r="D392" s="191" t="s">
        <v>496</v>
      </c>
      <c r="E392" s="191">
        <v>4</v>
      </c>
      <c r="F392" s="191">
        <v>16</v>
      </c>
      <c r="G392" s="191">
        <v>0</v>
      </c>
      <c r="H392" s="191" t="s">
        <v>479</v>
      </c>
      <c r="I392" s="191" t="s">
        <v>548</v>
      </c>
      <c r="J392" s="191">
        <v>0</v>
      </c>
      <c r="K392" s="159"/>
    </row>
    <row r="393" spans="1:11" ht="15.75" hidden="1" customHeight="1">
      <c r="A393" s="98" t="s">
        <v>2</v>
      </c>
      <c r="B393" s="191" t="s">
        <v>4065</v>
      </c>
      <c r="C393" s="191" t="s">
        <v>3720</v>
      </c>
      <c r="D393" s="191" t="s">
        <v>484</v>
      </c>
      <c r="E393" s="191">
        <v>4</v>
      </c>
      <c r="F393" s="191">
        <v>10</v>
      </c>
      <c r="G393" s="191">
        <v>0</v>
      </c>
      <c r="H393" s="191" t="s">
        <v>479</v>
      </c>
      <c r="I393" s="191" t="s">
        <v>479</v>
      </c>
      <c r="J393" s="191">
        <v>0</v>
      </c>
      <c r="K393" s="159"/>
    </row>
    <row r="394" spans="1:11" ht="15.75" hidden="1" customHeight="1">
      <c r="A394" s="98" t="s">
        <v>2</v>
      </c>
      <c r="B394" s="191" t="s">
        <v>4065</v>
      </c>
      <c r="C394" s="191" t="s">
        <v>4321</v>
      </c>
      <c r="D394" s="191" t="s">
        <v>477</v>
      </c>
      <c r="E394" s="191">
        <v>100</v>
      </c>
      <c r="F394" s="191">
        <v>0</v>
      </c>
      <c r="G394" s="191">
        <v>0</v>
      </c>
      <c r="H394" s="191" t="s">
        <v>479</v>
      </c>
      <c r="I394" s="191" t="s">
        <v>548</v>
      </c>
      <c r="J394" s="191">
        <v>0</v>
      </c>
      <c r="K394" s="159"/>
    </row>
    <row r="395" spans="1:11" ht="15.75" hidden="1" customHeight="1">
      <c r="A395" s="98" t="s">
        <v>2</v>
      </c>
      <c r="B395" s="191" t="s">
        <v>4065</v>
      </c>
      <c r="C395" s="191" t="s">
        <v>523</v>
      </c>
      <c r="D395" s="191" t="s">
        <v>477</v>
      </c>
      <c r="E395" s="191">
        <v>8</v>
      </c>
      <c r="F395" s="191">
        <v>0</v>
      </c>
      <c r="G395" s="191">
        <v>0</v>
      </c>
      <c r="H395" s="191" t="s">
        <v>479</v>
      </c>
      <c r="I395" s="191" t="s">
        <v>548</v>
      </c>
      <c r="J395" s="191">
        <v>0</v>
      </c>
      <c r="K395" s="159"/>
    </row>
    <row r="396" spans="1:11" ht="15.75" hidden="1" customHeight="1">
      <c r="A396" s="98" t="s">
        <v>2</v>
      </c>
      <c r="B396" s="191" t="s">
        <v>4065</v>
      </c>
      <c r="C396" s="191" t="s">
        <v>669</v>
      </c>
      <c r="D396" s="191" t="s">
        <v>496</v>
      </c>
      <c r="E396" s="191">
        <v>4</v>
      </c>
      <c r="F396" s="191">
        <v>16</v>
      </c>
      <c r="G396" s="191">
        <v>0</v>
      </c>
      <c r="H396" s="191" t="s">
        <v>479</v>
      </c>
      <c r="I396" s="191" t="s">
        <v>548</v>
      </c>
      <c r="J396" s="191">
        <v>0</v>
      </c>
      <c r="K396" s="159"/>
    </row>
    <row r="397" spans="1:11" ht="15.75" hidden="1" customHeight="1">
      <c r="A397" s="98" t="s">
        <v>2</v>
      </c>
      <c r="B397" s="191" t="s">
        <v>4067</v>
      </c>
      <c r="C397" s="191" t="s">
        <v>4420</v>
      </c>
      <c r="D397" s="191" t="s">
        <v>484</v>
      </c>
      <c r="E397" s="191">
        <v>4</v>
      </c>
      <c r="F397" s="191">
        <v>10</v>
      </c>
      <c r="G397" s="191">
        <v>0</v>
      </c>
      <c r="H397" s="191" t="s">
        <v>4421</v>
      </c>
      <c r="I397" s="191" t="s">
        <v>479</v>
      </c>
      <c r="J397" s="191">
        <v>0</v>
      </c>
      <c r="K397" s="159"/>
    </row>
    <row r="398" spans="1:11" ht="15.75" hidden="1" customHeight="1">
      <c r="A398" s="98" t="s">
        <v>2</v>
      </c>
      <c r="B398" s="191" t="s">
        <v>4067</v>
      </c>
      <c r="C398" s="191" t="s">
        <v>292</v>
      </c>
      <c r="D398" s="191" t="s">
        <v>484</v>
      </c>
      <c r="E398" s="191">
        <v>4</v>
      </c>
      <c r="F398" s="191">
        <v>10</v>
      </c>
      <c r="G398" s="191">
        <v>0</v>
      </c>
      <c r="H398" s="191" t="s">
        <v>479</v>
      </c>
      <c r="I398" s="191" t="s">
        <v>615</v>
      </c>
      <c r="J398" s="191">
        <v>0</v>
      </c>
      <c r="K398" s="159"/>
    </row>
    <row r="399" spans="1:11" ht="15.75" hidden="1" customHeight="1">
      <c r="A399" s="98" t="s">
        <v>2</v>
      </c>
      <c r="B399" s="191" t="s">
        <v>4067</v>
      </c>
      <c r="C399" s="191" t="s">
        <v>4252</v>
      </c>
      <c r="D399" s="191" t="s">
        <v>477</v>
      </c>
      <c r="E399" s="191">
        <v>7</v>
      </c>
      <c r="F399" s="191">
        <v>0</v>
      </c>
      <c r="G399" s="191">
        <v>0</v>
      </c>
      <c r="H399" s="191" t="s">
        <v>4422</v>
      </c>
      <c r="I399" s="191" t="s">
        <v>548</v>
      </c>
      <c r="J399" s="191">
        <v>0</v>
      </c>
      <c r="K399" s="159"/>
    </row>
    <row r="400" spans="1:11" ht="15.75" hidden="1" customHeight="1">
      <c r="A400" s="98" t="s">
        <v>2</v>
      </c>
      <c r="B400" s="191" t="s">
        <v>4067</v>
      </c>
      <c r="C400" s="191" t="s">
        <v>4376</v>
      </c>
      <c r="D400" s="191" t="s">
        <v>477</v>
      </c>
      <c r="E400" s="191">
        <v>55</v>
      </c>
      <c r="F400" s="191">
        <v>0</v>
      </c>
      <c r="G400" s="191">
        <v>0</v>
      </c>
      <c r="H400" s="191" t="s">
        <v>4423</v>
      </c>
      <c r="I400" s="191" t="s">
        <v>548</v>
      </c>
      <c r="J400" s="191">
        <v>0</v>
      </c>
      <c r="K400" s="159"/>
    </row>
    <row r="401" spans="1:11" ht="15.75" hidden="1" customHeight="1">
      <c r="A401" s="98" t="s">
        <v>2</v>
      </c>
      <c r="B401" s="191" t="s">
        <v>4067</v>
      </c>
      <c r="C401" s="191" t="s">
        <v>4357</v>
      </c>
      <c r="D401" s="191" t="s">
        <v>477</v>
      </c>
      <c r="E401" s="191">
        <v>2</v>
      </c>
      <c r="F401" s="191">
        <v>0</v>
      </c>
      <c r="G401" s="191">
        <v>0</v>
      </c>
      <c r="H401" s="191" t="s">
        <v>545</v>
      </c>
      <c r="I401" s="191" t="s">
        <v>548</v>
      </c>
      <c r="J401" s="191">
        <v>0</v>
      </c>
      <c r="K401" s="159"/>
    </row>
    <row r="402" spans="1:11" ht="15.75" hidden="1" customHeight="1">
      <c r="A402" s="98" t="s">
        <v>2</v>
      </c>
      <c r="B402" s="191" t="s">
        <v>4067</v>
      </c>
      <c r="C402" s="191" t="s">
        <v>2453</v>
      </c>
      <c r="D402" s="191" t="s">
        <v>477</v>
      </c>
      <c r="E402" s="191">
        <v>3</v>
      </c>
      <c r="F402" s="191">
        <v>0</v>
      </c>
      <c r="G402" s="191">
        <v>0</v>
      </c>
      <c r="H402" s="191" t="s">
        <v>4424</v>
      </c>
      <c r="I402" s="191" t="s">
        <v>2454</v>
      </c>
      <c r="J402" s="191">
        <v>0</v>
      </c>
      <c r="K402" s="159"/>
    </row>
    <row r="403" spans="1:11" ht="15.75" hidden="1" customHeight="1">
      <c r="A403" s="98" t="s">
        <v>2</v>
      </c>
      <c r="B403" s="191" t="s">
        <v>4067</v>
      </c>
      <c r="C403" s="191" t="s">
        <v>4186</v>
      </c>
      <c r="D403" s="191" t="s">
        <v>477</v>
      </c>
      <c r="E403" s="191">
        <v>20</v>
      </c>
      <c r="F403" s="191">
        <v>0</v>
      </c>
      <c r="G403" s="191">
        <v>0</v>
      </c>
      <c r="H403" s="191" t="s">
        <v>4425</v>
      </c>
      <c r="I403" s="191" t="s">
        <v>548</v>
      </c>
      <c r="J403" s="191">
        <v>0</v>
      </c>
      <c r="K403" s="159"/>
    </row>
    <row r="404" spans="1:11" ht="15.75" hidden="1" customHeight="1">
      <c r="A404" s="98" t="s">
        <v>2</v>
      </c>
      <c r="B404" s="191" t="s">
        <v>4067</v>
      </c>
      <c r="C404" s="191" t="s">
        <v>4374</v>
      </c>
      <c r="D404" s="191" t="s">
        <v>477</v>
      </c>
      <c r="E404" s="191">
        <v>10</v>
      </c>
      <c r="F404" s="191">
        <v>0</v>
      </c>
      <c r="G404" s="191">
        <v>0</v>
      </c>
      <c r="H404" s="191" t="s">
        <v>4426</v>
      </c>
      <c r="I404" s="191" t="s">
        <v>548</v>
      </c>
      <c r="J404" s="191">
        <v>0</v>
      </c>
      <c r="K404" s="159"/>
    </row>
    <row r="405" spans="1:11" ht="15.75" hidden="1" customHeight="1">
      <c r="A405" s="98" t="s">
        <v>2</v>
      </c>
      <c r="B405" s="191" t="s">
        <v>4067</v>
      </c>
      <c r="C405" s="191" t="s">
        <v>4394</v>
      </c>
      <c r="D405" s="191" t="s">
        <v>484</v>
      </c>
      <c r="E405" s="191">
        <v>4</v>
      </c>
      <c r="F405" s="191">
        <v>10</v>
      </c>
      <c r="G405" s="191">
        <v>0</v>
      </c>
      <c r="H405" s="191" t="s">
        <v>4427</v>
      </c>
      <c r="I405" s="191" t="s">
        <v>1878</v>
      </c>
      <c r="J405" s="191">
        <v>0</v>
      </c>
      <c r="K405" s="159"/>
    </row>
    <row r="406" spans="1:11" ht="15.75" hidden="1" customHeight="1">
      <c r="A406" s="98" t="s">
        <v>2</v>
      </c>
      <c r="B406" s="191" t="s">
        <v>4067</v>
      </c>
      <c r="C406" s="191" t="s">
        <v>4415</v>
      </c>
      <c r="D406" s="191" t="s">
        <v>484</v>
      </c>
      <c r="E406" s="191">
        <v>4</v>
      </c>
      <c r="F406" s="191">
        <v>10</v>
      </c>
      <c r="G406" s="191">
        <v>0</v>
      </c>
      <c r="H406" s="191" t="s">
        <v>479</v>
      </c>
      <c r="I406" s="191" t="s">
        <v>615</v>
      </c>
      <c r="J406" s="191">
        <v>0</v>
      </c>
      <c r="K406" s="159"/>
    </row>
    <row r="407" spans="1:11" ht="15.75" hidden="1" customHeight="1">
      <c r="A407" s="98" t="s">
        <v>2</v>
      </c>
      <c r="B407" s="191" t="s">
        <v>4067</v>
      </c>
      <c r="C407" s="191" t="s">
        <v>4359</v>
      </c>
      <c r="D407" s="191" t="s">
        <v>484</v>
      </c>
      <c r="E407" s="191">
        <v>4</v>
      </c>
      <c r="F407" s="191">
        <v>10</v>
      </c>
      <c r="G407" s="191">
        <v>0</v>
      </c>
      <c r="H407" s="191" t="s">
        <v>4395</v>
      </c>
      <c r="I407" s="191" t="s">
        <v>615</v>
      </c>
      <c r="J407" s="191">
        <v>0</v>
      </c>
      <c r="K407" s="159"/>
    </row>
    <row r="408" spans="1:11" ht="15.75" hidden="1" customHeight="1">
      <c r="A408" s="98" t="s">
        <v>2</v>
      </c>
      <c r="B408" s="191" t="s">
        <v>4067</v>
      </c>
      <c r="C408" s="191" t="s">
        <v>4176</v>
      </c>
      <c r="D408" s="191" t="s">
        <v>484</v>
      </c>
      <c r="E408" s="191">
        <v>4</v>
      </c>
      <c r="F408" s="191">
        <v>10</v>
      </c>
      <c r="G408" s="191">
        <v>0</v>
      </c>
      <c r="H408" s="191" t="s">
        <v>4428</v>
      </c>
      <c r="I408" s="191" t="s">
        <v>548</v>
      </c>
      <c r="J408" s="191">
        <v>0</v>
      </c>
      <c r="K408" s="159"/>
    </row>
    <row r="409" spans="1:11" ht="15.75" hidden="1" customHeight="1">
      <c r="A409" s="98" t="s">
        <v>2</v>
      </c>
      <c r="B409" s="191" t="s">
        <v>4067</v>
      </c>
      <c r="C409" s="191" t="s">
        <v>4429</v>
      </c>
      <c r="D409" s="191" t="s">
        <v>481</v>
      </c>
      <c r="E409" s="191">
        <v>5</v>
      </c>
      <c r="F409" s="191">
        <v>9</v>
      </c>
      <c r="G409" s="191">
        <v>6</v>
      </c>
      <c r="H409" s="191" t="s">
        <v>4430</v>
      </c>
      <c r="I409" s="191" t="s">
        <v>615</v>
      </c>
      <c r="J409" s="191">
        <v>0</v>
      </c>
      <c r="K409" s="159"/>
    </row>
    <row r="410" spans="1:11" ht="15.75" hidden="1" customHeight="1">
      <c r="A410" s="98" t="s">
        <v>2</v>
      </c>
      <c r="B410" s="191" t="s">
        <v>4067</v>
      </c>
      <c r="C410" s="191" t="s">
        <v>4351</v>
      </c>
      <c r="D410" s="191" t="s">
        <v>477</v>
      </c>
      <c r="E410" s="191">
        <v>14</v>
      </c>
      <c r="F410" s="191">
        <v>0</v>
      </c>
      <c r="G410" s="191">
        <v>0</v>
      </c>
      <c r="H410" s="191" t="s">
        <v>4431</v>
      </c>
      <c r="I410" s="191" t="s">
        <v>548</v>
      </c>
      <c r="J410" s="191">
        <v>0</v>
      </c>
      <c r="K410" s="159"/>
    </row>
    <row r="411" spans="1:11" ht="15.75" hidden="1" customHeight="1">
      <c r="A411" s="98" t="s">
        <v>2</v>
      </c>
      <c r="B411" s="191" t="s">
        <v>4067</v>
      </c>
      <c r="C411" s="191" t="s">
        <v>4381</v>
      </c>
      <c r="D411" s="191" t="s">
        <v>477</v>
      </c>
      <c r="E411" s="191">
        <v>1</v>
      </c>
      <c r="F411" s="191">
        <v>0</v>
      </c>
      <c r="G411" s="191">
        <v>0</v>
      </c>
      <c r="H411" s="191" t="s">
        <v>4432</v>
      </c>
      <c r="I411" s="191" t="s">
        <v>548</v>
      </c>
      <c r="J411" s="191">
        <v>0</v>
      </c>
      <c r="K411" s="159"/>
    </row>
    <row r="412" spans="1:11" ht="15.75" hidden="1" customHeight="1">
      <c r="A412" s="98" t="s">
        <v>2</v>
      </c>
      <c r="B412" s="191" t="s">
        <v>4067</v>
      </c>
      <c r="C412" s="191" t="s">
        <v>4433</v>
      </c>
      <c r="D412" s="191" t="s">
        <v>484</v>
      </c>
      <c r="E412" s="191">
        <v>4</v>
      </c>
      <c r="F412" s="191">
        <v>10</v>
      </c>
      <c r="G412" s="191">
        <v>0</v>
      </c>
      <c r="H412" s="191" t="s">
        <v>4434</v>
      </c>
      <c r="I412" s="191" t="s">
        <v>1878</v>
      </c>
      <c r="J412" s="191">
        <v>0</v>
      </c>
      <c r="K412" s="159"/>
    </row>
    <row r="413" spans="1:11" ht="15.75" hidden="1" customHeight="1">
      <c r="A413" s="98" t="s">
        <v>2</v>
      </c>
      <c r="B413" s="191" t="s">
        <v>4067</v>
      </c>
      <c r="C413" s="191" t="s">
        <v>4188</v>
      </c>
      <c r="D413" s="191" t="s">
        <v>477</v>
      </c>
      <c r="E413" s="191">
        <v>10</v>
      </c>
      <c r="F413" s="191">
        <v>0</v>
      </c>
      <c r="G413" s="191">
        <v>0</v>
      </c>
      <c r="H413" s="191" t="s">
        <v>4435</v>
      </c>
      <c r="I413" s="191" t="s">
        <v>548</v>
      </c>
      <c r="J413" s="191">
        <v>0</v>
      </c>
      <c r="K413" s="159"/>
    </row>
    <row r="414" spans="1:11" ht="15.75" hidden="1" customHeight="1">
      <c r="A414" s="98" t="s">
        <v>2</v>
      </c>
      <c r="B414" s="191" t="s">
        <v>4067</v>
      </c>
      <c r="C414" s="191" t="s">
        <v>4436</v>
      </c>
      <c r="D414" s="191" t="s">
        <v>477</v>
      </c>
      <c r="E414" s="191">
        <v>14</v>
      </c>
      <c r="F414" s="191">
        <v>0</v>
      </c>
      <c r="G414" s="191">
        <v>0</v>
      </c>
      <c r="H414" s="191" t="s">
        <v>4437</v>
      </c>
      <c r="I414" s="191" t="s">
        <v>548</v>
      </c>
      <c r="J414" s="191">
        <v>0</v>
      </c>
      <c r="K414" s="159"/>
    </row>
    <row r="415" spans="1:11" ht="15.75" hidden="1" customHeight="1">
      <c r="A415" s="98" t="s">
        <v>2</v>
      </c>
      <c r="B415" s="191" t="s">
        <v>4067</v>
      </c>
      <c r="C415" s="191" t="s">
        <v>4375</v>
      </c>
      <c r="D415" s="191" t="s">
        <v>477</v>
      </c>
      <c r="E415" s="191">
        <v>20</v>
      </c>
      <c r="F415" s="191">
        <v>0</v>
      </c>
      <c r="G415" s="191">
        <v>0</v>
      </c>
      <c r="H415" s="191" t="s">
        <v>4438</v>
      </c>
      <c r="I415" s="191" t="s">
        <v>548</v>
      </c>
      <c r="J415" s="191">
        <v>0</v>
      </c>
      <c r="K415" s="159"/>
    </row>
    <row r="416" spans="1:11" ht="15.75" hidden="1" customHeight="1">
      <c r="A416" s="98" t="s">
        <v>2</v>
      </c>
      <c r="B416" s="191" t="s">
        <v>4067</v>
      </c>
      <c r="C416" s="191" t="s">
        <v>4377</v>
      </c>
      <c r="D416" s="191" t="s">
        <v>1974</v>
      </c>
      <c r="E416" s="191">
        <v>3</v>
      </c>
      <c r="F416" s="191">
        <v>10</v>
      </c>
      <c r="G416" s="191">
        <v>0</v>
      </c>
      <c r="H416" s="191" t="s">
        <v>4439</v>
      </c>
      <c r="I416" s="191" t="s">
        <v>548</v>
      </c>
      <c r="J416" s="191">
        <v>0</v>
      </c>
      <c r="K416" s="159"/>
    </row>
    <row r="417" spans="1:11" ht="15.75" hidden="1" customHeight="1">
      <c r="A417" s="98" t="s">
        <v>2</v>
      </c>
      <c r="B417" s="191" t="s">
        <v>4067</v>
      </c>
      <c r="C417" s="191" t="s">
        <v>4379</v>
      </c>
      <c r="D417" s="278" t="s">
        <v>477</v>
      </c>
      <c r="E417" s="191">
        <v>5</v>
      </c>
      <c r="F417" s="191">
        <v>16</v>
      </c>
      <c r="G417" s="191">
        <v>7</v>
      </c>
      <c r="H417" s="191" t="s">
        <v>4441</v>
      </c>
      <c r="I417" s="191" t="s">
        <v>4442</v>
      </c>
      <c r="J417" s="191">
        <v>0</v>
      </c>
      <c r="K417" s="280"/>
    </row>
    <row r="418" spans="1:11" ht="15.75" hidden="1" customHeight="1">
      <c r="A418" s="98" t="s">
        <v>2</v>
      </c>
      <c r="B418" s="191" t="s">
        <v>4067</v>
      </c>
      <c r="C418" s="191" t="s">
        <v>4416</v>
      </c>
      <c r="D418" s="191" t="s">
        <v>1974</v>
      </c>
      <c r="E418" s="191">
        <v>3</v>
      </c>
      <c r="F418" s="191">
        <v>10</v>
      </c>
      <c r="G418" s="191">
        <v>0</v>
      </c>
      <c r="H418" s="191" t="s">
        <v>479</v>
      </c>
      <c r="I418" s="191" t="s">
        <v>548</v>
      </c>
      <c r="J418" s="191">
        <v>0</v>
      </c>
      <c r="K418" s="159"/>
    </row>
    <row r="419" spans="1:11" ht="15.75" hidden="1" customHeight="1">
      <c r="A419" s="98" t="s">
        <v>2</v>
      </c>
      <c r="B419" s="191" t="s">
        <v>4067</v>
      </c>
      <c r="C419" s="191" t="s">
        <v>4417</v>
      </c>
      <c r="D419" s="278" t="s">
        <v>477</v>
      </c>
      <c r="E419" s="191">
        <v>5</v>
      </c>
      <c r="F419" s="191">
        <v>16</v>
      </c>
      <c r="G419" s="191">
        <v>7</v>
      </c>
      <c r="H419" s="191" t="s">
        <v>479</v>
      </c>
      <c r="I419" s="191" t="s">
        <v>4442</v>
      </c>
      <c r="J419" s="191">
        <v>0</v>
      </c>
      <c r="K419" s="159"/>
    </row>
    <row r="420" spans="1:11" ht="15.75" hidden="1" customHeight="1">
      <c r="A420" s="98" t="s">
        <v>2</v>
      </c>
      <c r="B420" s="191" t="s">
        <v>4067</v>
      </c>
      <c r="C420" s="191" t="s">
        <v>4443</v>
      </c>
      <c r="D420" s="191" t="s">
        <v>477</v>
      </c>
      <c r="E420" s="191">
        <v>8</v>
      </c>
      <c r="F420" s="191">
        <v>0</v>
      </c>
      <c r="G420" s="191">
        <v>0</v>
      </c>
      <c r="H420" s="191" t="s">
        <v>4444</v>
      </c>
      <c r="I420" s="191" t="s">
        <v>548</v>
      </c>
      <c r="J420" s="191">
        <v>1</v>
      </c>
      <c r="K420" s="159"/>
    </row>
    <row r="421" spans="1:11" ht="15.75" hidden="1" customHeight="1">
      <c r="A421" s="98" t="s">
        <v>2</v>
      </c>
      <c r="B421" s="191" t="s">
        <v>4067</v>
      </c>
      <c r="C421" s="191" t="s">
        <v>4445</v>
      </c>
      <c r="D421" s="191" t="s">
        <v>477</v>
      </c>
      <c r="E421" s="191">
        <v>5</v>
      </c>
      <c r="F421" s="191">
        <v>0</v>
      </c>
      <c r="G421" s="191">
        <v>0</v>
      </c>
      <c r="H421" s="191" t="s">
        <v>4446</v>
      </c>
      <c r="I421" s="191" t="s">
        <v>548</v>
      </c>
      <c r="J421" s="191">
        <v>0</v>
      </c>
      <c r="K421" s="159"/>
    </row>
    <row r="422" spans="1:11" ht="15.75" hidden="1" customHeight="1">
      <c r="A422" s="98" t="s">
        <v>2</v>
      </c>
      <c r="B422" s="191" t="s">
        <v>4067</v>
      </c>
      <c r="C422" s="191" t="s">
        <v>4403</v>
      </c>
      <c r="D422" s="191" t="s">
        <v>477</v>
      </c>
      <c r="E422" s="191">
        <v>2</v>
      </c>
      <c r="F422" s="191">
        <v>0</v>
      </c>
      <c r="G422" s="191">
        <v>0</v>
      </c>
      <c r="H422" s="191" t="s">
        <v>4404</v>
      </c>
      <c r="I422" s="191" t="s">
        <v>4447</v>
      </c>
      <c r="J422" s="191">
        <v>0</v>
      </c>
      <c r="K422" s="159"/>
    </row>
    <row r="423" spans="1:11" ht="15.75" hidden="1" customHeight="1">
      <c r="A423" s="98" t="s">
        <v>2</v>
      </c>
      <c r="B423" s="191" t="s">
        <v>4067</v>
      </c>
      <c r="C423" s="191" t="s">
        <v>669</v>
      </c>
      <c r="D423" s="191" t="s">
        <v>496</v>
      </c>
      <c r="E423" s="191">
        <v>4</v>
      </c>
      <c r="F423" s="191">
        <v>16</v>
      </c>
      <c r="G423" s="191">
        <v>0</v>
      </c>
      <c r="H423" s="191" t="s">
        <v>4341</v>
      </c>
      <c r="I423" s="191" t="s">
        <v>548</v>
      </c>
      <c r="J423" s="191">
        <v>0</v>
      </c>
      <c r="K423" s="159"/>
    </row>
    <row r="424" spans="1:11" ht="15.75" hidden="1" customHeight="1">
      <c r="A424" s="98" t="s">
        <v>2</v>
      </c>
      <c r="B424" s="191" t="s">
        <v>4067</v>
      </c>
      <c r="C424" s="191" t="s">
        <v>523</v>
      </c>
      <c r="D424" s="191" t="s">
        <v>477</v>
      </c>
      <c r="E424" s="191">
        <v>8</v>
      </c>
      <c r="F424" s="191">
        <v>0</v>
      </c>
      <c r="G424" s="191">
        <v>0</v>
      </c>
      <c r="H424" s="191" t="s">
        <v>4448</v>
      </c>
      <c r="I424" s="191" t="s">
        <v>548</v>
      </c>
      <c r="J424" s="191">
        <v>0</v>
      </c>
      <c r="K424" s="159"/>
    </row>
    <row r="425" spans="1:11" ht="15.75" hidden="1" customHeight="1">
      <c r="A425" s="98" t="s">
        <v>2</v>
      </c>
      <c r="B425" s="191" t="s">
        <v>4067</v>
      </c>
      <c r="C425" s="191" t="s">
        <v>215</v>
      </c>
      <c r="D425" s="191" t="s">
        <v>496</v>
      </c>
      <c r="E425" s="191">
        <v>4</v>
      </c>
      <c r="F425" s="191">
        <v>16</v>
      </c>
      <c r="G425" s="191">
        <v>0</v>
      </c>
      <c r="H425" s="191" t="s">
        <v>4449</v>
      </c>
      <c r="I425" s="191" t="s">
        <v>548</v>
      </c>
      <c r="J425" s="191">
        <v>0</v>
      </c>
      <c r="K425" s="159"/>
    </row>
    <row r="426" spans="1:11" ht="15.75" hidden="1" customHeight="1">
      <c r="A426" s="98" t="s">
        <v>2</v>
      </c>
      <c r="B426" s="191" t="s">
        <v>4067</v>
      </c>
      <c r="C426" s="191" t="s">
        <v>670</v>
      </c>
      <c r="D426" s="191" t="s">
        <v>477</v>
      </c>
      <c r="E426" s="191">
        <v>8</v>
      </c>
      <c r="F426" s="191">
        <v>0</v>
      </c>
      <c r="G426" s="191">
        <v>0</v>
      </c>
      <c r="H426" s="191" t="s">
        <v>4450</v>
      </c>
      <c r="I426" s="191" t="s">
        <v>548</v>
      </c>
      <c r="J426" s="191">
        <v>0</v>
      </c>
      <c r="K426" s="159"/>
    </row>
    <row r="427" spans="1:11" ht="15.75" hidden="1" customHeight="1">
      <c r="A427" s="98" t="s">
        <v>2</v>
      </c>
      <c r="B427" s="191" t="s">
        <v>4067</v>
      </c>
      <c r="C427" s="191" t="s">
        <v>4451</v>
      </c>
      <c r="D427" s="191" t="s">
        <v>477</v>
      </c>
      <c r="E427" s="191">
        <v>3</v>
      </c>
      <c r="F427" s="191">
        <v>0</v>
      </c>
      <c r="G427" s="191">
        <v>0</v>
      </c>
      <c r="H427" s="191" t="s">
        <v>479</v>
      </c>
      <c r="I427" s="191" t="s">
        <v>2011</v>
      </c>
      <c r="J427" s="191">
        <v>0</v>
      </c>
      <c r="K427" s="159"/>
    </row>
    <row r="428" spans="1:11" ht="15.75" hidden="1" customHeight="1">
      <c r="A428" s="98" t="s">
        <v>2</v>
      </c>
      <c r="B428" s="191" t="s">
        <v>4070</v>
      </c>
      <c r="C428" s="191" t="s">
        <v>4420</v>
      </c>
      <c r="D428" s="279" t="s">
        <v>481</v>
      </c>
      <c r="E428" s="191">
        <v>4</v>
      </c>
      <c r="F428" s="191">
        <v>10</v>
      </c>
      <c r="G428" s="191">
        <v>0</v>
      </c>
      <c r="H428" s="191" t="s">
        <v>4421</v>
      </c>
      <c r="I428" s="191" t="s">
        <v>479</v>
      </c>
      <c r="J428" s="191">
        <v>0</v>
      </c>
      <c r="K428" s="228" t="s">
        <v>484</v>
      </c>
    </row>
    <row r="429" spans="1:11" ht="15.75" hidden="1" customHeight="1">
      <c r="A429" s="98" t="s">
        <v>2</v>
      </c>
      <c r="B429" s="191" t="s">
        <v>4070</v>
      </c>
      <c r="C429" s="191" t="s">
        <v>292</v>
      </c>
      <c r="D429" s="279" t="s">
        <v>481</v>
      </c>
      <c r="E429" s="191">
        <v>4</v>
      </c>
      <c r="F429" s="191">
        <v>10</v>
      </c>
      <c r="G429" s="191">
        <v>0</v>
      </c>
      <c r="H429" s="191" t="s">
        <v>479</v>
      </c>
      <c r="I429" s="191" t="s">
        <v>615</v>
      </c>
      <c r="J429" s="191">
        <v>0</v>
      </c>
      <c r="K429" s="228" t="s">
        <v>484</v>
      </c>
    </row>
    <row r="430" spans="1:11" ht="15.75" hidden="1" customHeight="1">
      <c r="A430" s="98" t="s">
        <v>2</v>
      </c>
      <c r="B430" s="191" t="s">
        <v>4070</v>
      </c>
      <c r="C430" s="191" t="s">
        <v>4252</v>
      </c>
      <c r="D430" s="191" t="s">
        <v>477</v>
      </c>
      <c r="E430" s="191">
        <v>7</v>
      </c>
      <c r="F430" s="191">
        <v>0</v>
      </c>
      <c r="G430" s="191">
        <v>0</v>
      </c>
      <c r="H430" s="191" t="s">
        <v>4422</v>
      </c>
      <c r="I430" s="191" t="s">
        <v>548</v>
      </c>
      <c r="J430" s="191">
        <v>0</v>
      </c>
      <c r="K430" s="159"/>
    </row>
    <row r="431" spans="1:11" ht="15.75" hidden="1" customHeight="1">
      <c r="A431" s="98" t="s">
        <v>2</v>
      </c>
      <c r="B431" s="191" t="s">
        <v>4070</v>
      </c>
      <c r="C431" s="191" t="s">
        <v>4376</v>
      </c>
      <c r="D431" s="191" t="s">
        <v>477</v>
      </c>
      <c r="E431" s="191">
        <v>55</v>
      </c>
      <c r="F431" s="191">
        <v>0</v>
      </c>
      <c r="G431" s="191">
        <v>0</v>
      </c>
      <c r="H431" s="191" t="s">
        <v>4423</v>
      </c>
      <c r="I431" s="191" t="s">
        <v>548</v>
      </c>
      <c r="J431" s="191">
        <v>0</v>
      </c>
      <c r="K431" s="159"/>
    </row>
    <row r="432" spans="1:11" ht="15.75" hidden="1" customHeight="1">
      <c r="A432" s="98" t="s">
        <v>2</v>
      </c>
      <c r="B432" s="191" t="s">
        <v>4070</v>
      </c>
      <c r="C432" s="191" t="s">
        <v>4357</v>
      </c>
      <c r="D432" s="191" t="s">
        <v>477</v>
      </c>
      <c r="E432" s="191">
        <v>2</v>
      </c>
      <c r="F432" s="191">
        <v>0</v>
      </c>
      <c r="G432" s="191">
        <v>0</v>
      </c>
      <c r="H432" s="191" t="s">
        <v>545</v>
      </c>
      <c r="I432" s="191" t="s">
        <v>548</v>
      </c>
      <c r="J432" s="191">
        <v>0</v>
      </c>
      <c r="K432" s="159"/>
    </row>
    <row r="433" spans="1:11" ht="15.75" hidden="1" customHeight="1">
      <c r="A433" s="98" t="s">
        <v>2</v>
      </c>
      <c r="B433" s="191" t="s">
        <v>4070</v>
      </c>
      <c r="C433" s="191" t="s">
        <v>2453</v>
      </c>
      <c r="D433" s="191" t="s">
        <v>477</v>
      </c>
      <c r="E433" s="191">
        <v>3</v>
      </c>
      <c r="F433" s="191">
        <v>0</v>
      </c>
      <c r="G433" s="191">
        <v>0</v>
      </c>
      <c r="H433" s="191" t="s">
        <v>4424</v>
      </c>
      <c r="I433" s="191" t="s">
        <v>2454</v>
      </c>
      <c r="J433" s="191">
        <v>0</v>
      </c>
      <c r="K433" s="159"/>
    </row>
    <row r="434" spans="1:11" ht="15.75" hidden="1" customHeight="1">
      <c r="A434" s="98" t="s">
        <v>2</v>
      </c>
      <c r="B434" s="191" t="s">
        <v>4070</v>
      </c>
      <c r="C434" s="191" t="s">
        <v>4186</v>
      </c>
      <c r="D434" s="191" t="s">
        <v>477</v>
      </c>
      <c r="E434" s="191">
        <v>20</v>
      </c>
      <c r="F434" s="191">
        <v>0</v>
      </c>
      <c r="G434" s="191">
        <v>0</v>
      </c>
      <c r="H434" s="191" t="s">
        <v>4425</v>
      </c>
      <c r="I434" s="191" t="s">
        <v>548</v>
      </c>
      <c r="J434" s="191">
        <v>0</v>
      </c>
      <c r="K434" s="159"/>
    </row>
    <row r="435" spans="1:11" ht="15.75" hidden="1" customHeight="1">
      <c r="A435" s="98" t="s">
        <v>2</v>
      </c>
      <c r="B435" s="191" t="s">
        <v>4070</v>
      </c>
      <c r="C435" s="191" t="s">
        <v>4394</v>
      </c>
      <c r="D435" s="279" t="s">
        <v>481</v>
      </c>
      <c r="E435" s="191">
        <v>4</v>
      </c>
      <c r="F435" s="191">
        <v>10</v>
      </c>
      <c r="G435" s="191">
        <v>0</v>
      </c>
      <c r="H435" s="191" t="s">
        <v>4427</v>
      </c>
      <c r="I435" s="191" t="s">
        <v>1878</v>
      </c>
      <c r="J435" s="191">
        <v>0</v>
      </c>
      <c r="K435" s="228" t="s">
        <v>484</v>
      </c>
    </row>
    <row r="436" spans="1:11" ht="15.75" hidden="1" customHeight="1">
      <c r="A436" s="98" t="s">
        <v>2</v>
      </c>
      <c r="B436" s="191" t="s">
        <v>4070</v>
      </c>
      <c r="C436" s="191" t="s">
        <v>4429</v>
      </c>
      <c r="D436" s="191" t="s">
        <v>481</v>
      </c>
      <c r="E436" s="191">
        <v>5</v>
      </c>
      <c r="F436" s="191">
        <v>9</v>
      </c>
      <c r="G436" s="191">
        <v>6</v>
      </c>
      <c r="H436" s="191" t="s">
        <v>4430</v>
      </c>
      <c r="I436" s="191" t="s">
        <v>615</v>
      </c>
      <c r="J436" s="191">
        <v>0</v>
      </c>
      <c r="K436" s="159"/>
    </row>
    <row r="437" spans="1:11" ht="15.75" hidden="1" customHeight="1">
      <c r="A437" s="98" t="s">
        <v>2</v>
      </c>
      <c r="B437" s="191" t="s">
        <v>4070</v>
      </c>
      <c r="C437" s="191" t="s">
        <v>4381</v>
      </c>
      <c r="D437" s="191" t="s">
        <v>477</v>
      </c>
      <c r="E437" s="191">
        <v>1</v>
      </c>
      <c r="F437" s="191">
        <v>0</v>
      </c>
      <c r="G437" s="191">
        <v>0</v>
      </c>
      <c r="H437" s="191" t="s">
        <v>4432</v>
      </c>
      <c r="I437" s="191" t="s">
        <v>548</v>
      </c>
      <c r="J437" s="191">
        <v>0</v>
      </c>
      <c r="K437" s="159"/>
    </row>
    <row r="438" spans="1:11" ht="15.75" hidden="1" customHeight="1">
      <c r="A438" s="98" t="s">
        <v>2</v>
      </c>
      <c r="B438" s="191" t="s">
        <v>4070</v>
      </c>
      <c r="C438" s="191" t="s">
        <v>4433</v>
      </c>
      <c r="D438" s="279" t="s">
        <v>481</v>
      </c>
      <c r="E438" s="191">
        <v>4</v>
      </c>
      <c r="F438" s="191">
        <v>10</v>
      </c>
      <c r="G438" s="191">
        <v>0</v>
      </c>
      <c r="H438" s="191" t="s">
        <v>4434</v>
      </c>
      <c r="I438" s="191" t="s">
        <v>1878</v>
      </c>
      <c r="J438" s="191">
        <v>0</v>
      </c>
      <c r="K438" s="228" t="s">
        <v>484</v>
      </c>
    </row>
    <row r="439" spans="1:11" ht="15.75" hidden="1" customHeight="1">
      <c r="A439" s="98" t="s">
        <v>2</v>
      </c>
      <c r="B439" s="191" t="s">
        <v>4070</v>
      </c>
      <c r="C439" s="191" t="s">
        <v>4188</v>
      </c>
      <c r="D439" s="279" t="s">
        <v>477</v>
      </c>
      <c r="E439" s="191">
        <v>3</v>
      </c>
      <c r="F439" s="191">
        <v>10</v>
      </c>
      <c r="G439" s="191">
        <v>0</v>
      </c>
      <c r="H439" s="191" t="s">
        <v>4435</v>
      </c>
      <c r="I439" s="191" t="s">
        <v>548</v>
      </c>
      <c r="J439" s="191">
        <v>0</v>
      </c>
      <c r="K439" s="228" t="s">
        <v>1974</v>
      </c>
    </row>
    <row r="440" spans="1:11" ht="15.75" hidden="1" customHeight="1">
      <c r="A440" s="98" t="s">
        <v>2</v>
      </c>
      <c r="B440" s="191" t="s">
        <v>4070</v>
      </c>
      <c r="C440" s="191" t="s">
        <v>4375</v>
      </c>
      <c r="D440" s="191" t="s">
        <v>477</v>
      </c>
      <c r="E440" s="191">
        <v>20</v>
      </c>
      <c r="F440" s="191">
        <v>0</v>
      </c>
      <c r="G440" s="191">
        <v>0</v>
      </c>
      <c r="H440" s="191" t="s">
        <v>4438</v>
      </c>
      <c r="I440" s="191" t="s">
        <v>548</v>
      </c>
      <c r="J440" s="191">
        <v>0</v>
      </c>
      <c r="K440" s="159"/>
    </row>
    <row r="441" spans="1:11" ht="15.75" hidden="1" customHeight="1">
      <c r="A441" s="98" t="s">
        <v>2</v>
      </c>
      <c r="B441" s="191" t="s">
        <v>4070</v>
      </c>
      <c r="C441" s="191" t="s">
        <v>4403</v>
      </c>
      <c r="D441" s="191" t="s">
        <v>477</v>
      </c>
      <c r="E441" s="191">
        <v>2</v>
      </c>
      <c r="F441" s="191">
        <v>0</v>
      </c>
      <c r="G441" s="191">
        <v>0</v>
      </c>
      <c r="H441" s="191" t="s">
        <v>4452</v>
      </c>
      <c r="I441" s="191" t="s">
        <v>548</v>
      </c>
      <c r="J441" s="191">
        <v>0</v>
      </c>
      <c r="K441" s="159"/>
    </row>
    <row r="442" spans="1:11" ht="15.75" hidden="1" customHeight="1">
      <c r="A442" s="98" t="s">
        <v>2</v>
      </c>
      <c r="B442" s="191" t="s">
        <v>4070</v>
      </c>
      <c r="C442" s="191" t="s">
        <v>4453</v>
      </c>
      <c r="D442" s="191" t="s">
        <v>477</v>
      </c>
      <c r="E442" s="191">
        <v>3</v>
      </c>
      <c r="F442" s="191">
        <v>0</v>
      </c>
      <c r="G442" s="191">
        <v>0</v>
      </c>
      <c r="H442" s="191" t="s">
        <v>479</v>
      </c>
      <c r="I442" s="191" t="s">
        <v>548</v>
      </c>
      <c r="J442" s="191">
        <v>0</v>
      </c>
      <c r="K442" s="159"/>
    </row>
    <row r="443" spans="1:11" ht="15.75" hidden="1" customHeight="1">
      <c r="A443" s="98" t="s">
        <v>2</v>
      </c>
      <c r="B443" s="191" t="s">
        <v>4070</v>
      </c>
      <c r="C443" s="191" t="s">
        <v>669</v>
      </c>
      <c r="D443" s="279" t="s">
        <v>477</v>
      </c>
      <c r="E443" s="191">
        <v>4</v>
      </c>
      <c r="F443" s="191">
        <v>16</v>
      </c>
      <c r="G443" s="191">
        <v>0</v>
      </c>
      <c r="H443" s="191" t="s">
        <v>4341</v>
      </c>
      <c r="I443" s="191" t="s">
        <v>548</v>
      </c>
      <c r="J443" s="191">
        <v>0</v>
      </c>
      <c r="K443" s="228" t="s">
        <v>496</v>
      </c>
    </row>
    <row r="444" spans="1:11" ht="15.75" hidden="1" customHeight="1">
      <c r="A444" s="98" t="s">
        <v>2</v>
      </c>
      <c r="B444" s="191" t="s">
        <v>4070</v>
      </c>
      <c r="C444" s="191" t="s">
        <v>523</v>
      </c>
      <c r="D444" s="191" t="s">
        <v>477</v>
      </c>
      <c r="E444" s="191">
        <v>8</v>
      </c>
      <c r="F444" s="191">
        <v>0</v>
      </c>
      <c r="G444" s="191">
        <v>0</v>
      </c>
      <c r="H444" s="191" t="s">
        <v>4448</v>
      </c>
      <c r="I444" s="191" t="s">
        <v>548</v>
      </c>
      <c r="J444" s="191">
        <v>0</v>
      </c>
    </row>
    <row r="445" spans="1:11" ht="15.75" hidden="1" customHeight="1">
      <c r="A445" s="98" t="s">
        <v>2</v>
      </c>
      <c r="B445" s="191" t="s">
        <v>4070</v>
      </c>
      <c r="C445" s="191" t="s">
        <v>215</v>
      </c>
      <c r="D445" s="279" t="s">
        <v>477</v>
      </c>
      <c r="E445" s="191">
        <v>4</v>
      </c>
      <c r="F445" s="191">
        <v>16</v>
      </c>
      <c r="G445" s="191">
        <v>0</v>
      </c>
      <c r="H445" s="191" t="s">
        <v>4449</v>
      </c>
      <c r="I445" s="191" t="s">
        <v>548</v>
      </c>
      <c r="J445" s="191">
        <v>0</v>
      </c>
      <c r="K445" s="228" t="s">
        <v>496</v>
      </c>
    </row>
    <row r="446" spans="1:11" ht="15.75" hidden="1" customHeight="1">
      <c r="A446" s="98" t="s">
        <v>2</v>
      </c>
      <c r="B446" s="191" t="s">
        <v>4070</v>
      </c>
      <c r="C446" s="191" t="s">
        <v>670</v>
      </c>
      <c r="D446" s="191" t="s">
        <v>477</v>
      </c>
      <c r="E446" s="191">
        <v>8</v>
      </c>
      <c r="F446" s="191">
        <v>0</v>
      </c>
      <c r="G446" s="191">
        <v>0</v>
      </c>
      <c r="H446" s="191" t="s">
        <v>4450</v>
      </c>
      <c r="I446" s="191" t="s">
        <v>548</v>
      </c>
      <c r="J446" s="191">
        <v>0</v>
      </c>
      <c r="K446" s="159"/>
    </row>
    <row r="447" spans="1:11" ht="15.75" hidden="1" customHeight="1">
      <c r="A447" s="98" t="s">
        <v>2</v>
      </c>
      <c r="B447" s="191" t="s">
        <v>4070</v>
      </c>
      <c r="C447" s="191" t="s">
        <v>4454</v>
      </c>
      <c r="D447" s="279" t="s">
        <v>481</v>
      </c>
      <c r="E447" s="191">
        <v>4</v>
      </c>
      <c r="F447" s="191">
        <v>10</v>
      </c>
      <c r="G447" s="191">
        <v>0</v>
      </c>
      <c r="H447" s="191" t="s">
        <v>479</v>
      </c>
      <c r="I447" s="191" t="s">
        <v>615</v>
      </c>
      <c r="J447" s="191">
        <v>0</v>
      </c>
      <c r="K447" s="228" t="s">
        <v>484</v>
      </c>
    </row>
    <row r="448" spans="1:11" ht="15.75" hidden="1" customHeight="1">
      <c r="A448" s="98" t="s">
        <v>2</v>
      </c>
      <c r="B448" s="191" t="s">
        <v>4070</v>
      </c>
      <c r="C448" s="191" t="s">
        <v>4321</v>
      </c>
      <c r="D448" s="191" t="s">
        <v>477</v>
      </c>
      <c r="E448" s="191">
        <v>100</v>
      </c>
      <c r="F448" s="191">
        <v>0</v>
      </c>
      <c r="G448" s="191">
        <v>0</v>
      </c>
      <c r="H448" s="191" t="s">
        <v>479</v>
      </c>
      <c r="I448" s="191" t="s">
        <v>548</v>
      </c>
      <c r="J448" s="191">
        <v>0</v>
      </c>
      <c r="K448" s="159"/>
    </row>
    <row r="449" spans="1:11" ht="15.75" hidden="1" customHeight="1">
      <c r="A449" s="98" t="s">
        <v>2</v>
      </c>
      <c r="B449" s="191" t="s">
        <v>4073</v>
      </c>
      <c r="C449" s="191" t="s">
        <v>325</v>
      </c>
      <c r="D449" s="191" t="s">
        <v>484</v>
      </c>
      <c r="E449" s="191">
        <v>4</v>
      </c>
      <c r="F449" s="191">
        <v>10</v>
      </c>
      <c r="G449" s="191">
        <v>0</v>
      </c>
      <c r="H449" s="191" t="s">
        <v>479</v>
      </c>
      <c r="I449" s="191" t="s">
        <v>479</v>
      </c>
      <c r="J449" s="191">
        <v>0</v>
      </c>
      <c r="K449" s="159"/>
    </row>
    <row r="450" spans="1:11" ht="15.75" hidden="1" customHeight="1">
      <c r="A450" s="98" t="s">
        <v>2</v>
      </c>
      <c r="B450" s="191" t="s">
        <v>4073</v>
      </c>
      <c r="C450" s="191" t="s">
        <v>4352</v>
      </c>
      <c r="D450" s="191" t="s">
        <v>477</v>
      </c>
      <c r="E450" s="191">
        <v>5</v>
      </c>
      <c r="F450" s="191">
        <v>0</v>
      </c>
      <c r="G450" s="191">
        <v>0</v>
      </c>
      <c r="H450" s="191" t="s">
        <v>479</v>
      </c>
      <c r="I450" s="191" t="s">
        <v>479</v>
      </c>
      <c r="J450" s="191">
        <v>0</v>
      </c>
      <c r="K450" s="159"/>
    </row>
    <row r="451" spans="1:11" ht="15.75" hidden="1" customHeight="1">
      <c r="A451" s="98" t="s">
        <v>2</v>
      </c>
      <c r="B451" s="191" t="s">
        <v>4073</v>
      </c>
      <c r="C451" s="191" t="s">
        <v>4353</v>
      </c>
      <c r="D451" s="191" t="s">
        <v>477</v>
      </c>
      <c r="E451" s="191">
        <v>5</v>
      </c>
      <c r="F451" s="191">
        <v>0</v>
      </c>
      <c r="G451" s="191">
        <v>0</v>
      </c>
      <c r="H451" s="191" t="s">
        <v>479</v>
      </c>
      <c r="I451" s="191" t="s">
        <v>479</v>
      </c>
      <c r="J451" s="191">
        <v>0</v>
      </c>
      <c r="K451" s="159"/>
    </row>
    <row r="452" spans="1:11" ht="15.75" hidden="1" customHeight="1">
      <c r="A452" s="98" t="s">
        <v>2</v>
      </c>
      <c r="B452" s="191" t="s">
        <v>4073</v>
      </c>
      <c r="C452" s="191" t="s">
        <v>4388</v>
      </c>
      <c r="D452" s="191" t="s">
        <v>477</v>
      </c>
      <c r="E452" s="191">
        <v>20</v>
      </c>
      <c r="F452" s="191">
        <v>0</v>
      </c>
      <c r="G452" s="191">
        <v>0</v>
      </c>
      <c r="H452" s="191" t="s">
        <v>479</v>
      </c>
      <c r="I452" s="191" t="s">
        <v>479</v>
      </c>
      <c r="J452" s="191">
        <v>1</v>
      </c>
      <c r="K452" s="159"/>
    </row>
    <row r="453" spans="1:11" ht="15.75" hidden="1" customHeight="1">
      <c r="A453" s="98" t="s">
        <v>2</v>
      </c>
      <c r="B453" s="191" t="s">
        <v>4073</v>
      </c>
      <c r="C453" s="191" t="s">
        <v>4355</v>
      </c>
      <c r="D453" s="191" t="s">
        <v>484</v>
      </c>
      <c r="E453" s="191">
        <v>4</v>
      </c>
      <c r="F453" s="191">
        <v>10</v>
      </c>
      <c r="G453" s="191">
        <v>0</v>
      </c>
      <c r="H453" s="191" t="s">
        <v>479</v>
      </c>
      <c r="I453" s="191" t="s">
        <v>479</v>
      </c>
      <c r="J453" s="191">
        <v>0</v>
      </c>
      <c r="K453" s="159"/>
    </row>
    <row r="454" spans="1:11" ht="15.75" hidden="1" customHeight="1">
      <c r="A454" s="98" t="s">
        <v>2</v>
      </c>
      <c r="B454" s="191" t="s">
        <v>4073</v>
      </c>
      <c r="C454" s="191" t="s">
        <v>4356</v>
      </c>
      <c r="D454" s="191" t="s">
        <v>477</v>
      </c>
      <c r="E454" s="191">
        <v>5</v>
      </c>
      <c r="F454" s="191">
        <v>0</v>
      </c>
      <c r="G454" s="191">
        <v>0</v>
      </c>
      <c r="H454" s="191" t="s">
        <v>479</v>
      </c>
      <c r="I454" s="191" t="s">
        <v>479</v>
      </c>
      <c r="J454" s="191">
        <v>0</v>
      </c>
      <c r="K454" s="159"/>
    </row>
    <row r="455" spans="1:11" ht="15.75" hidden="1" customHeight="1">
      <c r="A455" s="98" t="s">
        <v>2</v>
      </c>
      <c r="B455" s="191" t="s">
        <v>4073</v>
      </c>
      <c r="C455" s="191" t="s">
        <v>4252</v>
      </c>
      <c r="D455" s="191" t="s">
        <v>477</v>
      </c>
      <c r="E455" s="191">
        <v>15</v>
      </c>
      <c r="F455" s="191">
        <v>0</v>
      </c>
      <c r="G455" s="191">
        <v>0</v>
      </c>
      <c r="H455" s="191" t="s">
        <v>479</v>
      </c>
      <c r="I455" s="191" t="s">
        <v>479</v>
      </c>
      <c r="J455" s="191">
        <v>0</v>
      </c>
      <c r="K455" s="159"/>
    </row>
    <row r="456" spans="1:11" ht="15.75" hidden="1" customHeight="1">
      <c r="A456" s="98" t="s">
        <v>2</v>
      </c>
      <c r="B456" s="191" t="s">
        <v>4073</v>
      </c>
      <c r="C456" s="191" t="s">
        <v>4357</v>
      </c>
      <c r="D456" s="191" t="s">
        <v>477</v>
      </c>
      <c r="E456" s="191">
        <v>2</v>
      </c>
      <c r="F456" s="191">
        <v>0</v>
      </c>
      <c r="G456" s="191">
        <v>0</v>
      </c>
      <c r="H456" s="191" t="s">
        <v>479</v>
      </c>
      <c r="I456" s="191" t="s">
        <v>479</v>
      </c>
      <c r="J456" s="191">
        <v>0</v>
      </c>
      <c r="K456" s="159"/>
    </row>
    <row r="457" spans="1:11" ht="15.75" hidden="1" customHeight="1">
      <c r="A457" s="98" t="s">
        <v>2</v>
      </c>
      <c r="B457" s="191" t="s">
        <v>4073</v>
      </c>
      <c r="C457" s="191" t="s">
        <v>4358</v>
      </c>
      <c r="D457" s="191" t="s">
        <v>477</v>
      </c>
      <c r="E457" s="191">
        <v>3</v>
      </c>
      <c r="F457" s="191">
        <v>0</v>
      </c>
      <c r="G457" s="191">
        <v>0</v>
      </c>
      <c r="H457" s="191" t="s">
        <v>479</v>
      </c>
      <c r="I457" s="191" t="s">
        <v>479</v>
      </c>
      <c r="J457" s="191">
        <v>0</v>
      </c>
      <c r="K457" s="159"/>
    </row>
    <row r="458" spans="1:11" ht="15.75" hidden="1" customHeight="1">
      <c r="A458" s="98" t="s">
        <v>2</v>
      </c>
      <c r="B458" s="191" t="s">
        <v>4073</v>
      </c>
      <c r="C458" s="191" t="s">
        <v>4186</v>
      </c>
      <c r="D458" s="191" t="s">
        <v>477</v>
      </c>
      <c r="E458" s="191">
        <v>10</v>
      </c>
      <c r="F458" s="191">
        <v>0</v>
      </c>
      <c r="G458" s="191">
        <v>0</v>
      </c>
      <c r="H458" s="191" t="s">
        <v>479</v>
      </c>
      <c r="I458" s="191" t="s">
        <v>479</v>
      </c>
      <c r="J458" s="191">
        <v>0</v>
      </c>
      <c r="K458" s="159"/>
    </row>
    <row r="459" spans="1:11" ht="15.75" hidden="1" customHeight="1">
      <c r="A459" s="98" t="s">
        <v>2</v>
      </c>
      <c r="B459" s="191" t="s">
        <v>4073</v>
      </c>
      <c r="C459" s="191" t="s">
        <v>4394</v>
      </c>
      <c r="D459" s="191" t="s">
        <v>484</v>
      </c>
      <c r="E459" s="191">
        <v>4</v>
      </c>
      <c r="F459" s="191">
        <v>10</v>
      </c>
      <c r="G459" s="191">
        <v>0</v>
      </c>
      <c r="H459" s="191" t="s">
        <v>479</v>
      </c>
      <c r="I459" s="191" t="s">
        <v>479</v>
      </c>
      <c r="J459" s="191">
        <v>0</v>
      </c>
      <c r="K459" s="159"/>
    </row>
    <row r="460" spans="1:11" ht="15.75" hidden="1" customHeight="1">
      <c r="A460" s="98" t="s">
        <v>2</v>
      </c>
      <c r="B460" s="191" t="s">
        <v>4073</v>
      </c>
      <c r="C460" s="191" t="s">
        <v>4346</v>
      </c>
      <c r="D460" s="191" t="s">
        <v>477</v>
      </c>
      <c r="E460" s="191">
        <v>8</v>
      </c>
      <c r="F460" s="191">
        <v>0</v>
      </c>
      <c r="G460" s="191">
        <v>0</v>
      </c>
      <c r="H460" s="191" t="s">
        <v>479</v>
      </c>
      <c r="I460" s="191" t="s">
        <v>479</v>
      </c>
      <c r="J460" s="191">
        <v>0</v>
      </c>
      <c r="K460" s="159"/>
    </row>
    <row r="461" spans="1:11" ht="15.75" hidden="1" customHeight="1">
      <c r="A461" s="98" t="s">
        <v>2</v>
      </c>
      <c r="B461" s="191" t="s">
        <v>4073</v>
      </c>
      <c r="C461" s="191" t="s">
        <v>2615</v>
      </c>
      <c r="D461" s="191" t="s">
        <v>477</v>
      </c>
      <c r="E461" s="191">
        <v>10</v>
      </c>
      <c r="F461" s="191">
        <v>0</v>
      </c>
      <c r="G461" s="191">
        <v>0</v>
      </c>
      <c r="H461" s="191" t="s">
        <v>479</v>
      </c>
      <c r="I461" s="191" t="s">
        <v>479</v>
      </c>
      <c r="J461" s="191">
        <v>0</v>
      </c>
      <c r="K461" s="159"/>
    </row>
    <row r="462" spans="1:11" ht="15.75" hidden="1" customHeight="1">
      <c r="A462" s="98" t="s">
        <v>2</v>
      </c>
      <c r="B462" s="191" t="s">
        <v>4073</v>
      </c>
      <c r="C462" s="191" t="s">
        <v>4398</v>
      </c>
      <c r="D462" s="191" t="s">
        <v>477</v>
      </c>
      <c r="E462" s="191">
        <v>4</v>
      </c>
      <c r="F462" s="191">
        <v>0</v>
      </c>
      <c r="G462" s="191">
        <v>0</v>
      </c>
      <c r="H462" s="191" t="s">
        <v>479</v>
      </c>
      <c r="I462" s="191" t="s">
        <v>479</v>
      </c>
      <c r="J462" s="191">
        <v>0</v>
      </c>
      <c r="K462" s="159"/>
    </row>
    <row r="463" spans="1:11" ht="15.75" hidden="1" customHeight="1">
      <c r="A463" s="98" t="s">
        <v>2</v>
      </c>
      <c r="B463" s="191" t="s">
        <v>4073</v>
      </c>
      <c r="C463" s="191" t="s">
        <v>4361</v>
      </c>
      <c r="D463" s="191" t="s">
        <v>477</v>
      </c>
      <c r="E463" s="191">
        <v>10</v>
      </c>
      <c r="F463" s="191">
        <v>0</v>
      </c>
      <c r="G463" s="191">
        <v>0</v>
      </c>
      <c r="H463" s="191" t="s">
        <v>479</v>
      </c>
      <c r="I463" s="191" t="s">
        <v>479</v>
      </c>
      <c r="J463" s="191">
        <v>0</v>
      </c>
      <c r="K463" s="159"/>
    </row>
    <row r="464" spans="1:11" ht="15.75" hidden="1" customHeight="1">
      <c r="A464" s="98" t="s">
        <v>2</v>
      </c>
      <c r="B464" s="191" t="s">
        <v>4073</v>
      </c>
      <c r="C464" s="191" t="s">
        <v>4362</v>
      </c>
      <c r="D464" s="191" t="s">
        <v>477</v>
      </c>
      <c r="E464" s="191">
        <v>300</v>
      </c>
      <c r="F464" s="191">
        <v>0</v>
      </c>
      <c r="G464" s="191">
        <v>0</v>
      </c>
      <c r="H464" s="191" t="s">
        <v>479</v>
      </c>
      <c r="I464" s="191" t="s">
        <v>479</v>
      </c>
      <c r="J464" s="191">
        <v>1</v>
      </c>
      <c r="K464" s="159"/>
    </row>
    <row r="465" spans="1:11" ht="15.75" hidden="1" customHeight="1">
      <c r="A465" s="98" t="s">
        <v>2</v>
      </c>
      <c r="B465" s="191" t="s">
        <v>4073</v>
      </c>
      <c r="C465" s="191" t="s">
        <v>4363</v>
      </c>
      <c r="D465" s="191" t="s">
        <v>477</v>
      </c>
      <c r="E465" s="191">
        <v>300</v>
      </c>
      <c r="F465" s="191">
        <v>0</v>
      </c>
      <c r="G465" s="191">
        <v>0</v>
      </c>
      <c r="H465" s="191" t="s">
        <v>479</v>
      </c>
      <c r="I465" s="191" t="s">
        <v>479</v>
      </c>
      <c r="J465" s="191">
        <v>1</v>
      </c>
      <c r="K465" s="159"/>
    </row>
    <row r="466" spans="1:11" ht="15.75" hidden="1" customHeight="1">
      <c r="A466" s="98" t="s">
        <v>2</v>
      </c>
      <c r="B466" s="191" t="s">
        <v>4073</v>
      </c>
      <c r="C466" s="191" t="s">
        <v>4364</v>
      </c>
      <c r="D466" s="191" t="s">
        <v>477</v>
      </c>
      <c r="E466" s="191">
        <v>55</v>
      </c>
      <c r="F466" s="191">
        <v>0</v>
      </c>
      <c r="G466" s="191">
        <v>0</v>
      </c>
      <c r="H466" s="191" t="s">
        <v>479</v>
      </c>
      <c r="I466" s="191" t="s">
        <v>479</v>
      </c>
      <c r="J466" s="191">
        <v>0</v>
      </c>
      <c r="K466" s="159"/>
    </row>
    <row r="467" spans="1:11" ht="15.75" hidden="1" customHeight="1">
      <c r="A467" s="98" t="s">
        <v>2</v>
      </c>
      <c r="B467" s="191" t="s">
        <v>4073</v>
      </c>
      <c r="C467" s="191" t="s">
        <v>4365</v>
      </c>
      <c r="D467" s="191" t="s">
        <v>477</v>
      </c>
      <c r="E467" s="191">
        <v>55</v>
      </c>
      <c r="F467" s="191">
        <v>0</v>
      </c>
      <c r="G467" s="191">
        <v>0</v>
      </c>
      <c r="H467" s="191" t="s">
        <v>479</v>
      </c>
      <c r="I467" s="191" t="s">
        <v>479</v>
      </c>
      <c r="J467" s="191">
        <v>0</v>
      </c>
      <c r="K467" s="159"/>
    </row>
    <row r="468" spans="1:11" ht="15.75" hidden="1" customHeight="1">
      <c r="A468" s="98" t="s">
        <v>2</v>
      </c>
      <c r="B468" s="191" t="s">
        <v>4073</v>
      </c>
      <c r="C468" s="191" t="s">
        <v>4366</v>
      </c>
      <c r="D468" s="191" t="s">
        <v>477</v>
      </c>
      <c r="E468" s="191">
        <v>55</v>
      </c>
      <c r="F468" s="191">
        <v>0</v>
      </c>
      <c r="G468" s="191">
        <v>0</v>
      </c>
      <c r="H468" s="191" t="s">
        <v>479</v>
      </c>
      <c r="I468" s="191" t="s">
        <v>479</v>
      </c>
      <c r="J468" s="191">
        <v>0</v>
      </c>
      <c r="K468" s="159"/>
    </row>
    <row r="469" spans="1:11" ht="15.75" hidden="1" customHeight="1">
      <c r="A469" s="98" t="s">
        <v>2</v>
      </c>
      <c r="B469" s="191" t="s">
        <v>4073</v>
      </c>
      <c r="C469" s="191" t="s">
        <v>4367</v>
      </c>
      <c r="D469" s="191" t="s">
        <v>477</v>
      </c>
      <c r="E469" s="191">
        <v>8</v>
      </c>
      <c r="F469" s="191">
        <v>0</v>
      </c>
      <c r="G469" s="191">
        <v>0</v>
      </c>
      <c r="H469" s="191" t="s">
        <v>479</v>
      </c>
      <c r="I469" s="191" t="s">
        <v>479</v>
      </c>
      <c r="J469" s="191">
        <v>1</v>
      </c>
      <c r="K469" s="159"/>
    </row>
    <row r="470" spans="1:11" ht="15.75" hidden="1" customHeight="1">
      <c r="A470" s="98" t="s">
        <v>2</v>
      </c>
      <c r="B470" s="191" t="s">
        <v>4073</v>
      </c>
      <c r="C470" s="191" t="s">
        <v>4368</v>
      </c>
      <c r="D470" s="191" t="s">
        <v>477</v>
      </c>
      <c r="E470" s="191">
        <v>55</v>
      </c>
      <c r="F470" s="191">
        <v>0</v>
      </c>
      <c r="G470" s="191">
        <v>0</v>
      </c>
      <c r="H470" s="191" t="s">
        <v>479</v>
      </c>
      <c r="I470" s="191" t="s">
        <v>479</v>
      </c>
      <c r="J470" s="191">
        <v>0</v>
      </c>
      <c r="K470" s="159"/>
    </row>
    <row r="471" spans="1:11" ht="15.75" hidden="1" customHeight="1">
      <c r="A471" s="98" t="s">
        <v>2</v>
      </c>
      <c r="B471" s="191" t="s">
        <v>4073</v>
      </c>
      <c r="C471" s="191" t="s">
        <v>4369</v>
      </c>
      <c r="D471" s="191" t="s">
        <v>477</v>
      </c>
      <c r="E471" s="191">
        <v>55</v>
      </c>
      <c r="F471" s="191">
        <v>0</v>
      </c>
      <c r="G471" s="191">
        <v>0</v>
      </c>
      <c r="H471" s="191" t="s">
        <v>479</v>
      </c>
      <c r="I471" s="191" t="s">
        <v>479</v>
      </c>
      <c r="J471" s="279">
        <v>1</v>
      </c>
      <c r="K471" s="159"/>
    </row>
    <row r="472" spans="1:11" ht="15.75" hidden="1" customHeight="1">
      <c r="A472" s="98" t="s">
        <v>2</v>
      </c>
      <c r="B472" s="191" t="s">
        <v>4073</v>
      </c>
      <c r="C472" s="191" t="s">
        <v>4370</v>
      </c>
      <c r="D472" s="191" t="s">
        <v>477</v>
      </c>
      <c r="E472" s="191">
        <v>55</v>
      </c>
      <c r="F472" s="191">
        <v>0</v>
      </c>
      <c r="G472" s="191">
        <v>0</v>
      </c>
      <c r="H472" s="191" t="s">
        <v>479</v>
      </c>
      <c r="I472" s="191" t="s">
        <v>479</v>
      </c>
      <c r="J472" s="191">
        <v>0</v>
      </c>
      <c r="K472" s="159"/>
    </row>
    <row r="473" spans="1:11" ht="15.75" hidden="1" customHeight="1">
      <c r="A473" s="98" t="s">
        <v>2</v>
      </c>
      <c r="B473" s="191" t="s">
        <v>4073</v>
      </c>
      <c r="C473" s="191" t="s">
        <v>4371</v>
      </c>
      <c r="D473" s="191" t="s">
        <v>477</v>
      </c>
      <c r="E473" s="191">
        <v>55</v>
      </c>
      <c r="F473" s="191">
        <v>0</v>
      </c>
      <c r="G473" s="191">
        <v>0</v>
      </c>
      <c r="H473" s="191" t="s">
        <v>479</v>
      </c>
      <c r="I473" s="191" t="s">
        <v>479</v>
      </c>
      <c r="J473" s="191">
        <v>0</v>
      </c>
      <c r="K473" s="159"/>
    </row>
    <row r="474" spans="1:11" ht="15.75" hidden="1" customHeight="1">
      <c r="A474" s="98" t="s">
        <v>2</v>
      </c>
      <c r="B474" s="191" t="s">
        <v>4073</v>
      </c>
      <c r="C474" s="191" t="s">
        <v>4372</v>
      </c>
      <c r="D474" s="191" t="s">
        <v>477</v>
      </c>
      <c r="E474" s="191">
        <v>255</v>
      </c>
      <c r="F474" s="191">
        <v>0</v>
      </c>
      <c r="G474" s="191">
        <v>0</v>
      </c>
      <c r="H474" s="191" t="s">
        <v>479</v>
      </c>
      <c r="I474" s="191" t="s">
        <v>479</v>
      </c>
      <c r="J474" s="191">
        <v>0</v>
      </c>
      <c r="K474" s="159"/>
    </row>
    <row r="475" spans="1:11" ht="15.75" hidden="1" customHeight="1">
      <c r="A475" s="98" t="s">
        <v>2</v>
      </c>
      <c r="B475" s="191" t="s">
        <v>4073</v>
      </c>
      <c r="C475" s="191" t="s">
        <v>4373</v>
      </c>
      <c r="D475" s="191" t="s">
        <v>477</v>
      </c>
      <c r="E475" s="191">
        <v>255</v>
      </c>
      <c r="F475" s="191">
        <v>0</v>
      </c>
      <c r="G475" s="191">
        <v>0</v>
      </c>
      <c r="H475" s="191" t="s">
        <v>479</v>
      </c>
      <c r="I475" s="191" t="s">
        <v>479</v>
      </c>
      <c r="J475" s="191">
        <v>0</v>
      </c>
      <c r="K475" s="159"/>
    </row>
    <row r="476" spans="1:11" ht="15.75" hidden="1" customHeight="1">
      <c r="A476" s="98" t="s">
        <v>2</v>
      </c>
      <c r="B476" s="191" t="s">
        <v>4073</v>
      </c>
      <c r="C476" s="191" t="s">
        <v>4380</v>
      </c>
      <c r="D476" s="191" t="s">
        <v>484</v>
      </c>
      <c r="E476" s="191">
        <v>4</v>
      </c>
      <c r="F476" s="191">
        <v>10</v>
      </c>
      <c r="G476" s="191">
        <v>0</v>
      </c>
      <c r="H476" s="191" t="s">
        <v>479</v>
      </c>
      <c r="I476" s="191" t="s">
        <v>479</v>
      </c>
      <c r="J476" s="191">
        <v>0</v>
      </c>
      <c r="K476" s="159"/>
    </row>
    <row r="477" spans="1:11" ht="15.75" hidden="1" customHeight="1">
      <c r="A477" s="98" t="s">
        <v>2</v>
      </c>
      <c r="B477" s="191" t="s">
        <v>4073</v>
      </c>
      <c r="C477" s="191" t="s">
        <v>4381</v>
      </c>
      <c r="D477" s="191" t="s">
        <v>477</v>
      </c>
      <c r="E477" s="191">
        <v>1</v>
      </c>
      <c r="F477" s="191">
        <v>0</v>
      </c>
      <c r="G477" s="191">
        <v>0</v>
      </c>
      <c r="H477" s="191" t="s">
        <v>479</v>
      </c>
      <c r="I477" s="191" t="s">
        <v>479</v>
      </c>
      <c r="J477" s="191">
        <v>0</v>
      </c>
      <c r="K477" s="159"/>
    </row>
    <row r="478" spans="1:11" ht="15.75" hidden="1" customHeight="1">
      <c r="A478" s="98" t="s">
        <v>2</v>
      </c>
      <c r="B478" s="191" t="s">
        <v>4073</v>
      </c>
      <c r="C478" s="191" t="s">
        <v>4382</v>
      </c>
      <c r="D478" s="191" t="s">
        <v>477</v>
      </c>
      <c r="E478" s="191">
        <v>20</v>
      </c>
      <c r="F478" s="191">
        <v>0</v>
      </c>
      <c r="G478" s="191">
        <v>0</v>
      </c>
      <c r="H478" s="191" t="s">
        <v>479</v>
      </c>
      <c r="I478" s="191" t="s">
        <v>479</v>
      </c>
      <c r="J478" s="191">
        <v>0</v>
      </c>
      <c r="K478" s="159"/>
    </row>
    <row r="479" spans="1:11" ht="15.75" hidden="1" customHeight="1">
      <c r="A479" s="98" t="s">
        <v>2</v>
      </c>
      <c r="B479" s="191" t="s">
        <v>4073</v>
      </c>
      <c r="C479" s="191" t="s">
        <v>523</v>
      </c>
      <c r="D479" s="191" t="s">
        <v>477</v>
      </c>
      <c r="E479" s="191">
        <v>8</v>
      </c>
      <c r="F479" s="191">
        <v>0</v>
      </c>
      <c r="G479" s="191">
        <v>0</v>
      </c>
      <c r="H479" s="191" t="s">
        <v>479</v>
      </c>
      <c r="I479" s="191" t="s">
        <v>479</v>
      </c>
      <c r="J479" s="191">
        <v>0</v>
      </c>
      <c r="K479" s="159"/>
    </row>
    <row r="480" spans="1:11" ht="15.75" hidden="1" customHeight="1">
      <c r="A480" s="98" t="s">
        <v>2</v>
      </c>
      <c r="B480" s="191" t="s">
        <v>4073</v>
      </c>
      <c r="C480" s="191" t="s">
        <v>669</v>
      </c>
      <c r="D480" s="191" t="s">
        <v>496</v>
      </c>
      <c r="E480" s="191">
        <v>4</v>
      </c>
      <c r="F480" s="191">
        <v>16</v>
      </c>
      <c r="G480" s="191">
        <v>0</v>
      </c>
      <c r="H480" s="191" t="s">
        <v>479</v>
      </c>
      <c r="I480" s="191" t="s">
        <v>479</v>
      </c>
      <c r="J480" s="191">
        <v>0</v>
      </c>
      <c r="K480" s="159"/>
    </row>
    <row r="481" spans="1:11" ht="15.75" hidden="1" customHeight="1">
      <c r="A481" s="98" t="s">
        <v>2</v>
      </c>
      <c r="B481" s="191" t="s">
        <v>76</v>
      </c>
      <c r="C481" s="191" t="s">
        <v>4420</v>
      </c>
      <c r="D481" s="191" t="s">
        <v>484</v>
      </c>
      <c r="E481" s="191">
        <v>4</v>
      </c>
      <c r="F481" s="191">
        <v>10</v>
      </c>
      <c r="G481" s="191">
        <v>0</v>
      </c>
      <c r="H481" s="191" t="s">
        <v>4455</v>
      </c>
      <c r="I481" s="191" t="s">
        <v>479</v>
      </c>
      <c r="J481" s="191">
        <v>0</v>
      </c>
      <c r="K481" s="159"/>
    </row>
    <row r="482" spans="1:11" ht="15.75" hidden="1" customHeight="1">
      <c r="A482" s="98" t="s">
        <v>2</v>
      </c>
      <c r="B482" s="191" t="s">
        <v>76</v>
      </c>
      <c r="C482" s="191" t="s">
        <v>4076</v>
      </c>
      <c r="D482" s="191" t="s">
        <v>477</v>
      </c>
      <c r="E482" s="191">
        <v>20</v>
      </c>
      <c r="F482" s="191">
        <v>0</v>
      </c>
      <c r="G482" s="191">
        <v>0</v>
      </c>
      <c r="H482" s="191" t="s">
        <v>4456</v>
      </c>
      <c r="I482" s="191" t="s">
        <v>548</v>
      </c>
      <c r="J482" s="191">
        <v>0</v>
      </c>
      <c r="K482" s="159"/>
    </row>
    <row r="483" spans="1:11" ht="15.75" hidden="1" customHeight="1">
      <c r="A483" s="98" t="s">
        <v>2</v>
      </c>
      <c r="B483" s="191" t="s">
        <v>76</v>
      </c>
      <c r="C483" s="191" t="s">
        <v>4457</v>
      </c>
      <c r="D483" s="191" t="s">
        <v>477</v>
      </c>
      <c r="E483" s="191">
        <v>5</v>
      </c>
      <c r="F483" s="191">
        <v>0</v>
      </c>
      <c r="G483" s="191">
        <v>0</v>
      </c>
      <c r="H483" s="191" t="s">
        <v>4458</v>
      </c>
      <c r="I483" s="191" t="s">
        <v>4459</v>
      </c>
      <c r="J483" s="191">
        <v>0</v>
      </c>
      <c r="K483" s="159"/>
    </row>
    <row r="484" spans="1:11" ht="15.75" hidden="1" customHeight="1">
      <c r="A484" s="98" t="s">
        <v>2</v>
      </c>
      <c r="B484" s="191" t="s">
        <v>76</v>
      </c>
      <c r="C484" s="191" t="s">
        <v>4460</v>
      </c>
      <c r="D484" s="191" t="s">
        <v>1974</v>
      </c>
      <c r="E484" s="191">
        <v>3</v>
      </c>
      <c r="F484" s="191">
        <v>10</v>
      </c>
      <c r="G484" s="191">
        <v>0</v>
      </c>
      <c r="H484" s="191" t="s">
        <v>4461</v>
      </c>
      <c r="I484" s="191" t="s">
        <v>548</v>
      </c>
      <c r="J484" s="191">
        <v>0</v>
      </c>
      <c r="K484" s="159"/>
    </row>
    <row r="485" spans="1:11" ht="15.75" hidden="1" customHeight="1">
      <c r="A485" s="98" t="s">
        <v>2</v>
      </c>
      <c r="B485" s="191" t="s">
        <v>76</v>
      </c>
      <c r="C485" s="191" t="s">
        <v>2615</v>
      </c>
      <c r="D485" s="191" t="s">
        <v>477</v>
      </c>
      <c r="E485" s="191">
        <v>10</v>
      </c>
      <c r="F485" s="191">
        <v>0</v>
      </c>
      <c r="G485" s="191">
        <v>0</v>
      </c>
      <c r="H485" s="191" t="s">
        <v>4462</v>
      </c>
      <c r="I485" s="191" t="s">
        <v>548</v>
      </c>
      <c r="J485" s="191">
        <v>0</v>
      </c>
      <c r="K485" s="159"/>
    </row>
    <row r="486" spans="1:11" ht="15.75" hidden="1" customHeight="1">
      <c r="A486" s="98" t="s">
        <v>2</v>
      </c>
      <c r="B486" s="191" t="s">
        <v>76</v>
      </c>
      <c r="C486" s="191" t="s">
        <v>4398</v>
      </c>
      <c r="D486" s="191" t="s">
        <v>477</v>
      </c>
      <c r="E486" s="191">
        <v>10</v>
      </c>
      <c r="F486" s="191">
        <v>0</v>
      </c>
      <c r="G486" s="191">
        <v>0</v>
      </c>
      <c r="H486" s="191" t="s">
        <v>4463</v>
      </c>
      <c r="I486" s="191" t="s">
        <v>548</v>
      </c>
      <c r="J486" s="191">
        <v>0</v>
      </c>
      <c r="K486" s="159"/>
    </row>
    <row r="487" spans="1:11" ht="15.75" hidden="1" customHeight="1">
      <c r="A487" s="98" t="s">
        <v>2</v>
      </c>
      <c r="B487" s="191" t="s">
        <v>76</v>
      </c>
      <c r="C487" s="191" t="s">
        <v>4464</v>
      </c>
      <c r="D487" s="191" t="s">
        <v>477</v>
      </c>
      <c r="E487" s="191">
        <v>20</v>
      </c>
      <c r="F487" s="191">
        <v>0</v>
      </c>
      <c r="G487" s="191">
        <v>0</v>
      </c>
      <c r="H487" s="191" t="s">
        <v>479</v>
      </c>
      <c r="I487" s="191" t="s">
        <v>4465</v>
      </c>
      <c r="J487" s="191">
        <v>0</v>
      </c>
      <c r="K487" s="159"/>
    </row>
    <row r="488" spans="1:11" ht="15.75" hidden="1" customHeight="1">
      <c r="A488" s="98" t="s">
        <v>2</v>
      </c>
      <c r="B488" s="191" t="s">
        <v>76</v>
      </c>
      <c r="C488" s="191" t="s">
        <v>4466</v>
      </c>
      <c r="D488" s="191" t="s">
        <v>477</v>
      </c>
      <c r="E488" s="191">
        <v>20</v>
      </c>
      <c r="F488" s="191">
        <v>0</v>
      </c>
      <c r="G488" s="191">
        <v>0</v>
      </c>
      <c r="H488" s="191" t="s">
        <v>4467</v>
      </c>
      <c r="I488" s="191" t="s">
        <v>548</v>
      </c>
      <c r="J488" s="191">
        <v>0</v>
      </c>
      <c r="K488" s="159"/>
    </row>
    <row r="489" spans="1:11" ht="15.75" hidden="1" customHeight="1">
      <c r="A489" s="98" t="s">
        <v>2</v>
      </c>
      <c r="B489" s="191" t="s">
        <v>76</v>
      </c>
      <c r="C489" s="191" t="s">
        <v>557</v>
      </c>
      <c r="D489" s="191" t="s">
        <v>477</v>
      </c>
      <c r="E489" s="191">
        <v>55</v>
      </c>
      <c r="F489" s="191">
        <v>0</v>
      </c>
      <c r="G489" s="191">
        <v>0</v>
      </c>
      <c r="H489" s="191" t="s">
        <v>4468</v>
      </c>
      <c r="I489" s="191" t="s">
        <v>548</v>
      </c>
      <c r="J489" s="191">
        <v>0</v>
      </c>
      <c r="K489" s="159"/>
    </row>
    <row r="490" spans="1:11" ht="15.75" hidden="1" customHeight="1">
      <c r="A490" s="98" t="s">
        <v>2</v>
      </c>
      <c r="B490" s="191" t="s">
        <v>76</v>
      </c>
      <c r="C490" s="191" t="s">
        <v>4469</v>
      </c>
      <c r="D490" s="191" t="s">
        <v>477</v>
      </c>
      <c r="E490" s="191">
        <v>55</v>
      </c>
      <c r="F490" s="191">
        <v>0</v>
      </c>
      <c r="G490" s="191">
        <v>0</v>
      </c>
      <c r="H490" s="191" t="s">
        <v>4470</v>
      </c>
      <c r="I490" s="191" t="s">
        <v>548</v>
      </c>
      <c r="J490" s="191">
        <v>0</v>
      </c>
      <c r="K490" s="159"/>
    </row>
    <row r="491" spans="1:11" ht="15.75" hidden="1" customHeight="1">
      <c r="A491" s="98" t="s">
        <v>2</v>
      </c>
      <c r="B491" s="191" t="s">
        <v>76</v>
      </c>
      <c r="C491" s="191" t="s">
        <v>4471</v>
      </c>
      <c r="D491" s="191" t="s">
        <v>477</v>
      </c>
      <c r="E491" s="191">
        <v>55</v>
      </c>
      <c r="F491" s="191">
        <v>0</v>
      </c>
      <c r="G491" s="191">
        <v>0</v>
      </c>
      <c r="H491" s="191" t="s">
        <v>4472</v>
      </c>
      <c r="I491" s="191" t="s">
        <v>548</v>
      </c>
      <c r="J491" s="191">
        <v>0</v>
      </c>
      <c r="K491" s="159"/>
    </row>
    <row r="492" spans="1:11" ht="15.75" hidden="1" customHeight="1">
      <c r="A492" s="98" t="s">
        <v>2</v>
      </c>
      <c r="B492" s="191" t="s">
        <v>76</v>
      </c>
      <c r="C492" s="191" t="s">
        <v>4473</v>
      </c>
      <c r="D492" s="191" t="s">
        <v>477</v>
      </c>
      <c r="E492" s="191">
        <v>55</v>
      </c>
      <c r="F492" s="191">
        <v>0</v>
      </c>
      <c r="G492" s="191">
        <v>0</v>
      </c>
      <c r="H492" s="191" t="s">
        <v>4474</v>
      </c>
      <c r="I492" s="191" t="s">
        <v>548</v>
      </c>
      <c r="J492" s="279">
        <v>1</v>
      </c>
      <c r="K492" s="159"/>
    </row>
    <row r="493" spans="1:11" ht="15.75" hidden="1" customHeight="1">
      <c r="A493" s="98" t="s">
        <v>2</v>
      </c>
      <c r="B493" s="191" t="s">
        <v>76</v>
      </c>
      <c r="C493" s="191" t="s">
        <v>4475</v>
      </c>
      <c r="D493" s="191" t="s">
        <v>477</v>
      </c>
      <c r="E493" s="191">
        <v>55</v>
      </c>
      <c r="F493" s="191">
        <v>0</v>
      </c>
      <c r="G493" s="191">
        <v>0</v>
      </c>
      <c r="H493" s="191" t="s">
        <v>4476</v>
      </c>
      <c r="I493" s="191" t="s">
        <v>548</v>
      </c>
      <c r="J493" s="191">
        <v>0</v>
      </c>
      <c r="K493" s="159"/>
    </row>
    <row r="494" spans="1:11" ht="15.75" hidden="1" customHeight="1">
      <c r="A494" s="98" t="s">
        <v>2</v>
      </c>
      <c r="B494" s="191" t="s">
        <v>76</v>
      </c>
      <c r="C494" s="191" t="s">
        <v>4477</v>
      </c>
      <c r="D494" s="191" t="s">
        <v>477</v>
      </c>
      <c r="E494" s="191">
        <v>55</v>
      </c>
      <c r="F494" s="191">
        <v>0</v>
      </c>
      <c r="G494" s="191">
        <v>0</v>
      </c>
      <c r="H494" s="191" t="s">
        <v>4478</v>
      </c>
      <c r="I494" s="191" t="s">
        <v>548</v>
      </c>
      <c r="J494" s="191">
        <v>0</v>
      </c>
      <c r="K494" s="159"/>
    </row>
    <row r="495" spans="1:11" ht="15.75" hidden="1" customHeight="1">
      <c r="A495" s="98" t="s">
        <v>2</v>
      </c>
      <c r="B495" s="191" t="s">
        <v>76</v>
      </c>
      <c r="C495" s="191" t="s">
        <v>4479</v>
      </c>
      <c r="D495" s="191" t="s">
        <v>477</v>
      </c>
      <c r="E495" s="191">
        <v>55</v>
      </c>
      <c r="F495" s="191">
        <v>0</v>
      </c>
      <c r="G495" s="191">
        <v>0</v>
      </c>
      <c r="H495" s="191" t="s">
        <v>4480</v>
      </c>
      <c r="I495" s="191" t="s">
        <v>548</v>
      </c>
      <c r="J495" s="191">
        <v>0</v>
      </c>
      <c r="K495" s="159"/>
    </row>
    <row r="496" spans="1:11" ht="15.75" hidden="1" customHeight="1">
      <c r="A496" s="98" t="s">
        <v>2</v>
      </c>
      <c r="B496" s="191" t="s">
        <v>76</v>
      </c>
      <c r="C496" s="191" t="s">
        <v>4481</v>
      </c>
      <c r="D496" s="191" t="s">
        <v>477</v>
      </c>
      <c r="E496" s="191">
        <v>8</v>
      </c>
      <c r="F496" s="191">
        <v>0</v>
      </c>
      <c r="G496" s="191">
        <v>0</v>
      </c>
      <c r="H496" s="191" t="s">
        <v>4482</v>
      </c>
      <c r="I496" s="191" t="s">
        <v>548</v>
      </c>
      <c r="J496" s="191">
        <v>1</v>
      </c>
      <c r="K496" s="159"/>
    </row>
    <row r="497" spans="1:11" ht="15.75" hidden="1" customHeight="1">
      <c r="A497" s="98" t="s">
        <v>2</v>
      </c>
      <c r="B497" s="191" t="s">
        <v>76</v>
      </c>
      <c r="C497" s="191" t="s">
        <v>4483</v>
      </c>
      <c r="D497" s="191" t="s">
        <v>481</v>
      </c>
      <c r="E497" s="191">
        <v>5</v>
      </c>
      <c r="F497" s="191">
        <v>9</v>
      </c>
      <c r="G497" s="191">
        <v>6</v>
      </c>
      <c r="H497" s="191" t="s">
        <v>4484</v>
      </c>
      <c r="I497" s="191" t="s">
        <v>615</v>
      </c>
      <c r="J497" s="191">
        <v>0</v>
      </c>
      <c r="K497" s="159"/>
    </row>
    <row r="498" spans="1:11" ht="15.75" hidden="1" customHeight="1">
      <c r="A498" s="98" t="s">
        <v>2</v>
      </c>
      <c r="B498" s="191" t="s">
        <v>76</v>
      </c>
      <c r="C498" s="191" t="s">
        <v>4485</v>
      </c>
      <c r="D498" s="191" t="s">
        <v>484</v>
      </c>
      <c r="E498" s="191">
        <v>4</v>
      </c>
      <c r="F498" s="191">
        <v>10</v>
      </c>
      <c r="G498" s="191">
        <v>0</v>
      </c>
      <c r="H498" s="191" t="s">
        <v>4486</v>
      </c>
      <c r="I498" s="191" t="s">
        <v>615</v>
      </c>
      <c r="J498" s="191">
        <v>0</v>
      </c>
      <c r="K498" s="159"/>
    </row>
    <row r="499" spans="1:11" ht="15.75" hidden="1" customHeight="1">
      <c r="A499" s="98" t="s">
        <v>2</v>
      </c>
      <c r="B499" s="191" t="s">
        <v>76</v>
      </c>
      <c r="C499" s="191" t="s">
        <v>4487</v>
      </c>
      <c r="D499" s="191" t="s">
        <v>484</v>
      </c>
      <c r="E499" s="191">
        <v>4</v>
      </c>
      <c r="F499" s="191">
        <v>10</v>
      </c>
      <c r="G499" s="191">
        <v>0</v>
      </c>
      <c r="H499" s="191" t="s">
        <v>4488</v>
      </c>
      <c r="I499" s="191" t="s">
        <v>615</v>
      </c>
      <c r="J499" s="191">
        <v>0</v>
      </c>
      <c r="K499" s="159"/>
    </row>
    <row r="500" spans="1:11" ht="15.75" hidden="1" customHeight="1">
      <c r="A500" s="98" t="s">
        <v>2</v>
      </c>
      <c r="B500" s="191" t="s">
        <v>76</v>
      </c>
      <c r="C500" s="191" t="s">
        <v>4489</v>
      </c>
      <c r="D500" s="191" t="s">
        <v>484</v>
      </c>
      <c r="E500" s="191">
        <v>4</v>
      </c>
      <c r="F500" s="191">
        <v>10</v>
      </c>
      <c r="G500" s="191">
        <v>0</v>
      </c>
      <c r="H500" s="191" t="s">
        <v>4490</v>
      </c>
      <c r="I500" s="191" t="s">
        <v>615</v>
      </c>
      <c r="J500" s="191">
        <v>0</v>
      </c>
      <c r="K500" s="159"/>
    </row>
    <row r="501" spans="1:11" ht="15.75" hidden="1" customHeight="1">
      <c r="A501" s="98" t="s">
        <v>2</v>
      </c>
      <c r="B501" s="191" t="s">
        <v>76</v>
      </c>
      <c r="C501" s="191" t="s">
        <v>4491</v>
      </c>
      <c r="D501" s="191" t="s">
        <v>484</v>
      </c>
      <c r="E501" s="191">
        <v>4</v>
      </c>
      <c r="F501" s="191">
        <v>10</v>
      </c>
      <c r="G501" s="191">
        <v>0</v>
      </c>
      <c r="H501" s="191" t="s">
        <v>4492</v>
      </c>
      <c r="I501" s="191" t="s">
        <v>615</v>
      </c>
      <c r="J501" s="191">
        <v>0</v>
      </c>
      <c r="K501" s="159"/>
    </row>
    <row r="502" spans="1:11" ht="15.75" hidden="1" customHeight="1">
      <c r="A502" s="98" t="s">
        <v>2</v>
      </c>
      <c r="B502" s="191" t="s">
        <v>76</v>
      </c>
      <c r="C502" s="191" t="s">
        <v>4370</v>
      </c>
      <c r="D502" s="191" t="s">
        <v>477</v>
      </c>
      <c r="E502" s="191">
        <v>50</v>
      </c>
      <c r="F502" s="191">
        <v>0</v>
      </c>
      <c r="G502" s="191">
        <v>0</v>
      </c>
      <c r="H502" s="191" t="s">
        <v>4493</v>
      </c>
      <c r="I502" s="191" t="s">
        <v>548</v>
      </c>
      <c r="J502" s="191">
        <v>0</v>
      </c>
      <c r="K502" s="159"/>
    </row>
    <row r="503" spans="1:11" ht="15.75" hidden="1" customHeight="1">
      <c r="A503" s="98" t="s">
        <v>2</v>
      </c>
      <c r="B503" s="191" t="s">
        <v>76</v>
      </c>
      <c r="C503" s="191" t="s">
        <v>4371</v>
      </c>
      <c r="D503" s="191" t="s">
        <v>477</v>
      </c>
      <c r="E503" s="191">
        <v>50</v>
      </c>
      <c r="F503" s="191">
        <v>0</v>
      </c>
      <c r="G503" s="191">
        <v>0</v>
      </c>
      <c r="H503" s="191" t="s">
        <v>4494</v>
      </c>
      <c r="I503" s="191" t="s">
        <v>548</v>
      </c>
      <c r="J503" s="191">
        <v>0</v>
      </c>
      <c r="K503" s="159"/>
    </row>
    <row r="504" spans="1:11" ht="15.75" hidden="1" customHeight="1">
      <c r="A504" s="98" t="s">
        <v>2</v>
      </c>
      <c r="B504" s="191" t="s">
        <v>76</v>
      </c>
      <c r="C504" s="191" t="s">
        <v>4495</v>
      </c>
      <c r="D504" s="191" t="s">
        <v>477</v>
      </c>
      <c r="E504" s="191">
        <v>255</v>
      </c>
      <c r="F504" s="191">
        <v>0</v>
      </c>
      <c r="G504" s="191">
        <v>0</v>
      </c>
      <c r="H504" s="191" t="s">
        <v>4496</v>
      </c>
      <c r="I504" s="191" t="s">
        <v>548</v>
      </c>
      <c r="J504" s="191">
        <v>0</v>
      </c>
      <c r="K504" s="159"/>
    </row>
    <row r="505" spans="1:11" ht="15.75" hidden="1" customHeight="1">
      <c r="A505" s="98" t="s">
        <v>2</v>
      </c>
      <c r="B505" s="191" t="s">
        <v>76</v>
      </c>
      <c r="C505" s="191" t="s">
        <v>4372</v>
      </c>
      <c r="D505" s="191" t="s">
        <v>477</v>
      </c>
      <c r="E505" s="191">
        <v>255</v>
      </c>
      <c r="F505" s="191">
        <v>0</v>
      </c>
      <c r="G505" s="191">
        <v>0</v>
      </c>
      <c r="H505" s="191" t="s">
        <v>4497</v>
      </c>
      <c r="I505" s="191" t="s">
        <v>548</v>
      </c>
      <c r="J505" s="191">
        <v>0</v>
      </c>
      <c r="K505" s="159"/>
    </row>
    <row r="506" spans="1:11" ht="15.75" hidden="1" customHeight="1">
      <c r="A506" s="98" t="s">
        <v>2</v>
      </c>
      <c r="B506" s="191" t="s">
        <v>76</v>
      </c>
      <c r="C506" s="191" t="s">
        <v>4403</v>
      </c>
      <c r="D506" s="191" t="s">
        <v>477</v>
      </c>
      <c r="E506" s="191">
        <v>2</v>
      </c>
      <c r="F506" s="191">
        <v>0</v>
      </c>
      <c r="G506" s="191">
        <v>0</v>
      </c>
      <c r="H506" s="191" t="s">
        <v>4498</v>
      </c>
      <c r="I506" s="191" t="s">
        <v>548</v>
      </c>
      <c r="J506" s="191">
        <v>0</v>
      </c>
      <c r="K506" s="159"/>
    </row>
    <row r="507" spans="1:11" ht="15.75" hidden="1" customHeight="1">
      <c r="A507" s="98" t="s">
        <v>2</v>
      </c>
      <c r="B507" s="191" t="s">
        <v>76</v>
      </c>
      <c r="C507" s="191" t="s">
        <v>4202</v>
      </c>
      <c r="D507" s="191" t="s">
        <v>477</v>
      </c>
      <c r="E507" s="191">
        <v>20</v>
      </c>
      <c r="F507" s="191">
        <v>0</v>
      </c>
      <c r="G507" s="191">
        <v>0</v>
      </c>
      <c r="H507" s="191" t="s">
        <v>4499</v>
      </c>
      <c r="I507" s="191" t="s">
        <v>4465</v>
      </c>
      <c r="J507" s="191">
        <v>0</v>
      </c>
      <c r="K507" s="159"/>
    </row>
    <row r="508" spans="1:11" ht="15.75" hidden="1" customHeight="1">
      <c r="A508" s="98" t="s">
        <v>2</v>
      </c>
      <c r="B508" s="191" t="s">
        <v>76</v>
      </c>
      <c r="C508" s="191" t="s">
        <v>4500</v>
      </c>
      <c r="D508" s="191" t="s">
        <v>477</v>
      </c>
      <c r="E508" s="191">
        <v>23</v>
      </c>
      <c r="F508" s="191">
        <v>0</v>
      </c>
      <c r="G508" s="191">
        <v>0</v>
      </c>
      <c r="H508" s="191" t="s">
        <v>479</v>
      </c>
      <c r="I508" s="191" t="s">
        <v>548</v>
      </c>
      <c r="J508" s="191">
        <v>0</v>
      </c>
      <c r="K508" s="159"/>
    </row>
    <row r="509" spans="1:11" ht="15.75" hidden="1" customHeight="1">
      <c r="A509" s="98" t="s">
        <v>2</v>
      </c>
      <c r="B509" s="191" t="s">
        <v>76</v>
      </c>
      <c r="C509" s="191" t="s">
        <v>4501</v>
      </c>
      <c r="D509" s="191" t="s">
        <v>496</v>
      </c>
      <c r="E509" s="191">
        <v>4</v>
      </c>
      <c r="F509" s="191">
        <v>16</v>
      </c>
      <c r="G509" s="191">
        <v>0</v>
      </c>
      <c r="H509" s="191" t="s">
        <v>479</v>
      </c>
      <c r="I509" s="191" t="s">
        <v>548</v>
      </c>
      <c r="J509" s="191">
        <v>0</v>
      </c>
      <c r="K509" s="159"/>
    </row>
    <row r="510" spans="1:11" ht="15.75" hidden="1" customHeight="1">
      <c r="A510" s="98" t="s">
        <v>2</v>
      </c>
      <c r="B510" s="191" t="s">
        <v>76</v>
      </c>
      <c r="C510" s="191" t="s">
        <v>4405</v>
      </c>
      <c r="D510" s="191" t="s">
        <v>477</v>
      </c>
      <c r="E510" s="191">
        <v>25</v>
      </c>
      <c r="F510" s="191">
        <v>0</v>
      </c>
      <c r="G510" s="191">
        <v>0</v>
      </c>
      <c r="H510" s="191" t="s">
        <v>479</v>
      </c>
      <c r="I510" s="191" t="s">
        <v>548</v>
      </c>
      <c r="J510" s="191">
        <v>0</v>
      </c>
      <c r="K510" s="159"/>
    </row>
    <row r="511" spans="1:11" ht="15.75" hidden="1" customHeight="1">
      <c r="A511" s="98" t="s">
        <v>2</v>
      </c>
      <c r="B511" s="191" t="s">
        <v>76</v>
      </c>
      <c r="C511" s="191" t="s">
        <v>4502</v>
      </c>
      <c r="D511" s="191" t="s">
        <v>496</v>
      </c>
      <c r="E511" s="191">
        <v>4</v>
      </c>
      <c r="F511" s="191">
        <v>16</v>
      </c>
      <c r="G511" s="191">
        <v>0</v>
      </c>
      <c r="H511" s="191" t="s">
        <v>479</v>
      </c>
      <c r="I511" s="191" t="s">
        <v>548</v>
      </c>
      <c r="J511" s="191">
        <v>0</v>
      </c>
      <c r="K511" s="159"/>
    </row>
    <row r="512" spans="1:11" ht="15.75" hidden="1" customHeight="1">
      <c r="A512" s="98" t="s">
        <v>2</v>
      </c>
      <c r="B512" s="191" t="s">
        <v>76</v>
      </c>
      <c r="C512" s="191" t="s">
        <v>4503</v>
      </c>
      <c r="D512" s="191" t="s">
        <v>477</v>
      </c>
      <c r="E512" s="191">
        <v>3</v>
      </c>
      <c r="F512" s="191">
        <v>0</v>
      </c>
      <c r="G512" s="191">
        <v>0</v>
      </c>
      <c r="H512" s="191" t="s">
        <v>479</v>
      </c>
      <c r="I512" s="191" t="s">
        <v>596</v>
      </c>
      <c r="J512" s="191">
        <v>0</v>
      </c>
      <c r="K512" s="159"/>
    </row>
    <row r="513" spans="1:11" ht="15.75" hidden="1" customHeight="1">
      <c r="A513" s="98" t="s">
        <v>2</v>
      </c>
      <c r="B513" s="191" t="s">
        <v>76</v>
      </c>
      <c r="C513" s="191" t="s">
        <v>4504</v>
      </c>
      <c r="D513" s="191" t="s">
        <v>477</v>
      </c>
      <c r="E513" s="191">
        <v>3</v>
      </c>
      <c r="F513" s="191">
        <v>0</v>
      </c>
      <c r="G513" s="191">
        <v>0</v>
      </c>
      <c r="H513" s="191" t="s">
        <v>479</v>
      </c>
      <c r="I513" s="191" t="s">
        <v>596</v>
      </c>
      <c r="J513" s="191">
        <v>0</v>
      </c>
      <c r="K513" s="159"/>
    </row>
    <row r="514" spans="1:11" ht="15.75" hidden="1" customHeight="1">
      <c r="A514" s="98" t="s">
        <v>2</v>
      </c>
      <c r="B514" s="191" t="s">
        <v>76</v>
      </c>
      <c r="C514" s="191" t="s">
        <v>4505</v>
      </c>
      <c r="D514" s="191" t="s">
        <v>477</v>
      </c>
      <c r="E514" s="191">
        <v>3</v>
      </c>
      <c r="F514" s="191">
        <v>0</v>
      </c>
      <c r="G514" s="191">
        <v>0</v>
      </c>
      <c r="H514" s="191" t="s">
        <v>479</v>
      </c>
      <c r="I514" s="191" t="s">
        <v>596</v>
      </c>
      <c r="J514" s="191">
        <v>0</v>
      </c>
      <c r="K514" s="159"/>
    </row>
    <row r="515" spans="1:11" ht="15.75" hidden="1" customHeight="1">
      <c r="A515" s="98" t="s">
        <v>2</v>
      </c>
      <c r="B515" s="191" t="s">
        <v>76</v>
      </c>
      <c r="C515" s="191" t="s">
        <v>2603</v>
      </c>
      <c r="D515" s="191" t="s">
        <v>484</v>
      </c>
      <c r="E515" s="191">
        <v>4</v>
      </c>
      <c r="F515" s="191">
        <v>10</v>
      </c>
      <c r="G515" s="191">
        <v>0</v>
      </c>
      <c r="H515" s="191" t="s">
        <v>479</v>
      </c>
      <c r="I515" s="191" t="s">
        <v>615</v>
      </c>
      <c r="J515" s="191">
        <v>0</v>
      </c>
      <c r="K515" s="159"/>
    </row>
    <row r="516" spans="1:11" ht="15.75" hidden="1" customHeight="1">
      <c r="A516" s="98" t="s">
        <v>2</v>
      </c>
      <c r="B516" s="191" t="s">
        <v>76</v>
      </c>
      <c r="C516" s="191" t="s">
        <v>2604</v>
      </c>
      <c r="D516" s="191" t="s">
        <v>484</v>
      </c>
      <c r="E516" s="191">
        <v>4</v>
      </c>
      <c r="F516" s="191">
        <v>10</v>
      </c>
      <c r="G516" s="191">
        <v>0</v>
      </c>
      <c r="H516" s="191" t="s">
        <v>479</v>
      </c>
      <c r="I516" s="191" t="s">
        <v>615</v>
      </c>
      <c r="J516" s="191">
        <v>0</v>
      </c>
      <c r="K516" s="159"/>
    </row>
    <row r="517" spans="1:11" ht="15.75" hidden="1" customHeight="1">
      <c r="A517" s="98" t="s">
        <v>2</v>
      </c>
      <c r="B517" s="191" t="s">
        <v>76</v>
      </c>
      <c r="C517" s="191" t="s">
        <v>2606</v>
      </c>
      <c r="D517" s="191" t="s">
        <v>484</v>
      </c>
      <c r="E517" s="191">
        <v>4</v>
      </c>
      <c r="F517" s="191">
        <v>10</v>
      </c>
      <c r="G517" s="191">
        <v>0</v>
      </c>
      <c r="H517" s="191" t="s">
        <v>479</v>
      </c>
      <c r="I517" s="191" t="s">
        <v>615</v>
      </c>
      <c r="J517" s="191">
        <v>0</v>
      </c>
      <c r="K517" s="159"/>
    </row>
    <row r="518" spans="1:11" ht="15.75" hidden="1" customHeight="1">
      <c r="A518" s="98" t="s">
        <v>2</v>
      </c>
      <c r="B518" s="191" t="s">
        <v>76</v>
      </c>
      <c r="C518" s="191" t="s">
        <v>2607</v>
      </c>
      <c r="D518" s="191" t="s">
        <v>484</v>
      </c>
      <c r="E518" s="191">
        <v>4</v>
      </c>
      <c r="F518" s="191">
        <v>10</v>
      </c>
      <c r="G518" s="191">
        <v>0</v>
      </c>
      <c r="H518" s="191" t="s">
        <v>479</v>
      </c>
      <c r="I518" s="191" t="s">
        <v>615</v>
      </c>
      <c r="J518" s="191">
        <v>0</v>
      </c>
      <c r="K518" s="159"/>
    </row>
    <row r="519" spans="1:11" ht="15.75" hidden="1" customHeight="1">
      <c r="A519" s="98" t="s">
        <v>2</v>
      </c>
      <c r="B519" s="191" t="s">
        <v>76</v>
      </c>
      <c r="C519" s="191" t="s">
        <v>2605</v>
      </c>
      <c r="D519" s="191" t="s">
        <v>484</v>
      </c>
      <c r="E519" s="191">
        <v>4</v>
      </c>
      <c r="F519" s="191">
        <v>10</v>
      </c>
      <c r="G519" s="191">
        <v>0</v>
      </c>
      <c r="H519" s="191" t="s">
        <v>479</v>
      </c>
      <c r="I519" s="191" t="s">
        <v>615</v>
      </c>
      <c r="J519" s="191">
        <v>0</v>
      </c>
      <c r="K519" s="159"/>
    </row>
    <row r="520" spans="1:11" ht="15.75" hidden="1" customHeight="1">
      <c r="A520" s="98" t="s">
        <v>2</v>
      </c>
      <c r="B520" s="191" t="s">
        <v>76</v>
      </c>
      <c r="C520" s="191" t="s">
        <v>669</v>
      </c>
      <c r="D520" s="191" t="s">
        <v>496</v>
      </c>
      <c r="E520" s="191">
        <v>4</v>
      </c>
      <c r="F520" s="191">
        <v>16</v>
      </c>
      <c r="G520" s="191">
        <v>0</v>
      </c>
      <c r="H520" s="191" t="s">
        <v>4341</v>
      </c>
      <c r="I520" s="191" t="s">
        <v>548</v>
      </c>
      <c r="J520" s="191">
        <v>0</v>
      </c>
      <c r="K520" s="159"/>
    </row>
    <row r="521" spans="1:11" ht="15.75" hidden="1" customHeight="1">
      <c r="A521" s="98" t="s">
        <v>2</v>
      </c>
      <c r="B521" s="191" t="s">
        <v>76</v>
      </c>
      <c r="C521" s="191" t="s">
        <v>523</v>
      </c>
      <c r="D521" s="191" t="s">
        <v>477</v>
      </c>
      <c r="E521" s="191">
        <v>8</v>
      </c>
      <c r="F521" s="191">
        <v>0</v>
      </c>
      <c r="G521" s="191">
        <v>0</v>
      </c>
      <c r="H521" s="191" t="s">
        <v>4448</v>
      </c>
      <c r="I521" s="191" t="s">
        <v>548</v>
      </c>
      <c r="J521" s="191">
        <v>0</v>
      </c>
      <c r="K521" s="159"/>
    </row>
    <row r="522" spans="1:11" ht="15.75" hidden="1" customHeight="1">
      <c r="A522" s="98" t="s">
        <v>2</v>
      </c>
      <c r="B522" s="191" t="s">
        <v>76</v>
      </c>
      <c r="C522" s="191" t="s">
        <v>215</v>
      </c>
      <c r="D522" s="191" t="s">
        <v>496</v>
      </c>
      <c r="E522" s="191">
        <v>4</v>
      </c>
      <c r="F522" s="191">
        <v>16</v>
      </c>
      <c r="G522" s="191">
        <v>0</v>
      </c>
      <c r="H522" s="191" t="s">
        <v>4449</v>
      </c>
      <c r="I522" s="191" t="s">
        <v>548</v>
      </c>
      <c r="J522" s="191">
        <v>0</v>
      </c>
      <c r="K522" s="159"/>
    </row>
    <row r="523" spans="1:11" ht="15.75" hidden="1" customHeight="1">
      <c r="A523" s="98" t="s">
        <v>2</v>
      </c>
      <c r="B523" s="191" t="s">
        <v>76</v>
      </c>
      <c r="C523" s="191" t="s">
        <v>670</v>
      </c>
      <c r="D523" s="191" t="s">
        <v>477</v>
      </c>
      <c r="E523" s="191">
        <v>8</v>
      </c>
      <c r="F523" s="191">
        <v>0</v>
      </c>
      <c r="G523" s="191">
        <v>0</v>
      </c>
      <c r="H523" s="191" t="s">
        <v>4450</v>
      </c>
      <c r="I523" s="191" t="s">
        <v>548</v>
      </c>
      <c r="J523" s="191">
        <v>0</v>
      </c>
      <c r="K523" s="159"/>
    </row>
    <row r="524" spans="1:11" ht="15.75" hidden="1" customHeight="1">
      <c r="A524" s="98" t="s">
        <v>2</v>
      </c>
      <c r="B524" s="191" t="s">
        <v>76</v>
      </c>
      <c r="C524" s="191" t="s">
        <v>4506</v>
      </c>
      <c r="D524" s="191" t="s">
        <v>477</v>
      </c>
      <c r="E524" s="191">
        <v>3</v>
      </c>
      <c r="F524" s="191">
        <v>0</v>
      </c>
      <c r="G524" s="191">
        <v>0</v>
      </c>
      <c r="H524" s="191" t="s">
        <v>4507</v>
      </c>
      <c r="I524" s="191" t="s">
        <v>596</v>
      </c>
      <c r="J524" s="191">
        <v>0</v>
      </c>
      <c r="K524" s="159"/>
    </row>
    <row r="525" spans="1:11" ht="15.75" hidden="1" customHeight="1">
      <c r="A525" s="98" t="s">
        <v>2</v>
      </c>
      <c r="B525" s="191" t="s">
        <v>76</v>
      </c>
      <c r="C525" s="191" t="s">
        <v>4508</v>
      </c>
      <c r="D525" s="191" t="s">
        <v>477</v>
      </c>
      <c r="E525" s="191">
        <v>3</v>
      </c>
      <c r="F525" s="191">
        <v>0</v>
      </c>
      <c r="G525" s="191">
        <v>0</v>
      </c>
      <c r="H525" s="191" t="s">
        <v>4509</v>
      </c>
      <c r="I525" s="191" t="s">
        <v>596</v>
      </c>
      <c r="J525" s="191">
        <v>0</v>
      </c>
      <c r="K525" s="159"/>
    </row>
    <row r="526" spans="1:11" ht="15.75" hidden="1" customHeight="1">
      <c r="A526" s="98" t="s">
        <v>2</v>
      </c>
      <c r="B526" s="191" t="s">
        <v>76</v>
      </c>
      <c r="C526" s="191" t="s">
        <v>2758</v>
      </c>
      <c r="D526" s="191" t="s">
        <v>477</v>
      </c>
      <c r="E526" s="191">
        <v>20</v>
      </c>
      <c r="F526" s="191">
        <v>0</v>
      </c>
      <c r="G526" s="191">
        <v>0</v>
      </c>
      <c r="H526" s="191" t="s">
        <v>2759</v>
      </c>
      <c r="I526" s="191" t="s">
        <v>596</v>
      </c>
      <c r="J526" s="191">
        <v>0</v>
      </c>
      <c r="K526" s="159"/>
    </row>
    <row r="527" spans="1:11" ht="15.75" hidden="1" customHeight="1">
      <c r="A527" s="98" t="s">
        <v>2</v>
      </c>
      <c r="B527" s="191" t="s">
        <v>4078</v>
      </c>
      <c r="C527" s="191" t="s">
        <v>325</v>
      </c>
      <c r="D527" s="191" t="s">
        <v>484</v>
      </c>
      <c r="E527" s="191">
        <v>4</v>
      </c>
      <c r="F527" s="191">
        <v>10</v>
      </c>
      <c r="G527" s="191">
        <v>0</v>
      </c>
      <c r="H527" s="191" t="s">
        <v>4510</v>
      </c>
      <c r="I527" s="191" t="s">
        <v>479</v>
      </c>
      <c r="J527" s="191">
        <v>0</v>
      </c>
      <c r="K527" s="159"/>
    </row>
    <row r="528" spans="1:11" ht="15.75" hidden="1" customHeight="1">
      <c r="A528" s="98" t="s">
        <v>2</v>
      </c>
      <c r="B528" s="191" t="s">
        <v>4078</v>
      </c>
      <c r="C528" s="191" t="s">
        <v>1163</v>
      </c>
      <c r="D528" s="191" t="s">
        <v>477</v>
      </c>
      <c r="E528" s="191">
        <v>20</v>
      </c>
      <c r="F528" s="191">
        <v>0</v>
      </c>
      <c r="G528" s="191">
        <v>0</v>
      </c>
      <c r="H528" s="191" t="s">
        <v>1556</v>
      </c>
      <c r="I528" s="191" t="s">
        <v>479</v>
      </c>
      <c r="J528" s="191">
        <v>0</v>
      </c>
      <c r="K528" s="159"/>
    </row>
    <row r="529" spans="1:11" ht="15.75" hidden="1" customHeight="1">
      <c r="A529" s="98" t="s">
        <v>2</v>
      </c>
      <c r="B529" s="191" t="s">
        <v>4078</v>
      </c>
      <c r="C529" s="191" t="s">
        <v>1101</v>
      </c>
      <c r="D529" s="191" t="s">
        <v>477</v>
      </c>
      <c r="E529" s="191">
        <v>20</v>
      </c>
      <c r="F529" s="191">
        <v>0</v>
      </c>
      <c r="G529" s="191">
        <v>0</v>
      </c>
      <c r="H529" s="191" t="s">
        <v>4511</v>
      </c>
      <c r="I529" s="191" t="s">
        <v>479</v>
      </c>
      <c r="J529" s="191">
        <v>0</v>
      </c>
      <c r="K529" s="159"/>
    </row>
    <row r="530" spans="1:11" ht="15.75" hidden="1" customHeight="1">
      <c r="A530" s="98" t="s">
        <v>2</v>
      </c>
      <c r="B530" s="191" t="s">
        <v>4078</v>
      </c>
      <c r="C530" s="191" t="s">
        <v>4512</v>
      </c>
      <c r="D530" s="191" t="s">
        <v>484</v>
      </c>
      <c r="E530" s="191">
        <v>4</v>
      </c>
      <c r="F530" s="191">
        <v>10</v>
      </c>
      <c r="G530" s="191">
        <v>0</v>
      </c>
      <c r="H530" s="191" t="s">
        <v>4513</v>
      </c>
      <c r="I530" s="191" t="s">
        <v>479</v>
      </c>
      <c r="J530" s="191">
        <v>0</v>
      </c>
      <c r="K530" s="159"/>
    </row>
    <row r="531" spans="1:11" ht="15.75" hidden="1" customHeight="1">
      <c r="A531" s="98" t="s">
        <v>2</v>
      </c>
      <c r="B531" s="191" t="s">
        <v>4078</v>
      </c>
      <c r="C531" s="191" t="s">
        <v>4514</v>
      </c>
      <c r="D531" s="191" t="s">
        <v>477</v>
      </c>
      <c r="E531" s="191">
        <v>20</v>
      </c>
      <c r="F531" s="191">
        <v>0</v>
      </c>
      <c r="G531" s="191">
        <v>0</v>
      </c>
      <c r="H531" s="191" t="s">
        <v>4515</v>
      </c>
      <c r="I531" s="191" t="s">
        <v>479</v>
      </c>
      <c r="J531" s="191">
        <v>0</v>
      </c>
      <c r="K531" s="159"/>
    </row>
    <row r="532" spans="1:11" ht="15.75" hidden="1" customHeight="1">
      <c r="A532" s="98" t="s">
        <v>2</v>
      </c>
      <c r="B532" s="191" t="s">
        <v>4078</v>
      </c>
      <c r="C532" s="191" t="s">
        <v>4516</v>
      </c>
      <c r="D532" s="191" t="s">
        <v>477</v>
      </c>
      <c r="E532" s="191">
        <v>20</v>
      </c>
      <c r="F532" s="191">
        <v>0</v>
      </c>
      <c r="G532" s="191">
        <v>0</v>
      </c>
      <c r="H532" s="191" t="s">
        <v>4517</v>
      </c>
      <c r="I532" s="191" t="s">
        <v>479</v>
      </c>
      <c r="J532" s="191">
        <v>0</v>
      </c>
      <c r="K532" s="159"/>
    </row>
    <row r="533" spans="1:11" ht="15.75" hidden="1" customHeight="1">
      <c r="A533" s="98" t="s">
        <v>2</v>
      </c>
      <c r="B533" s="191" t="s">
        <v>4078</v>
      </c>
      <c r="C533" s="191" t="s">
        <v>601</v>
      </c>
      <c r="D533" s="191" t="s">
        <v>538</v>
      </c>
      <c r="E533" s="191">
        <v>8</v>
      </c>
      <c r="F533" s="191">
        <v>23</v>
      </c>
      <c r="G533" s="191">
        <v>3</v>
      </c>
      <c r="H533" s="191" t="s">
        <v>4518</v>
      </c>
      <c r="I533" s="191" t="s">
        <v>479</v>
      </c>
      <c r="J533" s="191">
        <v>0</v>
      </c>
      <c r="K533" s="159"/>
    </row>
    <row r="534" spans="1:11" ht="15.75" hidden="1" customHeight="1">
      <c r="A534" s="98" t="s">
        <v>2</v>
      </c>
      <c r="B534" s="191" t="s">
        <v>4078</v>
      </c>
      <c r="C534" s="191" t="s">
        <v>656</v>
      </c>
      <c r="D534" s="191" t="s">
        <v>538</v>
      </c>
      <c r="E534" s="191">
        <v>8</v>
      </c>
      <c r="F534" s="191">
        <v>23</v>
      </c>
      <c r="G534" s="191">
        <v>3</v>
      </c>
      <c r="H534" s="191" t="s">
        <v>4519</v>
      </c>
      <c r="I534" s="191" t="s">
        <v>479</v>
      </c>
      <c r="J534" s="191">
        <v>0</v>
      </c>
      <c r="K534" s="159"/>
    </row>
    <row r="535" spans="1:11" ht="15.75" hidden="1" customHeight="1">
      <c r="A535" s="98" t="s">
        <v>2</v>
      </c>
      <c r="B535" s="191" t="s">
        <v>4078</v>
      </c>
      <c r="C535" s="191" t="s">
        <v>369</v>
      </c>
      <c r="D535" s="191" t="s">
        <v>477</v>
      </c>
      <c r="E535" s="191">
        <v>20</v>
      </c>
      <c r="F535" s="191">
        <v>0</v>
      </c>
      <c r="G535" s="191">
        <v>0</v>
      </c>
      <c r="H535" s="191" t="s">
        <v>1264</v>
      </c>
      <c r="I535" s="191" t="s">
        <v>479</v>
      </c>
      <c r="J535" s="191">
        <v>0</v>
      </c>
      <c r="K535" s="159"/>
    </row>
    <row r="536" spans="1:11" ht="15.75" hidden="1" customHeight="1">
      <c r="A536" s="98" t="s">
        <v>2</v>
      </c>
      <c r="B536" s="191" t="s">
        <v>4078</v>
      </c>
      <c r="C536" s="191" t="s">
        <v>2290</v>
      </c>
      <c r="D536" s="191" t="s">
        <v>477</v>
      </c>
      <c r="E536" s="191">
        <v>100</v>
      </c>
      <c r="F536" s="191">
        <v>0</v>
      </c>
      <c r="G536" s="191">
        <v>0</v>
      </c>
      <c r="H536" s="191" t="s">
        <v>2864</v>
      </c>
      <c r="I536" s="191" t="s">
        <v>479</v>
      </c>
      <c r="J536" s="191">
        <v>0</v>
      </c>
      <c r="K536" s="159"/>
    </row>
    <row r="537" spans="1:11" ht="15.75" hidden="1" customHeight="1">
      <c r="A537" s="98" t="s">
        <v>2</v>
      </c>
      <c r="B537" s="191" t="s">
        <v>4078</v>
      </c>
      <c r="C537" s="191" t="s">
        <v>793</v>
      </c>
      <c r="D537" s="191" t="s">
        <v>477</v>
      </c>
      <c r="E537" s="191">
        <v>20</v>
      </c>
      <c r="F537" s="191">
        <v>0</v>
      </c>
      <c r="G537" s="191">
        <v>0</v>
      </c>
      <c r="H537" s="191" t="s">
        <v>3437</v>
      </c>
      <c r="I537" s="191" t="s">
        <v>479</v>
      </c>
      <c r="J537" s="191">
        <v>0</v>
      </c>
      <c r="K537" s="159"/>
    </row>
    <row r="538" spans="1:11" ht="15.75" hidden="1" customHeight="1">
      <c r="A538" s="98" t="s">
        <v>2</v>
      </c>
      <c r="B538" s="191" t="s">
        <v>4078</v>
      </c>
      <c r="C538" s="191" t="s">
        <v>3438</v>
      </c>
      <c r="D538" s="191" t="s">
        <v>477</v>
      </c>
      <c r="E538" s="191">
        <v>100</v>
      </c>
      <c r="F538" s="191">
        <v>0</v>
      </c>
      <c r="G538" s="191">
        <v>0</v>
      </c>
      <c r="H538" s="191" t="s">
        <v>3439</v>
      </c>
      <c r="I538" s="191" t="s">
        <v>479</v>
      </c>
      <c r="J538" s="191">
        <v>0</v>
      </c>
      <c r="K538" s="159"/>
    </row>
    <row r="539" spans="1:11" ht="15.75" hidden="1" customHeight="1">
      <c r="A539" s="98" t="s">
        <v>2</v>
      </c>
      <c r="B539" s="191" t="s">
        <v>4078</v>
      </c>
      <c r="C539" s="191" t="s">
        <v>1217</v>
      </c>
      <c r="D539" s="191" t="s">
        <v>477</v>
      </c>
      <c r="E539" s="191">
        <v>20</v>
      </c>
      <c r="F539" s="191">
        <v>0</v>
      </c>
      <c r="G539" s="191">
        <v>0</v>
      </c>
      <c r="H539" s="191" t="s">
        <v>4520</v>
      </c>
      <c r="I539" s="191" t="s">
        <v>479</v>
      </c>
      <c r="J539" s="279">
        <v>1</v>
      </c>
      <c r="K539" s="159"/>
    </row>
    <row r="540" spans="1:11" ht="15.75" hidden="1" customHeight="1">
      <c r="A540" s="98" t="s">
        <v>2</v>
      </c>
      <c r="B540" s="191" t="s">
        <v>4078</v>
      </c>
      <c r="C540" s="191" t="s">
        <v>4521</v>
      </c>
      <c r="D540" s="191" t="s">
        <v>477</v>
      </c>
      <c r="E540" s="191">
        <v>100</v>
      </c>
      <c r="F540" s="191">
        <v>0</v>
      </c>
      <c r="G540" s="191">
        <v>0</v>
      </c>
      <c r="H540" s="191" t="s">
        <v>4522</v>
      </c>
      <c r="I540" s="191" t="s">
        <v>479</v>
      </c>
      <c r="J540" s="191">
        <v>0</v>
      </c>
      <c r="K540" s="159"/>
    </row>
    <row r="541" spans="1:11" ht="15.75" hidden="1" customHeight="1">
      <c r="A541" s="98" t="s">
        <v>2</v>
      </c>
      <c r="B541" s="191" t="s">
        <v>4078</v>
      </c>
      <c r="C541" s="191" t="s">
        <v>257</v>
      </c>
      <c r="D541" s="191" t="s">
        <v>477</v>
      </c>
      <c r="E541" s="191">
        <v>20</v>
      </c>
      <c r="F541" s="191">
        <v>0</v>
      </c>
      <c r="G541" s="191">
        <v>0</v>
      </c>
      <c r="H541" s="191" t="s">
        <v>1130</v>
      </c>
      <c r="I541" s="191" t="s">
        <v>479</v>
      </c>
      <c r="J541" s="191">
        <v>0</v>
      </c>
      <c r="K541" s="159"/>
    </row>
    <row r="542" spans="1:11" ht="15.75" hidden="1" customHeight="1">
      <c r="A542" s="98" t="s">
        <v>2</v>
      </c>
      <c r="B542" s="191" t="s">
        <v>4078</v>
      </c>
      <c r="C542" s="191" t="s">
        <v>4523</v>
      </c>
      <c r="D542" s="191" t="s">
        <v>477</v>
      </c>
      <c r="E542" s="191">
        <v>20</v>
      </c>
      <c r="F542" s="191">
        <v>0</v>
      </c>
      <c r="G542" s="191">
        <v>0</v>
      </c>
      <c r="H542" s="191" t="s">
        <v>3442</v>
      </c>
      <c r="I542" s="191" t="s">
        <v>479</v>
      </c>
      <c r="J542" s="191">
        <v>0</v>
      </c>
      <c r="K542" s="159"/>
    </row>
    <row r="543" spans="1:11" ht="15.75" hidden="1" customHeight="1">
      <c r="A543" s="98" t="s">
        <v>2</v>
      </c>
      <c r="B543" s="191" t="s">
        <v>4078</v>
      </c>
      <c r="C543" s="191" t="s">
        <v>1137</v>
      </c>
      <c r="D543" s="191" t="s">
        <v>481</v>
      </c>
      <c r="E543" s="191">
        <v>5</v>
      </c>
      <c r="F543" s="191">
        <v>9</v>
      </c>
      <c r="G543" s="191">
        <v>2</v>
      </c>
      <c r="H543" s="191" t="s">
        <v>4524</v>
      </c>
      <c r="I543" s="191" t="s">
        <v>479</v>
      </c>
      <c r="J543" s="191">
        <v>0</v>
      </c>
      <c r="K543" s="159"/>
    </row>
    <row r="544" spans="1:11" ht="15.75" hidden="1" customHeight="1">
      <c r="A544" s="98" t="s">
        <v>2</v>
      </c>
      <c r="B544" s="191" t="s">
        <v>4078</v>
      </c>
      <c r="C544" s="191" t="s">
        <v>4525</v>
      </c>
      <c r="D544" s="191" t="s">
        <v>481</v>
      </c>
      <c r="E544" s="191">
        <v>9</v>
      </c>
      <c r="F544" s="191">
        <v>11</v>
      </c>
      <c r="G544" s="191">
        <v>2</v>
      </c>
      <c r="H544" s="191" t="s">
        <v>4526</v>
      </c>
      <c r="I544" s="191" t="s">
        <v>479</v>
      </c>
      <c r="J544" s="191">
        <v>0</v>
      </c>
      <c r="K544" s="159"/>
    </row>
    <row r="545" spans="1:11" ht="15.75" hidden="1" customHeight="1">
      <c r="A545" s="98" t="s">
        <v>2</v>
      </c>
      <c r="B545" s="191" t="s">
        <v>4078</v>
      </c>
      <c r="C545" s="191" t="s">
        <v>4527</v>
      </c>
      <c r="D545" s="191" t="s">
        <v>477</v>
      </c>
      <c r="E545" s="191">
        <v>20</v>
      </c>
      <c r="F545" s="191">
        <v>0</v>
      </c>
      <c r="G545" s="191">
        <v>0</v>
      </c>
      <c r="H545" s="191" t="s">
        <v>4528</v>
      </c>
      <c r="I545" s="191" t="s">
        <v>479</v>
      </c>
      <c r="J545" s="191">
        <v>0</v>
      </c>
      <c r="K545" s="159"/>
    </row>
    <row r="546" spans="1:11" ht="15.75" hidden="1" customHeight="1">
      <c r="A546" s="98" t="s">
        <v>2</v>
      </c>
      <c r="B546" s="191" t="s">
        <v>4078</v>
      </c>
      <c r="C546" s="191" t="s">
        <v>3132</v>
      </c>
      <c r="D546" s="191" t="s">
        <v>484</v>
      </c>
      <c r="E546" s="191">
        <v>4</v>
      </c>
      <c r="F546" s="191">
        <v>10</v>
      </c>
      <c r="G546" s="191">
        <v>0</v>
      </c>
      <c r="H546" s="191" t="s">
        <v>4529</v>
      </c>
      <c r="I546" s="191" t="s">
        <v>479</v>
      </c>
      <c r="J546" s="191">
        <v>0</v>
      </c>
      <c r="K546" s="159"/>
    </row>
    <row r="547" spans="1:11" ht="15.75" hidden="1" customHeight="1">
      <c r="A547" s="98" t="s">
        <v>2</v>
      </c>
      <c r="B547" s="191" t="s">
        <v>4078</v>
      </c>
      <c r="C547" s="191" t="s">
        <v>2415</v>
      </c>
      <c r="D547" s="191" t="s">
        <v>484</v>
      </c>
      <c r="E547" s="191">
        <v>4</v>
      </c>
      <c r="F547" s="191">
        <v>10</v>
      </c>
      <c r="G547" s="191">
        <v>0</v>
      </c>
      <c r="H547" s="191" t="s">
        <v>2416</v>
      </c>
      <c r="I547" s="191" t="s">
        <v>479</v>
      </c>
      <c r="J547" s="191">
        <v>0</v>
      </c>
      <c r="K547" s="159"/>
    </row>
    <row r="548" spans="1:11" ht="15.75" hidden="1" customHeight="1">
      <c r="A548" s="98" t="s">
        <v>2</v>
      </c>
      <c r="B548" s="191" t="s">
        <v>4078</v>
      </c>
      <c r="C548" s="191" t="s">
        <v>4530</v>
      </c>
      <c r="D548" s="191" t="s">
        <v>484</v>
      </c>
      <c r="E548" s="191">
        <v>4</v>
      </c>
      <c r="F548" s="191">
        <v>10</v>
      </c>
      <c r="G548" s="191">
        <v>0</v>
      </c>
      <c r="H548" s="191" t="s">
        <v>4531</v>
      </c>
      <c r="I548" s="191" t="s">
        <v>479</v>
      </c>
      <c r="J548" s="191">
        <v>0</v>
      </c>
      <c r="K548" s="159"/>
    </row>
    <row r="549" spans="1:11" ht="15.75" hidden="1" customHeight="1">
      <c r="A549" s="98" t="s">
        <v>2</v>
      </c>
      <c r="B549" s="191" t="s">
        <v>4078</v>
      </c>
      <c r="C549" s="191" t="s">
        <v>1141</v>
      </c>
      <c r="D549" s="191" t="s">
        <v>477</v>
      </c>
      <c r="E549" s="191">
        <v>20</v>
      </c>
      <c r="F549" s="191">
        <v>0</v>
      </c>
      <c r="G549" s="191">
        <v>0</v>
      </c>
      <c r="H549" s="191" t="s">
        <v>4532</v>
      </c>
      <c r="I549" s="191" t="s">
        <v>479</v>
      </c>
      <c r="J549" s="191">
        <v>0</v>
      </c>
      <c r="K549" s="159"/>
    </row>
    <row r="550" spans="1:11" ht="15.75" hidden="1" customHeight="1">
      <c r="A550" s="98" t="s">
        <v>2</v>
      </c>
      <c r="B550" s="191" t="s">
        <v>4078</v>
      </c>
      <c r="C550" s="191" t="s">
        <v>1145</v>
      </c>
      <c r="D550" s="191" t="s">
        <v>484</v>
      </c>
      <c r="E550" s="191">
        <v>4</v>
      </c>
      <c r="F550" s="191">
        <v>10</v>
      </c>
      <c r="G550" s="191">
        <v>0</v>
      </c>
      <c r="H550" s="191" t="s">
        <v>4533</v>
      </c>
      <c r="I550" s="191" t="s">
        <v>479</v>
      </c>
      <c r="J550" s="191">
        <v>0</v>
      </c>
      <c r="K550" s="159"/>
    </row>
    <row r="551" spans="1:11" ht="15.75" hidden="1" customHeight="1">
      <c r="A551" s="98" t="s">
        <v>2</v>
      </c>
      <c r="B551" s="191" t="s">
        <v>4078</v>
      </c>
      <c r="C551" s="191" t="s">
        <v>4534</v>
      </c>
      <c r="D551" s="191" t="s">
        <v>481</v>
      </c>
      <c r="E551" s="191">
        <v>9</v>
      </c>
      <c r="F551" s="191">
        <v>11</v>
      </c>
      <c r="G551" s="191">
        <v>2</v>
      </c>
      <c r="H551" s="191" t="s">
        <v>4535</v>
      </c>
      <c r="I551" s="191" t="s">
        <v>479</v>
      </c>
      <c r="J551" s="191">
        <v>0</v>
      </c>
      <c r="K551" s="159"/>
    </row>
    <row r="552" spans="1:11" ht="15.75" hidden="1" customHeight="1">
      <c r="A552" s="98" t="s">
        <v>2</v>
      </c>
      <c r="B552" s="191" t="s">
        <v>4078</v>
      </c>
      <c r="C552" s="191" t="s">
        <v>4536</v>
      </c>
      <c r="D552" s="191" t="s">
        <v>481</v>
      </c>
      <c r="E552" s="191">
        <v>9</v>
      </c>
      <c r="F552" s="191">
        <v>11</v>
      </c>
      <c r="G552" s="191">
        <v>2</v>
      </c>
      <c r="H552" s="191" t="s">
        <v>4537</v>
      </c>
      <c r="I552" s="191" t="s">
        <v>479</v>
      </c>
      <c r="J552" s="191">
        <v>0</v>
      </c>
      <c r="K552" s="159"/>
    </row>
    <row r="553" spans="1:11" ht="15.75" hidden="1" customHeight="1">
      <c r="A553" s="98" t="s">
        <v>2</v>
      </c>
      <c r="B553" s="191" t="s">
        <v>4078</v>
      </c>
      <c r="C553" s="191" t="s">
        <v>4538</v>
      </c>
      <c r="D553" s="191" t="s">
        <v>481</v>
      </c>
      <c r="E553" s="191">
        <v>5</v>
      </c>
      <c r="F553" s="191">
        <v>9</v>
      </c>
      <c r="G553" s="191">
        <v>2</v>
      </c>
      <c r="H553" s="191" t="s">
        <v>4539</v>
      </c>
      <c r="I553" s="191" t="s">
        <v>479</v>
      </c>
      <c r="J553" s="191">
        <v>0</v>
      </c>
      <c r="K553" s="159"/>
    </row>
    <row r="554" spans="1:11" ht="15.75" hidden="1" customHeight="1">
      <c r="A554" s="98" t="s">
        <v>2</v>
      </c>
      <c r="B554" s="191" t="s">
        <v>4078</v>
      </c>
      <c r="C554" s="191" t="s">
        <v>1147</v>
      </c>
      <c r="D554" s="191" t="s">
        <v>481</v>
      </c>
      <c r="E554" s="191">
        <v>5</v>
      </c>
      <c r="F554" s="191">
        <v>9</v>
      </c>
      <c r="G554" s="191">
        <v>2</v>
      </c>
      <c r="H554" s="191" t="s">
        <v>4540</v>
      </c>
      <c r="I554" s="191" t="s">
        <v>479</v>
      </c>
      <c r="J554" s="191">
        <v>0</v>
      </c>
      <c r="K554" s="159"/>
    </row>
    <row r="555" spans="1:11" ht="15.75" hidden="1" customHeight="1">
      <c r="A555" s="98" t="s">
        <v>2</v>
      </c>
      <c r="B555" s="191" t="s">
        <v>4078</v>
      </c>
      <c r="C555" s="191" t="s">
        <v>4541</v>
      </c>
      <c r="D555" s="191" t="s">
        <v>481</v>
      </c>
      <c r="E555" s="191">
        <v>5</v>
      </c>
      <c r="F555" s="191">
        <v>9</v>
      </c>
      <c r="G555" s="191">
        <v>2</v>
      </c>
      <c r="H555" s="191" t="s">
        <v>4542</v>
      </c>
      <c r="I555" s="191" t="s">
        <v>479</v>
      </c>
      <c r="J555" s="191">
        <v>0</v>
      </c>
      <c r="K555" s="159"/>
    </row>
    <row r="556" spans="1:11" ht="15.75" hidden="1" customHeight="1">
      <c r="A556" s="98" t="s">
        <v>2</v>
      </c>
      <c r="B556" s="191" t="s">
        <v>4078</v>
      </c>
      <c r="C556" s="191" t="s">
        <v>215</v>
      </c>
      <c r="D556" s="191" t="s">
        <v>538</v>
      </c>
      <c r="E556" s="191">
        <v>8</v>
      </c>
      <c r="F556" s="191">
        <v>23</v>
      </c>
      <c r="G556" s="191">
        <v>3</v>
      </c>
      <c r="H556" s="191" t="s">
        <v>872</v>
      </c>
      <c r="I556" s="191" t="s">
        <v>479</v>
      </c>
      <c r="J556" s="191">
        <v>0</v>
      </c>
      <c r="K556" s="159"/>
    </row>
    <row r="557" spans="1:11" ht="15.75" hidden="1" customHeight="1">
      <c r="A557" s="98" t="s">
        <v>2</v>
      </c>
      <c r="B557" s="191" t="s">
        <v>4078</v>
      </c>
      <c r="C557" s="191" t="s">
        <v>670</v>
      </c>
      <c r="D557" s="191" t="s">
        <v>477</v>
      </c>
      <c r="E557" s="191">
        <v>20</v>
      </c>
      <c r="F557" s="191">
        <v>0</v>
      </c>
      <c r="G557" s="191">
        <v>0</v>
      </c>
      <c r="H557" s="191" t="s">
        <v>4214</v>
      </c>
      <c r="I557" s="191" t="s">
        <v>479</v>
      </c>
      <c r="J557" s="191">
        <v>0</v>
      </c>
      <c r="K557" s="159"/>
    </row>
    <row r="558" spans="1:11" ht="15.75" hidden="1" customHeight="1">
      <c r="A558" s="98" t="s">
        <v>2</v>
      </c>
      <c r="B558" s="191" t="s">
        <v>4078</v>
      </c>
      <c r="C558" s="191" t="s">
        <v>816</v>
      </c>
      <c r="D558" s="191" t="s">
        <v>477</v>
      </c>
      <c r="E558" s="191">
        <v>100</v>
      </c>
      <c r="F558" s="191">
        <v>0</v>
      </c>
      <c r="G558" s="191">
        <v>0</v>
      </c>
      <c r="H558" s="191" t="s">
        <v>871</v>
      </c>
      <c r="I558" s="191" t="s">
        <v>479</v>
      </c>
      <c r="J558" s="191">
        <v>0</v>
      </c>
      <c r="K558" s="159"/>
    </row>
    <row r="559" spans="1:11" ht="15.75" hidden="1" customHeight="1">
      <c r="A559" s="98" t="s">
        <v>2</v>
      </c>
      <c r="B559" s="191" t="s">
        <v>4078</v>
      </c>
      <c r="C559" s="191" t="s">
        <v>669</v>
      </c>
      <c r="D559" s="191" t="s">
        <v>538</v>
      </c>
      <c r="E559" s="191">
        <v>8</v>
      </c>
      <c r="F559" s="191">
        <v>23</v>
      </c>
      <c r="G559" s="191">
        <v>3</v>
      </c>
      <c r="H559" s="191" t="s">
        <v>735</v>
      </c>
      <c r="I559" s="191" t="s">
        <v>479</v>
      </c>
      <c r="J559" s="191">
        <v>0</v>
      </c>
      <c r="K559" s="159"/>
    </row>
    <row r="560" spans="1:11" ht="15.75" hidden="1" customHeight="1">
      <c r="A560" s="98" t="s">
        <v>2</v>
      </c>
      <c r="B560" s="191" t="s">
        <v>4078</v>
      </c>
      <c r="C560" s="191" t="s">
        <v>523</v>
      </c>
      <c r="D560" s="191" t="s">
        <v>477</v>
      </c>
      <c r="E560" s="191">
        <v>20</v>
      </c>
      <c r="F560" s="191">
        <v>0</v>
      </c>
      <c r="G560" s="191">
        <v>0</v>
      </c>
      <c r="H560" s="191" t="s">
        <v>1282</v>
      </c>
      <c r="I560" s="191" t="s">
        <v>479</v>
      </c>
      <c r="J560" s="191">
        <v>0</v>
      </c>
      <c r="K560" s="159"/>
    </row>
    <row r="561" spans="1:26" ht="15.75" hidden="1" customHeight="1">
      <c r="A561" s="98" t="s">
        <v>2</v>
      </c>
      <c r="B561" s="191" t="s">
        <v>4078</v>
      </c>
      <c r="C561" s="191" t="s">
        <v>814</v>
      </c>
      <c r="D561" s="191" t="s">
        <v>477</v>
      </c>
      <c r="E561" s="191">
        <v>100</v>
      </c>
      <c r="F561" s="191">
        <v>0</v>
      </c>
      <c r="G561" s="191">
        <v>0</v>
      </c>
      <c r="H561" s="191" t="s">
        <v>734</v>
      </c>
      <c r="I561" s="191" t="s">
        <v>479</v>
      </c>
      <c r="J561" s="191">
        <v>0</v>
      </c>
      <c r="K561" s="159"/>
    </row>
    <row r="562" spans="1:26" ht="15.75" hidden="1" customHeight="1">
      <c r="A562" s="98" t="s">
        <v>2</v>
      </c>
      <c r="B562" s="191" t="s">
        <v>4078</v>
      </c>
      <c r="C562" s="191" t="s">
        <v>3384</v>
      </c>
      <c r="D562" s="191" t="s">
        <v>484</v>
      </c>
      <c r="E562" s="191">
        <v>4</v>
      </c>
      <c r="F562" s="191">
        <v>10</v>
      </c>
      <c r="G562" s="191">
        <v>0</v>
      </c>
      <c r="H562" s="191" t="s">
        <v>479</v>
      </c>
      <c r="I562" s="191" t="s">
        <v>479</v>
      </c>
      <c r="J562" s="191">
        <v>0</v>
      </c>
      <c r="K562" s="159"/>
    </row>
    <row r="563" spans="1:26" ht="15.75" hidden="1" customHeight="1">
      <c r="A563" s="98" t="s">
        <v>2</v>
      </c>
      <c r="B563" s="191" t="s">
        <v>4030</v>
      </c>
      <c r="C563" s="191" t="s">
        <v>4031</v>
      </c>
      <c r="D563" s="191" t="s">
        <v>477</v>
      </c>
      <c r="E563" s="191">
        <v>3</v>
      </c>
      <c r="F563" s="191">
        <v>0</v>
      </c>
      <c r="G563" s="191">
        <v>0</v>
      </c>
      <c r="H563" s="191" t="s">
        <v>479</v>
      </c>
      <c r="I563" s="191" t="s">
        <v>479</v>
      </c>
      <c r="J563" s="191">
        <v>0</v>
      </c>
      <c r="K563" s="159"/>
    </row>
    <row r="564" spans="1:26" ht="15.75" hidden="1" customHeight="1">
      <c r="A564" s="98" t="s">
        <v>2</v>
      </c>
      <c r="B564" s="191" t="s">
        <v>4030</v>
      </c>
      <c r="C564" s="191" t="s">
        <v>4543</v>
      </c>
      <c r="D564" s="191" t="s">
        <v>477</v>
      </c>
      <c r="E564" s="191">
        <v>50</v>
      </c>
      <c r="F564" s="191">
        <v>0</v>
      </c>
      <c r="G564" s="191">
        <v>0</v>
      </c>
      <c r="H564" s="191" t="s">
        <v>4544</v>
      </c>
      <c r="I564" s="191" t="s">
        <v>548</v>
      </c>
      <c r="J564" s="191">
        <v>0</v>
      </c>
      <c r="K564" s="159"/>
    </row>
    <row r="565" spans="1:26" ht="15.75" hidden="1" customHeight="1">
      <c r="A565" s="98" t="s">
        <v>2</v>
      </c>
      <c r="B565" s="191" t="s">
        <v>4030</v>
      </c>
      <c r="C565" s="191" t="s">
        <v>4545</v>
      </c>
      <c r="D565" s="191" t="s">
        <v>477</v>
      </c>
      <c r="E565" s="191">
        <v>3</v>
      </c>
      <c r="F565" s="191">
        <v>0</v>
      </c>
      <c r="G565" s="191">
        <v>0</v>
      </c>
      <c r="H565" s="191" t="s">
        <v>4546</v>
      </c>
      <c r="I565" s="191" t="s">
        <v>2011</v>
      </c>
      <c r="J565" s="191">
        <v>0</v>
      </c>
      <c r="K565" s="159"/>
    </row>
    <row r="566" spans="1:26" ht="15.75" hidden="1" customHeight="1">
      <c r="A566" s="98" t="s">
        <v>2</v>
      </c>
      <c r="B566" s="191" t="s">
        <v>4030</v>
      </c>
      <c r="C566" s="191" t="s">
        <v>1729</v>
      </c>
      <c r="D566" s="191" t="s">
        <v>477</v>
      </c>
      <c r="E566" s="191">
        <v>100</v>
      </c>
      <c r="F566" s="191">
        <v>0</v>
      </c>
      <c r="G566" s="191">
        <v>0</v>
      </c>
      <c r="H566" s="191" t="s">
        <v>4547</v>
      </c>
      <c r="I566" s="191" t="s">
        <v>548</v>
      </c>
      <c r="J566" s="191">
        <v>0</v>
      </c>
      <c r="K566" s="159"/>
    </row>
    <row r="567" spans="1:26" ht="15.75" hidden="1" customHeight="1">
      <c r="A567" s="98" t="s">
        <v>2</v>
      </c>
      <c r="B567" s="191" t="s">
        <v>4030</v>
      </c>
      <c r="C567" s="191" t="s">
        <v>523</v>
      </c>
      <c r="D567" s="191" t="s">
        <v>477</v>
      </c>
      <c r="E567" s="191">
        <v>8</v>
      </c>
      <c r="F567" s="191">
        <v>0</v>
      </c>
      <c r="G567" s="191">
        <v>0</v>
      </c>
      <c r="H567" s="191" t="s">
        <v>4548</v>
      </c>
      <c r="I567" s="191" t="s">
        <v>548</v>
      </c>
      <c r="J567" s="191">
        <v>0</v>
      </c>
      <c r="K567" s="159"/>
    </row>
    <row r="568" spans="1:26" ht="15.75" hidden="1" customHeight="1">
      <c r="A568" s="98" t="s">
        <v>2</v>
      </c>
      <c r="B568" s="191" t="s">
        <v>4030</v>
      </c>
      <c r="C568" s="191" t="s">
        <v>669</v>
      </c>
      <c r="D568" s="191" t="s">
        <v>496</v>
      </c>
      <c r="E568" s="191">
        <v>4</v>
      </c>
      <c r="F568" s="191">
        <v>16</v>
      </c>
      <c r="G568" s="191">
        <v>0</v>
      </c>
      <c r="H568" s="191" t="s">
        <v>4549</v>
      </c>
      <c r="I568" s="191" t="s">
        <v>479</v>
      </c>
      <c r="J568" s="191">
        <v>0</v>
      </c>
      <c r="K568" s="159"/>
    </row>
    <row r="569" spans="1:26" ht="15.75" hidden="1" customHeight="1">
      <c r="A569" s="98" t="s">
        <v>2</v>
      </c>
      <c r="B569" s="191" t="s">
        <v>4030</v>
      </c>
      <c r="C569" s="191" t="s">
        <v>670</v>
      </c>
      <c r="D569" s="191" t="s">
        <v>477</v>
      </c>
      <c r="E569" s="191">
        <v>8</v>
      </c>
      <c r="F569" s="191">
        <v>0</v>
      </c>
      <c r="G569" s="191">
        <v>0</v>
      </c>
      <c r="H569" s="191" t="s">
        <v>4550</v>
      </c>
      <c r="I569" s="191" t="s">
        <v>548</v>
      </c>
      <c r="J569" s="191">
        <v>1</v>
      </c>
      <c r="K569" s="159"/>
    </row>
    <row r="570" spans="1:26" ht="15.75" hidden="1" customHeight="1">
      <c r="A570" s="98" t="s">
        <v>2</v>
      </c>
      <c r="B570" s="191" t="s">
        <v>4030</v>
      </c>
      <c r="C570" s="191" t="s">
        <v>215</v>
      </c>
      <c r="D570" s="191" t="s">
        <v>496</v>
      </c>
      <c r="E570" s="191">
        <v>4</v>
      </c>
      <c r="F570" s="191">
        <v>16</v>
      </c>
      <c r="G570" s="191">
        <v>0</v>
      </c>
      <c r="H570" s="191" t="s">
        <v>4551</v>
      </c>
      <c r="I570" s="191" t="s">
        <v>548</v>
      </c>
      <c r="J570" s="191">
        <v>1</v>
      </c>
      <c r="K570" s="159"/>
    </row>
    <row r="571" spans="1:26" ht="15.75" hidden="1" customHeight="1">
      <c r="A571" s="161" t="s">
        <v>2</v>
      </c>
      <c r="B571" s="161" t="s">
        <v>4552</v>
      </c>
      <c r="C571" s="161" t="s">
        <v>2317</v>
      </c>
      <c r="D571" s="161" t="s">
        <v>477</v>
      </c>
      <c r="E571" s="162">
        <v>5</v>
      </c>
      <c r="F571" s="162">
        <v>0</v>
      </c>
      <c r="G571" s="162">
        <v>0</v>
      </c>
      <c r="H571" s="161"/>
      <c r="I571" s="161"/>
      <c r="J571" s="162">
        <v>0</v>
      </c>
      <c r="K571" s="164" t="s">
        <v>2318</v>
      </c>
      <c r="L571" s="165"/>
      <c r="M571" s="165"/>
      <c r="N571" s="165"/>
      <c r="O571" s="165"/>
      <c r="P571" s="165"/>
      <c r="Q571" s="165"/>
      <c r="R571" s="165"/>
      <c r="S571" s="165"/>
      <c r="T571" s="165"/>
      <c r="U571" s="165"/>
      <c r="V571" s="165"/>
      <c r="W571" s="165"/>
      <c r="X571" s="165"/>
      <c r="Y571" s="165"/>
      <c r="Z571" s="165"/>
    </row>
    <row r="572" spans="1:26" ht="15.75" hidden="1" customHeight="1">
      <c r="A572" s="133" t="s">
        <v>2</v>
      </c>
      <c r="B572" s="133" t="s">
        <v>4552</v>
      </c>
      <c r="C572" s="133" t="s">
        <v>4092</v>
      </c>
      <c r="D572" s="133" t="s">
        <v>477</v>
      </c>
      <c r="E572" s="158">
        <v>20</v>
      </c>
      <c r="F572" s="158">
        <v>0</v>
      </c>
      <c r="G572" s="158">
        <v>0</v>
      </c>
      <c r="H572" s="133" t="s">
        <v>479</v>
      </c>
      <c r="I572" s="133" t="s">
        <v>479</v>
      </c>
      <c r="J572" s="158">
        <v>0</v>
      </c>
      <c r="K572" s="159"/>
    </row>
    <row r="573" spans="1:26" ht="15.75" hidden="1" customHeight="1">
      <c r="A573" s="133" t="s">
        <v>2</v>
      </c>
      <c r="B573" s="133" t="s">
        <v>4552</v>
      </c>
      <c r="C573" s="133" t="s">
        <v>292</v>
      </c>
      <c r="D573" s="133" t="s">
        <v>484</v>
      </c>
      <c r="E573" s="158">
        <v>4</v>
      </c>
      <c r="F573" s="158">
        <v>10</v>
      </c>
      <c r="G573" s="158">
        <v>0</v>
      </c>
      <c r="H573" s="133" t="s">
        <v>479</v>
      </c>
      <c r="I573" s="133" t="s">
        <v>479</v>
      </c>
      <c r="J573" s="158">
        <v>0</v>
      </c>
      <c r="K573" s="159"/>
    </row>
    <row r="574" spans="1:26" ht="15.75" hidden="1" customHeight="1">
      <c r="A574" s="133" t="s">
        <v>2</v>
      </c>
      <c r="B574" s="133" t="s">
        <v>4552</v>
      </c>
      <c r="C574" s="133" t="s">
        <v>257</v>
      </c>
      <c r="D574" s="133" t="s">
        <v>477</v>
      </c>
      <c r="E574" s="158">
        <v>20</v>
      </c>
      <c r="F574" s="158">
        <v>0</v>
      </c>
      <c r="G574" s="158">
        <v>0</v>
      </c>
      <c r="H574" s="133" t="s">
        <v>479</v>
      </c>
      <c r="I574" s="133" t="s">
        <v>479</v>
      </c>
      <c r="J574" s="158">
        <v>0</v>
      </c>
      <c r="K574" s="159"/>
    </row>
    <row r="575" spans="1:26" ht="15.75" hidden="1" customHeight="1">
      <c r="A575" s="133" t="s">
        <v>2</v>
      </c>
      <c r="B575" s="133" t="s">
        <v>4552</v>
      </c>
      <c r="C575" s="133" t="s">
        <v>3441</v>
      </c>
      <c r="D575" s="133" t="s">
        <v>477</v>
      </c>
      <c r="E575" s="158">
        <v>100</v>
      </c>
      <c r="F575" s="158">
        <v>0</v>
      </c>
      <c r="G575" s="158">
        <v>0</v>
      </c>
      <c r="H575" s="133" t="s">
        <v>479</v>
      </c>
      <c r="I575" s="133" t="s">
        <v>479</v>
      </c>
      <c r="J575" s="158">
        <v>0</v>
      </c>
      <c r="K575" s="159"/>
    </row>
    <row r="576" spans="1:26" ht="15.75" hidden="1" customHeight="1">
      <c r="A576" s="133" t="s">
        <v>2</v>
      </c>
      <c r="B576" s="133" t="s">
        <v>4552</v>
      </c>
      <c r="C576" s="133" t="s">
        <v>2415</v>
      </c>
      <c r="D576" s="133" t="s">
        <v>484</v>
      </c>
      <c r="E576" s="158">
        <v>4</v>
      </c>
      <c r="F576" s="158">
        <v>10</v>
      </c>
      <c r="G576" s="158">
        <v>0</v>
      </c>
      <c r="H576" s="133" t="s">
        <v>479</v>
      </c>
      <c r="I576" s="133" t="s">
        <v>479</v>
      </c>
      <c r="J576" s="158">
        <v>0</v>
      </c>
      <c r="K576" s="159"/>
    </row>
    <row r="577" spans="1:11" ht="15.75" hidden="1" customHeight="1">
      <c r="A577" s="133" t="s">
        <v>2</v>
      </c>
      <c r="B577" s="133" t="s">
        <v>4552</v>
      </c>
      <c r="C577" s="133" t="s">
        <v>2421</v>
      </c>
      <c r="D577" s="133" t="s">
        <v>477</v>
      </c>
      <c r="E577" s="158">
        <v>20</v>
      </c>
      <c r="F577" s="158">
        <v>0</v>
      </c>
      <c r="G577" s="158">
        <v>0</v>
      </c>
      <c r="H577" s="133" t="s">
        <v>479</v>
      </c>
      <c r="I577" s="133" t="s">
        <v>479</v>
      </c>
      <c r="J577" s="158">
        <v>0</v>
      </c>
      <c r="K577" s="159"/>
    </row>
    <row r="578" spans="1:11" ht="15.75" hidden="1" customHeight="1">
      <c r="A578" s="133" t="s">
        <v>2</v>
      </c>
      <c r="B578" s="133" t="s">
        <v>4552</v>
      </c>
      <c r="C578" s="133" t="s">
        <v>4553</v>
      </c>
      <c r="D578" s="133" t="s">
        <v>481</v>
      </c>
      <c r="E578" s="158">
        <v>5</v>
      </c>
      <c r="F578" s="158">
        <v>9</v>
      </c>
      <c r="G578" s="158">
        <v>2</v>
      </c>
      <c r="H578" s="133" t="s">
        <v>479</v>
      </c>
      <c r="I578" s="133" t="s">
        <v>479</v>
      </c>
      <c r="J578" s="158">
        <v>0</v>
      </c>
      <c r="K578" s="159"/>
    </row>
    <row r="579" spans="1:11" ht="15.75" hidden="1" customHeight="1">
      <c r="A579" s="133" t="s">
        <v>2</v>
      </c>
      <c r="B579" s="133" t="s">
        <v>4552</v>
      </c>
      <c r="C579" s="133" t="s">
        <v>4554</v>
      </c>
      <c r="D579" s="133" t="s">
        <v>481</v>
      </c>
      <c r="E579" s="158">
        <v>5</v>
      </c>
      <c r="F579" s="158">
        <v>9</v>
      </c>
      <c r="G579" s="158">
        <v>2</v>
      </c>
      <c r="H579" s="133" t="s">
        <v>479</v>
      </c>
      <c r="I579" s="133" t="s">
        <v>479</v>
      </c>
      <c r="J579" s="158">
        <v>0</v>
      </c>
      <c r="K579" s="159"/>
    </row>
    <row r="580" spans="1:11" ht="15.75" hidden="1" customHeight="1">
      <c r="A580" s="133" t="s">
        <v>2</v>
      </c>
      <c r="B580" s="133" t="s">
        <v>4552</v>
      </c>
      <c r="C580" s="133" t="s">
        <v>4555</v>
      </c>
      <c r="D580" s="133" t="s">
        <v>477</v>
      </c>
      <c r="E580" s="158">
        <v>20</v>
      </c>
      <c r="F580" s="158">
        <v>0</v>
      </c>
      <c r="G580" s="158">
        <v>0</v>
      </c>
      <c r="H580" s="133" t="s">
        <v>479</v>
      </c>
      <c r="I580" s="133" t="s">
        <v>479</v>
      </c>
      <c r="J580" s="158">
        <v>0</v>
      </c>
      <c r="K580" s="159"/>
    </row>
    <row r="581" spans="1:11" ht="15.75" hidden="1" customHeight="1">
      <c r="A581" s="133" t="s">
        <v>2</v>
      </c>
      <c r="B581" s="133" t="s">
        <v>4552</v>
      </c>
      <c r="C581" s="133" t="s">
        <v>2336</v>
      </c>
      <c r="D581" s="133" t="s">
        <v>477</v>
      </c>
      <c r="E581" s="158">
        <v>20</v>
      </c>
      <c r="F581" s="158">
        <v>0</v>
      </c>
      <c r="G581" s="158">
        <v>0</v>
      </c>
      <c r="H581" s="133" t="s">
        <v>479</v>
      </c>
      <c r="I581" s="133" t="s">
        <v>479</v>
      </c>
      <c r="J581" s="158">
        <v>0</v>
      </c>
      <c r="K581" s="159"/>
    </row>
    <row r="582" spans="1:11" ht="15.75" hidden="1" customHeight="1">
      <c r="A582" s="133" t="s">
        <v>2</v>
      </c>
      <c r="B582" s="133" t="s">
        <v>4552</v>
      </c>
      <c r="C582" s="133" t="s">
        <v>1206</v>
      </c>
      <c r="D582" s="133" t="s">
        <v>477</v>
      </c>
      <c r="E582" s="158">
        <v>20</v>
      </c>
      <c r="F582" s="158">
        <v>0</v>
      </c>
      <c r="G582" s="158">
        <v>0</v>
      </c>
      <c r="H582" s="133" t="s">
        <v>479</v>
      </c>
      <c r="I582" s="133" t="s">
        <v>479</v>
      </c>
      <c r="J582" s="158">
        <v>0</v>
      </c>
      <c r="K582" s="159"/>
    </row>
    <row r="583" spans="1:11" ht="15.75" hidden="1" customHeight="1">
      <c r="A583" s="133" t="s">
        <v>2</v>
      </c>
      <c r="B583" s="133" t="s">
        <v>4552</v>
      </c>
      <c r="C583" s="133" t="s">
        <v>3400</v>
      </c>
      <c r="D583" s="133" t="s">
        <v>477</v>
      </c>
      <c r="E583" s="158">
        <v>20</v>
      </c>
      <c r="F583" s="158">
        <v>0</v>
      </c>
      <c r="G583" s="158">
        <v>0</v>
      </c>
      <c r="H583" s="133" t="s">
        <v>479</v>
      </c>
      <c r="I583" s="133" t="s">
        <v>479</v>
      </c>
      <c r="J583" s="158">
        <v>0</v>
      </c>
      <c r="K583" s="159"/>
    </row>
    <row r="584" spans="1:11" ht="15.75" hidden="1" customHeight="1">
      <c r="A584" s="133" t="s">
        <v>2</v>
      </c>
      <c r="B584" s="133" t="s">
        <v>4552</v>
      </c>
      <c r="C584" s="133" t="s">
        <v>1194</v>
      </c>
      <c r="D584" s="133" t="s">
        <v>481</v>
      </c>
      <c r="E584" s="158">
        <v>5</v>
      </c>
      <c r="F584" s="158">
        <v>9</v>
      </c>
      <c r="G584" s="158">
        <v>2</v>
      </c>
      <c r="H584" s="133" t="s">
        <v>479</v>
      </c>
      <c r="I584" s="133" t="s">
        <v>479</v>
      </c>
      <c r="J584" s="158">
        <v>0</v>
      </c>
      <c r="K584" s="159"/>
    </row>
    <row r="585" spans="1:11" ht="15.75" hidden="1" customHeight="1">
      <c r="A585" s="133" t="s">
        <v>2</v>
      </c>
      <c r="B585" s="133" t="s">
        <v>4552</v>
      </c>
      <c r="C585" s="133" t="s">
        <v>2452</v>
      </c>
      <c r="D585" s="133" t="s">
        <v>481</v>
      </c>
      <c r="E585" s="158">
        <v>5</v>
      </c>
      <c r="F585" s="158">
        <v>9</v>
      </c>
      <c r="G585" s="158">
        <v>2</v>
      </c>
      <c r="H585" s="133" t="s">
        <v>479</v>
      </c>
      <c r="I585" s="133" t="s">
        <v>479</v>
      </c>
      <c r="J585" s="158">
        <v>0</v>
      </c>
      <c r="K585" s="159"/>
    </row>
    <row r="586" spans="1:11" ht="15.75" hidden="1" customHeight="1">
      <c r="A586" s="133" t="s">
        <v>2</v>
      </c>
      <c r="B586" s="133" t="s">
        <v>4552</v>
      </c>
      <c r="C586" s="133" t="s">
        <v>4556</v>
      </c>
      <c r="D586" s="133" t="s">
        <v>481</v>
      </c>
      <c r="E586" s="158">
        <v>5</v>
      </c>
      <c r="F586" s="158">
        <v>9</v>
      </c>
      <c r="G586" s="158">
        <v>2</v>
      </c>
      <c r="H586" s="133" t="s">
        <v>479</v>
      </c>
      <c r="I586" s="133" t="s">
        <v>479</v>
      </c>
      <c r="J586" s="158">
        <v>0</v>
      </c>
      <c r="K586" s="159"/>
    </row>
    <row r="587" spans="1:11" ht="15.75" hidden="1" customHeight="1">
      <c r="A587" s="133" t="s">
        <v>2</v>
      </c>
      <c r="B587" s="133" t="s">
        <v>4552</v>
      </c>
      <c r="C587" s="133" t="s">
        <v>4557</v>
      </c>
      <c r="D587" s="133" t="s">
        <v>481</v>
      </c>
      <c r="E587" s="158">
        <v>5</v>
      </c>
      <c r="F587" s="158">
        <v>9</v>
      </c>
      <c r="G587" s="158">
        <v>2</v>
      </c>
      <c r="H587" s="133" t="s">
        <v>479</v>
      </c>
      <c r="I587" s="133" t="s">
        <v>479</v>
      </c>
      <c r="J587" s="158">
        <v>0</v>
      </c>
      <c r="K587" s="159"/>
    </row>
    <row r="588" spans="1:11" ht="15.75" hidden="1" customHeight="1">
      <c r="A588" s="133" t="s">
        <v>2</v>
      </c>
      <c r="B588" s="133" t="s">
        <v>4552</v>
      </c>
      <c r="C588" s="133" t="s">
        <v>4558</v>
      </c>
      <c r="D588" s="133" t="s">
        <v>477</v>
      </c>
      <c r="E588" s="158">
        <v>20</v>
      </c>
      <c r="F588" s="158">
        <v>0</v>
      </c>
      <c r="G588" s="158">
        <v>0</v>
      </c>
      <c r="H588" s="133" t="s">
        <v>479</v>
      </c>
      <c r="I588" s="133" t="s">
        <v>479</v>
      </c>
      <c r="J588" s="158">
        <v>0</v>
      </c>
      <c r="K588" s="159"/>
    </row>
    <row r="589" spans="1:11" ht="15.75" hidden="1" customHeight="1">
      <c r="A589" s="133" t="s">
        <v>2</v>
      </c>
      <c r="B589" s="133" t="s">
        <v>4552</v>
      </c>
      <c r="C589" s="133" t="s">
        <v>2446</v>
      </c>
      <c r="D589" s="133" t="s">
        <v>481</v>
      </c>
      <c r="E589" s="158">
        <v>5</v>
      </c>
      <c r="F589" s="158">
        <v>9</v>
      </c>
      <c r="G589" s="158">
        <v>2</v>
      </c>
      <c r="H589" s="133" t="s">
        <v>479</v>
      </c>
      <c r="I589" s="133" t="s">
        <v>479</v>
      </c>
      <c r="J589" s="158">
        <v>0</v>
      </c>
      <c r="K589" s="159"/>
    </row>
    <row r="590" spans="1:11" ht="15.75" hidden="1" customHeight="1">
      <c r="A590" s="133" t="s">
        <v>2</v>
      </c>
      <c r="B590" s="133" t="s">
        <v>4552</v>
      </c>
      <c r="C590" s="133" t="s">
        <v>2639</v>
      </c>
      <c r="D590" s="133" t="s">
        <v>481</v>
      </c>
      <c r="E590" s="158">
        <v>5</v>
      </c>
      <c r="F590" s="158">
        <v>9</v>
      </c>
      <c r="G590" s="158">
        <v>2</v>
      </c>
      <c r="H590" s="133" t="s">
        <v>479</v>
      </c>
      <c r="I590" s="133" t="s">
        <v>479</v>
      </c>
      <c r="J590" s="158">
        <v>0</v>
      </c>
      <c r="K590" s="159"/>
    </row>
    <row r="591" spans="1:11" ht="15.75" hidden="1" customHeight="1">
      <c r="A591" s="133" t="s">
        <v>2</v>
      </c>
      <c r="B591" s="133" t="s">
        <v>4552</v>
      </c>
      <c r="C591" s="133" t="s">
        <v>4559</v>
      </c>
      <c r="D591" s="133" t="s">
        <v>481</v>
      </c>
      <c r="E591" s="158">
        <v>5</v>
      </c>
      <c r="F591" s="158">
        <v>9</v>
      </c>
      <c r="G591" s="158">
        <v>2</v>
      </c>
      <c r="H591" s="133" t="s">
        <v>479</v>
      </c>
      <c r="I591" s="133" t="s">
        <v>479</v>
      </c>
      <c r="J591" s="158">
        <v>0</v>
      </c>
      <c r="K591" s="159"/>
    </row>
    <row r="592" spans="1:11" ht="15.75" hidden="1" customHeight="1">
      <c r="A592" s="133" t="s">
        <v>2</v>
      </c>
      <c r="B592" s="133" t="s">
        <v>4552</v>
      </c>
      <c r="C592" s="133" t="s">
        <v>2641</v>
      </c>
      <c r="D592" s="133" t="s">
        <v>481</v>
      </c>
      <c r="E592" s="158">
        <v>5</v>
      </c>
      <c r="F592" s="158">
        <v>9</v>
      </c>
      <c r="G592" s="158">
        <v>2</v>
      </c>
      <c r="H592" s="133" t="s">
        <v>479</v>
      </c>
      <c r="I592" s="133" t="s">
        <v>479</v>
      </c>
      <c r="J592" s="158">
        <v>0</v>
      </c>
      <c r="K592" s="159"/>
    </row>
    <row r="593" spans="1:26" ht="15.75" hidden="1" customHeight="1">
      <c r="A593" s="133" t="s">
        <v>2</v>
      </c>
      <c r="B593" s="133" t="s">
        <v>4552</v>
      </c>
      <c r="C593" s="133" t="s">
        <v>4560</v>
      </c>
      <c r="D593" s="133" t="s">
        <v>481</v>
      </c>
      <c r="E593" s="158">
        <v>5</v>
      </c>
      <c r="F593" s="158">
        <v>9</v>
      </c>
      <c r="G593" s="158">
        <v>2</v>
      </c>
      <c r="H593" s="133" t="s">
        <v>479</v>
      </c>
      <c r="I593" s="133" t="s">
        <v>479</v>
      </c>
      <c r="J593" s="158">
        <v>0</v>
      </c>
      <c r="K593" s="159"/>
    </row>
    <row r="594" spans="1:26" ht="15.75" hidden="1" customHeight="1">
      <c r="A594" s="133" t="s">
        <v>2</v>
      </c>
      <c r="B594" s="133" t="s">
        <v>4552</v>
      </c>
      <c r="C594" s="133" t="s">
        <v>2645</v>
      </c>
      <c r="D594" s="133" t="s">
        <v>481</v>
      </c>
      <c r="E594" s="158">
        <v>5</v>
      </c>
      <c r="F594" s="158">
        <v>9</v>
      </c>
      <c r="G594" s="158">
        <v>2</v>
      </c>
      <c r="H594" s="133" t="s">
        <v>479</v>
      </c>
      <c r="I594" s="133" t="s">
        <v>479</v>
      </c>
      <c r="J594" s="158">
        <v>0</v>
      </c>
      <c r="K594" s="159"/>
    </row>
    <row r="595" spans="1:26" ht="15.75" hidden="1" customHeight="1">
      <c r="A595" s="133" t="s">
        <v>2</v>
      </c>
      <c r="B595" s="133" t="s">
        <v>4552</v>
      </c>
      <c r="C595" s="133" t="s">
        <v>4561</v>
      </c>
      <c r="D595" s="133" t="s">
        <v>481</v>
      </c>
      <c r="E595" s="158">
        <v>5</v>
      </c>
      <c r="F595" s="158">
        <v>9</v>
      </c>
      <c r="G595" s="158">
        <v>2</v>
      </c>
      <c r="H595" s="133" t="s">
        <v>479</v>
      </c>
      <c r="I595" s="133" t="s">
        <v>479</v>
      </c>
      <c r="J595" s="158">
        <v>0</v>
      </c>
      <c r="K595" s="159"/>
    </row>
    <row r="596" spans="1:26" ht="15.75" hidden="1" customHeight="1">
      <c r="A596" s="133" t="s">
        <v>2</v>
      </c>
      <c r="B596" s="133" t="s">
        <v>4552</v>
      </c>
      <c r="C596" s="133" t="s">
        <v>4562</v>
      </c>
      <c r="D596" s="133" t="s">
        <v>481</v>
      </c>
      <c r="E596" s="158">
        <v>5</v>
      </c>
      <c r="F596" s="158">
        <v>9</v>
      </c>
      <c r="G596" s="158">
        <v>2</v>
      </c>
      <c r="H596" s="133" t="s">
        <v>479</v>
      </c>
      <c r="I596" s="133" t="s">
        <v>479</v>
      </c>
      <c r="J596" s="158">
        <v>0</v>
      </c>
      <c r="K596" s="159"/>
    </row>
    <row r="597" spans="1:26" ht="15.75" hidden="1" customHeight="1">
      <c r="A597" s="133" t="s">
        <v>2</v>
      </c>
      <c r="B597" s="133" t="s">
        <v>4552</v>
      </c>
      <c r="C597" s="133" t="s">
        <v>4563</v>
      </c>
      <c r="D597" s="133" t="s">
        <v>481</v>
      </c>
      <c r="E597" s="158">
        <v>5</v>
      </c>
      <c r="F597" s="158">
        <v>9</v>
      </c>
      <c r="G597" s="158">
        <v>2</v>
      </c>
      <c r="H597" s="133" t="s">
        <v>479</v>
      </c>
      <c r="I597" s="133" t="s">
        <v>479</v>
      </c>
      <c r="J597" s="158">
        <v>0</v>
      </c>
      <c r="K597" s="159"/>
    </row>
    <row r="598" spans="1:26" ht="15.75" hidden="1" customHeight="1">
      <c r="A598" s="133" t="s">
        <v>2</v>
      </c>
      <c r="B598" s="133" t="s">
        <v>4552</v>
      </c>
      <c r="C598" s="133" t="s">
        <v>4564</v>
      </c>
      <c r="D598" s="133" t="s">
        <v>481</v>
      </c>
      <c r="E598" s="158">
        <v>5</v>
      </c>
      <c r="F598" s="158">
        <v>9</v>
      </c>
      <c r="G598" s="158">
        <v>2</v>
      </c>
      <c r="H598" s="133" t="s">
        <v>479</v>
      </c>
      <c r="I598" s="133" t="s">
        <v>479</v>
      </c>
      <c r="J598" s="158">
        <v>0</v>
      </c>
      <c r="K598" s="159"/>
    </row>
    <row r="599" spans="1:26" ht="15.75" hidden="1" customHeight="1">
      <c r="A599" s="133" t="s">
        <v>2</v>
      </c>
      <c r="B599" s="133" t="s">
        <v>4552</v>
      </c>
      <c r="C599" s="133" t="s">
        <v>663</v>
      </c>
      <c r="D599" s="133" t="s">
        <v>481</v>
      </c>
      <c r="E599" s="158">
        <v>5</v>
      </c>
      <c r="F599" s="158">
        <v>9</v>
      </c>
      <c r="G599" s="158">
        <v>2</v>
      </c>
      <c r="H599" s="133" t="s">
        <v>479</v>
      </c>
      <c r="I599" s="133" t="s">
        <v>479</v>
      </c>
      <c r="J599" s="158">
        <v>0</v>
      </c>
      <c r="K599" s="159"/>
    </row>
    <row r="600" spans="1:26" ht="15.75" hidden="1" customHeight="1">
      <c r="A600" s="133" t="s">
        <v>2</v>
      </c>
      <c r="B600" s="133" t="s">
        <v>4552</v>
      </c>
      <c r="C600" s="133" t="s">
        <v>4565</v>
      </c>
      <c r="D600" s="133" t="s">
        <v>481</v>
      </c>
      <c r="E600" s="158">
        <v>9</v>
      </c>
      <c r="F600" s="158">
        <v>11</v>
      </c>
      <c r="G600" s="158">
        <v>2</v>
      </c>
      <c r="H600" s="133" t="s">
        <v>479</v>
      </c>
      <c r="I600" s="133" t="s">
        <v>479</v>
      </c>
      <c r="J600" s="158">
        <v>0</v>
      </c>
      <c r="K600" s="159"/>
    </row>
    <row r="601" spans="1:26" ht="15.75" hidden="1" customHeight="1">
      <c r="A601" s="133" t="s">
        <v>2</v>
      </c>
      <c r="B601" s="133" t="s">
        <v>4552</v>
      </c>
      <c r="C601" s="133" t="s">
        <v>1141</v>
      </c>
      <c r="D601" s="133" t="s">
        <v>477</v>
      </c>
      <c r="E601" s="158">
        <v>20</v>
      </c>
      <c r="F601" s="158">
        <v>0</v>
      </c>
      <c r="G601" s="158">
        <v>0</v>
      </c>
      <c r="H601" s="133" t="s">
        <v>479</v>
      </c>
      <c r="I601" s="133" t="s">
        <v>479</v>
      </c>
      <c r="J601" s="158">
        <v>0</v>
      </c>
      <c r="K601" s="159"/>
    </row>
    <row r="602" spans="1:26" ht="15.75" hidden="1" customHeight="1">
      <c r="A602" s="133" t="s">
        <v>2</v>
      </c>
      <c r="B602" s="133" t="s">
        <v>4552</v>
      </c>
      <c r="C602" s="133" t="s">
        <v>4566</v>
      </c>
      <c r="D602" s="133" t="s">
        <v>481</v>
      </c>
      <c r="E602" s="158">
        <v>5</v>
      </c>
      <c r="F602" s="158">
        <v>9</v>
      </c>
      <c r="G602" s="158">
        <v>2</v>
      </c>
      <c r="H602" s="133" t="s">
        <v>479</v>
      </c>
      <c r="I602" s="133" t="s">
        <v>479</v>
      </c>
      <c r="J602" s="158">
        <v>0</v>
      </c>
      <c r="K602" s="159"/>
    </row>
    <row r="603" spans="1:26" ht="15.75" hidden="1" customHeight="1">
      <c r="A603" s="133" t="s">
        <v>2</v>
      </c>
      <c r="B603" s="133" t="s">
        <v>4552</v>
      </c>
      <c r="C603" s="133" t="s">
        <v>1145</v>
      </c>
      <c r="D603" s="133" t="s">
        <v>484</v>
      </c>
      <c r="E603" s="158">
        <v>4</v>
      </c>
      <c r="F603" s="158">
        <v>10</v>
      </c>
      <c r="G603" s="158">
        <v>0</v>
      </c>
      <c r="H603" s="133" t="s">
        <v>479</v>
      </c>
      <c r="I603" s="133" t="s">
        <v>479</v>
      </c>
      <c r="J603" s="158">
        <v>0</v>
      </c>
      <c r="K603" s="159"/>
    </row>
    <row r="604" spans="1:26" ht="15.75" hidden="1" customHeight="1">
      <c r="A604" s="133" t="s">
        <v>2</v>
      </c>
      <c r="B604" s="133" t="s">
        <v>4552</v>
      </c>
      <c r="C604" s="133" t="s">
        <v>3384</v>
      </c>
      <c r="D604" s="133" t="s">
        <v>484</v>
      </c>
      <c r="E604" s="158">
        <v>4</v>
      </c>
      <c r="F604" s="158">
        <v>10</v>
      </c>
      <c r="G604" s="158">
        <v>0</v>
      </c>
      <c r="H604" s="133" t="s">
        <v>479</v>
      </c>
      <c r="I604" s="133" t="s">
        <v>479</v>
      </c>
      <c r="J604" s="158">
        <v>0</v>
      </c>
      <c r="K604" s="159"/>
    </row>
    <row r="605" spans="1:26" ht="15.75" hidden="1" customHeight="1">
      <c r="A605" s="133" t="s">
        <v>2</v>
      </c>
      <c r="B605" s="133" t="s">
        <v>4552</v>
      </c>
      <c r="C605" s="133" t="s">
        <v>1147</v>
      </c>
      <c r="D605" s="133" t="s">
        <v>481</v>
      </c>
      <c r="E605" s="158">
        <v>5</v>
      </c>
      <c r="F605" s="158">
        <v>9</v>
      </c>
      <c r="G605" s="158">
        <v>2</v>
      </c>
      <c r="H605" s="133" t="s">
        <v>479</v>
      </c>
      <c r="I605" s="133" t="s">
        <v>479</v>
      </c>
      <c r="J605" s="158">
        <v>0</v>
      </c>
      <c r="K605" s="159"/>
    </row>
    <row r="606" spans="1:26" ht="15.75" hidden="1" customHeight="1">
      <c r="A606" s="133" t="s">
        <v>2</v>
      </c>
      <c r="B606" s="133" t="s">
        <v>4552</v>
      </c>
      <c r="C606" s="133" t="s">
        <v>1208</v>
      </c>
      <c r="D606" s="133" t="s">
        <v>484</v>
      </c>
      <c r="E606" s="158">
        <v>4</v>
      </c>
      <c r="F606" s="158">
        <v>10</v>
      </c>
      <c r="G606" s="158">
        <v>0</v>
      </c>
      <c r="H606" s="133" t="s">
        <v>1209</v>
      </c>
      <c r="I606" s="133" t="s">
        <v>1210</v>
      </c>
      <c r="J606" s="158">
        <v>0</v>
      </c>
      <c r="K606" s="159"/>
    </row>
    <row r="607" spans="1:26" ht="15.75" hidden="1" customHeight="1">
      <c r="A607" s="161" t="s">
        <v>2</v>
      </c>
      <c r="B607" s="161" t="s">
        <v>4567</v>
      </c>
      <c r="C607" s="161" t="s">
        <v>2317</v>
      </c>
      <c r="D607" s="161" t="s">
        <v>477</v>
      </c>
      <c r="E607" s="162">
        <v>5</v>
      </c>
      <c r="F607" s="162">
        <v>0</v>
      </c>
      <c r="G607" s="162">
        <v>0</v>
      </c>
      <c r="H607" s="161"/>
      <c r="I607" s="161"/>
      <c r="J607" s="162">
        <v>0</v>
      </c>
      <c r="K607" s="164" t="s">
        <v>2318</v>
      </c>
      <c r="L607" s="165"/>
      <c r="M607" s="165"/>
      <c r="N607" s="165"/>
      <c r="O607" s="165"/>
      <c r="P607" s="165"/>
      <c r="Q607" s="165"/>
      <c r="R607" s="165"/>
      <c r="S607" s="165"/>
      <c r="T607" s="165"/>
      <c r="U607" s="165"/>
      <c r="V607" s="165"/>
      <c r="W607" s="165"/>
      <c r="X607" s="165"/>
      <c r="Y607" s="165"/>
      <c r="Z607" s="165"/>
    </row>
    <row r="608" spans="1:26" ht="15.75" hidden="1" customHeight="1">
      <c r="A608" s="133" t="s">
        <v>2</v>
      </c>
      <c r="B608" s="133" t="s">
        <v>4567</v>
      </c>
      <c r="C608" s="133" t="s">
        <v>4092</v>
      </c>
      <c r="D608" s="133" t="s">
        <v>477</v>
      </c>
      <c r="E608" s="158">
        <v>20</v>
      </c>
      <c r="F608" s="158">
        <v>0</v>
      </c>
      <c r="G608" s="158">
        <v>0</v>
      </c>
      <c r="H608" s="133" t="s">
        <v>479</v>
      </c>
      <c r="I608" s="133" t="s">
        <v>479</v>
      </c>
      <c r="J608" s="158">
        <v>0</v>
      </c>
      <c r="K608" s="159"/>
    </row>
    <row r="609" spans="1:11" ht="15.75" hidden="1" customHeight="1">
      <c r="A609" s="133" t="s">
        <v>2</v>
      </c>
      <c r="B609" s="133" t="s">
        <v>4567</v>
      </c>
      <c r="C609" s="133" t="s">
        <v>4568</v>
      </c>
      <c r="D609" s="133" t="s">
        <v>477</v>
      </c>
      <c r="E609" s="158">
        <v>20</v>
      </c>
      <c r="F609" s="158">
        <v>0</v>
      </c>
      <c r="G609" s="158">
        <v>0</v>
      </c>
      <c r="H609" s="133" t="s">
        <v>479</v>
      </c>
      <c r="I609" s="133" t="s">
        <v>479</v>
      </c>
      <c r="J609" s="158">
        <v>0</v>
      </c>
      <c r="K609" s="159"/>
    </row>
    <row r="610" spans="1:11" ht="15.75" hidden="1" customHeight="1">
      <c r="A610" s="133" t="s">
        <v>2</v>
      </c>
      <c r="B610" s="133" t="s">
        <v>4567</v>
      </c>
      <c r="C610" s="133" t="s">
        <v>4569</v>
      </c>
      <c r="D610" s="133" t="s">
        <v>1974</v>
      </c>
      <c r="E610" s="158">
        <v>3</v>
      </c>
      <c r="F610" s="158">
        <v>10</v>
      </c>
      <c r="G610" s="158">
        <v>0</v>
      </c>
      <c r="H610" s="133" t="s">
        <v>479</v>
      </c>
      <c r="I610" s="133" t="s">
        <v>479</v>
      </c>
      <c r="J610" s="158">
        <v>0</v>
      </c>
      <c r="K610" s="159"/>
    </row>
    <row r="611" spans="1:11" ht="15.75" hidden="1" customHeight="1">
      <c r="A611" s="133" t="s">
        <v>2</v>
      </c>
      <c r="B611" s="133" t="s">
        <v>4567</v>
      </c>
      <c r="C611" s="133" t="s">
        <v>4570</v>
      </c>
      <c r="D611" s="133" t="s">
        <v>477</v>
      </c>
      <c r="E611" s="158">
        <v>255</v>
      </c>
      <c r="F611" s="158">
        <v>0</v>
      </c>
      <c r="G611" s="158">
        <v>0</v>
      </c>
      <c r="H611" s="133" t="s">
        <v>479</v>
      </c>
      <c r="I611" s="133" t="s">
        <v>479</v>
      </c>
      <c r="J611" s="158">
        <v>0</v>
      </c>
      <c r="K611" s="159"/>
    </row>
    <row r="612" spans="1:11" ht="15.75" hidden="1" customHeight="1">
      <c r="A612" s="133" t="s">
        <v>2</v>
      </c>
      <c r="B612" s="133" t="s">
        <v>4567</v>
      </c>
      <c r="C612" s="133" t="s">
        <v>4571</v>
      </c>
      <c r="D612" s="133" t="s">
        <v>477</v>
      </c>
      <c r="E612" s="158">
        <v>20</v>
      </c>
      <c r="F612" s="158">
        <v>0</v>
      </c>
      <c r="G612" s="158">
        <v>0</v>
      </c>
      <c r="H612" s="133" t="s">
        <v>479</v>
      </c>
      <c r="I612" s="133" t="s">
        <v>479</v>
      </c>
      <c r="J612" s="158">
        <v>0</v>
      </c>
      <c r="K612" s="159"/>
    </row>
    <row r="613" spans="1:11" ht="15.75" hidden="1" customHeight="1">
      <c r="A613" s="133" t="s">
        <v>2</v>
      </c>
      <c r="B613" s="133" t="s">
        <v>4567</v>
      </c>
      <c r="C613" s="133" t="s">
        <v>369</v>
      </c>
      <c r="D613" s="133" t="s">
        <v>477</v>
      </c>
      <c r="E613" s="158">
        <v>20</v>
      </c>
      <c r="F613" s="158">
        <v>0</v>
      </c>
      <c r="G613" s="158">
        <v>0</v>
      </c>
      <c r="H613" s="133" t="s">
        <v>479</v>
      </c>
      <c r="I613" s="133" t="s">
        <v>479</v>
      </c>
      <c r="J613" s="158">
        <v>0</v>
      </c>
      <c r="K613" s="159"/>
    </row>
    <row r="614" spans="1:11" ht="15.75" hidden="1" customHeight="1">
      <c r="A614" s="133" t="s">
        <v>2</v>
      </c>
      <c r="B614" s="133" t="s">
        <v>4567</v>
      </c>
      <c r="C614" s="133" t="s">
        <v>2290</v>
      </c>
      <c r="D614" s="133" t="s">
        <v>477</v>
      </c>
      <c r="E614" s="158">
        <v>100</v>
      </c>
      <c r="F614" s="158">
        <v>0</v>
      </c>
      <c r="G614" s="158">
        <v>0</v>
      </c>
      <c r="H614" s="133" t="s">
        <v>479</v>
      </c>
      <c r="I614" s="133" t="s">
        <v>479</v>
      </c>
      <c r="J614" s="158">
        <v>0</v>
      </c>
      <c r="K614" s="159"/>
    </row>
    <row r="615" spans="1:11" ht="15.75" hidden="1" customHeight="1">
      <c r="A615" s="133" t="s">
        <v>2</v>
      </c>
      <c r="B615" s="133" t="s">
        <v>4567</v>
      </c>
      <c r="C615" s="133" t="s">
        <v>1273</v>
      </c>
      <c r="D615" s="133" t="s">
        <v>477</v>
      </c>
      <c r="E615" s="158">
        <v>20</v>
      </c>
      <c r="F615" s="158">
        <v>0</v>
      </c>
      <c r="G615" s="158">
        <v>0</v>
      </c>
      <c r="H615" s="133" t="s">
        <v>479</v>
      </c>
      <c r="I615" s="133" t="s">
        <v>479</v>
      </c>
      <c r="J615" s="158">
        <v>0</v>
      </c>
      <c r="K615" s="159"/>
    </row>
    <row r="616" spans="1:11" ht="15.75" hidden="1" customHeight="1">
      <c r="A616" s="133" t="s">
        <v>2</v>
      </c>
      <c r="B616" s="133" t="s">
        <v>4567</v>
      </c>
      <c r="C616" s="133" t="s">
        <v>4208</v>
      </c>
      <c r="D616" s="133" t="s">
        <v>477</v>
      </c>
      <c r="E616" s="158">
        <v>100</v>
      </c>
      <c r="F616" s="158">
        <v>0</v>
      </c>
      <c r="G616" s="158">
        <v>0</v>
      </c>
      <c r="H616" s="133" t="s">
        <v>479</v>
      </c>
      <c r="I616" s="133" t="s">
        <v>479</v>
      </c>
      <c r="J616" s="158">
        <v>0</v>
      </c>
      <c r="K616" s="159"/>
    </row>
    <row r="617" spans="1:11" ht="15.75" hidden="1" customHeight="1">
      <c r="A617" s="133" t="s">
        <v>2</v>
      </c>
      <c r="B617" s="133" t="s">
        <v>4567</v>
      </c>
      <c r="C617" s="133" t="s">
        <v>4572</v>
      </c>
      <c r="D617" s="133" t="s">
        <v>477</v>
      </c>
      <c r="E617" s="158">
        <v>20</v>
      </c>
      <c r="F617" s="158">
        <v>0</v>
      </c>
      <c r="G617" s="158">
        <v>0</v>
      </c>
      <c r="H617" s="133" t="s">
        <v>479</v>
      </c>
      <c r="I617" s="133" t="s">
        <v>479</v>
      </c>
      <c r="J617" s="158">
        <v>0</v>
      </c>
      <c r="K617" s="159"/>
    </row>
    <row r="618" spans="1:11" ht="15.75" hidden="1" customHeight="1">
      <c r="A618" s="133" t="s">
        <v>2</v>
      </c>
      <c r="B618" s="133" t="s">
        <v>4567</v>
      </c>
      <c r="C618" s="133" t="s">
        <v>4573</v>
      </c>
      <c r="D618" s="133" t="s">
        <v>477</v>
      </c>
      <c r="E618" s="158">
        <v>20</v>
      </c>
      <c r="F618" s="158">
        <v>0</v>
      </c>
      <c r="G618" s="158">
        <v>0</v>
      </c>
      <c r="H618" s="133" t="s">
        <v>479</v>
      </c>
      <c r="I618" s="133" t="s">
        <v>479</v>
      </c>
      <c r="J618" s="158">
        <v>0</v>
      </c>
      <c r="K618" s="159"/>
    </row>
    <row r="619" spans="1:11" ht="15.75" hidden="1" customHeight="1">
      <c r="A619" s="133" t="s">
        <v>2</v>
      </c>
      <c r="B619" s="133" t="s">
        <v>4567</v>
      </c>
      <c r="C619" s="133" t="s">
        <v>2619</v>
      </c>
      <c r="D619" s="133" t="s">
        <v>477</v>
      </c>
      <c r="E619" s="158">
        <v>20</v>
      </c>
      <c r="F619" s="158">
        <v>0</v>
      </c>
      <c r="G619" s="158">
        <v>0</v>
      </c>
      <c r="H619" s="133" t="s">
        <v>479</v>
      </c>
      <c r="I619" s="133" t="s">
        <v>479</v>
      </c>
      <c r="J619" s="158">
        <v>0</v>
      </c>
      <c r="K619" s="159"/>
    </row>
    <row r="620" spans="1:11" ht="15.75" hidden="1" customHeight="1">
      <c r="A620" s="133" t="s">
        <v>2</v>
      </c>
      <c r="B620" s="133" t="s">
        <v>4567</v>
      </c>
      <c r="C620" s="133" t="s">
        <v>4574</v>
      </c>
      <c r="D620" s="133" t="s">
        <v>477</v>
      </c>
      <c r="E620" s="158">
        <v>20</v>
      </c>
      <c r="F620" s="158">
        <v>0</v>
      </c>
      <c r="G620" s="158">
        <v>0</v>
      </c>
      <c r="H620" s="133" t="s">
        <v>479</v>
      </c>
      <c r="I620" s="133" t="s">
        <v>479</v>
      </c>
      <c r="J620" s="158">
        <v>0</v>
      </c>
      <c r="K620" s="159"/>
    </row>
    <row r="621" spans="1:11" ht="15.75" hidden="1" customHeight="1">
      <c r="A621" s="133" t="s">
        <v>2</v>
      </c>
      <c r="B621" s="133" t="s">
        <v>4567</v>
      </c>
      <c r="C621" s="133" t="s">
        <v>4575</v>
      </c>
      <c r="D621" s="133" t="s">
        <v>477</v>
      </c>
      <c r="E621" s="158">
        <v>20</v>
      </c>
      <c r="F621" s="158">
        <v>0</v>
      </c>
      <c r="G621" s="158">
        <v>0</v>
      </c>
      <c r="H621" s="133" t="s">
        <v>479</v>
      </c>
      <c r="I621" s="133" t="s">
        <v>479</v>
      </c>
      <c r="J621" s="158">
        <v>0</v>
      </c>
      <c r="K621" s="159"/>
    </row>
    <row r="622" spans="1:11" ht="15.75" hidden="1" customHeight="1">
      <c r="A622" s="133" t="s">
        <v>2</v>
      </c>
      <c r="B622" s="133" t="s">
        <v>4567</v>
      </c>
      <c r="C622" s="133" t="s">
        <v>2410</v>
      </c>
      <c r="D622" s="133" t="s">
        <v>477</v>
      </c>
      <c r="E622" s="158">
        <v>20</v>
      </c>
      <c r="F622" s="158">
        <v>0</v>
      </c>
      <c r="G622" s="158">
        <v>0</v>
      </c>
      <c r="H622" s="133" t="s">
        <v>479</v>
      </c>
      <c r="I622" s="133" t="s">
        <v>479</v>
      </c>
      <c r="J622" s="158">
        <v>0</v>
      </c>
      <c r="K622" s="159"/>
    </row>
    <row r="623" spans="1:11" ht="15.75" hidden="1" customHeight="1">
      <c r="A623" s="133" t="s">
        <v>2</v>
      </c>
      <c r="B623" s="133" t="s">
        <v>4567</v>
      </c>
      <c r="C623" s="133" t="s">
        <v>2409</v>
      </c>
      <c r="D623" s="133" t="s">
        <v>477</v>
      </c>
      <c r="E623" s="158">
        <v>20</v>
      </c>
      <c r="F623" s="158">
        <v>0</v>
      </c>
      <c r="G623" s="158">
        <v>0</v>
      </c>
      <c r="H623" s="133" t="s">
        <v>479</v>
      </c>
      <c r="I623" s="133" t="s">
        <v>479</v>
      </c>
      <c r="J623" s="158">
        <v>0</v>
      </c>
      <c r="K623" s="159"/>
    </row>
    <row r="624" spans="1:11" ht="15.75" hidden="1" customHeight="1">
      <c r="A624" s="133" t="s">
        <v>2</v>
      </c>
      <c r="B624" s="133" t="s">
        <v>4567</v>
      </c>
      <c r="C624" s="133" t="s">
        <v>1101</v>
      </c>
      <c r="D624" s="133" t="s">
        <v>477</v>
      </c>
      <c r="E624" s="158">
        <v>20</v>
      </c>
      <c r="F624" s="158">
        <v>0</v>
      </c>
      <c r="G624" s="158">
        <v>0</v>
      </c>
      <c r="H624" s="133" t="s">
        <v>479</v>
      </c>
      <c r="I624" s="133" t="s">
        <v>479</v>
      </c>
      <c r="J624" s="158">
        <v>0</v>
      </c>
      <c r="K624" s="159"/>
    </row>
    <row r="625" spans="1:11" ht="15.75" hidden="1" customHeight="1">
      <c r="A625" s="133" t="s">
        <v>2</v>
      </c>
      <c r="B625" s="133" t="s">
        <v>4567</v>
      </c>
      <c r="C625" s="133" t="s">
        <v>2685</v>
      </c>
      <c r="D625" s="133" t="s">
        <v>477</v>
      </c>
      <c r="E625" s="158">
        <v>20</v>
      </c>
      <c r="F625" s="158">
        <v>0</v>
      </c>
      <c r="G625" s="158">
        <v>0</v>
      </c>
      <c r="H625" s="133" t="s">
        <v>479</v>
      </c>
      <c r="I625" s="133" t="s">
        <v>479</v>
      </c>
      <c r="J625" s="158">
        <v>0</v>
      </c>
      <c r="K625" s="159"/>
    </row>
    <row r="626" spans="1:11" ht="15.75" hidden="1" customHeight="1">
      <c r="A626" s="133" t="s">
        <v>2</v>
      </c>
      <c r="B626" s="133" t="s">
        <v>4567</v>
      </c>
      <c r="C626" s="133" t="s">
        <v>4576</v>
      </c>
      <c r="D626" s="133" t="s">
        <v>477</v>
      </c>
      <c r="E626" s="158">
        <v>20</v>
      </c>
      <c r="F626" s="158">
        <v>0</v>
      </c>
      <c r="G626" s="158">
        <v>0</v>
      </c>
      <c r="H626" s="133" t="s">
        <v>479</v>
      </c>
      <c r="I626" s="133" t="s">
        <v>479</v>
      </c>
      <c r="J626" s="158">
        <v>0</v>
      </c>
      <c r="K626" s="159"/>
    </row>
    <row r="627" spans="1:11" ht="15.75" hidden="1" customHeight="1">
      <c r="A627" s="133" t="s">
        <v>2</v>
      </c>
      <c r="B627" s="133" t="s">
        <v>4567</v>
      </c>
      <c r="C627" s="133" t="s">
        <v>4577</v>
      </c>
      <c r="D627" s="133" t="s">
        <v>477</v>
      </c>
      <c r="E627" s="158">
        <v>20</v>
      </c>
      <c r="F627" s="158">
        <v>0</v>
      </c>
      <c r="G627" s="158">
        <v>0</v>
      </c>
      <c r="H627" s="133" t="s">
        <v>479</v>
      </c>
      <c r="I627" s="133" t="s">
        <v>479</v>
      </c>
      <c r="J627" s="158">
        <v>0</v>
      </c>
      <c r="K627" s="159"/>
    </row>
    <row r="628" spans="1:11" ht="15.75" hidden="1" customHeight="1">
      <c r="A628" s="133" t="s">
        <v>2</v>
      </c>
      <c r="B628" s="133" t="s">
        <v>4567</v>
      </c>
      <c r="C628" s="133" t="s">
        <v>2595</v>
      </c>
      <c r="D628" s="133" t="s">
        <v>477</v>
      </c>
      <c r="E628" s="158">
        <v>20</v>
      </c>
      <c r="F628" s="158">
        <v>0</v>
      </c>
      <c r="G628" s="158">
        <v>0</v>
      </c>
      <c r="H628" s="133" t="s">
        <v>479</v>
      </c>
      <c r="I628" s="133" t="s">
        <v>479</v>
      </c>
      <c r="J628" s="158">
        <v>0</v>
      </c>
      <c r="K628" s="159"/>
    </row>
    <row r="629" spans="1:11" ht="15.75" hidden="1" customHeight="1">
      <c r="A629" s="133" t="s">
        <v>2</v>
      </c>
      <c r="B629" s="133" t="s">
        <v>4567</v>
      </c>
      <c r="C629" s="133" t="s">
        <v>4578</v>
      </c>
      <c r="D629" s="133" t="s">
        <v>477</v>
      </c>
      <c r="E629" s="158">
        <v>20</v>
      </c>
      <c r="F629" s="158">
        <v>0</v>
      </c>
      <c r="G629" s="158">
        <v>0</v>
      </c>
      <c r="H629" s="133" t="s">
        <v>479</v>
      </c>
      <c r="I629" s="133" t="s">
        <v>479</v>
      </c>
      <c r="J629" s="158">
        <v>0</v>
      </c>
      <c r="K629" s="159"/>
    </row>
    <row r="630" spans="1:11" ht="15.75" hidden="1" customHeight="1">
      <c r="A630" s="133" t="s">
        <v>2</v>
      </c>
      <c r="B630" s="133" t="s">
        <v>4567</v>
      </c>
      <c r="C630" s="133" t="s">
        <v>4579</v>
      </c>
      <c r="D630" s="133" t="s">
        <v>1631</v>
      </c>
      <c r="E630" s="158">
        <v>8</v>
      </c>
      <c r="F630" s="158">
        <v>19</v>
      </c>
      <c r="G630" s="158">
        <v>0</v>
      </c>
      <c r="H630" s="133" t="s">
        <v>479</v>
      </c>
      <c r="I630" s="133" t="s">
        <v>479</v>
      </c>
      <c r="J630" s="158">
        <v>0</v>
      </c>
      <c r="K630" s="159"/>
    </row>
    <row r="631" spans="1:11" ht="15.75" hidden="1" customHeight="1">
      <c r="A631" s="133" t="s">
        <v>2</v>
      </c>
      <c r="B631" s="133" t="s">
        <v>4567</v>
      </c>
      <c r="C631" s="133" t="s">
        <v>4580</v>
      </c>
      <c r="D631" s="133" t="s">
        <v>477</v>
      </c>
      <c r="E631" s="158">
        <v>100</v>
      </c>
      <c r="F631" s="158">
        <v>0</v>
      </c>
      <c r="G631" s="158">
        <v>0</v>
      </c>
      <c r="H631" s="133" t="s">
        <v>479</v>
      </c>
      <c r="I631" s="133" t="s">
        <v>479</v>
      </c>
      <c r="J631" s="158">
        <v>0</v>
      </c>
      <c r="K631" s="159"/>
    </row>
    <row r="632" spans="1:11" ht="15.75" hidden="1" customHeight="1">
      <c r="A632" s="133" t="s">
        <v>2</v>
      </c>
      <c r="B632" s="133" t="s">
        <v>4567</v>
      </c>
      <c r="C632" s="133" t="s">
        <v>4581</v>
      </c>
      <c r="D632" s="133" t="s">
        <v>477</v>
      </c>
      <c r="E632" s="158">
        <v>100</v>
      </c>
      <c r="F632" s="158">
        <v>0</v>
      </c>
      <c r="G632" s="158">
        <v>0</v>
      </c>
      <c r="H632" s="133" t="s">
        <v>479</v>
      </c>
      <c r="I632" s="133" t="s">
        <v>479</v>
      </c>
      <c r="J632" s="158">
        <v>0</v>
      </c>
      <c r="K632" s="159"/>
    </row>
    <row r="633" spans="1:11" ht="15.75" hidden="1" customHeight="1">
      <c r="A633" s="133" t="s">
        <v>2</v>
      </c>
      <c r="B633" s="133" t="s">
        <v>4567</v>
      </c>
      <c r="C633" s="133" t="s">
        <v>4582</v>
      </c>
      <c r="D633" s="133" t="s">
        <v>477</v>
      </c>
      <c r="E633" s="158">
        <v>6</v>
      </c>
      <c r="F633" s="158">
        <v>0</v>
      </c>
      <c r="G633" s="158">
        <v>0</v>
      </c>
      <c r="H633" s="133" t="s">
        <v>479</v>
      </c>
      <c r="I633" s="133" t="s">
        <v>479</v>
      </c>
      <c r="J633" s="158">
        <v>0</v>
      </c>
      <c r="K633" s="159"/>
    </row>
    <row r="634" spans="1:11" ht="15.75" hidden="1" customHeight="1">
      <c r="A634" s="133" t="s">
        <v>2</v>
      </c>
      <c r="B634" s="133" t="s">
        <v>4567</v>
      </c>
      <c r="C634" s="133" t="s">
        <v>4583</v>
      </c>
      <c r="D634" s="133" t="s">
        <v>477</v>
      </c>
      <c r="E634" s="158">
        <v>100</v>
      </c>
      <c r="F634" s="158">
        <v>0</v>
      </c>
      <c r="G634" s="158">
        <v>0</v>
      </c>
      <c r="H634" s="133" t="s">
        <v>479</v>
      </c>
      <c r="I634" s="133" t="s">
        <v>479</v>
      </c>
      <c r="J634" s="158">
        <v>0</v>
      </c>
      <c r="K634" s="159"/>
    </row>
    <row r="635" spans="1:11" ht="15.75" hidden="1" customHeight="1">
      <c r="A635" s="133" t="s">
        <v>2</v>
      </c>
      <c r="B635" s="133" t="s">
        <v>4567</v>
      </c>
      <c r="C635" s="133" t="s">
        <v>4584</v>
      </c>
      <c r="D635" s="133" t="s">
        <v>477</v>
      </c>
      <c r="E635" s="158">
        <v>100</v>
      </c>
      <c r="F635" s="158">
        <v>0</v>
      </c>
      <c r="G635" s="158">
        <v>0</v>
      </c>
      <c r="H635" s="133" t="s">
        <v>479</v>
      </c>
      <c r="I635" s="133" t="s">
        <v>479</v>
      </c>
      <c r="J635" s="158">
        <v>0</v>
      </c>
      <c r="K635" s="159"/>
    </row>
    <row r="636" spans="1:11" ht="15.75" hidden="1" customHeight="1">
      <c r="A636" s="133" t="s">
        <v>2</v>
      </c>
      <c r="B636" s="133" t="s">
        <v>4567</v>
      </c>
      <c r="C636" s="133" t="s">
        <v>4585</v>
      </c>
      <c r="D636" s="133" t="s">
        <v>477</v>
      </c>
      <c r="E636" s="158">
        <v>100</v>
      </c>
      <c r="F636" s="158">
        <v>0</v>
      </c>
      <c r="G636" s="158">
        <v>0</v>
      </c>
      <c r="H636" s="133" t="s">
        <v>479</v>
      </c>
      <c r="I636" s="133" t="s">
        <v>479</v>
      </c>
      <c r="J636" s="158">
        <v>0</v>
      </c>
      <c r="K636" s="159"/>
    </row>
    <row r="637" spans="1:11" ht="15.75" hidden="1" customHeight="1">
      <c r="A637" s="133" t="s">
        <v>2</v>
      </c>
      <c r="B637" s="133" t="s">
        <v>4567</v>
      </c>
      <c r="C637" s="133" t="s">
        <v>4586</v>
      </c>
      <c r="D637" s="133" t="s">
        <v>477</v>
      </c>
      <c r="E637" s="158">
        <v>100</v>
      </c>
      <c r="F637" s="158">
        <v>0</v>
      </c>
      <c r="G637" s="158">
        <v>0</v>
      </c>
      <c r="H637" s="133" t="s">
        <v>479</v>
      </c>
      <c r="I637" s="133" t="s">
        <v>479</v>
      </c>
      <c r="J637" s="158">
        <v>0</v>
      </c>
      <c r="K637" s="159"/>
    </row>
    <row r="638" spans="1:11" ht="15.75" hidden="1" customHeight="1">
      <c r="A638" s="133" t="s">
        <v>2</v>
      </c>
      <c r="B638" s="133" t="s">
        <v>4567</v>
      </c>
      <c r="C638" s="133" t="s">
        <v>1952</v>
      </c>
      <c r="D638" s="133" t="s">
        <v>477</v>
      </c>
      <c r="E638" s="158">
        <v>100</v>
      </c>
      <c r="F638" s="158">
        <v>0</v>
      </c>
      <c r="G638" s="158">
        <v>0</v>
      </c>
      <c r="H638" s="133" t="s">
        <v>479</v>
      </c>
      <c r="I638" s="133" t="s">
        <v>479</v>
      </c>
      <c r="J638" s="158">
        <v>0</v>
      </c>
      <c r="K638" s="159"/>
    </row>
    <row r="639" spans="1:11" ht="15.75" hidden="1" customHeight="1">
      <c r="A639" s="133" t="s">
        <v>2</v>
      </c>
      <c r="B639" s="133" t="s">
        <v>4567</v>
      </c>
      <c r="C639" s="133" t="s">
        <v>4587</v>
      </c>
      <c r="D639" s="133" t="s">
        <v>477</v>
      </c>
      <c r="E639" s="158">
        <v>20</v>
      </c>
      <c r="F639" s="158">
        <v>0</v>
      </c>
      <c r="G639" s="158">
        <v>0</v>
      </c>
      <c r="H639" s="133" t="s">
        <v>479</v>
      </c>
      <c r="I639" s="133" t="s">
        <v>479</v>
      </c>
      <c r="J639" s="158">
        <v>0</v>
      </c>
      <c r="K639" s="159"/>
    </row>
    <row r="640" spans="1:11" ht="15.75" hidden="1" customHeight="1">
      <c r="A640" s="133" t="s">
        <v>2</v>
      </c>
      <c r="B640" s="133" t="s">
        <v>4567</v>
      </c>
      <c r="C640" s="133" t="s">
        <v>1279</v>
      </c>
      <c r="D640" s="133" t="s">
        <v>477</v>
      </c>
      <c r="E640" s="158">
        <v>20</v>
      </c>
      <c r="F640" s="158">
        <v>0</v>
      </c>
      <c r="G640" s="158">
        <v>0</v>
      </c>
      <c r="H640" s="133" t="s">
        <v>479</v>
      </c>
      <c r="I640" s="133" t="s">
        <v>479</v>
      </c>
      <c r="J640" s="158">
        <v>0</v>
      </c>
      <c r="K640" s="159"/>
    </row>
    <row r="641" spans="1:11" ht="15.75" hidden="1" customHeight="1">
      <c r="A641" s="133" t="s">
        <v>2</v>
      </c>
      <c r="B641" s="133" t="s">
        <v>4567</v>
      </c>
      <c r="C641" s="133" t="s">
        <v>4588</v>
      </c>
      <c r="D641" s="133" t="s">
        <v>477</v>
      </c>
      <c r="E641" s="158">
        <v>20</v>
      </c>
      <c r="F641" s="158">
        <v>0</v>
      </c>
      <c r="G641" s="158">
        <v>0</v>
      </c>
      <c r="H641" s="133" t="s">
        <v>479</v>
      </c>
      <c r="I641" s="133" t="s">
        <v>479</v>
      </c>
      <c r="J641" s="158">
        <v>0</v>
      </c>
      <c r="K641" s="159"/>
    </row>
    <row r="642" spans="1:11" ht="15.75" hidden="1" customHeight="1">
      <c r="A642" s="133" t="s">
        <v>2</v>
      </c>
      <c r="B642" s="133" t="s">
        <v>4567</v>
      </c>
      <c r="C642" s="133" t="s">
        <v>4589</v>
      </c>
      <c r="D642" s="133" t="s">
        <v>477</v>
      </c>
      <c r="E642" s="158">
        <v>100</v>
      </c>
      <c r="F642" s="158">
        <v>0</v>
      </c>
      <c r="G642" s="158">
        <v>0</v>
      </c>
      <c r="H642" s="133" t="s">
        <v>479</v>
      </c>
      <c r="I642" s="133" t="s">
        <v>479</v>
      </c>
      <c r="J642" s="158">
        <v>0</v>
      </c>
      <c r="K642" s="159"/>
    </row>
    <row r="643" spans="1:11" ht="15.75" hidden="1" customHeight="1">
      <c r="A643" s="133" t="s">
        <v>2</v>
      </c>
      <c r="B643" s="133" t="s">
        <v>4567</v>
      </c>
      <c r="C643" s="133" t="s">
        <v>2494</v>
      </c>
      <c r="D643" s="133" t="s">
        <v>477</v>
      </c>
      <c r="E643" s="158">
        <v>20</v>
      </c>
      <c r="F643" s="158">
        <v>0</v>
      </c>
      <c r="G643" s="158">
        <v>0</v>
      </c>
      <c r="H643" s="133" t="s">
        <v>479</v>
      </c>
      <c r="I643" s="133" t="s">
        <v>479</v>
      </c>
      <c r="J643" s="158">
        <v>0</v>
      </c>
      <c r="K643" s="159"/>
    </row>
    <row r="644" spans="1:11" ht="15.75" hidden="1" customHeight="1">
      <c r="A644" s="133" t="s">
        <v>2</v>
      </c>
      <c r="B644" s="133" t="s">
        <v>4567</v>
      </c>
      <c r="C644" s="133" t="s">
        <v>4590</v>
      </c>
      <c r="D644" s="133" t="s">
        <v>477</v>
      </c>
      <c r="E644" s="158">
        <v>20</v>
      </c>
      <c r="F644" s="158">
        <v>0</v>
      </c>
      <c r="G644" s="158">
        <v>0</v>
      </c>
      <c r="H644" s="133" t="s">
        <v>479</v>
      </c>
      <c r="I644" s="133" t="s">
        <v>479</v>
      </c>
      <c r="J644" s="158">
        <v>0</v>
      </c>
      <c r="K644" s="159"/>
    </row>
    <row r="645" spans="1:11" ht="15.75" hidden="1" customHeight="1">
      <c r="A645" s="133" t="s">
        <v>2</v>
      </c>
      <c r="B645" s="133" t="s">
        <v>4567</v>
      </c>
      <c r="C645" s="133" t="s">
        <v>4591</v>
      </c>
      <c r="D645" s="133" t="s">
        <v>477</v>
      </c>
      <c r="E645" s="158">
        <v>100</v>
      </c>
      <c r="F645" s="158">
        <v>0</v>
      </c>
      <c r="G645" s="158">
        <v>0</v>
      </c>
      <c r="H645" s="133" t="s">
        <v>479</v>
      </c>
      <c r="I645" s="133" t="s">
        <v>479</v>
      </c>
      <c r="J645" s="158">
        <v>0</v>
      </c>
      <c r="K645" s="159"/>
    </row>
    <row r="646" spans="1:11" ht="15.75" hidden="1" customHeight="1">
      <c r="A646" s="133" t="s">
        <v>2</v>
      </c>
      <c r="B646" s="133" t="s">
        <v>4567</v>
      </c>
      <c r="C646" s="133" t="s">
        <v>4592</v>
      </c>
      <c r="D646" s="133" t="s">
        <v>477</v>
      </c>
      <c r="E646" s="158">
        <v>20</v>
      </c>
      <c r="F646" s="158">
        <v>0</v>
      </c>
      <c r="G646" s="158">
        <v>0</v>
      </c>
      <c r="H646" s="133" t="s">
        <v>479</v>
      </c>
      <c r="I646" s="133" t="s">
        <v>479</v>
      </c>
      <c r="J646" s="158">
        <v>0</v>
      </c>
      <c r="K646" s="159"/>
    </row>
    <row r="647" spans="1:11" ht="15.75" hidden="1" customHeight="1">
      <c r="A647" s="133" t="s">
        <v>2</v>
      </c>
      <c r="B647" s="133" t="s">
        <v>4567</v>
      </c>
      <c r="C647" s="133" t="s">
        <v>4593</v>
      </c>
      <c r="D647" s="133" t="s">
        <v>477</v>
      </c>
      <c r="E647" s="158">
        <v>100</v>
      </c>
      <c r="F647" s="158">
        <v>0</v>
      </c>
      <c r="G647" s="158">
        <v>0</v>
      </c>
      <c r="H647" s="133" t="s">
        <v>479</v>
      </c>
      <c r="I647" s="133" t="s">
        <v>479</v>
      </c>
      <c r="J647" s="158">
        <v>0</v>
      </c>
      <c r="K647" s="159"/>
    </row>
    <row r="648" spans="1:11" ht="15.75" hidden="1" customHeight="1">
      <c r="A648" s="133" t="s">
        <v>2</v>
      </c>
      <c r="B648" s="133" t="s">
        <v>4567</v>
      </c>
      <c r="C648" s="133" t="s">
        <v>4594</v>
      </c>
      <c r="D648" s="133" t="s">
        <v>477</v>
      </c>
      <c r="E648" s="158">
        <v>110</v>
      </c>
      <c r="F648" s="158">
        <v>0</v>
      </c>
      <c r="G648" s="158">
        <v>0</v>
      </c>
      <c r="H648" s="133" t="s">
        <v>479</v>
      </c>
      <c r="I648" s="133" t="s">
        <v>479</v>
      </c>
      <c r="J648" s="158">
        <v>0</v>
      </c>
      <c r="K648" s="159"/>
    </row>
    <row r="649" spans="1:11" ht="15.75" hidden="1" customHeight="1">
      <c r="A649" s="133" t="s">
        <v>2</v>
      </c>
      <c r="B649" s="133" t="s">
        <v>4567</v>
      </c>
      <c r="C649" s="133" t="s">
        <v>4595</v>
      </c>
      <c r="D649" s="133" t="s">
        <v>477</v>
      </c>
      <c r="E649" s="158">
        <v>100</v>
      </c>
      <c r="F649" s="158">
        <v>0</v>
      </c>
      <c r="G649" s="158">
        <v>0</v>
      </c>
      <c r="H649" s="133" t="s">
        <v>479</v>
      </c>
      <c r="I649" s="133" t="s">
        <v>479</v>
      </c>
      <c r="J649" s="158">
        <v>0</v>
      </c>
      <c r="K649" s="159"/>
    </row>
    <row r="650" spans="1:11" ht="15.75" hidden="1" customHeight="1">
      <c r="A650" s="133" t="s">
        <v>2</v>
      </c>
      <c r="B650" s="133" t="s">
        <v>4567</v>
      </c>
      <c r="C650" s="133" t="s">
        <v>4596</v>
      </c>
      <c r="D650" s="133" t="s">
        <v>477</v>
      </c>
      <c r="E650" s="158">
        <v>100</v>
      </c>
      <c r="F650" s="158">
        <v>0</v>
      </c>
      <c r="G650" s="158">
        <v>0</v>
      </c>
      <c r="H650" s="133" t="s">
        <v>479</v>
      </c>
      <c r="I650" s="133" t="s">
        <v>479</v>
      </c>
      <c r="J650" s="158">
        <v>0</v>
      </c>
      <c r="K650" s="159"/>
    </row>
    <row r="651" spans="1:11" ht="15.75" hidden="1" customHeight="1">
      <c r="A651" s="133" t="s">
        <v>2</v>
      </c>
      <c r="B651" s="133" t="s">
        <v>4567</v>
      </c>
      <c r="C651" s="133" t="s">
        <v>4597</v>
      </c>
      <c r="D651" s="133" t="s">
        <v>477</v>
      </c>
      <c r="E651" s="158">
        <v>250</v>
      </c>
      <c r="F651" s="158">
        <v>0</v>
      </c>
      <c r="G651" s="158">
        <v>0</v>
      </c>
      <c r="H651" s="133" t="s">
        <v>479</v>
      </c>
      <c r="I651" s="133" t="s">
        <v>479</v>
      </c>
      <c r="J651" s="158">
        <v>0</v>
      </c>
      <c r="K651" s="159"/>
    </row>
    <row r="652" spans="1:11" ht="15.75" hidden="1" customHeight="1">
      <c r="A652" s="133" t="s">
        <v>2</v>
      </c>
      <c r="B652" s="133" t="s">
        <v>4567</v>
      </c>
      <c r="C652" s="133" t="s">
        <v>3189</v>
      </c>
      <c r="D652" s="133" t="s">
        <v>477</v>
      </c>
      <c r="E652" s="158">
        <v>300</v>
      </c>
      <c r="F652" s="158">
        <v>0</v>
      </c>
      <c r="G652" s="158">
        <v>0</v>
      </c>
      <c r="H652" s="133" t="s">
        <v>479</v>
      </c>
      <c r="I652" s="133" t="s">
        <v>479</v>
      </c>
      <c r="J652" s="158">
        <v>0</v>
      </c>
      <c r="K652" s="159"/>
    </row>
    <row r="653" spans="1:11" ht="15.75" hidden="1" customHeight="1">
      <c r="A653" s="133" t="s">
        <v>2</v>
      </c>
      <c r="B653" s="133" t="s">
        <v>4567</v>
      </c>
      <c r="C653" s="133" t="s">
        <v>4598</v>
      </c>
      <c r="D653" s="133" t="s">
        <v>477</v>
      </c>
      <c r="E653" s="158">
        <v>300</v>
      </c>
      <c r="F653" s="158">
        <v>0</v>
      </c>
      <c r="G653" s="158">
        <v>0</v>
      </c>
      <c r="H653" s="133" t="s">
        <v>479</v>
      </c>
      <c r="I653" s="133" t="s">
        <v>479</v>
      </c>
      <c r="J653" s="158">
        <v>0</v>
      </c>
      <c r="K653" s="159"/>
    </row>
    <row r="654" spans="1:11" ht="15.75" hidden="1" customHeight="1">
      <c r="A654" s="133" t="s">
        <v>2</v>
      </c>
      <c r="B654" s="133" t="s">
        <v>4567</v>
      </c>
      <c r="C654" s="133" t="s">
        <v>4599</v>
      </c>
      <c r="D654" s="133" t="s">
        <v>477</v>
      </c>
      <c r="E654" s="158">
        <v>100</v>
      </c>
      <c r="F654" s="158">
        <v>0</v>
      </c>
      <c r="G654" s="158">
        <v>0</v>
      </c>
      <c r="H654" s="133" t="s">
        <v>479</v>
      </c>
      <c r="I654" s="133" t="s">
        <v>479</v>
      </c>
      <c r="J654" s="158">
        <v>0</v>
      </c>
      <c r="K654" s="159"/>
    </row>
    <row r="655" spans="1:11" ht="15.75" hidden="1" customHeight="1">
      <c r="A655" s="133" t="s">
        <v>2</v>
      </c>
      <c r="B655" s="133" t="s">
        <v>4567</v>
      </c>
      <c r="C655" s="133" t="s">
        <v>4345</v>
      </c>
      <c r="D655" s="133" t="s">
        <v>484</v>
      </c>
      <c r="E655" s="158">
        <v>4</v>
      </c>
      <c r="F655" s="158">
        <v>10</v>
      </c>
      <c r="G655" s="158">
        <v>0</v>
      </c>
      <c r="H655" s="133" t="s">
        <v>479</v>
      </c>
      <c r="I655" s="133" t="s">
        <v>479</v>
      </c>
      <c r="J655" s="158">
        <v>0</v>
      </c>
      <c r="K655" s="159"/>
    </row>
    <row r="656" spans="1:11" ht="15.75" hidden="1" customHeight="1">
      <c r="A656" s="133" t="s">
        <v>2</v>
      </c>
      <c r="B656" s="133" t="s">
        <v>4567</v>
      </c>
      <c r="C656" s="133" t="s">
        <v>4600</v>
      </c>
      <c r="D656" s="133" t="s">
        <v>477</v>
      </c>
      <c r="E656" s="158">
        <v>100</v>
      </c>
      <c r="F656" s="158">
        <v>0</v>
      </c>
      <c r="G656" s="158">
        <v>0</v>
      </c>
      <c r="H656" s="133" t="s">
        <v>479</v>
      </c>
      <c r="I656" s="133" t="s">
        <v>479</v>
      </c>
      <c r="J656" s="158">
        <v>0</v>
      </c>
      <c r="K656" s="159"/>
    </row>
    <row r="657" spans="1:11" ht="15.75" hidden="1" customHeight="1">
      <c r="A657" s="133" t="s">
        <v>2</v>
      </c>
      <c r="B657" s="133" t="s">
        <v>4567</v>
      </c>
      <c r="C657" s="133" t="s">
        <v>2551</v>
      </c>
      <c r="D657" s="133" t="s">
        <v>477</v>
      </c>
      <c r="E657" s="158">
        <v>100</v>
      </c>
      <c r="F657" s="158">
        <v>0</v>
      </c>
      <c r="G657" s="158">
        <v>0</v>
      </c>
      <c r="H657" s="133" t="s">
        <v>479</v>
      </c>
      <c r="I657" s="133" t="s">
        <v>479</v>
      </c>
      <c r="J657" s="158">
        <v>0</v>
      </c>
      <c r="K657" s="159"/>
    </row>
    <row r="658" spans="1:11" ht="15.75" hidden="1" customHeight="1">
      <c r="A658" s="133" t="s">
        <v>2</v>
      </c>
      <c r="B658" s="133" t="s">
        <v>4567</v>
      </c>
      <c r="C658" s="133" t="s">
        <v>4601</v>
      </c>
      <c r="D658" s="133" t="s">
        <v>477</v>
      </c>
      <c r="E658" s="158">
        <v>6</v>
      </c>
      <c r="F658" s="158">
        <v>0</v>
      </c>
      <c r="G658" s="158">
        <v>0</v>
      </c>
      <c r="H658" s="133" t="s">
        <v>479</v>
      </c>
      <c r="I658" s="133" t="s">
        <v>479</v>
      </c>
      <c r="J658" s="158">
        <v>0</v>
      </c>
      <c r="K658" s="159"/>
    </row>
    <row r="659" spans="1:11" ht="15.75" hidden="1" customHeight="1">
      <c r="A659" s="133" t="s">
        <v>2</v>
      </c>
      <c r="B659" s="133" t="s">
        <v>4567</v>
      </c>
      <c r="C659" s="133" t="s">
        <v>4602</v>
      </c>
      <c r="D659" s="133" t="s">
        <v>477</v>
      </c>
      <c r="E659" s="158">
        <v>100</v>
      </c>
      <c r="F659" s="158">
        <v>0</v>
      </c>
      <c r="G659" s="158">
        <v>0</v>
      </c>
      <c r="H659" s="133" t="s">
        <v>479</v>
      </c>
      <c r="I659" s="133" t="s">
        <v>479</v>
      </c>
      <c r="J659" s="158">
        <v>0</v>
      </c>
      <c r="K659" s="159"/>
    </row>
    <row r="660" spans="1:11" ht="15.75" hidden="1" customHeight="1">
      <c r="A660" s="133" t="s">
        <v>2</v>
      </c>
      <c r="B660" s="133" t="s">
        <v>4567</v>
      </c>
      <c r="C660" s="133" t="s">
        <v>2555</v>
      </c>
      <c r="D660" s="133" t="s">
        <v>477</v>
      </c>
      <c r="E660" s="158">
        <v>100</v>
      </c>
      <c r="F660" s="158">
        <v>0</v>
      </c>
      <c r="G660" s="158">
        <v>0</v>
      </c>
      <c r="H660" s="133" t="s">
        <v>479</v>
      </c>
      <c r="I660" s="133" t="s">
        <v>479</v>
      </c>
      <c r="J660" s="158">
        <v>0</v>
      </c>
      <c r="K660" s="159"/>
    </row>
    <row r="661" spans="1:11" ht="15.75" hidden="1" customHeight="1">
      <c r="A661" s="133" t="s">
        <v>2</v>
      </c>
      <c r="B661" s="133" t="s">
        <v>4567</v>
      </c>
      <c r="C661" s="133" t="s">
        <v>4603</v>
      </c>
      <c r="D661" s="133" t="s">
        <v>477</v>
      </c>
      <c r="E661" s="158">
        <v>100</v>
      </c>
      <c r="F661" s="158">
        <v>0</v>
      </c>
      <c r="G661" s="158">
        <v>0</v>
      </c>
      <c r="H661" s="133" t="s">
        <v>479</v>
      </c>
      <c r="I661" s="133" t="s">
        <v>479</v>
      </c>
      <c r="J661" s="158">
        <v>0</v>
      </c>
      <c r="K661" s="159"/>
    </row>
    <row r="662" spans="1:11" ht="15.75" hidden="1" customHeight="1">
      <c r="A662" s="133" t="s">
        <v>2</v>
      </c>
      <c r="B662" s="133" t="s">
        <v>4567</v>
      </c>
      <c r="C662" s="133" t="s">
        <v>4475</v>
      </c>
      <c r="D662" s="133" t="s">
        <v>477</v>
      </c>
      <c r="E662" s="158">
        <v>110</v>
      </c>
      <c r="F662" s="158">
        <v>0</v>
      </c>
      <c r="G662" s="158">
        <v>0</v>
      </c>
      <c r="H662" s="133" t="s">
        <v>479</v>
      </c>
      <c r="I662" s="133" t="s">
        <v>479</v>
      </c>
      <c r="J662" s="158">
        <v>0</v>
      </c>
      <c r="K662" s="159"/>
    </row>
    <row r="663" spans="1:11" ht="15.75" hidden="1" customHeight="1">
      <c r="A663" s="133" t="s">
        <v>2</v>
      </c>
      <c r="B663" s="133" t="s">
        <v>4567</v>
      </c>
      <c r="C663" s="133" t="s">
        <v>4477</v>
      </c>
      <c r="D663" s="133" t="s">
        <v>477</v>
      </c>
      <c r="E663" s="158">
        <v>110</v>
      </c>
      <c r="F663" s="158">
        <v>0</v>
      </c>
      <c r="G663" s="158">
        <v>0</v>
      </c>
      <c r="H663" s="133" t="s">
        <v>479</v>
      </c>
      <c r="I663" s="133" t="s">
        <v>479</v>
      </c>
      <c r="J663" s="158">
        <v>0</v>
      </c>
      <c r="K663" s="159"/>
    </row>
    <row r="664" spans="1:11" ht="15.75" hidden="1" customHeight="1">
      <c r="A664" s="133" t="s">
        <v>2</v>
      </c>
      <c r="B664" s="133" t="s">
        <v>4567</v>
      </c>
      <c r="C664" s="133" t="s">
        <v>4479</v>
      </c>
      <c r="D664" s="133" t="s">
        <v>477</v>
      </c>
      <c r="E664" s="158">
        <v>110</v>
      </c>
      <c r="F664" s="158">
        <v>0</v>
      </c>
      <c r="G664" s="158">
        <v>0</v>
      </c>
      <c r="H664" s="133" t="s">
        <v>479</v>
      </c>
      <c r="I664" s="133" t="s">
        <v>479</v>
      </c>
      <c r="J664" s="158">
        <v>0</v>
      </c>
      <c r="K664" s="159"/>
    </row>
    <row r="665" spans="1:11" ht="15.75" hidden="1" customHeight="1">
      <c r="A665" s="133" t="s">
        <v>2</v>
      </c>
      <c r="B665" s="133" t="s">
        <v>4567</v>
      </c>
      <c r="C665" s="133" t="s">
        <v>4604</v>
      </c>
      <c r="D665" s="133" t="s">
        <v>477</v>
      </c>
      <c r="E665" s="158">
        <v>110</v>
      </c>
      <c r="F665" s="158">
        <v>0</v>
      </c>
      <c r="G665" s="158">
        <v>0</v>
      </c>
      <c r="H665" s="133" t="s">
        <v>479</v>
      </c>
      <c r="I665" s="133" t="s">
        <v>479</v>
      </c>
      <c r="J665" s="158">
        <v>0</v>
      </c>
      <c r="K665" s="159"/>
    </row>
    <row r="666" spans="1:11" ht="15.75" hidden="1" customHeight="1">
      <c r="A666" s="133" t="s">
        <v>2</v>
      </c>
      <c r="B666" s="133" t="s">
        <v>4567</v>
      </c>
      <c r="C666" s="133" t="s">
        <v>2475</v>
      </c>
      <c r="D666" s="133" t="s">
        <v>477</v>
      </c>
      <c r="E666" s="158">
        <v>20</v>
      </c>
      <c r="F666" s="158">
        <v>0</v>
      </c>
      <c r="G666" s="158">
        <v>0</v>
      </c>
      <c r="H666" s="133" t="s">
        <v>479</v>
      </c>
      <c r="I666" s="133" t="s">
        <v>479</v>
      </c>
      <c r="J666" s="158">
        <v>0</v>
      </c>
      <c r="K666" s="159"/>
    </row>
    <row r="667" spans="1:11" ht="15.75" hidden="1" customHeight="1">
      <c r="A667" s="133" t="s">
        <v>2</v>
      </c>
      <c r="B667" s="133" t="s">
        <v>4567</v>
      </c>
      <c r="C667" s="133" t="s">
        <v>4605</v>
      </c>
      <c r="D667" s="133" t="s">
        <v>477</v>
      </c>
      <c r="E667" s="158">
        <v>100</v>
      </c>
      <c r="F667" s="158">
        <v>0</v>
      </c>
      <c r="G667" s="158">
        <v>0</v>
      </c>
      <c r="H667" s="133" t="s">
        <v>479</v>
      </c>
      <c r="I667" s="133" t="s">
        <v>479</v>
      </c>
      <c r="J667" s="158">
        <v>0</v>
      </c>
      <c r="K667" s="159"/>
    </row>
    <row r="668" spans="1:11" ht="15.75" hidden="1" customHeight="1">
      <c r="A668" s="133" t="s">
        <v>2</v>
      </c>
      <c r="B668" s="133" t="s">
        <v>4567</v>
      </c>
      <c r="C668" s="133" t="s">
        <v>4606</v>
      </c>
      <c r="D668" s="133" t="s">
        <v>477</v>
      </c>
      <c r="E668" s="158">
        <v>20</v>
      </c>
      <c r="F668" s="158">
        <v>0</v>
      </c>
      <c r="G668" s="158">
        <v>0</v>
      </c>
      <c r="H668" s="133" t="s">
        <v>479</v>
      </c>
      <c r="I668" s="133" t="s">
        <v>479</v>
      </c>
      <c r="J668" s="158">
        <v>0</v>
      </c>
      <c r="K668" s="159"/>
    </row>
    <row r="669" spans="1:11" ht="15.75" hidden="1" customHeight="1">
      <c r="A669" s="133" t="s">
        <v>2</v>
      </c>
      <c r="B669" s="133" t="s">
        <v>4567</v>
      </c>
      <c r="C669" s="133" t="s">
        <v>4607</v>
      </c>
      <c r="D669" s="133" t="s">
        <v>477</v>
      </c>
      <c r="E669" s="158">
        <v>20</v>
      </c>
      <c r="F669" s="158">
        <v>0</v>
      </c>
      <c r="G669" s="158">
        <v>0</v>
      </c>
      <c r="H669" s="133" t="s">
        <v>479</v>
      </c>
      <c r="I669" s="133" t="s">
        <v>479</v>
      </c>
      <c r="J669" s="158">
        <v>0</v>
      </c>
      <c r="K669" s="159"/>
    </row>
    <row r="670" spans="1:11" ht="15.75" hidden="1" customHeight="1">
      <c r="A670" s="133" t="s">
        <v>2</v>
      </c>
      <c r="B670" s="133" t="s">
        <v>4567</v>
      </c>
      <c r="C670" s="133" t="s">
        <v>4608</v>
      </c>
      <c r="D670" s="133" t="s">
        <v>477</v>
      </c>
      <c r="E670" s="158">
        <v>20</v>
      </c>
      <c r="F670" s="158">
        <v>0</v>
      </c>
      <c r="G670" s="158">
        <v>0</v>
      </c>
      <c r="H670" s="133" t="s">
        <v>479</v>
      </c>
      <c r="I670" s="133" t="s">
        <v>479</v>
      </c>
      <c r="J670" s="158">
        <v>0</v>
      </c>
      <c r="K670" s="159"/>
    </row>
    <row r="671" spans="1:11" ht="15.75" hidden="1" customHeight="1">
      <c r="A671" s="133" t="s">
        <v>2</v>
      </c>
      <c r="B671" s="133" t="s">
        <v>4567</v>
      </c>
      <c r="C671" s="133" t="s">
        <v>708</v>
      </c>
      <c r="D671" s="133" t="s">
        <v>477</v>
      </c>
      <c r="E671" s="158">
        <v>20</v>
      </c>
      <c r="F671" s="158">
        <v>0</v>
      </c>
      <c r="G671" s="158">
        <v>0</v>
      </c>
      <c r="H671" s="133" t="s">
        <v>479</v>
      </c>
      <c r="I671" s="133" t="s">
        <v>479</v>
      </c>
      <c r="J671" s="158">
        <v>0</v>
      </c>
      <c r="K671" s="159"/>
    </row>
    <row r="672" spans="1:11" ht="15.75" hidden="1" customHeight="1">
      <c r="A672" s="133" t="s">
        <v>2</v>
      </c>
      <c r="B672" s="133" t="s">
        <v>4567</v>
      </c>
      <c r="C672" s="133" t="s">
        <v>712</v>
      </c>
      <c r="D672" s="133" t="s">
        <v>477</v>
      </c>
      <c r="E672" s="158">
        <v>100</v>
      </c>
      <c r="F672" s="158">
        <v>0</v>
      </c>
      <c r="G672" s="158">
        <v>0</v>
      </c>
      <c r="H672" s="133" t="s">
        <v>479</v>
      </c>
      <c r="I672" s="133" t="s">
        <v>479</v>
      </c>
      <c r="J672" s="158">
        <v>0</v>
      </c>
      <c r="K672" s="159"/>
    </row>
    <row r="673" spans="1:11" ht="15.75" hidden="1" customHeight="1">
      <c r="A673" s="133" t="s">
        <v>2</v>
      </c>
      <c r="B673" s="133" t="s">
        <v>4567</v>
      </c>
      <c r="C673" s="133" t="s">
        <v>1741</v>
      </c>
      <c r="D673" s="133" t="s">
        <v>477</v>
      </c>
      <c r="E673" s="158">
        <v>100</v>
      </c>
      <c r="F673" s="158">
        <v>0</v>
      </c>
      <c r="G673" s="158">
        <v>0</v>
      </c>
      <c r="H673" s="133" t="s">
        <v>479</v>
      </c>
      <c r="I673" s="133" t="s">
        <v>479</v>
      </c>
      <c r="J673" s="158">
        <v>0</v>
      </c>
      <c r="K673" s="159"/>
    </row>
    <row r="674" spans="1:11" ht="15.75" hidden="1" customHeight="1">
      <c r="A674" s="133" t="s">
        <v>2</v>
      </c>
      <c r="B674" s="133" t="s">
        <v>4567</v>
      </c>
      <c r="C674" s="133" t="s">
        <v>4609</v>
      </c>
      <c r="D674" s="133" t="s">
        <v>484</v>
      </c>
      <c r="E674" s="158">
        <v>4</v>
      </c>
      <c r="F674" s="158">
        <v>10</v>
      </c>
      <c r="G674" s="158">
        <v>0</v>
      </c>
      <c r="H674" s="133" t="s">
        <v>479</v>
      </c>
      <c r="I674" s="133" t="s">
        <v>479</v>
      </c>
      <c r="J674" s="158">
        <v>0</v>
      </c>
      <c r="K674" s="159"/>
    </row>
    <row r="675" spans="1:11" ht="15.75" hidden="1" customHeight="1">
      <c r="A675" s="133" t="s">
        <v>2</v>
      </c>
      <c r="B675" s="133" t="s">
        <v>4567</v>
      </c>
      <c r="C675" s="133" t="s">
        <v>1194</v>
      </c>
      <c r="D675" s="133" t="s">
        <v>481</v>
      </c>
      <c r="E675" s="158">
        <v>5</v>
      </c>
      <c r="F675" s="158">
        <v>9</v>
      </c>
      <c r="G675" s="158">
        <v>2</v>
      </c>
      <c r="H675" s="133" t="s">
        <v>479</v>
      </c>
      <c r="I675" s="133" t="s">
        <v>479</v>
      </c>
      <c r="J675" s="158">
        <v>0</v>
      </c>
      <c r="K675" s="159"/>
    </row>
    <row r="676" spans="1:11" ht="15.75" hidden="1" customHeight="1">
      <c r="A676" s="133" t="s">
        <v>2</v>
      </c>
      <c r="B676" s="133" t="s">
        <v>4567</v>
      </c>
      <c r="C676" s="133" t="s">
        <v>658</v>
      </c>
      <c r="D676" s="133" t="s">
        <v>481</v>
      </c>
      <c r="E676" s="158">
        <v>5</v>
      </c>
      <c r="F676" s="158">
        <v>9</v>
      </c>
      <c r="G676" s="158">
        <v>2</v>
      </c>
      <c r="H676" s="133" t="s">
        <v>479</v>
      </c>
      <c r="I676" s="133" t="s">
        <v>479</v>
      </c>
      <c r="J676" s="158">
        <v>0</v>
      </c>
      <c r="K676" s="159"/>
    </row>
    <row r="677" spans="1:11" ht="15.75" hidden="1" customHeight="1">
      <c r="A677" s="133" t="s">
        <v>2</v>
      </c>
      <c r="B677" s="133" t="s">
        <v>4567</v>
      </c>
      <c r="C677" s="133" t="s">
        <v>4610</v>
      </c>
      <c r="D677" s="133" t="s">
        <v>481</v>
      </c>
      <c r="E677" s="158">
        <v>9</v>
      </c>
      <c r="F677" s="158">
        <v>11</v>
      </c>
      <c r="G677" s="158">
        <v>2</v>
      </c>
      <c r="H677" s="133" t="s">
        <v>479</v>
      </c>
      <c r="I677" s="133" t="s">
        <v>479</v>
      </c>
      <c r="J677" s="158">
        <v>0</v>
      </c>
      <c r="K677" s="159"/>
    </row>
    <row r="678" spans="1:11" ht="15.75" hidden="1" customHeight="1">
      <c r="A678" s="133" t="s">
        <v>2</v>
      </c>
      <c r="B678" s="133" t="s">
        <v>4567</v>
      </c>
      <c r="C678" s="133" t="s">
        <v>1195</v>
      </c>
      <c r="D678" s="133" t="s">
        <v>481</v>
      </c>
      <c r="E678" s="158">
        <v>5</v>
      </c>
      <c r="F678" s="158">
        <v>9</v>
      </c>
      <c r="G678" s="158">
        <v>2</v>
      </c>
      <c r="H678" s="133" t="s">
        <v>479</v>
      </c>
      <c r="I678" s="133" t="s">
        <v>479</v>
      </c>
      <c r="J678" s="158">
        <v>0</v>
      </c>
      <c r="K678" s="159"/>
    </row>
    <row r="679" spans="1:11" ht="15.75" hidden="1" customHeight="1">
      <c r="A679" s="133" t="s">
        <v>2</v>
      </c>
      <c r="B679" s="133" t="s">
        <v>4567</v>
      </c>
      <c r="C679" s="133" t="s">
        <v>1819</v>
      </c>
      <c r="D679" s="133" t="s">
        <v>477</v>
      </c>
      <c r="E679" s="158">
        <v>20</v>
      </c>
      <c r="F679" s="158">
        <v>0</v>
      </c>
      <c r="G679" s="158">
        <v>0</v>
      </c>
      <c r="H679" s="133" t="s">
        <v>479</v>
      </c>
      <c r="I679" s="133" t="s">
        <v>479</v>
      </c>
      <c r="J679" s="158">
        <v>0</v>
      </c>
      <c r="K679" s="159"/>
    </row>
    <row r="680" spans="1:11" ht="15.75" hidden="1" customHeight="1">
      <c r="A680" s="133" t="s">
        <v>2</v>
      </c>
      <c r="B680" s="133" t="s">
        <v>4567</v>
      </c>
      <c r="C680" s="133" t="s">
        <v>4557</v>
      </c>
      <c r="D680" s="133" t="s">
        <v>481</v>
      </c>
      <c r="E680" s="158">
        <v>5</v>
      </c>
      <c r="F680" s="158">
        <v>9</v>
      </c>
      <c r="G680" s="158">
        <v>2</v>
      </c>
      <c r="H680" s="133" t="s">
        <v>479</v>
      </c>
      <c r="I680" s="133" t="s">
        <v>479</v>
      </c>
      <c r="J680" s="158">
        <v>0</v>
      </c>
      <c r="K680" s="159"/>
    </row>
    <row r="681" spans="1:11" ht="15.75" hidden="1" customHeight="1">
      <c r="A681" s="133" t="s">
        <v>2</v>
      </c>
      <c r="B681" s="133" t="s">
        <v>4567</v>
      </c>
      <c r="C681" s="133" t="s">
        <v>4611</v>
      </c>
      <c r="D681" s="133" t="s">
        <v>481</v>
      </c>
      <c r="E681" s="158">
        <v>5</v>
      </c>
      <c r="F681" s="158">
        <v>9</v>
      </c>
      <c r="G681" s="158">
        <v>2</v>
      </c>
      <c r="H681" s="133" t="s">
        <v>479</v>
      </c>
      <c r="I681" s="133" t="s">
        <v>479</v>
      </c>
      <c r="J681" s="158">
        <v>0</v>
      </c>
      <c r="K681" s="159"/>
    </row>
    <row r="682" spans="1:11" ht="15.75" hidden="1" customHeight="1">
      <c r="A682" s="133" t="s">
        <v>2</v>
      </c>
      <c r="B682" s="133" t="s">
        <v>4567</v>
      </c>
      <c r="C682" s="133" t="s">
        <v>1265</v>
      </c>
      <c r="D682" s="133" t="s">
        <v>481</v>
      </c>
      <c r="E682" s="158">
        <v>9</v>
      </c>
      <c r="F682" s="158">
        <v>11</v>
      </c>
      <c r="G682" s="158">
        <v>2</v>
      </c>
      <c r="H682" s="133" t="s">
        <v>479</v>
      </c>
      <c r="I682" s="133" t="s">
        <v>479</v>
      </c>
      <c r="J682" s="158">
        <v>0</v>
      </c>
      <c r="K682" s="159"/>
    </row>
    <row r="683" spans="1:11" ht="15.75" hidden="1" customHeight="1">
      <c r="A683" s="133" t="s">
        <v>2</v>
      </c>
      <c r="B683" s="133" t="s">
        <v>4567</v>
      </c>
      <c r="C683" s="133" t="s">
        <v>1267</v>
      </c>
      <c r="D683" s="133" t="s">
        <v>481</v>
      </c>
      <c r="E683" s="158">
        <v>5</v>
      </c>
      <c r="F683" s="158">
        <v>9</v>
      </c>
      <c r="G683" s="158">
        <v>2</v>
      </c>
      <c r="H683" s="133" t="s">
        <v>479</v>
      </c>
      <c r="I683" s="133" t="s">
        <v>479</v>
      </c>
      <c r="J683" s="158">
        <v>0</v>
      </c>
      <c r="K683" s="159"/>
    </row>
    <row r="684" spans="1:11" ht="15.75" hidden="1" customHeight="1">
      <c r="A684" s="133" t="s">
        <v>2</v>
      </c>
      <c r="B684" s="133" t="s">
        <v>4567</v>
      </c>
      <c r="C684" s="133" t="s">
        <v>1243</v>
      </c>
      <c r="D684" s="133" t="s">
        <v>481</v>
      </c>
      <c r="E684" s="158">
        <v>9</v>
      </c>
      <c r="F684" s="158">
        <v>11</v>
      </c>
      <c r="G684" s="158">
        <v>2</v>
      </c>
      <c r="H684" s="133" t="s">
        <v>479</v>
      </c>
      <c r="I684" s="133" t="s">
        <v>479</v>
      </c>
      <c r="J684" s="158">
        <v>0</v>
      </c>
      <c r="K684" s="159"/>
    </row>
    <row r="685" spans="1:11" ht="15.75" hidden="1" customHeight="1">
      <c r="A685" s="133" t="s">
        <v>2</v>
      </c>
      <c r="B685" s="133" t="s">
        <v>4567</v>
      </c>
      <c r="C685" s="133" t="s">
        <v>663</v>
      </c>
      <c r="D685" s="133" t="s">
        <v>481</v>
      </c>
      <c r="E685" s="158">
        <v>5</v>
      </c>
      <c r="F685" s="158">
        <v>9</v>
      </c>
      <c r="G685" s="158">
        <v>2</v>
      </c>
      <c r="H685" s="133" t="s">
        <v>479</v>
      </c>
      <c r="I685" s="133" t="s">
        <v>479</v>
      </c>
      <c r="J685" s="158">
        <v>0</v>
      </c>
      <c r="K685" s="159"/>
    </row>
    <row r="686" spans="1:11" ht="15.75" hidden="1" customHeight="1">
      <c r="A686" s="133" t="s">
        <v>2</v>
      </c>
      <c r="B686" s="133" t="s">
        <v>4567</v>
      </c>
      <c r="C686" s="133" t="s">
        <v>4612</v>
      </c>
      <c r="D686" s="133" t="s">
        <v>484</v>
      </c>
      <c r="E686" s="158">
        <v>4</v>
      </c>
      <c r="F686" s="158">
        <v>10</v>
      </c>
      <c r="G686" s="158">
        <v>0</v>
      </c>
      <c r="H686" s="133" t="s">
        <v>479</v>
      </c>
      <c r="I686" s="133" t="s">
        <v>479</v>
      </c>
      <c r="J686" s="158">
        <v>0</v>
      </c>
      <c r="K686" s="159"/>
    </row>
    <row r="687" spans="1:11" ht="15.75" hidden="1" customHeight="1">
      <c r="A687" s="133" t="s">
        <v>2</v>
      </c>
      <c r="B687" s="133" t="s">
        <v>4567</v>
      </c>
      <c r="C687" s="133" t="s">
        <v>4613</v>
      </c>
      <c r="D687" s="133" t="s">
        <v>481</v>
      </c>
      <c r="E687" s="158">
        <v>5</v>
      </c>
      <c r="F687" s="158">
        <v>9</v>
      </c>
      <c r="G687" s="158">
        <v>2</v>
      </c>
      <c r="H687" s="133" t="s">
        <v>479</v>
      </c>
      <c r="I687" s="133" t="s">
        <v>479</v>
      </c>
      <c r="J687" s="158">
        <v>0</v>
      </c>
      <c r="K687" s="159"/>
    </row>
    <row r="688" spans="1:11" ht="15.75" hidden="1" customHeight="1">
      <c r="A688" s="133" t="s">
        <v>2</v>
      </c>
      <c r="B688" s="133" t="s">
        <v>4567</v>
      </c>
      <c r="C688" s="133" t="s">
        <v>228</v>
      </c>
      <c r="D688" s="133" t="s">
        <v>477</v>
      </c>
      <c r="E688" s="158">
        <v>20</v>
      </c>
      <c r="F688" s="158">
        <v>0</v>
      </c>
      <c r="G688" s="158">
        <v>0</v>
      </c>
      <c r="H688" s="133" t="s">
        <v>479</v>
      </c>
      <c r="I688" s="133" t="s">
        <v>479</v>
      </c>
      <c r="J688" s="158">
        <v>0</v>
      </c>
      <c r="K688" s="159"/>
    </row>
    <row r="689" spans="1:11" ht="15.75" hidden="1" customHeight="1">
      <c r="A689" s="133" t="s">
        <v>2</v>
      </c>
      <c r="B689" s="133" t="s">
        <v>4567</v>
      </c>
      <c r="C689" s="133" t="s">
        <v>4614</v>
      </c>
      <c r="D689" s="133" t="s">
        <v>481</v>
      </c>
      <c r="E689" s="158">
        <v>9</v>
      </c>
      <c r="F689" s="158">
        <v>11</v>
      </c>
      <c r="G689" s="158">
        <v>2</v>
      </c>
      <c r="H689" s="133" t="s">
        <v>479</v>
      </c>
      <c r="I689" s="133" t="s">
        <v>479</v>
      </c>
      <c r="J689" s="158">
        <v>0</v>
      </c>
      <c r="K689" s="159"/>
    </row>
    <row r="690" spans="1:11" ht="15.75" hidden="1" customHeight="1">
      <c r="A690" s="133" t="s">
        <v>2</v>
      </c>
      <c r="B690" s="133" t="s">
        <v>4567</v>
      </c>
      <c r="C690" s="133" t="s">
        <v>2452</v>
      </c>
      <c r="D690" s="133" t="s">
        <v>481</v>
      </c>
      <c r="E690" s="158">
        <v>5</v>
      </c>
      <c r="F690" s="158">
        <v>9</v>
      </c>
      <c r="G690" s="158">
        <v>2</v>
      </c>
      <c r="H690" s="133" t="s">
        <v>479</v>
      </c>
      <c r="I690" s="133" t="s">
        <v>479</v>
      </c>
      <c r="J690" s="158">
        <v>0</v>
      </c>
      <c r="K690" s="159"/>
    </row>
    <row r="691" spans="1:11" ht="15.75" hidden="1" customHeight="1">
      <c r="A691" s="133" t="s">
        <v>2</v>
      </c>
      <c r="B691" s="133" t="s">
        <v>4567</v>
      </c>
      <c r="C691" s="133" t="s">
        <v>2694</v>
      </c>
      <c r="D691" s="133" t="s">
        <v>477</v>
      </c>
      <c r="E691" s="158">
        <v>2000</v>
      </c>
      <c r="F691" s="158">
        <v>0</v>
      </c>
      <c r="G691" s="158">
        <v>0</v>
      </c>
      <c r="H691" s="133" t="s">
        <v>479</v>
      </c>
      <c r="I691" s="133" t="s">
        <v>479</v>
      </c>
      <c r="J691" s="158">
        <v>0</v>
      </c>
      <c r="K691" s="159"/>
    </row>
    <row r="692" spans="1:11" ht="15.75" hidden="1" customHeight="1">
      <c r="A692" s="133" t="s">
        <v>2</v>
      </c>
      <c r="B692" s="133" t="s">
        <v>4567</v>
      </c>
      <c r="C692" s="133" t="s">
        <v>4615</v>
      </c>
      <c r="D692" s="133" t="s">
        <v>477</v>
      </c>
      <c r="E692" s="158">
        <v>2000</v>
      </c>
      <c r="F692" s="158">
        <v>0</v>
      </c>
      <c r="G692" s="158">
        <v>0</v>
      </c>
      <c r="H692" s="133" t="s">
        <v>479</v>
      </c>
      <c r="I692" s="133" t="s">
        <v>479</v>
      </c>
      <c r="J692" s="158">
        <v>0</v>
      </c>
      <c r="K692" s="159"/>
    </row>
    <row r="693" spans="1:11" ht="15.75" hidden="1" customHeight="1">
      <c r="A693" s="133" t="s">
        <v>2</v>
      </c>
      <c r="B693" s="133" t="s">
        <v>4567</v>
      </c>
      <c r="C693" s="133" t="s">
        <v>2590</v>
      </c>
      <c r="D693" s="133" t="s">
        <v>481</v>
      </c>
      <c r="E693" s="158">
        <v>5</v>
      </c>
      <c r="F693" s="158">
        <v>9</v>
      </c>
      <c r="G693" s="158">
        <v>2</v>
      </c>
      <c r="H693" s="133" t="s">
        <v>479</v>
      </c>
      <c r="I693" s="133" t="s">
        <v>479</v>
      </c>
      <c r="J693" s="158">
        <v>0</v>
      </c>
      <c r="K693" s="159"/>
    </row>
    <row r="694" spans="1:11" ht="15.75" hidden="1" customHeight="1">
      <c r="A694" s="133" t="s">
        <v>2</v>
      </c>
      <c r="B694" s="133" t="s">
        <v>4567</v>
      </c>
      <c r="C694" s="133" t="s">
        <v>2588</v>
      </c>
      <c r="D694" s="133" t="s">
        <v>481</v>
      </c>
      <c r="E694" s="158">
        <v>5</v>
      </c>
      <c r="F694" s="158">
        <v>9</v>
      </c>
      <c r="G694" s="158">
        <v>2</v>
      </c>
      <c r="H694" s="133" t="s">
        <v>479</v>
      </c>
      <c r="I694" s="133" t="s">
        <v>479</v>
      </c>
      <c r="J694" s="158">
        <v>0</v>
      </c>
      <c r="K694" s="159"/>
    </row>
    <row r="695" spans="1:11" ht="15.75" hidden="1" customHeight="1">
      <c r="A695" s="133" t="s">
        <v>2</v>
      </c>
      <c r="B695" s="133" t="s">
        <v>4567</v>
      </c>
      <c r="C695" s="133" t="s">
        <v>2705</v>
      </c>
      <c r="D695" s="133" t="s">
        <v>481</v>
      </c>
      <c r="E695" s="158">
        <v>5</v>
      </c>
      <c r="F695" s="158">
        <v>9</v>
      </c>
      <c r="G695" s="158">
        <v>2</v>
      </c>
      <c r="H695" s="133" t="s">
        <v>479</v>
      </c>
      <c r="I695" s="133" t="s">
        <v>479</v>
      </c>
      <c r="J695" s="158">
        <v>0</v>
      </c>
      <c r="K695" s="159"/>
    </row>
    <row r="696" spans="1:11" ht="15.75" hidden="1" customHeight="1">
      <c r="A696" s="133" t="s">
        <v>2</v>
      </c>
      <c r="B696" s="133" t="s">
        <v>4567</v>
      </c>
      <c r="C696" s="133" t="s">
        <v>2709</v>
      </c>
      <c r="D696" s="133" t="s">
        <v>477</v>
      </c>
      <c r="E696" s="158">
        <v>100</v>
      </c>
      <c r="F696" s="158">
        <v>0</v>
      </c>
      <c r="G696" s="158">
        <v>0</v>
      </c>
      <c r="H696" s="133" t="s">
        <v>479</v>
      </c>
      <c r="I696" s="133" t="s">
        <v>479</v>
      </c>
      <c r="J696" s="158">
        <v>0</v>
      </c>
      <c r="K696" s="159"/>
    </row>
    <row r="697" spans="1:11" ht="15.75" hidden="1" customHeight="1">
      <c r="A697" s="133" t="s">
        <v>2</v>
      </c>
      <c r="B697" s="133" t="s">
        <v>4567</v>
      </c>
      <c r="C697" s="133" t="s">
        <v>2701</v>
      </c>
      <c r="D697" s="133" t="s">
        <v>481</v>
      </c>
      <c r="E697" s="158">
        <v>5</v>
      </c>
      <c r="F697" s="158">
        <v>9</v>
      </c>
      <c r="G697" s="158">
        <v>2</v>
      </c>
      <c r="H697" s="133" t="s">
        <v>479</v>
      </c>
      <c r="I697" s="133" t="s">
        <v>479</v>
      </c>
      <c r="J697" s="158">
        <v>0</v>
      </c>
      <c r="K697" s="159"/>
    </row>
    <row r="698" spans="1:11" ht="15.75" hidden="1" customHeight="1">
      <c r="A698" s="133" t="s">
        <v>2</v>
      </c>
      <c r="B698" s="133" t="s">
        <v>4567</v>
      </c>
      <c r="C698" s="133" t="s">
        <v>4616</v>
      </c>
      <c r="D698" s="133" t="s">
        <v>481</v>
      </c>
      <c r="E698" s="158">
        <v>5</v>
      </c>
      <c r="F698" s="158">
        <v>9</v>
      </c>
      <c r="G698" s="158">
        <v>2</v>
      </c>
      <c r="H698" s="133" t="s">
        <v>479</v>
      </c>
      <c r="I698" s="133" t="s">
        <v>479</v>
      </c>
      <c r="J698" s="158">
        <v>0</v>
      </c>
      <c r="K698" s="159"/>
    </row>
    <row r="699" spans="1:11" ht="15.75" hidden="1" customHeight="1">
      <c r="A699" s="133" t="s">
        <v>2</v>
      </c>
      <c r="B699" s="133" t="s">
        <v>4567</v>
      </c>
      <c r="C699" s="133" t="s">
        <v>2697</v>
      </c>
      <c r="D699" s="133" t="s">
        <v>481</v>
      </c>
      <c r="E699" s="158">
        <v>5</v>
      </c>
      <c r="F699" s="158">
        <v>9</v>
      </c>
      <c r="G699" s="158">
        <v>2</v>
      </c>
      <c r="H699" s="133" t="s">
        <v>479</v>
      </c>
      <c r="I699" s="133" t="s">
        <v>479</v>
      </c>
      <c r="J699" s="158">
        <v>0</v>
      </c>
      <c r="K699" s="159"/>
    </row>
    <row r="700" spans="1:11" ht="15.75" hidden="1" customHeight="1">
      <c r="A700" s="133" t="s">
        <v>2</v>
      </c>
      <c r="B700" s="133" t="s">
        <v>4567</v>
      </c>
      <c r="C700" s="133" t="s">
        <v>4617</v>
      </c>
      <c r="D700" s="133" t="s">
        <v>481</v>
      </c>
      <c r="E700" s="158">
        <v>5</v>
      </c>
      <c r="F700" s="158">
        <v>9</v>
      </c>
      <c r="G700" s="158">
        <v>2</v>
      </c>
      <c r="H700" s="133" t="s">
        <v>479</v>
      </c>
      <c r="I700" s="133" t="s">
        <v>479</v>
      </c>
      <c r="J700" s="158">
        <v>0</v>
      </c>
      <c r="K700" s="159"/>
    </row>
    <row r="701" spans="1:11" ht="15.75" hidden="1" customHeight="1">
      <c r="A701" s="133" t="s">
        <v>2</v>
      </c>
      <c r="B701" s="133" t="s">
        <v>4567</v>
      </c>
      <c r="C701" s="133" t="s">
        <v>2711</v>
      </c>
      <c r="D701" s="133" t="s">
        <v>481</v>
      </c>
      <c r="E701" s="158">
        <v>5</v>
      </c>
      <c r="F701" s="158">
        <v>9</v>
      </c>
      <c r="G701" s="158">
        <v>2</v>
      </c>
      <c r="H701" s="133" t="s">
        <v>479</v>
      </c>
      <c r="I701" s="133" t="s">
        <v>479</v>
      </c>
      <c r="J701" s="158">
        <v>0</v>
      </c>
      <c r="K701" s="159"/>
    </row>
    <row r="702" spans="1:11" ht="15.75" hidden="1" customHeight="1">
      <c r="A702" s="133" t="s">
        <v>2</v>
      </c>
      <c r="B702" s="133" t="s">
        <v>4567</v>
      </c>
      <c r="C702" s="133" t="s">
        <v>4618</v>
      </c>
      <c r="D702" s="133" t="s">
        <v>481</v>
      </c>
      <c r="E702" s="158">
        <v>5</v>
      </c>
      <c r="F702" s="158">
        <v>9</v>
      </c>
      <c r="G702" s="158">
        <v>2</v>
      </c>
      <c r="H702" s="133" t="s">
        <v>479</v>
      </c>
      <c r="I702" s="133" t="s">
        <v>479</v>
      </c>
      <c r="J702" s="158">
        <v>0</v>
      </c>
      <c r="K702" s="159"/>
    </row>
    <row r="703" spans="1:11" ht="15.75" hidden="1" customHeight="1">
      <c r="A703" s="133" t="s">
        <v>2</v>
      </c>
      <c r="B703" s="133" t="s">
        <v>4567</v>
      </c>
      <c r="C703" s="133" t="s">
        <v>2732</v>
      </c>
      <c r="D703" s="133" t="s">
        <v>481</v>
      </c>
      <c r="E703" s="158">
        <v>5</v>
      </c>
      <c r="F703" s="158">
        <v>9</v>
      </c>
      <c r="G703" s="158">
        <v>2</v>
      </c>
      <c r="H703" s="133" t="s">
        <v>479</v>
      </c>
      <c r="I703" s="133" t="s">
        <v>479</v>
      </c>
      <c r="J703" s="158">
        <v>0</v>
      </c>
      <c r="K703" s="159"/>
    </row>
    <row r="704" spans="1:11" ht="15.75" hidden="1" customHeight="1">
      <c r="A704" s="133" t="s">
        <v>2</v>
      </c>
      <c r="B704" s="133" t="s">
        <v>4567</v>
      </c>
      <c r="C704" s="133" t="s">
        <v>2734</v>
      </c>
      <c r="D704" s="133" t="s">
        <v>484</v>
      </c>
      <c r="E704" s="158">
        <v>4</v>
      </c>
      <c r="F704" s="158">
        <v>10</v>
      </c>
      <c r="G704" s="158">
        <v>0</v>
      </c>
      <c r="H704" s="133" t="s">
        <v>479</v>
      </c>
      <c r="I704" s="133" t="s">
        <v>479</v>
      </c>
      <c r="J704" s="158">
        <v>0</v>
      </c>
      <c r="K704" s="159"/>
    </row>
    <row r="705" spans="1:11" ht="15.75" hidden="1" customHeight="1">
      <c r="A705" s="133" t="s">
        <v>2</v>
      </c>
      <c r="B705" s="133" t="s">
        <v>4567</v>
      </c>
      <c r="C705" s="133" t="s">
        <v>654</v>
      </c>
      <c r="D705" s="133" t="s">
        <v>481</v>
      </c>
      <c r="E705" s="158">
        <v>5</v>
      </c>
      <c r="F705" s="158">
        <v>9</v>
      </c>
      <c r="G705" s="158">
        <v>2</v>
      </c>
      <c r="H705" s="133" t="s">
        <v>479</v>
      </c>
      <c r="I705" s="133" t="s">
        <v>479</v>
      </c>
      <c r="J705" s="158">
        <v>0</v>
      </c>
      <c r="K705" s="159"/>
    </row>
    <row r="706" spans="1:11" ht="15.75" hidden="1" customHeight="1">
      <c r="A706" s="133" t="s">
        <v>2</v>
      </c>
      <c r="B706" s="133" t="s">
        <v>4567</v>
      </c>
      <c r="C706" s="133" t="s">
        <v>2736</v>
      </c>
      <c r="D706" s="133" t="s">
        <v>477</v>
      </c>
      <c r="E706" s="158">
        <v>100</v>
      </c>
      <c r="F706" s="158">
        <v>0</v>
      </c>
      <c r="G706" s="158">
        <v>0</v>
      </c>
      <c r="H706" s="133" t="s">
        <v>479</v>
      </c>
      <c r="I706" s="133" t="s">
        <v>479</v>
      </c>
      <c r="J706" s="158">
        <v>0</v>
      </c>
      <c r="K706" s="159"/>
    </row>
    <row r="707" spans="1:11" ht="15.75" hidden="1" customHeight="1">
      <c r="A707" s="133" t="s">
        <v>2</v>
      </c>
      <c r="B707" s="133" t="s">
        <v>4567</v>
      </c>
      <c r="C707" s="133" t="s">
        <v>4619</v>
      </c>
      <c r="D707" s="133" t="s">
        <v>477</v>
      </c>
      <c r="E707" s="158">
        <v>20</v>
      </c>
      <c r="F707" s="158">
        <v>0</v>
      </c>
      <c r="G707" s="158">
        <v>0</v>
      </c>
      <c r="H707" s="133" t="s">
        <v>479</v>
      </c>
      <c r="I707" s="133" t="s">
        <v>479</v>
      </c>
      <c r="J707" s="158">
        <v>0</v>
      </c>
      <c r="K707" s="159"/>
    </row>
    <row r="708" spans="1:11" ht="15.75" hidden="1" customHeight="1">
      <c r="A708" s="133" t="s">
        <v>2</v>
      </c>
      <c r="B708" s="133" t="s">
        <v>4567</v>
      </c>
      <c r="C708" s="133" t="s">
        <v>4504</v>
      </c>
      <c r="D708" s="133" t="s">
        <v>477</v>
      </c>
      <c r="E708" s="158">
        <v>20</v>
      </c>
      <c r="F708" s="158">
        <v>0</v>
      </c>
      <c r="G708" s="158">
        <v>0</v>
      </c>
      <c r="H708" s="133" t="s">
        <v>479</v>
      </c>
      <c r="I708" s="133" t="s">
        <v>479</v>
      </c>
      <c r="J708" s="158">
        <v>0</v>
      </c>
      <c r="K708" s="159"/>
    </row>
    <row r="709" spans="1:11" ht="15.75" hidden="1" customHeight="1">
      <c r="A709" s="133" t="s">
        <v>2</v>
      </c>
      <c r="B709" s="133" t="s">
        <v>4567</v>
      </c>
      <c r="C709" s="133" t="s">
        <v>4620</v>
      </c>
      <c r="D709" s="133" t="s">
        <v>477</v>
      </c>
      <c r="E709" s="158">
        <v>20</v>
      </c>
      <c r="F709" s="158">
        <v>0</v>
      </c>
      <c r="G709" s="158">
        <v>0</v>
      </c>
      <c r="H709" s="133" t="s">
        <v>479</v>
      </c>
      <c r="I709" s="133" t="s">
        <v>479</v>
      </c>
      <c r="J709" s="158">
        <v>0</v>
      </c>
      <c r="K709" s="159"/>
    </row>
    <row r="710" spans="1:11" ht="15.75" hidden="1" customHeight="1">
      <c r="A710" s="133" t="s">
        <v>2</v>
      </c>
      <c r="B710" s="133" t="s">
        <v>4567</v>
      </c>
      <c r="C710" s="133" t="s">
        <v>2602</v>
      </c>
      <c r="D710" s="133" t="s">
        <v>484</v>
      </c>
      <c r="E710" s="158">
        <v>4</v>
      </c>
      <c r="F710" s="158">
        <v>10</v>
      </c>
      <c r="G710" s="158">
        <v>0</v>
      </c>
      <c r="H710" s="133" t="s">
        <v>479</v>
      </c>
      <c r="I710" s="133" t="s">
        <v>479</v>
      </c>
      <c r="J710" s="158">
        <v>0</v>
      </c>
      <c r="K710" s="159"/>
    </row>
    <row r="711" spans="1:11" ht="15.75" hidden="1" customHeight="1">
      <c r="A711" s="133" t="s">
        <v>2</v>
      </c>
      <c r="B711" s="133" t="s">
        <v>4567</v>
      </c>
      <c r="C711" s="133" t="s">
        <v>4621</v>
      </c>
      <c r="D711" s="133" t="s">
        <v>477</v>
      </c>
      <c r="E711" s="158">
        <v>500</v>
      </c>
      <c r="F711" s="158">
        <v>0</v>
      </c>
      <c r="G711" s="158">
        <v>0</v>
      </c>
      <c r="H711" s="133" t="s">
        <v>479</v>
      </c>
      <c r="I711" s="133" t="s">
        <v>479</v>
      </c>
      <c r="J711" s="158">
        <v>0</v>
      </c>
      <c r="K711" s="159"/>
    </row>
    <row r="712" spans="1:11" ht="15.75" hidden="1" customHeight="1">
      <c r="A712" s="133" t="s">
        <v>2</v>
      </c>
      <c r="B712" s="133" t="s">
        <v>4567</v>
      </c>
      <c r="C712" s="133" t="s">
        <v>4622</v>
      </c>
      <c r="D712" s="133" t="s">
        <v>477</v>
      </c>
      <c r="E712" s="158">
        <v>20</v>
      </c>
      <c r="F712" s="158">
        <v>0</v>
      </c>
      <c r="G712" s="158">
        <v>0</v>
      </c>
      <c r="H712" s="133" t="s">
        <v>479</v>
      </c>
      <c r="I712" s="133" t="s">
        <v>479</v>
      </c>
      <c r="J712" s="158">
        <v>0</v>
      </c>
      <c r="K712" s="159"/>
    </row>
    <row r="713" spans="1:11" ht="15.75" hidden="1" customHeight="1">
      <c r="A713" s="133" t="s">
        <v>2</v>
      </c>
      <c r="B713" s="133" t="s">
        <v>4567</v>
      </c>
      <c r="C713" s="133" t="s">
        <v>4623</v>
      </c>
      <c r="D713" s="133" t="s">
        <v>477</v>
      </c>
      <c r="E713" s="158">
        <v>20</v>
      </c>
      <c r="F713" s="158">
        <v>0</v>
      </c>
      <c r="G713" s="158">
        <v>0</v>
      </c>
      <c r="H713" s="133" t="s">
        <v>479</v>
      </c>
      <c r="I713" s="133" t="s">
        <v>479</v>
      </c>
      <c r="J713" s="158">
        <v>0</v>
      </c>
      <c r="K713" s="159"/>
    </row>
    <row r="714" spans="1:11" ht="15.75" hidden="1" customHeight="1">
      <c r="A714" s="133" t="s">
        <v>2</v>
      </c>
      <c r="B714" s="133" t="s">
        <v>4567</v>
      </c>
      <c r="C714" s="133" t="s">
        <v>814</v>
      </c>
      <c r="D714" s="133" t="s">
        <v>477</v>
      </c>
      <c r="E714" s="158">
        <v>100</v>
      </c>
      <c r="F714" s="158">
        <v>0</v>
      </c>
      <c r="G714" s="158">
        <v>0</v>
      </c>
      <c r="H714" s="133" t="s">
        <v>479</v>
      </c>
      <c r="I714" s="133" t="s">
        <v>479</v>
      </c>
      <c r="J714" s="158">
        <v>0</v>
      </c>
      <c r="K714" s="159"/>
    </row>
    <row r="715" spans="1:11" ht="15.75" hidden="1" customHeight="1">
      <c r="A715" s="133" t="s">
        <v>2</v>
      </c>
      <c r="B715" s="133" t="s">
        <v>4567</v>
      </c>
      <c r="C715" s="133" t="s">
        <v>523</v>
      </c>
      <c r="D715" s="133" t="s">
        <v>477</v>
      </c>
      <c r="E715" s="158">
        <v>20</v>
      </c>
      <c r="F715" s="158">
        <v>0</v>
      </c>
      <c r="G715" s="158">
        <v>0</v>
      </c>
      <c r="H715" s="133" t="s">
        <v>479</v>
      </c>
      <c r="I715" s="133" t="s">
        <v>479</v>
      </c>
      <c r="J715" s="158">
        <v>0</v>
      </c>
      <c r="K715" s="159"/>
    </row>
    <row r="716" spans="1:11" ht="15.75" hidden="1" customHeight="1">
      <c r="A716" s="133" t="s">
        <v>2</v>
      </c>
      <c r="B716" s="133" t="s">
        <v>4567</v>
      </c>
      <c r="C716" s="133" t="s">
        <v>669</v>
      </c>
      <c r="D716" s="133" t="s">
        <v>538</v>
      </c>
      <c r="E716" s="158">
        <v>8</v>
      </c>
      <c r="F716" s="158">
        <v>23</v>
      </c>
      <c r="G716" s="158">
        <v>3</v>
      </c>
      <c r="H716" s="133" t="s">
        <v>479</v>
      </c>
      <c r="I716" s="133" t="s">
        <v>479</v>
      </c>
      <c r="J716" s="158">
        <v>0</v>
      </c>
      <c r="K716" s="159"/>
    </row>
    <row r="717" spans="1:11" ht="15.75" hidden="1" customHeight="1">
      <c r="A717" s="133" t="s">
        <v>2</v>
      </c>
      <c r="B717" s="133" t="s">
        <v>4567</v>
      </c>
      <c r="C717" s="133" t="s">
        <v>816</v>
      </c>
      <c r="D717" s="133" t="s">
        <v>477</v>
      </c>
      <c r="E717" s="158">
        <v>100</v>
      </c>
      <c r="F717" s="158">
        <v>0</v>
      </c>
      <c r="G717" s="158">
        <v>0</v>
      </c>
      <c r="H717" s="133" t="s">
        <v>479</v>
      </c>
      <c r="I717" s="133" t="s">
        <v>479</v>
      </c>
      <c r="J717" s="158">
        <v>0</v>
      </c>
      <c r="K717" s="159"/>
    </row>
    <row r="718" spans="1:11" ht="15.75" hidden="1" customHeight="1">
      <c r="A718" s="133" t="s">
        <v>2</v>
      </c>
      <c r="B718" s="133" t="s">
        <v>4567</v>
      </c>
      <c r="C718" s="133" t="s">
        <v>670</v>
      </c>
      <c r="D718" s="133" t="s">
        <v>477</v>
      </c>
      <c r="E718" s="158">
        <v>20</v>
      </c>
      <c r="F718" s="158">
        <v>0</v>
      </c>
      <c r="G718" s="158">
        <v>0</v>
      </c>
      <c r="H718" s="133" t="s">
        <v>479</v>
      </c>
      <c r="I718" s="133" t="s">
        <v>479</v>
      </c>
      <c r="J718" s="158">
        <v>0</v>
      </c>
      <c r="K718" s="159"/>
    </row>
    <row r="719" spans="1:11" ht="15.75" hidden="1" customHeight="1">
      <c r="A719" s="133" t="s">
        <v>2</v>
      </c>
      <c r="B719" s="133" t="s">
        <v>4567</v>
      </c>
      <c r="C719" s="133" t="s">
        <v>215</v>
      </c>
      <c r="D719" s="133" t="s">
        <v>538</v>
      </c>
      <c r="E719" s="158">
        <v>8</v>
      </c>
      <c r="F719" s="158">
        <v>23</v>
      </c>
      <c r="G719" s="158">
        <v>3</v>
      </c>
      <c r="H719" s="133" t="s">
        <v>479</v>
      </c>
      <c r="I719" s="133" t="s">
        <v>479</v>
      </c>
      <c r="J719" s="158">
        <v>0</v>
      </c>
      <c r="K719" s="159"/>
    </row>
    <row r="720" spans="1:11" ht="15.75" hidden="1" customHeight="1">
      <c r="A720" s="133" t="s">
        <v>2</v>
      </c>
      <c r="B720" s="133" t="s">
        <v>4567</v>
      </c>
      <c r="C720" s="133" t="s">
        <v>4310</v>
      </c>
      <c r="D720" s="133" t="s">
        <v>477</v>
      </c>
      <c r="E720" s="158">
        <v>20</v>
      </c>
      <c r="F720" s="158">
        <v>0</v>
      </c>
      <c r="G720" s="158">
        <v>0</v>
      </c>
      <c r="H720" s="133" t="s">
        <v>479</v>
      </c>
      <c r="I720" s="133" t="s">
        <v>479</v>
      </c>
      <c r="J720" s="158">
        <v>0</v>
      </c>
      <c r="K720" s="159"/>
    </row>
    <row r="721" spans="1:11" ht="15.75" hidden="1" customHeight="1">
      <c r="A721" s="133" t="s">
        <v>2</v>
      </c>
      <c r="B721" s="133" t="s">
        <v>4567</v>
      </c>
      <c r="C721" s="133" t="s">
        <v>4624</v>
      </c>
      <c r="D721" s="133" t="s">
        <v>477</v>
      </c>
      <c r="E721" s="158">
        <v>20</v>
      </c>
      <c r="F721" s="158">
        <v>0</v>
      </c>
      <c r="G721" s="158">
        <v>0</v>
      </c>
      <c r="H721" s="133" t="s">
        <v>479</v>
      </c>
      <c r="I721" s="133" t="s">
        <v>479</v>
      </c>
      <c r="J721" s="158">
        <v>0</v>
      </c>
      <c r="K721" s="159"/>
    </row>
    <row r="722" spans="1:11" ht="15.75" hidden="1" customHeight="1">
      <c r="A722" s="133" t="s">
        <v>2</v>
      </c>
      <c r="B722" s="133" t="s">
        <v>4567</v>
      </c>
      <c r="C722" s="133" t="s">
        <v>4625</v>
      </c>
      <c r="D722" s="133" t="s">
        <v>496</v>
      </c>
      <c r="E722" s="158">
        <v>4</v>
      </c>
      <c r="F722" s="158">
        <v>16</v>
      </c>
      <c r="G722" s="158">
        <v>0</v>
      </c>
      <c r="H722" s="133" t="s">
        <v>479</v>
      </c>
      <c r="I722" s="133" t="s">
        <v>479</v>
      </c>
      <c r="J722" s="158">
        <v>0</v>
      </c>
      <c r="K722" s="159"/>
    </row>
    <row r="723" spans="1:11" ht="15.75" hidden="1" customHeight="1">
      <c r="A723" s="133" t="s">
        <v>2</v>
      </c>
      <c r="B723" s="133" t="s">
        <v>4567</v>
      </c>
      <c r="C723" s="133" t="s">
        <v>4626</v>
      </c>
      <c r="D723" s="133" t="s">
        <v>484</v>
      </c>
      <c r="E723" s="158">
        <v>4</v>
      </c>
      <c r="F723" s="158">
        <v>10</v>
      </c>
      <c r="G723" s="158">
        <v>0</v>
      </c>
      <c r="H723" s="133" t="s">
        <v>479</v>
      </c>
      <c r="I723" s="133" t="s">
        <v>479</v>
      </c>
      <c r="J723" s="158">
        <v>0</v>
      </c>
      <c r="K723" s="159"/>
    </row>
    <row r="724" spans="1:11" ht="15.75" hidden="1" customHeight="1">
      <c r="A724" s="133" t="s">
        <v>2</v>
      </c>
      <c r="B724" s="133" t="s">
        <v>4567</v>
      </c>
      <c r="C724" s="133" t="s">
        <v>4627</v>
      </c>
      <c r="D724" s="133" t="s">
        <v>477</v>
      </c>
      <c r="E724" s="158">
        <v>100</v>
      </c>
      <c r="F724" s="158">
        <v>0</v>
      </c>
      <c r="G724" s="158">
        <v>0</v>
      </c>
      <c r="H724" s="133" t="s">
        <v>479</v>
      </c>
      <c r="I724" s="133" t="s">
        <v>479</v>
      </c>
      <c r="J724" s="158">
        <v>0</v>
      </c>
      <c r="K724" s="159"/>
    </row>
    <row r="725" spans="1:11" ht="15.75" hidden="1" customHeight="1">
      <c r="A725" s="133" t="s">
        <v>2</v>
      </c>
      <c r="B725" s="133" t="s">
        <v>4567</v>
      </c>
      <c r="C725" s="133" t="s">
        <v>1991</v>
      </c>
      <c r="D725" s="133" t="s">
        <v>484</v>
      </c>
      <c r="E725" s="158">
        <v>4</v>
      </c>
      <c r="F725" s="158">
        <v>10</v>
      </c>
      <c r="G725" s="158">
        <v>0</v>
      </c>
      <c r="H725" s="133" t="s">
        <v>479</v>
      </c>
      <c r="I725" s="133" t="s">
        <v>479</v>
      </c>
      <c r="J725" s="158">
        <v>0</v>
      </c>
      <c r="K725" s="159"/>
    </row>
    <row r="726" spans="1:11" ht="15.75" hidden="1" customHeight="1">
      <c r="A726" s="133" t="s">
        <v>2</v>
      </c>
      <c r="B726" s="133" t="s">
        <v>4567</v>
      </c>
      <c r="C726" s="133" t="s">
        <v>4628</v>
      </c>
      <c r="D726" s="133" t="s">
        <v>477</v>
      </c>
      <c r="E726" s="158">
        <v>100</v>
      </c>
      <c r="F726" s="158">
        <v>0</v>
      </c>
      <c r="G726" s="158">
        <v>0</v>
      </c>
      <c r="H726" s="133" t="s">
        <v>479</v>
      </c>
      <c r="I726" s="133" t="s">
        <v>479</v>
      </c>
      <c r="J726" s="158">
        <v>0</v>
      </c>
      <c r="K726" s="159"/>
    </row>
    <row r="727" spans="1:11" ht="15.75" hidden="1" customHeight="1">
      <c r="A727" s="133" t="s">
        <v>2</v>
      </c>
      <c r="B727" s="133" t="s">
        <v>4567</v>
      </c>
      <c r="C727" s="133" t="s">
        <v>3519</v>
      </c>
      <c r="D727" s="133" t="s">
        <v>484</v>
      </c>
      <c r="E727" s="158">
        <v>4</v>
      </c>
      <c r="F727" s="158">
        <v>10</v>
      </c>
      <c r="G727" s="158">
        <v>0</v>
      </c>
      <c r="H727" s="133" t="s">
        <v>479</v>
      </c>
      <c r="I727" s="133" t="s">
        <v>479</v>
      </c>
      <c r="J727" s="158">
        <v>0</v>
      </c>
      <c r="K727" s="159"/>
    </row>
    <row r="728" spans="1:11" ht="15.75" hidden="1" customHeight="1">
      <c r="A728" s="133" t="s">
        <v>2</v>
      </c>
      <c r="B728" s="133" t="s">
        <v>4567</v>
      </c>
      <c r="C728" s="133" t="s">
        <v>3518</v>
      </c>
      <c r="D728" s="133" t="s">
        <v>477</v>
      </c>
      <c r="E728" s="158">
        <v>100</v>
      </c>
      <c r="F728" s="158">
        <v>0</v>
      </c>
      <c r="G728" s="158">
        <v>0</v>
      </c>
      <c r="H728" s="133" t="s">
        <v>479</v>
      </c>
      <c r="I728" s="133" t="s">
        <v>479</v>
      </c>
      <c r="J728" s="158">
        <v>0</v>
      </c>
      <c r="K728" s="159"/>
    </row>
    <row r="729" spans="1:11" ht="15.75" hidden="1" customHeight="1">
      <c r="A729" s="133" t="s">
        <v>2</v>
      </c>
      <c r="B729" s="133" t="s">
        <v>4567</v>
      </c>
      <c r="C729" s="133" t="s">
        <v>4629</v>
      </c>
      <c r="D729" s="133" t="s">
        <v>477</v>
      </c>
      <c r="E729" s="158">
        <v>20</v>
      </c>
      <c r="F729" s="158">
        <v>0</v>
      </c>
      <c r="G729" s="158">
        <v>0</v>
      </c>
      <c r="H729" s="133" t="s">
        <v>479</v>
      </c>
      <c r="I729" s="133" t="s">
        <v>479</v>
      </c>
      <c r="J729" s="158">
        <v>0</v>
      </c>
      <c r="K729" s="159"/>
    </row>
    <row r="730" spans="1:11" ht="15.75" hidden="1" customHeight="1">
      <c r="A730" s="133" t="s">
        <v>2</v>
      </c>
      <c r="B730" s="133" t="s">
        <v>4567</v>
      </c>
      <c r="C730" s="133" t="s">
        <v>4630</v>
      </c>
      <c r="D730" s="133" t="s">
        <v>477</v>
      </c>
      <c r="E730" s="158">
        <v>20</v>
      </c>
      <c r="F730" s="158">
        <v>0</v>
      </c>
      <c r="G730" s="158">
        <v>0</v>
      </c>
      <c r="H730" s="133" t="s">
        <v>479</v>
      </c>
      <c r="I730" s="133" t="s">
        <v>479</v>
      </c>
      <c r="J730" s="158">
        <v>0</v>
      </c>
      <c r="K730" s="159"/>
    </row>
    <row r="731" spans="1:11" ht="15.75" hidden="1" customHeight="1">
      <c r="A731" s="133" t="s">
        <v>2</v>
      </c>
      <c r="B731" s="133" t="s">
        <v>4567</v>
      </c>
      <c r="C731" s="133" t="s">
        <v>4631</v>
      </c>
      <c r="D731" s="133" t="s">
        <v>477</v>
      </c>
      <c r="E731" s="158">
        <v>20</v>
      </c>
      <c r="F731" s="158">
        <v>0</v>
      </c>
      <c r="G731" s="158">
        <v>0</v>
      </c>
      <c r="H731" s="133" t="s">
        <v>479</v>
      </c>
      <c r="I731" s="133" t="s">
        <v>479</v>
      </c>
      <c r="J731" s="158">
        <v>0</v>
      </c>
      <c r="K731" s="159"/>
    </row>
    <row r="732" spans="1:11" ht="15.75" hidden="1" customHeight="1">
      <c r="A732" s="133" t="s">
        <v>2</v>
      </c>
      <c r="B732" s="133" t="s">
        <v>4567</v>
      </c>
      <c r="C732" s="133" t="s">
        <v>4632</v>
      </c>
      <c r="D732" s="133" t="s">
        <v>477</v>
      </c>
      <c r="E732" s="158">
        <v>20</v>
      </c>
      <c r="F732" s="158">
        <v>0</v>
      </c>
      <c r="G732" s="158">
        <v>0</v>
      </c>
      <c r="H732" s="133" t="s">
        <v>479</v>
      </c>
      <c r="I732" s="133" t="s">
        <v>479</v>
      </c>
      <c r="J732" s="158">
        <v>0</v>
      </c>
      <c r="K732" s="159"/>
    </row>
    <row r="733" spans="1:11" ht="15.75" hidden="1" customHeight="1">
      <c r="A733" s="133" t="s">
        <v>2</v>
      </c>
      <c r="B733" s="133" t="s">
        <v>4567</v>
      </c>
      <c r="C733" s="133" t="s">
        <v>4633</v>
      </c>
      <c r="D733" s="133" t="s">
        <v>477</v>
      </c>
      <c r="E733" s="158">
        <v>100</v>
      </c>
      <c r="F733" s="158">
        <v>0</v>
      </c>
      <c r="G733" s="158">
        <v>0</v>
      </c>
      <c r="H733" s="133" t="s">
        <v>479</v>
      </c>
      <c r="I733" s="133" t="s">
        <v>479</v>
      </c>
      <c r="J733" s="158">
        <v>0</v>
      </c>
      <c r="K733" s="159"/>
    </row>
    <row r="734" spans="1:11" ht="15.75" hidden="1" customHeight="1">
      <c r="A734" s="133" t="s">
        <v>2</v>
      </c>
      <c r="B734" s="133" t="s">
        <v>4567</v>
      </c>
      <c r="C734" s="133" t="s">
        <v>4634</v>
      </c>
      <c r="D734" s="133" t="s">
        <v>477</v>
      </c>
      <c r="E734" s="158">
        <v>100</v>
      </c>
      <c r="F734" s="158">
        <v>0</v>
      </c>
      <c r="G734" s="158">
        <v>0</v>
      </c>
      <c r="H734" s="133" t="s">
        <v>479</v>
      </c>
      <c r="I734" s="133" t="s">
        <v>479</v>
      </c>
      <c r="J734" s="158">
        <v>0</v>
      </c>
      <c r="K734" s="159"/>
    </row>
    <row r="735" spans="1:11" ht="15.75" hidden="1" customHeight="1">
      <c r="A735" s="133" t="s">
        <v>2</v>
      </c>
      <c r="B735" s="133" t="s">
        <v>4567</v>
      </c>
      <c r="C735" s="133" t="s">
        <v>4635</v>
      </c>
      <c r="D735" s="133" t="s">
        <v>477</v>
      </c>
      <c r="E735" s="158">
        <v>100</v>
      </c>
      <c r="F735" s="158">
        <v>0</v>
      </c>
      <c r="G735" s="158">
        <v>0</v>
      </c>
      <c r="H735" s="133" t="s">
        <v>479</v>
      </c>
      <c r="I735" s="133" t="s">
        <v>479</v>
      </c>
      <c r="J735" s="158">
        <v>0</v>
      </c>
      <c r="K735" s="159"/>
    </row>
    <row r="736" spans="1:11" ht="15.75" hidden="1" customHeight="1">
      <c r="A736" s="133" t="s">
        <v>2</v>
      </c>
      <c r="B736" s="133" t="s">
        <v>4567</v>
      </c>
      <c r="C736" s="133" t="s">
        <v>4636</v>
      </c>
      <c r="D736" s="133" t="s">
        <v>477</v>
      </c>
      <c r="E736" s="158">
        <v>100</v>
      </c>
      <c r="F736" s="158">
        <v>0</v>
      </c>
      <c r="G736" s="158">
        <v>0</v>
      </c>
      <c r="H736" s="133" t="s">
        <v>479</v>
      </c>
      <c r="I736" s="133" t="s">
        <v>479</v>
      </c>
      <c r="J736" s="158">
        <v>0</v>
      </c>
      <c r="K736" s="159"/>
    </row>
    <row r="737" spans="1:11" ht="15.75" hidden="1" customHeight="1">
      <c r="A737" s="133" t="s">
        <v>2</v>
      </c>
      <c r="B737" s="133" t="s">
        <v>4567</v>
      </c>
      <c r="C737" s="133" t="s">
        <v>2743</v>
      </c>
      <c r="D737" s="133" t="s">
        <v>477</v>
      </c>
      <c r="E737" s="158">
        <v>20</v>
      </c>
      <c r="F737" s="158">
        <v>0</v>
      </c>
      <c r="G737" s="158">
        <v>0</v>
      </c>
      <c r="H737" s="133" t="s">
        <v>479</v>
      </c>
      <c r="I737" s="133" t="s">
        <v>479</v>
      </c>
      <c r="J737" s="158">
        <v>0</v>
      </c>
      <c r="K737" s="159"/>
    </row>
    <row r="738" spans="1:11" ht="15.75" hidden="1" customHeight="1">
      <c r="A738" s="133" t="s">
        <v>2</v>
      </c>
      <c r="B738" s="133" t="s">
        <v>4567</v>
      </c>
      <c r="C738" s="133" t="s">
        <v>4637</v>
      </c>
      <c r="D738" s="133" t="s">
        <v>484</v>
      </c>
      <c r="E738" s="158">
        <v>4</v>
      </c>
      <c r="F738" s="158">
        <v>10</v>
      </c>
      <c r="G738" s="158">
        <v>0</v>
      </c>
      <c r="H738" s="133" t="s">
        <v>479</v>
      </c>
      <c r="I738" s="133" t="s">
        <v>479</v>
      </c>
      <c r="J738" s="158">
        <v>0</v>
      </c>
      <c r="K738" s="159"/>
    </row>
    <row r="739" spans="1:11" ht="15.75" hidden="1" customHeight="1">
      <c r="A739" s="133" t="s">
        <v>2</v>
      </c>
      <c r="B739" s="133" t="s">
        <v>4567</v>
      </c>
      <c r="C739" s="133" t="s">
        <v>4638</v>
      </c>
      <c r="D739" s="133" t="s">
        <v>477</v>
      </c>
      <c r="E739" s="158">
        <v>100</v>
      </c>
      <c r="F739" s="158">
        <v>0</v>
      </c>
      <c r="G739" s="158">
        <v>0</v>
      </c>
      <c r="H739" s="133" t="s">
        <v>479</v>
      </c>
      <c r="I739" s="133" t="s">
        <v>479</v>
      </c>
      <c r="J739" s="158">
        <v>0</v>
      </c>
      <c r="K739" s="159"/>
    </row>
    <row r="740" spans="1:11" ht="15.75" hidden="1" customHeight="1">
      <c r="A740" s="133" t="s">
        <v>2</v>
      </c>
      <c r="B740" s="133" t="s">
        <v>4567</v>
      </c>
      <c r="C740" s="133" t="s">
        <v>4639</v>
      </c>
      <c r="D740" s="133" t="s">
        <v>484</v>
      </c>
      <c r="E740" s="158">
        <v>4</v>
      </c>
      <c r="F740" s="158">
        <v>10</v>
      </c>
      <c r="G740" s="158">
        <v>0</v>
      </c>
      <c r="H740" s="133" t="s">
        <v>479</v>
      </c>
      <c r="I740" s="133" t="s">
        <v>479</v>
      </c>
      <c r="J740" s="158">
        <v>0</v>
      </c>
      <c r="K740" s="159"/>
    </row>
    <row r="741" spans="1:11" ht="15.75" hidden="1" customHeight="1">
      <c r="A741" s="133" t="s">
        <v>2</v>
      </c>
      <c r="B741" s="133" t="s">
        <v>4567</v>
      </c>
      <c r="C741" s="133" t="s">
        <v>4640</v>
      </c>
      <c r="D741" s="133" t="s">
        <v>477</v>
      </c>
      <c r="E741" s="158">
        <v>100</v>
      </c>
      <c r="F741" s="158">
        <v>0</v>
      </c>
      <c r="G741" s="158">
        <v>0</v>
      </c>
      <c r="H741" s="133" t="s">
        <v>479</v>
      </c>
      <c r="I741" s="133" t="s">
        <v>479</v>
      </c>
      <c r="J741" s="158">
        <v>0</v>
      </c>
      <c r="K741" s="159"/>
    </row>
    <row r="742" spans="1:11" ht="15.75" hidden="1" customHeight="1">
      <c r="A742" s="133" t="s">
        <v>2</v>
      </c>
      <c r="B742" s="133" t="s">
        <v>4567</v>
      </c>
      <c r="C742" s="133" t="s">
        <v>4641</v>
      </c>
      <c r="D742" s="133" t="s">
        <v>477</v>
      </c>
      <c r="E742" s="158">
        <v>20</v>
      </c>
      <c r="F742" s="158">
        <v>0</v>
      </c>
      <c r="G742" s="158">
        <v>0</v>
      </c>
      <c r="H742" s="133" t="s">
        <v>479</v>
      </c>
      <c r="I742" s="133" t="s">
        <v>479</v>
      </c>
      <c r="J742" s="158">
        <v>0</v>
      </c>
      <c r="K742" s="159"/>
    </row>
    <row r="743" spans="1:11" ht="15.75" hidden="1" customHeight="1">
      <c r="A743" s="133" t="s">
        <v>2</v>
      </c>
      <c r="B743" s="133" t="s">
        <v>4567</v>
      </c>
      <c r="C743" s="133" t="s">
        <v>4642</v>
      </c>
      <c r="D743" s="133" t="s">
        <v>477</v>
      </c>
      <c r="E743" s="158">
        <v>20</v>
      </c>
      <c r="F743" s="158">
        <v>0</v>
      </c>
      <c r="G743" s="158">
        <v>0</v>
      </c>
      <c r="H743" s="133" t="s">
        <v>479</v>
      </c>
      <c r="I743" s="133" t="s">
        <v>479</v>
      </c>
      <c r="J743" s="158">
        <v>0</v>
      </c>
      <c r="K743" s="159"/>
    </row>
    <row r="744" spans="1:11" ht="15.75" hidden="1" customHeight="1">
      <c r="A744" s="133" t="s">
        <v>2</v>
      </c>
      <c r="B744" s="133" t="s">
        <v>4567</v>
      </c>
      <c r="C744" s="133" t="s">
        <v>4643</v>
      </c>
      <c r="D744" s="133" t="s">
        <v>481</v>
      </c>
      <c r="E744" s="158">
        <v>9</v>
      </c>
      <c r="F744" s="158">
        <v>11</v>
      </c>
      <c r="G744" s="158">
        <v>8</v>
      </c>
      <c r="H744" s="133" t="s">
        <v>479</v>
      </c>
      <c r="I744" s="133" t="s">
        <v>479</v>
      </c>
      <c r="J744" s="158">
        <v>0</v>
      </c>
      <c r="K744" s="159"/>
    </row>
    <row r="745" spans="1:11" ht="15.75" hidden="1" customHeight="1">
      <c r="A745" s="133" t="s">
        <v>2</v>
      </c>
      <c r="B745" s="133" t="s">
        <v>4567</v>
      </c>
      <c r="C745" s="133" t="s">
        <v>4644</v>
      </c>
      <c r="D745" s="133" t="s">
        <v>481</v>
      </c>
      <c r="E745" s="158">
        <v>9</v>
      </c>
      <c r="F745" s="158">
        <v>11</v>
      </c>
      <c r="G745" s="158">
        <v>8</v>
      </c>
      <c r="H745" s="133" t="s">
        <v>479</v>
      </c>
      <c r="I745" s="133" t="s">
        <v>479</v>
      </c>
      <c r="J745" s="158">
        <v>0</v>
      </c>
      <c r="K745" s="159"/>
    </row>
    <row r="746" spans="1:11" ht="15.75" hidden="1" customHeight="1">
      <c r="A746" s="133" t="s">
        <v>2</v>
      </c>
      <c r="B746" s="133" t="s">
        <v>4567</v>
      </c>
      <c r="C746" s="133" t="s">
        <v>4645</v>
      </c>
      <c r="D746" s="133" t="s">
        <v>477</v>
      </c>
      <c r="E746" s="158">
        <v>20</v>
      </c>
      <c r="F746" s="158">
        <v>0</v>
      </c>
      <c r="G746" s="158">
        <v>0</v>
      </c>
      <c r="H746" s="133" t="s">
        <v>479</v>
      </c>
      <c r="I746" s="133" t="s">
        <v>479</v>
      </c>
      <c r="J746" s="158">
        <v>0</v>
      </c>
      <c r="K746" s="159"/>
    </row>
    <row r="747" spans="1:11" ht="15.75" hidden="1" customHeight="1">
      <c r="A747" s="133" t="s">
        <v>2</v>
      </c>
      <c r="B747" s="133" t="s">
        <v>4567</v>
      </c>
      <c r="C747" s="133" t="s">
        <v>4646</v>
      </c>
      <c r="D747" s="133" t="s">
        <v>477</v>
      </c>
      <c r="E747" s="158">
        <v>100</v>
      </c>
      <c r="F747" s="158">
        <v>0</v>
      </c>
      <c r="G747" s="158">
        <v>0</v>
      </c>
      <c r="H747" s="133" t="s">
        <v>479</v>
      </c>
      <c r="I747" s="133" t="s">
        <v>479</v>
      </c>
      <c r="J747" s="158">
        <v>0</v>
      </c>
      <c r="K747" s="159"/>
    </row>
    <row r="748" spans="1:11" ht="15.75" hidden="1" customHeight="1">
      <c r="A748" s="133" t="s">
        <v>2</v>
      </c>
      <c r="B748" s="133" t="s">
        <v>4567</v>
      </c>
      <c r="C748" s="133" t="s">
        <v>4647</v>
      </c>
      <c r="D748" s="133" t="s">
        <v>477</v>
      </c>
      <c r="E748" s="158">
        <v>20</v>
      </c>
      <c r="F748" s="158">
        <v>0</v>
      </c>
      <c r="G748" s="158">
        <v>0</v>
      </c>
      <c r="H748" s="133" t="s">
        <v>479</v>
      </c>
      <c r="I748" s="133" t="s">
        <v>479</v>
      </c>
      <c r="J748" s="158">
        <v>0</v>
      </c>
      <c r="K748" s="159"/>
    </row>
    <row r="749" spans="1:11" ht="15.75" hidden="1" customHeight="1">
      <c r="A749" s="133" t="s">
        <v>2</v>
      </c>
      <c r="B749" s="133" t="s">
        <v>4567</v>
      </c>
      <c r="C749" s="133" t="s">
        <v>3331</v>
      </c>
      <c r="D749" s="133" t="s">
        <v>477</v>
      </c>
      <c r="E749" s="158">
        <v>20</v>
      </c>
      <c r="F749" s="158">
        <v>0</v>
      </c>
      <c r="G749" s="158">
        <v>0</v>
      </c>
      <c r="H749" s="133" t="s">
        <v>479</v>
      </c>
      <c r="I749" s="133" t="s">
        <v>479</v>
      </c>
      <c r="J749" s="158">
        <v>0</v>
      </c>
      <c r="K749" s="159"/>
    </row>
    <row r="750" spans="1:11" ht="15.75" hidden="1" customHeight="1">
      <c r="A750" s="133" t="s">
        <v>2</v>
      </c>
      <c r="B750" s="133" t="s">
        <v>4567</v>
      </c>
      <c r="C750" s="133" t="s">
        <v>2615</v>
      </c>
      <c r="D750" s="133" t="s">
        <v>477</v>
      </c>
      <c r="E750" s="158">
        <v>100</v>
      </c>
      <c r="F750" s="158">
        <v>0</v>
      </c>
      <c r="G750" s="158">
        <v>0</v>
      </c>
      <c r="H750" s="133" t="s">
        <v>479</v>
      </c>
      <c r="I750" s="133" t="s">
        <v>479</v>
      </c>
      <c r="J750" s="158">
        <v>0</v>
      </c>
      <c r="K750" s="159"/>
    </row>
    <row r="751" spans="1:11" ht="15.75" hidden="1" customHeight="1">
      <c r="A751" s="133" t="s">
        <v>2</v>
      </c>
      <c r="B751" s="133" t="s">
        <v>4567</v>
      </c>
      <c r="C751" s="133" t="s">
        <v>2617</v>
      </c>
      <c r="D751" s="133" t="s">
        <v>477</v>
      </c>
      <c r="E751" s="158">
        <v>100</v>
      </c>
      <c r="F751" s="158">
        <v>0</v>
      </c>
      <c r="G751" s="158">
        <v>0</v>
      </c>
      <c r="H751" s="133" t="s">
        <v>479</v>
      </c>
      <c r="I751" s="133" t="s">
        <v>479</v>
      </c>
      <c r="J751" s="158">
        <v>0</v>
      </c>
      <c r="K751" s="159"/>
    </row>
    <row r="752" spans="1:11" ht="15.75" hidden="1" customHeight="1">
      <c r="A752" s="133" t="s">
        <v>2</v>
      </c>
      <c r="B752" s="133" t="s">
        <v>4567</v>
      </c>
      <c r="C752" s="133" t="s">
        <v>4648</v>
      </c>
      <c r="D752" s="133" t="s">
        <v>477</v>
      </c>
      <c r="E752" s="158">
        <v>100</v>
      </c>
      <c r="F752" s="158">
        <v>0</v>
      </c>
      <c r="G752" s="158">
        <v>0</v>
      </c>
      <c r="H752" s="133" t="s">
        <v>479</v>
      </c>
      <c r="I752" s="133" t="s">
        <v>479</v>
      </c>
      <c r="J752" s="158">
        <v>0</v>
      </c>
      <c r="K752" s="159"/>
    </row>
    <row r="753" spans="1:11" ht="15.75" hidden="1" customHeight="1">
      <c r="A753" s="133" t="s">
        <v>2</v>
      </c>
      <c r="B753" s="133" t="s">
        <v>4567</v>
      </c>
      <c r="C753" s="133" t="s">
        <v>2620</v>
      </c>
      <c r="D753" s="133" t="s">
        <v>477</v>
      </c>
      <c r="E753" s="158">
        <v>100</v>
      </c>
      <c r="F753" s="158">
        <v>0</v>
      </c>
      <c r="G753" s="158">
        <v>0</v>
      </c>
      <c r="H753" s="133" t="s">
        <v>479</v>
      </c>
      <c r="I753" s="133" t="s">
        <v>479</v>
      </c>
      <c r="J753" s="158">
        <v>0</v>
      </c>
      <c r="K753" s="159"/>
    </row>
    <row r="754" spans="1:11" ht="15.75" hidden="1" customHeight="1">
      <c r="A754" s="133" t="s">
        <v>2</v>
      </c>
      <c r="B754" s="133" t="s">
        <v>4567</v>
      </c>
      <c r="C754" s="133" t="s">
        <v>4649</v>
      </c>
      <c r="D754" s="133" t="s">
        <v>484</v>
      </c>
      <c r="E754" s="158">
        <v>4</v>
      </c>
      <c r="F754" s="158">
        <v>10</v>
      </c>
      <c r="G754" s="158">
        <v>0</v>
      </c>
      <c r="H754" s="133" t="s">
        <v>479</v>
      </c>
      <c r="I754" s="133" t="s">
        <v>479</v>
      </c>
      <c r="J754" s="158">
        <v>0</v>
      </c>
      <c r="K754" s="159"/>
    </row>
    <row r="755" spans="1:11" ht="15.75" hidden="1" customHeight="1">
      <c r="A755" s="133" t="s">
        <v>2</v>
      </c>
      <c r="B755" s="133" t="s">
        <v>4567</v>
      </c>
      <c r="C755" s="133" t="s">
        <v>4650</v>
      </c>
      <c r="D755" s="133" t="s">
        <v>481</v>
      </c>
      <c r="E755" s="158">
        <v>9</v>
      </c>
      <c r="F755" s="158">
        <v>11</v>
      </c>
      <c r="G755" s="158">
        <v>2</v>
      </c>
      <c r="H755" s="133" t="s">
        <v>479</v>
      </c>
      <c r="I755" s="133" t="s">
        <v>479</v>
      </c>
      <c r="J755" s="158">
        <v>0</v>
      </c>
      <c r="K755" s="159"/>
    </row>
    <row r="756" spans="1:11" ht="15.75" hidden="1" customHeight="1">
      <c r="A756" s="133" t="s">
        <v>2</v>
      </c>
      <c r="B756" s="133" t="s">
        <v>4567</v>
      </c>
      <c r="C756" s="290" t="s">
        <v>2681</v>
      </c>
      <c r="D756" s="133" t="s">
        <v>477</v>
      </c>
      <c r="E756" s="158">
        <v>20</v>
      </c>
      <c r="F756" s="158">
        <v>0</v>
      </c>
      <c r="G756" s="158">
        <v>0</v>
      </c>
      <c r="H756" s="133" t="s">
        <v>4651</v>
      </c>
      <c r="I756" s="133" t="s">
        <v>479</v>
      </c>
      <c r="J756" s="277">
        <v>1</v>
      </c>
      <c r="K756" s="159"/>
    </row>
    <row r="757" spans="1:11" ht="15.75" hidden="1" customHeight="1">
      <c r="A757" s="133" t="s">
        <v>2</v>
      </c>
      <c r="B757" s="133" t="s">
        <v>4567</v>
      </c>
      <c r="C757" s="290" t="s">
        <v>4652</v>
      </c>
      <c r="D757" s="279" t="s">
        <v>477</v>
      </c>
      <c r="E757" s="158">
        <v>5</v>
      </c>
      <c r="F757" s="158">
        <v>9</v>
      </c>
      <c r="G757" s="158">
        <v>2</v>
      </c>
      <c r="H757" s="133" t="s">
        <v>479</v>
      </c>
      <c r="I757" s="133" t="s">
        <v>615</v>
      </c>
      <c r="J757" s="158">
        <v>0</v>
      </c>
      <c r="K757" s="228" t="s">
        <v>481</v>
      </c>
    </row>
    <row r="758" spans="1:11" ht="15.75" hidden="1" customHeight="1">
      <c r="A758" s="133" t="s">
        <v>2</v>
      </c>
      <c r="B758" s="133" t="s">
        <v>4567</v>
      </c>
      <c r="C758" s="133" t="s">
        <v>4653</v>
      </c>
      <c r="D758" s="133" t="s">
        <v>481</v>
      </c>
      <c r="E758" s="158">
        <v>5</v>
      </c>
      <c r="F758" s="158">
        <v>9</v>
      </c>
      <c r="G758" s="158">
        <v>2</v>
      </c>
      <c r="H758" s="133" t="s">
        <v>479</v>
      </c>
      <c r="I758" s="133" t="s">
        <v>615</v>
      </c>
      <c r="J758" s="158">
        <v>0</v>
      </c>
      <c r="K758" s="159"/>
    </row>
    <row r="759" spans="1:11" ht="15.75" hidden="1" customHeight="1">
      <c r="A759" s="133" t="s">
        <v>2</v>
      </c>
      <c r="B759" s="133" t="s">
        <v>4567</v>
      </c>
      <c r="C759" s="133" t="s">
        <v>4654</v>
      </c>
      <c r="D759" s="133" t="s">
        <v>477</v>
      </c>
      <c r="E759" s="158">
        <v>50</v>
      </c>
      <c r="F759" s="158">
        <v>0</v>
      </c>
      <c r="G759" s="158">
        <v>0</v>
      </c>
      <c r="H759" s="133" t="s">
        <v>479</v>
      </c>
      <c r="I759" s="133" t="s">
        <v>479</v>
      </c>
      <c r="J759" s="158">
        <v>0</v>
      </c>
      <c r="K759" s="159"/>
    </row>
    <row r="760" spans="1:11" ht="15.75" hidden="1" customHeight="1">
      <c r="A760" s="133" t="s">
        <v>2</v>
      </c>
      <c r="B760" s="133" t="s">
        <v>4567</v>
      </c>
      <c r="C760" s="133" t="s">
        <v>4655</v>
      </c>
      <c r="D760" s="133" t="s">
        <v>477</v>
      </c>
      <c r="E760" s="158">
        <v>20</v>
      </c>
      <c r="F760" s="158">
        <v>0</v>
      </c>
      <c r="G760" s="158">
        <v>0</v>
      </c>
      <c r="H760" s="133" t="s">
        <v>479</v>
      </c>
      <c r="I760" s="133" t="s">
        <v>548</v>
      </c>
      <c r="J760" s="158">
        <v>0</v>
      </c>
      <c r="K760" s="159"/>
    </row>
    <row r="761" spans="1:11" ht="15.75" hidden="1" customHeight="1">
      <c r="A761" s="133" t="s">
        <v>2</v>
      </c>
      <c r="B761" s="133" t="s">
        <v>4567</v>
      </c>
      <c r="C761" s="133" t="s">
        <v>2545</v>
      </c>
      <c r="D761" s="133" t="s">
        <v>484</v>
      </c>
      <c r="E761" s="158">
        <v>4</v>
      </c>
      <c r="F761" s="158">
        <v>10</v>
      </c>
      <c r="G761" s="158">
        <v>0</v>
      </c>
      <c r="H761" s="133" t="s">
        <v>479</v>
      </c>
      <c r="I761" s="133" t="s">
        <v>479</v>
      </c>
      <c r="J761" s="158">
        <v>0</v>
      </c>
      <c r="K761" s="159"/>
    </row>
    <row r="762" spans="1:11" ht="15.75" hidden="1" customHeight="1">
      <c r="A762" s="133" t="s">
        <v>2</v>
      </c>
      <c r="B762" s="133" t="s">
        <v>4567</v>
      </c>
      <c r="C762" s="133" t="s">
        <v>2547</v>
      </c>
      <c r="D762" s="133" t="s">
        <v>484</v>
      </c>
      <c r="E762" s="158">
        <v>4</v>
      </c>
      <c r="F762" s="158">
        <v>10</v>
      </c>
      <c r="G762" s="158">
        <v>0</v>
      </c>
      <c r="H762" s="133" t="s">
        <v>479</v>
      </c>
      <c r="I762" s="133" t="s">
        <v>479</v>
      </c>
      <c r="J762" s="158">
        <v>0</v>
      </c>
      <c r="K762" s="159"/>
    </row>
    <row r="763" spans="1:11" ht="15.75" hidden="1" customHeight="1">
      <c r="A763" s="133" t="s">
        <v>2</v>
      </c>
      <c r="B763" s="133" t="s">
        <v>4567</v>
      </c>
      <c r="C763" s="133" t="s">
        <v>2688</v>
      </c>
      <c r="D763" s="133" t="s">
        <v>484</v>
      </c>
      <c r="E763" s="158">
        <v>4</v>
      </c>
      <c r="F763" s="158">
        <v>10</v>
      </c>
      <c r="G763" s="158">
        <v>0</v>
      </c>
      <c r="H763" s="133" t="s">
        <v>479</v>
      </c>
      <c r="I763" s="133" t="s">
        <v>479</v>
      </c>
      <c r="J763" s="158">
        <v>0</v>
      </c>
      <c r="K763" s="159"/>
    </row>
    <row r="764" spans="1:11" ht="15.75" hidden="1" customHeight="1">
      <c r="A764" s="133" t="s">
        <v>2</v>
      </c>
      <c r="B764" s="133" t="s">
        <v>4567</v>
      </c>
      <c r="C764" s="133" t="s">
        <v>4656</v>
      </c>
      <c r="D764" s="133" t="s">
        <v>484</v>
      </c>
      <c r="E764" s="158">
        <v>4</v>
      </c>
      <c r="F764" s="158">
        <v>10</v>
      </c>
      <c r="G764" s="158">
        <v>0</v>
      </c>
      <c r="H764" s="133" t="s">
        <v>479</v>
      </c>
      <c r="I764" s="133" t="s">
        <v>479</v>
      </c>
      <c r="J764" s="158">
        <v>0</v>
      </c>
      <c r="K764" s="159"/>
    </row>
    <row r="765" spans="1:11" ht="15.75" hidden="1" customHeight="1">
      <c r="A765" s="133" t="s">
        <v>2</v>
      </c>
      <c r="B765" s="133" t="s">
        <v>4567</v>
      </c>
      <c r="C765" s="133" t="s">
        <v>4657</v>
      </c>
      <c r="D765" s="133" t="s">
        <v>484</v>
      </c>
      <c r="E765" s="158">
        <v>4</v>
      </c>
      <c r="F765" s="158">
        <v>10</v>
      </c>
      <c r="G765" s="158">
        <v>0</v>
      </c>
      <c r="H765" s="133" t="s">
        <v>479</v>
      </c>
      <c r="I765" s="133" t="s">
        <v>479</v>
      </c>
      <c r="J765" s="158">
        <v>0</v>
      </c>
      <c r="K765" s="159"/>
    </row>
    <row r="766" spans="1:11" ht="15.75" hidden="1" customHeight="1">
      <c r="A766" s="133" t="s">
        <v>2</v>
      </c>
      <c r="B766" s="133" t="s">
        <v>4567</v>
      </c>
      <c r="C766" s="133" t="s">
        <v>4658</v>
      </c>
      <c r="D766" s="133" t="s">
        <v>484</v>
      </c>
      <c r="E766" s="158">
        <v>4</v>
      </c>
      <c r="F766" s="158">
        <v>10</v>
      </c>
      <c r="G766" s="158">
        <v>0</v>
      </c>
      <c r="H766" s="133" t="s">
        <v>479</v>
      </c>
      <c r="I766" s="133" t="s">
        <v>479</v>
      </c>
      <c r="J766" s="158">
        <v>0</v>
      </c>
      <c r="K766" s="159"/>
    </row>
    <row r="767" spans="1:11" ht="15.75" hidden="1" customHeight="1">
      <c r="A767" s="133" t="s">
        <v>2</v>
      </c>
      <c r="B767" s="133" t="s">
        <v>4567</v>
      </c>
      <c r="C767" s="133" t="s">
        <v>4659</v>
      </c>
      <c r="D767" s="133" t="s">
        <v>484</v>
      </c>
      <c r="E767" s="158">
        <v>4</v>
      </c>
      <c r="F767" s="158">
        <v>10</v>
      </c>
      <c r="G767" s="158">
        <v>0</v>
      </c>
      <c r="H767" s="133" t="s">
        <v>479</v>
      </c>
      <c r="I767" s="133" t="s">
        <v>479</v>
      </c>
      <c r="J767" s="158">
        <v>0</v>
      </c>
      <c r="K767" s="159"/>
    </row>
    <row r="768" spans="1:11" ht="15.75" hidden="1" customHeight="1">
      <c r="A768" s="133" t="s">
        <v>2</v>
      </c>
      <c r="B768" s="133" t="s">
        <v>4567</v>
      </c>
      <c r="C768" s="133" t="s">
        <v>2607</v>
      </c>
      <c r="D768" s="133" t="s">
        <v>484</v>
      </c>
      <c r="E768" s="158">
        <v>4</v>
      </c>
      <c r="F768" s="158">
        <v>10</v>
      </c>
      <c r="G768" s="158">
        <v>0</v>
      </c>
      <c r="H768" s="133" t="s">
        <v>479</v>
      </c>
      <c r="I768" s="133" t="s">
        <v>479</v>
      </c>
      <c r="J768" s="158">
        <v>0</v>
      </c>
      <c r="K768" s="159"/>
    </row>
    <row r="769" spans="1:11" ht="15.75" hidden="1" customHeight="1">
      <c r="A769" s="133" t="s">
        <v>2</v>
      </c>
      <c r="B769" s="133" t="s">
        <v>4567</v>
      </c>
      <c r="C769" s="133" t="s">
        <v>2625</v>
      </c>
      <c r="D769" s="133" t="s">
        <v>481</v>
      </c>
      <c r="E769" s="158">
        <v>5</v>
      </c>
      <c r="F769" s="158">
        <v>9</v>
      </c>
      <c r="G769" s="158">
        <v>2</v>
      </c>
      <c r="H769" s="133" t="s">
        <v>479</v>
      </c>
      <c r="I769" s="133" t="s">
        <v>479</v>
      </c>
      <c r="J769" s="158">
        <v>0</v>
      </c>
      <c r="K769" s="159"/>
    </row>
    <row r="770" spans="1:11" ht="15.75" hidden="1" customHeight="1">
      <c r="A770" s="133" t="s">
        <v>2</v>
      </c>
      <c r="B770" s="133" t="s">
        <v>4567</v>
      </c>
      <c r="C770" s="133" t="s">
        <v>2715</v>
      </c>
      <c r="D770" s="133" t="s">
        <v>481</v>
      </c>
      <c r="E770" s="158">
        <v>5</v>
      </c>
      <c r="F770" s="158">
        <v>9</v>
      </c>
      <c r="G770" s="158">
        <v>2</v>
      </c>
      <c r="H770" s="133" t="s">
        <v>479</v>
      </c>
      <c r="I770" s="133" t="s">
        <v>1223</v>
      </c>
      <c r="J770" s="158">
        <v>0</v>
      </c>
      <c r="K770" s="159"/>
    </row>
    <row r="771" spans="1:11" ht="15.75" hidden="1" customHeight="1">
      <c r="A771" s="133" t="s">
        <v>2</v>
      </c>
      <c r="B771" s="133" t="s">
        <v>4567</v>
      </c>
      <c r="C771" s="133" t="s">
        <v>4660</v>
      </c>
      <c r="D771" s="133" t="s">
        <v>481</v>
      </c>
      <c r="E771" s="158">
        <v>5</v>
      </c>
      <c r="F771" s="158">
        <v>9</v>
      </c>
      <c r="G771" s="158">
        <v>2</v>
      </c>
      <c r="H771" s="133" t="s">
        <v>479</v>
      </c>
      <c r="I771" s="133" t="s">
        <v>1223</v>
      </c>
      <c r="J771" s="158">
        <v>0</v>
      </c>
      <c r="K771" s="159"/>
    </row>
    <row r="772" spans="1:11" ht="15.75" hidden="1" customHeight="1">
      <c r="A772" s="133" t="s">
        <v>2</v>
      </c>
      <c r="B772" s="133" t="s">
        <v>4567</v>
      </c>
      <c r="C772" s="133" t="s">
        <v>2621</v>
      </c>
      <c r="D772" s="133" t="s">
        <v>484</v>
      </c>
      <c r="E772" s="158">
        <v>4</v>
      </c>
      <c r="F772" s="158">
        <v>10</v>
      </c>
      <c r="G772" s="158">
        <v>0</v>
      </c>
      <c r="H772" s="133" t="s">
        <v>479</v>
      </c>
      <c r="I772" s="133" t="s">
        <v>1223</v>
      </c>
      <c r="J772" s="158">
        <v>0</v>
      </c>
      <c r="K772" s="159"/>
    </row>
    <row r="773" spans="1:11" ht="15.75" hidden="1" customHeight="1">
      <c r="A773" s="133" t="s">
        <v>2</v>
      </c>
      <c r="B773" s="133" t="s">
        <v>4567</v>
      </c>
      <c r="C773" s="133" t="s">
        <v>2622</v>
      </c>
      <c r="D773" s="133" t="s">
        <v>481</v>
      </c>
      <c r="E773" s="158">
        <v>9</v>
      </c>
      <c r="F773" s="158">
        <v>11</v>
      </c>
      <c r="G773" s="158">
        <v>2</v>
      </c>
      <c r="H773" s="133" t="s">
        <v>479</v>
      </c>
      <c r="I773" s="133" t="s">
        <v>1223</v>
      </c>
      <c r="J773" s="158">
        <v>0</v>
      </c>
      <c r="K773" s="159"/>
    </row>
    <row r="774" spans="1:11" ht="15.75" hidden="1" customHeight="1">
      <c r="A774" s="133" t="s">
        <v>2</v>
      </c>
      <c r="B774" s="133" t="s">
        <v>4567</v>
      </c>
      <c r="C774" s="133" t="s">
        <v>2623</v>
      </c>
      <c r="D774" s="133" t="s">
        <v>481</v>
      </c>
      <c r="E774" s="158">
        <v>9</v>
      </c>
      <c r="F774" s="158">
        <v>11</v>
      </c>
      <c r="G774" s="158">
        <v>2</v>
      </c>
      <c r="H774" s="133" t="s">
        <v>479</v>
      </c>
      <c r="I774" s="133" t="s">
        <v>1223</v>
      </c>
      <c r="J774" s="158">
        <v>0</v>
      </c>
      <c r="K774" s="159"/>
    </row>
    <row r="775" spans="1:11" ht="15.75" hidden="1" customHeight="1">
      <c r="A775" s="133" t="s">
        <v>2</v>
      </c>
      <c r="B775" s="133" t="s">
        <v>4567</v>
      </c>
      <c r="C775" s="133" t="s">
        <v>4661</v>
      </c>
      <c r="D775" s="133" t="s">
        <v>481</v>
      </c>
      <c r="E775" s="158">
        <v>5</v>
      </c>
      <c r="F775" s="158">
        <v>9</v>
      </c>
      <c r="G775" s="158">
        <v>2</v>
      </c>
      <c r="H775" s="133" t="s">
        <v>479</v>
      </c>
      <c r="I775" s="133" t="s">
        <v>1223</v>
      </c>
      <c r="J775" s="158">
        <v>0</v>
      </c>
      <c r="K775" s="159"/>
    </row>
    <row r="776" spans="1:11" ht="15.75" hidden="1" customHeight="1">
      <c r="A776" s="133" t="s">
        <v>2</v>
      </c>
      <c r="B776" s="133" t="s">
        <v>4567</v>
      </c>
      <c r="C776" s="133" t="s">
        <v>2624</v>
      </c>
      <c r="D776" s="133" t="s">
        <v>477</v>
      </c>
      <c r="E776" s="158">
        <v>20</v>
      </c>
      <c r="F776" s="158">
        <v>0</v>
      </c>
      <c r="G776" s="158">
        <v>0</v>
      </c>
      <c r="H776" s="133" t="s">
        <v>479</v>
      </c>
      <c r="I776" s="133" t="s">
        <v>548</v>
      </c>
      <c r="J776" s="158">
        <v>0</v>
      </c>
      <c r="K776" s="159"/>
    </row>
    <row r="777" spans="1:11" ht="15.75" hidden="1" customHeight="1">
      <c r="A777" s="133" t="s">
        <v>2</v>
      </c>
      <c r="B777" s="133" t="s">
        <v>4567</v>
      </c>
      <c r="C777" s="133" t="s">
        <v>2627</v>
      </c>
      <c r="D777" s="133" t="s">
        <v>477</v>
      </c>
      <c r="E777" s="158">
        <v>20</v>
      </c>
      <c r="F777" s="158">
        <v>0</v>
      </c>
      <c r="G777" s="158">
        <v>0</v>
      </c>
      <c r="H777" s="133" t="s">
        <v>2628</v>
      </c>
      <c r="I777" s="133" t="s">
        <v>596</v>
      </c>
      <c r="J777" s="158">
        <v>0</v>
      </c>
      <c r="K777" s="159"/>
    </row>
    <row r="778" spans="1:11" ht="15.75" hidden="1" customHeight="1">
      <c r="A778" s="133" t="s">
        <v>2</v>
      </c>
      <c r="B778" s="133" t="s">
        <v>4567</v>
      </c>
      <c r="C778" s="133" t="s">
        <v>2629</v>
      </c>
      <c r="D778" s="133" t="s">
        <v>477</v>
      </c>
      <c r="E778" s="158">
        <v>20</v>
      </c>
      <c r="F778" s="158">
        <v>0</v>
      </c>
      <c r="G778" s="158">
        <v>0</v>
      </c>
      <c r="H778" s="133" t="s">
        <v>1907</v>
      </c>
      <c r="I778" s="133" t="s">
        <v>596</v>
      </c>
      <c r="J778" s="158">
        <v>0</v>
      </c>
      <c r="K778" s="159"/>
    </row>
    <row r="779" spans="1:11" ht="15.75" hidden="1" customHeight="1">
      <c r="A779" s="133" t="s">
        <v>2</v>
      </c>
      <c r="B779" s="133" t="s">
        <v>4567</v>
      </c>
      <c r="C779" s="133" t="s">
        <v>2630</v>
      </c>
      <c r="D779" s="133" t="s">
        <v>477</v>
      </c>
      <c r="E779" s="158">
        <v>256</v>
      </c>
      <c r="F779" s="158">
        <v>0</v>
      </c>
      <c r="G779" s="158">
        <v>0</v>
      </c>
      <c r="H779" s="133" t="s">
        <v>2631</v>
      </c>
      <c r="I779" s="133" t="s">
        <v>548</v>
      </c>
      <c r="J779" s="158">
        <v>0</v>
      </c>
      <c r="K779" s="159"/>
    </row>
    <row r="780" spans="1:11" ht="15.75" hidden="1" customHeight="1">
      <c r="A780" s="133" t="s">
        <v>2</v>
      </c>
      <c r="B780" s="133" t="s">
        <v>4567</v>
      </c>
      <c r="C780" s="133" t="s">
        <v>2758</v>
      </c>
      <c r="D780" s="133" t="s">
        <v>477</v>
      </c>
      <c r="E780" s="158">
        <v>20</v>
      </c>
      <c r="F780" s="158">
        <v>0</v>
      </c>
      <c r="G780" s="158">
        <v>0</v>
      </c>
      <c r="H780" s="133" t="s">
        <v>2759</v>
      </c>
      <c r="I780" s="133" t="s">
        <v>596</v>
      </c>
      <c r="J780" s="158">
        <v>0</v>
      </c>
      <c r="K780" s="159"/>
    </row>
    <row r="781" spans="1:11" ht="15.75" hidden="1" customHeight="1">
      <c r="A781" s="133" t="s">
        <v>2</v>
      </c>
      <c r="B781" s="133" t="s">
        <v>4567</v>
      </c>
      <c r="C781" s="133" t="s">
        <v>2760</v>
      </c>
      <c r="D781" s="133" t="s">
        <v>477</v>
      </c>
      <c r="E781" s="158">
        <v>100</v>
      </c>
      <c r="F781" s="158">
        <v>0</v>
      </c>
      <c r="G781" s="158">
        <v>0</v>
      </c>
      <c r="H781" s="133" t="s">
        <v>2761</v>
      </c>
      <c r="I781" s="133" t="s">
        <v>548</v>
      </c>
      <c r="J781" s="158">
        <v>0</v>
      </c>
      <c r="K781" s="159"/>
    </row>
    <row r="782" spans="1:11" ht="15.75" hidden="1" customHeight="1">
      <c r="A782" s="133" t="s">
        <v>2</v>
      </c>
      <c r="B782" s="133" t="s">
        <v>4095</v>
      </c>
      <c r="C782" s="133" t="s">
        <v>4096</v>
      </c>
      <c r="D782" s="133" t="s">
        <v>484</v>
      </c>
      <c r="E782" s="158">
        <v>4</v>
      </c>
      <c r="F782" s="158">
        <v>10</v>
      </c>
      <c r="G782" s="158">
        <v>0</v>
      </c>
      <c r="H782" s="133" t="s">
        <v>4662</v>
      </c>
      <c r="I782" s="133" t="s">
        <v>479</v>
      </c>
      <c r="J782" s="158">
        <v>0</v>
      </c>
      <c r="K782" s="159"/>
    </row>
    <row r="783" spans="1:11" ht="15.75" hidden="1" customHeight="1">
      <c r="A783" s="133" t="s">
        <v>2</v>
      </c>
      <c r="B783" s="133" t="s">
        <v>4095</v>
      </c>
      <c r="C783" s="133" t="s">
        <v>4420</v>
      </c>
      <c r="D783" s="133" t="s">
        <v>484</v>
      </c>
      <c r="E783" s="158">
        <v>4</v>
      </c>
      <c r="F783" s="158">
        <v>10</v>
      </c>
      <c r="G783" s="158">
        <v>0</v>
      </c>
      <c r="H783" s="133" t="s">
        <v>479</v>
      </c>
      <c r="I783" s="133" t="s">
        <v>479</v>
      </c>
      <c r="J783" s="158">
        <v>0</v>
      </c>
      <c r="K783" s="159"/>
    </row>
    <row r="784" spans="1:11" ht="15.75" hidden="1" customHeight="1">
      <c r="A784" s="133" t="s">
        <v>2</v>
      </c>
      <c r="B784" s="133" t="s">
        <v>4095</v>
      </c>
      <c r="C784" s="133" t="s">
        <v>534</v>
      </c>
      <c r="D784" s="133" t="s">
        <v>477</v>
      </c>
      <c r="E784" s="158">
        <v>20</v>
      </c>
      <c r="F784" s="158">
        <v>0</v>
      </c>
      <c r="G784" s="158">
        <v>0</v>
      </c>
      <c r="H784" s="133" t="s">
        <v>479</v>
      </c>
      <c r="I784" s="133" t="s">
        <v>479</v>
      </c>
      <c r="J784" s="158">
        <v>0</v>
      </c>
      <c r="K784" s="159"/>
    </row>
    <row r="785" spans="1:11" ht="15.75" hidden="1" customHeight="1">
      <c r="A785" s="133" t="s">
        <v>2</v>
      </c>
      <c r="B785" s="133" t="s">
        <v>4095</v>
      </c>
      <c r="C785" s="133" t="s">
        <v>4663</v>
      </c>
      <c r="D785" s="133" t="s">
        <v>477</v>
      </c>
      <c r="E785" s="158">
        <v>20</v>
      </c>
      <c r="F785" s="158">
        <v>0</v>
      </c>
      <c r="G785" s="158">
        <v>0</v>
      </c>
      <c r="H785" s="133" t="s">
        <v>479</v>
      </c>
      <c r="I785" s="133" t="s">
        <v>479</v>
      </c>
      <c r="J785" s="158">
        <v>0</v>
      </c>
      <c r="K785" s="159"/>
    </row>
    <row r="786" spans="1:11" ht="15.75" hidden="1" customHeight="1">
      <c r="A786" s="133" t="s">
        <v>2</v>
      </c>
      <c r="B786" s="133" t="s">
        <v>4095</v>
      </c>
      <c r="C786" s="133" t="s">
        <v>4664</v>
      </c>
      <c r="D786" s="133" t="s">
        <v>1974</v>
      </c>
      <c r="E786" s="158">
        <v>3</v>
      </c>
      <c r="F786" s="158">
        <v>10</v>
      </c>
      <c r="G786" s="158">
        <v>0</v>
      </c>
      <c r="H786" s="133" t="s">
        <v>479</v>
      </c>
      <c r="I786" s="133" t="s">
        <v>479</v>
      </c>
      <c r="J786" s="158">
        <v>0</v>
      </c>
      <c r="K786" s="159"/>
    </row>
    <row r="787" spans="1:11" ht="15.75" hidden="1" customHeight="1">
      <c r="A787" s="133" t="s">
        <v>2</v>
      </c>
      <c r="B787" s="133" t="s">
        <v>4095</v>
      </c>
      <c r="C787" s="133" t="s">
        <v>4665</v>
      </c>
      <c r="D787" s="133" t="s">
        <v>477</v>
      </c>
      <c r="E787" s="158">
        <v>3</v>
      </c>
      <c r="F787" s="158">
        <v>0</v>
      </c>
      <c r="G787" s="158">
        <v>0</v>
      </c>
      <c r="H787" s="133" t="s">
        <v>4666</v>
      </c>
      <c r="I787" s="133" t="s">
        <v>596</v>
      </c>
      <c r="J787" s="158">
        <v>0</v>
      </c>
      <c r="K787" s="159"/>
    </row>
    <row r="788" spans="1:11" ht="15.75" hidden="1" customHeight="1">
      <c r="A788" s="133" t="s">
        <v>2</v>
      </c>
      <c r="B788" s="133" t="s">
        <v>4095</v>
      </c>
      <c r="C788" s="133" t="s">
        <v>4353</v>
      </c>
      <c r="D788" s="133" t="s">
        <v>477</v>
      </c>
      <c r="E788" s="158">
        <v>3</v>
      </c>
      <c r="F788" s="158">
        <v>0</v>
      </c>
      <c r="G788" s="158">
        <v>0</v>
      </c>
      <c r="H788" s="133" t="s">
        <v>4667</v>
      </c>
      <c r="I788" s="133" t="s">
        <v>548</v>
      </c>
      <c r="J788" s="158">
        <v>0</v>
      </c>
      <c r="K788" s="159"/>
    </row>
    <row r="789" spans="1:11" ht="15.75" hidden="1" customHeight="1">
      <c r="A789" s="133" t="s">
        <v>2</v>
      </c>
      <c r="B789" s="133" t="s">
        <v>4095</v>
      </c>
      <c r="C789" s="133" t="s">
        <v>4668</v>
      </c>
      <c r="D789" s="133" t="s">
        <v>477</v>
      </c>
      <c r="E789" s="158">
        <v>3</v>
      </c>
      <c r="F789" s="158">
        <v>0</v>
      </c>
      <c r="G789" s="158">
        <v>0</v>
      </c>
      <c r="H789" s="133" t="s">
        <v>4669</v>
      </c>
      <c r="I789" s="133" t="s">
        <v>548</v>
      </c>
      <c r="J789" s="158">
        <v>0</v>
      </c>
      <c r="K789" s="159"/>
    </row>
    <row r="790" spans="1:11" ht="15.75" hidden="1" customHeight="1">
      <c r="A790" s="133" t="s">
        <v>2</v>
      </c>
      <c r="B790" s="133" t="s">
        <v>4095</v>
      </c>
      <c r="C790" s="133" t="s">
        <v>4348</v>
      </c>
      <c r="D790" s="133" t="s">
        <v>477</v>
      </c>
      <c r="E790" s="158">
        <v>12</v>
      </c>
      <c r="F790" s="158">
        <v>0</v>
      </c>
      <c r="G790" s="158">
        <v>0</v>
      </c>
      <c r="H790" s="133" t="s">
        <v>479</v>
      </c>
      <c r="I790" s="133" t="s">
        <v>479</v>
      </c>
      <c r="J790" s="158">
        <v>0</v>
      </c>
      <c r="K790" s="159"/>
    </row>
    <row r="791" spans="1:11" ht="15.75" hidden="1" customHeight="1">
      <c r="A791" s="133" t="s">
        <v>2</v>
      </c>
      <c r="B791" s="133" t="s">
        <v>4095</v>
      </c>
      <c r="C791" s="133" t="s">
        <v>4670</v>
      </c>
      <c r="D791" s="133" t="s">
        <v>477</v>
      </c>
      <c r="E791" s="158">
        <v>20</v>
      </c>
      <c r="F791" s="158">
        <v>0</v>
      </c>
      <c r="G791" s="158">
        <v>0</v>
      </c>
      <c r="H791" s="133" t="s">
        <v>479</v>
      </c>
      <c r="I791" s="133" t="s">
        <v>479</v>
      </c>
      <c r="J791" s="158">
        <v>0</v>
      </c>
      <c r="K791" s="159"/>
    </row>
    <row r="792" spans="1:11" ht="15.75" hidden="1" customHeight="1">
      <c r="A792" s="133" t="s">
        <v>2</v>
      </c>
      <c r="B792" s="133" t="s">
        <v>4095</v>
      </c>
      <c r="C792" s="133" t="s">
        <v>4671</v>
      </c>
      <c r="D792" s="133" t="s">
        <v>477</v>
      </c>
      <c r="E792" s="158">
        <v>100</v>
      </c>
      <c r="F792" s="158">
        <v>0</v>
      </c>
      <c r="G792" s="158">
        <v>0</v>
      </c>
      <c r="H792" s="133" t="s">
        <v>479</v>
      </c>
      <c r="I792" s="133" t="s">
        <v>479</v>
      </c>
      <c r="J792" s="158">
        <v>0</v>
      </c>
      <c r="K792" s="159"/>
    </row>
    <row r="793" spans="1:11" ht="15.75" hidden="1" customHeight="1">
      <c r="A793" s="133" t="s">
        <v>2</v>
      </c>
      <c r="B793" s="133" t="s">
        <v>4095</v>
      </c>
      <c r="C793" s="133" t="s">
        <v>2615</v>
      </c>
      <c r="D793" s="133" t="s">
        <v>477</v>
      </c>
      <c r="E793" s="158">
        <v>20</v>
      </c>
      <c r="F793" s="158">
        <v>0</v>
      </c>
      <c r="G793" s="158">
        <v>0</v>
      </c>
      <c r="H793" s="133" t="s">
        <v>479</v>
      </c>
      <c r="I793" s="133" t="s">
        <v>479</v>
      </c>
      <c r="J793" s="158">
        <v>0</v>
      </c>
      <c r="K793" s="159"/>
    </row>
    <row r="794" spans="1:11" ht="15.75" hidden="1" customHeight="1">
      <c r="A794" s="133" t="s">
        <v>2</v>
      </c>
      <c r="B794" s="133" t="s">
        <v>4095</v>
      </c>
      <c r="C794" s="133" t="s">
        <v>4398</v>
      </c>
      <c r="D794" s="133" t="s">
        <v>477</v>
      </c>
      <c r="E794" s="158">
        <v>4</v>
      </c>
      <c r="F794" s="158">
        <v>0</v>
      </c>
      <c r="G794" s="158">
        <v>0</v>
      </c>
      <c r="H794" s="133" t="s">
        <v>479</v>
      </c>
      <c r="I794" s="133" t="s">
        <v>479</v>
      </c>
      <c r="J794" s="158">
        <v>0</v>
      </c>
      <c r="K794" s="159"/>
    </row>
    <row r="795" spans="1:11" ht="15.75" hidden="1" customHeight="1">
      <c r="A795" s="133" t="s">
        <v>2</v>
      </c>
      <c r="B795" s="133" t="s">
        <v>4095</v>
      </c>
      <c r="C795" s="133" t="s">
        <v>4672</v>
      </c>
      <c r="D795" s="133" t="s">
        <v>484</v>
      </c>
      <c r="E795" s="158">
        <v>4</v>
      </c>
      <c r="F795" s="158">
        <v>10</v>
      </c>
      <c r="G795" s="158">
        <v>0</v>
      </c>
      <c r="H795" s="133" t="s">
        <v>4673</v>
      </c>
      <c r="I795" s="133" t="s">
        <v>615</v>
      </c>
      <c r="J795" s="158">
        <v>0</v>
      </c>
      <c r="K795" s="159"/>
    </row>
    <row r="796" spans="1:11" ht="15.75" hidden="1" customHeight="1">
      <c r="A796" s="133" t="s">
        <v>2</v>
      </c>
      <c r="B796" s="133" t="s">
        <v>4095</v>
      </c>
      <c r="C796" s="133" t="s">
        <v>4674</v>
      </c>
      <c r="D796" s="133" t="s">
        <v>477</v>
      </c>
      <c r="E796" s="158">
        <v>20</v>
      </c>
      <c r="F796" s="158">
        <v>0</v>
      </c>
      <c r="G796" s="158">
        <v>0</v>
      </c>
      <c r="H796" s="133" t="s">
        <v>479</v>
      </c>
      <c r="I796" s="133" t="s">
        <v>479</v>
      </c>
      <c r="J796" s="158">
        <v>0</v>
      </c>
      <c r="K796" s="159"/>
    </row>
    <row r="797" spans="1:11" ht="15.75" hidden="1" customHeight="1">
      <c r="A797" s="133" t="s">
        <v>2</v>
      </c>
      <c r="B797" s="133" t="s">
        <v>4095</v>
      </c>
      <c r="C797" s="133" t="s">
        <v>4362</v>
      </c>
      <c r="D797" s="133" t="s">
        <v>477</v>
      </c>
      <c r="E797" s="158">
        <v>100</v>
      </c>
      <c r="F797" s="158">
        <v>0</v>
      </c>
      <c r="G797" s="158">
        <v>0</v>
      </c>
      <c r="H797" s="133" t="s">
        <v>479</v>
      </c>
      <c r="I797" s="133" t="s">
        <v>479</v>
      </c>
      <c r="J797" s="158">
        <v>0</v>
      </c>
      <c r="K797" s="159"/>
    </row>
    <row r="798" spans="1:11" ht="15.75" hidden="1" customHeight="1">
      <c r="A798" s="133" t="s">
        <v>2</v>
      </c>
      <c r="B798" s="133" t="s">
        <v>4095</v>
      </c>
      <c r="C798" s="133" t="s">
        <v>4580</v>
      </c>
      <c r="D798" s="133" t="s">
        <v>477</v>
      </c>
      <c r="E798" s="158">
        <v>100</v>
      </c>
      <c r="F798" s="158">
        <v>0</v>
      </c>
      <c r="G798" s="158">
        <v>0</v>
      </c>
      <c r="H798" s="133" t="s">
        <v>479</v>
      </c>
      <c r="I798" s="133" t="s">
        <v>479</v>
      </c>
      <c r="J798" s="158">
        <v>0</v>
      </c>
      <c r="K798" s="159"/>
    </row>
    <row r="799" spans="1:11" ht="15.75" hidden="1" customHeight="1">
      <c r="A799" s="133" t="s">
        <v>2</v>
      </c>
      <c r="B799" s="133" t="s">
        <v>4095</v>
      </c>
      <c r="C799" s="133" t="s">
        <v>4581</v>
      </c>
      <c r="D799" s="133" t="s">
        <v>477</v>
      </c>
      <c r="E799" s="158">
        <v>50</v>
      </c>
      <c r="F799" s="158">
        <v>0</v>
      </c>
      <c r="G799" s="158">
        <v>0</v>
      </c>
      <c r="H799" s="133" t="s">
        <v>479</v>
      </c>
      <c r="I799" s="133" t="s">
        <v>479</v>
      </c>
      <c r="J799" s="158">
        <v>0</v>
      </c>
      <c r="K799" s="159"/>
    </row>
    <row r="800" spans="1:11" ht="15.75" hidden="1" customHeight="1">
      <c r="A800" s="133" t="s">
        <v>2</v>
      </c>
      <c r="B800" s="133" t="s">
        <v>4095</v>
      </c>
      <c r="C800" s="133" t="s">
        <v>4675</v>
      </c>
      <c r="D800" s="133" t="s">
        <v>477</v>
      </c>
      <c r="E800" s="158">
        <v>100</v>
      </c>
      <c r="F800" s="158">
        <v>0</v>
      </c>
      <c r="G800" s="158">
        <v>0</v>
      </c>
      <c r="H800" s="133" t="s">
        <v>479</v>
      </c>
      <c r="I800" s="133" t="s">
        <v>479</v>
      </c>
      <c r="J800" s="158">
        <v>0</v>
      </c>
      <c r="K800" s="159"/>
    </row>
    <row r="801" spans="1:11" ht="15.75" hidden="1" customHeight="1">
      <c r="A801" s="133" t="s">
        <v>2</v>
      </c>
      <c r="B801" s="133" t="s">
        <v>4095</v>
      </c>
      <c r="C801" s="133" t="s">
        <v>4676</v>
      </c>
      <c r="D801" s="133" t="s">
        <v>477</v>
      </c>
      <c r="E801" s="158">
        <v>50</v>
      </c>
      <c r="F801" s="158">
        <v>0</v>
      </c>
      <c r="G801" s="158">
        <v>0</v>
      </c>
      <c r="H801" s="133" t="s">
        <v>479</v>
      </c>
      <c r="I801" s="133" t="s">
        <v>479</v>
      </c>
      <c r="J801" s="158">
        <v>0</v>
      </c>
      <c r="K801" s="159"/>
    </row>
    <row r="802" spans="1:11" ht="15.75" hidden="1" customHeight="1">
      <c r="A802" s="133" t="s">
        <v>2</v>
      </c>
      <c r="B802" s="133" t="s">
        <v>4095</v>
      </c>
      <c r="C802" s="133" t="s">
        <v>4677</v>
      </c>
      <c r="D802" s="133" t="s">
        <v>484</v>
      </c>
      <c r="E802" s="158">
        <v>4</v>
      </c>
      <c r="F802" s="158">
        <v>10</v>
      </c>
      <c r="G802" s="158">
        <v>0</v>
      </c>
      <c r="H802" s="133" t="s">
        <v>479</v>
      </c>
      <c r="I802" s="133" t="s">
        <v>615</v>
      </c>
      <c r="J802" s="158">
        <v>0</v>
      </c>
      <c r="K802" s="159"/>
    </row>
    <row r="803" spans="1:11" ht="15.75" hidden="1" customHeight="1">
      <c r="A803" s="133" t="s">
        <v>2</v>
      </c>
      <c r="B803" s="133" t="s">
        <v>4095</v>
      </c>
      <c r="C803" s="133" t="s">
        <v>4678</v>
      </c>
      <c r="D803" s="133" t="s">
        <v>477</v>
      </c>
      <c r="E803" s="158">
        <v>100</v>
      </c>
      <c r="F803" s="158">
        <v>0</v>
      </c>
      <c r="G803" s="158">
        <v>0</v>
      </c>
      <c r="H803" s="133" t="s">
        <v>479</v>
      </c>
      <c r="I803" s="133" t="s">
        <v>479</v>
      </c>
      <c r="J803" s="158">
        <v>0</v>
      </c>
      <c r="K803" s="159"/>
    </row>
    <row r="804" spans="1:11" ht="15.75" hidden="1" customHeight="1">
      <c r="A804" s="133" t="s">
        <v>2</v>
      </c>
      <c r="B804" s="133" t="s">
        <v>4095</v>
      </c>
      <c r="C804" s="133" t="s">
        <v>4679</v>
      </c>
      <c r="D804" s="133" t="s">
        <v>477</v>
      </c>
      <c r="E804" s="158">
        <v>300</v>
      </c>
      <c r="F804" s="158">
        <v>0</v>
      </c>
      <c r="G804" s="158">
        <v>0</v>
      </c>
      <c r="H804" s="133" t="s">
        <v>479</v>
      </c>
      <c r="I804" s="133" t="s">
        <v>479</v>
      </c>
      <c r="J804" s="158">
        <v>0</v>
      </c>
      <c r="K804" s="159"/>
    </row>
    <row r="805" spans="1:11" ht="15.75" hidden="1" customHeight="1">
      <c r="A805" s="133" t="s">
        <v>2</v>
      </c>
      <c r="B805" s="133" t="s">
        <v>4095</v>
      </c>
      <c r="C805" s="133" t="s">
        <v>4633</v>
      </c>
      <c r="D805" s="133" t="s">
        <v>477</v>
      </c>
      <c r="E805" s="158">
        <v>100</v>
      </c>
      <c r="F805" s="158">
        <v>0</v>
      </c>
      <c r="G805" s="158">
        <v>0</v>
      </c>
      <c r="H805" s="133" t="s">
        <v>479</v>
      </c>
      <c r="I805" s="133" t="s">
        <v>479</v>
      </c>
      <c r="J805" s="158">
        <v>0</v>
      </c>
      <c r="K805" s="159"/>
    </row>
    <row r="806" spans="1:11" ht="15.75" hidden="1" customHeight="1">
      <c r="A806" s="133" t="s">
        <v>2</v>
      </c>
      <c r="B806" s="133" t="s">
        <v>4095</v>
      </c>
      <c r="C806" s="133" t="s">
        <v>4680</v>
      </c>
      <c r="D806" s="133" t="s">
        <v>477</v>
      </c>
      <c r="E806" s="158">
        <v>100</v>
      </c>
      <c r="F806" s="158">
        <v>0</v>
      </c>
      <c r="G806" s="158">
        <v>0</v>
      </c>
      <c r="H806" s="133" t="s">
        <v>479</v>
      </c>
      <c r="I806" s="133" t="s">
        <v>479</v>
      </c>
      <c r="J806" s="158">
        <v>0</v>
      </c>
      <c r="K806" s="159"/>
    </row>
    <row r="807" spans="1:11" ht="15.75" hidden="1" customHeight="1">
      <c r="A807" s="133" t="s">
        <v>2</v>
      </c>
      <c r="B807" s="133" t="s">
        <v>4095</v>
      </c>
      <c r="C807" s="133" t="s">
        <v>4636</v>
      </c>
      <c r="D807" s="133" t="s">
        <v>477</v>
      </c>
      <c r="E807" s="158">
        <v>100</v>
      </c>
      <c r="F807" s="158">
        <v>0</v>
      </c>
      <c r="G807" s="158">
        <v>0</v>
      </c>
      <c r="H807" s="133" t="s">
        <v>479</v>
      </c>
      <c r="I807" s="133" t="s">
        <v>479</v>
      </c>
      <c r="J807" s="158">
        <v>0</v>
      </c>
      <c r="K807" s="159"/>
    </row>
    <row r="808" spans="1:11" ht="15.75" hidden="1" customHeight="1">
      <c r="A808" s="133" t="s">
        <v>2</v>
      </c>
      <c r="B808" s="133" t="s">
        <v>4095</v>
      </c>
      <c r="C808" s="133" t="s">
        <v>4681</v>
      </c>
      <c r="D808" s="133" t="s">
        <v>477</v>
      </c>
      <c r="E808" s="158">
        <v>100</v>
      </c>
      <c r="F808" s="158">
        <v>0</v>
      </c>
      <c r="G808" s="158">
        <v>0</v>
      </c>
      <c r="H808" s="133" t="s">
        <v>479</v>
      </c>
      <c r="I808" s="133" t="s">
        <v>479</v>
      </c>
      <c r="J808" s="158">
        <v>0</v>
      </c>
      <c r="K808" s="159"/>
    </row>
    <row r="809" spans="1:11" ht="15.75" hidden="1" customHeight="1">
      <c r="A809" s="133" t="s">
        <v>2</v>
      </c>
      <c r="B809" s="133" t="s">
        <v>4095</v>
      </c>
      <c r="C809" s="133" t="s">
        <v>2475</v>
      </c>
      <c r="D809" s="133" t="s">
        <v>477</v>
      </c>
      <c r="E809" s="158">
        <v>100</v>
      </c>
      <c r="F809" s="158">
        <v>0</v>
      </c>
      <c r="G809" s="158">
        <v>0</v>
      </c>
      <c r="H809" s="133" t="s">
        <v>479</v>
      </c>
      <c r="I809" s="133" t="s">
        <v>479</v>
      </c>
      <c r="J809" s="158">
        <v>0</v>
      </c>
      <c r="K809" s="159"/>
    </row>
    <row r="810" spans="1:11" ht="15.75" hidden="1" customHeight="1">
      <c r="A810" s="133" t="s">
        <v>2</v>
      </c>
      <c r="B810" s="133" t="s">
        <v>4095</v>
      </c>
      <c r="C810" s="133" t="s">
        <v>4481</v>
      </c>
      <c r="D810" s="133" t="s">
        <v>477</v>
      </c>
      <c r="E810" s="158">
        <v>6</v>
      </c>
      <c r="F810" s="158">
        <v>0</v>
      </c>
      <c r="G810" s="158">
        <v>0</v>
      </c>
      <c r="H810" s="133" t="s">
        <v>479</v>
      </c>
      <c r="I810" s="133" t="s">
        <v>479</v>
      </c>
      <c r="J810" s="158">
        <v>0</v>
      </c>
      <c r="K810" s="159"/>
    </row>
    <row r="811" spans="1:11" ht="15.75" hidden="1" customHeight="1">
      <c r="A811" s="133" t="s">
        <v>2</v>
      </c>
      <c r="B811" s="133" t="s">
        <v>4095</v>
      </c>
      <c r="C811" s="133" t="s">
        <v>4682</v>
      </c>
      <c r="D811" s="133" t="s">
        <v>481</v>
      </c>
      <c r="E811" s="158">
        <v>9</v>
      </c>
      <c r="F811" s="158">
        <v>11</v>
      </c>
      <c r="G811" s="158">
        <v>8</v>
      </c>
      <c r="H811" s="133" t="s">
        <v>479</v>
      </c>
      <c r="I811" s="133" t="s">
        <v>479</v>
      </c>
      <c r="J811" s="158">
        <v>0</v>
      </c>
      <c r="K811" s="159"/>
    </row>
    <row r="812" spans="1:11" ht="15.75" hidden="1" customHeight="1">
      <c r="A812" s="133" t="s">
        <v>2</v>
      </c>
      <c r="B812" s="133" t="s">
        <v>4095</v>
      </c>
      <c r="C812" s="133" t="s">
        <v>4683</v>
      </c>
      <c r="D812" s="133" t="s">
        <v>481</v>
      </c>
      <c r="E812" s="158">
        <v>9</v>
      </c>
      <c r="F812" s="158">
        <v>11</v>
      </c>
      <c r="G812" s="158">
        <v>8</v>
      </c>
      <c r="H812" s="133" t="s">
        <v>479</v>
      </c>
      <c r="I812" s="133" t="s">
        <v>479</v>
      </c>
      <c r="J812" s="158">
        <v>0</v>
      </c>
      <c r="K812" s="159"/>
    </row>
    <row r="813" spans="1:11" ht="15.75" hidden="1" customHeight="1">
      <c r="A813" s="133" t="s">
        <v>2</v>
      </c>
      <c r="B813" s="133" t="s">
        <v>4095</v>
      </c>
      <c r="C813" s="133" t="s">
        <v>2581</v>
      </c>
      <c r="D813" s="133" t="s">
        <v>477</v>
      </c>
      <c r="E813" s="158">
        <v>300</v>
      </c>
      <c r="F813" s="158">
        <v>0</v>
      </c>
      <c r="G813" s="158">
        <v>0</v>
      </c>
      <c r="H813" s="133" t="s">
        <v>479</v>
      </c>
      <c r="I813" s="133" t="s">
        <v>479</v>
      </c>
      <c r="J813" s="158">
        <v>0</v>
      </c>
      <c r="K813" s="159"/>
    </row>
    <row r="814" spans="1:11" ht="15.75" hidden="1" customHeight="1">
      <c r="A814" s="133" t="s">
        <v>2</v>
      </c>
      <c r="B814" s="133" t="s">
        <v>4095</v>
      </c>
      <c r="C814" s="133" t="s">
        <v>4684</v>
      </c>
      <c r="D814" s="133" t="s">
        <v>477</v>
      </c>
      <c r="E814" s="158">
        <v>5</v>
      </c>
      <c r="F814" s="158">
        <v>0</v>
      </c>
      <c r="G814" s="158">
        <v>0</v>
      </c>
      <c r="H814" s="133" t="s">
        <v>4685</v>
      </c>
      <c r="I814" s="133" t="s">
        <v>548</v>
      </c>
      <c r="J814" s="158">
        <v>0</v>
      </c>
      <c r="K814" s="159"/>
    </row>
    <row r="815" spans="1:11" ht="15.75" hidden="1" customHeight="1">
      <c r="A815" s="133" t="s">
        <v>2</v>
      </c>
      <c r="B815" s="133" t="s">
        <v>4095</v>
      </c>
      <c r="C815" s="133" t="s">
        <v>4686</v>
      </c>
      <c r="D815" s="133" t="s">
        <v>477</v>
      </c>
      <c r="E815" s="158">
        <v>3</v>
      </c>
      <c r="F815" s="158">
        <v>0</v>
      </c>
      <c r="G815" s="158">
        <v>0</v>
      </c>
      <c r="H815" s="133" t="s">
        <v>479</v>
      </c>
      <c r="I815" s="133" t="s">
        <v>548</v>
      </c>
      <c r="J815" s="158">
        <v>0</v>
      </c>
      <c r="K815" s="159"/>
    </row>
    <row r="816" spans="1:11" ht="15.75" hidden="1" customHeight="1">
      <c r="A816" s="133" t="s">
        <v>2</v>
      </c>
      <c r="B816" s="133" t="s">
        <v>4095</v>
      </c>
      <c r="C816" s="133" t="s">
        <v>4687</v>
      </c>
      <c r="D816" s="133" t="s">
        <v>477</v>
      </c>
      <c r="E816" s="158">
        <v>100</v>
      </c>
      <c r="F816" s="158">
        <v>0</v>
      </c>
      <c r="G816" s="158">
        <v>0</v>
      </c>
      <c r="H816" s="133" t="s">
        <v>479</v>
      </c>
      <c r="I816" s="133" t="s">
        <v>479</v>
      </c>
      <c r="J816" s="158">
        <v>0</v>
      </c>
      <c r="K816" s="159"/>
    </row>
    <row r="817" spans="1:11" ht="15.75" hidden="1" customHeight="1">
      <c r="A817" s="133" t="s">
        <v>2</v>
      </c>
      <c r="B817" s="133" t="s">
        <v>4095</v>
      </c>
      <c r="C817" s="133" t="s">
        <v>4483</v>
      </c>
      <c r="D817" s="133" t="s">
        <v>481</v>
      </c>
      <c r="E817" s="158">
        <v>9</v>
      </c>
      <c r="F817" s="158">
        <v>10</v>
      </c>
      <c r="G817" s="158">
        <v>4</v>
      </c>
      <c r="H817" s="133" t="s">
        <v>479</v>
      </c>
      <c r="I817" s="133" t="s">
        <v>479</v>
      </c>
      <c r="J817" s="158">
        <v>0</v>
      </c>
      <c r="K817" s="159"/>
    </row>
    <row r="818" spans="1:11" ht="15.75" hidden="1" customHeight="1">
      <c r="A818" s="133" t="s">
        <v>2</v>
      </c>
      <c r="B818" s="133" t="s">
        <v>4095</v>
      </c>
      <c r="C818" s="133" t="s">
        <v>4485</v>
      </c>
      <c r="D818" s="133" t="s">
        <v>484</v>
      </c>
      <c r="E818" s="158">
        <v>4</v>
      </c>
      <c r="F818" s="158">
        <v>10</v>
      </c>
      <c r="G818" s="158">
        <v>0</v>
      </c>
      <c r="H818" s="133" t="s">
        <v>479</v>
      </c>
      <c r="I818" s="133" t="s">
        <v>479</v>
      </c>
      <c r="J818" s="158">
        <v>0</v>
      </c>
      <c r="K818" s="159"/>
    </row>
    <row r="819" spans="1:11" ht="15.75" hidden="1" customHeight="1">
      <c r="A819" s="133" t="s">
        <v>2</v>
      </c>
      <c r="B819" s="133" t="s">
        <v>4095</v>
      </c>
      <c r="C819" s="133" t="s">
        <v>4325</v>
      </c>
      <c r="D819" s="133" t="s">
        <v>477</v>
      </c>
      <c r="E819" s="158">
        <v>2</v>
      </c>
      <c r="F819" s="158">
        <v>0</v>
      </c>
      <c r="G819" s="158">
        <v>0</v>
      </c>
      <c r="H819" s="133" t="s">
        <v>479</v>
      </c>
      <c r="I819" s="133" t="s">
        <v>479</v>
      </c>
      <c r="J819" s="158">
        <v>0</v>
      </c>
      <c r="K819" s="159"/>
    </row>
    <row r="820" spans="1:11" ht="15.75" hidden="1" customHeight="1">
      <c r="A820" s="133" t="s">
        <v>2</v>
      </c>
      <c r="B820" s="133" t="s">
        <v>4095</v>
      </c>
      <c r="C820" s="133" t="s">
        <v>708</v>
      </c>
      <c r="D820" s="133" t="s">
        <v>477</v>
      </c>
      <c r="E820" s="158">
        <v>50</v>
      </c>
      <c r="F820" s="158">
        <v>0</v>
      </c>
      <c r="G820" s="158">
        <v>0</v>
      </c>
      <c r="H820" s="133" t="s">
        <v>479</v>
      </c>
      <c r="I820" s="133" t="s">
        <v>479</v>
      </c>
      <c r="J820" s="158">
        <v>0</v>
      </c>
      <c r="K820" s="159"/>
    </row>
    <row r="821" spans="1:11" ht="15.75" hidden="1" customHeight="1">
      <c r="A821" s="133" t="s">
        <v>2</v>
      </c>
      <c r="B821" s="133" t="s">
        <v>4095</v>
      </c>
      <c r="C821" s="133" t="s">
        <v>1741</v>
      </c>
      <c r="D821" s="133" t="s">
        <v>477</v>
      </c>
      <c r="E821" s="158">
        <v>50</v>
      </c>
      <c r="F821" s="158">
        <v>0</v>
      </c>
      <c r="G821" s="158">
        <v>0</v>
      </c>
      <c r="H821" s="133" t="s">
        <v>479</v>
      </c>
      <c r="I821" s="133" t="s">
        <v>479</v>
      </c>
      <c r="J821" s="158">
        <v>0</v>
      </c>
      <c r="K821" s="159"/>
    </row>
    <row r="822" spans="1:11" ht="15.75" hidden="1" customHeight="1">
      <c r="A822" s="133" t="s">
        <v>2</v>
      </c>
      <c r="B822" s="133" t="s">
        <v>4095</v>
      </c>
      <c r="C822" s="133" t="s">
        <v>4688</v>
      </c>
      <c r="D822" s="133" t="s">
        <v>477</v>
      </c>
      <c r="E822" s="158">
        <v>10</v>
      </c>
      <c r="F822" s="158">
        <v>0</v>
      </c>
      <c r="G822" s="158">
        <v>0</v>
      </c>
      <c r="H822" s="133" t="s">
        <v>479</v>
      </c>
      <c r="I822" s="133" t="s">
        <v>4689</v>
      </c>
      <c r="J822" s="158">
        <v>0</v>
      </c>
      <c r="K822" s="159"/>
    </row>
    <row r="823" spans="1:11" ht="15.75" hidden="1" customHeight="1">
      <c r="A823" s="133" t="s">
        <v>2</v>
      </c>
      <c r="B823" s="133" t="s">
        <v>4095</v>
      </c>
      <c r="C823" s="133" t="s">
        <v>4690</v>
      </c>
      <c r="D823" s="133" t="s">
        <v>481</v>
      </c>
      <c r="E823" s="158">
        <v>9</v>
      </c>
      <c r="F823" s="158">
        <v>11</v>
      </c>
      <c r="G823" s="158">
        <v>2</v>
      </c>
      <c r="H823" s="133" t="s">
        <v>479</v>
      </c>
      <c r="I823" s="133" t="s">
        <v>479</v>
      </c>
      <c r="J823" s="158">
        <v>0</v>
      </c>
      <c r="K823" s="159"/>
    </row>
    <row r="824" spans="1:11" ht="15.75" hidden="1" customHeight="1">
      <c r="A824" s="133" t="s">
        <v>2</v>
      </c>
      <c r="B824" s="133" t="s">
        <v>4095</v>
      </c>
      <c r="C824" s="133" t="s">
        <v>4691</v>
      </c>
      <c r="D824" s="133" t="s">
        <v>481</v>
      </c>
      <c r="E824" s="158">
        <v>9</v>
      </c>
      <c r="F824" s="158">
        <v>11</v>
      </c>
      <c r="G824" s="158">
        <v>2</v>
      </c>
      <c r="H824" s="133" t="s">
        <v>479</v>
      </c>
      <c r="I824" s="133" t="s">
        <v>479</v>
      </c>
      <c r="J824" s="158">
        <v>0</v>
      </c>
      <c r="K824" s="159"/>
    </row>
    <row r="825" spans="1:11" ht="15.75" hidden="1" customHeight="1">
      <c r="A825" s="133" t="s">
        <v>2</v>
      </c>
      <c r="B825" s="133" t="s">
        <v>4095</v>
      </c>
      <c r="C825" s="133" t="s">
        <v>4692</v>
      </c>
      <c r="D825" s="133" t="s">
        <v>481</v>
      </c>
      <c r="E825" s="158">
        <v>5</v>
      </c>
      <c r="F825" s="158">
        <v>9</v>
      </c>
      <c r="G825" s="158">
        <v>2</v>
      </c>
      <c r="H825" s="133" t="s">
        <v>4693</v>
      </c>
      <c r="I825" s="133" t="s">
        <v>1223</v>
      </c>
      <c r="J825" s="158">
        <v>0</v>
      </c>
      <c r="K825" s="159"/>
    </row>
    <row r="826" spans="1:11" ht="15.75" hidden="1" customHeight="1">
      <c r="A826" s="133" t="s">
        <v>2</v>
      </c>
      <c r="B826" s="133" t="s">
        <v>4095</v>
      </c>
      <c r="C826" s="133" t="s">
        <v>4694</v>
      </c>
      <c r="D826" s="133" t="s">
        <v>484</v>
      </c>
      <c r="E826" s="158">
        <v>4</v>
      </c>
      <c r="F826" s="158">
        <v>10</v>
      </c>
      <c r="G826" s="158">
        <v>0</v>
      </c>
      <c r="H826" s="133" t="s">
        <v>479</v>
      </c>
      <c r="I826" s="133" t="s">
        <v>479</v>
      </c>
      <c r="J826" s="158">
        <v>0</v>
      </c>
      <c r="K826" s="159"/>
    </row>
    <row r="827" spans="1:11" ht="15.75" hidden="1" customHeight="1">
      <c r="A827" s="133" t="s">
        <v>2</v>
      </c>
      <c r="B827" s="133" t="s">
        <v>4095</v>
      </c>
      <c r="C827" s="133" t="s">
        <v>4695</v>
      </c>
      <c r="D827" s="133" t="s">
        <v>477</v>
      </c>
      <c r="E827" s="158">
        <v>10</v>
      </c>
      <c r="F827" s="158">
        <v>0</v>
      </c>
      <c r="G827" s="158">
        <v>0</v>
      </c>
      <c r="H827" s="133" t="s">
        <v>479</v>
      </c>
      <c r="I827" s="133" t="s">
        <v>548</v>
      </c>
      <c r="J827" s="158">
        <v>0</v>
      </c>
      <c r="K827" s="159"/>
    </row>
    <row r="828" spans="1:11" ht="15.75" hidden="1" customHeight="1">
      <c r="A828" s="133" t="s">
        <v>2</v>
      </c>
      <c r="B828" s="133" t="s">
        <v>4095</v>
      </c>
      <c r="C828" s="133" t="s">
        <v>2505</v>
      </c>
      <c r="D828" s="133" t="s">
        <v>477</v>
      </c>
      <c r="E828" s="158">
        <v>8</v>
      </c>
      <c r="F828" s="158">
        <v>0</v>
      </c>
      <c r="G828" s="158">
        <v>0</v>
      </c>
      <c r="H828" s="133" t="s">
        <v>479</v>
      </c>
      <c r="I828" s="133" t="s">
        <v>479</v>
      </c>
      <c r="J828" s="158">
        <v>0</v>
      </c>
      <c r="K828" s="159"/>
    </row>
    <row r="829" spans="1:11" ht="15.75" hidden="1" customHeight="1">
      <c r="A829" s="133" t="s">
        <v>2</v>
      </c>
      <c r="B829" s="133" t="s">
        <v>4095</v>
      </c>
      <c r="C829" s="133" t="s">
        <v>292</v>
      </c>
      <c r="D829" s="133" t="s">
        <v>484</v>
      </c>
      <c r="E829" s="158">
        <v>4</v>
      </c>
      <c r="F829" s="158">
        <v>10</v>
      </c>
      <c r="G829" s="158">
        <v>0</v>
      </c>
      <c r="H829" s="133" t="s">
        <v>479</v>
      </c>
      <c r="I829" s="133" t="s">
        <v>479</v>
      </c>
      <c r="J829" s="158">
        <v>0</v>
      </c>
      <c r="K829" s="159"/>
    </row>
    <row r="830" spans="1:11" ht="15.75" hidden="1" customHeight="1">
      <c r="A830" s="133" t="s">
        <v>2</v>
      </c>
      <c r="B830" s="133" t="s">
        <v>4095</v>
      </c>
      <c r="C830" s="133" t="s">
        <v>4696</v>
      </c>
      <c r="D830" s="133" t="s">
        <v>477</v>
      </c>
      <c r="E830" s="158">
        <v>12</v>
      </c>
      <c r="F830" s="158">
        <v>0</v>
      </c>
      <c r="G830" s="158">
        <v>0</v>
      </c>
      <c r="H830" s="133" t="s">
        <v>4697</v>
      </c>
      <c r="I830" s="133" t="s">
        <v>548</v>
      </c>
      <c r="J830" s="158">
        <v>0</v>
      </c>
      <c r="K830" s="159"/>
    </row>
    <row r="831" spans="1:11" ht="15.75" hidden="1" customHeight="1">
      <c r="A831" s="133" t="s">
        <v>2</v>
      </c>
      <c r="B831" s="133" t="s">
        <v>4095</v>
      </c>
      <c r="C831" s="133" t="s">
        <v>1206</v>
      </c>
      <c r="D831" s="133" t="s">
        <v>477</v>
      </c>
      <c r="E831" s="158">
        <v>10</v>
      </c>
      <c r="F831" s="158">
        <v>0</v>
      </c>
      <c r="G831" s="158">
        <v>0</v>
      </c>
      <c r="H831" s="133" t="s">
        <v>479</v>
      </c>
      <c r="I831" s="133" t="s">
        <v>548</v>
      </c>
      <c r="J831" s="158">
        <v>0</v>
      </c>
      <c r="K831" s="159"/>
    </row>
    <row r="832" spans="1:11" ht="15.75" hidden="1" customHeight="1">
      <c r="A832" s="133" t="s">
        <v>2</v>
      </c>
      <c r="B832" s="133" t="s">
        <v>4095</v>
      </c>
      <c r="C832" s="133" t="s">
        <v>4698</v>
      </c>
      <c r="D832" s="133" t="s">
        <v>477</v>
      </c>
      <c r="E832" s="158">
        <v>20</v>
      </c>
      <c r="F832" s="158">
        <v>0</v>
      </c>
      <c r="G832" s="158">
        <v>0</v>
      </c>
      <c r="H832" s="133" t="s">
        <v>4699</v>
      </c>
      <c r="I832" s="133" t="s">
        <v>548</v>
      </c>
      <c r="J832" s="158">
        <v>0</v>
      </c>
      <c r="K832" s="159"/>
    </row>
    <row r="833" spans="1:11" ht="15.75" hidden="1" customHeight="1">
      <c r="A833" s="133" t="s">
        <v>2</v>
      </c>
      <c r="B833" s="133" t="s">
        <v>4095</v>
      </c>
      <c r="C833" s="133" t="s">
        <v>4700</v>
      </c>
      <c r="D833" s="133" t="s">
        <v>477</v>
      </c>
      <c r="E833" s="158">
        <v>10</v>
      </c>
      <c r="F833" s="158">
        <v>0</v>
      </c>
      <c r="G833" s="158">
        <v>0</v>
      </c>
      <c r="H833" s="133" t="s">
        <v>4701</v>
      </c>
      <c r="I833" s="133" t="s">
        <v>548</v>
      </c>
      <c r="J833" s="158">
        <v>0</v>
      </c>
      <c r="K833" s="159"/>
    </row>
    <row r="834" spans="1:11" ht="15.75" hidden="1" customHeight="1">
      <c r="A834" s="133" t="s">
        <v>2</v>
      </c>
      <c r="B834" s="133" t="s">
        <v>4095</v>
      </c>
      <c r="C834" s="133" t="s">
        <v>4702</v>
      </c>
      <c r="D834" s="133" t="s">
        <v>496</v>
      </c>
      <c r="E834" s="158">
        <v>4</v>
      </c>
      <c r="F834" s="158">
        <v>16</v>
      </c>
      <c r="G834" s="158">
        <v>0</v>
      </c>
      <c r="H834" s="133" t="s">
        <v>479</v>
      </c>
      <c r="I834" s="133" t="s">
        <v>548</v>
      </c>
      <c r="J834" s="158">
        <v>0</v>
      </c>
      <c r="K834" s="159"/>
    </row>
    <row r="835" spans="1:11" ht="15.75" hidden="1" customHeight="1">
      <c r="A835" s="133" t="s">
        <v>2</v>
      </c>
      <c r="B835" s="133" t="s">
        <v>4095</v>
      </c>
      <c r="C835" s="133" t="s">
        <v>4703</v>
      </c>
      <c r="D835" s="133" t="s">
        <v>477</v>
      </c>
      <c r="E835" s="158">
        <v>300</v>
      </c>
      <c r="F835" s="158">
        <v>0</v>
      </c>
      <c r="G835" s="158">
        <v>0</v>
      </c>
      <c r="H835" s="133" t="s">
        <v>479</v>
      </c>
      <c r="I835" s="133" t="s">
        <v>548</v>
      </c>
      <c r="J835" s="158">
        <v>0</v>
      </c>
      <c r="K835" s="159"/>
    </row>
    <row r="836" spans="1:11" ht="15.75" hidden="1" customHeight="1">
      <c r="A836" s="133" t="s">
        <v>2</v>
      </c>
      <c r="B836" s="133" t="s">
        <v>4095</v>
      </c>
      <c r="C836" s="133" t="s">
        <v>2617</v>
      </c>
      <c r="D836" s="133" t="s">
        <v>477</v>
      </c>
      <c r="E836" s="158">
        <v>10</v>
      </c>
      <c r="F836" s="158">
        <v>0</v>
      </c>
      <c r="G836" s="158">
        <v>0</v>
      </c>
      <c r="H836" s="133" t="s">
        <v>479</v>
      </c>
      <c r="I836" s="133" t="s">
        <v>548</v>
      </c>
      <c r="J836" s="158">
        <v>0</v>
      </c>
      <c r="K836" s="159"/>
    </row>
    <row r="837" spans="1:11" ht="15.75" hidden="1" customHeight="1">
      <c r="A837" s="133" t="s">
        <v>2</v>
      </c>
      <c r="B837" s="133" t="s">
        <v>4095</v>
      </c>
      <c r="C837" s="133" t="s">
        <v>4704</v>
      </c>
      <c r="D837" s="133" t="s">
        <v>477</v>
      </c>
      <c r="E837" s="158">
        <v>10</v>
      </c>
      <c r="F837" s="158">
        <v>0</v>
      </c>
      <c r="G837" s="158">
        <v>0</v>
      </c>
      <c r="H837" s="133" t="s">
        <v>479</v>
      </c>
      <c r="I837" s="133" t="s">
        <v>548</v>
      </c>
      <c r="J837" s="158">
        <v>0</v>
      </c>
      <c r="K837" s="159"/>
    </row>
    <row r="838" spans="1:11" ht="15.75" hidden="1" customHeight="1">
      <c r="A838" s="133" t="s">
        <v>2</v>
      </c>
      <c r="B838" s="133" t="s">
        <v>4095</v>
      </c>
      <c r="C838" s="133" t="s">
        <v>4705</v>
      </c>
      <c r="D838" s="133" t="s">
        <v>484</v>
      </c>
      <c r="E838" s="158">
        <v>4</v>
      </c>
      <c r="F838" s="158">
        <v>10</v>
      </c>
      <c r="G838" s="158">
        <v>0</v>
      </c>
      <c r="H838" s="133" t="s">
        <v>4706</v>
      </c>
      <c r="I838" s="133" t="s">
        <v>548</v>
      </c>
      <c r="J838" s="158">
        <v>0</v>
      </c>
      <c r="K838" s="159"/>
    </row>
    <row r="839" spans="1:11" ht="15.75" hidden="1" customHeight="1">
      <c r="A839" s="133" t="s">
        <v>2</v>
      </c>
      <c r="B839" s="133" t="s">
        <v>4095</v>
      </c>
      <c r="C839" s="133" t="s">
        <v>523</v>
      </c>
      <c r="D839" s="133" t="s">
        <v>477</v>
      </c>
      <c r="E839" s="158">
        <v>8</v>
      </c>
      <c r="F839" s="158">
        <v>0</v>
      </c>
      <c r="G839" s="158">
        <v>0</v>
      </c>
      <c r="H839" s="133" t="s">
        <v>479</v>
      </c>
      <c r="I839" s="133" t="s">
        <v>479</v>
      </c>
      <c r="J839" s="158">
        <v>0</v>
      </c>
      <c r="K839" s="159"/>
    </row>
    <row r="840" spans="1:11" ht="15.75" hidden="1" customHeight="1">
      <c r="A840" s="133" t="s">
        <v>2</v>
      </c>
      <c r="B840" s="133" t="s">
        <v>4095</v>
      </c>
      <c r="C840" s="133" t="s">
        <v>669</v>
      </c>
      <c r="D840" s="133" t="s">
        <v>496</v>
      </c>
      <c r="E840" s="158">
        <v>4</v>
      </c>
      <c r="F840" s="158">
        <v>16</v>
      </c>
      <c r="G840" s="158">
        <v>0</v>
      </c>
      <c r="H840" s="133" t="s">
        <v>479</v>
      </c>
      <c r="I840" s="133" t="s">
        <v>479</v>
      </c>
      <c r="J840" s="158">
        <v>0</v>
      </c>
      <c r="K840" s="159"/>
    </row>
    <row r="841" spans="1:11" ht="15.75" hidden="1" customHeight="1">
      <c r="A841" s="133" t="s">
        <v>2</v>
      </c>
      <c r="B841" s="133" t="s">
        <v>4095</v>
      </c>
      <c r="C841" s="133" t="s">
        <v>670</v>
      </c>
      <c r="D841" s="133" t="s">
        <v>477</v>
      </c>
      <c r="E841" s="158">
        <v>8</v>
      </c>
      <c r="F841" s="158">
        <v>0</v>
      </c>
      <c r="G841" s="158">
        <v>0</v>
      </c>
      <c r="H841" s="133" t="s">
        <v>479</v>
      </c>
      <c r="I841" s="133" t="s">
        <v>548</v>
      </c>
      <c r="J841" s="158">
        <v>0</v>
      </c>
      <c r="K841" s="159"/>
    </row>
    <row r="842" spans="1:11" ht="15.75" hidden="1" customHeight="1">
      <c r="A842" s="133" t="s">
        <v>2</v>
      </c>
      <c r="B842" s="133" t="s">
        <v>4095</v>
      </c>
      <c r="C842" s="133" t="s">
        <v>215</v>
      </c>
      <c r="D842" s="133" t="s">
        <v>496</v>
      </c>
      <c r="E842" s="158">
        <v>4</v>
      </c>
      <c r="F842" s="158">
        <v>16</v>
      </c>
      <c r="G842" s="158">
        <v>0</v>
      </c>
      <c r="H842" s="133" t="s">
        <v>479</v>
      </c>
      <c r="I842" s="133" t="s">
        <v>548</v>
      </c>
      <c r="J842" s="158">
        <v>0</v>
      </c>
      <c r="K842" s="159"/>
    </row>
    <row r="843" spans="1:11" ht="15.75" hidden="1" customHeight="1">
      <c r="A843" s="133" t="s">
        <v>2</v>
      </c>
      <c r="B843" s="133" t="s">
        <v>4095</v>
      </c>
      <c r="C843" s="133" t="s">
        <v>4707</v>
      </c>
      <c r="D843" s="133" t="s">
        <v>477</v>
      </c>
      <c r="E843" s="158">
        <v>300</v>
      </c>
      <c r="F843" s="158">
        <v>0</v>
      </c>
      <c r="G843" s="158">
        <v>0</v>
      </c>
      <c r="H843" s="133" t="s">
        <v>4707</v>
      </c>
      <c r="I843" s="133" t="s">
        <v>548</v>
      </c>
      <c r="J843" s="158">
        <v>0</v>
      </c>
      <c r="K843" s="159"/>
    </row>
    <row r="844" spans="1:11" ht="15.75" hidden="1" customHeight="1">
      <c r="A844" s="133" t="s">
        <v>2</v>
      </c>
      <c r="B844" s="133" t="s">
        <v>4095</v>
      </c>
      <c r="C844" s="133" t="s">
        <v>2602</v>
      </c>
      <c r="D844" s="133" t="s">
        <v>484</v>
      </c>
      <c r="E844" s="158">
        <v>4</v>
      </c>
      <c r="F844" s="158">
        <v>10</v>
      </c>
      <c r="G844" s="158">
        <v>0</v>
      </c>
      <c r="H844" s="133" t="s">
        <v>479</v>
      </c>
      <c r="I844" s="133" t="s">
        <v>615</v>
      </c>
      <c r="J844" s="158">
        <v>0</v>
      </c>
      <c r="K844" s="159"/>
    </row>
    <row r="845" spans="1:11" ht="15.75" hidden="1" customHeight="1">
      <c r="A845" s="133" t="s">
        <v>2</v>
      </c>
      <c r="B845" s="133" t="s">
        <v>4095</v>
      </c>
      <c r="C845" s="133" t="s">
        <v>4708</v>
      </c>
      <c r="D845" s="133" t="s">
        <v>477</v>
      </c>
      <c r="E845" s="158">
        <v>3</v>
      </c>
      <c r="F845" s="158">
        <v>0</v>
      </c>
      <c r="G845" s="158">
        <v>0</v>
      </c>
      <c r="H845" s="133" t="s">
        <v>2612</v>
      </c>
      <c r="I845" s="133" t="s">
        <v>596</v>
      </c>
      <c r="J845" s="158">
        <v>0</v>
      </c>
      <c r="K845" s="159"/>
    </row>
    <row r="846" spans="1:11" ht="15.75" hidden="1" customHeight="1">
      <c r="A846" s="133" t="s">
        <v>2</v>
      </c>
      <c r="B846" s="133" t="s">
        <v>4095</v>
      </c>
      <c r="C846" s="133" t="s">
        <v>2613</v>
      </c>
      <c r="D846" s="133" t="s">
        <v>477</v>
      </c>
      <c r="E846" s="158">
        <v>30</v>
      </c>
      <c r="F846" s="158">
        <v>0</v>
      </c>
      <c r="G846" s="158">
        <v>0</v>
      </c>
      <c r="H846" s="133" t="s">
        <v>2614</v>
      </c>
      <c r="I846" s="133" t="s">
        <v>548</v>
      </c>
      <c r="J846" s="158">
        <v>0</v>
      </c>
      <c r="K846" s="159"/>
    </row>
    <row r="847" spans="1:11" ht="15.75" hidden="1" customHeight="1">
      <c r="A847" s="133" t="s">
        <v>2</v>
      </c>
      <c r="B847" s="133" t="s">
        <v>4095</v>
      </c>
      <c r="C847" s="133" t="s">
        <v>369</v>
      </c>
      <c r="D847" s="133" t="s">
        <v>477</v>
      </c>
      <c r="E847" s="158">
        <v>2</v>
      </c>
      <c r="F847" s="158">
        <v>0</v>
      </c>
      <c r="G847" s="158">
        <v>0</v>
      </c>
      <c r="H847" s="133" t="s">
        <v>4709</v>
      </c>
      <c r="I847" s="133" t="s">
        <v>1185</v>
      </c>
      <c r="J847" s="158">
        <v>0</v>
      </c>
      <c r="K847" s="159"/>
    </row>
    <row r="848" spans="1:11" ht="15.75" hidden="1" customHeight="1">
      <c r="A848" s="133" t="s">
        <v>2</v>
      </c>
      <c r="B848" s="133" t="s">
        <v>4095</v>
      </c>
      <c r="C848" s="133" t="s">
        <v>4710</v>
      </c>
      <c r="D848" s="133" t="s">
        <v>477</v>
      </c>
      <c r="E848" s="158">
        <v>3</v>
      </c>
      <c r="F848" s="158">
        <v>0</v>
      </c>
      <c r="G848" s="158">
        <v>0</v>
      </c>
      <c r="H848" s="133" t="s">
        <v>4711</v>
      </c>
      <c r="I848" s="133" t="s">
        <v>596</v>
      </c>
      <c r="J848" s="158">
        <v>0</v>
      </c>
      <c r="K848" s="159"/>
    </row>
    <row r="849" spans="1:11" ht="15.75" hidden="1" customHeight="1">
      <c r="A849" s="133" t="s">
        <v>2</v>
      </c>
      <c r="B849" s="133" t="s">
        <v>4095</v>
      </c>
      <c r="C849" s="133" t="s">
        <v>793</v>
      </c>
      <c r="D849" s="133" t="s">
        <v>477</v>
      </c>
      <c r="E849" s="158">
        <v>20</v>
      </c>
      <c r="F849" s="158">
        <v>0</v>
      </c>
      <c r="G849" s="158">
        <v>0</v>
      </c>
      <c r="H849" s="133" t="s">
        <v>479</v>
      </c>
      <c r="I849" s="133" t="s">
        <v>548</v>
      </c>
      <c r="J849" s="158">
        <v>0</v>
      </c>
      <c r="K849" s="159"/>
    </row>
    <row r="850" spans="1:11" ht="15.75" hidden="1" customHeight="1">
      <c r="A850" s="133" t="s">
        <v>2</v>
      </c>
      <c r="B850" s="133" t="s">
        <v>4095</v>
      </c>
      <c r="C850" s="133" t="s">
        <v>3438</v>
      </c>
      <c r="D850" s="133" t="s">
        <v>477</v>
      </c>
      <c r="E850" s="158">
        <v>100</v>
      </c>
      <c r="F850" s="158">
        <v>0</v>
      </c>
      <c r="G850" s="158">
        <v>0</v>
      </c>
      <c r="H850" s="133" t="s">
        <v>479</v>
      </c>
      <c r="I850" s="133" t="s">
        <v>548</v>
      </c>
      <c r="J850" s="158">
        <v>0</v>
      </c>
      <c r="K850" s="159"/>
    </row>
    <row r="851" spans="1:11" ht="15.75" hidden="1" customHeight="1">
      <c r="A851" s="133" t="s">
        <v>2</v>
      </c>
      <c r="B851" s="133" t="s">
        <v>4095</v>
      </c>
      <c r="C851" s="133" t="s">
        <v>4712</v>
      </c>
      <c r="D851" s="133" t="s">
        <v>477</v>
      </c>
      <c r="E851" s="158">
        <v>20</v>
      </c>
      <c r="F851" s="158">
        <v>0</v>
      </c>
      <c r="G851" s="158">
        <v>0</v>
      </c>
      <c r="H851" s="133" t="s">
        <v>479</v>
      </c>
      <c r="I851" s="133" t="s">
        <v>596</v>
      </c>
      <c r="J851" s="158">
        <v>0</v>
      </c>
      <c r="K851" s="159"/>
    </row>
    <row r="852" spans="1:11" ht="15.75" hidden="1" customHeight="1">
      <c r="A852" s="133" t="s">
        <v>2</v>
      </c>
      <c r="B852" s="133" t="s">
        <v>4095</v>
      </c>
      <c r="C852" s="133" t="s">
        <v>4713</v>
      </c>
      <c r="D852" s="133" t="s">
        <v>477</v>
      </c>
      <c r="E852" s="158">
        <v>20</v>
      </c>
      <c r="F852" s="158">
        <v>0</v>
      </c>
      <c r="G852" s="158">
        <v>0</v>
      </c>
      <c r="H852" s="133" t="s">
        <v>479</v>
      </c>
      <c r="I852" s="133" t="s">
        <v>548</v>
      </c>
      <c r="J852" s="158">
        <v>0</v>
      </c>
      <c r="K852" s="159"/>
    </row>
    <row r="853" spans="1:11" ht="15.75" hidden="1" customHeight="1">
      <c r="A853" s="133" t="s">
        <v>2</v>
      </c>
      <c r="B853" s="133" t="s">
        <v>4095</v>
      </c>
      <c r="C853" s="133" t="s">
        <v>4714</v>
      </c>
      <c r="D853" s="133" t="s">
        <v>477</v>
      </c>
      <c r="E853" s="158">
        <v>20</v>
      </c>
      <c r="F853" s="158">
        <v>0</v>
      </c>
      <c r="G853" s="158">
        <v>0</v>
      </c>
      <c r="H853" s="133" t="s">
        <v>479</v>
      </c>
      <c r="I853" s="133" t="s">
        <v>548</v>
      </c>
      <c r="J853" s="158">
        <v>0</v>
      </c>
      <c r="K853" s="159"/>
    </row>
    <row r="854" spans="1:11" ht="15.75" hidden="1" customHeight="1">
      <c r="A854" s="133" t="s">
        <v>2</v>
      </c>
      <c r="B854" s="133" t="s">
        <v>4095</v>
      </c>
      <c r="C854" s="133" t="s">
        <v>4715</v>
      </c>
      <c r="D854" s="133" t="s">
        <v>477</v>
      </c>
      <c r="E854" s="158">
        <v>20</v>
      </c>
      <c r="F854" s="158">
        <v>0</v>
      </c>
      <c r="G854" s="158">
        <v>0</v>
      </c>
      <c r="H854" s="133" t="s">
        <v>4716</v>
      </c>
      <c r="I854" s="133" t="s">
        <v>596</v>
      </c>
      <c r="J854" s="158">
        <v>0</v>
      </c>
      <c r="K854" s="159"/>
    </row>
    <row r="855" spans="1:11" ht="15.75" hidden="1" customHeight="1">
      <c r="A855" s="133" t="s">
        <v>2</v>
      </c>
      <c r="B855" s="133" t="s">
        <v>4095</v>
      </c>
      <c r="C855" s="133" t="s">
        <v>2624</v>
      </c>
      <c r="D855" s="133" t="s">
        <v>477</v>
      </c>
      <c r="E855" s="158">
        <v>20</v>
      </c>
      <c r="F855" s="158">
        <v>0</v>
      </c>
      <c r="G855" s="158">
        <v>0</v>
      </c>
      <c r="H855" s="133" t="s">
        <v>479</v>
      </c>
      <c r="I855" s="133" t="s">
        <v>548</v>
      </c>
      <c r="J855" s="158">
        <v>0</v>
      </c>
      <c r="K855" s="159"/>
    </row>
    <row r="856" spans="1:11" ht="15.75" hidden="1" customHeight="1">
      <c r="A856" s="133" t="s">
        <v>2</v>
      </c>
      <c r="B856" s="133" t="s">
        <v>4095</v>
      </c>
      <c r="C856" s="133" t="s">
        <v>4717</v>
      </c>
      <c r="D856" s="133" t="s">
        <v>477</v>
      </c>
      <c r="E856" s="158">
        <v>20</v>
      </c>
      <c r="F856" s="158">
        <v>0</v>
      </c>
      <c r="G856" s="158">
        <v>0</v>
      </c>
      <c r="H856" s="133" t="s">
        <v>4718</v>
      </c>
      <c r="I856" s="133" t="s">
        <v>596</v>
      </c>
      <c r="J856" s="158">
        <v>0</v>
      </c>
      <c r="K856" s="159"/>
    </row>
    <row r="857" spans="1:11" ht="15.75" hidden="1" customHeight="1">
      <c r="A857" s="133" t="s">
        <v>2</v>
      </c>
      <c r="B857" s="133" t="s">
        <v>4095</v>
      </c>
      <c r="C857" s="133" t="s">
        <v>712</v>
      </c>
      <c r="D857" s="133" t="s">
        <v>477</v>
      </c>
      <c r="E857" s="158">
        <v>30</v>
      </c>
      <c r="F857" s="158">
        <v>0</v>
      </c>
      <c r="G857" s="158">
        <v>0</v>
      </c>
      <c r="H857" s="133" t="s">
        <v>1438</v>
      </c>
      <c r="I857" s="133" t="s">
        <v>548</v>
      </c>
      <c r="J857" s="158">
        <v>0</v>
      </c>
      <c r="K857" s="159"/>
    </row>
    <row r="858" spans="1:11" ht="15.75" hidden="1" customHeight="1">
      <c r="A858" s="133" t="s">
        <v>2</v>
      </c>
      <c r="B858" s="133" t="s">
        <v>4095</v>
      </c>
      <c r="C858" s="133" t="s">
        <v>4719</v>
      </c>
      <c r="D858" s="133" t="s">
        <v>477</v>
      </c>
      <c r="E858" s="158">
        <v>20</v>
      </c>
      <c r="F858" s="158">
        <v>0</v>
      </c>
      <c r="G858" s="158">
        <v>0</v>
      </c>
      <c r="H858" s="133" t="s">
        <v>4720</v>
      </c>
      <c r="I858" s="133" t="s">
        <v>548</v>
      </c>
      <c r="J858" s="158">
        <v>0</v>
      </c>
      <c r="K858" s="159"/>
    </row>
    <row r="859" spans="1:11" ht="15.75" hidden="1" customHeight="1">
      <c r="A859" s="133" t="s">
        <v>2</v>
      </c>
      <c r="B859" s="133" t="s">
        <v>4095</v>
      </c>
      <c r="C859" s="133" t="s">
        <v>2627</v>
      </c>
      <c r="D859" s="133" t="s">
        <v>477</v>
      </c>
      <c r="E859" s="158">
        <v>20</v>
      </c>
      <c r="F859" s="158">
        <v>0</v>
      </c>
      <c r="G859" s="158">
        <v>0</v>
      </c>
      <c r="H859" s="133" t="s">
        <v>2628</v>
      </c>
      <c r="I859" s="133" t="s">
        <v>596</v>
      </c>
      <c r="J859" s="158">
        <v>0</v>
      </c>
      <c r="K859" s="159"/>
    </row>
    <row r="860" spans="1:11" ht="15.75" hidden="1" customHeight="1">
      <c r="A860" s="133" t="s">
        <v>2</v>
      </c>
      <c r="B860" s="133" t="s">
        <v>4095</v>
      </c>
      <c r="C860" s="133" t="s">
        <v>4602</v>
      </c>
      <c r="D860" s="133" t="s">
        <v>477</v>
      </c>
      <c r="E860" s="158">
        <v>100</v>
      </c>
      <c r="F860" s="158">
        <v>0</v>
      </c>
      <c r="G860" s="158">
        <v>0</v>
      </c>
      <c r="H860" s="133" t="s">
        <v>4721</v>
      </c>
      <c r="I860" s="133" t="s">
        <v>548</v>
      </c>
      <c r="J860" s="158">
        <v>0</v>
      </c>
      <c r="K860" s="159"/>
    </row>
    <row r="861" spans="1:11" ht="15.75" hidden="1" customHeight="1">
      <c r="A861" s="133" t="s">
        <v>2</v>
      </c>
      <c r="B861" s="133" t="s">
        <v>4095</v>
      </c>
      <c r="C861" s="133" t="s">
        <v>2760</v>
      </c>
      <c r="D861" s="133" t="s">
        <v>477</v>
      </c>
      <c r="E861" s="158">
        <v>100</v>
      </c>
      <c r="F861" s="158">
        <v>0</v>
      </c>
      <c r="G861" s="158">
        <v>0</v>
      </c>
      <c r="H861" s="133" t="s">
        <v>2761</v>
      </c>
      <c r="I861" s="133" t="s">
        <v>548</v>
      </c>
      <c r="J861" s="158">
        <v>0</v>
      </c>
      <c r="K861" s="159"/>
    </row>
    <row r="862" spans="1:11" ht="15.75" hidden="1" customHeight="1">
      <c r="A862" s="133" t="s">
        <v>2</v>
      </c>
      <c r="B862" s="133" t="s">
        <v>4095</v>
      </c>
      <c r="C862" s="133" t="s">
        <v>1991</v>
      </c>
      <c r="D862" s="133" t="s">
        <v>484</v>
      </c>
      <c r="E862" s="158">
        <v>4</v>
      </c>
      <c r="F862" s="158">
        <v>10</v>
      </c>
      <c r="G862" s="158">
        <v>0</v>
      </c>
      <c r="H862" s="133" t="s">
        <v>4722</v>
      </c>
      <c r="I862" s="133" t="s">
        <v>615</v>
      </c>
      <c r="J862" s="158">
        <v>0</v>
      </c>
      <c r="K862" s="159"/>
    </row>
    <row r="863" spans="1:11" ht="15.75" hidden="1" customHeight="1">
      <c r="A863" s="133" t="s">
        <v>2</v>
      </c>
      <c r="B863" s="133" t="s">
        <v>4095</v>
      </c>
      <c r="C863" s="133" t="s">
        <v>4628</v>
      </c>
      <c r="D863" s="133" t="s">
        <v>477</v>
      </c>
      <c r="E863" s="158">
        <v>100</v>
      </c>
      <c r="F863" s="158">
        <v>0</v>
      </c>
      <c r="G863" s="158">
        <v>0</v>
      </c>
      <c r="H863" s="133" t="s">
        <v>4723</v>
      </c>
      <c r="I863" s="133" t="s">
        <v>548</v>
      </c>
      <c r="J863" s="158">
        <v>0</v>
      </c>
      <c r="K863" s="159"/>
    </row>
    <row r="864" spans="1:11" ht="15.75" hidden="1" customHeight="1">
      <c r="A864" s="133" t="s">
        <v>2</v>
      </c>
      <c r="B864" s="133" t="s">
        <v>4095</v>
      </c>
      <c r="C864" s="133" t="s">
        <v>2595</v>
      </c>
      <c r="D864" s="133" t="s">
        <v>477</v>
      </c>
      <c r="E864" s="158">
        <v>20</v>
      </c>
      <c r="F864" s="158">
        <v>0</v>
      </c>
      <c r="G864" s="158">
        <v>0</v>
      </c>
      <c r="H864" s="133" t="s">
        <v>4724</v>
      </c>
      <c r="I864" s="133" t="s">
        <v>548</v>
      </c>
      <c r="J864" s="158">
        <v>0</v>
      </c>
      <c r="K864" s="159"/>
    </row>
    <row r="865" spans="1:11" ht="15.75" hidden="1" customHeight="1">
      <c r="A865" s="133" t="s">
        <v>2</v>
      </c>
      <c r="B865" s="133" t="s">
        <v>4095</v>
      </c>
      <c r="C865" s="133" t="s">
        <v>4725</v>
      </c>
      <c r="D865" s="133" t="s">
        <v>477</v>
      </c>
      <c r="E865" s="158">
        <v>20</v>
      </c>
      <c r="F865" s="158">
        <v>0</v>
      </c>
      <c r="G865" s="158">
        <v>0</v>
      </c>
      <c r="H865" s="133" t="s">
        <v>4726</v>
      </c>
      <c r="I865" s="133" t="s">
        <v>596</v>
      </c>
      <c r="J865" s="158">
        <v>0</v>
      </c>
      <c r="K865" s="159"/>
    </row>
    <row r="866" spans="1:11" ht="15.75" hidden="1" customHeight="1">
      <c r="A866" s="133" t="s">
        <v>2</v>
      </c>
      <c r="B866" s="133" t="s">
        <v>4095</v>
      </c>
      <c r="C866" s="133" t="s">
        <v>4727</v>
      </c>
      <c r="D866" s="133" t="s">
        <v>477</v>
      </c>
      <c r="E866" s="158">
        <v>20</v>
      </c>
      <c r="F866" s="158">
        <v>0</v>
      </c>
      <c r="G866" s="158">
        <v>0</v>
      </c>
      <c r="H866" s="133" t="s">
        <v>4728</v>
      </c>
      <c r="I866" s="133" t="s">
        <v>596</v>
      </c>
      <c r="J866" s="158">
        <v>0</v>
      </c>
      <c r="K866" s="159"/>
    </row>
    <row r="867" spans="1:11" ht="15.75" hidden="1" customHeight="1">
      <c r="A867" s="133" t="s">
        <v>2</v>
      </c>
      <c r="B867" s="133" t="s">
        <v>4095</v>
      </c>
      <c r="C867" s="133" t="s">
        <v>4729</v>
      </c>
      <c r="D867" s="133" t="s">
        <v>477</v>
      </c>
      <c r="E867" s="158">
        <v>20</v>
      </c>
      <c r="F867" s="158">
        <v>0</v>
      </c>
      <c r="G867" s="158">
        <v>0</v>
      </c>
      <c r="H867" s="133" t="s">
        <v>4730</v>
      </c>
      <c r="I867" s="133" t="s">
        <v>2404</v>
      </c>
      <c r="J867" s="158">
        <v>0</v>
      </c>
      <c r="K867" s="159"/>
    </row>
    <row r="868" spans="1:11" ht="15.75" hidden="1" customHeight="1">
      <c r="A868" s="133" t="s">
        <v>2</v>
      </c>
      <c r="B868" s="133" t="s">
        <v>4099</v>
      </c>
      <c r="C868" s="133" t="s">
        <v>4098</v>
      </c>
      <c r="D868" s="133" t="s">
        <v>477</v>
      </c>
      <c r="E868" s="158">
        <v>20</v>
      </c>
      <c r="F868" s="158">
        <v>0</v>
      </c>
      <c r="G868" s="158">
        <v>0</v>
      </c>
      <c r="H868" s="133" t="s">
        <v>479</v>
      </c>
      <c r="I868" s="133" t="s">
        <v>548</v>
      </c>
      <c r="J868" s="158">
        <v>0</v>
      </c>
      <c r="K868" s="159"/>
    </row>
    <row r="869" spans="1:11" ht="15.75" hidden="1" customHeight="1">
      <c r="A869" s="133" t="s">
        <v>2</v>
      </c>
      <c r="B869" s="133" t="s">
        <v>4099</v>
      </c>
      <c r="C869" s="133" t="s">
        <v>292</v>
      </c>
      <c r="D869" s="133" t="s">
        <v>484</v>
      </c>
      <c r="E869" s="158">
        <v>4</v>
      </c>
      <c r="F869" s="158">
        <v>10</v>
      </c>
      <c r="G869" s="158">
        <v>0</v>
      </c>
      <c r="H869" s="133" t="s">
        <v>4731</v>
      </c>
      <c r="I869" s="133" t="s">
        <v>1878</v>
      </c>
      <c r="J869" s="158">
        <v>0</v>
      </c>
      <c r="K869" s="159"/>
    </row>
    <row r="870" spans="1:11" ht="15.75" hidden="1" customHeight="1">
      <c r="A870" s="133" t="s">
        <v>2</v>
      </c>
      <c r="B870" s="133" t="s">
        <v>4099</v>
      </c>
      <c r="C870" s="133" t="s">
        <v>253</v>
      </c>
      <c r="D870" s="133" t="s">
        <v>477</v>
      </c>
      <c r="E870" s="158">
        <v>7</v>
      </c>
      <c r="F870" s="158">
        <v>0</v>
      </c>
      <c r="G870" s="158">
        <v>0</v>
      </c>
      <c r="H870" s="133" t="s">
        <v>1130</v>
      </c>
      <c r="I870" s="133" t="s">
        <v>548</v>
      </c>
      <c r="J870" s="158">
        <v>0</v>
      </c>
      <c r="K870" s="159"/>
    </row>
    <row r="871" spans="1:11" ht="15.75" hidden="1" customHeight="1">
      <c r="A871" s="133" t="s">
        <v>2</v>
      </c>
      <c r="B871" s="133" t="s">
        <v>4099</v>
      </c>
      <c r="C871" s="133" t="s">
        <v>2321</v>
      </c>
      <c r="D871" s="133" t="s">
        <v>477</v>
      </c>
      <c r="E871" s="158">
        <v>100</v>
      </c>
      <c r="F871" s="158">
        <v>0</v>
      </c>
      <c r="G871" s="158">
        <v>0</v>
      </c>
      <c r="H871" s="133" t="s">
        <v>1132</v>
      </c>
      <c r="I871" s="133" t="s">
        <v>548</v>
      </c>
      <c r="J871" s="158">
        <v>0</v>
      </c>
      <c r="K871" s="159"/>
    </row>
    <row r="872" spans="1:11" ht="15.75" hidden="1" customHeight="1">
      <c r="A872" s="133" t="s">
        <v>2</v>
      </c>
      <c r="B872" s="133" t="s">
        <v>4099</v>
      </c>
      <c r="C872" s="133" t="s">
        <v>4453</v>
      </c>
      <c r="D872" s="133" t="s">
        <v>477</v>
      </c>
      <c r="E872" s="158">
        <v>3</v>
      </c>
      <c r="F872" s="158">
        <v>0</v>
      </c>
      <c r="G872" s="158">
        <v>0</v>
      </c>
      <c r="H872" s="133" t="s">
        <v>479</v>
      </c>
      <c r="I872" s="133" t="s">
        <v>548</v>
      </c>
      <c r="J872" s="158">
        <v>0</v>
      </c>
      <c r="K872" s="159"/>
    </row>
    <row r="873" spans="1:11" ht="15.75" hidden="1" customHeight="1">
      <c r="A873" s="133" t="s">
        <v>2</v>
      </c>
      <c r="B873" s="133" t="s">
        <v>4099</v>
      </c>
      <c r="C873" s="133" t="s">
        <v>1135</v>
      </c>
      <c r="D873" s="133" t="s">
        <v>484</v>
      </c>
      <c r="E873" s="158">
        <v>4</v>
      </c>
      <c r="F873" s="158">
        <v>10</v>
      </c>
      <c r="G873" s="158">
        <v>0</v>
      </c>
      <c r="H873" s="133" t="s">
        <v>4732</v>
      </c>
      <c r="I873" s="133" t="s">
        <v>615</v>
      </c>
      <c r="J873" s="158">
        <v>0</v>
      </c>
      <c r="K873" s="159"/>
    </row>
    <row r="874" spans="1:11" ht="15.75" hidden="1" customHeight="1">
      <c r="A874" s="133" t="s">
        <v>2</v>
      </c>
      <c r="B874" s="133" t="s">
        <v>4099</v>
      </c>
      <c r="C874" s="133" t="s">
        <v>4733</v>
      </c>
      <c r="D874" s="133" t="s">
        <v>484</v>
      </c>
      <c r="E874" s="158">
        <v>4</v>
      </c>
      <c r="F874" s="158">
        <v>10</v>
      </c>
      <c r="G874" s="158">
        <v>0</v>
      </c>
      <c r="H874" s="133" t="s">
        <v>4734</v>
      </c>
      <c r="I874" s="133" t="s">
        <v>615</v>
      </c>
      <c r="J874" s="158">
        <v>0</v>
      </c>
      <c r="K874" s="159"/>
    </row>
    <row r="875" spans="1:11" ht="15.75" hidden="1" customHeight="1">
      <c r="A875" s="133" t="s">
        <v>2</v>
      </c>
      <c r="B875" s="133" t="s">
        <v>4099</v>
      </c>
      <c r="C875" s="133" t="s">
        <v>2421</v>
      </c>
      <c r="D875" s="133" t="s">
        <v>477</v>
      </c>
      <c r="E875" s="158">
        <v>20</v>
      </c>
      <c r="F875" s="158">
        <v>0</v>
      </c>
      <c r="G875" s="158">
        <v>0</v>
      </c>
      <c r="H875" s="133" t="s">
        <v>4735</v>
      </c>
      <c r="I875" s="133" t="s">
        <v>548</v>
      </c>
      <c r="J875" s="158">
        <v>0</v>
      </c>
      <c r="K875" s="159"/>
    </row>
    <row r="876" spans="1:11" ht="15.75" hidden="1" customHeight="1">
      <c r="A876" s="133" t="s">
        <v>2</v>
      </c>
      <c r="B876" s="133" t="s">
        <v>4099</v>
      </c>
      <c r="C876" s="133" t="s">
        <v>4736</v>
      </c>
      <c r="D876" s="133" t="s">
        <v>477</v>
      </c>
      <c r="E876" s="158">
        <v>3</v>
      </c>
      <c r="F876" s="158">
        <v>0</v>
      </c>
      <c r="G876" s="158">
        <v>0</v>
      </c>
      <c r="H876" s="133" t="s">
        <v>4737</v>
      </c>
      <c r="I876" s="133" t="s">
        <v>596</v>
      </c>
      <c r="J876" s="158">
        <v>0</v>
      </c>
      <c r="K876" s="159"/>
    </row>
    <row r="877" spans="1:11" ht="15.75" hidden="1" customHeight="1">
      <c r="A877" s="133" t="s">
        <v>2</v>
      </c>
      <c r="B877" s="133" t="s">
        <v>4099</v>
      </c>
      <c r="C877" s="133" t="s">
        <v>4738</v>
      </c>
      <c r="D877" s="133" t="s">
        <v>477</v>
      </c>
      <c r="E877" s="158">
        <v>3</v>
      </c>
      <c r="F877" s="158">
        <v>0</v>
      </c>
      <c r="G877" s="158">
        <v>0</v>
      </c>
      <c r="H877" s="133" t="s">
        <v>4739</v>
      </c>
      <c r="I877" s="133" t="s">
        <v>596</v>
      </c>
      <c r="J877" s="158">
        <v>0</v>
      </c>
      <c r="K877" s="159"/>
    </row>
    <row r="878" spans="1:11" ht="15.75" hidden="1" customHeight="1">
      <c r="A878" s="133" t="s">
        <v>2</v>
      </c>
      <c r="B878" s="133" t="s">
        <v>4099</v>
      </c>
      <c r="C878" s="133" t="s">
        <v>4740</v>
      </c>
      <c r="D878" s="133" t="s">
        <v>477</v>
      </c>
      <c r="E878" s="158">
        <v>3</v>
      </c>
      <c r="F878" s="158">
        <v>0</v>
      </c>
      <c r="G878" s="158">
        <v>0</v>
      </c>
      <c r="H878" s="133" t="s">
        <v>4741</v>
      </c>
      <c r="I878" s="133" t="s">
        <v>548</v>
      </c>
      <c r="J878" s="158">
        <v>0</v>
      </c>
      <c r="K878" s="159"/>
    </row>
    <row r="879" spans="1:11" ht="15.75" hidden="1" customHeight="1">
      <c r="A879" s="133" t="s">
        <v>2</v>
      </c>
      <c r="B879" s="133" t="s">
        <v>4099</v>
      </c>
      <c r="C879" s="133" t="s">
        <v>164</v>
      </c>
      <c r="D879" s="133" t="s">
        <v>477</v>
      </c>
      <c r="E879" s="158">
        <v>50</v>
      </c>
      <c r="F879" s="158">
        <v>0</v>
      </c>
      <c r="G879" s="158">
        <v>0</v>
      </c>
      <c r="H879" s="133" t="s">
        <v>4742</v>
      </c>
      <c r="I879" s="133" t="s">
        <v>548</v>
      </c>
      <c r="J879" s="158">
        <v>0</v>
      </c>
      <c r="K879" s="159"/>
    </row>
    <row r="880" spans="1:11" ht="15.75" hidden="1" customHeight="1">
      <c r="A880" s="133" t="s">
        <v>2</v>
      </c>
      <c r="B880" s="133" t="s">
        <v>4099</v>
      </c>
      <c r="C880" s="133" t="s">
        <v>669</v>
      </c>
      <c r="D880" s="133" t="s">
        <v>496</v>
      </c>
      <c r="E880" s="158">
        <v>4</v>
      </c>
      <c r="F880" s="158">
        <v>16</v>
      </c>
      <c r="G880" s="158">
        <v>0</v>
      </c>
      <c r="H880" s="133" t="s">
        <v>735</v>
      </c>
      <c r="I880" s="133" t="s">
        <v>548</v>
      </c>
      <c r="J880" s="158">
        <v>0</v>
      </c>
      <c r="K880" s="159"/>
    </row>
    <row r="881" spans="1:11" ht="15.75" hidden="1" customHeight="1">
      <c r="A881" s="133" t="s">
        <v>2</v>
      </c>
      <c r="B881" s="133" t="s">
        <v>4099</v>
      </c>
      <c r="C881" s="133" t="s">
        <v>523</v>
      </c>
      <c r="D881" s="133" t="s">
        <v>477</v>
      </c>
      <c r="E881" s="158">
        <v>20</v>
      </c>
      <c r="F881" s="158">
        <v>0</v>
      </c>
      <c r="G881" s="158">
        <v>0</v>
      </c>
      <c r="H881" s="133" t="s">
        <v>1282</v>
      </c>
      <c r="I881" s="133" t="s">
        <v>548</v>
      </c>
      <c r="J881" s="158">
        <v>0</v>
      </c>
      <c r="K881" s="159"/>
    </row>
    <row r="882" spans="1:11" ht="15.75" hidden="1" customHeight="1">
      <c r="A882" s="133" t="s">
        <v>2</v>
      </c>
      <c r="B882" s="133" t="s">
        <v>4099</v>
      </c>
      <c r="C882" s="133" t="s">
        <v>215</v>
      </c>
      <c r="D882" s="133" t="s">
        <v>496</v>
      </c>
      <c r="E882" s="158">
        <v>4</v>
      </c>
      <c r="F882" s="158">
        <v>16</v>
      </c>
      <c r="G882" s="158">
        <v>0</v>
      </c>
      <c r="H882" s="133" t="s">
        <v>803</v>
      </c>
      <c r="I882" s="133" t="s">
        <v>548</v>
      </c>
      <c r="J882" s="158">
        <v>0</v>
      </c>
      <c r="K882" s="159"/>
    </row>
    <row r="883" spans="1:11" ht="15.75" hidden="1" customHeight="1">
      <c r="A883" s="133" t="s">
        <v>2</v>
      </c>
      <c r="B883" s="133" t="s">
        <v>4099</v>
      </c>
      <c r="C883" s="133" t="s">
        <v>670</v>
      </c>
      <c r="D883" s="133" t="s">
        <v>477</v>
      </c>
      <c r="E883" s="158">
        <v>20</v>
      </c>
      <c r="F883" s="158">
        <v>0</v>
      </c>
      <c r="G883" s="158">
        <v>0</v>
      </c>
      <c r="H883" s="133" t="s">
        <v>1285</v>
      </c>
      <c r="I883" s="133" t="s">
        <v>548</v>
      </c>
      <c r="J883" s="158">
        <v>0</v>
      </c>
      <c r="K883" s="159"/>
    </row>
    <row r="884" spans="1:11" ht="15.75" hidden="1" customHeight="1">
      <c r="A884" s="133" t="s">
        <v>2</v>
      </c>
      <c r="B884" s="133" t="s">
        <v>4099</v>
      </c>
      <c r="C884" s="133" t="s">
        <v>4743</v>
      </c>
      <c r="D884" s="133" t="s">
        <v>477</v>
      </c>
      <c r="E884" s="158">
        <v>3</v>
      </c>
      <c r="F884" s="158">
        <v>0</v>
      </c>
      <c r="G884" s="158">
        <v>0</v>
      </c>
      <c r="H884" s="133" t="s">
        <v>4744</v>
      </c>
      <c r="I884" s="133" t="s">
        <v>596</v>
      </c>
      <c r="J884" s="158">
        <v>0</v>
      </c>
      <c r="K884" s="159"/>
    </row>
    <row r="885" spans="1:11" ht="15.75" hidden="1" customHeight="1">
      <c r="A885" s="133" t="s">
        <v>2</v>
      </c>
      <c r="B885" s="133" t="s">
        <v>4099</v>
      </c>
      <c r="C885" s="133" t="s">
        <v>4321</v>
      </c>
      <c r="D885" s="133" t="s">
        <v>477</v>
      </c>
      <c r="E885" s="158">
        <v>100</v>
      </c>
      <c r="F885" s="158">
        <v>0</v>
      </c>
      <c r="G885" s="158">
        <v>0</v>
      </c>
      <c r="H885" s="133" t="s">
        <v>4745</v>
      </c>
      <c r="I885" s="133" t="s">
        <v>548</v>
      </c>
      <c r="J885" s="158">
        <v>0</v>
      </c>
      <c r="K885" s="159"/>
    </row>
    <row r="886" spans="1:11" ht="15.75" hidden="1" customHeight="1">
      <c r="A886" s="133" t="s">
        <v>2</v>
      </c>
      <c r="B886" s="133" t="s">
        <v>4099</v>
      </c>
      <c r="C886" s="133" t="s">
        <v>4381</v>
      </c>
      <c r="D886" s="133" t="s">
        <v>477</v>
      </c>
      <c r="E886" s="158">
        <v>1</v>
      </c>
      <c r="F886" s="158">
        <v>0</v>
      </c>
      <c r="G886" s="158">
        <v>0</v>
      </c>
      <c r="H886" s="160"/>
      <c r="I886" s="133" t="s">
        <v>548</v>
      </c>
      <c r="J886" s="158">
        <v>0</v>
      </c>
      <c r="K886" s="159"/>
    </row>
    <row r="887" spans="1:11" ht="15.75" hidden="1" customHeight="1">
      <c r="A887" s="133" t="s">
        <v>2</v>
      </c>
      <c r="B887" s="133" t="s">
        <v>4099</v>
      </c>
      <c r="C887" s="133" t="s">
        <v>4429</v>
      </c>
      <c r="D887" s="133" t="s">
        <v>481</v>
      </c>
      <c r="E887" s="158">
        <v>5</v>
      </c>
      <c r="F887" s="158">
        <v>9</v>
      </c>
      <c r="G887" s="158">
        <v>6</v>
      </c>
      <c r="H887" s="160"/>
      <c r="I887" s="133" t="s">
        <v>615</v>
      </c>
      <c r="J887" s="158">
        <v>0</v>
      </c>
      <c r="K887" s="159"/>
    </row>
    <row r="888" spans="1:11" ht="15.75" hidden="1" customHeight="1">
      <c r="A888" s="133" t="s">
        <v>2</v>
      </c>
      <c r="B888" s="133" t="s">
        <v>4099</v>
      </c>
      <c r="C888" s="133" t="s">
        <v>4433</v>
      </c>
      <c r="D888" s="133" t="s">
        <v>484</v>
      </c>
      <c r="E888" s="158">
        <v>4</v>
      </c>
      <c r="F888" s="158">
        <v>10</v>
      </c>
      <c r="G888" s="158">
        <v>0</v>
      </c>
      <c r="H888" s="160"/>
      <c r="I888" s="133" t="s">
        <v>615</v>
      </c>
      <c r="J888" s="158">
        <v>0</v>
      </c>
      <c r="K888" s="159"/>
    </row>
    <row r="889" spans="1:11" ht="15.75" hidden="1" customHeight="1">
      <c r="A889" s="133" t="s">
        <v>2</v>
      </c>
      <c r="B889" s="133" t="s">
        <v>4097</v>
      </c>
      <c r="C889" s="133" t="s">
        <v>4410</v>
      </c>
      <c r="D889" s="133" t="s">
        <v>477</v>
      </c>
      <c r="E889" s="158">
        <v>20</v>
      </c>
      <c r="F889" s="158">
        <v>0</v>
      </c>
      <c r="G889" s="158">
        <v>0</v>
      </c>
      <c r="H889" s="133" t="s">
        <v>479</v>
      </c>
      <c r="I889" s="133" t="s">
        <v>479</v>
      </c>
      <c r="J889" s="158">
        <v>0</v>
      </c>
      <c r="K889" s="159"/>
    </row>
    <row r="890" spans="1:11" ht="15.75" hidden="1" customHeight="1">
      <c r="A890" s="133" t="s">
        <v>2</v>
      </c>
      <c r="B890" s="133" t="s">
        <v>4097</v>
      </c>
      <c r="C890" s="133" t="s">
        <v>4746</v>
      </c>
      <c r="D890" s="133" t="s">
        <v>496</v>
      </c>
      <c r="E890" s="158">
        <v>4</v>
      </c>
      <c r="F890" s="158">
        <v>16</v>
      </c>
      <c r="G890" s="158">
        <v>0</v>
      </c>
      <c r="H890" s="133" t="s">
        <v>479</v>
      </c>
      <c r="I890" s="133" t="s">
        <v>548</v>
      </c>
      <c r="J890" s="158">
        <v>0</v>
      </c>
      <c r="K890" s="159"/>
    </row>
    <row r="891" spans="1:11" ht="15.75" hidden="1" customHeight="1">
      <c r="A891" s="133" t="s">
        <v>2</v>
      </c>
      <c r="B891" s="133" t="s">
        <v>4097</v>
      </c>
      <c r="C891" s="133" t="s">
        <v>4747</v>
      </c>
      <c r="D891" s="133" t="s">
        <v>477</v>
      </c>
      <c r="E891" s="158">
        <v>20</v>
      </c>
      <c r="F891" s="158">
        <v>0</v>
      </c>
      <c r="G891" s="158">
        <v>0</v>
      </c>
      <c r="H891" s="133" t="s">
        <v>4748</v>
      </c>
      <c r="I891" s="133" t="s">
        <v>548</v>
      </c>
      <c r="J891" s="158">
        <v>0</v>
      </c>
      <c r="K891" s="159"/>
    </row>
    <row r="892" spans="1:11" ht="15.75" hidden="1" customHeight="1">
      <c r="A892" s="133" t="s">
        <v>2</v>
      </c>
      <c r="B892" s="133" t="s">
        <v>4097</v>
      </c>
      <c r="C892" s="133" t="s">
        <v>4749</v>
      </c>
      <c r="D892" s="133" t="s">
        <v>477</v>
      </c>
      <c r="E892" s="158">
        <v>20</v>
      </c>
      <c r="F892" s="158">
        <v>0</v>
      </c>
      <c r="G892" s="158">
        <v>0</v>
      </c>
      <c r="H892" s="133" t="s">
        <v>479</v>
      </c>
      <c r="I892" s="133" t="s">
        <v>548</v>
      </c>
      <c r="J892" s="158">
        <v>0</v>
      </c>
      <c r="K892" s="159"/>
    </row>
    <row r="893" spans="1:11" ht="15.75" hidden="1" customHeight="1">
      <c r="A893" s="133" t="s">
        <v>2</v>
      </c>
      <c r="B893" s="133" t="s">
        <v>4097</v>
      </c>
      <c r="C893" s="133" t="s">
        <v>2569</v>
      </c>
      <c r="D893" s="133" t="s">
        <v>477</v>
      </c>
      <c r="E893" s="158">
        <v>20</v>
      </c>
      <c r="F893" s="158">
        <v>0</v>
      </c>
      <c r="G893" s="158">
        <v>0</v>
      </c>
      <c r="H893" s="133" t="s">
        <v>4750</v>
      </c>
      <c r="I893" s="133" t="s">
        <v>2610</v>
      </c>
      <c r="J893" s="158">
        <v>0</v>
      </c>
      <c r="K893" s="159"/>
    </row>
    <row r="894" spans="1:11" ht="15.75" hidden="1" customHeight="1">
      <c r="A894" s="133" t="s">
        <v>2</v>
      </c>
      <c r="B894" s="133" t="s">
        <v>4097</v>
      </c>
      <c r="C894" s="133" t="s">
        <v>4076</v>
      </c>
      <c r="D894" s="133" t="s">
        <v>477</v>
      </c>
      <c r="E894" s="158">
        <v>20</v>
      </c>
      <c r="F894" s="158">
        <v>0</v>
      </c>
      <c r="G894" s="158">
        <v>0</v>
      </c>
      <c r="H894" s="133" t="s">
        <v>479</v>
      </c>
      <c r="I894" s="133" t="s">
        <v>548</v>
      </c>
      <c r="J894" s="158">
        <v>0</v>
      </c>
      <c r="K894" s="159"/>
    </row>
    <row r="895" spans="1:11" ht="15.75" hidden="1" customHeight="1">
      <c r="A895" s="133" t="s">
        <v>2</v>
      </c>
      <c r="B895" s="133" t="s">
        <v>4097</v>
      </c>
      <c r="C895" s="133" t="s">
        <v>4664</v>
      </c>
      <c r="D895" s="133" t="s">
        <v>1974</v>
      </c>
      <c r="E895" s="158">
        <v>3</v>
      </c>
      <c r="F895" s="158">
        <v>10</v>
      </c>
      <c r="G895" s="158">
        <v>0</v>
      </c>
      <c r="H895" s="133" t="s">
        <v>479</v>
      </c>
      <c r="I895" s="133" t="s">
        <v>548</v>
      </c>
      <c r="J895" s="158">
        <v>0</v>
      </c>
      <c r="K895" s="159"/>
    </row>
    <row r="896" spans="1:11" ht="15.75" hidden="1" customHeight="1">
      <c r="A896" s="133" t="s">
        <v>2</v>
      </c>
      <c r="B896" s="133" t="s">
        <v>4097</v>
      </c>
      <c r="C896" s="133" t="s">
        <v>2615</v>
      </c>
      <c r="D896" s="133" t="s">
        <v>477</v>
      </c>
      <c r="E896" s="158">
        <v>10</v>
      </c>
      <c r="F896" s="158">
        <v>0</v>
      </c>
      <c r="G896" s="158">
        <v>0</v>
      </c>
      <c r="H896" s="133" t="s">
        <v>4751</v>
      </c>
      <c r="I896" s="133" t="s">
        <v>548</v>
      </c>
      <c r="J896" s="158">
        <v>0</v>
      </c>
      <c r="K896" s="159"/>
    </row>
    <row r="897" spans="1:11" ht="15.75" hidden="1" customHeight="1">
      <c r="A897" s="133" t="s">
        <v>2</v>
      </c>
      <c r="B897" s="133" t="s">
        <v>4097</v>
      </c>
      <c r="C897" s="133" t="s">
        <v>4398</v>
      </c>
      <c r="D897" s="133" t="s">
        <v>477</v>
      </c>
      <c r="E897" s="158">
        <v>10</v>
      </c>
      <c r="F897" s="158">
        <v>0</v>
      </c>
      <c r="G897" s="158">
        <v>0</v>
      </c>
      <c r="H897" s="133" t="s">
        <v>4752</v>
      </c>
      <c r="I897" s="133" t="s">
        <v>548</v>
      </c>
      <c r="J897" s="158">
        <v>0</v>
      </c>
      <c r="K897" s="159"/>
    </row>
    <row r="898" spans="1:11" ht="15.75" hidden="1" customHeight="1">
      <c r="A898" s="133" t="s">
        <v>2</v>
      </c>
      <c r="B898" s="133" t="s">
        <v>4097</v>
      </c>
      <c r="C898" s="133" t="s">
        <v>4753</v>
      </c>
      <c r="D898" s="133" t="s">
        <v>477</v>
      </c>
      <c r="E898" s="158">
        <v>10</v>
      </c>
      <c r="F898" s="158">
        <v>0</v>
      </c>
      <c r="G898" s="158">
        <v>0</v>
      </c>
      <c r="H898" s="133" t="s">
        <v>479</v>
      </c>
      <c r="I898" s="133" t="s">
        <v>548</v>
      </c>
      <c r="J898" s="158">
        <v>0</v>
      </c>
      <c r="K898" s="159"/>
    </row>
    <row r="899" spans="1:11" ht="15.75" hidden="1" customHeight="1">
      <c r="A899" s="133" t="s">
        <v>2</v>
      </c>
      <c r="B899" s="133" t="s">
        <v>4097</v>
      </c>
      <c r="C899" s="133" t="s">
        <v>4411</v>
      </c>
      <c r="D899" s="133" t="s">
        <v>477</v>
      </c>
      <c r="E899" s="158">
        <v>20</v>
      </c>
      <c r="F899" s="158">
        <v>0</v>
      </c>
      <c r="G899" s="158">
        <v>0</v>
      </c>
      <c r="H899" s="133" t="s">
        <v>4754</v>
      </c>
      <c r="I899" s="133" t="s">
        <v>548</v>
      </c>
      <c r="J899" s="158">
        <v>0</v>
      </c>
      <c r="K899" s="159"/>
    </row>
    <row r="900" spans="1:11" ht="15.75" hidden="1" customHeight="1">
      <c r="A900" s="133" t="s">
        <v>2</v>
      </c>
      <c r="B900" s="133" t="s">
        <v>4097</v>
      </c>
      <c r="C900" s="133" t="s">
        <v>4674</v>
      </c>
      <c r="D900" s="133" t="s">
        <v>477</v>
      </c>
      <c r="E900" s="158">
        <v>20</v>
      </c>
      <c r="F900" s="158">
        <v>0</v>
      </c>
      <c r="G900" s="158">
        <v>0</v>
      </c>
      <c r="H900" s="133" t="s">
        <v>4467</v>
      </c>
      <c r="I900" s="133" t="s">
        <v>479</v>
      </c>
      <c r="J900" s="158">
        <v>0</v>
      </c>
      <c r="K900" s="159"/>
    </row>
    <row r="901" spans="1:11" ht="15.75" hidden="1" customHeight="1">
      <c r="A901" s="133" t="s">
        <v>2</v>
      </c>
      <c r="B901" s="133" t="s">
        <v>4097</v>
      </c>
      <c r="C901" s="133" t="s">
        <v>4362</v>
      </c>
      <c r="D901" s="133" t="s">
        <v>477</v>
      </c>
      <c r="E901" s="158">
        <v>100</v>
      </c>
      <c r="F901" s="158">
        <v>0</v>
      </c>
      <c r="G901" s="158">
        <v>0</v>
      </c>
      <c r="H901" s="133" t="s">
        <v>4755</v>
      </c>
      <c r="I901" s="133" t="s">
        <v>548</v>
      </c>
      <c r="J901" s="158">
        <v>0</v>
      </c>
      <c r="K901" s="159"/>
    </row>
    <row r="902" spans="1:11" ht="15.75" hidden="1" customHeight="1">
      <c r="A902" s="133" t="s">
        <v>2</v>
      </c>
      <c r="B902" s="133" t="s">
        <v>4097</v>
      </c>
      <c r="C902" s="133" t="s">
        <v>4756</v>
      </c>
      <c r="D902" s="133" t="s">
        <v>477</v>
      </c>
      <c r="E902" s="158">
        <v>100</v>
      </c>
      <c r="F902" s="158">
        <v>0</v>
      </c>
      <c r="G902" s="158">
        <v>0</v>
      </c>
      <c r="H902" s="133" t="s">
        <v>479</v>
      </c>
      <c r="I902" s="133" t="s">
        <v>548</v>
      </c>
      <c r="J902" s="158">
        <v>0</v>
      </c>
      <c r="K902" s="159"/>
    </row>
    <row r="903" spans="1:11" ht="15.75" hidden="1" customHeight="1">
      <c r="A903" s="133" t="s">
        <v>2</v>
      </c>
      <c r="B903" s="133" t="s">
        <v>4097</v>
      </c>
      <c r="C903" s="133" t="s">
        <v>4757</v>
      </c>
      <c r="D903" s="133" t="s">
        <v>477</v>
      </c>
      <c r="E903" s="158">
        <v>100</v>
      </c>
      <c r="F903" s="158">
        <v>0</v>
      </c>
      <c r="G903" s="158">
        <v>0</v>
      </c>
      <c r="H903" s="133" t="s">
        <v>479</v>
      </c>
      <c r="I903" s="133" t="s">
        <v>548</v>
      </c>
      <c r="J903" s="158">
        <v>0</v>
      </c>
      <c r="K903" s="159"/>
    </row>
    <row r="904" spans="1:11" ht="15.75" hidden="1" customHeight="1">
      <c r="A904" s="133" t="s">
        <v>2</v>
      </c>
      <c r="B904" s="133" t="s">
        <v>4097</v>
      </c>
      <c r="C904" s="133" t="s">
        <v>4672</v>
      </c>
      <c r="D904" s="133" t="s">
        <v>484</v>
      </c>
      <c r="E904" s="158">
        <v>4</v>
      </c>
      <c r="F904" s="158">
        <v>10</v>
      </c>
      <c r="G904" s="158">
        <v>0</v>
      </c>
      <c r="H904" s="133" t="s">
        <v>479</v>
      </c>
      <c r="I904" s="133" t="s">
        <v>615</v>
      </c>
      <c r="J904" s="158">
        <v>0</v>
      </c>
      <c r="K904" s="159"/>
    </row>
    <row r="905" spans="1:11" ht="15.75" hidden="1" customHeight="1">
      <c r="A905" s="133" t="s">
        <v>2</v>
      </c>
      <c r="B905" s="133" t="s">
        <v>4097</v>
      </c>
      <c r="C905" s="133" t="s">
        <v>4758</v>
      </c>
      <c r="D905" s="133" t="s">
        <v>477</v>
      </c>
      <c r="E905" s="158">
        <v>100</v>
      </c>
      <c r="F905" s="158">
        <v>0</v>
      </c>
      <c r="G905" s="158">
        <v>0</v>
      </c>
      <c r="H905" s="133" t="s">
        <v>479</v>
      </c>
      <c r="I905" s="133" t="s">
        <v>548</v>
      </c>
      <c r="J905" s="158">
        <v>0</v>
      </c>
      <c r="K905" s="159"/>
    </row>
    <row r="906" spans="1:11" ht="15.75" hidden="1" customHeight="1">
      <c r="A906" s="133" t="s">
        <v>2</v>
      </c>
      <c r="B906" s="133" t="s">
        <v>4097</v>
      </c>
      <c r="C906" s="133" t="s">
        <v>4759</v>
      </c>
      <c r="D906" s="133" t="s">
        <v>477</v>
      </c>
      <c r="E906" s="158">
        <v>100</v>
      </c>
      <c r="F906" s="158">
        <v>0</v>
      </c>
      <c r="G906" s="158">
        <v>0</v>
      </c>
      <c r="H906" s="133" t="s">
        <v>479</v>
      </c>
      <c r="I906" s="133" t="s">
        <v>548</v>
      </c>
      <c r="J906" s="158">
        <v>0</v>
      </c>
      <c r="K906" s="159"/>
    </row>
    <row r="907" spans="1:11" ht="15.75" hidden="1" customHeight="1">
      <c r="A907" s="133" t="s">
        <v>2</v>
      </c>
      <c r="B907" s="133" t="s">
        <v>4097</v>
      </c>
      <c r="C907" s="133" t="s">
        <v>4760</v>
      </c>
      <c r="D907" s="133" t="s">
        <v>477</v>
      </c>
      <c r="E907" s="158">
        <v>100</v>
      </c>
      <c r="F907" s="158">
        <v>0</v>
      </c>
      <c r="G907" s="158">
        <v>0</v>
      </c>
      <c r="H907" s="133" t="s">
        <v>479</v>
      </c>
      <c r="I907" s="133" t="s">
        <v>548</v>
      </c>
      <c r="J907" s="158">
        <v>0</v>
      </c>
      <c r="K907" s="159"/>
    </row>
    <row r="908" spans="1:11" ht="15.75" hidden="1" customHeight="1">
      <c r="A908" s="133" t="s">
        <v>2</v>
      </c>
      <c r="B908" s="133" t="s">
        <v>4097</v>
      </c>
      <c r="C908" s="133" t="s">
        <v>4761</v>
      </c>
      <c r="D908" s="133" t="s">
        <v>477</v>
      </c>
      <c r="E908" s="158">
        <v>100</v>
      </c>
      <c r="F908" s="158">
        <v>0</v>
      </c>
      <c r="G908" s="158">
        <v>0</v>
      </c>
      <c r="H908" s="133" t="s">
        <v>479</v>
      </c>
      <c r="I908" s="133" t="s">
        <v>548</v>
      </c>
      <c r="J908" s="158">
        <v>0</v>
      </c>
      <c r="K908" s="159"/>
    </row>
    <row r="909" spans="1:11" ht="15.75" hidden="1" customHeight="1">
      <c r="A909" s="133" t="s">
        <v>2</v>
      </c>
      <c r="B909" s="133" t="s">
        <v>4097</v>
      </c>
      <c r="C909" s="133" t="s">
        <v>4762</v>
      </c>
      <c r="D909" s="133" t="s">
        <v>477</v>
      </c>
      <c r="E909" s="158">
        <v>100</v>
      </c>
      <c r="F909" s="158">
        <v>0</v>
      </c>
      <c r="G909" s="158">
        <v>0</v>
      </c>
      <c r="H909" s="133" t="s">
        <v>479</v>
      </c>
      <c r="I909" s="133" t="s">
        <v>548</v>
      </c>
      <c r="J909" s="158">
        <v>0</v>
      </c>
      <c r="K909" s="159"/>
    </row>
    <row r="910" spans="1:11" ht="15.75" hidden="1" customHeight="1">
      <c r="A910" s="133" t="s">
        <v>2</v>
      </c>
      <c r="B910" s="133" t="s">
        <v>4097</v>
      </c>
      <c r="C910" s="133" t="s">
        <v>2671</v>
      </c>
      <c r="D910" s="133" t="s">
        <v>477</v>
      </c>
      <c r="E910" s="158">
        <v>10</v>
      </c>
      <c r="F910" s="158">
        <v>0</v>
      </c>
      <c r="G910" s="158">
        <v>0</v>
      </c>
      <c r="H910" s="133" t="s">
        <v>479</v>
      </c>
      <c r="I910" s="133" t="s">
        <v>548</v>
      </c>
      <c r="J910" s="158">
        <v>0</v>
      </c>
      <c r="K910" s="159"/>
    </row>
    <row r="911" spans="1:11" ht="15.75" hidden="1" customHeight="1">
      <c r="A911" s="133" t="s">
        <v>2</v>
      </c>
      <c r="B911" s="133" t="s">
        <v>4097</v>
      </c>
      <c r="C911" s="133" t="s">
        <v>4677</v>
      </c>
      <c r="D911" s="133" t="s">
        <v>484</v>
      </c>
      <c r="E911" s="158">
        <v>4</v>
      </c>
      <c r="F911" s="158">
        <v>10</v>
      </c>
      <c r="G911" s="158">
        <v>0</v>
      </c>
      <c r="H911" s="133" t="s">
        <v>479</v>
      </c>
      <c r="I911" s="133" t="s">
        <v>615</v>
      </c>
      <c r="J911" s="158">
        <v>0</v>
      </c>
      <c r="K911" s="159"/>
    </row>
    <row r="912" spans="1:11" ht="15.75" hidden="1" customHeight="1">
      <c r="A912" s="133" t="s">
        <v>2</v>
      </c>
      <c r="B912" s="133" t="s">
        <v>4097</v>
      </c>
      <c r="C912" s="133" t="s">
        <v>4678</v>
      </c>
      <c r="D912" s="133" t="s">
        <v>477</v>
      </c>
      <c r="E912" s="158">
        <v>100</v>
      </c>
      <c r="F912" s="158">
        <v>0</v>
      </c>
      <c r="G912" s="158">
        <v>0</v>
      </c>
      <c r="H912" s="133" t="s">
        <v>479</v>
      </c>
      <c r="I912" s="133" t="s">
        <v>548</v>
      </c>
      <c r="J912" s="158">
        <v>0</v>
      </c>
      <c r="K912" s="159"/>
    </row>
    <row r="913" spans="1:11" ht="15.75" hidden="1" customHeight="1">
      <c r="A913" s="133" t="s">
        <v>2</v>
      </c>
      <c r="B913" s="133" t="s">
        <v>4097</v>
      </c>
      <c r="C913" s="133" t="s">
        <v>4679</v>
      </c>
      <c r="D913" s="133" t="s">
        <v>477</v>
      </c>
      <c r="E913" s="158">
        <v>300</v>
      </c>
      <c r="F913" s="158">
        <v>0</v>
      </c>
      <c r="G913" s="158">
        <v>0</v>
      </c>
      <c r="H913" s="133" t="s">
        <v>479</v>
      </c>
      <c r="I913" s="133" t="s">
        <v>548</v>
      </c>
      <c r="J913" s="158">
        <v>1</v>
      </c>
      <c r="K913" s="159"/>
    </row>
    <row r="914" spans="1:11" ht="15.75" hidden="1" customHeight="1">
      <c r="A914" s="133" t="s">
        <v>2</v>
      </c>
      <c r="B914" s="133" t="s">
        <v>4097</v>
      </c>
      <c r="C914" s="133" t="s">
        <v>4633</v>
      </c>
      <c r="D914" s="133" t="s">
        <v>477</v>
      </c>
      <c r="E914" s="158">
        <v>100</v>
      </c>
      <c r="F914" s="158">
        <v>0</v>
      </c>
      <c r="G914" s="158">
        <v>0</v>
      </c>
      <c r="H914" s="133" t="s">
        <v>479</v>
      </c>
      <c r="I914" s="133" t="s">
        <v>548</v>
      </c>
      <c r="J914" s="158">
        <v>0</v>
      </c>
      <c r="K914" s="159"/>
    </row>
    <row r="915" spans="1:11" ht="15.75" hidden="1" customHeight="1">
      <c r="A915" s="133" t="s">
        <v>2</v>
      </c>
      <c r="B915" s="133" t="s">
        <v>4097</v>
      </c>
      <c r="C915" s="133" t="s">
        <v>4680</v>
      </c>
      <c r="D915" s="133" t="s">
        <v>477</v>
      </c>
      <c r="E915" s="158">
        <v>100</v>
      </c>
      <c r="F915" s="158">
        <v>0</v>
      </c>
      <c r="G915" s="158">
        <v>0</v>
      </c>
      <c r="H915" s="133" t="s">
        <v>479</v>
      </c>
      <c r="I915" s="133" t="s">
        <v>548</v>
      </c>
      <c r="J915" s="158">
        <v>0</v>
      </c>
      <c r="K915" s="159"/>
    </row>
    <row r="916" spans="1:11" ht="15.75" hidden="1" customHeight="1">
      <c r="A916" s="133" t="s">
        <v>2</v>
      </c>
      <c r="B916" s="133" t="s">
        <v>4097</v>
      </c>
      <c r="C916" s="133" t="s">
        <v>4636</v>
      </c>
      <c r="D916" s="133" t="s">
        <v>477</v>
      </c>
      <c r="E916" s="158">
        <v>100</v>
      </c>
      <c r="F916" s="158">
        <v>0</v>
      </c>
      <c r="G916" s="158">
        <v>0</v>
      </c>
      <c r="H916" s="133" t="s">
        <v>479</v>
      </c>
      <c r="I916" s="133" t="s">
        <v>548</v>
      </c>
      <c r="J916" s="158">
        <v>0</v>
      </c>
      <c r="K916" s="159"/>
    </row>
    <row r="917" spans="1:11" ht="15.75" hidden="1" customHeight="1">
      <c r="A917" s="133" t="s">
        <v>2</v>
      </c>
      <c r="B917" s="133" t="s">
        <v>4097</v>
      </c>
      <c r="C917" s="133" t="s">
        <v>4681</v>
      </c>
      <c r="D917" s="133" t="s">
        <v>477</v>
      </c>
      <c r="E917" s="158">
        <v>100</v>
      </c>
      <c r="F917" s="158">
        <v>0</v>
      </c>
      <c r="G917" s="158">
        <v>0</v>
      </c>
      <c r="H917" s="133" t="s">
        <v>479</v>
      </c>
      <c r="I917" s="133" t="s">
        <v>548</v>
      </c>
      <c r="J917" s="158">
        <v>0</v>
      </c>
      <c r="K917" s="159"/>
    </row>
    <row r="918" spans="1:11" ht="15.75" hidden="1" customHeight="1">
      <c r="A918" s="133" t="s">
        <v>2</v>
      </c>
      <c r="B918" s="133" t="s">
        <v>4097</v>
      </c>
      <c r="C918" s="133" t="s">
        <v>2475</v>
      </c>
      <c r="D918" s="133" t="s">
        <v>477</v>
      </c>
      <c r="E918" s="158">
        <v>100</v>
      </c>
      <c r="F918" s="158">
        <v>0</v>
      </c>
      <c r="G918" s="158">
        <v>0</v>
      </c>
      <c r="H918" s="133" t="s">
        <v>479</v>
      </c>
      <c r="I918" s="133" t="s">
        <v>548</v>
      </c>
      <c r="J918" s="158">
        <v>0</v>
      </c>
      <c r="K918" s="159"/>
    </row>
    <row r="919" spans="1:11" ht="15.75" hidden="1" customHeight="1">
      <c r="A919" s="133" t="s">
        <v>2</v>
      </c>
      <c r="B919" s="133" t="s">
        <v>4097</v>
      </c>
      <c r="C919" s="133" t="s">
        <v>4481</v>
      </c>
      <c r="D919" s="133" t="s">
        <v>477</v>
      </c>
      <c r="E919" s="158">
        <v>20</v>
      </c>
      <c r="F919" s="158">
        <v>0</v>
      </c>
      <c r="G919" s="158">
        <v>0</v>
      </c>
      <c r="H919" s="133" t="s">
        <v>479</v>
      </c>
      <c r="I919" s="133" t="s">
        <v>548</v>
      </c>
      <c r="J919" s="158">
        <v>0</v>
      </c>
      <c r="K919" s="159"/>
    </row>
    <row r="920" spans="1:11" ht="15.75" hidden="1" customHeight="1">
      <c r="A920" s="133" t="s">
        <v>2</v>
      </c>
      <c r="B920" s="133" t="s">
        <v>4097</v>
      </c>
      <c r="C920" s="133" t="s">
        <v>4682</v>
      </c>
      <c r="D920" s="133" t="s">
        <v>481</v>
      </c>
      <c r="E920" s="158">
        <v>9</v>
      </c>
      <c r="F920" s="158">
        <v>11</v>
      </c>
      <c r="G920" s="158">
        <v>8</v>
      </c>
      <c r="H920" s="133" t="s">
        <v>479</v>
      </c>
      <c r="I920" s="133" t="s">
        <v>615</v>
      </c>
      <c r="J920" s="158">
        <v>0</v>
      </c>
      <c r="K920" s="159"/>
    </row>
    <row r="921" spans="1:11" ht="15.75" hidden="1" customHeight="1">
      <c r="A921" s="133" t="s">
        <v>2</v>
      </c>
      <c r="B921" s="133" t="s">
        <v>4097</v>
      </c>
      <c r="C921" s="133" t="s">
        <v>4683</v>
      </c>
      <c r="D921" s="133" t="s">
        <v>481</v>
      </c>
      <c r="E921" s="158">
        <v>9</v>
      </c>
      <c r="F921" s="158">
        <v>11</v>
      </c>
      <c r="G921" s="158">
        <v>8</v>
      </c>
      <c r="H921" s="133" t="s">
        <v>479</v>
      </c>
      <c r="I921" s="133" t="s">
        <v>615</v>
      </c>
      <c r="J921" s="158">
        <v>0</v>
      </c>
      <c r="K921" s="159"/>
    </row>
    <row r="922" spans="1:11" ht="15.75" hidden="1" customHeight="1">
      <c r="A922" s="133" t="s">
        <v>2</v>
      </c>
      <c r="B922" s="133" t="s">
        <v>4097</v>
      </c>
      <c r="C922" s="133" t="s">
        <v>708</v>
      </c>
      <c r="D922" s="133" t="s">
        <v>477</v>
      </c>
      <c r="E922" s="158">
        <v>20</v>
      </c>
      <c r="F922" s="158">
        <v>0</v>
      </c>
      <c r="G922" s="158">
        <v>0</v>
      </c>
      <c r="H922" s="133" t="s">
        <v>479</v>
      </c>
      <c r="I922" s="133" t="s">
        <v>548</v>
      </c>
      <c r="J922" s="158">
        <v>0</v>
      </c>
      <c r="K922" s="159"/>
    </row>
    <row r="923" spans="1:11" ht="15.75" hidden="1" customHeight="1">
      <c r="A923" s="133" t="s">
        <v>2</v>
      </c>
      <c r="B923" s="133" t="s">
        <v>4097</v>
      </c>
      <c r="C923" s="133" t="s">
        <v>712</v>
      </c>
      <c r="D923" s="133" t="s">
        <v>477</v>
      </c>
      <c r="E923" s="158">
        <v>30</v>
      </c>
      <c r="F923" s="158">
        <v>0</v>
      </c>
      <c r="G923" s="158">
        <v>0</v>
      </c>
      <c r="H923" s="133" t="s">
        <v>479</v>
      </c>
      <c r="I923" s="133" t="s">
        <v>548</v>
      </c>
      <c r="J923" s="158">
        <v>0</v>
      </c>
      <c r="K923" s="159"/>
    </row>
    <row r="924" spans="1:11" ht="15.75" hidden="1" customHeight="1">
      <c r="A924" s="133" t="s">
        <v>2</v>
      </c>
      <c r="B924" s="133" t="s">
        <v>4097</v>
      </c>
      <c r="C924" s="133" t="s">
        <v>1741</v>
      </c>
      <c r="D924" s="133" t="s">
        <v>477</v>
      </c>
      <c r="E924" s="158">
        <v>100</v>
      </c>
      <c r="F924" s="158">
        <v>0</v>
      </c>
      <c r="G924" s="158">
        <v>0</v>
      </c>
      <c r="H924" s="133" t="s">
        <v>479</v>
      </c>
      <c r="I924" s="133" t="s">
        <v>548</v>
      </c>
      <c r="J924" s="158">
        <v>0</v>
      </c>
      <c r="K924" s="159"/>
    </row>
    <row r="925" spans="1:11" ht="15.75" hidden="1" customHeight="1">
      <c r="A925" s="133" t="s">
        <v>2</v>
      </c>
      <c r="B925" s="133" t="s">
        <v>4097</v>
      </c>
      <c r="C925" s="133" t="s">
        <v>1243</v>
      </c>
      <c r="D925" s="133" t="s">
        <v>481</v>
      </c>
      <c r="E925" s="158">
        <v>9</v>
      </c>
      <c r="F925" s="158">
        <v>11</v>
      </c>
      <c r="G925" s="158">
        <v>2</v>
      </c>
      <c r="H925" s="133" t="s">
        <v>479</v>
      </c>
      <c r="I925" s="133" t="s">
        <v>615</v>
      </c>
      <c r="J925" s="158">
        <v>0</v>
      </c>
      <c r="K925" s="159"/>
    </row>
    <row r="926" spans="1:11" ht="15.75" hidden="1" customHeight="1">
      <c r="A926" s="133" t="s">
        <v>2</v>
      </c>
      <c r="B926" s="133" t="s">
        <v>4097</v>
      </c>
      <c r="C926" s="133" t="s">
        <v>663</v>
      </c>
      <c r="D926" s="133" t="s">
        <v>481</v>
      </c>
      <c r="E926" s="158">
        <v>5</v>
      </c>
      <c r="F926" s="158">
        <v>9</v>
      </c>
      <c r="G926" s="158">
        <v>2</v>
      </c>
      <c r="H926" s="133" t="s">
        <v>479</v>
      </c>
      <c r="I926" s="133" t="s">
        <v>615</v>
      </c>
      <c r="J926" s="158">
        <v>0</v>
      </c>
      <c r="K926" s="159"/>
    </row>
    <row r="927" spans="1:11" ht="15.75" hidden="1" customHeight="1">
      <c r="A927" s="133" t="s">
        <v>2</v>
      </c>
      <c r="B927" s="133" t="s">
        <v>4097</v>
      </c>
      <c r="C927" s="133" t="s">
        <v>654</v>
      </c>
      <c r="D927" s="133" t="s">
        <v>481</v>
      </c>
      <c r="E927" s="158">
        <v>5</v>
      </c>
      <c r="F927" s="158">
        <v>9</v>
      </c>
      <c r="G927" s="158">
        <v>2</v>
      </c>
      <c r="H927" s="133" t="s">
        <v>4763</v>
      </c>
      <c r="I927" s="133" t="s">
        <v>615</v>
      </c>
      <c r="J927" s="158">
        <v>0</v>
      </c>
      <c r="K927" s="159"/>
    </row>
    <row r="928" spans="1:11" ht="15.75" hidden="1" customHeight="1">
      <c r="A928" s="133" t="s">
        <v>2</v>
      </c>
      <c r="B928" s="133" t="s">
        <v>4097</v>
      </c>
      <c r="C928" s="133" t="s">
        <v>4764</v>
      </c>
      <c r="D928" s="133" t="s">
        <v>481</v>
      </c>
      <c r="E928" s="158">
        <v>9</v>
      </c>
      <c r="F928" s="158">
        <v>11</v>
      </c>
      <c r="G928" s="158">
        <v>2</v>
      </c>
      <c r="H928" s="133" t="s">
        <v>4765</v>
      </c>
      <c r="I928" s="133" t="s">
        <v>615</v>
      </c>
      <c r="J928" s="158">
        <v>0</v>
      </c>
      <c r="K928" s="159"/>
    </row>
    <row r="929" spans="1:11" ht="15.75" hidden="1" customHeight="1">
      <c r="A929" s="133" t="s">
        <v>2</v>
      </c>
      <c r="B929" s="133" t="s">
        <v>4097</v>
      </c>
      <c r="C929" s="133" t="s">
        <v>4483</v>
      </c>
      <c r="D929" s="133" t="s">
        <v>481</v>
      </c>
      <c r="E929" s="158">
        <v>9</v>
      </c>
      <c r="F929" s="158">
        <v>11</v>
      </c>
      <c r="G929" s="158">
        <v>8</v>
      </c>
      <c r="H929" s="133" t="s">
        <v>479</v>
      </c>
      <c r="I929" s="133" t="s">
        <v>1223</v>
      </c>
      <c r="J929" s="158">
        <v>0</v>
      </c>
      <c r="K929" s="159"/>
    </row>
    <row r="930" spans="1:11" ht="15.75" hidden="1" customHeight="1">
      <c r="A930" s="133" t="s">
        <v>2</v>
      </c>
      <c r="B930" s="133" t="s">
        <v>4097</v>
      </c>
      <c r="C930" s="133" t="s">
        <v>4705</v>
      </c>
      <c r="D930" s="133" t="s">
        <v>484</v>
      </c>
      <c r="E930" s="158">
        <v>4</v>
      </c>
      <c r="F930" s="158">
        <v>10</v>
      </c>
      <c r="G930" s="158">
        <v>0</v>
      </c>
      <c r="H930" s="133" t="s">
        <v>479</v>
      </c>
      <c r="I930" s="133" t="s">
        <v>615</v>
      </c>
      <c r="J930" s="158">
        <v>0</v>
      </c>
      <c r="K930" s="159"/>
    </row>
    <row r="931" spans="1:11" ht="15.75" hidden="1" customHeight="1">
      <c r="A931" s="133" t="s">
        <v>2</v>
      </c>
      <c r="B931" s="133" t="s">
        <v>4097</v>
      </c>
      <c r="C931" s="133" t="s">
        <v>4766</v>
      </c>
      <c r="D931" s="133" t="s">
        <v>477</v>
      </c>
      <c r="E931" s="158">
        <v>20</v>
      </c>
      <c r="F931" s="158">
        <v>0</v>
      </c>
      <c r="G931" s="158">
        <v>0</v>
      </c>
      <c r="H931" s="133" t="s">
        <v>479</v>
      </c>
      <c r="I931" s="133" t="s">
        <v>596</v>
      </c>
      <c r="J931" s="158">
        <v>0</v>
      </c>
      <c r="K931" s="159"/>
    </row>
    <row r="932" spans="1:11" ht="15.75" hidden="1" customHeight="1">
      <c r="A932" s="133" t="s">
        <v>2</v>
      </c>
      <c r="B932" s="133" t="s">
        <v>4097</v>
      </c>
      <c r="C932" s="133" t="s">
        <v>2602</v>
      </c>
      <c r="D932" s="133" t="s">
        <v>484</v>
      </c>
      <c r="E932" s="158">
        <v>4</v>
      </c>
      <c r="F932" s="158">
        <v>10</v>
      </c>
      <c r="G932" s="158">
        <v>0</v>
      </c>
      <c r="H932" s="133" t="s">
        <v>4767</v>
      </c>
      <c r="I932" s="133" t="s">
        <v>615</v>
      </c>
      <c r="J932" s="158">
        <v>0</v>
      </c>
      <c r="K932" s="159"/>
    </row>
    <row r="933" spans="1:11" ht="15.75" hidden="1" customHeight="1">
      <c r="A933" s="133" t="s">
        <v>2</v>
      </c>
      <c r="B933" s="133" t="s">
        <v>4097</v>
      </c>
      <c r="C933" s="133" t="s">
        <v>4768</v>
      </c>
      <c r="D933" s="133" t="s">
        <v>484</v>
      </c>
      <c r="E933" s="158">
        <v>4</v>
      </c>
      <c r="F933" s="158">
        <v>10</v>
      </c>
      <c r="G933" s="158">
        <v>0</v>
      </c>
      <c r="H933" s="133" t="s">
        <v>479</v>
      </c>
      <c r="I933" s="133" t="s">
        <v>615</v>
      </c>
      <c r="J933" s="158">
        <v>0</v>
      </c>
      <c r="K933" s="159"/>
    </row>
    <row r="934" spans="1:11" ht="15.75" hidden="1" customHeight="1">
      <c r="A934" s="133" t="s">
        <v>2</v>
      </c>
      <c r="B934" s="133" t="s">
        <v>4097</v>
      </c>
      <c r="C934" s="133" t="s">
        <v>4686</v>
      </c>
      <c r="D934" s="133" t="s">
        <v>477</v>
      </c>
      <c r="E934" s="158">
        <v>20</v>
      </c>
      <c r="F934" s="158">
        <v>0</v>
      </c>
      <c r="G934" s="158">
        <v>0</v>
      </c>
      <c r="H934" s="133" t="s">
        <v>479</v>
      </c>
      <c r="I934" s="133" t="s">
        <v>596</v>
      </c>
      <c r="J934" s="158">
        <v>0</v>
      </c>
      <c r="K934" s="159"/>
    </row>
    <row r="935" spans="1:11" ht="15.75" hidden="1" customHeight="1">
      <c r="A935" s="133" t="s">
        <v>2</v>
      </c>
      <c r="B935" s="133" t="s">
        <v>4097</v>
      </c>
      <c r="C935" s="133" t="s">
        <v>4769</v>
      </c>
      <c r="D935" s="133" t="s">
        <v>477</v>
      </c>
      <c r="E935" s="158">
        <v>3</v>
      </c>
      <c r="F935" s="158">
        <v>0</v>
      </c>
      <c r="G935" s="158">
        <v>0</v>
      </c>
      <c r="H935" s="133" t="s">
        <v>479</v>
      </c>
      <c r="I935" s="133" t="s">
        <v>596</v>
      </c>
      <c r="J935" s="158">
        <v>0</v>
      </c>
      <c r="K935" s="159"/>
    </row>
    <row r="936" spans="1:11" ht="15.75" hidden="1" customHeight="1">
      <c r="A936" s="133" t="s">
        <v>2</v>
      </c>
      <c r="B936" s="133" t="s">
        <v>4097</v>
      </c>
      <c r="C936" s="133" t="s">
        <v>2601</v>
      </c>
      <c r="D936" s="133" t="s">
        <v>477</v>
      </c>
      <c r="E936" s="158">
        <v>3</v>
      </c>
      <c r="F936" s="158">
        <v>0</v>
      </c>
      <c r="G936" s="158">
        <v>0</v>
      </c>
      <c r="H936" s="133" t="s">
        <v>4770</v>
      </c>
      <c r="I936" s="133" t="s">
        <v>596</v>
      </c>
      <c r="J936" s="158">
        <v>0</v>
      </c>
      <c r="K936" s="159"/>
    </row>
    <row r="937" spans="1:11" ht="15.75" hidden="1" customHeight="1">
      <c r="A937" s="133" t="s">
        <v>2</v>
      </c>
      <c r="B937" s="133" t="s">
        <v>4097</v>
      </c>
      <c r="C937" s="133" t="s">
        <v>4771</v>
      </c>
      <c r="D937" s="133" t="s">
        <v>477</v>
      </c>
      <c r="E937" s="158">
        <v>3</v>
      </c>
      <c r="F937" s="158">
        <v>0</v>
      </c>
      <c r="G937" s="158">
        <v>0</v>
      </c>
      <c r="H937" s="133" t="s">
        <v>479</v>
      </c>
      <c r="I937" s="133" t="s">
        <v>596</v>
      </c>
      <c r="J937" s="158">
        <v>0</v>
      </c>
      <c r="K937" s="159"/>
    </row>
    <row r="938" spans="1:11" ht="15.75" hidden="1" customHeight="1">
      <c r="A938" s="133" t="s">
        <v>2</v>
      </c>
      <c r="B938" s="133" t="s">
        <v>4097</v>
      </c>
      <c r="C938" s="133" t="s">
        <v>4504</v>
      </c>
      <c r="D938" s="133" t="s">
        <v>477</v>
      </c>
      <c r="E938" s="158">
        <v>3</v>
      </c>
      <c r="F938" s="158">
        <v>0</v>
      </c>
      <c r="G938" s="158">
        <v>0</v>
      </c>
      <c r="H938" s="133" t="s">
        <v>479</v>
      </c>
      <c r="I938" s="133" t="s">
        <v>548</v>
      </c>
      <c r="J938" s="158">
        <v>0</v>
      </c>
      <c r="K938" s="159"/>
    </row>
    <row r="939" spans="1:11" ht="15.75" hidden="1" customHeight="1">
      <c r="A939" s="133" t="s">
        <v>2</v>
      </c>
      <c r="B939" s="133" t="s">
        <v>4097</v>
      </c>
      <c r="C939" s="133" t="s">
        <v>4772</v>
      </c>
      <c r="D939" s="133" t="s">
        <v>477</v>
      </c>
      <c r="E939" s="158">
        <v>5</v>
      </c>
      <c r="F939" s="158">
        <v>0</v>
      </c>
      <c r="G939" s="158">
        <v>0</v>
      </c>
      <c r="H939" s="133" t="s">
        <v>4773</v>
      </c>
      <c r="I939" s="133" t="s">
        <v>548</v>
      </c>
      <c r="J939" s="158">
        <v>0</v>
      </c>
      <c r="K939" s="159"/>
    </row>
    <row r="940" spans="1:11" ht="15.75" hidden="1" customHeight="1">
      <c r="A940" s="133" t="s">
        <v>2</v>
      </c>
      <c r="B940" s="133" t="s">
        <v>4097</v>
      </c>
      <c r="C940" s="133" t="s">
        <v>4774</v>
      </c>
      <c r="D940" s="133" t="s">
        <v>477</v>
      </c>
      <c r="E940" s="158">
        <v>100</v>
      </c>
      <c r="F940" s="158">
        <v>0</v>
      </c>
      <c r="G940" s="158">
        <v>0</v>
      </c>
      <c r="H940" s="133" t="s">
        <v>479</v>
      </c>
      <c r="I940" s="133" t="s">
        <v>548</v>
      </c>
      <c r="J940" s="158">
        <v>0</v>
      </c>
      <c r="K940" s="159"/>
    </row>
    <row r="941" spans="1:11" ht="15.75" hidden="1" customHeight="1">
      <c r="A941" s="133" t="s">
        <v>2</v>
      </c>
      <c r="B941" s="133" t="s">
        <v>4097</v>
      </c>
      <c r="C941" s="133" t="s">
        <v>4201</v>
      </c>
      <c r="D941" s="133" t="s">
        <v>477</v>
      </c>
      <c r="E941" s="158">
        <v>300</v>
      </c>
      <c r="F941" s="158">
        <v>0</v>
      </c>
      <c r="G941" s="158">
        <v>0</v>
      </c>
      <c r="H941" s="133" t="s">
        <v>479</v>
      </c>
      <c r="I941" s="133" t="s">
        <v>548</v>
      </c>
      <c r="J941" s="158">
        <v>0</v>
      </c>
      <c r="K941" s="159"/>
    </row>
    <row r="942" spans="1:11" ht="15.75" hidden="1" customHeight="1">
      <c r="A942" s="133" t="s">
        <v>2</v>
      </c>
      <c r="B942" s="133" t="s">
        <v>4097</v>
      </c>
      <c r="C942" s="133" t="s">
        <v>2581</v>
      </c>
      <c r="D942" s="133" t="s">
        <v>477</v>
      </c>
      <c r="E942" s="158">
        <v>300</v>
      </c>
      <c r="F942" s="158">
        <v>0</v>
      </c>
      <c r="G942" s="158">
        <v>0</v>
      </c>
      <c r="H942" s="133" t="s">
        <v>479</v>
      </c>
      <c r="I942" s="133" t="s">
        <v>548</v>
      </c>
      <c r="J942" s="158">
        <v>0</v>
      </c>
      <c r="K942" s="159"/>
    </row>
    <row r="943" spans="1:11" ht="15.75" hidden="1" customHeight="1">
      <c r="A943" s="133" t="s">
        <v>2</v>
      </c>
      <c r="B943" s="133" t="s">
        <v>4097</v>
      </c>
      <c r="C943" s="133" t="s">
        <v>3189</v>
      </c>
      <c r="D943" s="133" t="s">
        <v>477</v>
      </c>
      <c r="E943" s="158">
        <v>300</v>
      </c>
      <c r="F943" s="158">
        <v>0</v>
      </c>
      <c r="G943" s="158">
        <v>0</v>
      </c>
      <c r="H943" s="133" t="s">
        <v>479</v>
      </c>
      <c r="I943" s="133" t="s">
        <v>548</v>
      </c>
      <c r="J943" s="158">
        <v>0</v>
      </c>
      <c r="K943" s="159"/>
    </row>
    <row r="944" spans="1:11" ht="15.75" hidden="1" customHeight="1">
      <c r="A944" s="133" t="s">
        <v>2</v>
      </c>
      <c r="B944" s="133" t="s">
        <v>4097</v>
      </c>
      <c r="C944" s="133" t="s">
        <v>669</v>
      </c>
      <c r="D944" s="133" t="s">
        <v>496</v>
      </c>
      <c r="E944" s="158">
        <v>4</v>
      </c>
      <c r="F944" s="158">
        <v>16</v>
      </c>
      <c r="G944" s="158">
        <v>0</v>
      </c>
      <c r="H944" s="133" t="s">
        <v>479</v>
      </c>
      <c r="I944" s="133" t="s">
        <v>548</v>
      </c>
      <c r="J944" s="158">
        <v>0</v>
      </c>
      <c r="K944" s="159"/>
    </row>
    <row r="945" spans="1:11" ht="15.75" hidden="1" customHeight="1">
      <c r="A945" s="133" t="s">
        <v>2</v>
      </c>
      <c r="B945" s="133" t="s">
        <v>4097</v>
      </c>
      <c r="C945" s="133" t="s">
        <v>523</v>
      </c>
      <c r="D945" s="133" t="s">
        <v>477</v>
      </c>
      <c r="E945" s="158">
        <v>20</v>
      </c>
      <c r="F945" s="158">
        <v>0</v>
      </c>
      <c r="G945" s="158">
        <v>0</v>
      </c>
      <c r="H945" s="133" t="s">
        <v>834</v>
      </c>
      <c r="I945" s="133" t="s">
        <v>548</v>
      </c>
      <c r="J945" s="158">
        <v>0</v>
      </c>
      <c r="K945" s="159"/>
    </row>
    <row r="946" spans="1:11" ht="15.75" hidden="1" customHeight="1">
      <c r="A946" s="133" t="s">
        <v>2</v>
      </c>
      <c r="B946" s="133" t="s">
        <v>4097</v>
      </c>
      <c r="C946" s="133" t="s">
        <v>215</v>
      </c>
      <c r="D946" s="133" t="s">
        <v>496</v>
      </c>
      <c r="E946" s="158">
        <v>4</v>
      </c>
      <c r="F946" s="158">
        <v>16</v>
      </c>
      <c r="G946" s="158">
        <v>0</v>
      </c>
      <c r="H946" s="133" t="s">
        <v>479</v>
      </c>
      <c r="I946" s="133" t="s">
        <v>548</v>
      </c>
      <c r="J946" s="158">
        <v>0</v>
      </c>
      <c r="K946" s="159"/>
    </row>
    <row r="947" spans="1:11" ht="15.75" hidden="1" customHeight="1">
      <c r="A947" s="133" t="s">
        <v>2</v>
      </c>
      <c r="B947" s="133" t="s">
        <v>4097</v>
      </c>
      <c r="C947" s="133" t="s">
        <v>670</v>
      </c>
      <c r="D947" s="133" t="s">
        <v>477</v>
      </c>
      <c r="E947" s="158">
        <v>20</v>
      </c>
      <c r="F947" s="158">
        <v>0</v>
      </c>
      <c r="G947" s="158">
        <v>0</v>
      </c>
      <c r="H947" s="133" t="s">
        <v>479</v>
      </c>
      <c r="I947" s="133" t="s">
        <v>548</v>
      </c>
      <c r="J947" s="158">
        <v>0</v>
      </c>
      <c r="K947" s="159"/>
    </row>
    <row r="948" spans="1:11" ht="15.75" hidden="1" customHeight="1">
      <c r="A948" s="133" t="s">
        <v>2</v>
      </c>
      <c r="B948" s="133" t="s">
        <v>4097</v>
      </c>
      <c r="C948" s="133" t="s">
        <v>4775</v>
      </c>
      <c r="D948" s="133" t="s">
        <v>477</v>
      </c>
      <c r="E948" s="158">
        <v>3</v>
      </c>
      <c r="F948" s="158">
        <v>0</v>
      </c>
      <c r="G948" s="158">
        <v>0</v>
      </c>
      <c r="H948" s="133" t="s">
        <v>4775</v>
      </c>
      <c r="I948" s="133" t="s">
        <v>596</v>
      </c>
      <c r="J948" s="158">
        <v>0</v>
      </c>
      <c r="K948" s="159"/>
    </row>
    <row r="949" spans="1:11" ht="15.75" hidden="1" customHeight="1">
      <c r="A949" s="133" t="s">
        <v>2</v>
      </c>
      <c r="B949" s="133" t="s">
        <v>4097</v>
      </c>
      <c r="C949" s="133" t="s">
        <v>4776</v>
      </c>
      <c r="D949" s="133" t="s">
        <v>477</v>
      </c>
      <c r="E949" s="158">
        <v>3</v>
      </c>
      <c r="F949" s="158">
        <v>0</v>
      </c>
      <c r="G949" s="158">
        <v>0</v>
      </c>
      <c r="H949" s="133" t="s">
        <v>479</v>
      </c>
      <c r="I949" s="133" t="s">
        <v>596</v>
      </c>
      <c r="J949" s="158">
        <v>0</v>
      </c>
      <c r="K949" s="159"/>
    </row>
    <row r="950" spans="1:11" ht="15.75" hidden="1" customHeight="1">
      <c r="A950" s="133" t="s">
        <v>2</v>
      </c>
      <c r="B950" s="133" t="s">
        <v>4097</v>
      </c>
      <c r="C950" s="133" t="s">
        <v>3331</v>
      </c>
      <c r="D950" s="133" t="s">
        <v>477</v>
      </c>
      <c r="E950" s="158">
        <v>3</v>
      </c>
      <c r="F950" s="158">
        <v>0</v>
      </c>
      <c r="G950" s="158">
        <v>0</v>
      </c>
      <c r="H950" s="133" t="s">
        <v>479</v>
      </c>
      <c r="I950" s="133" t="s">
        <v>596</v>
      </c>
      <c r="J950" s="158">
        <v>0</v>
      </c>
      <c r="K950" s="159"/>
    </row>
    <row r="951" spans="1:11" ht="15.75" hidden="1" customHeight="1">
      <c r="A951" s="133" t="s">
        <v>2</v>
      </c>
      <c r="B951" s="133" t="s">
        <v>4097</v>
      </c>
      <c r="C951" s="133" t="s">
        <v>4708</v>
      </c>
      <c r="D951" s="133" t="s">
        <v>477</v>
      </c>
      <c r="E951" s="158">
        <v>3</v>
      </c>
      <c r="F951" s="158">
        <v>0</v>
      </c>
      <c r="G951" s="158">
        <v>0</v>
      </c>
      <c r="H951" s="133" t="s">
        <v>2612</v>
      </c>
      <c r="I951" s="133" t="s">
        <v>596</v>
      </c>
      <c r="J951" s="158">
        <v>0</v>
      </c>
      <c r="K951" s="159"/>
    </row>
    <row r="952" spans="1:11" ht="15.75" hidden="1" customHeight="1">
      <c r="A952" s="133" t="s">
        <v>2</v>
      </c>
      <c r="B952" s="133" t="s">
        <v>4097</v>
      </c>
      <c r="C952" s="133" t="s">
        <v>2613</v>
      </c>
      <c r="D952" s="133" t="s">
        <v>477</v>
      </c>
      <c r="E952" s="158">
        <v>100</v>
      </c>
      <c r="F952" s="158">
        <v>0</v>
      </c>
      <c r="G952" s="158">
        <v>0</v>
      </c>
      <c r="H952" s="133" t="s">
        <v>2614</v>
      </c>
      <c r="I952" s="133" t="s">
        <v>548</v>
      </c>
      <c r="J952" s="158">
        <v>0</v>
      </c>
      <c r="K952" s="159"/>
    </row>
    <row r="953" spans="1:11" ht="15.75" hidden="1" customHeight="1">
      <c r="A953" s="133" t="s">
        <v>2</v>
      </c>
      <c r="B953" s="133" t="s">
        <v>4097</v>
      </c>
      <c r="C953" s="133" t="s">
        <v>369</v>
      </c>
      <c r="D953" s="133" t="s">
        <v>477</v>
      </c>
      <c r="E953" s="158">
        <v>20</v>
      </c>
      <c r="F953" s="158">
        <v>0</v>
      </c>
      <c r="G953" s="158">
        <v>0</v>
      </c>
      <c r="H953" s="133" t="s">
        <v>4709</v>
      </c>
      <c r="I953" s="133" t="s">
        <v>1185</v>
      </c>
      <c r="J953" s="158">
        <v>0</v>
      </c>
      <c r="K953" s="159"/>
    </row>
    <row r="954" spans="1:11" ht="15.75" hidden="1" customHeight="1">
      <c r="A954" s="133" t="s">
        <v>2</v>
      </c>
      <c r="B954" s="133" t="s">
        <v>4097</v>
      </c>
      <c r="C954" s="133" t="s">
        <v>4777</v>
      </c>
      <c r="D954" s="133" t="s">
        <v>477</v>
      </c>
      <c r="E954" s="158">
        <v>20</v>
      </c>
      <c r="F954" s="158">
        <v>0</v>
      </c>
      <c r="G954" s="158">
        <v>0</v>
      </c>
      <c r="H954" s="133" t="s">
        <v>4778</v>
      </c>
      <c r="I954" s="133" t="s">
        <v>548</v>
      </c>
      <c r="J954" s="158">
        <v>0</v>
      </c>
      <c r="K954" s="159"/>
    </row>
    <row r="955" spans="1:11" ht="15.75" hidden="1" customHeight="1">
      <c r="A955" s="133" t="s">
        <v>2</v>
      </c>
      <c r="B955" s="133" t="s">
        <v>4097</v>
      </c>
      <c r="C955" s="133" t="s">
        <v>4503</v>
      </c>
      <c r="D955" s="133" t="s">
        <v>477</v>
      </c>
      <c r="E955" s="158">
        <v>3</v>
      </c>
      <c r="F955" s="158">
        <v>0</v>
      </c>
      <c r="G955" s="158">
        <v>0</v>
      </c>
      <c r="H955" s="133" t="s">
        <v>479</v>
      </c>
      <c r="I955" s="133" t="s">
        <v>596</v>
      </c>
      <c r="J955" s="158">
        <v>0</v>
      </c>
      <c r="K955" s="159"/>
    </row>
    <row r="956" spans="1:11" ht="15.75" hidden="1" customHeight="1">
      <c r="A956" s="133" t="s">
        <v>2</v>
      </c>
      <c r="B956" s="133" t="s">
        <v>4097</v>
      </c>
      <c r="C956" s="133" t="s">
        <v>3438</v>
      </c>
      <c r="D956" s="133" t="s">
        <v>477</v>
      </c>
      <c r="E956" s="158">
        <v>100</v>
      </c>
      <c r="F956" s="158">
        <v>0</v>
      </c>
      <c r="G956" s="158">
        <v>0</v>
      </c>
      <c r="H956" s="133" t="s">
        <v>479</v>
      </c>
      <c r="I956" s="133" t="s">
        <v>548</v>
      </c>
      <c r="J956" s="158">
        <v>0</v>
      </c>
      <c r="K956" s="159"/>
    </row>
    <row r="957" spans="1:11" ht="15.75" hidden="1" customHeight="1">
      <c r="A957" s="133" t="s">
        <v>2</v>
      </c>
      <c r="B957" s="133" t="s">
        <v>4097</v>
      </c>
      <c r="C957" s="133" t="s">
        <v>4098</v>
      </c>
      <c r="D957" s="133" t="s">
        <v>477</v>
      </c>
      <c r="E957" s="158">
        <v>20</v>
      </c>
      <c r="F957" s="158">
        <v>0</v>
      </c>
      <c r="G957" s="158">
        <v>0</v>
      </c>
      <c r="H957" s="133" t="s">
        <v>479</v>
      </c>
      <c r="I957" s="133" t="s">
        <v>548</v>
      </c>
      <c r="J957" s="158">
        <v>0</v>
      </c>
      <c r="K957" s="159"/>
    </row>
    <row r="958" spans="1:11" ht="15.75" hidden="1" customHeight="1">
      <c r="A958" s="133" t="s">
        <v>2</v>
      </c>
      <c r="B958" s="133" t="s">
        <v>4097</v>
      </c>
      <c r="C958" s="133" t="s">
        <v>4714</v>
      </c>
      <c r="D958" s="133" t="s">
        <v>477</v>
      </c>
      <c r="E958" s="158">
        <v>20</v>
      </c>
      <c r="F958" s="158">
        <v>0</v>
      </c>
      <c r="G958" s="158">
        <v>0</v>
      </c>
      <c r="H958" s="133" t="s">
        <v>479</v>
      </c>
      <c r="I958" s="133" t="s">
        <v>548</v>
      </c>
      <c r="J958" s="158">
        <v>0</v>
      </c>
      <c r="K958" s="159"/>
    </row>
    <row r="959" spans="1:11" ht="15.75" hidden="1" customHeight="1">
      <c r="A959" s="133" t="s">
        <v>2</v>
      </c>
      <c r="B959" s="133" t="s">
        <v>4097</v>
      </c>
      <c r="C959" s="133" t="s">
        <v>793</v>
      </c>
      <c r="D959" s="133" t="s">
        <v>477</v>
      </c>
      <c r="E959" s="158">
        <v>20</v>
      </c>
      <c r="F959" s="158">
        <v>0</v>
      </c>
      <c r="G959" s="158">
        <v>0</v>
      </c>
      <c r="H959" s="133" t="s">
        <v>479</v>
      </c>
      <c r="I959" s="133" t="s">
        <v>548</v>
      </c>
      <c r="J959" s="158">
        <v>0</v>
      </c>
      <c r="K959" s="159"/>
    </row>
    <row r="960" spans="1:11" ht="15.75" hidden="1" customHeight="1">
      <c r="A960" s="133" t="s">
        <v>2</v>
      </c>
      <c r="B960" s="133" t="s">
        <v>4097</v>
      </c>
      <c r="C960" s="133" t="s">
        <v>4712</v>
      </c>
      <c r="D960" s="133" t="s">
        <v>477</v>
      </c>
      <c r="E960" s="158">
        <v>20</v>
      </c>
      <c r="F960" s="158">
        <v>0</v>
      </c>
      <c r="G960" s="158">
        <v>0</v>
      </c>
      <c r="H960" s="133" t="s">
        <v>479</v>
      </c>
      <c r="I960" s="133" t="s">
        <v>548</v>
      </c>
      <c r="J960" s="158">
        <v>0</v>
      </c>
      <c r="K960" s="159"/>
    </row>
    <row r="961" spans="1:11" ht="15.75" hidden="1" customHeight="1">
      <c r="A961" s="133" t="s">
        <v>2</v>
      </c>
      <c r="B961" s="133" t="s">
        <v>4097</v>
      </c>
      <c r="C961" s="133" t="s">
        <v>2624</v>
      </c>
      <c r="D961" s="133" t="s">
        <v>477</v>
      </c>
      <c r="E961" s="158">
        <v>20</v>
      </c>
      <c r="F961" s="158">
        <v>0</v>
      </c>
      <c r="G961" s="158">
        <v>0</v>
      </c>
      <c r="H961" s="133" t="s">
        <v>479</v>
      </c>
      <c r="I961" s="133" t="s">
        <v>548</v>
      </c>
      <c r="J961" s="158">
        <v>0</v>
      </c>
      <c r="K961" s="159"/>
    </row>
    <row r="962" spans="1:11" ht="15.75" hidden="1" customHeight="1">
      <c r="A962" s="133" t="s">
        <v>2</v>
      </c>
      <c r="B962" s="133" t="s">
        <v>4097</v>
      </c>
      <c r="C962" s="133" t="s">
        <v>2627</v>
      </c>
      <c r="D962" s="133" t="s">
        <v>477</v>
      </c>
      <c r="E962" s="158">
        <v>20</v>
      </c>
      <c r="F962" s="158">
        <v>0</v>
      </c>
      <c r="G962" s="158">
        <v>0</v>
      </c>
      <c r="H962" s="133" t="s">
        <v>2628</v>
      </c>
      <c r="I962" s="133" t="s">
        <v>596</v>
      </c>
      <c r="J962" s="158">
        <v>0</v>
      </c>
      <c r="K962" s="159"/>
    </row>
    <row r="963" spans="1:11" ht="15.75" hidden="1" customHeight="1">
      <c r="A963" s="133" t="s">
        <v>2</v>
      </c>
      <c r="B963" s="133" t="s">
        <v>4097</v>
      </c>
      <c r="C963" s="133" t="s">
        <v>2758</v>
      </c>
      <c r="D963" s="133" t="s">
        <v>477</v>
      </c>
      <c r="E963" s="158">
        <v>20</v>
      </c>
      <c r="F963" s="158">
        <v>0</v>
      </c>
      <c r="G963" s="158">
        <v>0</v>
      </c>
      <c r="H963" s="133" t="s">
        <v>2759</v>
      </c>
      <c r="I963" s="133" t="s">
        <v>596</v>
      </c>
      <c r="J963" s="158">
        <v>0</v>
      </c>
      <c r="K963" s="159"/>
    </row>
    <row r="964" spans="1:11" ht="15.75" hidden="1" customHeight="1">
      <c r="A964" s="133" t="s">
        <v>2</v>
      </c>
      <c r="B964" s="133" t="s">
        <v>4097</v>
      </c>
      <c r="C964" s="133" t="s">
        <v>4725</v>
      </c>
      <c r="D964" s="133" t="s">
        <v>477</v>
      </c>
      <c r="E964" s="158">
        <v>20</v>
      </c>
      <c r="F964" s="158">
        <v>0</v>
      </c>
      <c r="G964" s="158">
        <v>0</v>
      </c>
      <c r="H964" s="133" t="s">
        <v>4726</v>
      </c>
      <c r="I964" s="133" t="s">
        <v>596</v>
      </c>
      <c r="J964" s="158">
        <v>0</v>
      </c>
      <c r="K964" s="159"/>
    </row>
    <row r="965" spans="1:11" ht="15.75" hidden="1" customHeight="1">
      <c r="A965" s="133" t="s">
        <v>2</v>
      </c>
      <c r="B965" s="133" t="s">
        <v>4097</v>
      </c>
      <c r="C965" s="133" t="s">
        <v>4469</v>
      </c>
      <c r="D965" s="133" t="s">
        <v>477</v>
      </c>
      <c r="E965" s="158">
        <v>55</v>
      </c>
      <c r="F965" s="158">
        <v>0</v>
      </c>
      <c r="G965" s="158">
        <v>0</v>
      </c>
      <c r="H965" s="133" t="s">
        <v>4779</v>
      </c>
      <c r="I965" s="133" t="s">
        <v>548</v>
      </c>
      <c r="J965" s="158">
        <v>0</v>
      </c>
      <c r="K965" s="159"/>
    </row>
    <row r="966" spans="1:11" ht="15.75" hidden="1" customHeight="1">
      <c r="A966" s="133" t="s">
        <v>2</v>
      </c>
      <c r="B966" s="133" t="s">
        <v>4097</v>
      </c>
      <c r="C966" s="133" t="s">
        <v>4727</v>
      </c>
      <c r="D966" s="133" t="s">
        <v>477</v>
      </c>
      <c r="E966" s="158">
        <v>20</v>
      </c>
      <c r="F966" s="158">
        <v>0</v>
      </c>
      <c r="G966" s="158">
        <v>0</v>
      </c>
      <c r="H966" s="133" t="s">
        <v>4728</v>
      </c>
      <c r="I966" s="133" t="s">
        <v>596</v>
      </c>
      <c r="J966" s="158">
        <v>0</v>
      </c>
      <c r="K966" s="159"/>
    </row>
    <row r="967" spans="1:11" ht="15.75" hidden="1" customHeight="1">
      <c r="A967" s="133" t="s">
        <v>2</v>
      </c>
      <c r="B967" s="133" t="s">
        <v>4080</v>
      </c>
      <c r="C967" s="133" t="s">
        <v>4083</v>
      </c>
      <c r="D967" s="133" t="s">
        <v>477</v>
      </c>
      <c r="E967" s="158">
        <v>20</v>
      </c>
      <c r="F967" s="158">
        <v>0</v>
      </c>
      <c r="G967" s="158">
        <v>0</v>
      </c>
      <c r="H967" s="133" t="s">
        <v>4780</v>
      </c>
      <c r="I967" s="133" t="s">
        <v>479</v>
      </c>
      <c r="J967" s="158">
        <v>0</v>
      </c>
    </row>
    <row r="968" spans="1:11" ht="15.75" hidden="1" customHeight="1">
      <c r="A968" s="133" t="s">
        <v>2</v>
      </c>
      <c r="B968" s="133" t="s">
        <v>4080</v>
      </c>
      <c r="C968" s="133" t="s">
        <v>292</v>
      </c>
      <c r="D968" s="133" t="s">
        <v>484</v>
      </c>
      <c r="E968" s="158">
        <v>4</v>
      </c>
      <c r="F968" s="158">
        <v>10</v>
      </c>
      <c r="G968" s="158">
        <v>0</v>
      </c>
      <c r="H968" s="133" t="s">
        <v>4781</v>
      </c>
      <c r="I968" s="133" t="s">
        <v>479</v>
      </c>
      <c r="J968" s="158">
        <v>0</v>
      </c>
    </row>
    <row r="969" spans="1:11" ht="15.75" hidden="1" customHeight="1">
      <c r="A969" s="133" t="s">
        <v>2</v>
      </c>
      <c r="B969" s="133" t="s">
        <v>4080</v>
      </c>
      <c r="C969" s="133" t="s">
        <v>257</v>
      </c>
      <c r="D969" s="133" t="s">
        <v>477</v>
      </c>
      <c r="E969" s="158">
        <v>20</v>
      </c>
      <c r="F969" s="158">
        <v>0</v>
      </c>
      <c r="G969" s="158">
        <v>0</v>
      </c>
      <c r="H969" s="133" t="s">
        <v>1130</v>
      </c>
      <c r="I969" s="133" t="s">
        <v>479</v>
      </c>
      <c r="J969" s="158">
        <v>0</v>
      </c>
    </row>
    <row r="970" spans="1:11" ht="15.75" hidden="1" customHeight="1">
      <c r="A970" s="133" t="s">
        <v>2</v>
      </c>
      <c r="B970" s="133" t="s">
        <v>4080</v>
      </c>
      <c r="C970" s="133" t="s">
        <v>3441</v>
      </c>
      <c r="D970" s="133" t="s">
        <v>477</v>
      </c>
      <c r="E970" s="158">
        <v>100</v>
      </c>
      <c r="F970" s="158">
        <v>0</v>
      </c>
      <c r="G970" s="158">
        <v>0</v>
      </c>
      <c r="H970" s="133" t="s">
        <v>1132</v>
      </c>
      <c r="I970" s="133" t="s">
        <v>479</v>
      </c>
      <c r="J970" s="158">
        <v>0</v>
      </c>
    </row>
    <row r="971" spans="1:11" ht="15.75" hidden="1" customHeight="1">
      <c r="A971" s="133" t="s">
        <v>2</v>
      </c>
      <c r="B971" s="133" t="s">
        <v>4080</v>
      </c>
      <c r="C971" s="133" t="s">
        <v>1141</v>
      </c>
      <c r="D971" s="133" t="s">
        <v>477</v>
      </c>
      <c r="E971" s="158">
        <v>20</v>
      </c>
      <c r="F971" s="158">
        <v>0</v>
      </c>
      <c r="G971" s="158">
        <v>0</v>
      </c>
      <c r="H971" s="133" t="s">
        <v>3442</v>
      </c>
      <c r="I971" s="133" t="s">
        <v>479</v>
      </c>
      <c r="J971" s="158">
        <v>0</v>
      </c>
    </row>
    <row r="972" spans="1:11" ht="15.75" hidden="1" customHeight="1">
      <c r="A972" s="133" t="s">
        <v>2</v>
      </c>
      <c r="B972" s="133" t="s">
        <v>4080</v>
      </c>
      <c r="C972" s="133" t="s">
        <v>2415</v>
      </c>
      <c r="D972" s="133" t="s">
        <v>484</v>
      </c>
      <c r="E972" s="158">
        <v>4</v>
      </c>
      <c r="F972" s="158">
        <v>10</v>
      </c>
      <c r="G972" s="158">
        <v>0</v>
      </c>
      <c r="H972" s="133" t="s">
        <v>2416</v>
      </c>
      <c r="I972" s="133" t="s">
        <v>479</v>
      </c>
      <c r="J972" s="158">
        <v>0</v>
      </c>
    </row>
    <row r="973" spans="1:11" ht="15.75" hidden="1" customHeight="1">
      <c r="A973" s="133" t="s">
        <v>2</v>
      </c>
      <c r="B973" s="133" t="s">
        <v>4080</v>
      </c>
      <c r="C973" s="133" t="s">
        <v>4782</v>
      </c>
      <c r="D973" s="133" t="s">
        <v>484</v>
      </c>
      <c r="E973" s="158">
        <v>4</v>
      </c>
      <c r="F973" s="158">
        <v>10</v>
      </c>
      <c r="G973" s="158">
        <v>0</v>
      </c>
      <c r="H973" s="133" t="s">
        <v>4783</v>
      </c>
      <c r="I973" s="133" t="s">
        <v>479</v>
      </c>
      <c r="J973" s="158">
        <v>0</v>
      </c>
    </row>
    <row r="974" spans="1:11" ht="15.75" hidden="1" customHeight="1">
      <c r="A974" s="133" t="s">
        <v>2</v>
      </c>
      <c r="B974" s="133" t="s">
        <v>4080</v>
      </c>
      <c r="C974" s="133" t="s">
        <v>4784</v>
      </c>
      <c r="D974" s="133" t="s">
        <v>484</v>
      </c>
      <c r="E974" s="158">
        <v>4</v>
      </c>
      <c r="F974" s="158">
        <v>10</v>
      </c>
      <c r="G974" s="158">
        <v>0</v>
      </c>
      <c r="H974" s="133" t="s">
        <v>4785</v>
      </c>
      <c r="I974" s="133" t="s">
        <v>479</v>
      </c>
      <c r="J974" s="158">
        <v>0</v>
      </c>
    </row>
    <row r="975" spans="1:11" ht="15.75" hidden="1" customHeight="1">
      <c r="A975" s="133" t="s">
        <v>2</v>
      </c>
      <c r="B975" s="133" t="s">
        <v>4080</v>
      </c>
      <c r="C975" s="133" t="s">
        <v>4523</v>
      </c>
      <c r="D975" s="133" t="s">
        <v>477</v>
      </c>
      <c r="E975" s="158">
        <v>20</v>
      </c>
      <c r="F975" s="158">
        <v>0</v>
      </c>
      <c r="G975" s="158">
        <v>0</v>
      </c>
      <c r="H975" s="133" t="s">
        <v>4786</v>
      </c>
      <c r="I975" s="133" t="s">
        <v>479</v>
      </c>
      <c r="J975" s="158">
        <v>0</v>
      </c>
    </row>
    <row r="976" spans="1:11" ht="15.75" hidden="1" customHeight="1">
      <c r="A976" s="133" t="s">
        <v>2</v>
      </c>
      <c r="B976" s="133" t="s">
        <v>4080</v>
      </c>
      <c r="C976" s="133" t="s">
        <v>3384</v>
      </c>
      <c r="D976" s="133" t="s">
        <v>484</v>
      </c>
      <c r="E976" s="158">
        <v>4</v>
      </c>
      <c r="F976" s="158">
        <v>10</v>
      </c>
      <c r="G976" s="158">
        <v>0</v>
      </c>
      <c r="H976" s="133" t="s">
        <v>4787</v>
      </c>
      <c r="I976" s="133" t="s">
        <v>479</v>
      </c>
      <c r="J976" s="158">
        <v>0</v>
      </c>
    </row>
    <row r="977" spans="1:10" ht="15.75" hidden="1" customHeight="1">
      <c r="A977" s="133" t="s">
        <v>2</v>
      </c>
      <c r="B977" s="133" t="s">
        <v>4080</v>
      </c>
      <c r="C977" s="133" t="s">
        <v>1145</v>
      </c>
      <c r="D977" s="133" t="s">
        <v>484</v>
      </c>
      <c r="E977" s="158">
        <v>4</v>
      </c>
      <c r="F977" s="158">
        <v>10</v>
      </c>
      <c r="G977" s="158">
        <v>0</v>
      </c>
      <c r="H977" s="133" t="s">
        <v>4533</v>
      </c>
      <c r="I977" s="133" t="s">
        <v>479</v>
      </c>
      <c r="J977" s="158">
        <v>0</v>
      </c>
    </row>
    <row r="978" spans="1:10" ht="15.75" hidden="1" customHeight="1">
      <c r="A978" s="133" t="s">
        <v>2</v>
      </c>
      <c r="B978" s="133" t="s">
        <v>4080</v>
      </c>
      <c r="C978" s="133" t="s">
        <v>1137</v>
      </c>
      <c r="D978" s="133" t="s">
        <v>481</v>
      </c>
      <c r="E978" s="158">
        <v>5</v>
      </c>
      <c r="F978" s="158">
        <v>9</v>
      </c>
      <c r="G978" s="158">
        <v>2</v>
      </c>
      <c r="H978" s="133" t="s">
        <v>4524</v>
      </c>
      <c r="I978" s="133" t="s">
        <v>479</v>
      </c>
      <c r="J978" s="158">
        <v>0</v>
      </c>
    </row>
    <row r="979" spans="1:10" ht="15.75" hidden="1" customHeight="1">
      <c r="A979" s="133" t="s">
        <v>2</v>
      </c>
      <c r="B979" s="133" t="s">
        <v>4080</v>
      </c>
      <c r="C979" s="133" t="s">
        <v>4565</v>
      </c>
      <c r="D979" s="133" t="s">
        <v>481</v>
      </c>
      <c r="E979" s="158">
        <v>5</v>
      </c>
      <c r="F979" s="158">
        <v>9</v>
      </c>
      <c r="G979" s="158">
        <v>2</v>
      </c>
      <c r="H979" s="133" t="s">
        <v>4788</v>
      </c>
      <c r="I979" s="133" t="s">
        <v>479</v>
      </c>
      <c r="J979" s="158">
        <v>0</v>
      </c>
    </row>
    <row r="980" spans="1:10" ht="15.75" hidden="1" customHeight="1">
      <c r="A980" s="133" t="s">
        <v>2</v>
      </c>
      <c r="B980" s="133" t="s">
        <v>4080</v>
      </c>
      <c r="C980" s="133" t="s">
        <v>4294</v>
      </c>
      <c r="D980" s="133" t="s">
        <v>477</v>
      </c>
      <c r="E980" s="158">
        <v>20</v>
      </c>
      <c r="F980" s="158">
        <v>0</v>
      </c>
      <c r="G980" s="158">
        <v>0</v>
      </c>
      <c r="H980" s="133" t="s">
        <v>4789</v>
      </c>
      <c r="I980" s="133" t="s">
        <v>479</v>
      </c>
      <c r="J980" s="158">
        <v>1</v>
      </c>
    </row>
    <row r="981" spans="1:10" ht="15.75" hidden="1" customHeight="1">
      <c r="A981" s="133" t="s">
        <v>2</v>
      </c>
      <c r="B981" s="133" t="s">
        <v>4080</v>
      </c>
      <c r="C981" s="133" t="s">
        <v>1208</v>
      </c>
      <c r="D981" s="133" t="s">
        <v>484</v>
      </c>
      <c r="E981" s="158">
        <v>4</v>
      </c>
      <c r="F981" s="158">
        <v>10</v>
      </c>
      <c r="G981" s="158">
        <v>0</v>
      </c>
      <c r="H981" s="133" t="s">
        <v>1209</v>
      </c>
      <c r="I981" s="133" t="s">
        <v>1210</v>
      </c>
      <c r="J981" s="158">
        <v>0</v>
      </c>
    </row>
    <row r="982" spans="1:10" ht="15.75" hidden="1" customHeight="1">
      <c r="A982" s="133" t="s">
        <v>2</v>
      </c>
      <c r="B982" s="133" t="s">
        <v>4082</v>
      </c>
      <c r="C982" s="133" t="s">
        <v>4083</v>
      </c>
      <c r="D982" s="133" t="s">
        <v>477</v>
      </c>
      <c r="E982" s="158">
        <v>20</v>
      </c>
      <c r="F982" s="158">
        <v>0</v>
      </c>
      <c r="G982" s="158">
        <v>0</v>
      </c>
      <c r="H982" s="133" t="s">
        <v>4780</v>
      </c>
      <c r="I982" s="133" t="s">
        <v>479</v>
      </c>
      <c r="J982" s="158">
        <v>0</v>
      </c>
    </row>
    <row r="983" spans="1:10" ht="15.75" hidden="1" customHeight="1">
      <c r="A983" s="133" t="s">
        <v>2</v>
      </c>
      <c r="B983" s="133" t="s">
        <v>4082</v>
      </c>
      <c r="C983" s="133" t="s">
        <v>4790</v>
      </c>
      <c r="D983" s="133" t="s">
        <v>477</v>
      </c>
      <c r="E983" s="158">
        <v>20</v>
      </c>
      <c r="F983" s="158">
        <v>0</v>
      </c>
      <c r="G983" s="158">
        <v>0</v>
      </c>
      <c r="H983" s="133" t="s">
        <v>4791</v>
      </c>
      <c r="I983" s="133" t="s">
        <v>479</v>
      </c>
      <c r="J983" s="158">
        <v>0</v>
      </c>
    </row>
    <row r="984" spans="1:10" ht="15.75" hidden="1" customHeight="1">
      <c r="A984" s="133" t="s">
        <v>2</v>
      </c>
      <c r="B984" s="133" t="s">
        <v>4082</v>
      </c>
      <c r="C984" s="133" t="s">
        <v>4792</v>
      </c>
      <c r="D984" s="133" t="s">
        <v>1974</v>
      </c>
      <c r="E984" s="158">
        <v>3</v>
      </c>
      <c r="F984" s="158">
        <v>10</v>
      </c>
      <c r="G984" s="158">
        <v>0</v>
      </c>
      <c r="H984" s="133" t="s">
        <v>4793</v>
      </c>
      <c r="I984" s="133" t="s">
        <v>479</v>
      </c>
      <c r="J984" s="158">
        <v>0</v>
      </c>
    </row>
    <row r="985" spans="1:10" ht="15.75" hidden="1" customHeight="1">
      <c r="A985" s="133" t="s">
        <v>2</v>
      </c>
      <c r="B985" s="133" t="s">
        <v>4082</v>
      </c>
      <c r="C985" s="133" t="s">
        <v>4794</v>
      </c>
      <c r="D985" s="133" t="s">
        <v>477</v>
      </c>
      <c r="E985" s="158">
        <v>20</v>
      </c>
      <c r="F985" s="158">
        <v>0</v>
      </c>
      <c r="G985" s="158">
        <v>0</v>
      </c>
      <c r="H985" s="133" t="s">
        <v>4795</v>
      </c>
      <c r="I985" s="133" t="s">
        <v>479</v>
      </c>
      <c r="J985" s="158">
        <v>0</v>
      </c>
    </row>
    <row r="986" spans="1:10" ht="15.75" hidden="1" customHeight="1">
      <c r="A986" s="133" t="s">
        <v>2</v>
      </c>
      <c r="B986" s="133" t="s">
        <v>4082</v>
      </c>
      <c r="C986" s="133" t="s">
        <v>4796</v>
      </c>
      <c r="D986" s="133" t="s">
        <v>477</v>
      </c>
      <c r="E986" s="158">
        <v>20</v>
      </c>
      <c r="F986" s="158">
        <v>0</v>
      </c>
      <c r="G986" s="158">
        <v>0</v>
      </c>
      <c r="H986" s="133" t="s">
        <v>4797</v>
      </c>
      <c r="I986" s="133" t="s">
        <v>479</v>
      </c>
      <c r="J986" s="158">
        <v>0</v>
      </c>
    </row>
    <row r="987" spans="1:10" ht="15.75" hidden="1" customHeight="1">
      <c r="A987" s="133" t="s">
        <v>2</v>
      </c>
      <c r="B987" s="133" t="s">
        <v>4082</v>
      </c>
      <c r="C987" s="133" t="s">
        <v>4798</v>
      </c>
      <c r="D987" s="133" t="s">
        <v>477</v>
      </c>
      <c r="E987" s="158">
        <v>255</v>
      </c>
      <c r="F987" s="158">
        <v>0</v>
      </c>
      <c r="G987" s="158">
        <v>0</v>
      </c>
      <c r="H987" s="133" t="s">
        <v>4799</v>
      </c>
      <c r="I987" s="133" t="s">
        <v>479</v>
      </c>
      <c r="J987" s="158">
        <v>0</v>
      </c>
    </row>
    <row r="988" spans="1:10" ht="15.75" hidden="1" customHeight="1">
      <c r="A988" s="133" t="s">
        <v>2</v>
      </c>
      <c r="B988" s="133" t="s">
        <v>4082</v>
      </c>
      <c r="C988" s="133" t="s">
        <v>4800</v>
      </c>
      <c r="D988" s="133" t="s">
        <v>477</v>
      </c>
      <c r="E988" s="158">
        <v>20</v>
      </c>
      <c r="F988" s="158">
        <v>0</v>
      </c>
      <c r="G988" s="158">
        <v>0</v>
      </c>
      <c r="H988" s="133" t="s">
        <v>4801</v>
      </c>
      <c r="I988" s="133" t="s">
        <v>479</v>
      </c>
      <c r="J988" s="158">
        <v>0</v>
      </c>
    </row>
    <row r="989" spans="1:10" ht="15.75" hidden="1" customHeight="1">
      <c r="A989" s="133" t="s">
        <v>2</v>
      </c>
      <c r="B989" s="133" t="s">
        <v>4082</v>
      </c>
      <c r="C989" s="133" t="s">
        <v>4802</v>
      </c>
      <c r="D989" s="133" t="s">
        <v>477</v>
      </c>
      <c r="E989" s="158">
        <v>20</v>
      </c>
      <c r="F989" s="158">
        <v>0</v>
      </c>
      <c r="G989" s="158">
        <v>0</v>
      </c>
      <c r="H989" s="133" t="s">
        <v>4803</v>
      </c>
      <c r="I989" s="133" t="s">
        <v>479</v>
      </c>
      <c r="J989" s="158">
        <v>0</v>
      </c>
    </row>
    <row r="990" spans="1:10" ht="15.75" hidden="1" customHeight="1">
      <c r="A990" s="133" t="s">
        <v>2</v>
      </c>
      <c r="B990" s="133" t="s">
        <v>4082</v>
      </c>
      <c r="C990" s="133" t="s">
        <v>4649</v>
      </c>
      <c r="D990" s="133" t="s">
        <v>484</v>
      </c>
      <c r="E990" s="158">
        <v>4</v>
      </c>
      <c r="F990" s="158">
        <v>10</v>
      </c>
      <c r="G990" s="158">
        <v>0</v>
      </c>
      <c r="H990" s="133" t="s">
        <v>4804</v>
      </c>
      <c r="I990" s="133" t="s">
        <v>479</v>
      </c>
      <c r="J990" s="158">
        <v>0</v>
      </c>
    </row>
    <row r="991" spans="1:10" ht="15.75" hidden="1" customHeight="1">
      <c r="A991" s="133" t="s">
        <v>2</v>
      </c>
      <c r="B991" s="133" t="s">
        <v>4082</v>
      </c>
      <c r="C991" s="133" t="s">
        <v>303</v>
      </c>
      <c r="D991" s="133" t="s">
        <v>477</v>
      </c>
      <c r="E991" s="158">
        <v>20</v>
      </c>
      <c r="F991" s="158">
        <v>0</v>
      </c>
      <c r="G991" s="158">
        <v>0</v>
      </c>
      <c r="H991" s="133" t="s">
        <v>755</v>
      </c>
      <c r="I991" s="133" t="s">
        <v>479</v>
      </c>
      <c r="J991" s="158">
        <v>0</v>
      </c>
    </row>
    <row r="992" spans="1:10" ht="15.75" hidden="1" customHeight="1">
      <c r="A992" s="133" t="s">
        <v>2</v>
      </c>
      <c r="B992" s="133" t="s">
        <v>4082</v>
      </c>
      <c r="C992" s="133" t="s">
        <v>4805</v>
      </c>
      <c r="D992" s="133" t="s">
        <v>477</v>
      </c>
      <c r="E992" s="158">
        <v>100</v>
      </c>
      <c r="F992" s="158">
        <v>0</v>
      </c>
      <c r="G992" s="158">
        <v>0</v>
      </c>
      <c r="H992" s="133" t="s">
        <v>4806</v>
      </c>
      <c r="I992" s="133" t="s">
        <v>479</v>
      </c>
      <c r="J992" s="158">
        <v>0</v>
      </c>
    </row>
    <row r="993" spans="1:10" ht="15.75" hidden="1" customHeight="1">
      <c r="A993" s="133" t="s">
        <v>2</v>
      </c>
      <c r="B993" s="133" t="s">
        <v>4082</v>
      </c>
      <c r="C993" s="133" t="s">
        <v>1628</v>
      </c>
      <c r="D993" s="133" t="s">
        <v>477</v>
      </c>
      <c r="E993" s="158">
        <v>20</v>
      </c>
      <c r="F993" s="158">
        <v>0</v>
      </c>
      <c r="G993" s="158">
        <v>0</v>
      </c>
      <c r="H993" s="133" t="s">
        <v>1629</v>
      </c>
      <c r="I993" s="133" t="s">
        <v>479</v>
      </c>
      <c r="J993" s="158">
        <v>0</v>
      </c>
    </row>
    <row r="994" spans="1:10" ht="15.75" hidden="1" customHeight="1">
      <c r="A994" s="133" t="s">
        <v>2</v>
      </c>
      <c r="B994" s="133" t="s">
        <v>4082</v>
      </c>
      <c r="C994" s="133" t="s">
        <v>4807</v>
      </c>
      <c r="D994" s="133" t="s">
        <v>477</v>
      </c>
      <c r="E994" s="158">
        <v>20</v>
      </c>
      <c r="F994" s="158">
        <v>0</v>
      </c>
      <c r="G994" s="158">
        <v>0</v>
      </c>
      <c r="H994" s="133" t="s">
        <v>4808</v>
      </c>
      <c r="I994" s="133" t="s">
        <v>479</v>
      </c>
      <c r="J994" s="158">
        <v>0</v>
      </c>
    </row>
    <row r="995" spans="1:10" ht="15.75" hidden="1" customHeight="1">
      <c r="A995" s="133" t="s">
        <v>2</v>
      </c>
      <c r="B995" s="133" t="s">
        <v>4082</v>
      </c>
      <c r="C995" s="133" t="s">
        <v>4809</v>
      </c>
      <c r="D995" s="133" t="s">
        <v>477</v>
      </c>
      <c r="E995" s="158">
        <v>20</v>
      </c>
      <c r="F995" s="158">
        <v>0</v>
      </c>
      <c r="G995" s="158">
        <v>0</v>
      </c>
      <c r="H995" s="133" t="s">
        <v>4810</v>
      </c>
      <c r="I995" s="133" t="s">
        <v>479</v>
      </c>
      <c r="J995" s="158">
        <v>0</v>
      </c>
    </row>
    <row r="996" spans="1:10" ht="15.75" hidden="1" customHeight="1">
      <c r="A996" s="133" t="s">
        <v>2</v>
      </c>
      <c r="B996" s="133" t="s">
        <v>4082</v>
      </c>
      <c r="C996" s="133" t="s">
        <v>4521</v>
      </c>
      <c r="D996" s="133" t="s">
        <v>477</v>
      </c>
      <c r="E996" s="158">
        <v>100</v>
      </c>
      <c r="F996" s="158">
        <v>0</v>
      </c>
      <c r="G996" s="158">
        <v>0</v>
      </c>
      <c r="H996" s="133" t="s">
        <v>4811</v>
      </c>
      <c r="I996" s="133" t="s">
        <v>479</v>
      </c>
      <c r="J996" s="158">
        <v>0</v>
      </c>
    </row>
    <row r="997" spans="1:10" ht="15.75" hidden="1" customHeight="1">
      <c r="A997" s="133" t="s">
        <v>2</v>
      </c>
      <c r="B997" s="133" t="s">
        <v>4082</v>
      </c>
      <c r="C997" s="133" t="s">
        <v>1163</v>
      </c>
      <c r="D997" s="133" t="s">
        <v>477</v>
      </c>
      <c r="E997" s="158">
        <v>20</v>
      </c>
      <c r="F997" s="158">
        <v>0</v>
      </c>
      <c r="G997" s="158">
        <v>0</v>
      </c>
      <c r="H997" s="133" t="s">
        <v>4812</v>
      </c>
      <c r="I997" s="133" t="s">
        <v>479</v>
      </c>
      <c r="J997" s="158">
        <v>0</v>
      </c>
    </row>
    <row r="998" spans="1:10" ht="15.75" hidden="1" customHeight="1">
      <c r="A998" s="133" t="s">
        <v>2</v>
      </c>
      <c r="B998" s="133" t="s">
        <v>4082</v>
      </c>
      <c r="C998" s="133" t="s">
        <v>1557</v>
      </c>
      <c r="D998" s="133" t="s">
        <v>1974</v>
      </c>
      <c r="E998" s="158">
        <v>3</v>
      </c>
      <c r="F998" s="158">
        <v>10</v>
      </c>
      <c r="G998" s="158">
        <v>0</v>
      </c>
      <c r="H998" s="133" t="s">
        <v>4813</v>
      </c>
      <c r="I998" s="133" t="s">
        <v>479</v>
      </c>
      <c r="J998" s="158">
        <v>0</v>
      </c>
    </row>
    <row r="999" spans="1:10" ht="15.75" hidden="1" customHeight="1">
      <c r="A999" s="133" t="s">
        <v>2</v>
      </c>
      <c r="B999" s="133" t="s">
        <v>4082</v>
      </c>
      <c r="C999" s="133" t="s">
        <v>1561</v>
      </c>
      <c r="D999" s="133" t="s">
        <v>477</v>
      </c>
      <c r="E999" s="158">
        <v>20</v>
      </c>
      <c r="F999" s="158">
        <v>0</v>
      </c>
      <c r="G999" s="158">
        <v>0</v>
      </c>
      <c r="H999" s="133" t="s">
        <v>4814</v>
      </c>
      <c r="I999" s="133" t="s">
        <v>479</v>
      </c>
      <c r="J999" s="158">
        <v>0</v>
      </c>
    </row>
    <row r="1000" spans="1:10" ht="15.75" hidden="1" customHeight="1">
      <c r="A1000" s="133" t="s">
        <v>2</v>
      </c>
      <c r="B1000" s="133" t="s">
        <v>4082</v>
      </c>
      <c r="C1000" s="133" t="s">
        <v>1101</v>
      </c>
      <c r="D1000" s="133" t="s">
        <v>477</v>
      </c>
      <c r="E1000" s="158">
        <v>20</v>
      </c>
      <c r="F1000" s="158">
        <v>0</v>
      </c>
      <c r="G1000" s="158">
        <v>0</v>
      </c>
      <c r="H1000" s="133" t="s">
        <v>4815</v>
      </c>
      <c r="I1000" s="133" t="s">
        <v>479</v>
      </c>
      <c r="J1000" s="158">
        <v>0</v>
      </c>
    </row>
    <row r="1001" spans="1:10" ht="15.75" hidden="1" customHeight="1">
      <c r="A1001" s="133" t="s">
        <v>2</v>
      </c>
      <c r="B1001" s="133" t="s">
        <v>4082</v>
      </c>
      <c r="C1001" s="133" t="s">
        <v>3720</v>
      </c>
      <c r="D1001" s="133" t="s">
        <v>477</v>
      </c>
      <c r="E1001" s="158">
        <v>20</v>
      </c>
      <c r="F1001" s="158">
        <v>0</v>
      </c>
      <c r="G1001" s="158">
        <v>0</v>
      </c>
      <c r="H1001" s="133" t="s">
        <v>4816</v>
      </c>
      <c r="I1001" s="133" t="s">
        <v>479</v>
      </c>
      <c r="J1001" s="158">
        <v>0</v>
      </c>
    </row>
    <row r="1002" spans="1:10" ht="15.75" hidden="1" customHeight="1">
      <c r="A1002" s="133" t="s">
        <v>2</v>
      </c>
      <c r="B1002" s="133" t="s">
        <v>4082</v>
      </c>
      <c r="C1002" s="133" t="s">
        <v>4317</v>
      </c>
      <c r="D1002" s="133" t="s">
        <v>477</v>
      </c>
      <c r="E1002" s="158">
        <v>100</v>
      </c>
      <c r="F1002" s="158">
        <v>0</v>
      </c>
      <c r="G1002" s="158">
        <v>0</v>
      </c>
      <c r="H1002" s="133" t="s">
        <v>4817</v>
      </c>
      <c r="I1002" s="133" t="s">
        <v>479</v>
      </c>
      <c r="J1002" s="158">
        <v>0</v>
      </c>
    </row>
    <row r="1003" spans="1:10" ht="15.75" hidden="1" customHeight="1">
      <c r="A1003" s="133" t="s">
        <v>2</v>
      </c>
      <c r="B1003" s="133" t="s">
        <v>4082</v>
      </c>
      <c r="C1003" s="133" t="s">
        <v>369</v>
      </c>
      <c r="D1003" s="133" t="s">
        <v>477</v>
      </c>
      <c r="E1003" s="158">
        <v>20</v>
      </c>
      <c r="F1003" s="158">
        <v>0</v>
      </c>
      <c r="G1003" s="158">
        <v>0</v>
      </c>
      <c r="H1003" s="133" t="s">
        <v>1264</v>
      </c>
      <c r="I1003" s="133" t="s">
        <v>479</v>
      </c>
      <c r="J1003" s="158">
        <v>0</v>
      </c>
    </row>
    <row r="1004" spans="1:10" ht="15.75" hidden="1" customHeight="1">
      <c r="A1004" s="133" t="s">
        <v>2</v>
      </c>
      <c r="B1004" s="133" t="s">
        <v>4082</v>
      </c>
      <c r="C1004" s="133" t="s">
        <v>2290</v>
      </c>
      <c r="D1004" s="133" t="s">
        <v>477</v>
      </c>
      <c r="E1004" s="158">
        <v>100</v>
      </c>
      <c r="F1004" s="158">
        <v>0</v>
      </c>
      <c r="G1004" s="158">
        <v>0</v>
      </c>
      <c r="H1004" s="133" t="s">
        <v>2864</v>
      </c>
      <c r="I1004" s="133" t="s">
        <v>479</v>
      </c>
      <c r="J1004" s="158">
        <v>0</v>
      </c>
    </row>
    <row r="1005" spans="1:10" ht="15.75" hidden="1" customHeight="1">
      <c r="A1005" s="133" t="s">
        <v>2</v>
      </c>
      <c r="B1005" s="133" t="s">
        <v>4082</v>
      </c>
      <c r="C1005" s="133" t="s">
        <v>793</v>
      </c>
      <c r="D1005" s="133" t="s">
        <v>477</v>
      </c>
      <c r="E1005" s="158">
        <v>20</v>
      </c>
      <c r="F1005" s="158">
        <v>0</v>
      </c>
      <c r="G1005" s="158">
        <v>0</v>
      </c>
      <c r="H1005" s="133" t="s">
        <v>3437</v>
      </c>
      <c r="I1005" s="133" t="s">
        <v>479</v>
      </c>
      <c r="J1005" s="158">
        <v>0</v>
      </c>
    </row>
    <row r="1006" spans="1:10" ht="15.75" hidden="1" customHeight="1">
      <c r="A1006" s="133" t="s">
        <v>2</v>
      </c>
      <c r="B1006" s="133" t="s">
        <v>4082</v>
      </c>
      <c r="C1006" s="133" t="s">
        <v>3438</v>
      </c>
      <c r="D1006" s="133" t="s">
        <v>477</v>
      </c>
      <c r="E1006" s="158">
        <v>100</v>
      </c>
      <c r="F1006" s="158">
        <v>0</v>
      </c>
      <c r="G1006" s="158">
        <v>0</v>
      </c>
      <c r="H1006" s="133" t="s">
        <v>3439</v>
      </c>
      <c r="I1006" s="133" t="s">
        <v>479</v>
      </c>
      <c r="J1006" s="158">
        <v>0</v>
      </c>
    </row>
    <row r="1007" spans="1:10" ht="15.75" hidden="1" customHeight="1">
      <c r="A1007" s="133" t="s">
        <v>2</v>
      </c>
      <c r="B1007" s="133" t="s">
        <v>4082</v>
      </c>
      <c r="C1007" s="133" t="s">
        <v>4818</v>
      </c>
      <c r="D1007" s="133" t="s">
        <v>477</v>
      </c>
      <c r="E1007" s="158">
        <v>20</v>
      </c>
      <c r="F1007" s="158">
        <v>0</v>
      </c>
      <c r="G1007" s="158">
        <v>0</v>
      </c>
      <c r="H1007" s="133" t="s">
        <v>4819</v>
      </c>
      <c r="I1007" s="133" t="s">
        <v>479</v>
      </c>
      <c r="J1007" s="158">
        <v>0</v>
      </c>
    </row>
    <row r="1008" spans="1:10" ht="15.75" hidden="1" customHeight="1">
      <c r="A1008" s="133" t="s">
        <v>2</v>
      </c>
      <c r="B1008" s="133" t="s">
        <v>4082</v>
      </c>
      <c r="C1008" s="133" t="s">
        <v>658</v>
      </c>
      <c r="D1008" s="133" t="s">
        <v>481</v>
      </c>
      <c r="E1008" s="158">
        <v>5</v>
      </c>
      <c r="F1008" s="158">
        <v>9</v>
      </c>
      <c r="G1008" s="158">
        <v>2</v>
      </c>
      <c r="H1008" s="133" t="s">
        <v>4820</v>
      </c>
      <c r="I1008" s="133" t="s">
        <v>479</v>
      </c>
      <c r="J1008" s="158">
        <v>0</v>
      </c>
    </row>
    <row r="1009" spans="1:10" ht="15.75" hidden="1" customHeight="1">
      <c r="A1009" s="133" t="s">
        <v>2</v>
      </c>
      <c r="B1009" s="133" t="s">
        <v>4082</v>
      </c>
      <c r="C1009" s="133" t="s">
        <v>1243</v>
      </c>
      <c r="D1009" s="133" t="s">
        <v>481</v>
      </c>
      <c r="E1009" s="158">
        <v>5</v>
      </c>
      <c r="F1009" s="158">
        <v>9</v>
      </c>
      <c r="G1009" s="158">
        <v>2</v>
      </c>
      <c r="H1009" s="133" t="s">
        <v>4821</v>
      </c>
      <c r="I1009" s="133" t="s">
        <v>479</v>
      </c>
      <c r="J1009" s="158">
        <v>0</v>
      </c>
    </row>
    <row r="1010" spans="1:10" ht="15.75" hidden="1" customHeight="1">
      <c r="A1010" s="133" t="s">
        <v>2</v>
      </c>
      <c r="B1010" s="133" t="s">
        <v>4082</v>
      </c>
      <c r="C1010" s="133" t="s">
        <v>663</v>
      </c>
      <c r="D1010" s="133" t="s">
        <v>481</v>
      </c>
      <c r="E1010" s="158">
        <v>5</v>
      </c>
      <c r="F1010" s="158">
        <v>9</v>
      </c>
      <c r="G1010" s="158">
        <v>2</v>
      </c>
      <c r="H1010" s="133" t="s">
        <v>4822</v>
      </c>
      <c r="I1010" s="133" t="s">
        <v>479</v>
      </c>
      <c r="J1010" s="158">
        <v>0</v>
      </c>
    </row>
    <row r="1011" spans="1:10" ht="15.75" hidden="1" customHeight="1">
      <c r="A1011" s="133" t="s">
        <v>2</v>
      </c>
      <c r="B1011" s="133" t="s">
        <v>4082</v>
      </c>
      <c r="C1011" s="133" t="s">
        <v>4610</v>
      </c>
      <c r="D1011" s="133" t="s">
        <v>481</v>
      </c>
      <c r="E1011" s="158">
        <v>5</v>
      </c>
      <c r="F1011" s="158">
        <v>9</v>
      </c>
      <c r="G1011" s="158">
        <v>2</v>
      </c>
      <c r="H1011" s="133" t="s">
        <v>4823</v>
      </c>
      <c r="I1011" s="133" t="s">
        <v>479</v>
      </c>
      <c r="J1011" s="158">
        <v>0</v>
      </c>
    </row>
    <row r="1012" spans="1:10" ht="15.75" hidden="1" customHeight="1">
      <c r="A1012" s="133" t="s">
        <v>2</v>
      </c>
      <c r="B1012" s="133" t="s">
        <v>4082</v>
      </c>
      <c r="C1012" s="133" t="s">
        <v>4650</v>
      </c>
      <c r="D1012" s="133" t="s">
        <v>481</v>
      </c>
      <c r="E1012" s="158">
        <v>5</v>
      </c>
      <c r="F1012" s="158">
        <v>9</v>
      </c>
      <c r="G1012" s="158">
        <v>2</v>
      </c>
      <c r="H1012" s="133" t="s">
        <v>4824</v>
      </c>
      <c r="I1012" s="133" t="s">
        <v>479</v>
      </c>
      <c r="J1012" s="158">
        <v>0</v>
      </c>
    </row>
    <row r="1013" spans="1:10" ht="15.75" hidden="1" customHeight="1">
      <c r="A1013" s="133" t="s">
        <v>2</v>
      </c>
      <c r="B1013" s="133" t="s">
        <v>4082</v>
      </c>
      <c r="C1013" s="133" t="s">
        <v>669</v>
      </c>
      <c r="D1013" s="133" t="s">
        <v>538</v>
      </c>
      <c r="E1013" s="158">
        <v>8</v>
      </c>
      <c r="F1013" s="158">
        <v>23</v>
      </c>
      <c r="G1013" s="158">
        <v>3</v>
      </c>
      <c r="H1013" s="133" t="s">
        <v>3461</v>
      </c>
      <c r="I1013" s="133" t="s">
        <v>479</v>
      </c>
      <c r="J1013" s="158">
        <v>0</v>
      </c>
    </row>
    <row r="1014" spans="1:10" ht="15.75" hidden="1" customHeight="1">
      <c r="A1014" s="133" t="s">
        <v>2</v>
      </c>
      <c r="B1014" s="133" t="s">
        <v>4082</v>
      </c>
      <c r="C1014" s="133" t="s">
        <v>523</v>
      </c>
      <c r="D1014" s="133" t="s">
        <v>477</v>
      </c>
      <c r="E1014" s="158">
        <v>20</v>
      </c>
      <c r="F1014" s="158">
        <v>0</v>
      </c>
      <c r="G1014" s="158">
        <v>0</v>
      </c>
      <c r="H1014" s="133" t="s">
        <v>3462</v>
      </c>
      <c r="I1014" s="133" t="s">
        <v>479</v>
      </c>
      <c r="J1014" s="158">
        <v>0</v>
      </c>
    </row>
    <row r="1015" spans="1:10" ht="15.75" hidden="1" customHeight="1">
      <c r="A1015" s="133" t="s">
        <v>2</v>
      </c>
      <c r="B1015" s="133" t="s">
        <v>4082</v>
      </c>
      <c r="C1015" s="133" t="s">
        <v>814</v>
      </c>
      <c r="D1015" s="133" t="s">
        <v>477</v>
      </c>
      <c r="E1015" s="158">
        <v>100</v>
      </c>
      <c r="F1015" s="158">
        <v>0</v>
      </c>
      <c r="G1015" s="158">
        <v>0</v>
      </c>
      <c r="H1015" s="133" t="s">
        <v>3463</v>
      </c>
      <c r="I1015" s="133" t="s">
        <v>479</v>
      </c>
      <c r="J1015" s="158">
        <v>0</v>
      </c>
    </row>
    <row r="1016" spans="1:10" ht="15.75" hidden="1" customHeight="1">
      <c r="A1016" s="133" t="s">
        <v>2</v>
      </c>
      <c r="B1016" s="133" t="s">
        <v>4082</v>
      </c>
      <c r="C1016" s="133" t="s">
        <v>215</v>
      </c>
      <c r="D1016" s="133" t="s">
        <v>538</v>
      </c>
      <c r="E1016" s="158">
        <v>8</v>
      </c>
      <c r="F1016" s="158">
        <v>23</v>
      </c>
      <c r="G1016" s="158">
        <v>3</v>
      </c>
      <c r="H1016" s="133" t="s">
        <v>3464</v>
      </c>
      <c r="I1016" s="133" t="s">
        <v>479</v>
      </c>
      <c r="J1016" s="158">
        <v>0</v>
      </c>
    </row>
    <row r="1017" spans="1:10" ht="15.75" hidden="1" customHeight="1">
      <c r="A1017" s="133" t="s">
        <v>2</v>
      </c>
      <c r="B1017" s="133" t="s">
        <v>4082</v>
      </c>
      <c r="C1017" s="133" t="s">
        <v>670</v>
      </c>
      <c r="D1017" s="133" t="s">
        <v>477</v>
      </c>
      <c r="E1017" s="158">
        <v>20</v>
      </c>
      <c r="F1017" s="158">
        <v>0</v>
      </c>
      <c r="G1017" s="158">
        <v>0</v>
      </c>
      <c r="H1017" s="133" t="s">
        <v>3465</v>
      </c>
      <c r="I1017" s="133" t="s">
        <v>479</v>
      </c>
      <c r="J1017" s="158">
        <v>0</v>
      </c>
    </row>
    <row r="1018" spans="1:10" ht="15.75" hidden="1" customHeight="1">
      <c r="A1018" s="133" t="s">
        <v>2</v>
      </c>
      <c r="B1018" s="133" t="s">
        <v>4082</v>
      </c>
      <c r="C1018" s="133" t="s">
        <v>816</v>
      </c>
      <c r="D1018" s="133" t="s">
        <v>477</v>
      </c>
      <c r="E1018" s="158">
        <v>100</v>
      </c>
      <c r="F1018" s="158">
        <v>0</v>
      </c>
      <c r="G1018" s="158">
        <v>0</v>
      </c>
      <c r="H1018" s="133" t="s">
        <v>4825</v>
      </c>
      <c r="I1018" s="133" t="s">
        <v>479</v>
      </c>
      <c r="J1018" s="158">
        <v>0</v>
      </c>
    </row>
    <row r="1019" spans="1:10" ht="15.75" hidden="1" customHeight="1">
      <c r="A1019" s="133" t="s">
        <v>2</v>
      </c>
      <c r="B1019" s="133" t="s">
        <v>4082</v>
      </c>
      <c r="C1019" s="133" t="s">
        <v>1265</v>
      </c>
      <c r="D1019" s="133" t="s">
        <v>481</v>
      </c>
      <c r="E1019" s="158">
        <v>5</v>
      </c>
      <c r="F1019" s="158">
        <v>9</v>
      </c>
      <c r="G1019" s="158">
        <v>2</v>
      </c>
      <c r="H1019" s="133" t="s">
        <v>4826</v>
      </c>
      <c r="I1019" s="133" t="s">
        <v>479</v>
      </c>
      <c r="J1019" s="158">
        <v>0</v>
      </c>
    </row>
    <row r="1020" spans="1:10" ht="15.75" hidden="1" customHeight="1">
      <c r="A1020" s="133" t="s">
        <v>2</v>
      </c>
      <c r="B1020" s="133" t="s">
        <v>4082</v>
      </c>
      <c r="C1020" s="133" t="s">
        <v>1267</v>
      </c>
      <c r="D1020" s="133" t="s">
        <v>481</v>
      </c>
      <c r="E1020" s="158">
        <v>5</v>
      </c>
      <c r="F1020" s="158">
        <v>9</v>
      </c>
      <c r="G1020" s="158">
        <v>2</v>
      </c>
      <c r="H1020" s="133" t="s">
        <v>4827</v>
      </c>
      <c r="I1020" s="133" t="s">
        <v>479</v>
      </c>
      <c r="J1020" s="158">
        <v>0</v>
      </c>
    </row>
    <row r="1021" spans="1:10" ht="15.75" hidden="1" customHeight="1">
      <c r="A1021" s="133" t="s">
        <v>2</v>
      </c>
      <c r="B1021" s="133" t="s">
        <v>4029</v>
      </c>
      <c r="C1021" s="133" t="s">
        <v>253</v>
      </c>
      <c r="D1021" s="133" t="s">
        <v>477</v>
      </c>
      <c r="E1021" s="158">
        <v>7</v>
      </c>
      <c r="F1021" s="158">
        <v>0</v>
      </c>
      <c r="G1021" s="158">
        <v>0</v>
      </c>
      <c r="H1021" s="133" t="s">
        <v>4828</v>
      </c>
      <c r="I1021" s="133" t="s">
        <v>548</v>
      </c>
      <c r="J1021" s="158">
        <v>0</v>
      </c>
    </row>
    <row r="1022" spans="1:10" ht="15.75" hidden="1" customHeight="1">
      <c r="A1022" s="133" t="s">
        <v>2</v>
      </c>
      <c r="B1022" s="133" t="s">
        <v>4029</v>
      </c>
      <c r="C1022" s="133" t="s">
        <v>4453</v>
      </c>
      <c r="D1022" s="133" t="s">
        <v>477</v>
      </c>
      <c r="E1022" s="158">
        <v>3</v>
      </c>
      <c r="F1022" s="158">
        <v>0</v>
      </c>
      <c r="G1022" s="158">
        <v>0</v>
      </c>
      <c r="H1022" s="133" t="s">
        <v>4829</v>
      </c>
      <c r="I1022" s="133" t="s">
        <v>548</v>
      </c>
      <c r="J1022" s="158">
        <v>0</v>
      </c>
    </row>
    <row r="1023" spans="1:10" ht="15.75" hidden="1" customHeight="1">
      <c r="A1023" s="133" t="s">
        <v>2</v>
      </c>
      <c r="B1023" s="133" t="s">
        <v>4029</v>
      </c>
      <c r="C1023" s="133" t="s">
        <v>4830</v>
      </c>
      <c r="D1023" s="133" t="s">
        <v>477</v>
      </c>
      <c r="E1023" s="158">
        <v>3</v>
      </c>
      <c r="F1023" s="158">
        <v>0</v>
      </c>
      <c r="G1023" s="158">
        <v>0</v>
      </c>
      <c r="H1023" s="133" t="s">
        <v>4831</v>
      </c>
      <c r="I1023" s="133" t="s">
        <v>548</v>
      </c>
      <c r="J1023" s="158">
        <v>0</v>
      </c>
    </row>
    <row r="1024" spans="1:10" ht="15.75" hidden="1" customHeight="1">
      <c r="A1024" s="133" t="s">
        <v>2</v>
      </c>
      <c r="B1024" s="133" t="s">
        <v>4029</v>
      </c>
      <c r="C1024" s="133" t="s">
        <v>4235</v>
      </c>
      <c r="D1024" s="133" t="s">
        <v>491</v>
      </c>
      <c r="E1024" s="158">
        <v>1</v>
      </c>
      <c r="F1024" s="158">
        <v>0</v>
      </c>
      <c r="G1024" s="158">
        <v>0</v>
      </c>
      <c r="H1024" s="133" t="s">
        <v>4832</v>
      </c>
      <c r="I1024" s="133" t="s">
        <v>548</v>
      </c>
      <c r="J1024" s="158">
        <v>0</v>
      </c>
    </row>
    <row r="1025" spans="1:10" ht="15.75" hidden="1" customHeight="1">
      <c r="A1025" s="133" t="s">
        <v>2</v>
      </c>
      <c r="B1025" s="133" t="s">
        <v>4029</v>
      </c>
      <c r="C1025" s="133" t="s">
        <v>4833</v>
      </c>
      <c r="D1025" s="133" t="s">
        <v>484</v>
      </c>
      <c r="E1025" s="158">
        <v>4</v>
      </c>
      <c r="F1025" s="158">
        <v>10</v>
      </c>
      <c r="G1025" s="158">
        <v>0</v>
      </c>
      <c r="H1025" s="133" t="s">
        <v>4834</v>
      </c>
      <c r="I1025" s="133" t="s">
        <v>615</v>
      </c>
      <c r="J1025" s="158">
        <v>0</v>
      </c>
    </row>
    <row r="1026" spans="1:10" ht="15.75" hidden="1" customHeight="1">
      <c r="A1026" s="133" t="s">
        <v>2</v>
      </c>
      <c r="B1026" s="133" t="s">
        <v>4029</v>
      </c>
      <c r="C1026" s="133" t="s">
        <v>4239</v>
      </c>
      <c r="D1026" s="133" t="s">
        <v>4835</v>
      </c>
      <c r="E1026" s="158">
        <v>1</v>
      </c>
      <c r="F1026" s="158">
        <v>1</v>
      </c>
      <c r="G1026" s="158">
        <v>0</v>
      </c>
      <c r="H1026" s="133" t="s">
        <v>4836</v>
      </c>
      <c r="I1026" s="133" t="s">
        <v>615</v>
      </c>
      <c r="J1026" s="158">
        <v>0</v>
      </c>
    </row>
    <row r="1027" spans="1:10" ht="15.75" hidden="1" customHeight="1">
      <c r="A1027" s="133" t="s">
        <v>2</v>
      </c>
      <c r="B1027" s="133" t="s">
        <v>4029</v>
      </c>
      <c r="C1027" s="133" t="s">
        <v>4837</v>
      </c>
      <c r="D1027" s="133" t="s">
        <v>484</v>
      </c>
      <c r="E1027" s="158">
        <v>4</v>
      </c>
      <c r="F1027" s="158">
        <v>10</v>
      </c>
      <c r="G1027" s="158">
        <v>0</v>
      </c>
      <c r="H1027" s="133" t="s">
        <v>4838</v>
      </c>
      <c r="I1027" s="133" t="s">
        <v>615</v>
      </c>
      <c r="J1027" s="158">
        <v>0</v>
      </c>
    </row>
    <row r="1028" spans="1:10" ht="15.75" hidden="1" customHeight="1">
      <c r="A1028" s="133" t="s">
        <v>2</v>
      </c>
      <c r="B1028" s="133" t="s">
        <v>4029</v>
      </c>
      <c r="C1028" s="133" t="s">
        <v>4545</v>
      </c>
      <c r="D1028" s="133" t="s">
        <v>477</v>
      </c>
      <c r="E1028" s="158">
        <v>3</v>
      </c>
      <c r="F1028" s="158">
        <v>0</v>
      </c>
      <c r="G1028" s="158">
        <v>0</v>
      </c>
      <c r="H1028" s="133" t="s">
        <v>4839</v>
      </c>
      <c r="I1028" s="133" t="s">
        <v>548</v>
      </c>
      <c r="J1028" s="158">
        <v>0</v>
      </c>
    </row>
    <row r="1029" spans="1:10" ht="15.75" hidden="1" customHeight="1">
      <c r="A1029" s="133" t="s">
        <v>2</v>
      </c>
      <c r="B1029" s="133" t="s">
        <v>4029</v>
      </c>
      <c r="C1029" s="133" t="s">
        <v>4840</v>
      </c>
      <c r="D1029" s="133" t="s">
        <v>477</v>
      </c>
      <c r="E1029" s="158">
        <v>3</v>
      </c>
      <c r="F1029" s="158">
        <v>0</v>
      </c>
      <c r="G1029" s="158">
        <v>0</v>
      </c>
      <c r="H1029" s="133" t="s">
        <v>4841</v>
      </c>
      <c r="I1029" s="133" t="s">
        <v>596</v>
      </c>
      <c r="J1029" s="158">
        <v>0</v>
      </c>
    </row>
    <row r="1030" spans="1:10" ht="15.75" hidden="1" customHeight="1">
      <c r="A1030" s="133" t="s">
        <v>2</v>
      </c>
      <c r="B1030" s="133" t="s">
        <v>4029</v>
      </c>
      <c r="C1030" s="133" t="s">
        <v>4842</v>
      </c>
      <c r="D1030" s="133" t="s">
        <v>477</v>
      </c>
      <c r="E1030" s="158">
        <v>3</v>
      </c>
      <c r="F1030" s="158">
        <v>0</v>
      </c>
      <c r="G1030" s="158">
        <v>0</v>
      </c>
      <c r="H1030" s="133" t="s">
        <v>4843</v>
      </c>
      <c r="I1030" s="133" t="s">
        <v>548</v>
      </c>
      <c r="J1030" s="158">
        <v>0</v>
      </c>
    </row>
    <row r="1031" spans="1:10" ht="15.75" hidden="1" customHeight="1">
      <c r="A1031" s="133" t="s">
        <v>2</v>
      </c>
      <c r="B1031" s="133" t="s">
        <v>4029</v>
      </c>
      <c r="C1031" s="133" t="s">
        <v>4844</v>
      </c>
      <c r="D1031" s="133" t="s">
        <v>477</v>
      </c>
      <c r="E1031" s="158">
        <v>3</v>
      </c>
      <c r="F1031" s="158">
        <v>0</v>
      </c>
      <c r="G1031" s="158">
        <v>0</v>
      </c>
      <c r="H1031" s="133" t="s">
        <v>4845</v>
      </c>
      <c r="I1031" s="133" t="s">
        <v>596</v>
      </c>
      <c r="J1031" s="158">
        <v>0</v>
      </c>
    </row>
    <row r="1032" spans="1:10" ht="15.75" hidden="1" customHeight="1">
      <c r="A1032" s="133" t="s">
        <v>2</v>
      </c>
      <c r="B1032" s="133" t="s">
        <v>4029</v>
      </c>
      <c r="C1032" s="133" t="s">
        <v>4846</v>
      </c>
      <c r="D1032" s="133" t="s">
        <v>477</v>
      </c>
      <c r="E1032" s="158">
        <v>3</v>
      </c>
      <c r="F1032" s="158">
        <v>0</v>
      </c>
      <c r="G1032" s="158">
        <v>0</v>
      </c>
      <c r="H1032" s="133" t="s">
        <v>4847</v>
      </c>
      <c r="I1032" s="133" t="s">
        <v>596</v>
      </c>
      <c r="J1032" s="158">
        <v>0</v>
      </c>
    </row>
    <row r="1033" spans="1:10" ht="15.75" hidden="1" customHeight="1">
      <c r="A1033" s="133" t="s">
        <v>2</v>
      </c>
      <c r="B1033" s="133" t="s">
        <v>4029</v>
      </c>
      <c r="C1033" s="133" t="s">
        <v>4848</v>
      </c>
      <c r="D1033" s="133" t="s">
        <v>477</v>
      </c>
      <c r="E1033" s="158">
        <v>3</v>
      </c>
      <c r="F1033" s="158">
        <v>0</v>
      </c>
      <c r="G1033" s="158">
        <v>0</v>
      </c>
      <c r="H1033" s="133" t="s">
        <v>4849</v>
      </c>
      <c r="I1033" s="133" t="s">
        <v>596</v>
      </c>
      <c r="J1033" s="158">
        <v>0</v>
      </c>
    </row>
    <row r="1034" spans="1:10" ht="15.75" hidden="1" customHeight="1">
      <c r="A1034" s="133" t="s">
        <v>2</v>
      </c>
      <c r="B1034" s="133" t="s">
        <v>4029</v>
      </c>
      <c r="C1034" s="133" t="s">
        <v>523</v>
      </c>
      <c r="D1034" s="133" t="s">
        <v>477</v>
      </c>
      <c r="E1034" s="158">
        <v>8</v>
      </c>
      <c r="F1034" s="158">
        <v>0</v>
      </c>
      <c r="G1034" s="158">
        <v>0</v>
      </c>
      <c r="H1034" s="133" t="s">
        <v>4850</v>
      </c>
      <c r="I1034" s="133" t="s">
        <v>548</v>
      </c>
      <c r="J1034" s="158">
        <v>0</v>
      </c>
    </row>
    <row r="1035" spans="1:10" ht="15.75" hidden="1" customHeight="1">
      <c r="A1035" s="133" t="s">
        <v>2</v>
      </c>
      <c r="B1035" s="133" t="s">
        <v>4029</v>
      </c>
      <c r="C1035" s="133" t="s">
        <v>669</v>
      </c>
      <c r="D1035" s="133" t="s">
        <v>496</v>
      </c>
      <c r="E1035" s="158">
        <v>4</v>
      </c>
      <c r="F1035" s="158">
        <v>16</v>
      </c>
      <c r="G1035" s="158">
        <v>0</v>
      </c>
      <c r="H1035" s="133" t="s">
        <v>4549</v>
      </c>
      <c r="I1035" s="133" t="s">
        <v>548</v>
      </c>
      <c r="J1035" s="158">
        <v>0</v>
      </c>
    </row>
    <row r="1036" spans="1:10" ht="15.75" hidden="1" customHeight="1">
      <c r="A1036" s="133" t="s">
        <v>2</v>
      </c>
      <c r="B1036" s="133" t="s">
        <v>4029</v>
      </c>
      <c r="C1036" s="133" t="s">
        <v>670</v>
      </c>
      <c r="D1036" s="133" t="s">
        <v>477</v>
      </c>
      <c r="E1036" s="158">
        <v>8</v>
      </c>
      <c r="F1036" s="158">
        <v>0</v>
      </c>
      <c r="G1036" s="158">
        <v>0</v>
      </c>
      <c r="H1036" s="133" t="s">
        <v>4243</v>
      </c>
      <c r="I1036" s="133" t="s">
        <v>548</v>
      </c>
      <c r="J1036" s="158">
        <v>0</v>
      </c>
    </row>
    <row r="1037" spans="1:10" ht="15.75" hidden="1" customHeight="1">
      <c r="A1037" s="133" t="s">
        <v>2</v>
      </c>
      <c r="B1037" s="133" t="s">
        <v>4029</v>
      </c>
      <c r="C1037" s="133" t="s">
        <v>215</v>
      </c>
      <c r="D1037" s="133" t="s">
        <v>496</v>
      </c>
      <c r="E1037" s="158">
        <v>4</v>
      </c>
      <c r="F1037" s="158">
        <v>16</v>
      </c>
      <c r="G1037" s="158">
        <v>0</v>
      </c>
      <c r="H1037" s="133" t="s">
        <v>4244</v>
      </c>
      <c r="I1037" s="133" t="s">
        <v>548</v>
      </c>
      <c r="J1037" s="158">
        <v>0</v>
      </c>
    </row>
    <row r="1038" spans="1:10" ht="15.75" hidden="1" customHeight="1">
      <c r="A1038" s="133" t="s">
        <v>2</v>
      </c>
      <c r="B1038" s="133" t="s">
        <v>4029</v>
      </c>
      <c r="C1038" s="133" t="s">
        <v>4851</v>
      </c>
      <c r="D1038" s="133" t="s">
        <v>477</v>
      </c>
      <c r="E1038" s="158">
        <v>20</v>
      </c>
      <c r="F1038" s="158">
        <v>0</v>
      </c>
      <c r="G1038" s="158">
        <v>0</v>
      </c>
      <c r="H1038" s="133" t="s">
        <v>4852</v>
      </c>
      <c r="I1038" s="133" t="s">
        <v>548</v>
      </c>
      <c r="J1038" s="158">
        <v>0</v>
      </c>
    </row>
    <row r="1039" spans="1:10" ht="15.75" hidden="1" customHeight="1">
      <c r="A1039" s="133" t="s">
        <v>2</v>
      </c>
      <c r="B1039" s="133" t="s">
        <v>4084</v>
      </c>
      <c r="C1039" s="133" t="s">
        <v>4087</v>
      </c>
      <c r="D1039" s="133" t="s">
        <v>477</v>
      </c>
      <c r="E1039" s="158">
        <v>20</v>
      </c>
      <c r="F1039" s="158">
        <v>0</v>
      </c>
      <c r="G1039" s="158">
        <v>0</v>
      </c>
      <c r="H1039" s="133" t="s">
        <v>479</v>
      </c>
      <c r="I1039" s="133" t="s">
        <v>479</v>
      </c>
      <c r="J1039" s="158">
        <v>0</v>
      </c>
    </row>
    <row r="1040" spans="1:10" ht="15.75" hidden="1" customHeight="1">
      <c r="A1040" s="133" t="s">
        <v>2</v>
      </c>
      <c r="B1040" s="133" t="s">
        <v>4084</v>
      </c>
      <c r="C1040" s="133" t="s">
        <v>292</v>
      </c>
      <c r="D1040" s="133" t="s">
        <v>484</v>
      </c>
      <c r="E1040" s="158">
        <v>4</v>
      </c>
      <c r="F1040" s="158">
        <v>10</v>
      </c>
      <c r="G1040" s="158">
        <v>0</v>
      </c>
      <c r="H1040" s="133" t="s">
        <v>479</v>
      </c>
      <c r="I1040" s="133" t="s">
        <v>479</v>
      </c>
      <c r="J1040" s="158">
        <v>0</v>
      </c>
    </row>
    <row r="1041" spans="1:10" ht="15.75" hidden="1" customHeight="1">
      <c r="A1041" s="133" t="s">
        <v>2</v>
      </c>
      <c r="B1041" s="133" t="s">
        <v>4084</v>
      </c>
      <c r="C1041" s="133" t="s">
        <v>257</v>
      </c>
      <c r="D1041" s="133" t="s">
        <v>477</v>
      </c>
      <c r="E1041" s="158">
        <v>20</v>
      </c>
      <c r="F1041" s="158">
        <v>0</v>
      </c>
      <c r="G1041" s="158">
        <v>0</v>
      </c>
      <c r="H1041" s="133" t="s">
        <v>479</v>
      </c>
      <c r="I1041" s="133" t="s">
        <v>479</v>
      </c>
      <c r="J1041" s="158">
        <v>0</v>
      </c>
    </row>
    <row r="1042" spans="1:10" ht="15.75" hidden="1" customHeight="1">
      <c r="A1042" s="133" t="s">
        <v>2</v>
      </c>
      <c r="B1042" s="133" t="s">
        <v>4084</v>
      </c>
      <c r="C1042" s="133" t="s">
        <v>3441</v>
      </c>
      <c r="D1042" s="133" t="s">
        <v>477</v>
      </c>
      <c r="E1042" s="158">
        <v>100</v>
      </c>
      <c r="F1042" s="158">
        <v>0</v>
      </c>
      <c r="G1042" s="158">
        <v>0</v>
      </c>
      <c r="H1042" s="133" t="s">
        <v>479</v>
      </c>
      <c r="I1042" s="133" t="s">
        <v>548</v>
      </c>
      <c r="J1042" s="158">
        <v>0</v>
      </c>
    </row>
    <row r="1043" spans="1:10" ht="15.75" hidden="1" customHeight="1">
      <c r="A1043" s="133" t="s">
        <v>2</v>
      </c>
      <c r="B1043" s="133" t="s">
        <v>4084</v>
      </c>
      <c r="C1043" s="133" t="s">
        <v>1141</v>
      </c>
      <c r="D1043" s="133" t="s">
        <v>477</v>
      </c>
      <c r="E1043" s="158">
        <v>20</v>
      </c>
      <c r="F1043" s="158">
        <v>0</v>
      </c>
      <c r="G1043" s="158">
        <v>0</v>
      </c>
      <c r="H1043" s="133" t="s">
        <v>479</v>
      </c>
      <c r="I1043" s="133" t="s">
        <v>548</v>
      </c>
      <c r="J1043" s="158">
        <v>0</v>
      </c>
    </row>
    <row r="1044" spans="1:10" ht="15.75" hidden="1" customHeight="1">
      <c r="A1044" s="133" t="s">
        <v>2</v>
      </c>
      <c r="B1044" s="133" t="s">
        <v>4084</v>
      </c>
      <c r="C1044" s="133" t="s">
        <v>2415</v>
      </c>
      <c r="D1044" s="133" t="s">
        <v>484</v>
      </c>
      <c r="E1044" s="158">
        <v>4</v>
      </c>
      <c r="F1044" s="158">
        <v>10</v>
      </c>
      <c r="G1044" s="158">
        <v>0</v>
      </c>
      <c r="H1044" s="133" t="s">
        <v>479</v>
      </c>
      <c r="I1044" s="133" t="s">
        <v>615</v>
      </c>
      <c r="J1044" s="158">
        <v>0</v>
      </c>
    </row>
    <row r="1045" spans="1:10" ht="15.75" hidden="1" customHeight="1">
      <c r="A1045" s="133" t="s">
        <v>2</v>
      </c>
      <c r="B1045" s="133" t="s">
        <v>4084</v>
      </c>
      <c r="C1045" s="133" t="s">
        <v>4523</v>
      </c>
      <c r="D1045" s="133" t="s">
        <v>477</v>
      </c>
      <c r="E1045" s="158">
        <v>20</v>
      </c>
      <c r="F1045" s="158">
        <v>0</v>
      </c>
      <c r="G1045" s="158">
        <v>0</v>
      </c>
      <c r="H1045" s="133" t="s">
        <v>479</v>
      </c>
      <c r="I1045" s="133" t="s">
        <v>548</v>
      </c>
      <c r="J1045" s="158">
        <v>0</v>
      </c>
    </row>
    <row r="1046" spans="1:10" ht="15.75" hidden="1" customHeight="1">
      <c r="A1046" s="133" t="s">
        <v>2</v>
      </c>
      <c r="B1046" s="133" t="s">
        <v>4084</v>
      </c>
      <c r="C1046" s="133" t="s">
        <v>3384</v>
      </c>
      <c r="D1046" s="133" t="s">
        <v>484</v>
      </c>
      <c r="E1046" s="158">
        <v>4</v>
      </c>
      <c r="F1046" s="158">
        <v>10</v>
      </c>
      <c r="G1046" s="158">
        <v>0</v>
      </c>
      <c r="H1046" s="133" t="s">
        <v>479</v>
      </c>
      <c r="I1046" s="133" t="s">
        <v>615</v>
      </c>
      <c r="J1046" s="158">
        <v>0</v>
      </c>
    </row>
    <row r="1047" spans="1:10" ht="15.75" hidden="1" customHeight="1">
      <c r="A1047" s="133" t="s">
        <v>2</v>
      </c>
      <c r="B1047" s="133" t="s">
        <v>4084</v>
      </c>
      <c r="C1047" s="133" t="s">
        <v>1145</v>
      </c>
      <c r="D1047" s="133" t="s">
        <v>484</v>
      </c>
      <c r="E1047" s="158">
        <v>4</v>
      </c>
      <c r="F1047" s="158">
        <v>10</v>
      </c>
      <c r="G1047" s="158">
        <v>0</v>
      </c>
      <c r="H1047" s="133" t="s">
        <v>479</v>
      </c>
      <c r="I1047" s="133" t="s">
        <v>615</v>
      </c>
      <c r="J1047" s="158">
        <v>0</v>
      </c>
    </row>
    <row r="1048" spans="1:10" ht="15.75" hidden="1" customHeight="1">
      <c r="A1048" s="133" t="s">
        <v>2</v>
      </c>
      <c r="B1048" s="133" t="s">
        <v>4084</v>
      </c>
      <c r="C1048" s="133" t="s">
        <v>1137</v>
      </c>
      <c r="D1048" s="133" t="s">
        <v>481</v>
      </c>
      <c r="E1048" s="158">
        <v>5</v>
      </c>
      <c r="F1048" s="158">
        <v>9</v>
      </c>
      <c r="G1048" s="158">
        <v>2</v>
      </c>
      <c r="H1048" s="133" t="s">
        <v>479</v>
      </c>
      <c r="I1048" s="133" t="s">
        <v>1223</v>
      </c>
      <c r="J1048" s="158">
        <v>0</v>
      </c>
    </row>
    <row r="1049" spans="1:10" ht="15.75" hidden="1" customHeight="1">
      <c r="A1049" s="133" t="s">
        <v>2</v>
      </c>
      <c r="B1049" s="133" t="s">
        <v>4084</v>
      </c>
      <c r="C1049" s="133" t="s">
        <v>4565</v>
      </c>
      <c r="D1049" s="133" t="s">
        <v>481</v>
      </c>
      <c r="E1049" s="158">
        <v>5</v>
      </c>
      <c r="F1049" s="158">
        <v>9</v>
      </c>
      <c r="G1049" s="158">
        <v>2</v>
      </c>
      <c r="H1049" s="133" t="s">
        <v>479</v>
      </c>
      <c r="I1049" s="133" t="s">
        <v>1223</v>
      </c>
      <c r="J1049" s="158">
        <v>0</v>
      </c>
    </row>
    <row r="1050" spans="1:10" ht="15.75" hidden="1" customHeight="1">
      <c r="A1050" s="133" t="s">
        <v>2</v>
      </c>
      <c r="B1050" s="133" t="s">
        <v>4084</v>
      </c>
      <c r="C1050" s="133" t="s">
        <v>1217</v>
      </c>
      <c r="D1050" s="133" t="s">
        <v>477</v>
      </c>
      <c r="E1050" s="158">
        <v>20</v>
      </c>
      <c r="F1050" s="158">
        <v>0</v>
      </c>
      <c r="G1050" s="158">
        <v>0</v>
      </c>
      <c r="H1050" s="133" t="s">
        <v>479</v>
      </c>
      <c r="I1050" s="133" t="s">
        <v>548</v>
      </c>
      <c r="J1050" s="158">
        <v>0</v>
      </c>
    </row>
    <row r="1051" spans="1:10" ht="15.75" hidden="1" customHeight="1">
      <c r="A1051" s="133" t="s">
        <v>2</v>
      </c>
      <c r="B1051" s="133" t="s">
        <v>4084</v>
      </c>
      <c r="C1051" s="133" t="s">
        <v>1208</v>
      </c>
      <c r="D1051" s="133" t="s">
        <v>484</v>
      </c>
      <c r="E1051" s="158">
        <v>4</v>
      </c>
      <c r="F1051" s="158">
        <v>10</v>
      </c>
      <c r="G1051" s="158">
        <v>0</v>
      </c>
      <c r="H1051" s="133" t="s">
        <v>1209</v>
      </c>
      <c r="I1051" s="133" t="s">
        <v>1210</v>
      </c>
      <c r="J1051" s="158">
        <v>0</v>
      </c>
    </row>
    <row r="1052" spans="1:10" ht="15.75" hidden="1" customHeight="1">
      <c r="A1052" s="133" t="s">
        <v>2</v>
      </c>
      <c r="B1052" s="133" t="s">
        <v>4086</v>
      </c>
      <c r="C1052" s="133" t="s">
        <v>4087</v>
      </c>
      <c r="D1052" s="133" t="s">
        <v>477</v>
      </c>
      <c r="E1052" s="158">
        <v>20</v>
      </c>
      <c r="F1052" s="158">
        <v>0</v>
      </c>
      <c r="G1052" s="158">
        <v>0</v>
      </c>
      <c r="H1052" s="133" t="s">
        <v>479</v>
      </c>
      <c r="I1052" s="133" t="s">
        <v>479</v>
      </c>
      <c r="J1052" s="158">
        <v>0</v>
      </c>
    </row>
    <row r="1053" spans="1:10" ht="15.75" hidden="1" customHeight="1">
      <c r="A1053" s="133" t="s">
        <v>2</v>
      </c>
      <c r="B1053" s="133" t="s">
        <v>4086</v>
      </c>
      <c r="C1053" s="133" t="s">
        <v>4853</v>
      </c>
      <c r="D1053" s="133" t="s">
        <v>477</v>
      </c>
      <c r="E1053" s="158">
        <v>20</v>
      </c>
      <c r="F1053" s="158">
        <v>0</v>
      </c>
      <c r="G1053" s="158">
        <v>0</v>
      </c>
      <c r="H1053" s="133" t="s">
        <v>479</v>
      </c>
      <c r="I1053" s="133" t="s">
        <v>548</v>
      </c>
      <c r="J1053" s="158">
        <v>0</v>
      </c>
    </row>
    <row r="1054" spans="1:10" ht="15.75" hidden="1" customHeight="1">
      <c r="A1054" s="133" t="s">
        <v>2</v>
      </c>
      <c r="B1054" s="133" t="s">
        <v>4086</v>
      </c>
      <c r="C1054" s="133" t="s">
        <v>4854</v>
      </c>
      <c r="D1054" s="133" t="s">
        <v>1974</v>
      </c>
      <c r="E1054" s="158">
        <v>3</v>
      </c>
      <c r="F1054" s="158">
        <v>10</v>
      </c>
      <c r="G1054" s="158">
        <v>0</v>
      </c>
      <c r="H1054" s="133" t="s">
        <v>479</v>
      </c>
      <c r="I1054" s="133" t="s">
        <v>1284</v>
      </c>
      <c r="J1054" s="158">
        <v>0</v>
      </c>
    </row>
    <row r="1055" spans="1:10" ht="15.75" hidden="1" customHeight="1">
      <c r="A1055" s="133" t="s">
        <v>2</v>
      </c>
      <c r="B1055" s="133" t="s">
        <v>4086</v>
      </c>
      <c r="C1055" s="133" t="s">
        <v>4794</v>
      </c>
      <c r="D1055" s="133" t="s">
        <v>477</v>
      </c>
      <c r="E1055" s="158">
        <v>20</v>
      </c>
      <c r="F1055" s="158">
        <v>0</v>
      </c>
      <c r="G1055" s="158">
        <v>0</v>
      </c>
      <c r="H1055" s="133" t="s">
        <v>479</v>
      </c>
      <c r="I1055" s="133" t="s">
        <v>548</v>
      </c>
      <c r="J1055" s="158">
        <v>0</v>
      </c>
    </row>
    <row r="1056" spans="1:10" ht="15.75" hidden="1" customHeight="1">
      <c r="A1056" s="133" t="s">
        <v>2</v>
      </c>
      <c r="B1056" s="133" t="s">
        <v>4086</v>
      </c>
      <c r="C1056" s="133" t="s">
        <v>4855</v>
      </c>
      <c r="D1056" s="133" t="s">
        <v>477</v>
      </c>
      <c r="E1056" s="158">
        <v>255</v>
      </c>
      <c r="F1056" s="158">
        <v>0</v>
      </c>
      <c r="G1056" s="158">
        <v>0</v>
      </c>
      <c r="H1056" s="133" t="s">
        <v>479</v>
      </c>
      <c r="I1056" s="133" t="s">
        <v>548</v>
      </c>
      <c r="J1056" s="158">
        <v>0</v>
      </c>
    </row>
    <row r="1057" spans="1:10" ht="15.75" hidden="1" customHeight="1">
      <c r="A1057" s="133" t="s">
        <v>2</v>
      </c>
      <c r="B1057" s="133" t="s">
        <v>4086</v>
      </c>
      <c r="C1057" s="133" t="s">
        <v>4856</v>
      </c>
      <c r="D1057" s="133" t="s">
        <v>477</v>
      </c>
      <c r="E1057" s="158">
        <v>20</v>
      </c>
      <c r="F1057" s="158">
        <v>0</v>
      </c>
      <c r="G1057" s="158">
        <v>0</v>
      </c>
      <c r="H1057" s="133" t="s">
        <v>479</v>
      </c>
      <c r="I1057" s="133" t="s">
        <v>548</v>
      </c>
      <c r="J1057" s="158">
        <v>0</v>
      </c>
    </row>
    <row r="1058" spans="1:10" ht="15.75" hidden="1" customHeight="1">
      <c r="A1058" s="133" t="s">
        <v>2</v>
      </c>
      <c r="B1058" s="133" t="s">
        <v>4086</v>
      </c>
      <c r="C1058" s="133" t="s">
        <v>4649</v>
      </c>
      <c r="D1058" s="133" t="s">
        <v>484</v>
      </c>
      <c r="E1058" s="158">
        <v>4</v>
      </c>
      <c r="F1058" s="158">
        <v>10</v>
      </c>
      <c r="G1058" s="158">
        <v>0</v>
      </c>
      <c r="H1058" s="133" t="s">
        <v>479</v>
      </c>
      <c r="I1058" s="133" t="s">
        <v>615</v>
      </c>
      <c r="J1058" s="158">
        <v>0</v>
      </c>
    </row>
    <row r="1059" spans="1:10" ht="15.75" hidden="1" customHeight="1">
      <c r="A1059" s="133" t="s">
        <v>2</v>
      </c>
      <c r="B1059" s="133" t="s">
        <v>4086</v>
      </c>
      <c r="C1059" s="133" t="s">
        <v>4809</v>
      </c>
      <c r="D1059" s="133" t="s">
        <v>477</v>
      </c>
      <c r="E1059" s="158">
        <v>20</v>
      </c>
      <c r="F1059" s="158">
        <v>0</v>
      </c>
      <c r="G1059" s="158">
        <v>0</v>
      </c>
      <c r="H1059" s="133" t="s">
        <v>479</v>
      </c>
      <c r="I1059" s="133" t="s">
        <v>548</v>
      </c>
      <c r="J1059" s="158">
        <v>0</v>
      </c>
    </row>
    <row r="1060" spans="1:10" ht="15.75" hidden="1" customHeight="1">
      <c r="A1060" s="133" t="s">
        <v>2</v>
      </c>
      <c r="B1060" s="133" t="s">
        <v>4086</v>
      </c>
      <c r="C1060" s="133" t="s">
        <v>4521</v>
      </c>
      <c r="D1060" s="133" t="s">
        <v>477</v>
      </c>
      <c r="E1060" s="158">
        <v>100</v>
      </c>
      <c r="F1060" s="158">
        <v>0</v>
      </c>
      <c r="G1060" s="158">
        <v>0</v>
      </c>
      <c r="H1060" s="133" t="s">
        <v>479</v>
      </c>
      <c r="I1060" s="133" t="s">
        <v>548</v>
      </c>
      <c r="J1060" s="158">
        <v>0</v>
      </c>
    </row>
    <row r="1061" spans="1:10" ht="15.75" hidden="1" customHeight="1">
      <c r="A1061" s="133" t="s">
        <v>2</v>
      </c>
      <c r="B1061" s="133" t="s">
        <v>4086</v>
      </c>
      <c r="C1061" s="133" t="s">
        <v>690</v>
      </c>
      <c r="D1061" s="133" t="s">
        <v>477</v>
      </c>
      <c r="E1061" s="158">
        <v>20</v>
      </c>
      <c r="F1061" s="158">
        <v>0</v>
      </c>
      <c r="G1061" s="158">
        <v>0</v>
      </c>
      <c r="H1061" s="133" t="s">
        <v>479</v>
      </c>
      <c r="I1061" s="133" t="s">
        <v>548</v>
      </c>
      <c r="J1061" s="158">
        <v>0</v>
      </c>
    </row>
    <row r="1062" spans="1:10" ht="15.75" hidden="1" customHeight="1">
      <c r="A1062" s="133" t="s">
        <v>2</v>
      </c>
      <c r="B1062" s="133" t="s">
        <v>4086</v>
      </c>
      <c r="C1062" s="133" t="s">
        <v>1101</v>
      </c>
      <c r="D1062" s="133" t="s">
        <v>477</v>
      </c>
      <c r="E1062" s="158">
        <v>20</v>
      </c>
      <c r="F1062" s="158">
        <v>0</v>
      </c>
      <c r="G1062" s="158">
        <v>0</v>
      </c>
      <c r="H1062" s="133" t="s">
        <v>479</v>
      </c>
      <c r="I1062" s="133" t="s">
        <v>548</v>
      </c>
      <c r="J1062" s="158">
        <v>0</v>
      </c>
    </row>
    <row r="1063" spans="1:10" ht="15.75" hidden="1" customHeight="1">
      <c r="A1063" s="133" t="s">
        <v>2</v>
      </c>
      <c r="B1063" s="133" t="s">
        <v>4086</v>
      </c>
      <c r="C1063" s="133" t="s">
        <v>369</v>
      </c>
      <c r="D1063" s="133" t="s">
        <v>477</v>
      </c>
      <c r="E1063" s="158">
        <v>20</v>
      </c>
      <c r="F1063" s="158">
        <v>0</v>
      </c>
      <c r="G1063" s="158">
        <v>0</v>
      </c>
      <c r="H1063" s="133" t="s">
        <v>479</v>
      </c>
      <c r="I1063" s="133" t="s">
        <v>548</v>
      </c>
      <c r="J1063" s="158">
        <v>0</v>
      </c>
    </row>
    <row r="1064" spans="1:10" ht="15.75" hidden="1" customHeight="1">
      <c r="A1064" s="133" t="s">
        <v>2</v>
      </c>
      <c r="B1064" s="133" t="s">
        <v>4086</v>
      </c>
      <c r="C1064" s="133" t="s">
        <v>2290</v>
      </c>
      <c r="D1064" s="133" t="s">
        <v>477</v>
      </c>
      <c r="E1064" s="158">
        <v>100</v>
      </c>
      <c r="F1064" s="158">
        <v>0</v>
      </c>
      <c r="G1064" s="158">
        <v>0</v>
      </c>
      <c r="H1064" s="133" t="s">
        <v>479</v>
      </c>
      <c r="I1064" s="133" t="s">
        <v>548</v>
      </c>
      <c r="J1064" s="158">
        <v>0</v>
      </c>
    </row>
    <row r="1065" spans="1:10" ht="15.75" hidden="1" customHeight="1">
      <c r="A1065" s="133" t="s">
        <v>2</v>
      </c>
      <c r="B1065" s="133" t="s">
        <v>4086</v>
      </c>
      <c r="C1065" s="133" t="s">
        <v>793</v>
      </c>
      <c r="D1065" s="133" t="s">
        <v>477</v>
      </c>
      <c r="E1065" s="158">
        <v>20</v>
      </c>
      <c r="F1065" s="158">
        <v>0</v>
      </c>
      <c r="G1065" s="158">
        <v>0</v>
      </c>
      <c r="H1065" s="133" t="s">
        <v>479</v>
      </c>
      <c r="I1065" s="133" t="s">
        <v>548</v>
      </c>
      <c r="J1065" s="158">
        <v>0</v>
      </c>
    </row>
    <row r="1066" spans="1:10" ht="15.75" hidden="1" customHeight="1">
      <c r="A1066" s="133" t="s">
        <v>2</v>
      </c>
      <c r="B1066" s="133" t="s">
        <v>4086</v>
      </c>
      <c r="C1066" s="133" t="s">
        <v>3438</v>
      </c>
      <c r="D1066" s="133" t="s">
        <v>477</v>
      </c>
      <c r="E1066" s="158">
        <v>100</v>
      </c>
      <c r="F1066" s="158">
        <v>0</v>
      </c>
      <c r="G1066" s="158">
        <v>0</v>
      </c>
      <c r="H1066" s="133" t="s">
        <v>479</v>
      </c>
      <c r="I1066" s="133" t="s">
        <v>548</v>
      </c>
      <c r="J1066" s="158">
        <v>0</v>
      </c>
    </row>
    <row r="1067" spans="1:10" ht="15.75" hidden="1" customHeight="1">
      <c r="A1067" s="133" t="s">
        <v>2</v>
      </c>
      <c r="B1067" s="133" t="s">
        <v>4086</v>
      </c>
      <c r="C1067" s="133" t="s">
        <v>658</v>
      </c>
      <c r="D1067" s="133" t="s">
        <v>484</v>
      </c>
      <c r="E1067" s="158">
        <v>4</v>
      </c>
      <c r="F1067" s="158">
        <v>10</v>
      </c>
      <c r="G1067" s="158">
        <v>0</v>
      </c>
      <c r="H1067" s="133" t="s">
        <v>479</v>
      </c>
      <c r="I1067" s="133" t="s">
        <v>615</v>
      </c>
      <c r="J1067" s="158">
        <v>0</v>
      </c>
    </row>
    <row r="1068" spans="1:10" ht="15.75" hidden="1" customHeight="1">
      <c r="A1068" s="133" t="s">
        <v>2</v>
      </c>
      <c r="B1068" s="133" t="s">
        <v>4086</v>
      </c>
      <c r="C1068" s="133" t="s">
        <v>1243</v>
      </c>
      <c r="D1068" s="133" t="s">
        <v>481</v>
      </c>
      <c r="E1068" s="158">
        <v>5</v>
      </c>
      <c r="F1068" s="158">
        <v>9</v>
      </c>
      <c r="G1068" s="158">
        <v>2</v>
      </c>
      <c r="H1068" s="133" t="s">
        <v>479</v>
      </c>
      <c r="I1068" s="133" t="s">
        <v>1223</v>
      </c>
      <c r="J1068" s="158">
        <v>0</v>
      </c>
    </row>
    <row r="1069" spans="1:10" ht="15.75" hidden="1" customHeight="1">
      <c r="A1069" s="133" t="s">
        <v>2</v>
      </c>
      <c r="B1069" s="133" t="s">
        <v>4086</v>
      </c>
      <c r="C1069" s="133" t="s">
        <v>663</v>
      </c>
      <c r="D1069" s="133" t="s">
        <v>481</v>
      </c>
      <c r="E1069" s="158">
        <v>5</v>
      </c>
      <c r="F1069" s="158">
        <v>9</v>
      </c>
      <c r="G1069" s="158">
        <v>2</v>
      </c>
      <c r="H1069" s="133" t="s">
        <v>479</v>
      </c>
      <c r="I1069" s="133" t="s">
        <v>1223</v>
      </c>
      <c r="J1069" s="158">
        <v>0</v>
      </c>
    </row>
    <row r="1070" spans="1:10" ht="15.75" hidden="1" customHeight="1">
      <c r="A1070" s="133" t="s">
        <v>2</v>
      </c>
      <c r="B1070" s="133" t="s">
        <v>4086</v>
      </c>
      <c r="C1070" s="133" t="s">
        <v>4610</v>
      </c>
      <c r="D1070" s="133" t="s">
        <v>481</v>
      </c>
      <c r="E1070" s="158">
        <v>5</v>
      </c>
      <c r="F1070" s="158">
        <v>9</v>
      </c>
      <c r="G1070" s="158">
        <v>2</v>
      </c>
      <c r="H1070" s="133" t="s">
        <v>479</v>
      </c>
      <c r="I1070" s="133" t="s">
        <v>1223</v>
      </c>
      <c r="J1070" s="158">
        <v>0</v>
      </c>
    </row>
    <row r="1071" spans="1:10" ht="15.75" hidden="1" customHeight="1">
      <c r="A1071" s="133" t="s">
        <v>2</v>
      </c>
      <c r="B1071" s="133" t="s">
        <v>4086</v>
      </c>
      <c r="C1071" s="133" t="s">
        <v>4650</v>
      </c>
      <c r="D1071" s="133" t="s">
        <v>481</v>
      </c>
      <c r="E1071" s="158">
        <v>5</v>
      </c>
      <c r="F1071" s="158">
        <v>9</v>
      </c>
      <c r="G1071" s="158">
        <v>2</v>
      </c>
      <c r="H1071" s="133" t="s">
        <v>479</v>
      </c>
      <c r="I1071" s="133" t="s">
        <v>1223</v>
      </c>
      <c r="J1071" s="158">
        <v>0</v>
      </c>
    </row>
    <row r="1072" spans="1:10" ht="15.75" hidden="1" customHeight="1">
      <c r="A1072" s="133" t="s">
        <v>2</v>
      </c>
      <c r="B1072" s="133" t="s">
        <v>4086</v>
      </c>
      <c r="C1072" s="133" t="s">
        <v>669</v>
      </c>
      <c r="D1072" s="133" t="s">
        <v>538</v>
      </c>
      <c r="E1072" s="158">
        <v>8</v>
      </c>
      <c r="F1072" s="158">
        <v>23</v>
      </c>
      <c r="G1072" s="158">
        <v>3</v>
      </c>
      <c r="H1072" s="133" t="s">
        <v>479</v>
      </c>
      <c r="I1072" s="133" t="s">
        <v>1284</v>
      </c>
      <c r="J1072" s="158">
        <v>0</v>
      </c>
    </row>
    <row r="1073" spans="1:26" ht="15.75" hidden="1" customHeight="1">
      <c r="A1073" s="133" t="s">
        <v>2</v>
      </c>
      <c r="B1073" s="133" t="s">
        <v>4086</v>
      </c>
      <c r="C1073" s="133" t="s">
        <v>523</v>
      </c>
      <c r="D1073" s="133" t="s">
        <v>477</v>
      </c>
      <c r="E1073" s="158">
        <v>20</v>
      </c>
      <c r="F1073" s="158">
        <v>0</v>
      </c>
      <c r="G1073" s="158">
        <v>0</v>
      </c>
      <c r="H1073" s="133" t="s">
        <v>479</v>
      </c>
      <c r="I1073" s="133" t="s">
        <v>548</v>
      </c>
      <c r="J1073" s="158">
        <v>0</v>
      </c>
    </row>
    <row r="1074" spans="1:26" ht="15.75" hidden="1" customHeight="1">
      <c r="A1074" s="133" t="s">
        <v>2</v>
      </c>
      <c r="B1074" s="133" t="s">
        <v>4086</v>
      </c>
      <c r="C1074" s="133" t="s">
        <v>814</v>
      </c>
      <c r="D1074" s="133" t="s">
        <v>477</v>
      </c>
      <c r="E1074" s="158">
        <v>100</v>
      </c>
      <c r="F1074" s="158">
        <v>0</v>
      </c>
      <c r="G1074" s="158">
        <v>0</v>
      </c>
      <c r="H1074" s="133" t="s">
        <v>479</v>
      </c>
      <c r="I1074" s="133" t="s">
        <v>548</v>
      </c>
      <c r="J1074" s="158">
        <v>0</v>
      </c>
    </row>
    <row r="1075" spans="1:26" ht="15.75" hidden="1" customHeight="1">
      <c r="A1075" s="133" t="s">
        <v>2</v>
      </c>
      <c r="B1075" s="133" t="s">
        <v>4086</v>
      </c>
      <c r="C1075" s="133" t="s">
        <v>215</v>
      </c>
      <c r="D1075" s="133" t="s">
        <v>538</v>
      </c>
      <c r="E1075" s="158">
        <v>8</v>
      </c>
      <c r="F1075" s="158">
        <v>23</v>
      </c>
      <c r="G1075" s="158">
        <v>3</v>
      </c>
      <c r="H1075" s="133" t="s">
        <v>479</v>
      </c>
      <c r="I1075" s="133" t="s">
        <v>1284</v>
      </c>
      <c r="J1075" s="158">
        <v>0</v>
      </c>
    </row>
    <row r="1076" spans="1:26" ht="15.75" hidden="1" customHeight="1">
      <c r="A1076" s="133" t="s">
        <v>2</v>
      </c>
      <c r="B1076" s="133" t="s">
        <v>4086</v>
      </c>
      <c r="C1076" s="133" t="s">
        <v>670</v>
      </c>
      <c r="D1076" s="133" t="s">
        <v>477</v>
      </c>
      <c r="E1076" s="158">
        <v>20</v>
      </c>
      <c r="F1076" s="158">
        <v>0</v>
      </c>
      <c r="G1076" s="158">
        <v>0</v>
      </c>
      <c r="H1076" s="133" t="s">
        <v>479</v>
      </c>
      <c r="I1076" s="133" t="s">
        <v>548</v>
      </c>
      <c r="J1076" s="158">
        <v>0</v>
      </c>
    </row>
    <row r="1077" spans="1:26" ht="15.75" hidden="1" customHeight="1">
      <c r="A1077" s="133" t="s">
        <v>2</v>
      </c>
      <c r="B1077" s="133" t="s">
        <v>4086</v>
      </c>
      <c r="C1077" s="133" t="s">
        <v>816</v>
      </c>
      <c r="D1077" s="133" t="s">
        <v>477</v>
      </c>
      <c r="E1077" s="158">
        <v>100</v>
      </c>
      <c r="F1077" s="158">
        <v>0</v>
      </c>
      <c r="G1077" s="158">
        <v>0</v>
      </c>
      <c r="H1077" s="133" t="s">
        <v>479</v>
      </c>
      <c r="I1077" s="133" t="s">
        <v>548</v>
      </c>
      <c r="J1077" s="158">
        <v>0</v>
      </c>
    </row>
    <row r="1078" spans="1:26" ht="15.75" hidden="1" customHeight="1">
      <c r="A1078" s="161" t="s">
        <v>2</v>
      </c>
      <c r="B1078" s="161" t="s">
        <v>4857</v>
      </c>
      <c r="C1078" s="161" t="s">
        <v>2317</v>
      </c>
      <c r="D1078" s="161" t="s">
        <v>477</v>
      </c>
      <c r="E1078" s="162">
        <v>5</v>
      </c>
      <c r="F1078" s="162">
        <v>0</v>
      </c>
      <c r="G1078" s="162">
        <v>0</v>
      </c>
      <c r="H1078" s="161"/>
      <c r="I1078" s="161"/>
      <c r="J1078" s="162">
        <v>0</v>
      </c>
      <c r="K1078" s="165"/>
      <c r="L1078" s="165"/>
      <c r="M1078" s="165"/>
      <c r="N1078" s="165"/>
      <c r="O1078" s="165"/>
      <c r="P1078" s="165"/>
      <c r="Q1078" s="165"/>
      <c r="R1078" s="165"/>
      <c r="S1078" s="165"/>
      <c r="T1078" s="165"/>
      <c r="U1078" s="165"/>
      <c r="V1078" s="165"/>
      <c r="W1078" s="165"/>
      <c r="X1078" s="165"/>
      <c r="Y1078" s="165"/>
      <c r="Z1078" s="165"/>
    </row>
    <row r="1079" spans="1:26" ht="15.75" hidden="1" customHeight="1">
      <c r="A1079" s="133" t="s">
        <v>2</v>
      </c>
      <c r="B1079" s="133" t="s">
        <v>4857</v>
      </c>
      <c r="C1079" s="133" t="s">
        <v>2619</v>
      </c>
      <c r="D1079" s="133" t="s">
        <v>477</v>
      </c>
      <c r="E1079" s="158">
        <v>20</v>
      </c>
      <c r="F1079" s="158">
        <v>0</v>
      </c>
      <c r="G1079" s="158">
        <v>0</v>
      </c>
      <c r="H1079" s="133" t="s">
        <v>479</v>
      </c>
      <c r="I1079" s="133" t="s">
        <v>479</v>
      </c>
      <c r="J1079" s="158">
        <v>0</v>
      </c>
    </row>
    <row r="1080" spans="1:26" ht="15.75" hidden="1" customHeight="1">
      <c r="A1080" s="133" t="s">
        <v>2</v>
      </c>
      <c r="B1080" s="133" t="s">
        <v>4857</v>
      </c>
      <c r="C1080" s="133" t="s">
        <v>292</v>
      </c>
      <c r="D1080" s="133" t="s">
        <v>484</v>
      </c>
      <c r="E1080" s="158">
        <v>4</v>
      </c>
      <c r="F1080" s="158">
        <v>10</v>
      </c>
      <c r="G1080" s="158">
        <v>0</v>
      </c>
      <c r="H1080" s="133" t="s">
        <v>479</v>
      </c>
      <c r="I1080" s="133" t="s">
        <v>479</v>
      </c>
      <c r="J1080" s="158">
        <v>0</v>
      </c>
    </row>
    <row r="1081" spans="1:26" ht="15.75" hidden="1" customHeight="1">
      <c r="A1081" s="133" t="s">
        <v>2</v>
      </c>
      <c r="B1081" s="133" t="s">
        <v>4857</v>
      </c>
      <c r="C1081" s="133" t="s">
        <v>257</v>
      </c>
      <c r="D1081" s="133" t="s">
        <v>477</v>
      </c>
      <c r="E1081" s="158">
        <v>20</v>
      </c>
      <c r="F1081" s="158">
        <v>0</v>
      </c>
      <c r="G1081" s="158">
        <v>0</v>
      </c>
      <c r="H1081" s="133" t="s">
        <v>479</v>
      </c>
      <c r="I1081" s="133" t="s">
        <v>479</v>
      </c>
      <c r="J1081" s="158">
        <v>0</v>
      </c>
    </row>
    <row r="1082" spans="1:26" ht="15.75" hidden="1" customHeight="1">
      <c r="A1082" s="133" t="s">
        <v>2</v>
      </c>
      <c r="B1082" s="133" t="s">
        <v>4857</v>
      </c>
      <c r="C1082" s="133" t="s">
        <v>3441</v>
      </c>
      <c r="D1082" s="133" t="s">
        <v>477</v>
      </c>
      <c r="E1082" s="158">
        <v>100</v>
      </c>
      <c r="F1082" s="158">
        <v>0</v>
      </c>
      <c r="G1082" s="158">
        <v>0</v>
      </c>
      <c r="H1082" s="133" t="s">
        <v>479</v>
      </c>
      <c r="I1082" s="133" t="s">
        <v>479</v>
      </c>
      <c r="J1082" s="158">
        <v>0</v>
      </c>
    </row>
    <row r="1083" spans="1:26" ht="15.75" hidden="1" customHeight="1">
      <c r="A1083" s="133" t="s">
        <v>2</v>
      </c>
      <c r="B1083" s="133" t="s">
        <v>4857</v>
      </c>
      <c r="C1083" s="133" t="s">
        <v>2415</v>
      </c>
      <c r="D1083" s="133" t="s">
        <v>484</v>
      </c>
      <c r="E1083" s="158">
        <v>4</v>
      </c>
      <c r="F1083" s="158">
        <v>10</v>
      </c>
      <c r="G1083" s="158">
        <v>0</v>
      </c>
      <c r="H1083" s="133" t="s">
        <v>479</v>
      </c>
      <c r="I1083" s="133" t="s">
        <v>479</v>
      </c>
      <c r="J1083" s="158">
        <v>0</v>
      </c>
    </row>
    <row r="1084" spans="1:26" ht="15.75" hidden="1" customHeight="1">
      <c r="A1084" s="133" t="s">
        <v>2</v>
      </c>
      <c r="B1084" s="133" t="s">
        <v>4857</v>
      </c>
      <c r="C1084" s="133" t="s">
        <v>2421</v>
      </c>
      <c r="D1084" s="133" t="s">
        <v>477</v>
      </c>
      <c r="E1084" s="158">
        <v>20</v>
      </c>
      <c r="F1084" s="158">
        <v>0</v>
      </c>
      <c r="G1084" s="158">
        <v>0</v>
      </c>
      <c r="H1084" s="133" t="s">
        <v>479</v>
      </c>
      <c r="I1084" s="133" t="s">
        <v>479</v>
      </c>
      <c r="J1084" s="158">
        <v>0</v>
      </c>
    </row>
    <row r="1085" spans="1:26" ht="15.75" hidden="1" customHeight="1">
      <c r="A1085" s="133" t="s">
        <v>2</v>
      </c>
      <c r="B1085" s="133" t="s">
        <v>4857</v>
      </c>
      <c r="C1085" s="133" t="s">
        <v>4553</v>
      </c>
      <c r="D1085" s="133" t="s">
        <v>481</v>
      </c>
      <c r="E1085" s="158">
        <v>5</v>
      </c>
      <c r="F1085" s="158">
        <v>9</v>
      </c>
      <c r="G1085" s="158">
        <v>2</v>
      </c>
      <c r="H1085" s="133" t="s">
        <v>479</v>
      </c>
      <c r="I1085" s="133" t="s">
        <v>479</v>
      </c>
      <c r="J1085" s="158">
        <v>0</v>
      </c>
    </row>
    <row r="1086" spans="1:26" ht="15.75" hidden="1" customHeight="1">
      <c r="A1086" s="133" t="s">
        <v>2</v>
      </c>
      <c r="B1086" s="133" t="s">
        <v>4857</v>
      </c>
      <c r="C1086" s="133" t="s">
        <v>4554</v>
      </c>
      <c r="D1086" s="133" t="s">
        <v>481</v>
      </c>
      <c r="E1086" s="158">
        <v>5</v>
      </c>
      <c r="F1086" s="158">
        <v>9</v>
      </c>
      <c r="G1086" s="158">
        <v>2</v>
      </c>
      <c r="H1086" s="133" t="s">
        <v>479</v>
      </c>
      <c r="I1086" s="133" t="s">
        <v>479</v>
      </c>
      <c r="J1086" s="158">
        <v>0</v>
      </c>
    </row>
    <row r="1087" spans="1:26" ht="15.75" hidden="1" customHeight="1">
      <c r="A1087" s="133" t="s">
        <v>2</v>
      </c>
      <c r="B1087" s="133" t="s">
        <v>4857</v>
      </c>
      <c r="C1087" s="133" t="s">
        <v>4555</v>
      </c>
      <c r="D1087" s="133" t="s">
        <v>477</v>
      </c>
      <c r="E1087" s="158">
        <v>20</v>
      </c>
      <c r="F1087" s="158">
        <v>0</v>
      </c>
      <c r="G1087" s="158">
        <v>0</v>
      </c>
      <c r="H1087" s="133" t="s">
        <v>479</v>
      </c>
      <c r="I1087" s="133" t="s">
        <v>479</v>
      </c>
      <c r="J1087" s="158">
        <v>0</v>
      </c>
    </row>
    <row r="1088" spans="1:26" ht="15.75" hidden="1" customHeight="1">
      <c r="A1088" s="133" t="s">
        <v>2</v>
      </c>
      <c r="B1088" s="133" t="s">
        <v>4857</v>
      </c>
      <c r="C1088" s="133" t="s">
        <v>2336</v>
      </c>
      <c r="D1088" s="133" t="s">
        <v>477</v>
      </c>
      <c r="E1088" s="158">
        <v>20</v>
      </c>
      <c r="F1088" s="158">
        <v>0</v>
      </c>
      <c r="G1088" s="158">
        <v>0</v>
      </c>
      <c r="H1088" s="133" t="s">
        <v>479</v>
      </c>
      <c r="I1088" s="133" t="s">
        <v>479</v>
      </c>
      <c r="J1088" s="158">
        <v>0</v>
      </c>
    </row>
    <row r="1089" spans="1:10" ht="15.75" hidden="1" customHeight="1">
      <c r="A1089" s="133" t="s">
        <v>2</v>
      </c>
      <c r="B1089" s="133" t="s">
        <v>4857</v>
      </c>
      <c r="C1089" s="133" t="s">
        <v>1206</v>
      </c>
      <c r="D1089" s="133" t="s">
        <v>477</v>
      </c>
      <c r="E1089" s="158">
        <v>20</v>
      </c>
      <c r="F1089" s="158">
        <v>0</v>
      </c>
      <c r="G1089" s="158">
        <v>0</v>
      </c>
      <c r="H1089" s="133" t="s">
        <v>479</v>
      </c>
      <c r="I1089" s="133" t="s">
        <v>479</v>
      </c>
      <c r="J1089" s="158">
        <v>0</v>
      </c>
    </row>
    <row r="1090" spans="1:10" ht="15.75" hidden="1" customHeight="1">
      <c r="A1090" s="133" t="s">
        <v>2</v>
      </c>
      <c r="B1090" s="133" t="s">
        <v>4857</v>
      </c>
      <c r="C1090" s="133" t="s">
        <v>3400</v>
      </c>
      <c r="D1090" s="133" t="s">
        <v>477</v>
      </c>
      <c r="E1090" s="158">
        <v>20</v>
      </c>
      <c r="F1090" s="158">
        <v>0</v>
      </c>
      <c r="G1090" s="158">
        <v>0</v>
      </c>
      <c r="H1090" s="133" t="s">
        <v>479</v>
      </c>
      <c r="I1090" s="133" t="s">
        <v>479</v>
      </c>
      <c r="J1090" s="158">
        <v>0</v>
      </c>
    </row>
    <row r="1091" spans="1:10" ht="15.75" hidden="1" customHeight="1">
      <c r="A1091" s="133" t="s">
        <v>2</v>
      </c>
      <c r="B1091" s="133" t="s">
        <v>4857</v>
      </c>
      <c r="C1091" s="133" t="s">
        <v>1194</v>
      </c>
      <c r="D1091" s="133" t="s">
        <v>481</v>
      </c>
      <c r="E1091" s="158">
        <v>5</v>
      </c>
      <c r="F1091" s="158">
        <v>9</v>
      </c>
      <c r="G1091" s="158">
        <v>2</v>
      </c>
      <c r="H1091" s="133" t="s">
        <v>479</v>
      </c>
      <c r="I1091" s="133" t="s">
        <v>479</v>
      </c>
      <c r="J1091" s="158">
        <v>0</v>
      </c>
    </row>
    <row r="1092" spans="1:10" ht="15.75" hidden="1" customHeight="1">
      <c r="A1092" s="133" t="s">
        <v>2</v>
      </c>
      <c r="B1092" s="133" t="s">
        <v>4857</v>
      </c>
      <c r="C1092" s="133" t="s">
        <v>2452</v>
      </c>
      <c r="D1092" s="133" t="s">
        <v>481</v>
      </c>
      <c r="E1092" s="158">
        <v>5</v>
      </c>
      <c r="F1092" s="158">
        <v>9</v>
      </c>
      <c r="G1092" s="158">
        <v>2</v>
      </c>
      <c r="H1092" s="133" t="s">
        <v>479</v>
      </c>
      <c r="I1092" s="133" t="s">
        <v>479</v>
      </c>
      <c r="J1092" s="158">
        <v>0</v>
      </c>
    </row>
    <row r="1093" spans="1:10" ht="15.75" hidden="1" customHeight="1">
      <c r="A1093" s="133" t="s">
        <v>2</v>
      </c>
      <c r="B1093" s="133" t="s">
        <v>4857</v>
      </c>
      <c r="C1093" s="133" t="s">
        <v>4556</v>
      </c>
      <c r="D1093" s="133" t="s">
        <v>481</v>
      </c>
      <c r="E1093" s="158">
        <v>5</v>
      </c>
      <c r="F1093" s="158">
        <v>9</v>
      </c>
      <c r="G1093" s="158">
        <v>2</v>
      </c>
      <c r="H1093" s="133" t="s">
        <v>479</v>
      </c>
      <c r="I1093" s="133" t="s">
        <v>479</v>
      </c>
      <c r="J1093" s="158">
        <v>0</v>
      </c>
    </row>
    <row r="1094" spans="1:10" ht="15.75" hidden="1" customHeight="1">
      <c r="A1094" s="133" t="s">
        <v>2</v>
      </c>
      <c r="B1094" s="133" t="s">
        <v>4857</v>
      </c>
      <c r="C1094" s="133" t="s">
        <v>4557</v>
      </c>
      <c r="D1094" s="133" t="s">
        <v>481</v>
      </c>
      <c r="E1094" s="158">
        <v>5</v>
      </c>
      <c r="F1094" s="158">
        <v>9</v>
      </c>
      <c r="G1094" s="158">
        <v>2</v>
      </c>
      <c r="H1094" s="133" t="s">
        <v>479</v>
      </c>
      <c r="I1094" s="133" t="s">
        <v>479</v>
      </c>
      <c r="J1094" s="158">
        <v>0</v>
      </c>
    </row>
    <row r="1095" spans="1:10" ht="15.75" hidden="1" customHeight="1">
      <c r="A1095" s="133" t="s">
        <v>2</v>
      </c>
      <c r="B1095" s="133" t="s">
        <v>4857</v>
      </c>
      <c r="C1095" s="133" t="s">
        <v>4558</v>
      </c>
      <c r="D1095" s="133" t="s">
        <v>477</v>
      </c>
      <c r="E1095" s="158">
        <v>20</v>
      </c>
      <c r="F1095" s="158">
        <v>0</v>
      </c>
      <c r="G1095" s="158">
        <v>0</v>
      </c>
      <c r="H1095" s="133" t="s">
        <v>479</v>
      </c>
      <c r="I1095" s="133" t="s">
        <v>479</v>
      </c>
      <c r="J1095" s="158">
        <v>0</v>
      </c>
    </row>
    <row r="1096" spans="1:10" ht="15.75" hidden="1" customHeight="1">
      <c r="A1096" s="133" t="s">
        <v>2</v>
      </c>
      <c r="B1096" s="133" t="s">
        <v>4857</v>
      </c>
      <c r="C1096" s="133" t="s">
        <v>2446</v>
      </c>
      <c r="D1096" s="133" t="s">
        <v>481</v>
      </c>
      <c r="E1096" s="158">
        <v>5</v>
      </c>
      <c r="F1096" s="158">
        <v>9</v>
      </c>
      <c r="G1096" s="158">
        <v>2</v>
      </c>
      <c r="H1096" s="133" t="s">
        <v>479</v>
      </c>
      <c r="I1096" s="133" t="s">
        <v>479</v>
      </c>
      <c r="J1096" s="158">
        <v>0</v>
      </c>
    </row>
    <row r="1097" spans="1:10" ht="15.75" hidden="1" customHeight="1">
      <c r="A1097" s="133" t="s">
        <v>2</v>
      </c>
      <c r="B1097" s="133" t="s">
        <v>4857</v>
      </c>
      <c r="C1097" s="133" t="s">
        <v>2639</v>
      </c>
      <c r="D1097" s="133" t="s">
        <v>481</v>
      </c>
      <c r="E1097" s="158">
        <v>5</v>
      </c>
      <c r="F1097" s="158">
        <v>9</v>
      </c>
      <c r="G1097" s="158">
        <v>2</v>
      </c>
      <c r="H1097" s="133" t="s">
        <v>479</v>
      </c>
      <c r="I1097" s="133" t="s">
        <v>479</v>
      </c>
      <c r="J1097" s="158">
        <v>0</v>
      </c>
    </row>
    <row r="1098" spans="1:10" ht="15.75" hidden="1" customHeight="1">
      <c r="A1098" s="133" t="s">
        <v>2</v>
      </c>
      <c r="B1098" s="133" t="s">
        <v>4857</v>
      </c>
      <c r="C1098" s="133" t="s">
        <v>4559</v>
      </c>
      <c r="D1098" s="133" t="s">
        <v>481</v>
      </c>
      <c r="E1098" s="158">
        <v>5</v>
      </c>
      <c r="F1098" s="158">
        <v>9</v>
      </c>
      <c r="G1098" s="158">
        <v>2</v>
      </c>
      <c r="H1098" s="133" t="s">
        <v>479</v>
      </c>
      <c r="I1098" s="133" t="s">
        <v>479</v>
      </c>
      <c r="J1098" s="158">
        <v>0</v>
      </c>
    </row>
    <row r="1099" spans="1:10" ht="15.75" hidden="1" customHeight="1">
      <c r="A1099" s="133" t="s">
        <v>2</v>
      </c>
      <c r="B1099" s="133" t="s">
        <v>4857</v>
      </c>
      <c r="C1099" s="133" t="s">
        <v>2641</v>
      </c>
      <c r="D1099" s="133" t="s">
        <v>481</v>
      </c>
      <c r="E1099" s="158">
        <v>5</v>
      </c>
      <c r="F1099" s="158">
        <v>9</v>
      </c>
      <c r="G1099" s="158">
        <v>2</v>
      </c>
      <c r="H1099" s="133" t="s">
        <v>479</v>
      </c>
      <c r="I1099" s="133" t="s">
        <v>479</v>
      </c>
      <c r="J1099" s="158">
        <v>0</v>
      </c>
    </row>
    <row r="1100" spans="1:10" ht="15.75" hidden="1" customHeight="1">
      <c r="A1100" s="133" t="s">
        <v>2</v>
      </c>
      <c r="B1100" s="133" t="s">
        <v>4857</v>
      </c>
      <c r="C1100" s="133" t="s">
        <v>4560</v>
      </c>
      <c r="D1100" s="133" t="s">
        <v>481</v>
      </c>
      <c r="E1100" s="158">
        <v>5</v>
      </c>
      <c r="F1100" s="158">
        <v>9</v>
      </c>
      <c r="G1100" s="158">
        <v>2</v>
      </c>
      <c r="H1100" s="133" t="s">
        <v>479</v>
      </c>
      <c r="I1100" s="133" t="s">
        <v>479</v>
      </c>
      <c r="J1100" s="158">
        <v>0</v>
      </c>
    </row>
    <row r="1101" spans="1:10" ht="15.75" hidden="1" customHeight="1">
      <c r="A1101" s="133" t="s">
        <v>2</v>
      </c>
      <c r="B1101" s="133" t="s">
        <v>4857</v>
      </c>
      <c r="C1101" s="133" t="s">
        <v>2645</v>
      </c>
      <c r="D1101" s="133" t="s">
        <v>481</v>
      </c>
      <c r="E1101" s="158">
        <v>5</v>
      </c>
      <c r="F1101" s="158">
        <v>9</v>
      </c>
      <c r="G1101" s="158">
        <v>2</v>
      </c>
      <c r="H1101" s="133" t="s">
        <v>479</v>
      </c>
      <c r="I1101" s="133" t="s">
        <v>479</v>
      </c>
      <c r="J1101" s="158">
        <v>0</v>
      </c>
    </row>
    <row r="1102" spans="1:10" ht="15.75" hidden="1" customHeight="1">
      <c r="A1102" s="133" t="s">
        <v>2</v>
      </c>
      <c r="B1102" s="133" t="s">
        <v>4857</v>
      </c>
      <c r="C1102" s="133" t="s">
        <v>4561</v>
      </c>
      <c r="D1102" s="133" t="s">
        <v>481</v>
      </c>
      <c r="E1102" s="158">
        <v>5</v>
      </c>
      <c r="F1102" s="158">
        <v>9</v>
      </c>
      <c r="G1102" s="158">
        <v>2</v>
      </c>
      <c r="H1102" s="133" t="s">
        <v>479</v>
      </c>
      <c r="I1102" s="133" t="s">
        <v>479</v>
      </c>
      <c r="J1102" s="158">
        <v>0</v>
      </c>
    </row>
    <row r="1103" spans="1:10" ht="15.75" hidden="1" customHeight="1">
      <c r="A1103" s="133" t="s">
        <v>2</v>
      </c>
      <c r="B1103" s="133" t="s">
        <v>4857</v>
      </c>
      <c r="C1103" s="133" t="s">
        <v>4562</v>
      </c>
      <c r="D1103" s="133" t="s">
        <v>481</v>
      </c>
      <c r="E1103" s="158">
        <v>5</v>
      </c>
      <c r="F1103" s="158">
        <v>9</v>
      </c>
      <c r="G1103" s="158">
        <v>2</v>
      </c>
      <c r="H1103" s="133" t="s">
        <v>479</v>
      </c>
      <c r="I1103" s="133" t="s">
        <v>479</v>
      </c>
      <c r="J1103" s="158">
        <v>0</v>
      </c>
    </row>
    <row r="1104" spans="1:10" ht="15.75" hidden="1" customHeight="1">
      <c r="A1104" s="133" t="s">
        <v>2</v>
      </c>
      <c r="B1104" s="133" t="s">
        <v>4857</v>
      </c>
      <c r="C1104" s="133" t="s">
        <v>4563</v>
      </c>
      <c r="D1104" s="133" t="s">
        <v>481</v>
      </c>
      <c r="E1104" s="158">
        <v>5</v>
      </c>
      <c r="F1104" s="158">
        <v>9</v>
      </c>
      <c r="G1104" s="158">
        <v>2</v>
      </c>
      <c r="H1104" s="133" t="s">
        <v>479</v>
      </c>
      <c r="I1104" s="133" t="s">
        <v>479</v>
      </c>
      <c r="J1104" s="158">
        <v>0</v>
      </c>
    </row>
    <row r="1105" spans="1:26" ht="15.75" hidden="1" customHeight="1">
      <c r="A1105" s="133" t="s">
        <v>2</v>
      </c>
      <c r="B1105" s="133" t="s">
        <v>4857</v>
      </c>
      <c r="C1105" s="133" t="s">
        <v>4564</v>
      </c>
      <c r="D1105" s="133" t="s">
        <v>481</v>
      </c>
      <c r="E1105" s="158">
        <v>5</v>
      </c>
      <c r="F1105" s="158">
        <v>9</v>
      </c>
      <c r="G1105" s="158">
        <v>2</v>
      </c>
      <c r="H1105" s="133" t="s">
        <v>479</v>
      </c>
      <c r="I1105" s="133" t="s">
        <v>479</v>
      </c>
      <c r="J1105" s="158">
        <v>0</v>
      </c>
    </row>
    <row r="1106" spans="1:26" ht="15.75" hidden="1" customHeight="1">
      <c r="A1106" s="133" t="s">
        <v>2</v>
      </c>
      <c r="B1106" s="133" t="s">
        <v>4857</v>
      </c>
      <c r="C1106" s="133" t="s">
        <v>663</v>
      </c>
      <c r="D1106" s="133" t="s">
        <v>481</v>
      </c>
      <c r="E1106" s="158">
        <v>5</v>
      </c>
      <c r="F1106" s="158">
        <v>9</v>
      </c>
      <c r="G1106" s="158">
        <v>2</v>
      </c>
      <c r="H1106" s="133" t="s">
        <v>479</v>
      </c>
      <c r="I1106" s="133" t="s">
        <v>479</v>
      </c>
      <c r="J1106" s="158">
        <v>0</v>
      </c>
    </row>
    <row r="1107" spans="1:26" ht="15.75" hidden="1" customHeight="1">
      <c r="A1107" s="133" t="s">
        <v>2</v>
      </c>
      <c r="B1107" s="133" t="s">
        <v>4857</v>
      </c>
      <c r="C1107" s="133" t="s">
        <v>2455</v>
      </c>
      <c r="D1107" s="133" t="s">
        <v>484</v>
      </c>
      <c r="E1107" s="158">
        <v>4</v>
      </c>
      <c r="F1107" s="158">
        <v>10</v>
      </c>
      <c r="G1107" s="158">
        <v>0</v>
      </c>
      <c r="H1107" s="133" t="s">
        <v>479</v>
      </c>
      <c r="I1107" s="133" t="s">
        <v>479</v>
      </c>
      <c r="J1107" s="158">
        <v>0</v>
      </c>
    </row>
    <row r="1108" spans="1:26" ht="15.75" hidden="1" customHeight="1">
      <c r="A1108" s="133" t="s">
        <v>2</v>
      </c>
      <c r="B1108" s="133" t="s">
        <v>4857</v>
      </c>
      <c r="C1108" s="133" t="s">
        <v>4565</v>
      </c>
      <c r="D1108" s="133" t="s">
        <v>481</v>
      </c>
      <c r="E1108" s="158">
        <v>9</v>
      </c>
      <c r="F1108" s="158">
        <v>11</v>
      </c>
      <c r="G1108" s="158">
        <v>2</v>
      </c>
      <c r="H1108" s="133" t="s">
        <v>479</v>
      </c>
      <c r="I1108" s="133" t="s">
        <v>479</v>
      </c>
      <c r="J1108" s="158">
        <v>0</v>
      </c>
    </row>
    <row r="1109" spans="1:26" ht="15.75" hidden="1" customHeight="1">
      <c r="A1109" s="133" t="s">
        <v>2</v>
      </c>
      <c r="B1109" s="133" t="s">
        <v>4857</v>
      </c>
      <c r="C1109" s="133" t="s">
        <v>1141</v>
      </c>
      <c r="D1109" s="133" t="s">
        <v>477</v>
      </c>
      <c r="E1109" s="158">
        <v>20</v>
      </c>
      <c r="F1109" s="158">
        <v>0</v>
      </c>
      <c r="G1109" s="158">
        <v>0</v>
      </c>
      <c r="H1109" s="133" t="s">
        <v>479</v>
      </c>
      <c r="I1109" s="133" t="s">
        <v>479</v>
      </c>
      <c r="J1109" s="158">
        <v>0</v>
      </c>
    </row>
    <row r="1110" spans="1:26" ht="15.75" hidden="1" customHeight="1">
      <c r="A1110" s="133" t="s">
        <v>2</v>
      </c>
      <c r="B1110" s="133" t="s">
        <v>4857</v>
      </c>
      <c r="C1110" s="133" t="s">
        <v>4566</v>
      </c>
      <c r="D1110" s="133" t="s">
        <v>481</v>
      </c>
      <c r="E1110" s="158">
        <v>5</v>
      </c>
      <c r="F1110" s="158">
        <v>9</v>
      </c>
      <c r="G1110" s="158">
        <v>2</v>
      </c>
      <c r="H1110" s="133" t="s">
        <v>479</v>
      </c>
      <c r="I1110" s="133" t="s">
        <v>479</v>
      </c>
      <c r="J1110" s="158">
        <v>0</v>
      </c>
    </row>
    <row r="1111" spans="1:26" ht="15.75" hidden="1" customHeight="1">
      <c r="A1111" s="133" t="s">
        <v>2</v>
      </c>
      <c r="B1111" s="133" t="s">
        <v>4857</v>
      </c>
      <c r="C1111" s="133" t="s">
        <v>1145</v>
      </c>
      <c r="D1111" s="133" t="s">
        <v>484</v>
      </c>
      <c r="E1111" s="158">
        <v>4</v>
      </c>
      <c r="F1111" s="158">
        <v>10</v>
      </c>
      <c r="G1111" s="158">
        <v>0</v>
      </c>
      <c r="H1111" s="133" t="s">
        <v>479</v>
      </c>
      <c r="I1111" s="133" t="s">
        <v>479</v>
      </c>
      <c r="J1111" s="158">
        <v>0</v>
      </c>
    </row>
    <row r="1112" spans="1:26" ht="15.75" hidden="1" customHeight="1">
      <c r="A1112" s="133" t="s">
        <v>2</v>
      </c>
      <c r="B1112" s="133" t="s">
        <v>4857</v>
      </c>
      <c r="C1112" s="133" t="s">
        <v>4858</v>
      </c>
      <c r="D1112" s="133" t="s">
        <v>477</v>
      </c>
      <c r="E1112" s="158">
        <v>20</v>
      </c>
      <c r="F1112" s="158">
        <v>0</v>
      </c>
      <c r="G1112" s="158">
        <v>0</v>
      </c>
      <c r="H1112" s="133" t="s">
        <v>479</v>
      </c>
      <c r="I1112" s="133" t="s">
        <v>479</v>
      </c>
      <c r="J1112" s="158">
        <v>0</v>
      </c>
    </row>
    <row r="1113" spans="1:26" ht="15.75" hidden="1" customHeight="1">
      <c r="A1113" s="133" t="s">
        <v>2</v>
      </c>
      <c r="B1113" s="133" t="s">
        <v>4857</v>
      </c>
      <c r="C1113" s="133" t="s">
        <v>4859</v>
      </c>
      <c r="D1113" s="133" t="s">
        <v>484</v>
      </c>
      <c r="E1113" s="158">
        <v>4</v>
      </c>
      <c r="F1113" s="158">
        <v>10</v>
      </c>
      <c r="G1113" s="158">
        <v>0</v>
      </c>
      <c r="H1113" s="133" t="s">
        <v>479</v>
      </c>
      <c r="I1113" s="133" t="s">
        <v>479</v>
      </c>
      <c r="J1113" s="158">
        <v>0</v>
      </c>
    </row>
    <row r="1114" spans="1:26" ht="15.75" hidden="1" customHeight="1">
      <c r="A1114" s="133" t="s">
        <v>2</v>
      </c>
      <c r="B1114" s="133" t="s">
        <v>4857</v>
      </c>
      <c r="C1114" s="133" t="s">
        <v>4784</v>
      </c>
      <c r="D1114" s="133" t="s">
        <v>484</v>
      </c>
      <c r="E1114" s="158">
        <v>4</v>
      </c>
      <c r="F1114" s="158">
        <v>10</v>
      </c>
      <c r="G1114" s="158">
        <v>0</v>
      </c>
      <c r="H1114" s="133" t="s">
        <v>479</v>
      </c>
      <c r="I1114" s="133" t="s">
        <v>479</v>
      </c>
      <c r="J1114" s="158">
        <v>0</v>
      </c>
    </row>
    <row r="1115" spans="1:26" ht="15.75" hidden="1" customHeight="1">
      <c r="A1115" s="133" t="s">
        <v>2</v>
      </c>
      <c r="B1115" s="133" t="s">
        <v>4857</v>
      </c>
      <c r="C1115" s="133" t="s">
        <v>3384</v>
      </c>
      <c r="D1115" s="133" t="s">
        <v>484</v>
      </c>
      <c r="E1115" s="158">
        <v>4</v>
      </c>
      <c r="F1115" s="158">
        <v>10</v>
      </c>
      <c r="G1115" s="158">
        <v>0</v>
      </c>
      <c r="H1115" s="133" t="s">
        <v>479</v>
      </c>
      <c r="I1115" s="133" t="s">
        <v>479</v>
      </c>
      <c r="J1115" s="158">
        <v>0</v>
      </c>
    </row>
    <row r="1116" spans="1:26" ht="15.75" hidden="1" customHeight="1">
      <c r="A1116" s="133" t="s">
        <v>2</v>
      </c>
      <c r="B1116" s="133" t="s">
        <v>4857</v>
      </c>
      <c r="C1116" s="133" t="s">
        <v>1208</v>
      </c>
      <c r="D1116" s="133" t="s">
        <v>484</v>
      </c>
      <c r="E1116" s="158">
        <v>4</v>
      </c>
      <c r="F1116" s="158">
        <v>10</v>
      </c>
      <c r="G1116" s="158">
        <v>0</v>
      </c>
      <c r="H1116" s="133" t="s">
        <v>1209</v>
      </c>
      <c r="I1116" s="133" t="s">
        <v>1210</v>
      </c>
      <c r="J1116" s="158">
        <v>0</v>
      </c>
    </row>
    <row r="1117" spans="1:26" ht="15.75" hidden="1" customHeight="1">
      <c r="A1117" s="161" t="s">
        <v>2</v>
      </c>
      <c r="B1117" s="161" t="s">
        <v>4860</v>
      </c>
      <c r="C1117" s="161" t="s">
        <v>2317</v>
      </c>
      <c r="D1117" s="161" t="s">
        <v>477</v>
      </c>
      <c r="E1117" s="162">
        <v>5</v>
      </c>
      <c r="F1117" s="162">
        <v>0</v>
      </c>
      <c r="G1117" s="162">
        <v>0</v>
      </c>
      <c r="H1117" s="161"/>
      <c r="I1117" s="161"/>
      <c r="J1117" s="162">
        <v>0</v>
      </c>
      <c r="K1117" s="164" t="s">
        <v>2318</v>
      </c>
      <c r="L1117" s="165"/>
      <c r="M1117" s="165"/>
      <c r="N1117" s="165"/>
      <c r="O1117" s="165"/>
      <c r="P1117" s="165"/>
      <c r="Q1117" s="165"/>
      <c r="R1117" s="165"/>
      <c r="S1117" s="165"/>
      <c r="T1117" s="165"/>
      <c r="U1117" s="165"/>
      <c r="V1117" s="165"/>
      <c r="W1117" s="165"/>
      <c r="X1117" s="165"/>
      <c r="Y1117" s="165"/>
      <c r="Z1117" s="165"/>
    </row>
    <row r="1118" spans="1:26" ht="15.75" hidden="1" customHeight="1">
      <c r="A1118" s="133" t="s">
        <v>2</v>
      </c>
      <c r="B1118" s="133" t="s">
        <v>4860</v>
      </c>
      <c r="C1118" s="133" t="s">
        <v>2619</v>
      </c>
      <c r="D1118" s="133" t="s">
        <v>477</v>
      </c>
      <c r="E1118" s="158">
        <v>20</v>
      </c>
      <c r="F1118" s="158">
        <v>0</v>
      </c>
      <c r="G1118" s="158">
        <v>0</v>
      </c>
      <c r="H1118" s="133" t="s">
        <v>479</v>
      </c>
      <c r="I1118" s="133" t="s">
        <v>479</v>
      </c>
      <c r="J1118" s="158">
        <v>0</v>
      </c>
    </row>
    <row r="1119" spans="1:26" ht="15.75" hidden="1" customHeight="1">
      <c r="A1119" s="133" t="s">
        <v>2</v>
      </c>
      <c r="B1119" s="133" t="s">
        <v>4860</v>
      </c>
      <c r="C1119" s="133" t="s">
        <v>4574</v>
      </c>
      <c r="D1119" s="133" t="s">
        <v>477</v>
      </c>
      <c r="E1119" s="158">
        <v>20</v>
      </c>
      <c r="F1119" s="158">
        <v>0</v>
      </c>
      <c r="G1119" s="158">
        <v>0</v>
      </c>
      <c r="H1119" s="133" t="s">
        <v>479</v>
      </c>
      <c r="I1119" s="133" t="s">
        <v>479</v>
      </c>
      <c r="J1119" s="158">
        <v>0</v>
      </c>
    </row>
    <row r="1120" spans="1:26" ht="15.75" hidden="1" customHeight="1">
      <c r="A1120" s="133" t="s">
        <v>2</v>
      </c>
      <c r="B1120" s="133" t="s">
        <v>4860</v>
      </c>
      <c r="C1120" s="133" t="s">
        <v>4861</v>
      </c>
      <c r="D1120" s="133" t="s">
        <v>1974</v>
      </c>
      <c r="E1120" s="158">
        <v>3</v>
      </c>
      <c r="F1120" s="158">
        <v>10</v>
      </c>
      <c r="G1120" s="158">
        <v>0</v>
      </c>
      <c r="H1120" s="133" t="s">
        <v>479</v>
      </c>
      <c r="I1120" s="133" t="s">
        <v>479</v>
      </c>
      <c r="J1120" s="158">
        <v>0</v>
      </c>
    </row>
    <row r="1121" spans="1:10" ht="15.75" hidden="1" customHeight="1">
      <c r="A1121" s="133" t="s">
        <v>2</v>
      </c>
      <c r="B1121" s="133" t="s">
        <v>4860</v>
      </c>
      <c r="C1121" s="133" t="s">
        <v>4862</v>
      </c>
      <c r="D1121" s="133" t="s">
        <v>477</v>
      </c>
      <c r="E1121" s="158">
        <v>20</v>
      </c>
      <c r="F1121" s="158">
        <v>0</v>
      </c>
      <c r="G1121" s="158">
        <v>0</v>
      </c>
      <c r="H1121" s="133" t="s">
        <v>479</v>
      </c>
      <c r="I1121" s="133" t="s">
        <v>479</v>
      </c>
      <c r="J1121" s="158">
        <v>0</v>
      </c>
    </row>
    <row r="1122" spans="1:10" ht="15.75" hidden="1" customHeight="1">
      <c r="A1122" s="133" t="s">
        <v>2</v>
      </c>
      <c r="B1122" s="133" t="s">
        <v>4860</v>
      </c>
      <c r="C1122" s="133" t="s">
        <v>4863</v>
      </c>
      <c r="D1122" s="133" t="s">
        <v>477</v>
      </c>
      <c r="E1122" s="158">
        <v>200</v>
      </c>
      <c r="F1122" s="158">
        <v>0</v>
      </c>
      <c r="G1122" s="158">
        <v>0</v>
      </c>
      <c r="H1122" s="133" t="s">
        <v>479</v>
      </c>
      <c r="I1122" s="133" t="s">
        <v>479</v>
      </c>
      <c r="J1122" s="158">
        <v>0</v>
      </c>
    </row>
    <row r="1123" spans="1:10" ht="15.75" hidden="1" customHeight="1">
      <c r="A1123" s="133" t="s">
        <v>2</v>
      </c>
      <c r="B1123" s="133" t="s">
        <v>4860</v>
      </c>
      <c r="C1123" s="133" t="s">
        <v>4864</v>
      </c>
      <c r="D1123" s="133" t="s">
        <v>496</v>
      </c>
      <c r="E1123" s="158">
        <v>4</v>
      </c>
      <c r="F1123" s="158">
        <v>16</v>
      </c>
      <c r="G1123" s="158">
        <v>0</v>
      </c>
      <c r="H1123" s="133" t="s">
        <v>479</v>
      </c>
      <c r="I1123" s="133" t="s">
        <v>479</v>
      </c>
      <c r="J1123" s="158">
        <v>0</v>
      </c>
    </row>
    <row r="1124" spans="1:10" ht="15.75" hidden="1" customHeight="1">
      <c r="A1124" s="133" t="s">
        <v>2</v>
      </c>
      <c r="B1124" s="133" t="s">
        <v>4860</v>
      </c>
      <c r="C1124" s="133" t="s">
        <v>4865</v>
      </c>
      <c r="D1124" s="133" t="s">
        <v>477</v>
      </c>
      <c r="E1124" s="158">
        <v>20</v>
      </c>
      <c r="F1124" s="158">
        <v>0</v>
      </c>
      <c r="G1124" s="158">
        <v>0</v>
      </c>
      <c r="H1124" s="133" t="s">
        <v>479</v>
      </c>
      <c r="I1124" s="133" t="s">
        <v>479</v>
      </c>
      <c r="J1124" s="158">
        <v>0</v>
      </c>
    </row>
    <row r="1125" spans="1:10" ht="15.75" hidden="1" customHeight="1">
      <c r="A1125" s="133" t="s">
        <v>2</v>
      </c>
      <c r="B1125" s="133" t="s">
        <v>4860</v>
      </c>
      <c r="C1125" s="133" t="s">
        <v>2410</v>
      </c>
      <c r="D1125" s="133" t="s">
        <v>477</v>
      </c>
      <c r="E1125" s="158">
        <v>20</v>
      </c>
      <c r="F1125" s="158">
        <v>0</v>
      </c>
      <c r="G1125" s="158">
        <v>0</v>
      </c>
      <c r="H1125" s="133" t="s">
        <v>479</v>
      </c>
      <c r="I1125" s="133" t="s">
        <v>479</v>
      </c>
      <c r="J1125" s="158">
        <v>0</v>
      </c>
    </row>
    <row r="1126" spans="1:10" ht="15.75" hidden="1" customHeight="1">
      <c r="A1126" s="133" t="s">
        <v>2</v>
      </c>
      <c r="B1126" s="133" t="s">
        <v>4860</v>
      </c>
      <c r="C1126" s="133" t="s">
        <v>2409</v>
      </c>
      <c r="D1126" s="133" t="s">
        <v>477</v>
      </c>
      <c r="E1126" s="158">
        <v>20</v>
      </c>
      <c r="F1126" s="158">
        <v>0</v>
      </c>
      <c r="G1126" s="158">
        <v>0</v>
      </c>
      <c r="H1126" s="133" t="s">
        <v>479</v>
      </c>
      <c r="I1126" s="133" t="s">
        <v>479</v>
      </c>
      <c r="J1126" s="158">
        <v>0</v>
      </c>
    </row>
    <row r="1127" spans="1:10" ht="15.75" hidden="1" customHeight="1">
      <c r="A1127" s="133" t="s">
        <v>2</v>
      </c>
      <c r="B1127" s="133" t="s">
        <v>4860</v>
      </c>
      <c r="C1127" s="133" t="s">
        <v>1101</v>
      </c>
      <c r="D1127" s="133" t="s">
        <v>477</v>
      </c>
      <c r="E1127" s="158">
        <v>20</v>
      </c>
      <c r="F1127" s="158">
        <v>0</v>
      </c>
      <c r="G1127" s="158">
        <v>0</v>
      </c>
      <c r="H1127" s="133" t="s">
        <v>479</v>
      </c>
      <c r="I1127" s="133" t="s">
        <v>479</v>
      </c>
      <c r="J1127" s="277">
        <v>1</v>
      </c>
    </row>
    <row r="1128" spans="1:10" ht="15.75" hidden="1" customHeight="1">
      <c r="A1128" s="133" t="s">
        <v>2</v>
      </c>
      <c r="B1128" s="133" t="s">
        <v>4860</v>
      </c>
      <c r="C1128" s="133" t="s">
        <v>2685</v>
      </c>
      <c r="D1128" s="133" t="s">
        <v>477</v>
      </c>
      <c r="E1128" s="158">
        <v>20</v>
      </c>
      <c r="F1128" s="158">
        <v>0</v>
      </c>
      <c r="G1128" s="158">
        <v>0</v>
      </c>
      <c r="H1128" s="133" t="s">
        <v>479</v>
      </c>
      <c r="I1128" s="133" t="s">
        <v>479</v>
      </c>
      <c r="J1128" s="158">
        <v>0</v>
      </c>
    </row>
    <row r="1129" spans="1:10" ht="15.75" hidden="1" customHeight="1">
      <c r="A1129" s="133" t="s">
        <v>2</v>
      </c>
      <c r="B1129" s="133" t="s">
        <v>4860</v>
      </c>
      <c r="C1129" s="133" t="s">
        <v>4576</v>
      </c>
      <c r="D1129" s="133" t="s">
        <v>477</v>
      </c>
      <c r="E1129" s="158">
        <v>20</v>
      </c>
      <c r="F1129" s="158">
        <v>0</v>
      </c>
      <c r="G1129" s="158">
        <v>0</v>
      </c>
      <c r="H1129" s="133" t="s">
        <v>479</v>
      </c>
      <c r="I1129" s="133" t="s">
        <v>479</v>
      </c>
      <c r="J1129" s="158">
        <v>0</v>
      </c>
    </row>
    <row r="1130" spans="1:10" ht="15.75" hidden="1" customHeight="1">
      <c r="A1130" s="133" t="s">
        <v>2</v>
      </c>
      <c r="B1130" s="133" t="s">
        <v>4860</v>
      </c>
      <c r="C1130" s="133" t="s">
        <v>4577</v>
      </c>
      <c r="D1130" s="133" t="s">
        <v>477</v>
      </c>
      <c r="E1130" s="158">
        <v>20</v>
      </c>
      <c r="F1130" s="158">
        <v>0</v>
      </c>
      <c r="G1130" s="158">
        <v>0</v>
      </c>
      <c r="H1130" s="133" t="s">
        <v>479</v>
      </c>
      <c r="I1130" s="133" t="s">
        <v>479</v>
      </c>
      <c r="J1130" s="158">
        <v>0</v>
      </c>
    </row>
    <row r="1131" spans="1:10" ht="15.75" hidden="1" customHeight="1">
      <c r="A1131" s="133" t="s">
        <v>2</v>
      </c>
      <c r="B1131" s="133" t="s">
        <v>4860</v>
      </c>
      <c r="C1131" s="133" t="s">
        <v>2595</v>
      </c>
      <c r="D1131" s="133" t="s">
        <v>477</v>
      </c>
      <c r="E1131" s="158">
        <v>20</v>
      </c>
      <c r="F1131" s="158">
        <v>0</v>
      </c>
      <c r="G1131" s="158">
        <v>0</v>
      </c>
      <c r="H1131" s="133" t="s">
        <v>479</v>
      </c>
      <c r="I1131" s="133" t="s">
        <v>479</v>
      </c>
      <c r="J1131" s="158">
        <v>0</v>
      </c>
    </row>
    <row r="1132" spans="1:10" ht="15.75" hidden="1" customHeight="1">
      <c r="A1132" s="133" t="s">
        <v>2</v>
      </c>
      <c r="B1132" s="133" t="s">
        <v>4860</v>
      </c>
      <c r="C1132" s="133" t="s">
        <v>4578</v>
      </c>
      <c r="D1132" s="133" t="s">
        <v>477</v>
      </c>
      <c r="E1132" s="158">
        <v>20</v>
      </c>
      <c r="F1132" s="158">
        <v>0</v>
      </c>
      <c r="G1132" s="158">
        <v>0</v>
      </c>
      <c r="H1132" s="133" t="s">
        <v>479</v>
      </c>
      <c r="I1132" s="133" t="s">
        <v>479</v>
      </c>
      <c r="J1132" s="158">
        <v>0</v>
      </c>
    </row>
    <row r="1133" spans="1:10" ht="15.75" hidden="1" customHeight="1">
      <c r="A1133" s="133" t="s">
        <v>2</v>
      </c>
      <c r="B1133" s="133" t="s">
        <v>4860</v>
      </c>
      <c r="C1133" s="133" t="s">
        <v>4654</v>
      </c>
      <c r="D1133" s="133" t="s">
        <v>477</v>
      </c>
      <c r="E1133" s="158">
        <v>50</v>
      </c>
      <c r="F1133" s="158">
        <v>0</v>
      </c>
      <c r="G1133" s="158">
        <v>0</v>
      </c>
      <c r="H1133" s="133" t="s">
        <v>479</v>
      </c>
      <c r="I1133" s="133" t="s">
        <v>479</v>
      </c>
      <c r="J1133" s="158">
        <v>0</v>
      </c>
    </row>
    <row r="1134" spans="1:10" ht="15.75" hidden="1" customHeight="1">
      <c r="A1134" s="133" t="s">
        <v>2</v>
      </c>
      <c r="B1134" s="133" t="s">
        <v>4860</v>
      </c>
      <c r="C1134" s="133" t="s">
        <v>4866</v>
      </c>
      <c r="D1134" s="133" t="s">
        <v>477</v>
      </c>
      <c r="E1134" s="158">
        <v>20</v>
      </c>
      <c r="F1134" s="158">
        <v>0</v>
      </c>
      <c r="G1134" s="158">
        <v>0</v>
      </c>
      <c r="H1134" s="133" t="s">
        <v>479</v>
      </c>
      <c r="I1134" s="133" t="s">
        <v>479</v>
      </c>
      <c r="J1134" s="158">
        <v>0</v>
      </c>
    </row>
    <row r="1135" spans="1:10" ht="15.75" hidden="1" customHeight="1">
      <c r="A1135" s="133" t="s">
        <v>2</v>
      </c>
      <c r="B1135" s="133" t="s">
        <v>4860</v>
      </c>
      <c r="C1135" s="133" t="s">
        <v>2392</v>
      </c>
      <c r="D1135" s="133" t="s">
        <v>477</v>
      </c>
      <c r="E1135" s="158">
        <v>255</v>
      </c>
      <c r="F1135" s="158">
        <v>0</v>
      </c>
      <c r="G1135" s="158">
        <v>0</v>
      </c>
      <c r="H1135" s="133" t="s">
        <v>479</v>
      </c>
      <c r="I1135" s="133" t="s">
        <v>479</v>
      </c>
      <c r="J1135" s="158">
        <v>0</v>
      </c>
    </row>
    <row r="1136" spans="1:10" ht="15.75" hidden="1" customHeight="1">
      <c r="A1136" s="133" t="s">
        <v>2</v>
      </c>
      <c r="B1136" s="133" t="s">
        <v>4860</v>
      </c>
      <c r="C1136" s="133" t="s">
        <v>4867</v>
      </c>
      <c r="D1136" s="133" t="s">
        <v>477</v>
      </c>
      <c r="E1136" s="158">
        <v>20</v>
      </c>
      <c r="F1136" s="158">
        <v>0</v>
      </c>
      <c r="G1136" s="158">
        <v>0</v>
      </c>
      <c r="H1136" s="133" t="s">
        <v>479</v>
      </c>
      <c r="I1136" s="133" t="s">
        <v>479</v>
      </c>
      <c r="J1136" s="158">
        <v>0</v>
      </c>
    </row>
    <row r="1137" spans="1:10" ht="15.75" hidden="1" customHeight="1">
      <c r="A1137" s="133" t="s">
        <v>2</v>
      </c>
      <c r="B1137" s="133" t="s">
        <v>4860</v>
      </c>
      <c r="C1137" s="133" t="s">
        <v>2402</v>
      </c>
      <c r="D1137" s="133" t="s">
        <v>496</v>
      </c>
      <c r="E1137" s="158">
        <v>4</v>
      </c>
      <c r="F1137" s="158">
        <v>16</v>
      </c>
      <c r="G1137" s="158">
        <v>0</v>
      </c>
      <c r="H1137" s="133" t="s">
        <v>479</v>
      </c>
      <c r="I1137" s="133" t="s">
        <v>479</v>
      </c>
      <c r="J1137" s="158">
        <v>0</v>
      </c>
    </row>
    <row r="1138" spans="1:10" ht="15.75" hidden="1" customHeight="1">
      <c r="A1138" s="133" t="s">
        <v>2</v>
      </c>
      <c r="B1138" s="133" t="s">
        <v>4860</v>
      </c>
      <c r="C1138" s="133" t="s">
        <v>4868</v>
      </c>
      <c r="D1138" s="133" t="s">
        <v>477</v>
      </c>
      <c r="E1138" s="158">
        <v>-1</v>
      </c>
      <c r="F1138" s="158">
        <v>0</v>
      </c>
      <c r="G1138" s="158">
        <v>0</v>
      </c>
      <c r="H1138" s="133" t="s">
        <v>479</v>
      </c>
      <c r="I1138" s="133" t="s">
        <v>479</v>
      </c>
      <c r="J1138" s="158">
        <v>0</v>
      </c>
    </row>
    <row r="1139" spans="1:10" ht="15.75" hidden="1" customHeight="1">
      <c r="A1139" s="133" t="s">
        <v>2</v>
      </c>
      <c r="B1139" s="133" t="s">
        <v>4860</v>
      </c>
      <c r="C1139" s="133" t="s">
        <v>4579</v>
      </c>
      <c r="D1139" s="133" t="s">
        <v>1631</v>
      </c>
      <c r="E1139" s="158">
        <v>8</v>
      </c>
      <c r="F1139" s="158">
        <v>19</v>
      </c>
      <c r="G1139" s="158">
        <v>0</v>
      </c>
      <c r="H1139" s="133" t="s">
        <v>479</v>
      </c>
      <c r="I1139" s="133" t="s">
        <v>479</v>
      </c>
      <c r="J1139" s="158">
        <v>0</v>
      </c>
    </row>
    <row r="1140" spans="1:10" ht="15.75" hidden="1" customHeight="1">
      <c r="A1140" s="133" t="s">
        <v>2</v>
      </c>
      <c r="B1140" s="133" t="s">
        <v>4860</v>
      </c>
      <c r="C1140" s="133" t="s">
        <v>4580</v>
      </c>
      <c r="D1140" s="133" t="s">
        <v>477</v>
      </c>
      <c r="E1140" s="158">
        <v>100</v>
      </c>
      <c r="F1140" s="158">
        <v>0</v>
      </c>
      <c r="G1140" s="158">
        <v>0</v>
      </c>
      <c r="H1140" s="133" t="s">
        <v>479</v>
      </c>
      <c r="I1140" s="133" t="s">
        <v>479</v>
      </c>
      <c r="J1140" s="158">
        <v>0</v>
      </c>
    </row>
    <row r="1141" spans="1:10" ht="15.75" hidden="1" customHeight="1">
      <c r="A1141" s="133" t="s">
        <v>2</v>
      </c>
      <c r="B1141" s="133" t="s">
        <v>4860</v>
      </c>
      <c r="C1141" s="133" t="s">
        <v>4581</v>
      </c>
      <c r="D1141" s="133" t="s">
        <v>477</v>
      </c>
      <c r="E1141" s="158">
        <v>100</v>
      </c>
      <c r="F1141" s="158">
        <v>0</v>
      </c>
      <c r="G1141" s="158">
        <v>0</v>
      </c>
      <c r="H1141" s="133" t="s">
        <v>479</v>
      </c>
      <c r="I1141" s="133" t="s">
        <v>479</v>
      </c>
      <c r="J1141" s="158">
        <v>0</v>
      </c>
    </row>
    <row r="1142" spans="1:10" ht="15.75" hidden="1" customHeight="1">
      <c r="A1142" s="133" t="s">
        <v>2</v>
      </c>
      <c r="B1142" s="133" t="s">
        <v>4860</v>
      </c>
      <c r="C1142" s="133" t="s">
        <v>4582</v>
      </c>
      <c r="D1142" s="133" t="s">
        <v>477</v>
      </c>
      <c r="E1142" s="158">
        <v>6</v>
      </c>
      <c r="F1142" s="158">
        <v>0</v>
      </c>
      <c r="G1142" s="158">
        <v>0</v>
      </c>
      <c r="H1142" s="133" t="s">
        <v>479</v>
      </c>
      <c r="I1142" s="133" t="s">
        <v>479</v>
      </c>
      <c r="J1142" s="158">
        <v>0</v>
      </c>
    </row>
    <row r="1143" spans="1:10" ht="15.75" hidden="1" customHeight="1">
      <c r="A1143" s="133" t="s">
        <v>2</v>
      </c>
      <c r="B1143" s="133" t="s">
        <v>4860</v>
      </c>
      <c r="C1143" s="133" t="s">
        <v>4583</v>
      </c>
      <c r="D1143" s="133" t="s">
        <v>477</v>
      </c>
      <c r="E1143" s="158">
        <v>100</v>
      </c>
      <c r="F1143" s="158">
        <v>0</v>
      </c>
      <c r="G1143" s="158">
        <v>0</v>
      </c>
      <c r="H1143" s="133" t="s">
        <v>479</v>
      </c>
      <c r="I1143" s="133" t="s">
        <v>479</v>
      </c>
      <c r="J1143" s="158">
        <v>0</v>
      </c>
    </row>
    <row r="1144" spans="1:10" ht="15.75" hidden="1" customHeight="1">
      <c r="A1144" s="133" t="s">
        <v>2</v>
      </c>
      <c r="B1144" s="133" t="s">
        <v>4860</v>
      </c>
      <c r="C1144" s="133" t="s">
        <v>4584</v>
      </c>
      <c r="D1144" s="133" t="s">
        <v>477</v>
      </c>
      <c r="E1144" s="158">
        <v>100</v>
      </c>
      <c r="F1144" s="158">
        <v>0</v>
      </c>
      <c r="G1144" s="158">
        <v>0</v>
      </c>
      <c r="H1144" s="133" t="s">
        <v>479</v>
      </c>
      <c r="I1144" s="133" t="s">
        <v>479</v>
      </c>
      <c r="J1144" s="158">
        <v>0</v>
      </c>
    </row>
    <row r="1145" spans="1:10" ht="15.75" hidden="1" customHeight="1">
      <c r="A1145" s="133" t="s">
        <v>2</v>
      </c>
      <c r="B1145" s="133" t="s">
        <v>4860</v>
      </c>
      <c r="C1145" s="133" t="s">
        <v>4585</v>
      </c>
      <c r="D1145" s="133" t="s">
        <v>477</v>
      </c>
      <c r="E1145" s="158">
        <v>100</v>
      </c>
      <c r="F1145" s="158">
        <v>0</v>
      </c>
      <c r="G1145" s="158">
        <v>0</v>
      </c>
      <c r="H1145" s="133" t="s">
        <v>479</v>
      </c>
      <c r="I1145" s="133" t="s">
        <v>479</v>
      </c>
      <c r="J1145" s="158">
        <v>0</v>
      </c>
    </row>
    <row r="1146" spans="1:10" ht="15.75" hidden="1" customHeight="1">
      <c r="A1146" s="133" t="s">
        <v>2</v>
      </c>
      <c r="B1146" s="133" t="s">
        <v>4860</v>
      </c>
      <c r="C1146" s="133" t="s">
        <v>4586</v>
      </c>
      <c r="D1146" s="133" t="s">
        <v>477</v>
      </c>
      <c r="E1146" s="158">
        <v>20</v>
      </c>
      <c r="F1146" s="158">
        <v>0</v>
      </c>
      <c r="G1146" s="158">
        <v>0</v>
      </c>
      <c r="H1146" s="133" t="s">
        <v>479</v>
      </c>
      <c r="I1146" s="133" t="s">
        <v>479</v>
      </c>
      <c r="J1146" s="158">
        <v>0</v>
      </c>
    </row>
    <row r="1147" spans="1:10" ht="15.75" hidden="1" customHeight="1">
      <c r="A1147" s="133" t="s">
        <v>2</v>
      </c>
      <c r="B1147" s="133" t="s">
        <v>4860</v>
      </c>
      <c r="C1147" s="133" t="s">
        <v>1952</v>
      </c>
      <c r="D1147" s="133" t="s">
        <v>477</v>
      </c>
      <c r="E1147" s="158">
        <v>100</v>
      </c>
      <c r="F1147" s="158">
        <v>0</v>
      </c>
      <c r="G1147" s="158">
        <v>0</v>
      </c>
      <c r="H1147" s="133" t="s">
        <v>479</v>
      </c>
      <c r="I1147" s="133" t="s">
        <v>479</v>
      </c>
      <c r="J1147" s="158">
        <v>0</v>
      </c>
    </row>
    <row r="1148" spans="1:10" ht="15.75" hidden="1" customHeight="1">
      <c r="A1148" s="133" t="s">
        <v>2</v>
      </c>
      <c r="B1148" s="133" t="s">
        <v>4860</v>
      </c>
      <c r="C1148" s="133" t="s">
        <v>4587</v>
      </c>
      <c r="D1148" s="133" t="s">
        <v>477</v>
      </c>
      <c r="E1148" s="158">
        <v>20</v>
      </c>
      <c r="F1148" s="158">
        <v>0</v>
      </c>
      <c r="G1148" s="158">
        <v>0</v>
      </c>
      <c r="H1148" s="133" t="s">
        <v>479</v>
      </c>
      <c r="I1148" s="133" t="s">
        <v>479</v>
      </c>
      <c r="J1148" s="158">
        <v>0</v>
      </c>
    </row>
    <row r="1149" spans="1:10" ht="15.75" hidden="1" customHeight="1">
      <c r="A1149" s="133" t="s">
        <v>2</v>
      </c>
      <c r="B1149" s="133" t="s">
        <v>4860</v>
      </c>
      <c r="C1149" s="133" t="s">
        <v>1279</v>
      </c>
      <c r="D1149" s="133" t="s">
        <v>477</v>
      </c>
      <c r="E1149" s="158">
        <v>20</v>
      </c>
      <c r="F1149" s="158">
        <v>0</v>
      </c>
      <c r="G1149" s="158">
        <v>0</v>
      </c>
      <c r="H1149" s="133" t="s">
        <v>479</v>
      </c>
      <c r="I1149" s="133" t="s">
        <v>479</v>
      </c>
      <c r="J1149" s="158">
        <v>0</v>
      </c>
    </row>
    <row r="1150" spans="1:10" ht="15.75" hidden="1" customHeight="1">
      <c r="A1150" s="133" t="s">
        <v>2</v>
      </c>
      <c r="B1150" s="133" t="s">
        <v>4860</v>
      </c>
      <c r="C1150" s="133" t="s">
        <v>4588</v>
      </c>
      <c r="D1150" s="133" t="s">
        <v>477</v>
      </c>
      <c r="E1150" s="158">
        <v>20</v>
      </c>
      <c r="F1150" s="158">
        <v>0</v>
      </c>
      <c r="G1150" s="158">
        <v>0</v>
      </c>
      <c r="H1150" s="133" t="s">
        <v>479</v>
      </c>
      <c r="I1150" s="133" t="s">
        <v>479</v>
      </c>
      <c r="J1150" s="158">
        <v>0</v>
      </c>
    </row>
    <row r="1151" spans="1:10" ht="15.75" hidden="1" customHeight="1">
      <c r="A1151" s="133" t="s">
        <v>2</v>
      </c>
      <c r="B1151" s="133" t="s">
        <v>4860</v>
      </c>
      <c r="C1151" s="133" t="s">
        <v>4589</v>
      </c>
      <c r="D1151" s="133" t="s">
        <v>477</v>
      </c>
      <c r="E1151" s="158">
        <v>100</v>
      </c>
      <c r="F1151" s="158">
        <v>0</v>
      </c>
      <c r="G1151" s="158">
        <v>0</v>
      </c>
      <c r="H1151" s="133" t="s">
        <v>479</v>
      </c>
      <c r="I1151" s="133" t="s">
        <v>479</v>
      </c>
      <c r="J1151" s="158">
        <v>0</v>
      </c>
    </row>
    <row r="1152" spans="1:10" ht="15.75" hidden="1" customHeight="1">
      <c r="A1152" s="133" t="s">
        <v>2</v>
      </c>
      <c r="B1152" s="133" t="s">
        <v>4860</v>
      </c>
      <c r="C1152" s="133" t="s">
        <v>2494</v>
      </c>
      <c r="D1152" s="133" t="s">
        <v>477</v>
      </c>
      <c r="E1152" s="158">
        <v>20</v>
      </c>
      <c r="F1152" s="158">
        <v>0</v>
      </c>
      <c r="G1152" s="158">
        <v>0</v>
      </c>
      <c r="H1152" s="133" t="s">
        <v>479</v>
      </c>
      <c r="I1152" s="133" t="s">
        <v>479</v>
      </c>
      <c r="J1152" s="158">
        <v>0</v>
      </c>
    </row>
    <row r="1153" spans="1:10" ht="15.75" hidden="1" customHeight="1">
      <c r="A1153" s="133" t="s">
        <v>2</v>
      </c>
      <c r="B1153" s="133" t="s">
        <v>4860</v>
      </c>
      <c r="C1153" s="133" t="s">
        <v>4590</v>
      </c>
      <c r="D1153" s="133" t="s">
        <v>477</v>
      </c>
      <c r="E1153" s="158">
        <v>20</v>
      </c>
      <c r="F1153" s="158">
        <v>0</v>
      </c>
      <c r="G1153" s="158">
        <v>0</v>
      </c>
      <c r="H1153" s="133" t="s">
        <v>479</v>
      </c>
      <c r="I1153" s="133" t="s">
        <v>479</v>
      </c>
      <c r="J1153" s="158">
        <v>0</v>
      </c>
    </row>
    <row r="1154" spans="1:10" ht="15.75" hidden="1" customHeight="1">
      <c r="A1154" s="133" t="s">
        <v>2</v>
      </c>
      <c r="B1154" s="133" t="s">
        <v>4860</v>
      </c>
      <c r="C1154" s="133" t="s">
        <v>4591</v>
      </c>
      <c r="D1154" s="133" t="s">
        <v>477</v>
      </c>
      <c r="E1154" s="158">
        <v>100</v>
      </c>
      <c r="F1154" s="158">
        <v>0</v>
      </c>
      <c r="G1154" s="158">
        <v>0</v>
      </c>
      <c r="H1154" s="133" t="s">
        <v>479</v>
      </c>
      <c r="I1154" s="133" t="s">
        <v>479</v>
      </c>
      <c r="J1154" s="158">
        <v>0</v>
      </c>
    </row>
    <row r="1155" spans="1:10" ht="15.75" hidden="1" customHeight="1">
      <c r="A1155" s="133" t="s">
        <v>2</v>
      </c>
      <c r="B1155" s="133" t="s">
        <v>4860</v>
      </c>
      <c r="C1155" s="133" t="s">
        <v>4592</v>
      </c>
      <c r="D1155" s="133" t="s">
        <v>477</v>
      </c>
      <c r="E1155" s="158">
        <v>20</v>
      </c>
      <c r="F1155" s="158">
        <v>0</v>
      </c>
      <c r="G1155" s="158">
        <v>0</v>
      </c>
      <c r="H1155" s="133" t="s">
        <v>479</v>
      </c>
      <c r="I1155" s="133" t="s">
        <v>479</v>
      </c>
      <c r="J1155" s="158">
        <v>0</v>
      </c>
    </row>
    <row r="1156" spans="1:10" ht="15.75" hidden="1" customHeight="1">
      <c r="A1156" s="133" t="s">
        <v>2</v>
      </c>
      <c r="B1156" s="133" t="s">
        <v>4860</v>
      </c>
      <c r="C1156" s="133" t="s">
        <v>4593</v>
      </c>
      <c r="D1156" s="133" t="s">
        <v>477</v>
      </c>
      <c r="E1156" s="158">
        <v>100</v>
      </c>
      <c r="F1156" s="158">
        <v>0</v>
      </c>
      <c r="G1156" s="158">
        <v>0</v>
      </c>
      <c r="H1156" s="133" t="s">
        <v>479</v>
      </c>
      <c r="I1156" s="133" t="s">
        <v>479</v>
      </c>
      <c r="J1156" s="158">
        <v>0</v>
      </c>
    </row>
    <row r="1157" spans="1:10" ht="15.75" hidden="1" customHeight="1">
      <c r="A1157" s="133" t="s">
        <v>2</v>
      </c>
      <c r="B1157" s="133" t="s">
        <v>4860</v>
      </c>
      <c r="C1157" s="133" t="s">
        <v>4594</v>
      </c>
      <c r="D1157" s="133" t="s">
        <v>477</v>
      </c>
      <c r="E1157" s="158">
        <v>110</v>
      </c>
      <c r="F1157" s="158">
        <v>0</v>
      </c>
      <c r="G1157" s="158">
        <v>0</v>
      </c>
      <c r="H1157" s="133" t="s">
        <v>479</v>
      </c>
      <c r="I1157" s="133" t="s">
        <v>479</v>
      </c>
      <c r="J1157" s="158">
        <v>0</v>
      </c>
    </row>
    <row r="1158" spans="1:10" ht="15.75" hidden="1" customHeight="1">
      <c r="A1158" s="133" t="s">
        <v>2</v>
      </c>
      <c r="B1158" s="133" t="s">
        <v>4860</v>
      </c>
      <c r="C1158" s="133" t="s">
        <v>4595</v>
      </c>
      <c r="D1158" s="133" t="s">
        <v>477</v>
      </c>
      <c r="E1158" s="158">
        <v>100</v>
      </c>
      <c r="F1158" s="158">
        <v>0</v>
      </c>
      <c r="G1158" s="158">
        <v>0</v>
      </c>
      <c r="H1158" s="133" t="s">
        <v>479</v>
      </c>
      <c r="I1158" s="133" t="s">
        <v>479</v>
      </c>
      <c r="J1158" s="158">
        <v>0</v>
      </c>
    </row>
    <row r="1159" spans="1:10" ht="15.75" hidden="1" customHeight="1">
      <c r="A1159" s="133" t="s">
        <v>2</v>
      </c>
      <c r="B1159" s="133" t="s">
        <v>4860</v>
      </c>
      <c r="C1159" s="133" t="s">
        <v>4596</v>
      </c>
      <c r="D1159" s="133" t="s">
        <v>477</v>
      </c>
      <c r="E1159" s="158">
        <v>100</v>
      </c>
      <c r="F1159" s="158">
        <v>0</v>
      </c>
      <c r="G1159" s="158">
        <v>0</v>
      </c>
      <c r="H1159" s="133" t="s">
        <v>479</v>
      </c>
      <c r="I1159" s="133" t="s">
        <v>479</v>
      </c>
      <c r="J1159" s="158">
        <v>0</v>
      </c>
    </row>
    <row r="1160" spans="1:10" ht="15.75" hidden="1" customHeight="1">
      <c r="A1160" s="133" t="s">
        <v>2</v>
      </c>
      <c r="B1160" s="133" t="s">
        <v>4860</v>
      </c>
      <c r="C1160" s="133" t="s">
        <v>4597</v>
      </c>
      <c r="D1160" s="133" t="s">
        <v>477</v>
      </c>
      <c r="E1160" s="158">
        <v>255</v>
      </c>
      <c r="F1160" s="158">
        <v>0</v>
      </c>
      <c r="G1160" s="158">
        <v>0</v>
      </c>
      <c r="H1160" s="133" t="s">
        <v>479</v>
      </c>
      <c r="I1160" s="133" t="s">
        <v>479</v>
      </c>
      <c r="J1160" s="277">
        <v>1</v>
      </c>
    </row>
    <row r="1161" spans="1:10" ht="15.75" hidden="1" customHeight="1">
      <c r="A1161" s="133" t="s">
        <v>2</v>
      </c>
      <c r="B1161" s="133" t="s">
        <v>4860</v>
      </c>
      <c r="C1161" s="133" t="s">
        <v>3189</v>
      </c>
      <c r="D1161" s="133" t="s">
        <v>477</v>
      </c>
      <c r="E1161" s="158">
        <v>300</v>
      </c>
      <c r="F1161" s="158">
        <v>0</v>
      </c>
      <c r="G1161" s="158">
        <v>0</v>
      </c>
      <c r="H1161" s="133" t="s">
        <v>479</v>
      </c>
      <c r="I1161" s="133" t="s">
        <v>479</v>
      </c>
      <c r="J1161" s="158">
        <v>0</v>
      </c>
    </row>
    <row r="1162" spans="1:10" ht="15.75" hidden="1" customHeight="1">
      <c r="A1162" s="133" t="s">
        <v>2</v>
      </c>
      <c r="B1162" s="133" t="s">
        <v>4860</v>
      </c>
      <c r="C1162" s="133" t="s">
        <v>4598</v>
      </c>
      <c r="D1162" s="133" t="s">
        <v>477</v>
      </c>
      <c r="E1162" s="158">
        <v>300</v>
      </c>
      <c r="F1162" s="158">
        <v>0</v>
      </c>
      <c r="G1162" s="158">
        <v>0</v>
      </c>
      <c r="H1162" s="133" t="s">
        <v>479</v>
      </c>
      <c r="I1162" s="133" t="s">
        <v>479</v>
      </c>
      <c r="J1162" s="158">
        <v>0</v>
      </c>
    </row>
    <row r="1163" spans="1:10" ht="15.75" hidden="1" customHeight="1">
      <c r="A1163" s="133" t="s">
        <v>2</v>
      </c>
      <c r="B1163" s="133" t="s">
        <v>4860</v>
      </c>
      <c r="C1163" s="133" t="s">
        <v>4664</v>
      </c>
      <c r="D1163" s="133" t="s">
        <v>1974</v>
      </c>
      <c r="E1163" s="158">
        <v>3</v>
      </c>
      <c r="F1163" s="158">
        <v>10</v>
      </c>
      <c r="G1163" s="158">
        <v>0</v>
      </c>
      <c r="H1163" s="133" t="s">
        <v>479</v>
      </c>
      <c r="I1163" s="133" t="s">
        <v>479</v>
      </c>
      <c r="J1163" s="158">
        <v>0</v>
      </c>
    </row>
    <row r="1164" spans="1:10" ht="15.75" hidden="1" customHeight="1">
      <c r="A1164" s="133" t="s">
        <v>2</v>
      </c>
      <c r="B1164" s="133" t="s">
        <v>4860</v>
      </c>
      <c r="C1164" s="133" t="s">
        <v>4599</v>
      </c>
      <c r="D1164" s="133" t="s">
        <v>477</v>
      </c>
      <c r="E1164" s="158">
        <v>100</v>
      </c>
      <c r="F1164" s="158">
        <v>0</v>
      </c>
      <c r="G1164" s="158">
        <v>0</v>
      </c>
      <c r="H1164" s="133" t="s">
        <v>479</v>
      </c>
      <c r="I1164" s="133" t="s">
        <v>479</v>
      </c>
      <c r="J1164" s="158">
        <v>0</v>
      </c>
    </row>
    <row r="1165" spans="1:10" ht="15.75" hidden="1" customHeight="1">
      <c r="A1165" s="133" t="s">
        <v>2</v>
      </c>
      <c r="B1165" s="133" t="s">
        <v>4860</v>
      </c>
      <c r="C1165" s="133" t="s">
        <v>4345</v>
      </c>
      <c r="D1165" s="133" t="s">
        <v>484</v>
      </c>
      <c r="E1165" s="158">
        <v>4</v>
      </c>
      <c r="F1165" s="158">
        <v>10</v>
      </c>
      <c r="G1165" s="158">
        <v>0</v>
      </c>
      <c r="H1165" s="133" t="s">
        <v>479</v>
      </c>
      <c r="I1165" s="133" t="s">
        <v>479</v>
      </c>
      <c r="J1165" s="158">
        <v>0</v>
      </c>
    </row>
    <row r="1166" spans="1:10" ht="15.75" hidden="1" customHeight="1">
      <c r="A1166" s="133" t="s">
        <v>2</v>
      </c>
      <c r="B1166" s="133" t="s">
        <v>4860</v>
      </c>
      <c r="C1166" s="133" t="s">
        <v>4600</v>
      </c>
      <c r="D1166" s="133" t="s">
        <v>477</v>
      </c>
      <c r="E1166" s="158">
        <v>100</v>
      </c>
      <c r="F1166" s="158">
        <v>0</v>
      </c>
      <c r="G1166" s="158">
        <v>0</v>
      </c>
      <c r="H1166" s="133" t="s">
        <v>479</v>
      </c>
      <c r="I1166" s="133" t="s">
        <v>479</v>
      </c>
      <c r="J1166" s="158">
        <v>0</v>
      </c>
    </row>
    <row r="1167" spans="1:10" ht="15.75" hidden="1" customHeight="1">
      <c r="A1167" s="133" t="s">
        <v>2</v>
      </c>
      <c r="B1167" s="133" t="s">
        <v>4860</v>
      </c>
      <c r="C1167" s="133" t="s">
        <v>2551</v>
      </c>
      <c r="D1167" s="133" t="s">
        <v>477</v>
      </c>
      <c r="E1167" s="158">
        <v>100</v>
      </c>
      <c r="F1167" s="158">
        <v>0</v>
      </c>
      <c r="G1167" s="158">
        <v>0</v>
      </c>
      <c r="H1167" s="133" t="s">
        <v>479</v>
      </c>
      <c r="I1167" s="133" t="s">
        <v>479</v>
      </c>
      <c r="J1167" s="158">
        <v>0</v>
      </c>
    </row>
    <row r="1168" spans="1:10" ht="15.75" hidden="1" customHeight="1">
      <c r="A1168" s="133" t="s">
        <v>2</v>
      </c>
      <c r="B1168" s="133" t="s">
        <v>4860</v>
      </c>
      <c r="C1168" s="133" t="s">
        <v>4601</v>
      </c>
      <c r="D1168" s="133" t="s">
        <v>477</v>
      </c>
      <c r="E1168" s="158">
        <v>6</v>
      </c>
      <c r="F1168" s="158">
        <v>0</v>
      </c>
      <c r="G1168" s="158">
        <v>0</v>
      </c>
      <c r="H1168" s="133" t="s">
        <v>479</v>
      </c>
      <c r="I1168" s="133" t="s">
        <v>479</v>
      </c>
      <c r="J1168" s="158">
        <v>0</v>
      </c>
    </row>
    <row r="1169" spans="1:10" ht="15.75" hidden="1" customHeight="1">
      <c r="A1169" s="133" t="s">
        <v>2</v>
      </c>
      <c r="B1169" s="133" t="s">
        <v>4860</v>
      </c>
      <c r="C1169" s="133" t="s">
        <v>4602</v>
      </c>
      <c r="D1169" s="133" t="s">
        <v>477</v>
      </c>
      <c r="E1169" s="158">
        <v>100</v>
      </c>
      <c r="F1169" s="158">
        <v>0</v>
      </c>
      <c r="G1169" s="158">
        <v>0</v>
      </c>
      <c r="H1169" s="133" t="s">
        <v>479</v>
      </c>
      <c r="I1169" s="133" t="s">
        <v>479</v>
      </c>
      <c r="J1169" s="158">
        <v>0</v>
      </c>
    </row>
    <row r="1170" spans="1:10" ht="15.75" hidden="1" customHeight="1">
      <c r="A1170" s="133" t="s">
        <v>2</v>
      </c>
      <c r="B1170" s="133" t="s">
        <v>4860</v>
      </c>
      <c r="C1170" s="133" t="s">
        <v>2555</v>
      </c>
      <c r="D1170" s="133" t="s">
        <v>477</v>
      </c>
      <c r="E1170" s="158">
        <v>20</v>
      </c>
      <c r="F1170" s="158">
        <v>0</v>
      </c>
      <c r="G1170" s="158">
        <v>0</v>
      </c>
      <c r="H1170" s="133" t="s">
        <v>479</v>
      </c>
      <c r="I1170" s="133" t="s">
        <v>479</v>
      </c>
      <c r="J1170" s="158">
        <v>0</v>
      </c>
    </row>
    <row r="1171" spans="1:10" ht="15.75" hidden="1" customHeight="1">
      <c r="A1171" s="133" t="s">
        <v>2</v>
      </c>
      <c r="B1171" s="133" t="s">
        <v>4860</v>
      </c>
      <c r="C1171" s="133" t="s">
        <v>4603</v>
      </c>
      <c r="D1171" s="133" t="s">
        <v>477</v>
      </c>
      <c r="E1171" s="158">
        <v>100</v>
      </c>
      <c r="F1171" s="158">
        <v>0</v>
      </c>
      <c r="G1171" s="158">
        <v>0</v>
      </c>
      <c r="H1171" s="133" t="s">
        <v>479</v>
      </c>
      <c r="I1171" s="133" t="s">
        <v>479</v>
      </c>
      <c r="J1171" s="158">
        <v>0</v>
      </c>
    </row>
    <row r="1172" spans="1:10" ht="15.75" hidden="1" customHeight="1">
      <c r="A1172" s="133" t="s">
        <v>2</v>
      </c>
      <c r="B1172" s="133" t="s">
        <v>4860</v>
      </c>
      <c r="C1172" s="133" t="s">
        <v>4475</v>
      </c>
      <c r="D1172" s="133" t="s">
        <v>477</v>
      </c>
      <c r="E1172" s="158">
        <v>100</v>
      </c>
      <c r="F1172" s="158">
        <v>0</v>
      </c>
      <c r="G1172" s="158">
        <v>0</v>
      </c>
      <c r="H1172" s="133" t="s">
        <v>479</v>
      </c>
      <c r="I1172" s="133" t="s">
        <v>479</v>
      </c>
      <c r="J1172" s="158">
        <v>0</v>
      </c>
    </row>
    <row r="1173" spans="1:10" ht="15.75" hidden="1" customHeight="1">
      <c r="A1173" s="133" t="s">
        <v>2</v>
      </c>
      <c r="B1173" s="133" t="s">
        <v>4860</v>
      </c>
      <c r="C1173" s="133" t="s">
        <v>4477</v>
      </c>
      <c r="D1173" s="133" t="s">
        <v>477</v>
      </c>
      <c r="E1173" s="158">
        <v>110</v>
      </c>
      <c r="F1173" s="158">
        <v>0</v>
      </c>
      <c r="G1173" s="158">
        <v>0</v>
      </c>
      <c r="H1173" s="133" t="s">
        <v>479</v>
      </c>
      <c r="I1173" s="133" t="s">
        <v>479</v>
      </c>
      <c r="J1173" s="158">
        <v>0</v>
      </c>
    </row>
    <row r="1174" spans="1:10" ht="15.75" hidden="1" customHeight="1">
      <c r="A1174" s="133" t="s">
        <v>2</v>
      </c>
      <c r="B1174" s="133" t="s">
        <v>4860</v>
      </c>
      <c r="C1174" s="133" t="s">
        <v>4479</v>
      </c>
      <c r="D1174" s="133" t="s">
        <v>477</v>
      </c>
      <c r="E1174" s="158">
        <v>100</v>
      </c>
      <c r="F1174" s="158">
        <v>0</v>
      </c>
      <c r="G1174" s="158">
        <v>0</v>
      </c>
      <c r="H1174" s="133" t="s">
        <v>479</v>
      </c>
      <c r="I1174" s="133" t="s">
        <v>479</v>
      </c>
      <c r="J1174" s="158">
        <v>0</v>
      </c>
    </row>
    <row r="1175" spans="1:10" ht="15.75" hidden="1" customHeight="1">
      <c r="A1175" s="133" t="s">
        <v>2</v>
      </c>
      <c r="B1175" s="133" t="s">
        <v>4860</v>
      </c>
      <c r="C1175" s="133" t="s">
        <v>4604</v>
      </c>
      <c r="D1175" s="133" t="s">
        <v>477</v>
      </c>
      <c r="E1175" s="158">
        <v>100</v>
      </c>
      <c r="F1175" s="158">
        <v>0</v>
      </c>
      <c r="G1175" s="158">
        <v>0</v>
      </c>
      <c r="H1175" s="133" t="s">
        <v>479</v>
      </c>
      <c r="I1175" s="133" t="s">
        <v>479</v>
      </c>
      <c r="J1175" s="158">
        <v>0</v>
      </c>
    </row>
    <row r="1176" spans="1:10" ht="15.75" hidden="1" customHeight="1">
      <c r="A1176" s="133" t="s">
        <v>2</v>
      </c>
      <c r="B1176" s="133" t="s">
        <v>4860</v>
      </c>
      <c r="C1176" s="133" t="s">
        <v>2475</v>
      </c>
      <c r="D1176" s="133" t="s">
        <v>477</v>
      </c>
      <c r="E1176" s="158">
        <v>100</v>
      </c>
      <c r="F1176" s="158">
        <v>0</v>
      </c>
      <c r="G1176" s="158">
        <v>0</v>
      </c>
      <c r="H1176" s="133" t="s">
        <v>479</v>
      </c>
      <c r="I1176" s="133" t="s">
        <v>479</v>
      </c>
      <c r="J1176" s="158">
        <v>0</v>
      </c>
    </row>
    <row r="1177" spans="1:10" ht="15.75" hidden="1" customHeight="1">
      <c r="A1177" s="133" t="s">
        <v>2</v>
      </c>
      <c r="B1177" s="133" t="s">
        <v>4860</v>
      </c>
      <c r="C1177" s="133" t="s">
        <v>4605</v>
      </c>
      <c r="D1177" s="133" t="s">
        <v>477</v>
      </c>
      <c r="E1177" s="158">
        <v>100</v>
      </c>
      <c r="F1177" s="158">
        <v>0</v>
      </c>
      <c r="G1177" s="158">
        <v>0</v>
      </c>
      <c r="H1177" s="133" t="s">
        <v>479</v>
      </c>
      <c r="I1177" s="133" t="s">
        <v>479</v>
      </c>
      <c r="J1177" s="158">
        <v>0</v>
      </c>
    </row>
    <row r="1178" spans="1:10" ht="15.75" hidden="1" customHeight="1">
      <c r="A1178" s="133" t="s">
        <v>2</v>
      </c>
      <c r="B1178" s="133" t="s">
        <v>4860</v>
      </c>
      <c r="C1178" s="133" t="s">
        <v>4606</v>
      </c>
      <c r="D1178" s="133" t="s">
        <v>477</v>
      </c>
      <c r="E1178" s="158">
        <v>20</v>
      </c>
      <c r="F1178" s="158">
        <v>0</v>
      </c>
      <c r="G1178" s="158">
        <v>0</v>
      </c>
      <c r="H1178" s="133" t="s">
        <v>479</v>
      </c>
      <c r="I1178" s="133" t="s">
        <v>479</v>
      </c>
      <c r="J1178" s="158">
        <v>0</v>
      </c>
    </row>
    <row r="1179" spans="1:10" ht="15.75" hidden="1" customHeight="1">
      <c r="A1179" s="133" t="s">
        <v>2</v>
      </c>
      <c r="B1179" s="133" t="s">
        <v>4860</v>
      </c>
      <c r="C1179" s="133" t="s">
        <v>4869</v>
      </c>
      <c r="D1179" s="133" t="s">
        <v>477</v>
      </c>
      <c r="E1179" s="158">
        <v>100</v>
      </c>
      <c r="F1179" s="158">
        <v>0</v>
      </c>
      <c r="G1179" s="158">
        <v>0</v>
      </c>
      <c r="H1179" s="133" t="s">
        <v>479</v>
      </c>
      <c r="I1179" s="133" t="s">
        <v>479</v>
      </c>
      <c r="J1179" s="158">
        <v>0</v>
      </c>
    </row>
    <row r="1180" spans="1:10" ht="15.75" hidden="1" customHeight="1">
      <c r="A1180" s="133" t="s">
        <v>2</v>
      </c>
      <c r="B1180" s="133" t="s">
        <v>4860</v>
      </c>
      <c r="C1180" s="133" t="s">
        <v>4607</v>
      </c>
      <c r="D1180" s="133" t="s">
        <v>477</v>
      </c>
      <c r="E1180" s="158">
        <v>20</v>
      </c>
      <c r="F1180" s="158">
        <v>0</v>
      </c>
      <c r="G1180" s="158">
        <v>0</v>
      </c>
      <c r="H1180" s="133" t="s">
        <v>479</v>
      </c>
      <c r="I1180" s="133" t="s">
        <v>479</v>
      </c>
      <c r="J1180" s="158">
        <v>0</v>
      </c>
    </row>
    <row r="1181" spans="1:10" ht="15.75" hidden="1" customHeight="1">
      <c r="A1181" s="133" t="s">
        <v>2</v>
      </c>
      <c r="B1181" s="133" t="s">
        <v>4860</v>
      </c>
      <c r="C1181" s="133" t="s">
        <v>4608</v>
      </c>
      <c r="D1181" s="133" t="s">
        <v>477</v>
      </c>
      <c r="E1181" s="158">
        <v>20</v>
      </c>
      <c r="F1181" s="158">
        <v>0</v>
      </c>
      <c r="G1181" s="158">
        <v>0</v>
      </c>
      <c r="H1181" s="133" t="s">
        <v>479</v>
      </c>
      <c r="I1181" s="133" t="s">
        <v>479</v>
      </c>
      <c r="J1181" s="158">
        <v>0</v>
      </c>
    </row>
    <row r="1182" spans="1:10" ht="15.75" hidden="1" customHeight="1">
      <c r="A1182" s="133" t="s">
        <v>2</v>
      </c>
      <c r="B1182" s="133" t="s">
        <v>4860</v>
      </c>
      <c r="C1182" s="133" t="s">
        <v>708</v>
      </c>
      <c r="D1182" s="133" t="s">
        <v>477</v>
      </c>
      <c r="E1182" s="158">
        <v>20</v>
      </c>
      <c r="F1182" s="158">
        <v>0</v>
      </c>
      <c r="G1182" s="158">
        <v>0</v>
      </c>
      <c r="H1182" s="133" t="s">
        <v>479</v>
      </c>
      <c r="I1182" s="133" t="s">
        <v>479</v>
      </c>
      <c r="J1182" s="158">
        <v>0</v>
      </c>
    </row>
    <row r="1183" spans="1:10" ht="15.75" hidden="1" customHeight="1">
      <c r="A1183" s="133" t="s">
        <v>2</v>
      </c>
      <c r="B1183" s="133" t="s">
        <v>4860</v>
      </c>
      <c r="C1183" s="133" t="s">
        <v>712</v>
      </c>
      <c r="D1183" s="133" t="s">
        <v>477</v>
      </c>
      <c r="E1183" s="158">
        <v>100</v>
      </c>
      <c r="F1183" s="158">
        <v>0</v>
      </c>
      <c r="G1183" s="158">
        <v>0</v>
      </c>
      <c r="H1183" s="133" t="s">
        <v>479</v>
      </c>
      <c r="I1183" s="133" t="s">
        <v>479</v>
      </c>
      <c r="J1183" s="158">
        <v>0</v>
      </c>
    </row>
    <row r="1184" spans="1:10" ht="15.75" hidden="1" customHeight="1">
      <c r="A1184" s="133" t="s">
        <v>2</v>
      </c>
      <c r="B1184" s="133" t="s">
        <v>4860</v>
      </c>
      <c r="C1184" s="133" t="s">
        <v>1741</v>
      </c>
      <c r="D1184" s="133" t="s">
        <v>477</v>
      </c>
      <c r="E1184" s="158">
        <v>100</v>
      </c>
      <c r="F1184" s="158">
        <v>0</v>
      </c>
      <c r="G1184" s="158">
        <v>0</v>
      </c>
      <c r="H1184" s="133" t="s">
        <v>479</v>
      </c>
      <c r="I1184" s="133" t="s">
        <v>479</v>
      </c>
      <c r="J1184" s="158">
        <v>0</v>
      </c>
    </row>
    <row r="1185" spans="1:10" ht="15.75" hidden="1" customHeight="1">
      <c r="A1185" s="133" t="s">
        <v>2</v>
      </c>
      <c r="B1185" s="133" t="s">
        <v>4860</v>
      </c>
      <c r="C1185" s="133" t="s">
        <v>4609</v>
      </c>
      <c r="D1185" s="133" t="s">
        <v>484</v>
      </c>
      <c r="E1185" s="158">
        <v>4</v>
      </c>
      <c r="F1185" s="158">
        <v>10</v>
      </c>
      <c r="G1185" s="158">
        <v>0</v>
      </c>
      <c r="H1185" s="133" t="s">
        <v>479</v>
      </c>
      <c r="I1185" s="133" t="s">
        <v>479</v>
      </c>
      <c r="J1185" s="277">
        <v>1</v>
      </c>
    </row>
    <row r="1186" spans="1:10" ht="15.75" hidden="1" customHeight="1">
      <c r="A1186" s="133" t="s">
        <v>2</v>
      </c>
      <c r="B1186" s="133" t="s">
        <v>4860</v>
      </c>
      <c r="C1186" s="133" t="s">
        <v>4870</v>
      </c>
      <c r="D1186" s="133" t="s">
        <v>477</v>
      </c>
      <c r="E1186" s="158">
        <v>20</v>
      </c>
      <c r="F1186" s="158">
        <v>0</v>
      </c>
      <c r="G1186" s="158">
        <v>0</v>
      </c>
      <c r="H1186" s="133" t="s">
        <v>479</v>
      </c>
      <c r="I1186" s="133" t="s">
        <v>479</v>
      </c>
      <c r="J1186" s="158">
        <v>0</v>
      </c>
    </row>
    <row r="1187" spans="1:10" ht="15.75" hidden="1" customHeight="1">
      <c r="A1187" s="133" t="s">
        <v>2</v>
      </c>
      <c r="B1187" s="133" t="s">
        <v>4860</v>
      </c>
      <c r="C1187" s="133" t="s">
        <v>4871</v>
      </c>
      <c r="D1187" s="133" t="s">
        <v>477</v>
      </c>
      <c r="E1187" s="158">
        <v>20</v>
      </c>
      <c r="F1187" s="158">
        <v>0</v>
      </c>
      <c r="G1187" s="158">
        <v>0</v>
      </c>
      <c r="H1187" s="133" t="s">
        <v>479</v>
      </c>
      <c r="I1187" s="133" t="s">
        <v>479</v>
      </c>
      <c r="J1187" s="158">
        <v>0</v>
      </c>
    </row>
    <row r="1188" spans="1:10" ht="15.75" hidden="1" customHeight="1">
      <c r="A1188" s="133" t="s">
        <v>2</v>
      </c>
      <c r="B1188" s="133" t="s">
        <v>4860</v>
      </c>
      <c r="C1188" s="133" t="s">
        <v>4872</v>
      </c>
      <c r="D1188" s="133" t="s">
        <v>484</v>
      </c>
      <c r="E1188" s="158">
        <v>4</v>
      </c>
      <c r="F1188" s="158">
        <v>10</v>
      </c>
      <c r="G1188" s="158">
        <v>0</v>
      </c>
      <c r="H1188" s="133" t="s">
        <v>479</v>
      </c>
      <c r="I1188" s="133" t="s">
        <v>479</v>
      </c>
      <c r="J1188" s="158">
        <v>0</v>
      </c>
    </row>
    <row r="1189" spans="1:10" ht="15.75" hidden="1" customHeight="1">
      <c r="A1189" s="133" t="s">
        <v>2</v>
      </c>
      <c r="B1189" s="133" t="s">
        <v>4860</v>
      </c>
      <c r="C1189" s="133" t="s">
        <v>1194</v>
      </c>
      <c r="D1189" s="133" t="s">
        <v>481</v>
      </c>
      <c r="E1189" s="158">
        <v>5</v>
      </c>
      <c r="F1189" s="158">
        <v>9</v>
      </c>
      <c r="G1189" s="158">
        <v>2</v>
      </c>
      <c r="H1189" s="133" t="s">
        <v>479</v>
      </c>
      <c r="I1189" s="133" t="s">
        <v>479</v>
      </c>
      <c r="J1189" s="158">
        <v>0</v>
      </c>
    </row>
    <row r="1190" spans="1:10" ht="15.75" hidden="1" customHeight="1">
      <c r="A1190" s="133" t="s">
        <v>2</v>
      </c>
      <c r="B1190" s="133" t="s">
        <v>4860</v>
      </c>
      <c r="C1190" s="133" t="s">
        <v>658</v>
      </c>
      <c r="D1190" s="133" t="s">
        <v>481</v>
      </c>
      <c r="E1190" s="158">
        <v>5</v>
      </c>
      <c r="F1190" s="158">
        <v>9</v>
      </c>
      <c r="G1190" s="158">
        <v>2</v>
      </c>
      <c r="H1190" s="133" t="s">
        <v>479</v>
      </c>
      <c r="I1190" s="133" t="s">
        <v>479</v>
      </c>
      <c r="J1190" s="158">
        <v>0</v>
      </c>
    </row>
    <row r="1191" spans="1:10" ht="15.75" hidden="1" customHeight="1">
      <c r="A1191" s="133" t="s">
        <v>2</v>
      </c>
      <c r="B1191" s="133" t="s">
        <v>4860</v>
      </c>
      <c r="C1191" s="133" t="s">
        <v>4610</v>
      </c>
      <c r="D1191" s="133" t="s">
        <v>481</v>
      </c>
      <c r="E1191" s="158">
        <v>9</v>
      </c>
      <c r="F1191" s="158">
        <v>11</v>
      </c>
      <c r="G1191" s="158">
        <v>2</v>
      </c>
      <c r="H1191" s="133" t="s">
        <v>479</v>
      </c>
      <c r="I1191" s="133" t="s">
        <v>479</v>
      </c>
      <c r="J1191" s="158">
        <v>0</v>
      </c>
    </row>
    <row r="1192" spans="1:10" ht="15.75" hidden="1" customHeight="1">
      <c r="A1192" s="133" t="s">
        <v>2</v>
      </c>
      <c r="B1192" s="133" t="s">
        <v>4860</v>
      </c>
      <c r="C1192" s="133" t="s">
        <v>1195</v>
      </c>
      <c r="D1192" s="133" t="s">
        <v>481</v>
      </c>
      <c r="E1192" s="158">
        <v>5</v>
      </c>
      <c r="F1192" s="158">
        <v>9</v>
      </c>
      <c r="G1192" s="158">
        <v>2</v>
      </c>
      <c r="H1192" s="133" t="s">
        <v>479</v>
      </c>
      <c r="I1192" s="133" t="s">
        <v>479</v>
      </c>
      <c r="J1192" s="158">
        <v>0</v>
      </c>
    </row>
    <row r="1193" spans="1:10" ht="15.75" hidden="1" customHeight="1">
      <c r="A1193" s="133" t="s">
        <v>2</v>
      </c>
      <c r="B1193" s="133" t="s">
        <v>4860</v>
      </c>
      <c r="C1193" s="133" t="s">
        <v>1819</v>
      </c>
      <c r="D1193" s="133" t="s">
        <v>477</v>
      </c>
      <c r="E1193" s="158">
        <v>20</v>
      </c>
      <c r="F1193" s="158">
        <v>0</v>
      </c>
      <c r="G1193" s="158">
        <v>0</v>
      </c>
      <c r="H1193" s="133" t="s">
        <v>479</v>
      </c>
      <c r="I1193" s="133" t="s">
        <v>479</v>
      </c>
      <c r="J1193" s="158">
        <v>0</v>
      </c>
    </row>
    <row r="1194" spans="1:10" ht="15.75" hidden="1" customHeight="1">
      <c r="A1194" s="133" t="s">
        <v>2</v>
      </c>
      <c r="B1194" s="133" t="s">
        <v>4860</v>
      </c>
      <c r="C1194" s="133" t="s">
        <v>4557</v>
      </c>
      <c r="D1194" s="133" t="s">
        <v>481</v>
      </c>
      <c r="E1194" s="158">
        <v>5</v>
      </c>
      <c r="F1194" s="158">
        <v>9</v>
      </c>
      <c r="G1194" s="158">
        <v>2</v>
      </c>
      <c r="H1194" s="133" t="s">
        <v>479</v>
      </c>
      <c r="I1194" s="133" t="s">
        <v>479</v>
      </c>
      <c r="J1194" s="158">
        <v>0</v>
      </c>
    </row>
    <row r="1195" spans="1:10" ht="15.75" hidden="1" customHeight="1">
      <c r="A1195" s="133" t="s">
        <v>2</v>
      </c>
      <c r="B1195" s="133" t="s">
        <v>4860</v>
      </c>
      <c r="C1195" s="133" t="s">
        <v>4611</v>
      </c>
      <c r="D1195" s="133" t="s">
        <v>481</v>
      </c>
      <c r="E1195" s="158">
        <v>5</v>
      </c>
      <c r="F1195" s="158">
        <v>9</v>
      </c>
      <c r="G1195" s="158">
        <v>2</v>
      </c>
      <c r="H1195" s="133" t="s">
        <v>479</v>
      </c>
      <c r="I1195" s="133" t="s">
        <v>479</v>
      </c>
      <c r="J1195" s="158">
        <v>0</v>
      </c>
    </row>
    <row r="1196" spans="1:10" ht="15.75" hidden="1" customHeight="1">
      <c r="A1196" s="133" t="s">
        <v>2</v>
      </c>
      <c r="B1196" s="133" t="s">
        <v>4860</v>
      </c>
      <c r="C1196" s="133" t="s">
        <v>2625</v>
      </c>
      <c r="D1196" s="133" t="s">
        <v>481</v>
      </c>
      <c r="E1196" s="158">
        <v>5</v>
      </c>
      <c r="F1196" s="158">
        <v>9</v>
      </c>
      <c r="G1196" s="158">
        <v>2</v>
      </c>
      <c r="H1196" s="133" t="s">
        <v>479</v>
      </c>
      <c r="I1196" s="133" t="s">
        <v>479</v>
      </c>
      <c r="J1196" s="158">
        <v>0</v>
      </c>
    </row>
    <row r="1197" spans="1:10" ht="15.75" hidden="1" customHeight="1">
      <c r="A1197" s="133" t="s">
        <v>2</v>
      </c>
      <c r="B1197" s="133" t="s">
        <v>4860</v>
      </c>
      <c r="C1197" s="133" t="s">
        <v>1265</v>
      </c>
      <c r="D1197" s="133" t="s">
        <v>481</v>
      </c>
      <c r="E1197" s="158">
        <v>9</v>
      </c>
      <c r="F1197" s="158">
        <v>11</v>
      </c>
      <c r="G1197" s="158">
        <v>2</v>
      </c>
      <c r="H1197" s="133" t="s">
        <v>479</v>
      </c>
      <c r="I1197" s="133" t="s">
        <v>479</v>
      </c>
      <c r="J1197" s="158">
        <v>0</v>
      </c>
    </row>
    <row r="1198" spans="1:10" ht="15.75" hidden="1" customHeight="1">
      <c r="A1198" s="133" t="s">
        <v>2</v>
      </c>
      <c r="B1198" s="133" t="s">
        <v>4860</v>
      </c>
      <c r="C1198" s="133" t="s">
        <v>1267</v>
      </c>
      <c r="D1198" s="133" t="s">
        <v>481</v>
      </c>
      <c r="E1198" s="158">
        <v>5</v>
      </c>
      <c r="F1198" s="158">
        <v>9</v>
      </c>
      <c r="G1198" s="158">
        <v>2</v>
      </c>
      <c r="H1198" s="133" t="s">
        <v>479</v>
      </c>
      <c r="I1198" s="133" t="s">
        <v>479</v>
      </c>
      <c r="J1198" s="158">
        <v>0</v>
      </c>
    </row>
    <row r="1199" spans="1:10" ht="15.75" hidden="1" customHeight="1">
      <c r="A1199" s="133" t="s">
        <v>2</v>
      </c>
      <c r="B1199" s="133" t="s">
        <v>4860</v>
      </c>
      <c r="C1199" s="133" t="s">
        <v>1243</v>
      </c>
      <c r="D1199" s="133" t="s">
        <v>481</v>
      </c>
      <c r="E1199" s="158">
        <v>9</v>
      </c>
      <c r="F1199" s="158">
        <v>11</v>
      </c>
      <c r="G1199" s="158">
        <v>2</v>
      </c>
      <c r="H1199" s="133" t="s">
        <v>479</v>
      </c>
      <c r="I1199" s="133" t="s">
        <v>479</v>
      </c>
      <c r="J1199" s="158">
        <v>0</v>
      </c>
    </row>
    <row r="1200" spans="1:10" ht="15.75" hidden="1" customHeight="1">
      <c r="A1200" s="133" t="s">
        <v>2</v>
      </c>
      <c r="B1200" s="133" t="s">
        <v>4860</v>
      </c>
      <c r="C1200" s="133" t="s">
        <v>663</v>
      </c>
      <c r="D1200" s="133" t="s">
        <v>481</v>
      </c>
      <c r="E1200" s="158">
        <v>5</v>
      </c>
      <c r="F1200" s="158">
        <v>9</v>
      </c>
      <c r="G1200" s="158">
        <v>2</v>
      </c>
      <c r="H1200" s="133" t="s">
        <v>479</v>
      </c>
      <c r="I1200" s="133" t="s">
        <v>479</v>
      </c>
      <c r="J1200" s="158">
        <v>0</v>
      </c>
    </row>
    <row r="1201" spans="1:10" ht="15.75" hidden="1" customHeight="1">
      <c r="A1201" s="133" t="s">
        <v>2</v>
      </c>
      <c r="B1201" s="133" t="s">
        <v>4860</v>
      </c>
      <c r="C1201" s="133" t="s">
        <v>4873</v>
      </c>
      <c r="D1201" s="133" t="s">
        <v>477</v>
      </c>
      <c r="E1201" s="158">
        <v>20</v>
      </c>
      <c r="F1201" s="158">
        <v>0</v>
      </c>
      <c r="G1201" s="158">
        <v>0</v>
      </c>
      <c r="H1201" s="133" t="s">
        <v>479</v>
      </c>
      <c r="I1201" s="133" t="s">
        <v>479</v>
      </c>
      <c r="J1201" s="158">
        <v>0</v>
      </c>
    </row>
    <row r="1202" spans="1:10" ht="15.75" hidden="1" customHeight="1">
      <c r="A1202" s="133" t="s">
        <v>2</v>
      </c>
      <c r="B1202" s="133" t="s">
        <v>4860</v>
      </c>
      <c r="C1202" s="133" t="s">
        <v>4612</v>
      </c>
      <c r="D1202" s="133" t="s">
        <v>484</v>
      </c>
      <c r="E1202" s="158">
        <v>4</v>
      </c>
      <c r="F1202" s="158">
        <v>10</v>
      </c>
      <c r="G1202" s="158">
        <v>0</v>
      </c>
      <c r="H1202" s="133" t="s">
        <v>479</v>
      </c>
      <c r="I1202" s="133" t="s">
        <v>479</v>
      </c>
      <c r="J1202" s="158">
        <v>0</v>
      </c>
    </row>
    <row r="1203" spans="1:10" ht="15.75" hidden="1" customHeight="1">
      <c r="A1203" s="133" t="s">
        <v>2</v>
      </c>
      <c r="B1203" s="133" t="s">
        <v>4860</v>
      </c>
      <c r="C1203" s="133" t="s">
        <v>4613</v>
      </c>
      <c r="D1203" s="133" t="s">
        <v>481</v>
      </c>
      <c r="E1203" s="158">
        <v>5</v>
      </c>
      <c r="F1203" s="158">
        <v>9</v>
      </c>
      <c r="G1203" s="158">
        <v>2</v>
      </c>
      <c r="H1203" s="133" t="s">
        <v>479</v>
      </c>
      <c r="I1203" s="133" t="s">
        <v>479</v>
      </c>
      <c r="J1203" s="158">
        <v>0</v>
      </c>
    </row>
    <row r="1204" spans="1:10" ht="15.75" hidden="1" customHeight="1">
      <c r="A1204" s="133" t="s">
        <v>2</v>
      </c>
      <c r="B1204" s="133" t="s">
        <v>4860</v>
      </c>
      <c r="C1204" s="133" t="s">
        <v>228</v>
      </c>
      <c r="D1204" s="133" t="s">
        <v>477</v>
      </c>
      <c r="E1204" s="158">
        <v>20</v>
      </c>
      <c r="F1204" s="158">
        <v>0</v>
      </c>
      <c r="G1204" s="158">
        <v>0</v>
      </c>
      <c r="H1204" s="133" t="s">
        <v>479</v>
      </c>
      <c r="I1204" s="133" t="s">
        <v>479</v>
      </c>
      <c r="J1204" s="158">
        <v>0</v>
      </c>
    </row>
    <row r="1205" spans="1:10" ht="15.75" hidden="1" customHeight="1">
      <c r="A1205" s="133" t="s">
        <v>2</v>
      </c>
      <c r="B1205" s="133" t="s">
        <v>4860</v>
      </c>
      <c r="C1205" s="133" t="s">
        <v>4614</v>
      </c>
      <c r="D1205" s="133" t="s">
        <v>481</v>
      </c>
      <c r="E1205" s="158">
        <v>9</v>
      </c>
      <c r="F1205" s="158">
        <v>11</v>
      </c>
      <c r="G1205" s="158">
        <v>2</v>
      </c>
      <c r="H1205" s="133" t="s">
        <v>479</v>
      </c>
      <c r="I1205" s="133" t="s">
        <v>479</v>
      </c>
      <c r="J1205" s="158">
        <v>0</v>
      </c>
    </row>
    <row r="1206" spans="1:10" ht="15.75" hidden="1" customHeight="1">
      <c r="A1206" s="133" t="s">
        <v>2</v>
      </c>
      <c r="B1206" s="133" t="s">
        <v>4860</v>
      </c>
      <c r="C1206" s="133" t="s">
        <v>2452</v>
      </c>
      <c r="D1206" s="133" t="s">
        <v>481</v>
      </c>
      <c r="E1206" s="158">
        <v>5</v>
      </c>
      <c r="F1206" s="158">
        <v>9</v>
      </c>
      <c r="G1206" s="158">
        <v>2</v>
      </c>
      <c r="H1206" s="133" t="s">
        <v>479</v>
      </c>
      <c r="I1206" s="133" t="s">
        <v>479</v>
      </c>
      <c r="J1206" s="158">
        <v>0</v>
      </c>
    </row>
    <row r="1207" spans="1:10" ht="15.75" hidden="1" customHeight="1">
      <c r="A1207" s="133" t="s">
        <v>2</v>
      </c>
      <c r="B1207" s="133" t="s">
        <v>4860</v>
      </c>
      <c r="C1207" s="133" t="s">
        <v>2694</v>
      </c>
      <c r="D1207" s="133" t="s">
        <v>477</v>
      </c>
      <c r="E1207" s="158">
        <v>2000</v>
      </c>
      <c r="F1207" s="158">
        <v>0</v>
      </c>
      <c r="G1207" s="158">
        <v>0</v>
      </c>
      <c r="H1207" s="133" t="s">
        <v>479</v>
      </c>
      <c r="I1207" s="133" t="s">
        <v>479</v>
      </c>
      <c r="J1207" s="158">
        <v>0</v>
      </c>
    </row>
    <row r="1208" spans="1:10" ht="15.75" hidden="1" customHeight="1">
      <c r="A1208" s="133" t="s">
        <v>2</v>
      </c>
      <c r="B1208" s="133" t="s">
        <v>4860</v>
      </c>
      <c r="C1208" s="133" t="s">
        <v>4615</v>
      </c>
      <c r="D1208" s="133" t="s">
        <v>477</v>
      </c>
      <c r="E1208" s="158">
        <v>2000</v>
      </c>
      <c r="F1208" s="158">
        <v>0</v>
      </c>
      <c r="G1208" s="158">
        <v>0</v>
      </c>
      <c r="H1208" s="133" t="s">
        <v>479</v>
      </c>
      <c r="I1208" s="133" t="s">
        <v>479</v>
      </c>
      <c r="J1208" s="158">
        <v>0</v>
      </c>
    </row>
    <row r="1209" spans="1:10" ht="15.75" hidden="1" customHeight="1">
      <c r="A1209" s="133" t="s">
        <v>2</v>
      </c>
      <c r="B1209" s="133" t="s">
        <v>4860</v>
      </c>
      <c r="C1209" s="133" t="s">
        <v>2590</v>
      </c>
      <c r="D1209" s="133" t="s">
        <v>481</v>
      </c>
      <c r="E1209" s="158">
        <v>5</v>
      </c>
      <c r="F1209" s="158">
        <v>9</v>
      </c>
      <c r="G1209" s="158">
        <v>2</v>
      </c>
      <c r="H1209" s="133" t="s">
        <v>479</v>
      </c>
      <c r="I1209" s="133" t="s">
        <v>479</v>
      </c>
      <c r="J1209" s="158">
        <v>0</v>
      </c>
    </row>
    <row r="1210" spans="1:10" ht="15.75" hidden="1" customHeight="1">
      <c r="A1210" s="133" t="s">
        <v>2</v>
      </c>
      <c r="B1210" s="133" t="s">
        <v>4860</v>
      </c>
      <c r="C1210" s="133" t="s">
        <v>2588</v>
      </c>
      <c r="D1210" s="133" t="s">
        <v>481</v>
      </c>
      <c r="E1210" s="158">
        <v>5</v>
      </c>
      <c r="F1210" s="158">
        <v>9</v>
      </c>
      <c r="G1210" s="158">
        <v>2</v>
      </c>
      <c r="H1210" s="133" t="s">
        <v>479</v>
      </c>
      <c r="I1210" s="133" t="s">
        <v>479</v>
      </c>
      <c r="J1210" s="158">
        <v>0</v>
      </c>
    </row>
    <row r="1211" spans="1:10" ht="15.75" hidden="1" customHeight="1">
      <c r="A1211" s="133" t="s">
        <v>2</v>
      </c>
      <c r="B1211" s="133" t="s">
        <v>4860</v>
      </c>
      <c r="C1211" s="133" t="s">
        <v>2705</v>
      </c>
      <c r="D1211" s="133" t="s">
        <v>481</v>
      </c>
      <c r="E1211" s="158">
        <v>5</v>
      </c>
      <c r="F1211" s="158">
        <v>9</v>
      </c>
      <c r="G1211" s="158">
        <v>2</v>
      </c>
      <c r="H1211" s="133" t="s">
        <v>479</v>
      </c>
      <c r="I1211" s="133" t="s">
        <v>479</v>
      </c>
      <c r="J1211" s="158">
        <v>0</v>
      </c>
    </row>
    <row r="1212" spans="1:10" ht="15.75" hidden="1" customHeight="1">
      <c r="A1212" s="133" t="s">
        <v>2</v>
      </c>
      <c r="B1212" s="133" t="s">
        <v>4860</v>
      </c>
      <c r="C1212" s="133" t="s">
        <v>2709</v>
      </c>
      <c r="D1212" s="133" t="s">
        <v>477</v>
      </c>
      <c r="E1212" s="158">
        <v>100</v>
      </c>
      <c r="F1212" s="158">
        <v>0</v>
      </c>
      <c r="G1212" s="158">
        <v>0</v>
      </c>
      <c r="H1212" s="133" t="s">
        <v>479</v>
      </c>
      <c r="I1212" s="133" t="s">
        <v>479</v>
      </c>
      <c r="J1212" s="158">
        <v>0</v>
      </c>
    </row>
    <row r="1213" spans="1:10" ht="15.75" hidden="1" customHeight="1">
      <c r="A1213" s="133" t="s">
        <v>2</v>
      </c>
      <c r="B1213" s="133" t="s">
        <v>4860</v>
      </c>
      <c r="C1213" s="133" t="s">
        <v>2701</v>
      </c>
      <c r="D1213" s="133" t="s">
        <v>481</v>
      </c>
      <c r="E1213" s="158">
        <v>5</v>
      </c>
      <c r="F1213" s="158">
        <v>9</v>
      </c>
      <c r="G1213" s="158">
        <v>2</v>
      </c>
      <c r="H1213" s="133" t="s">
        <v>479</v>
      </c>
      <c r="I1213" s="133" t="s">
        <v>479</v>
      </c>
      <c r="J1213" s="158">
        <v>0</v>
      </c>
    </row>
    <row r="1214" spans="1:10" ht="15.75" hidden="1" customHeight="1">
      <c r="A1214" s="133" t="s">
        <v>2</v>
      </c>
      <c r="B1214" s="133" t="s">
        <v>4860</v>
      </c>
      <c r="C1214" s="133" t="s">
        <v>4616</v>
      </c>
      <c r="D1214" s="133" t="s">
        <v>481</v>
      </c>
      <c r="E1214" s="158">
        <v>5</v>
      </c>
      <c r="F1214" s="158">
        <v>9</v>
      </c>
      <c r="G1214" s="158">
        <v>2</v>
      </c>
      <c r="H1214" s="133" t="s">
        <v>479</v>
      </c>
      <c r="I1214" s="133" t="s">
        <v>479</v>
      </c>
      <c r="J1214" s="158">
        <v>0</v>
      </c>
    </row>
    <row r="1215" spans="1:10" ht="15.75" hidden="1" customHeight="1">
      <c r="A1215" s="133" t="s">
        <v>2</v>
      </c>
      <c r="B1215" s="133" t="s">
        <v>4860</v>
      </c>
      <c r="C1215" s="133" t="s">
        <v>2697</v>
      </c>
      <c r="D1215" s="133" t="s">
        <v>481</v>
      </c>
      <c r="E1215" s="158">
        <v>5</v>
      </c>
      <c r="F1215" s="158">
        <v>9</v>
      </c>
      <c r="G1215" s="158">
        <v>2</v>
      </c>
      <c r="H1215" s="133" t="s">
        <v>479</v>
      </c>
      <c r="I1215" s="133" t="s">
        <v>479</v>
      </c>
      <c r="J1215" s="158">
        <v>0</v>
      </c>
    </row>
    <row r="1216" spans="1:10" ht="15.75" hidden="1" customHeight="1">
      <c r="A1216" s="133" t="s">
        <v>2</v>
      </c>
      <c r="B1216" s="133" t="s">
        <v>4860</v>
      </c>
      <c r="C1216" s="133" t="s">
        <v>4617</v>
      </c>
      <c r="D1216" s="133" t="s">
        <v>481</v>
      </c>
      <c r="E1216" s="158">
        <v>5</v>
      </c>
      <c r="F1216" s="158">
        <v>9</v>
      </c>
      <c r="G1216" s="158">
        <v>2</v>
      </c>
      <c r="H1216" s="133" t="s">
        <v>479</v>
      </c>
      <c r="I1216" s="133" t="s">
        <v>479</v>
      </c>
      <c r="J1216" s="158">
        <v>0</v>
      </c>
    </row>
    <row r="1217" spans="1:10" ht="15.75" hidden="1" customHeight="1">
      <c r="A1217" s="133" t="s">
        <v>2</v>
      </c>
      <c r="B1217" s="133" t="s">
        <v>4860</v>
      </c>
      <c r="C1217" s="133" t="s">
        <v>2711</v>
      </c>
      <c r="D1217" s="133" t="s">
        <v>481</v>
      </c>
      <c r="E1217" s="158">
        <v>5</v>
      </c>
      <c r="F1217" s="158">
        <v>9</v>
      </c>
      <c r="G1217" s="158">
        <v>2</v>
      </c>
      <c r="H1217" s="133" t="s">
        <v>479</v>
      </c>
      <c r="I1217" s="133" t="s">
        <v>479</v>
      </c>
      <c r="J1217" s="158">
        <v>0</v>
      </c>
    </row>
    <row r="1218" spans="1:10" ht="15.75" hidden="1" customHeight="1">
      <c r="A1218" s="133" t="s">
        <v>2</v>
      </c>
      <c r="B1218" s="133" t="s">
        <v>4860</v>
      </c>
      <c r="C1218" s="133" t="s">
        <v>4618</v>
      </c>
      <c r="D1218" s="133" t="s">
        <v>481</v>
      </c>
      <c r="E1218" s="158">
        <v>5</v>
      </c>
      <c r="F1218" s="158">
        <v>9</v>
      </c>
      <c r="G1218" s="158">
        <v>2</v>
      </c>
      <c r="H1218" s="133" t="s">
        <v>479</v>
      </c>
      <c r="I1218" s="133" t="s">
        <v>479</v>
      </c>
      <c r="J1218" s="158">
        <v>0</v>
      </c>
    </row>
    <row r="1219" spans="1:10" ht="15.75" hidden="1" customHeight="1">
      <c r="A1219" s="133" t="s">
        <v>2</v>
      </c>
      <c r="B1219" s="133" t="s">
        <v>4860</v>
      </c>
      <c r="C1219" s="133" t="s">
        <v>2732</v>
      </c>
      <c r="D1219" s="133" t="s">
        <v>481</v>
      </c>
      <c r="E1219" s="158">
        <v>5</v>
      </c>
      <c r="F1219" s="158">
        <v>9</v>
      </c>
      <c r="G1219" s="158">
        <v>2</v>
      </c>
      <c r="H1219" s="133" t="s">
        <v>479</v>
      </c>
      <c r="I1219" s="133" t="s">
        <v>479</v>
      </c>
      <c r="J1219" s="158">
        <v>0</v>
      </c>
    </row>
    <row r="1220" spans="1:10" ht="15.75" hidden="1" customHeight="1">
      <c r="A1220" s="133" t="s">
        <v>2</v>
      </c>
      <c r="B1220" s="133" t="s">
        <v>4860</v>
      </c>
      <c r="C1220" s="133" t="s">
        <v>2734</v>
      </c>
      <c r="D1220" s="133" t="s">
        <v>484</v>
      </c>
      <c r="E1220" s="158">
        <v>4</v>
      </c>
      <c r="F1220" s="158">
        <v>10</v>
      </c>
      <c r="G1220" s="158">
        <v>0</v>
      </c>
      <c r="H1220" s="133" t="s">
        <v>479</v>
      </c>
      <c r="I1220" s="133" t="s">
        <v>479</v>
      </c>
      <c r="J1220" s="158">
        <v>0</v>
      </c>
    </row>
    <row r="1221" spans="1:10" ht="15.75" hidden="1" customHeight="1">
      <c r="A1221" s="133" t="s">
        <v>2</v>
      </c>
      <c r="B1221" s="133" t="s">
        <v>4860</v>
      </c>
      <c r="C1221" s="133" t="s">
        <v>654</v>
      </c>
      <c r="D1221" s="133" t="s">
        <v>481</v>
      </c>
      <c r="E1221" s="158">
        <v>5</v>
      </c>
      <c r="F1221" s="158">
        <v>9</v>
      </c>
      <c r="G1221" s="158">
        <v>2</v>
      </c>
      <c r="H1221" s="133" t="s">
        <v>479</v>
      </c>
      <c r="I1221" s="133" t="s">
        <v>479</v>
      </c>
      <c r="J1221" s="158">
        <v>0</v>
      </c>
    </row>
    <row r="1222" spans="1:10" ht="15.75" hidden="1" customHeight="1">
      <c r="A1222" s="133" t="s">
        <v>2</v>
      </c>
      <c r="B1222" s="133" t="s">
        <v>4860</v>
      </c>
      <c r="C1222" s="133" t="s">
        <v>2736</v>
      </c>
      <c r="D1222" s="133" t="s">
        <v>477</v>
      </c>
      <c r="E1222" s="158">
        <v>100</v>
      </c>
      <c r="F1222" s="158">
        <v>0</v>
      </c>
      <c r="G1222" s="158">
        <v>0</v>
      </c>
      <c r="H1222" s="133" t="s">
        <v>479</v>
      </c>
      <c r="I1222" s="133" t="s">
        <v>479</v>
      </c>
      <c r="J1222" s="158">
        <v>0</v>
      </c>
    </row>
    <row r="1223" spans="1:10" ht="15.75" hidden="1" customHeight="1">
      <c r="A1223" s="133" t="s">
        <v>2</v>
      </c>
      <c r="B1223" s="133" t="s">
        <v>4860</v>
      </c>
      <c r="C1223" s="133" t="s">
        <v>4619</v>
      </c>
      <c r="D1223" s="133" t="s">
        <v>477</v>
      </c>
      <c r="E1223" s="158">
        <v>20</v>
      </c>
      <c r="F1223" s="158">
        <v>0</v>
      </c>
      <c r="G1223" s="158">
        <v>0</v>
      </c>
      <c r="H1223" s="133" t="s">
        <v>479</v>
      </c>
      <c r="I1223" s="133" t="s">
        <v>479</v>
      </c>
      <c r="J1223" s="158">
        <v>0</v>
      </c>
    </row>
    <row r="1224" spans="1:10" ht="15.75" hidden="1" customHeight="1">
      <c r="A1224" s="133" t="s">
        <v>2</v>
      </c>
      <c r="B1224" s="133" t="s">
        <v>4860</v>
      </c>
      <c r="C1224" s="133" t="s">
        <v>4504</v>
      </c>
      <c r="D1224" s="133" t="s">
        <v>477</v>
      </c>
      <c r="E1224" s="158">
        <v>20</v>
      </c>
      <c r="F1224" s="158">
        <v>0</v>
      </c>
      <c r="G1224" s="158">
        <v>0</v>
      </c>
      <c r="H1224" s="133" t="s">
        <v>479</v>
      </c>
      <c r="I1224" s="133" t="s">
        <v>479</v>
      </c>
      <c r="J1224" s="158">
        <v>0</v>
      </c>
    </row>
    <row r="1225" spans="1:10" ht="15.75" hidden="1" customHeight="1">
      <c r="A1225" s="133" t="s">
        <v>2</v>
      </c>
      <c r="B1225" s="133" t="s">
        <v>4860</v>
      </c>
      <c r="C1225" s="133" t="s">
        <v>4620</v>
      </c>
      <c r="D1225" s="133" t="s">
        <v>477</v>
      </c>
      <c r="E1225" s="158">
        <v>20</v>
      </c>
      <c r="F1225" s="158">
        <v>0</v>
      </c>
      <c r="G1225" s="158">
        <v>0</v>
      </c>
      <c r="H1225" s="133" t="s">
        <v>479</v>
      </c>
      <c r="I1225" s="133" t="s">
        <v>479</v>
      </c>
      <c r="J1225" s="158">
        <v>0</v>
      </c>
    </row>
    <row r="1226" spans="1:10" ht="15.75" hidden="1" customHeight="1">
      <c r="A1226" s="133" t="s">
        <v>2</v>
      </c>
      <c r="B1226" s="133" t="s">
        <v>4860</v>
      </c>
      <c r="C1226" s="133" t="s">
        <v>2602</v>
      </c>
      <c r="D1226" s="133" t="s">
        <v>484</v>
      </c>
      <c r="E1226" s="158">
        <v>4</v>
      </c>
      <c r="F1226" s="158">
        <v>10</v>
      </c>
      <c r="G1226" s="158">
        <v>0</v>
      </c>
      <c r="H1226" s="133" t="s">
        <v>479</v>
      </c>
      <c r="I1226" s="133" t="s">
        <v>479</v>
      </c>
      <c r="J1226" s="158">
        <v>0</v>
      </c>
    </row>
    <row r="1227" spans="1:10" ht="15.75" hidden="1" customHeight="1">
      <c r="A1227" s="133" t="s">
        <v>2</v>
      </c>
      <c r="B1227" s="133" t="s">
        <v>4860</v>
      </c>
      <c r="C1227" s="133" t="s">
        <v>4621</v>
      </c>
      <c r="D1227" s="133" t="s">
        <v>477</v>
      </c>
      <c r="E1227" s="158">
        <v>500</v>
      </c>
      <c r="F1227" s="158">
        <v>0</v>
      </c>
      <c r="G1227" s="158">
        <v>0</v>
      </c>
      <c r="H1227" s="133" t="s">
        <v>479</v>
      </c>
      <c r="I1227" s="133" t="s">
        <v>479</v>
      </c>
      <c r="J1227" s="158">
        <v>0</v>
      </c>
    </row>
    <row r="1228" spans="1:10" ht="15.75" hidden="1" customHeight="1">
      <c r="A1228" s="133" t="s">
        <v>2</v>
      </c>
      <c r="B1228" s="133" t="s">
        <v>4860</v>
      </c>
      <c r="C1228" s="133" t="s">
        <v>4622</v>
      </c>
      <c r="D1228" s="133" t="s">
        <v>477</v>
      </c>
      <c r="E1228" s="158">
        <v>20</v>
      </c>
      <c r="F1228" s="158">
        <v>0</v>
      </c>
      <c r="G1228" s="158">
        <v>0</v>
      </c>
      <c r="H1228" s="133" t="s">
        <v>479</v>
      </c>
      <c r="I1228" s="133" t="s">
        <v>479</v>
      </c>
      <c r="J1228" s="158">
        <v>0</v>
      </c>
    </row>
    <row r="1229" spans="1:10" ht="15.75" hidden="1" customHeight="1">
      <c r="A1229" s="133" t="s">
        <v>2</v>
      </c>
      <c r="B1229" s="133" t="s">
        <v>4860</v>
      </c>
      <c r="C1229" s="133" t="s">
        <v>4623</v>
      </c>
      <c r="D1229" s="133" t="s">
        <v>477</v>
      </c>
      <c r="E1229" s="158">
        <v>20</v>
      </c>
      <c r="F1229" s="158">
        <v>0</v>
      </c>
      <c r="G1229" s="158">
        <v>0</v>
      </c>
      <c r="H1229" s="133" t="s">
        <v>479</v>
      </c>
      <c r="I1229" s="133" t="s">
        <v>479</v>
      </c>
      <c r="J1229" s="158">
        <v>0</v>
      </c>
    </row>
    <row r="1230" spans="1:10" ht="15.75" hidden="1" customHeight="1">
      <c r="A1230" s="133" t="s">
        <v>2</v>
      </c>
      <c r="B1230" s="133" t="s">
        <v>4860</v>
      </c>
      <c r="C1230" s="133" t="s">
        <v>669</v>
      </c>
      <c r="D1230" s="133" t="s">
        <v>538</v>
      </c>
      <c r="E1230" s="158">
        <v>8</v>
      </c>
      <c r="F1230" s="158">
        <v>23</v>
      </c>
      <c r="G1230" s="158">
        <v>3</v>
      </c>
      <c r="H1230" s="133" t="s">
        <v>479</v>
      </c>
      <c r="I1230" s="133" t="s">
        <v>479</v>
      </c>
      <c r="J1230" s="158">
        <v>0</v>
      </c>
    </row>
    <row r="1231" spans="1:10" ht="15.75" hidden="1" customHeight="1">
      <c r="A1231" s="133" t="s">
        <v>2</v>
      </c>
      <c r="B1231" s="133" t="s">
        <v>4860</v>
      </c>
      <c r="C1231" s="133" t="s">
        <v>523</v>
      </c>
      <c r="D1231" s="133" t="s">
        <v>477</v>
      </c>
      <c r="E1231" s="158">
        <v>20</v>
      </c>
      <c r="F1231" s="158">
        <v>0</v>
      </c>
      <c r="G1231" s="158">
        <v>0</v>
      </c>
      <c r="H1231" s="133" t="s">
        <v>479</v>
      </c>
      <c r="I1231" s="133" t="s">
        <v>479</v>
      </c>
      <c r="J1231" s="158">
        <v>0</v>
      </c>
    </row>
    <row r="1232" spans="1:10" ht="15.75" hidden="1" customHeight="1">
      <c r="A1232" s="133" t="s">
        <v>2</v>
      </c>
      <c r="B1232" s="133" t="s">
        <v>4860</v>
      </c>
      <c r="C1232" s="133" t="s">
        <v>814</v>
      </c>
      <c r="D1232" s="133" t="s">
        <v>477</v>
      </c>
      <c r="E1232" s="158">
        <v>100</v>
      </c>
      <c r="F1232" s="158">
        <v>0</v>
      </c>
      <c r="G1232" s="158">
        <v>0</v>
      </c>
      <c r="H1232" s="133" t="s">
        <v>479</v>
      </c>
      <c r="I1232" s="133" t="s">
        <v>479</v>
      </c>
      <c r="J1232" s="158">
        <v>0</v>
      </c>
    </row>
    <row r="1233" spans="1:10" ht="15.75" hidden="1" customHeight="1">
      <c r="A1233" s="133" t="s">
        <v>2</v>
      </c>
      <c r="B1233" s="133" t="s">
        <v>4860</v>
      </c>
      <c r="C1233" s="133" t="s">
        <v>215</v>
      </c>
      <c r="D1233" s="133" t="s">
        <v>538</v>
      </c>
      <c r="E1233" s="158">
        <v>8</v>
      </c>
      <c r="F1233" s="158">
        <v>23</v>
      </c>
      <c r="G1233" s="158">
        <v>3</v>
      </c>
      <c r="H1233" s="133" t="s">
        <v>479</v>
      </c>
      <c r="I1233" s="133" t="s">
        <v>479</v>
      </c>
      <c r="J1233" s="158">
        <v>0</v>
      </c>
    </row>
    <row r="1234" spans="1:10" ht="15.75" hidden="1" customHeight="1">
      <c r="A1234" s="133" t="s">
        <v>2</v>
      </c>
      <c r="B1234" s="133" t="s">
        <v>4860</v>
      </c>
      <c r="C1234" s="133" t="s">
        <v>670</v>
      </c>
      <c r="D1234" s="133" t="s">
        <v>477</v>
      </c>
      <c r="E1234" s="158">
        <v>20</v>
      </c>
      <c r="F1234" s="158">
        <v>0</v>
      </c>
      <c r="G1234" s="158">
        <v>0</v>
      </c>
      <c r="H1234" s="133" t="s">
        <v>479</v>
      </c>
      <c r="I1234" s="133" t="s">
        <v>479</v>
      </c>
      <c r="J1234" s="158">
        <v>0</v>
      </c>
    </row>
    <row r="1235" spans="1:10" ht="15.75" hidden="1" customHeight="1">
      <c r="A1235" s="133" t="s">
        <v>2</v>
      </c>
      <c r="B1235" s="133" t="s">
        <v>4860</v>
      </c>
      <c r="C1235" s="133" t="s">
        <v>816</v>
      </c>
      <c r="D1235" s="133" t="s">
        <v>477</v>
      </c>
      <c r="E1235" s="158">
        <v>100</v>
      </c>
      <c r="F1235" s="158">
        <v>0</v>
      </c>
      <c r="G1235" s="158">
        <v>0</v>
      </c>
      <c r="H1235" s="133" t="s">
        <v>479</v>
      </c>
      <c r="I1235" s="133" t="s">
        <v>479</v>
      </c>
      <c r="J1235" s="158">
        <v>0</v>
      </c>
    </row>
    <row r="1236" spans="1:10" ht="15.75" hidden="1" customHeight="1">
      <c r="A1236" s="133" t="s">
        <v>2</v>
      </c>
      <c r="B1236" s="133" t="s">
        <v>4860</v>
      </c>
      <c r="C1236" s="133" t="s">
        <v>4310</v>
      </c>
      <c r="D1236" s="133" t="s">
        <v>477</v>
      </c>
      <c r="E1236" s="158">
        <v>20</v>
      </c>
      <c r="F1236" s="158">
        <v>0</v>
      </c>
      <c r="G1236" s="158">
        <v>0</v>
      </c>
      <c r="H1236" s="133" t="s">
        <v>479</v>
      </c>
      <c r="I1236" s="133" t="s">
        <v>479</v>
      </c>
      <c r="J1236" s="158">
        <v>0</v>
      </c>
    </row>
    <row r="1237" spans="1:10" ht="15.75" hidden="1" customHeight="1">
      <c r="A1237" s="133" t="s">
        <v>2</v>
      </c>
      <c r="B1237" s="133" t="s">
        <v>4860</v>
      </c>
      <c r="C1237" s="133" t="s">
        <v>4624</v>
      </c>
      <c r="D1237" s="133" t="s">
        <v>477</v>
      </c>
      <c r="E1237" s="158">
        <v>20</v>
      </c>
      <c r="F1237" s="158">
        <v>0</v>
      </c>
      <c r="G1237" s="158">
        <v>0</v>
      </c>
      <c r="H1237" s="133" t="s">
        <v>479</v>
      </c>
      <c r="I1237" s="133" t="s">
        <v>479</v>
      </c>
      <c r="J1237" s="158">
        <v>0</v>
      </c>
    </row>
    <row r="1238" spans="1:10" ht="15.75" hidden="1" customHeight="1">
      <c r="A1238" s="133" t="s">
        <v>2</v>
      </c>
      <c r="B1238" s="133" t="s">
        <v>4860</v>
      </c>
      <c r="C1238" s="133" t="s">
        <v>4625</v>
      </c>
      <c r="D1238" s="133" t="s">
        <v>496</v>
      </c>
      <c r="E1238" s="158">
        <v>4</v>
      </c>
      <c r="F1238" s="158">
        <v>16</v>
      </c>
      <c r="G1238" s="158">
        <v>0</v>
      </c>
      <c r="H1238" s="133" t="s">
        <v>479</v>
      </c>
      <c r="I1238" s="133" t="s">
        <v>479</v>
      </c>
      <c r="J1238" s="158">
        <v>0</v>
      </c>
    </row>
    <row r="1239" spans="1:10" ht="15.75" hidden="1" customHeight="1">
      <c r="A1239" s="133" t="s">
        <v>2</v>
      </c>
      <c r="B1239" s="133" t="s">
        <v>4860</v>
      </c>
      <c r="C1239" s="133" t="s">
        <v>4626</v>
      </c>
      <c r="D1239" s="133" t="s">
        <v>484</v>
      </c>
      <c r="E1239" s="158">
        <v>4</v>
      </c>
      <c r="F1239" s="158">
        <v>10</v>
      </c>
      <c r="G1239" s="158">
        <v>0</v>
      </c>
      <c r="H1239" s="133" t="s">
        <v>479</v>
      </c>
      <c r="I1239" s="133" t="s">
        <v>479</v>
      </c>
      <c r="J1239" s="158">
        <v>0</v>
      </c>
    </row>
    <row r="1240" spans="1:10" ht="15.75" hidden="1" customHeight="1">
      <c r="A1240" s="133" t="s">
        <v>2</v>
      </c>
      <c r="B1240" s="133" t="s">
        <v>4860</v>
      </c>
      <c r="C1240" s="133" t="s">
        <v>4627</v>
      </c>
      <c r="D1240" s="133" t="s">
        <v>477</v>
      </c>
      <c r="E1240" s="158">
        <v>100</v>
      </c>
      <c r="F1240" s="158">
        <v>0</v>
      </c>
      <c r="G1240" s="158">
        <v>0</v>
      </c>
      <c r="H1240" s="133" t="s">
        <v>479</v>
      </c>
      <c r="I1240" s="133" t="s">
        <v>479</v>
      </c>
      <c r="J1240" s="158">
        <v>0</v>
      </c>
    </row>
    <row r="1241" spans="1:10" ht="15.75" hidden="1" customHeight="1">
      <c r="A1241" s="133" t="s">
        <v>2</v>
      </c>
      <c r="B1241" s="133" t="s">
        <v>4860</v>
      </c>
      <c r="C1241" s="133" t="s">
        <v>1991</v>
      </c>
      <c r="D1241" s="133" t="s">
        <v>484</v>
      </c>
      <c r="E1241" s="158">
        <v>4</v>
      </c>
      <c r="F1241" s="158">
        <v>10</v>
      </c>
      <c r="G1241" s="158">
        <v>0</v>
      </c>
      <c r="H1241" s="133" t="s">
        <v>479</v>
      </c>
      <c r="I1241" s="133" t="s">
        <v>479</v>
      </c>
      <c r="J1241" s="158">
        <v>0</v>
      </c>
    </row>
    <row r="1242" spans="1:10" ht="15.75" hidden="1" customHeight="1">
      <c r="A1242" s="133" t="s">
        <v>2</v>
      </c>
      <c r="B1242" s="133" t="s">
        <v>4860</v>
      </c>
      <c r="C1242" s="133" t="s">
        <v>4628</v>
      </c>
      <c r="D1242" s="133" t="s">
        <v>477</v>
      </c>
      <c r="E1242" s="158">
        <v>100</v>
      </c>
      <c r="F1242" s="158">
        <v>0</v>
      </c>
      <c r="G1242" s="158">
        <v>0</v>
      </c>
      <c r="H1242" s="133" t="s">
        <v>479</v>
      </c>
      <c r="I1242" s="133" t="s">
        <v>479</v>
      </c>
      <c r="J1242" s="158">
        <v>0</v>
      </c>
    </row>
    <row r="1243" spans="1:10" ht="15.75" hidden="1" customHeight="1">
      <c r="A1243" s="133" t="s">
        <v>2</v>
      </c>
      <c r="B1243" s="133" t="s">
        <v>4860</v>
      </c>
      <c r="C1243" s="133" t="s">
        <v>3519</v>
      </c>
      <c r="D1243" s="133" t="s">
        <v>484</v>
      </c>
      <c r="E1243" s="158">
        <v>4</v>
      </c>
      <c r="F1243" s="158">
        <v>10</v>
      </c>
      <c r="G1243" s="158">
        <v>0</v>
      </c>
      <c r="H1243" s="133" t="s">
        <v>479</v>
      </c>
      <c r="I1243" s="133" t="s">
        <v>479</v>
      </c>
      <c r="J1243" s="158">
        <v>0</v>
      </c>
    </row>
    <row r="1244" spans="1:10" ht="15.75" hidden="1" customHeight="1">
      <c r="A1244" s="133" t="s">
        <v>2</v>
      </c>
      <c r="B1244" s="133" t="s">
        <v>4860</v>
      </c>
      <c r="C1244" s="133" t="s">
        <v>3518</v>
      </c>
      <c r="D1244" s="133" t="s">
        <v>477</v>
      </c>
      <c r="E1244" s="158">
        <v>100</v>
      </c>
      <c r="F1244" s="158">
        <v>0</v>
      </c>
      <c r="G1244" s="158">
        <v>0</v>
      </c>
      <c r="H1244" s="133" t="s">
        <v>479</v>
      </c>
      <c r="I1244" s="133" t="s">
        <v>479</v>
      </c>
      <c r="J1244" s="158">
        <v>0</v>
      </c>
    </row>
    <row r="1245" spans="1:10" ht="15.75" hidden="1" customHeight="1">
      <c r="A1245" s="133" t="s">
        <v>2</v>
      </c>
      <c r="B1245" s="133" t="s">
        <v>4860</v>
      </c>
      <c r="C1245" s="133" t="s">
        <v>4629</v>
      </c>
      <c r="D1245" s="133" t="s">
        <v>477</v>
      </c>
      <c r="E1245" s="158">
        <v>20</v>
      </c>
      <c r="F1245" s="158">
        <v>0</v>
      </c>
      <c r="G1245" s="158">
        <v>0</v>
      </c>
      <c r="H1245" s="133" t="s">
        <v>479</v>
      </c>
      <c r="I1245" s="133" t="s">
        <v>479</v>
      </c>
      <c r="J1245" s="158">
        <v>0</v>
      </c>
    </row>
    <row r="1246" spans="1:10" ht="15.75" hidden="1" customHeight="1">
      <c r="A1246" s="133" t="s">
        <v>2</v>
      </c>
      <c r="B1246" s="133" t="s">
        <v>4860</v>
      </c>
      <c r="C1246" s="133" t="s">
        <v>4630</v>
      </c>
      <c r="D1246" s="133" t="s">
        <v>477</v>
      </c>
      <c r="E1246" s="158">
        <v>20</v>
      </c>
      <c r="F1246" s="158">
        <v>0</v>
      </c>
      <c r="G1246" s="158">
        <v>0</v>
      </c>
      <c r="H1246" s="133" t="s">
        <v>479</v>
      </c>
      <c r="I1246" s="133" t="s">
        <v>479</v>
      </c>
      <c r="J1246" s="158">
        <v>0</v>
      </c>
    </row>
    <row r="1247" spans="1:10" ht="15.75" hidden="1" customHeight="1">
      <c r="A1247" s="133" t="s">
        <v>2</v>
      </c>
      <c r="B1247" s="133" t="s">
        <v>4860</v>
      </c>
      <c r="C1247" s="133" t="s">
        <v>4631</v>
      </c>
      <c r="D1247" s="133" t="s">
        <v>477</v>
      </c>
      <c r="E1247" s="158">
        <v>20</v>
      </c>
      <c r="F1247" s="158">
        <v>0</v>
      </c>
      <c r="G1247" s="158">
        <v>0</v>
      </c>
      <c r="H1247" s="133" t="s">
        <v>479</v>
      </c>
      <c r="I1247" s="133" t="s">
        <v>479</v>
      </c>
      <c r="J1247" s="158">
        <v>0</v>
      </c>
    </row>
    <row r="1248" spans="1:10" ht="15.75" hidden="1" customHeight="1">
      <c r="A1248" s="133" t="s">
        <v>2</v>
      </c>
      <c r="B1248" s="133" t="s">
        <v>4860</v>
      </c>
      <c r="C1248" s="133" t="s">
        <v>4632</v>
      </c>
      <c r="D1248" s="133" t="s">
        <v>477</v>
      </c>
      <c r="E1248" s="158">
        <v>20</v>
      </c>
      <c r="F1248" s="158">
        <v>0</v>
      </c>
      <c r="G1248" s="158">
        <v>0</v>
      </c>
      <c r="H1248" s="133" t="s">
        <v>479</v>
      </c>
      <c r="I1248" s="133" t="s">
        <v>479</v>
      </c>
      <c r="J1248" s="158">
        <v>0</v>
      </c>
    </row>
    <row r="1249" spans="1:10" ht="15.75" hidden="1" customHeight="1">
      <c r="A1249" s="133" t="s">
        <v>2</v>
      </c>
      <c r="B1249" s="133" t="s">
        <v>4860</v>
      </c>
      <c r="C1249" s="133" t="s">
        <v>4633</v>
      </c>
      <c r="D1249" s="133" t="s">
        <v>477</v>
      </c>
      <c r="E1249" s="158">
        <v>100</v>
      </c>
      <c r="F1249" s="158">
        <v>0</v>
      </c>
      <c r="G1249" s="158">
        <v>0</v>
      </c>
      <c r="H1249" s="133" t="s">
        <v>479</v>
      </c>
      <c r="I1249" s="133" t="s">
        <v>479</v>
      </c>
      <c r="J1249" s="158">
        <v>0</v>
      </c>
    </row>
    <row r="1250" spans="1:10" ht="15.75" hidden="1" customHeight="1">
      <c r="A1250" s="133" t="s">
        <v>2</v>
      </c>
      <c r="B1250" s="133" t="s">
        <v>4860</v>
      </c>
      <c r="C1250" s="133" t="s">
        <v>4634</v>
      </c>
      <c r="D1250" s="133" t="s">
        <v>477</v>
      </c>
      <c r="E1250" s="158">
        <v>100</v>
      </c>
      <c r="F1250" s="158">
        <v>0</v>
      </c>
      <c r="G1250" s="158">
        <v>0</v>
      </c>
      <c r="H1250" s="133" t="s">
        <v>479</v>
      </c>
      <c r="I1250" s="133" t="s">
        <v>479</v>
      </c>
      <c r="J1250" s="158">
        <v>0</v>
      </c>
    </row>
    <row r="1251" spans="1:10" ht="15.75" hidden="1" customHeight="1">
      <c r="A1251" s="133" t="s">
        <v>2</v>
      </c>
      <c r="B1251" s="133" t="s">
        <v>4860</v>
      </c>
      <c r="C1251" s="133" t="s">
        <v>4635</v>
      </c>
      <c r="D1251" s="133" t="s">
        <v>477</v>
      </c>
      <c r="E1251" s="158">
        <v>100</v>
      </c>
      <c r="F1251" s="158">
        <v>0</v>
      </c>
      <c r="G1251" s="158">
        <v>0</v>
      </c>
      <c r="H1251" s="133" t="s">
        <v>479</v>
      </c>
      <c r="I1251" s="133" t="s">
        <v>479</v>
      </c>
      <c r="J1251" s="158">
        <v>0</v>
      </c>
    </row>
    <row r="1252" spans="1:10" ht="15.75" hidden="1" customHeight="1">
      <c r="A1252" s="133" t="s">
        <v>2</v>
      </c>
      <c r="B1252" s="133" t="s">
        <v>4860</v>
      </c>
      <c r="C1252" s="133" t="s">
        <v>4636</v>
      </c>
      <c r="D1252" s="133" t="s">
        <v>477</v>
      </c>
      <c r="E1252" s="158">
        <v>100</v>
      </c>
      <c r="F1252" s="158">
        <v>0</v>
      </c>
      <c r="G1252" s="158">
        <v>0</v>
      </c>
      <c r="H1252" s="133" t="s">
        <v>479</v>
      </c>
      <c r="I1252" s="133" t="s">
        <v>479</v>
      </c>
      <c r="J1252" s="158">
        <v>0</v>
      </c>
    </row>
    <row r="1253" spans="1:10" ht="15.75" hidden="1" customHeight="1">
      <c r="A1253" s="133" t="s">
        <v>2</v>
      </c>
      <c r="B1253" s="133" t="s">
        <v>4860</v>
      </c>
      <c r="C1253" s="133" t="s">
        <v>2743</v>
      </c>
      <c r="D1253" s="133" t="s">
        <v>477</v>
      </c>
      <c r="E1253" s="158">
        <v>20</v>
      </c>
      <c r="F1253" s="158">
        <v>0</v>
      </c>
      <c r="G1253" s="158">
        <v>0</v>
      </c>
      <c r="H1253" s="133" t="s">
        <v>479</v>
      </c>
      <c r="I1253" s="133" t="s">
        <v>479</v>
      </c>
      <c r="J1253" s="158">
        <v>0</v>
      </c>
    </row>
    <row r="1254" spans="1:10" ht="15.75" hidden="1" customHeight="1">
      <c r="A1254" s="133" t="s">
        <v>2</v>
      </c>
      <c r="B1254" s="133" t="s">
        <v>4860</v>
      </c>
      <c r="C1254" s="133" t="s">
        <v>4637</v>
      </c>
      <c r="D1254" s="133" t="s">
        <v>484</v>
      </c>
      <c r="E1254" s="158">
        <v>4</v>
      </c>
      <c r="F1254" s="158">
        <v>10</v>
      </c>
      <c r="G1254" s="158">
        <v>0</v>
      </c>
      <c r="H1254" s="133" t="s">
        <v>479</v>
      </c>
      <c r="I1254" s="133" t="s">
        <v>479</v>
      </c>
      <c r="J1254" s="158">
        <v>0</v>
      </c>
    </row>
    <row r="1255" spans="1:10" ht="15.75" hidden="1" customHeight="1">
      <c r="A1255" s="133" t="s">
        <v>2</v>
      </c>
      <c r="B1255" s="133" t="s">
        <v>4860</v>
      </c>
      <c r="C1255" s="133" t="s">
        <v>4638</v>
      </c>
      <c r="D1255" s="133" t="s">
        <v>477</v>
      </c>
      <c r="E1255" s="158">
        <v>100</v>
      </c>
      <c r="F1255" s="158">
        <v>0</v>
      </c>
      <c r="G1255" s="158">
        <v>0</v>
      </c>
      <c r="H1255" s="133" t="s">
        <v>479</v>
      </c>
      <c r="I1255" s="133" t="s">
        <v>479</v>
      </c>
      <c r="J1255" s="158">
        <v>0</v>
      </c>
    </row>
    <row r="1256" spans="1:10" ht="15.75" hidden="1" customHeight="1">
      <c r="A1256" s="133" t="s">
        <v>2</v>
      </c>
      <c r="B1256" s="133" t="s">
        <v>4860</v>
      </c>
      <c r="C1256" s="133" t="s">
        <v>4639</v>
      </c>
      <c r="D1256" s="133" t="s">
        <v>484</v>
      </c>
      <c r="E1256" s="158">
        <v>4</v>
      </c>
      <c r="F1256" s="158">
        <v>10</v>
      </c>
      <c r="G1256" s="158">
        <v>0</v>
      </c>
      <c r="H1256" s="133" t="s">
        <v>479</v>
      </c>
      <c r="I1256" s="133" t="s">
        <v>479</v>
      </c>
      <c r="J1256" s="158">
        <v>0</v>
      </c>
    </row>
    <row r="1257" spans="1:10" ht="15.75" hidden="1" customHeight="1">
      <c r="A1257" s="133" t="s">
        <v>2</v>
      </c>
      <c r="B1257" s="133" t="s">
        <v>4860</v>
      </c>
      <c r="C1257" s="133" t="s">
        <v>4640</v>
      </c>
      <c r="D1257" s="133" t="s">
        <v>477</v>
      </c>
      <c r="E1257" s="158">
        <v>100</v>
      </c>
      <c r="F1257" s="158">
        <v>0</v>
      </c>
      <c r="G1257" s="158">
        <v>0</v>
      </c>
      <c r="H1257" s="133" t="s">
        <v>479</v>
      </c>
      <c r="I1257" s="133" t="s">
        <v>479</v>
      </c>
      <c r="J1257" s="158">
        <v>0</v>
      </c>
    </row>
    <row r="1258" spans="1:10" ht="15.75" hidden="1" customHeight="1">
      <c r="A1258" s="133" t="s">
        <v>2</v>
      </c>
      <c r="B1258" s="133" t="s">
        <v>4860</v>
      </c>
      <c r="C1258" s="133" t="s">
        <v>4641</v>
      </c>
      <c r="D1258" s="133" t="s">
        <v>477</v>
      </c>
      <c r="E1258" s="158">
        <v>20</v>
      </c>
      <c r="F1258" s="158">
        <v>0</v>
      </c>
      <c r="G1258" s="158">
        <v>0</v>
      </c>
      <c r="H1258" s="133" t="s">
        <v>479</v>
      </c>
      <c r="I1258" s="133" t="s">
        <v>479</v>
      </c>
      <c r="J1258" s="158">
        <v>0</v>
      </c>
    </row>
    <row r="1259" spans="1:10" ht="15.75" hidden="1" customHeight="1">
      <c r="A1259" s="133" t="s">
        <v>2</v>
      </c>
      <c r="B1259" s="133" t="s">
        <v>4860</v>
      </c>
      <c r="C1259" s="133" t="s">
        <v>4642</v>
      </c>
      <c r="D1259" s="133" t="s">
        <v>477</v>
      </c>
      <c r="E1259" s="158">
        <v>20</v>
      </c>
      <c r="F1259" s="158">
        <v>0</v>
      </c>
      <c r="G1259" s="158">
        <v>0</v>
      </c>
      <c r="H1259" s="133" t="s">
        <v>479</v>
      </c>
      <c r="I1259" s="133" t="s">
        <v>479</v>
      </c>
      <c r="J1259" s="158">
        <v>0</v>
      </c>
    </row>
    <row r="1260" spans="1:10" ht="15.75" hidden="1" customHeight="1">
      <c r="A1260" s="133" t="s">
        <v>2</v>
      </c>
      <c r="B1260" s="133" t="s">
        <v>4860</v>
      </c>
      <c r="C1260" s="133" t="s">
        <v>4643</v>
      </c>
      <c r="D1260" s="133" t="s">
        <v>481</v>
      </c>
      <c r="E1260" s="158">
        <v>9</v>
      </c>
      <c r="F1260" s="158">
        <v>11</v>
      </c>
      <c r="G1260" s="158">
        <v>8</v>
      </c>
      <c r="H1260" s="133" t="s">
        <v>479</v>
      </c>
      <c r="I1260" s="133" t="s">
        <v>479</v>
      </c>
      <c r="J1260" s="158">
        <v>0</v>
      </c>
    </row>
    <row r="1261" spans="1:10" ht="15.75" hidden="1" customHeight="1">
      <c r="A1261" s="133" t="s">
        <v>2</v>
      </c>
      <c r="B1261" s="133" t="s">
        <v>4860</v>
      </c>
      <c r="C1261" s="133" t="s">
        <v>4644</v>
      </c>
      <c r="D1261" s="133" t="s">
        <v>481</v>
      </c>
      <c r="E1261" s="158">
        <v>9</v>
      </c>
      <c r="F1261" s="158">
        <v>11</v>
      </c>
      <c r="G1261" s="158">
        <v>8</v>
      </c>
      <c r="H1261" s="133" t="s">
        <v>479</v>
      </c>
      <c r="I1261" s="133" t="s">
        <v>479</v>
      </c>
      <c r="J1261" s="158">
        <v>0</v>
      </c>
    </row>
    <row r="1262" spans="1:10" ht="15.75" hidden="1" customHeight="1">
      <c r="A1262" s="133" t="s">
        <v>2</v>
      </c>
      <c r="B1262" s="133" t="s">
        <v>4860</v>
      </c>
      <c r="C1262" s="133" t="s">
        <v>4645</v>
      </c>
      <c r="D1262" s="133" t="s">
        <v>477</v>
      </c>
      <c r="E1262" s="158">
        <v>20</v>
      </c>
      <c r="F1262" s="158">
        <v>0</v>
      </c>
      <c r="G1262" s="158">
        <v>0</v>
      </c>
      <c r="H1262" s="133" t="s">
        <v>479</v>
      </c>
      <c r="I1262" s="133" t="s">
        <v>479</v>
      </c>
      <c r="J1262" s="158">
        <v>0</v>
      </c>
    </row>
    <row r="1263" spans="1:10" ht="15.75" hidden="1" customHeight="1">
      <c r="A1263" s="133" t="s">
        <v>2</v>
      </c>
      <c r="B1263" s="133" t="s">
        <v>4860</v>
      </c>
      <c r="C1263" s="133" t="s">
        <v>4646</v>
      </c>
      <c r="D1263" s="133" t="s">
        <v>477</v>
      </c>
      <c r="E1263" s="158">
        <v>100</v>
      </c>
      <c r="F1263" s="158">
        <v>0</v>
      </c>
      <c r="G1263" s="158">
        <v>0</v>
      </c>
      <c r="H1263" s="133" t="s">
        <v>479</v>
      </c>
      <c r="I1263" s="133" t="s">
        <v>479</v>
      </c>
      <c r="J1263" s="158">
        <v>0</v>
      </c>
    </row>
    <row r="1264" spans="1:10" ht="15.75" hidden="1" customHeight="1">
      <c r="A1264" s="133" t="s">
        <v>2</v>
      </c>
      <c r="B1264" s="133" t="s">
        <v>4860</v>
      </c>
      <c r="C1264" s="133" t="s">
        <v>4647</v>
      </c>
      <c r="D1264" s="133" t="s">
        <v>477</v>
      </c>
      <c r="E1264" s="158">
        <v>20</v>
      </c>
      <c r="F1264" s="158">
        <v>0</v>
      </c>
      <c r="G1264" s="158">
        <v>0</v>
      </c>
      <c r="H1264" s="133" t="s">
        <v>479</v>
      </c>
      <c r="I1264" s="133" t="s">
        <v>479</v>
      </c>
      <c r="J1264" s="158">
        <v>0</v>
      </c>
    </row>
    <row r="1265" spans="1:10" ht="15.75" hidden="1" customHeight="1">
      <c r="A1265" s="133" t="s">
        <v>2</v>
      </c>
      <c r="B1265" s="133" t="s">
        <v>4860</v>
      </c>
      <c r="C1265" s="133" t="s">
        <v>4874</v>
      </c>
      <c r="D1265" s="133" t="s">
        <v>477</v>
      </c>
      <c r="E1265" s="158">
        <v>20</v>
      </c>
      <c r="F1265" s="158">
        <v>0</v>
      </c>
      <c r="G1265" s="158">
        <v>0</v>
      </c>
      <c r="H1265" s="133" t="s">
        <v>479</v>
      </c>
      <c r="I1265" s="133" t="s">
        <v>479</v>
      </c>
      <c r="J1265" s="158">
        <v>0</v>
      </c>
    </row>
    <row r="1266" spans="1:10" ht="15.75" hidden="1" customHeight="1">
      <c r="A1266" s="133" t="s">
        <v>2</v>
      </c>
      <c r="B1266" s="133" t="s">
        <v>4860</v>
      </c>
      <c r="C1266" s="133" t="s">
        <v>3331</v>
      </c>
      <c r="D1266" s="133" t="s">
        <v>477</v>
      </c>
      <c r="E1266" s="158">
        <v>20</v>
      </c>
      <c r="F1266" s="158">
        <v>0</v>
      </c>
      <c r="G1266" s="158">
        <v>0</v>
      </c>
      <c r="H1266" s="133" t="s">
        <v>479</v>
      </c>
      <c r="I1266" s="133" t="s">
        <v>479</v>
      </c>
      <c r="J1266" s="158">
        <v>0</v>
      </c>
    </row>
    <row r="1267" spans="1:10" ht="15.75" hidden="1" customHeight="1">
      <c r="A1267" s="133" t="s">
        <v>2</v>
      </c>
      <c r="B1267" s="133" t="s">
        <v>4860</v>
      </c>
      <c r="C1267" s="133" t="s">
        <v>2615</v>
      </c>
      <c r="D1267" s="133" t="s">
        <v>477</v>
      </c>
      <c r="E1267" s="158">
        <v>100</v>
      </c>
      <c r="F1267" s="158">
        <v>0</v>
      </c>
      <c r="G1267" s="158">
        <v>0</v>
      </c>
      <c r="H1267" s="133" t="s">
        <v>479</v>
      </c>
      <c r="I1267" s="133" t="s">
        <v>479</v>
      </c>
      <c r="J1267" s="158">
        <v>0</v>
      </c>
    </row>
    <row r="1268" spans="1:10" ht="15.75" hidden="1" customHeight="1">
      <c r="A1268" s="133" t="s">
        <v>2</v>
      </c>
      <c r="B1268" s="133" t="s">
        <v>4860</v>
      </c>
      <c r="C1268" s="133" t="s">
        <v>2617</v>
      </c>
      <c r="D1268" s="133" t="s">
        <v>477</v>
      </c>
      <c r="E1268" s="158">
        <v>100</v>
      </c>
      <c r="F1268" s="158">
        <v>0</v>
      </c>
      <c r="G1268" s="158">
        <v>0</v>
      </c>
      <c r="H1268" s="133" t="s">
        <v>479</v>
      </c>
      <c r="I1268" s="133" t="s">
        <v>479</v>
      </c>
      <c r="J1268" s="158">
        <v>0</v>
      </c>
    </row>
    <row r="1269" spans="1:10" ht="15.75" hidden="1" customHeight="1">
      <c r="A1269" s="133" t="s">
        <v>2</v>
      </c>
      <c r="B1269" s="133" t="s">
        <v>4860</v>
      </c>
      <c r="C1269" s="133" t="s">
        <v>4648</v>
      </c>
      <c r="D1269" s="133" t="s">
        <v>477</v>
      </c>
      <c r="E1269" s="158">
        <v>100</v>
      </c>
      <c r="F1269" s="158">
        <v>0</v>
      </c>
      <c r="G1269" s="158">
        <v>0</v>
      </c>
      <c r="H1269" s="133" t="s">
        <v>479</v>
      </c>
      <c r="I1269" s="133" t="s">
        <v>479</v>
      </c>
      <c r="J1269" s="158">
        <v>0</v>
      </c>
    </row>
    <row r="1270" spans="1:10" ht="15.75" hidden="1" customHeight="1">
      <c r="A1270" s="133" t="s">
        <v>2</v>
      </c>
      <c r="B1270" s="133" t="s">
        <v>4860</v>
      </c>
      <c r="C1270" s="133" t="s">
        <v>2620</v>
      </c>
      <c r="D1270" s="133" t="s">
        <v>477</v>
      </c>
      <c r="E1270" s="158">
        <v>100</v>
      </c>
      <c r="F1270" s="158">
        <v>0</v>
      </c>
      <c r="G1270" s="158">
        <v>0</v>
      </c>
      <c r="H1270" s="133" t="s">
        <v>479</v>
      </c>
      <c r="I1270" s="133" t="s">
        <v>479</v>
      </c>
      <c r="J1270" s="158">
        <v>0</v>
      </c>
    </row>
    <row r="1271" spans="1:10" ht="15.75" hidden="1" customHeight="1">
      <c r="A1271" s="133" t="s">
        <v>2</v>
      </c>
      <c r="B1271" s="133" t="s">
        <v>4860</v>
      </c>
      <c r="C1271" s="133" t="s">
        <v>4649</v>
      </c>
      <c r="D1271" s="133" t="s">
        <v>484</v>
      </c>
      <c r="E1271" s="158">
        <v>4</v>
      </c>
      <c r="F1271" s="158">
        <v>10</v>
      </c>
      <c r="G1271" s="158">
        <v>0</v>
      </c>
      <c r="H1271" s="133" t="s">
        <v>479</v>
      </c>
      <c r="I1271" s="133" t="s">
        <v>479</v>
      </c>
      <c r="J1271" s="158">
        <v>0</v>
      </c>
    </row>
    <row r="1272" spans="1:10" ht="15.75" hidden="1" customHeight="1">
      <c r="A1272" s="133" t="s">
        <v>2</v>
      </c>
      <c r="B1272" s="133" t="s">
        <v>4860</v>
      </c>
      <c r="C1272" s="133" t="s">
        <v>4650</v>
      </c>
      <c r="D1272" s="133" t="s">
        <v>481</v>
      </c>
      <c r="E1272" s="158">
        <v>9</v>
      </c>
      <c r="F1272" s="158">
        <v>11</v>
      </c>
      <c r="G1272" s="158">
        <v>2</v>
      </c>
      <c r="H1272" s="133" t="s">
        <v>479</v>
      </c>
      <c r="I1272" s="133" t="s">
        <v>479</v>
      </c>
      <c r="J1272" s="158">
        <v>0</v>
      </c>
    </row>
    <row r="1273" spans="1:10" ht="15.75" hidden="1" customHeight="1">
      <c r="A1273" s="133" t="s">
        <v>2</v>
      </c>
      <c r="B1273" s="133" t="s">
        <v>4860</v>
      </c>
      <c r="C1273" s="133" t="s">
        <v>4875</v>
      </c>
      <c r="D1273" s="133" t="s">
        <v>477</v>
      </c>
      <c r="E1273" s="158">
        <v>20</v>
      </c>
      <c r="F1273" s="158">
        <v>0</v>
      </c>
      <c r="G1273" s="158">
        <v>0</v>
      </c>
      <c r="H1273" s="133" t="s">
        <v>479</v>
      </c>
      <c r="I1273" s="133" t="s">
        <v>479</v>
      </c>
      <c r="J1273" s="158">
        <v>0</v>
      </c>
    </row>
    <row r="1274" spans="1:10" ht="15.75" hidden="1" customHeight="1">
      <c r="A1274" s="133" t="s">
        <v>2</v>
      </c>
      <c r="B1274" s="133" t="s">
        <v>4860</v>
      </c>
      <c r="C1274" s="133" t="s">
        <v>4876</v>
      </c>
      <c r="D1274" s="133" t="s">
        <v>1974</v>
      </c>
      <c r="E1274" s="158">
        <v>3</v>
      </c>
      <c r="F1274" s="158">
        <v>10</v>
      </c>
      <c r="G1274" s="158">
        <v>0</v>
      </c>
      <c r="H1274" s="133" t="s">
        <v>479</v>
      </c>
      <c r="I1274" s="133" t="s">
        <v>479</v>
      </c>
      <c r="J1274" s="158">
        <v>0</v>
      </c>
    </row>
    <row r="1275" spans="1:10" ht="15.75" hidden="1" customHeight="1">
      <c r="A1275" s="133" t="s">
        <v>2</v>
      </c>
      <c r="B1275" s="133" t="s">
        <v>4860</v>
      </c>
      <c r="C1275" s="133" t="s">
        <v>4877</v>
      </c>
      <c r="D1275" s="133" t="s">
        <v>477</v>
      </c>
      <c r="E1275" s="158">
        <v>20</v>
      </c>
      <c r="F1275" s="158">
        <v>0</v>
      </c>
      <c r="G1275" s="158">
        <v>0</v>
      </c>
      <c r="H1275" s="133" t="s">
        <v>479</v>
      </c>
      <c r="I1275" s="133" t="s">
        <v>479</v>
      </c>
      <c r="J1275" s="158">
        <v>0</v>
      </c>
    </row>
    <row r="1276" spans="1:10" ht="15.75" hidden="1" customHeight="1">
      <c r="A1276" s="133" t="s">
        <v>2</v>
      </c>
      <c r="B1276" s="133" t="s">
        <v>4860</v>
      </c>
      <c r="C1276" s="133" t="s">
        <v>4878</v>
      </c>
      <c r="D1276" s="133" t="s">
        <v>477</v>
      </c>
      <c r="E1276" s="158">
        <v>100</v>
      </c>
      <c r="F1276" s="158">
        <v>0</v>
      </c>
      <c r="G1276" s="158">
        <v>0</v>
      </c>
      <c r="H1276" s="133" t="s">
        <v>479</v>
      </c>
      <c r="I1276" s="133" t="s">
        <v>479</v>
      </c>
      <c r="J1276" s="158">
        <v>0</v>
      </c>
    </row>
    <row r="1277" spans="1:10" ht="15.75" hidden="1" customHeight="1">
      <c r="A1277" s="133" t="s">
        <v>2</v>
      </c>
      <c r="B1277" s="133" t="s">
        <v>4860</v>
      </c>
      <c r="C1277" s="133" t="s">
        <v>369</v>
      </c>
      <c r="D1277" s="133" t="s">
        <v>477</v>
      </c>
      <c r="E1277" s="158">
        <v>20</v>
      </c>
      <c r="F1277" s="158">
        <v>0</v>
      </c>
      <c r="G1277" s="158">
        <v>0</v>
      </c>
      <c r="H1277" s="133" t="s">
        <v>479</v>
      </c>
      <c r="I1277" s="133" t="s">
        <v>479</v>
      </c>
      <c r="J1277" s="158">
        <v>0</v>
      </c>
    </row>
    <row r="1278" spans="1:10" ht="15.75" hidden="1" customHeight="1">
      <c r="A1278" s="133" t="s">
        <v>2</v>
      </c>
      <c r="B1278" s="133" t="s">
        <v>4860</v>
      </c>
      <c r="C1278" s="133" t="s">
        <v>2290</v>
      </c>
      <c r="D1278" s="133" t="s">
        <v>477</v>
      </c>
      <c r="E1278" s="158">
        <v>100</v>
      </c>
      <c r="F1278" s="158">
        <v>0</v>
      </c>
      <c r="G1278" s="158">
        <v>0</v>
      </c>
      <c r="H1278" s="133" t="s">
        <v>479</v>
      </c>
      <c r="I1278" s="133" t="s">
        <v>479</v>
      </c>
      <c r="J1278" s="158">
        <v>0</v>
      </c>
    </row>
    <row r="1279" spans="1:10" ht="15.75" hidden="1" customHeight="1">
      <c r="A1279" s="133" t="s">
        <v>2</v>
      </c>
      <c r="B1279" s="133" t="s">
        <v>4860</v>
      </c>
      <c r="C1279" s="133" t="s">
        <v>1273</v>
      </c>
      <c r="D1279" s="133" t="s">
        <v>477</v>
      </c>
      <c r="E1279" s="158">
        <v>20</v>
      </c>
      <c r="F1279" s="158">
        <v>0</v>
      </c>
      <c r="G1279" s="158">
        <v>0</v>
      </c>
      <c r="H1279" s="133" t="s">
        <v>479</v>
      </c>
      <c r="I1279" s="133" t="s">
        <v>479</v>
      </c>
      <c r="J1279" s="158">
        <v>0</v>
      </c>
    </row>
    <row r="1280" spans="1:10" ht="15.75" hidden="1" customHeight="1">
      <c r="A1280" s="133" t="s">
        <v>2</v>
      </c>
      <c r="B1280" s="133" t="s">
        <v>4860</v>
      </c>
      <c r="C1280" s="133" t="s">
        <v>4208</v>
      </c>
      <c r="D1280" s="133" t="s">
        <v>477</v>
      </c>
      <c r="E1280" s="158">
        <v>100</v>
      </c>
      <c r="F1280" s="158">
        <v>0</v>
      </c>
      <c r="G1280" s="158">
        <v>0</v>
      </c>
      <c r="H1280" s="133" t="s">
        <v>479</v>
      </c>
      <c r="I1280" s="133" t="s">
        <v>479</v>
      </c>
      <c r="J1280" s="158">
        <v>0</v>
      </c>
    </row>
    <row r="1281" spans="1:10" ht="15.75" hidden="1" customHeight="1">
      <c r="A1281" s="133" t="s">
        <v>2</v>
      </c>
      <c r="B1281" s="133" t="s">
        <v>4860</v>
      </c>
      <c r="C1281" s="133" t="s">
        <v>4879</v>
      </c>
      <c r="D1281" s="133" t="s">
        <v>477</v>
      </c>
      <c r="E1281" s="158">
        <v>20</v>
      </c>
      <c r="F1281" s="158">
        <v>0</v>
      </c>
      <c r="G1281" s="158">
        <v>0</v>
      </c>
      <c r="H1281" s="133" t="s">
        <v>479</v>
      </c>
      <c r="I1281" s="133" t="s">
        <v>479</v>
      </c>
      <c r="J1281" s="158">
        <v>0</v>
      </c>
    </row>
    <row r="1282" spans="1:10" ht="15.75" hidden="1" customHeight="1">
      <c r="A1282" s="133" t="s">
        <v>2</v>
      </c>
      <c r="B1282" s="133" t="s">
        <v>4860</v>
      </c>
      <c r="C1282" s="133" t="s">
        <v>4880</v>
      </c>
      <c r="D1282" s="133" t="s">
        <v>1974</v>
      </c>
      <c r="E1282" s="158">
        <v>3</v>
      </c>
      <c r="F1282" s="158">
        <v>10</v>
      </c>
      <c r="G1282" s="158">
        <v>0</v>
      </c>
      <c r="H1282" s="133" t="s">
        <v>479</v>
      </c>
      <c r="I1282" s="133" t="s">
        <v>479</v>
      </c>
      <c r="J1282" s="158">
        <v>0</v>
      </c>
    </row>
    <row r="1283" spans="1:10" ht="15.75" hidden="1" customHeight="1">
      <c r="A1283" s="133" t="s">
        <v>2</v>
      </c>
      <c r="B1283" s="133" t="s">
        <v>4860</v>
      </c>
      <c r="C1283" s="133" t="s">
        <v>4881</v>
      </c>
      <c r="D1283" s="133" t="s">
        <v>477</v>
      </c>
      <c r="E1283" s="158">
        <v>20</v>
      </c>
      <c r="F1283" s="158">
        <v>0</v>
      </c>
      <c r="G1283" s="158">
        <v>0</v>
      </c>
      <c r="H1283" s="133" t="s">
        <v>479</v>
      </c>
      <c r="I1283" s="133" t="s">
        <v>479</v>
      </c>
      <c r="J1283" s="158">
        <v>0</v>
      </c>
    </row>
    <row r="1284" spans="1:10" ht="15.75" hidden="1" customHeight="1">
      <c r="A1284" s="133" t="s">
        <v>2</v>
      </c>
      <c r="B1284" s="133" t="s">
        <v>4860</v>
      </c>
      <c r="C1284" s="133" t="s">
        <v>4882</v>
      </c>
      <c r="D1284" s="133" t="s">
        <v>477</v>
      </c>
      <c r="E1284" s="158">
        <v>20</v>
      </c>
      <c r="F1284" s="158">
        <v>0</v>
      </c>
      <c r="G1284" s="158">
        <v>0</v>
      </c>
      <c r="H1284" s="133" t="s">
        <v>479</v>
      </c>
      <c r="I1284" s="133" t="s">
        <v>479</v>
      </c>
      <c r="J1284" s="158">
        <v>0</v>
      </c>
    </row>
    <row r="1285" spans="1:10" ht="15.75" hidden="1" customHeight="1">
      <c r="A1285" s="133" t="s">
        <v>2</v>
      </c>
      <c r="B1285" s="133" t="s">
        <v>4860</v>
      </c>
      <c r="C1285" s="133" t="s">
        <v>4883</v>
      </c>
      <c r="D1285" s="133" t="s">
        <v>477</v>
      </c>
      <c r="E1285" s="158">
        <v>20</v>
      </c>
      <c r="F1285" s="158">
        <v>0</v>
      </c>
      <c r="G1285" s="158">
        <v>0</v>
      </c>
      <c r="H1285" s="133" t="s">
        <v>479</v>
      </c>
      <c r="I1285" s="133" t="s">
        <v>479</v>
      </c>
      <c r="J1285" s="158">
        <v>0</v>
      </c>
    </row>
    <row r="1286" spans="1:10" ht="15.75" hidden="1" customHeight="1">
      <c r="A1286" s="133" t="s">
        <v>2</v>
      </c>
      <c r="B1286" s="133" t="s">
        <v>4860</v>
      </c>
      <c r="C1286" s="133" t="s">
        <v>4092</v>
      </c>
      <c r="D1286" s="133" t="s">
        <v>477</v>
      </c>
      <c r="E1286" s="158">
        <v>20</v>
      </c>
      <c r="F1286" s="158">
        <v>0</v>
      </c>
      <c r="G1286" s="158">
        <v>0</v>
      </c>
      <c r="H1286" s="133" t="s">
        <v>479</v>
      </c>
      <c r="I1286" s="133" t="s">
        <v>479</v>
      </c>
      <c r="J1286" s="158">
        <v>0</v>
      </c>
    </row>
    <row r="1287" spans="1:10" ht="15.75" hidden="1" customHeight="1">
      <c r="A1287" s="133" t="s">
        <v>2</v>
      </c>
      <c r="B1287" s="133" t="s">
        <v>4860</v>
      </c>
      <c r="C1287" s="133" t="s">
        <v>1217</v>
      </c>
      <c r="D1287" s="133" t="s">
        <v>477</v>
      </c>
      <c r="E1287" s="158">
        <v>20</v>
      </c>
      <c r="F1287" s="158">
        <v>0</v>
      </c>
      <c r="G1287" s="158">
        <v>0</v>
      </c>
      <c r="H1287" s="133" t="s">
        <v>479</v>
      </c>
      <c r="I1287" s="133" t="s">
        <v>479</v>
      </c>
      <c r="J1287" s="158">
        <v>0</v>
      </c>
    </row>
    <row r="1288" spans="1:10" ht="15.75" hidden="1" customHeight="1">
      <c r="A1288" s="133" t="s">
        <v>2</v>
      </c>
      <c r="B1288" s="133" t="s">
        <v>4860</v>
      </c>
      <c r="C1288" s="133" t="s">
        <v>4652</v>
      </c>
      <c r="D1288" s="133" t="s">
        <v>481</v>
      </c>
      <c r="E1288" s="158">
        <v>5</v>
      </c>
      <c r="F1288" s="158">
        <v>9</v>
      </c>
      <c r="G1288" s="158">
        <v>2</v>
      </c>
      <c r="H1288" s="133" t="s">
        <v>479</v>
      </c>
      <c r="I1288" s="133" t="s">
        <v>615</v>
      </c>
      <c r="J1288" s="158">
        <v>0</v>
      </c>
    </row>
    <row r="1289" spans="1:10" ht="15.75" hidden="1" customHeight="1">
      <c r="A1289" s="133" t="s">
        <v>2</v>
      </c>
      <c r="B1289" s="133" t="s">
        <v>4860</v>
      </c>
      <c r="C1289" s="133" t="s">
        <v>4653</v>
      </c>
      <c r="D1289" s="133" t="s">
        <v>481</v>
      </c>
      <c r="E1289" s="158">
        <v>5</v>
      </c>
      <c r="F1289" s="158">
        <v>9</v>
      </c>
      <c r="G1289" s="158">
        <v>2</v>
      </c>
      <c r="H1289" s="133" t="s">
        <v>479</v>
      </c>
      <c r="I1289" s="133" t="s">
        <v>615</v>
      </c>
      <c r="J1289" s="158">
        <v>0</v>
      </c>
    </row>
    <row r="1290" spans="1:10" ht="15.75" hidden="1" customHeight="1">
      <c r="A1290" s="133" t="s">
        <v>2</v>
      </c>
      <c r="B1290" s="133" t="s">
        <v>4860</v>
      </c>
      <c r="C1290" s="133" t="s">
        <v>4775</v>
      </c>
      <c r="D1290" s="133" t="s">
        <v>477</v>
      </c>
      <c r="E1290" s="158">
        <v>20</v>
      </c>
      <c r="F1290" s="158">
        <v>0</v>
      </c>
      <c r="G1290" s="158">
        <v>0</v>
      </c>
      <c r="H1290" s="133" t="s">
        <v>479</v>
      </c>
      <c r="I1290" s="133" t="s">
        <v>479</v>
      </c>
      <c r="J1290" s="158">
        <v>0</v>
      </c>
    </row>
    <row r="1291" spans="1:10" ht="15.75" hidden="1" customHeight="1">
      <c r="A1291" s="133" t="s">
        <v>2</v>
      </c>
      <c r="B1291" s="133" t="s">
        <v>4860</v>
      </c>
      <c r="C1291" s="133" t="s">
        <v>4884</v>
      </c>
      <c r="D1291" s="133" t="s">
        <v>477</v>
      </c>
      <c r="E1291" s="158">
        <v>20</v>
      </c>
      <c r="F1291" s="158">
        <v>0</v>
      </c>
      <c r="G1291" s="158">
        <v>0</v>
      </c>
      <c r="H1291" s="133" t="s">
        <v>479</v>
      </c>
      <c r="I1291" s="133" t="s">
        <v>479</v>
      </c>
      <c r="J1291" s="158">
        <v>0</v>
      </c>
    </row>
    <row r="1292" spans="1:10" ht="15.75" hidden="1" customHeight="1">
      <c r="A1292" s="133" t="s">
        <v>2</v>
      </c>
      <c r="B1292" s="133" t="s">
        <v>4860</v>
      </c>
      <c r="C1292" s="133" t="s">
        <v>2545</v>
      </c>
      <c r="D1292" s="133" t="s">
        <v>484</v>
      </c>
      <c r="E1292" s="158">
        <v>4</v>
      </c>
      <c r="F1292" s="158">
        <v>10</v>
      </c>
      <c r="G1292" s="158">
        <v>0</v>
      </c>
      <c r="H1292" s="133" t="s">
        <v>479</v>
      </c>
      <c r="I1292" s="133" t="s">
        <v>479</v>
      </c>
      <c r="J1292" s="158">
        <v>0</v>
      </c>
    </row>
    <row r="1293" spans="1:10" ht="15.75" hidden="1" customHeight="1">
      <c r="A1293" s="133" t="s">
        <v>2</v>
      </c>
      <c r="B1293" s="133" t="s">
        <v>4860</v>
      </c>
      <c r="C1293" s="133" t="s">
        <v>2547</v>
      </c>
      <c r="D1293" s="133" t="s">
        <v>484</v>
      </c>
      <c r="E1293" s="158">
        <v>4</v>
      </c>
      <c r="F1293" s="158">
        <v>10</v>
      </c>
      <c r="G1293" s="158">
        <v>0</v>
      </c>
      <c r="H1293" s="133" t="s">
        <v>479</v>
      </c>
      <c r="I1293" s="133" t="s">
        <v>479</v>
      </c>
      <c r="J1293" s="158">
        <v>0</v>
      </c>
    </row>
    <row r="1294" spans="1:10" ht="15.75" hidden="1" customHeight="1">
      <c r="A1294" s="133" t="s">
        <v>2</v>
      </c>
      <c r="B1294" s="133" t="s">
        <v>4860</v>
      </c>
      <c r="C1294" s="133" t="s">
        <v>2688</v>
      </c>
      <c r="D1294" s="133" t="s">
        <v>484</v>
      </c>
      <c r="E1294" s="158">
        <v>4</v>
      </c>
      <c r="F1294" s="158">
        <v>10</v>
      </c>
      <c r="G1294" s="158">
        <v>0</v>
      </c>
      <c r="H1294" s="133" t="s">
        <v>479</v>
      </c>
      <c r="I1294" s="133" t="s">
        <v>479</v>
      </c>
      <c r="J1294" s="158">
        <v>0</v>
      </c>
    </row>
    <row r="1295" spans="1:10" ht="15.75" hidden="1" customHeight="1">
      <c r="A1295" s="133" t="s">
        <v>2</v>
      </c>
      <c r="B1295" s="133" t="s">
        <v>4860</v>
      </c>
      <c r="C1295" s="133" t="s">
        <v>4656</v>
      </c>
      <c r="D1295" s="133" t="s">
        <v>484</v>
      </c>
      <c r="E1295" s="158">
        <v>4</v>
      </c>
      <c r="F1295" s="158">
        <v>10</v>
      </c>
      <c r="G1295" s="158">
        <v>0</v>
      </c>
      <c r="H1295" s="133" t="s">
        <v>479</v>
      </c>
      <c r="I1295" s="133" t="s">
        <v>479</v>
      </c>
      <c r="J1295" s="158">
        <v>0</v>
      </c>
    </row>
    <row r="1296" spans="1:10" ht="15.75" hidden="1" customHeight="1">
      <c r="A1296" s="133" t="s">
        <v>2</v>
      </c>
      <c r="B1296" s="133" t="s">
        <v>4860</v>
      </c>
      <c r="C1296" s="133" t="s">
        <v>4657</v>
      </c>
      <c r="D1296" s="133" t="s">
        <v>484</v>
      </c>
      <c r="E1296" s="158">
        <v>4</v>
      </c>
      <c r="F1296" s="158">
        <v>10</v>
      </c>
      <c r="G1296" s="158">
        <v>0</v>
      </c>
      <c r="H1296" s="133" t="s">
        <v>479</v>
      </c>
      <c r="I1296" s="133" t="s">
        <v>479</v>
      </c>
      <c r="J1296" s="158">
        <v>0</v>
      </c>
    </row>
    <row r="1297" spans="1:10" ht="15.75" hidden="1" customHeight="1">
      <c r="A1297" s="133" t="s">
        <v>2</v>
      </c>
      <c r="B1297" s="133" t="s">
        <v>4860</v>
      </c>
      <c r="C1297" s="133" t="s">
        <v>4658</v>
      </c>
      <c r="D1297" s="133" t="s">
        <v>484</v>
      </c>
      <c r="E1297" s="158">
        <v>4</v>
      </c>
      <c r="F1297" s="158">
        <v>10</v>
      </c>
      <c r="G1297" s="158">
        <v>0</v>
      </c>
      <c r="H1297" s="133" t="s">
        <v>479</v>
      </c>
      <c r="I1297" s="133" t="s">
        <v>479</v>
      </c>
      <c r="J1297" s="158">
        <v>0</v>
      </c>
    </row>
    <row r="1298" spans="1:10" ht="15.75" hidden="1" customHeight="1">
      <c r="A1298" s="133" t="s">
        <v>2</v>
      </c>
      <c r="B1298" s="133" t="s">
        <v>4860</v>
      </c>
      <c r="C1298" s="133" t="s">
        <v>4659</v>
      </c>
      <c r="D1298" s="133" t="s">
        <v>484</v>
      </c>
      <c r="E1298" s="158">
        <v>4</v>
      </c>
      <c r="F1298" s="158">
        <v>10</v>
      </c>
      <c r="G1298" s="158">
        <v>0</v>
      </c>
      <c r="H1298" s="133" t="s">
        <v>479</v>
      </c>
      <c r="I1298" s="133" t="s">
        <v>479</v>
      </c>
      <c r="J1298" s="158">
        <v>0</v>
      </c>
    </row>
    <row r="1299" spans="1:10" ht="15.75" hidden="1" customHeight="1">
      <c r="A1299" s="133" t="s">
        <v>2</v>
      </c>
      <c r="B1299" s="133" t="s">
        <v>4860</v>
      </c>
      <c r="C1299" s="133" t="s">
        <v>2607</v>
      </c>
      <c r="D1299" s="133" t="s">
        <v>484</v>
      </c>
      <c r="E1299" s="158">
        <v>4</v>
      </c>
      <c r="F1299" s="158">
        <v>10</v>
      </c>
      <c r="G1299" s="158">
        <v>0</v>
      </c>
      <c r="H1299" s="133" t="s">
        <v>479</v>
      </c>
      <c r="I1299" s="133" t="s">
        <v>479</v>
      </c>
      <c r="J1299" s="158">
        <v>0</v>
      </c>
    </row>
    <row r="1300" spans="1:10" ht="15.75" hidden="1" customHeight="1">
      <c r="A1300" s="133" t="s">
        <v>2</v>
      </c>
      <c r="B1300" s="133" t="s">
        <v>4860</v>
      </c>
      <c r="C1300" s="133" t="s">
        <v>4885</v>
      </c>
      <c r="D1300" s="133" t="s">
        <v>477</v>
      </c>
      <c r="E1300" s="158">
        <v>20</v>
      </c>
      <c r="F1300" s="158">
        <v>0</v>
      </c>
      <c r="G1300" s="158">
        <v>0</v>
      </c>
      <c r="H1300" s="133" t="s">
        <v>479</v>
      </c>
      <c r="I1300" s="133" t="s">
        <v>479</v>
      </c>
      <c r="J1300" s="158">
        <v>0</v>
      </c>
    </row>
    <row r="1301" spans="1:10" ht="15.75" hidden="1" customHeight="1">
      <c r="A1301" s="133" t="s">
        <v>2</v>
      </c>
      <c r="B1301" s="133" t="s">
        <v>4860</v>
      </c>
      <c r="C1301" s="133" t="s">
        <v>4886</v>
      </c>
      <c r="D1301" s="133" t="s">
        <v>477</v>
      </c>
      <c r="E1301" s="158">
        <v>20</v>
      </c>
      <c r="F1301" s="158">
        <v>0</v>
      </c>
      <c r="G1301" s="158">
        <v>0</v>
      </c>
      <c r="H1301" s="133" t="s">
        <v>4887</v>
      </c>
      <c r="I1301" s="133" t="s">
        <v>596</v>
      </c>
      <c r="J1301" s="158">
        <v>0</v>
      </c>
    </row>
    <row r="1302" spans="1:10" ht="15.75" hidden="1" customHeight="1">
      <c r="A1302" s="133" t="s">
        <v>2</v>
      </c>
      <c r="B1302" s="133" t="s">
        <v>4860</v>
      </c>
      <c r="C1302" s="133" t="s">
        <v>2715</v>
      </c>
      <c r="D1302" s="133" t="s">
        <v>481</v>
      </c>
      <c r="E1302" s="158">
        <v>5</v>
      </c>
      <c r="F1302" s="158">
        <v>9</v>
      </c>
      <c r="G1302" s="158">
        <v>2</v>
      </c>
      <c r="H1302" s="133" t="s">
        <v>479</v>
      </c>
      <c r="I1302" s="133" t="s">
        <v>1223</v>
      </c>
      <c r="J1302" s="158">
        <v>0</v>
      </c>
    </row>
    <row r="1303" spans="1:10" ht="15.75" hidden="1" customHeight="1">
      <c r="A1303" s="133" t="s">
        <v>2</v>
      </c>
      <c r="B1303" s="133" t="s">
        <v>4860</v>
      </c>
      <c r="C1303" s="133" t="s">
        <v>4660</v>
      </c>
      <c r="D1303" s="133" t="s">
        <v>481</v>
      </c>
      <c r="E1303" s="158">
        <v>5</v>
      </c>
      <c r="F1303" s="158">
        <v>9</v>
      </c>
      <c r="G1303" s="158">
        <v>2</v>
      </c>
      <c r="H1303" s="133" t="s">
        <v>479</v>
      </c>
      <c r="I1303" s="133" t="s">
        <v>1223</v>
      </c>
      <c r="J1303" s="158">
        <v>0</v>
      </c>
    </row>
    <row r="1304" spans="1:10" ht="15.75" hidden="1" customHeight="1">
      <c r="A1304" s="133" t="s">
        <v>2</v>
      </c>
      <c r="B1304" s="133" t="s">
        <v>4860</v>
      </c>
      <c r="C1304" s="133" t="s">
        <v>2621</v>
      </c>
      <c r="D1304" s="133" t="s">
        <v>484</v>
      </c>
      <c r="E1304" s="158">
        <v>4</v>
      </c>
      <c r="F1304" s="158">
        <v>10</v>
      </c>
      <c r="G1304" s="158">
        <v>0</v>
      </c>
      <c r="H1304" s="133" t="s">
        <v>479</v>
      </c>
      <c r="I1304" s="133" t="s">
        <v>1223</v>
      </c>
      <c r="J1304" s="158">
        <v>0</v>
      </c>
    </row>
    <row r="1305" spans="1:10" ht="15.75" hidden="1" customHeight="1">
      <c r="A1305" s="133" t="s">
        <v>2</v>
      </c>
      <c r="B1305" s="133" t="s">
        <v>4860</v>
      </c>
      <c r="C1305" s="133" t="s">
        <v>2622</v>
      </c>
      <c r="D1305" s="133" t="s">
        <v>481</v>
      </c>
      <c r="E1305" s="158">
        <v>9</v>
      </c>
      <c r="F1305" s="158">
        <v>11</v>
      </c>
      <c r="G1305" s="158">
        <v>2</v>
      </c>
      <c r="H1305" s="133" t="s">
        <v>479</v>
      </c>
      <c r="I1305" s="133" t="s">
        <v>1223</v>
      </c>
      <c r="J1305" s="158">
        <v>0</v>
      </c>
    </row>
    <row r="1306" spans="1:10" ht="15.75" hidden="1" customHeight="1">
      <c r="A1306" s="133" t="s">
        <v>2</v>
      </c>
      <c r="B1306" s="133" t="s">
        <v>4860</v>
      </c>
      <c r="C1306" s="133" t="s">
        <v>2623</v>
      </c>
      <c r="D1306" s="133" t="s">
        <v>481</v>
      </c>
      <c r="E1306" s="158">
        <v>9</v>
      </c>
      <c r="F1306" s="158">
        <v>11</v>
      </c>
      <c r="G1306" s="158">
        <v>2</v>
      </c>
      <c r="H1306" s="133" t="s">
        <v>479</v>
      </c>
      <c r="I1306" s="133" t="s">
        <v>1223</v>
      </c>
      <c r="J1306" s="158">
        <v>0</v>
      </c>
    </row>
    <row r="1307" spans="1:10" ht="15.75" hidden="1" customHeight="1">
      <c r="A1307" s="133" t="s">
        <v>2</v>
      </c>
      <c r="B1307" s="133" t="s">
        <v>4860</v>
      </c>
      <c r="C1307" s="133" t="s">
        <v>4661</v>
      </c>
      <c r="D1307" s="133" t="s">
        <v>481</v>
      </c>
      <c r="E1307" s="158">
        <v>5</v>
      </c>
      <c r="F1307" s="158">
        <v>9</v>
      </c>
      <c r="G1307" s="158">
        <v>2</v>
      </c>
      <c r="H1307" s="133" t="s">
        <v>479</v>
      </c>
      <c r="I1307" s="133" t="s">
        <v>1223</v>
      </c>
      <c r="J1307" s="158">
        <v>0</v>
      </c>
    </row>
    <row r="1308" spans="1:10" ht="15.75" hidden="1" customHeight="1">
      <c r="A1308" s="133" t="s">
        <v>2</v>
      </c>
      <c r="B1308" s="133" t="s">
        <v>4860</v>
      </c>
      <c r="C1308" s="133" t="s">
        <v>2624</v>
      </c>
      <c r="D1308" s="133" t="s">
        <v>477</v>
      </c>
      <c r="E1308" s="158">
        <v>20</v>
      </c>
      <c r="F1308" s="158">
        <v>0</v>
      </c>
      <c r="G1308" s="158">
        <v>0</v>
      </c>
      <c r="H1308" s="133" t="s">
        <v>479</v>
      </c>
      <c r="I1308" s="133" t="s">
        <v>548</v>
      </c>
      <c r="J1308" s="158">
        <v>0</v>
      </c>
    </row>
    <row r="1309" spans="1:10" ht="15.75" hidden="1" customHeight="1">
      <c r="A1309" s="133" t="s">
        <v>2</v>
      </c>
      <c r="B1309" s="133" t="s">
        <v>4860</v>
      </c>
      <c r="C1309" s="133" t="s">
        <v>4888</v>
      </c>
      <c r="D1309" s="133" t="s">
        <v>477</v>
      </c>
      <c r="E1309" s="158">
        <v>20</v>
      </c>
      <c r="F1309" s="158">
        <v>0</v>
      </c>
      <c r="G1309" s="158">
        <v>0</v>
      </c>
      <c r="H1309" s="133" t="s">
        <v>2628</v>
      </c>
      <c r="I1309" s="133" t="s">
        <v>596</v>
      </c>
      <c r="J1309" s="158">
        <v>0</v>
      </c>
    </row>
    <row r="1310" spans="1:10" ht="15.75" hidden="1" customHeight="1">
      <c r="A1310" s="133" t="s">
        <v>2</v>
      </c>
      <c r="B1310" s="133" t="s">
        <v>4860</v>
      </c>
      <c r="C1310" s="133" t="s">
        <v>2629</v>
      </c>
      <c r="D1310" s="133" t="s">
        <v>477</v>
      </c>
      <c r="E1310" s="158">
        <v>20</v>
      </c>
      <c r="F1310" s="158">
        <v>0</v>
      </c>
      <c r="G1310" s="158">
        <v>0</v>
      </c>
      <c r="H1310" s="133" t="s">
        <v>1907</v>
      </c>
      <c r="I1310" s="133" t="s">
        <v>596</v>
      </c>
      <c r="J1310" s="158">
        <v>0</v>
      </c>
    </row>
    <row r="1311" spans="1:10" ht="15.75" hidden="1" customHeight="1">
      <c r="A1311" s="133" t="s">
        <v>2</v>
      </c>
      <c r="B1311" s="133" t="s">
        <v>4860</v>
      </c>
      <c r="C1311" s="133" t="s">
        <v>2630</v>
      </c>
      <c r="D1311" s="133" t="s">
        <v>477</v>
      </c>
      <c r="E1311" s="158">
        <v>256</v>
      </c>
      <c r="F1311" s="158">
        <v>0</v>
      </c>
      <c r="G1311" s="158">
        <v>0</v>
      </c>
      <c r="H1311" s="133" t="s">
        <v>2631</v>
      </c>
      <c r="I1311" s="133" t="s">
        <v>548</v>
      </c>
      <c r="J1311" s="158">
        <v>0</v>
      </c>
    </row>
    <row r="1312" spans="1:10" ht="15.75" hidden="1" customHeight="1">
      <c r="A1312" s="133" t="s">
        <v>2</v>
      </c>
      <c r="B1312" s="133" t="s">
        <v>4860</v>
      </c>
      <c r="C1312" s="133" t="s">
        <v>2758</v>
      </c>
      <c r="D1312" s="133" t="s">
        <v>477</v>
      </c>
      <c r="E1312" s="158">
        <v>20</v>
      </c>
      <c r="F1312" s="158">
        <v>0</v>
      </c>
      <c r="G1312" s="158">
        <v>0</v>
      </c>
      <c r="H1312" s="133" t="s">
        <v>2759</v>
      </c>
      <c r="I1312" s="133" t="s">
        <v>596</v>
      </c>
      <c r="J1312" s="158">
        <v>0</v>
      </c>
    </row>
    <row r="1313" spans="1:10" ht="15.75" hidden="1" customHeight="1">
      <c r="A1313" s="133" t="s">
        <v>2</v>
      </c>
      <c r="B1313" s="133" t="s">
        <v>4860</v>
      </c>
      <c r="C1313" s="133" t="s">
        <v>2760</v>
      </c>
      <c r="D1313" s="133" t="s">
        <v>477</v>
      </c>
      <c r="E1313" s="158">
        <v>100</v>
      </c>
      <c r="F1313" s="158">
        <v>0</v>
      </c>
      <c r="G1313" s="158">
        <v>0</v>
      </c>
      <c r="H1313" s="133" t="s">
        <v>2761</v>
      </c>
      <c r="I1313" s="133" t="s">
        <v>548</v>
      </c>
      <c r="J1313" s="158">
        <v>0</v>
      </c>
    </row>
    <row r="1314" spans="1:10" ht="15.75" hidden="1" customHeight="1">
      <c r="A1314" s="133" t="s">
        <v>2</v>
      </c>
      <c r="B1314" s="133" t="s">
        <v>4860</v>
      </c>
      <c r="C1314" s="133" t="s">
        <v>4725</v>
      </c>
      <c r="D1314" s="133" t="s">
        <v>477</v>
      </c>
      <c r="E1314" s="158">
        <v>20</v>
      </c>
      <c r="F1314" s="158">
        <v>0</v>
      </c>
      <c r="G1314" s="158">
        <v>0</v>
      </c>
      <c r="H1314" s="133" t="s">
        <v>4726</v>
      </c>
      <c r="I1314" s="133" t="s">
        <v>596</v>
      </c>
      <c r="J1314" s="158">
        <v>0</v>
      </c>
    </row>
    <row r="1315" spans="1:10" ht="15.75" hidden="1" customHeight="1">
      <c r="A1315" s="133" t="s">
        <v>2</v>
      </c>
      <c r="B1315" s="203" t="s">
        <v>4105</v>
      </c>
      <c r="C1315" s="133" t="s">
        <v>1163</v>
      </c>
      <c r="D1315" s="133" t="s">
        <v>477</v>
      </c>
      <c r="E1315" s="158">
        <v>20</v>
      </c>
      <c r="F1315" s="158">
        <v>0</v>
      </c>
      <c r="G1315" s="158">
        <v>0</v>
      </c>
      <c r="H1315" s="133" t="s">
        <v>1556</v>
      </c>
      <c r="I1315" s="133" t="s">
        <v>548</v>
      </c>
      <c r="J1315" s="158">
        <v>0</v>
      </c>
    </row>
    <row r="1316" spans="1:10" ht="15.75" hidden="1" customHeight="1">
      <c r="A1316" s="133" t="s">
        <v>2</v>
      </c>
      <c r="B1316" s="203" t="s">
        <v>4105</v>
      </c>
      <c r="C1316" s="133" t="s">
        <v>1557</v>
      </c>
      <c r="D1316" s="133" t="s">
        <v>1974</v>
      </c>
      <c r="E1316" s="158">
        <v>3</v>
      </c>
      <c r="F1316" s="158">
        <v>10</v>
      </c>
      <c r="G1316" s="158">
        <v>0</v>
      </c>
      <c r="H1316" s="133" t="s">
        <v>4889</v>
      </c>
      <c r="I1316" s="133" t="s">
        <v>1363</v>
      </c>
      <c r="J1316" s="158">
        <v>0</v>
      </c>
    </row>
    <row r="1317" spans="1:10" ht="15.75" hidden="1" customHeight="1">
      <c r="A1317" s="133" t="s">
        <v>2</v>
      </c>
      <c r="B1317" s="203" t="s">
        <v>4105</v>
      </c>
      <c r="C1317" s="133" t="s">
        <v>811</v>
      </c>
      <c r="D1317" s="133" t="s">
        <v>477</v>
      </c>
      <c r="E1317" s="158">
        <v>20</v>
      </c>
      <c r="F1317" s="158">
        <v>0</v>
      </c>
      <c r="G1317" s="158">
        <v>0</v>
      </c>
      <c r="H1317" s="133" t="s">
        <v>4890</v>
      </c>
      <c r="I1317" s="133" t="s">
        <v>548</v>
      </c>
      <c r="J1317" s="158">
        <v>0</v>
      </c>
    </row>
    <row r="1318" spans="1:10" ht="15.75" hidden="1" customHeight="1">
      <c r="A1318" s="133" t="s">
        <v>2</v>
      </c>
      <c r="B1318" s="203" t="s">
        <v>4105</v>
      </c>
      <c r="C1318" s="133" t="s">
        <v>4858</v>
      </c>
      <c r="D1318" s="133" t="s">
        <v>477</v>
      </c>
      <c r="E1318" s="158">
        <v>20</v>
      </c>
      <c r="F1318" s="158">
        <v>0</v>
      </c>
      <c r="G1318" s="158">
        <v>0</v>
      </c>
      <c r="H1318" s="133" t="s">
        <v>1566</v>
      </c>
      <c r="I1318" s="133" t="s">
        <v>548</v>
      </c>
      <c r="J1318" s="158">
        <v>0</v>
      </c>
    </row>
    <row r="1319" spans="1:10" ht="15.75" hidden="1" customHeight="1">
      <c r="A1319" s="133" t="s">
        <v>2</v>
      </c>
      <c r="B1319" s="203" t="s">
        <v>4105</v>
      </c>
      <c r="C1319" s="133" t="s">
        <v>4891</v>
      </c>
      <c r="D1319" s="133" t="s">
        <v>1974</v>
      </c>
      <c r="E1319" s="158">
        <v>3</v>
      </c>
      <c r="F1319" s="158">
        <v>10</v>
      </c>
      <c r="G1319" s="158">
        <v>0</v>
      </c>
      <c r="H1319" s="133" t="s">
        <v>4892</v>
      </c>
      <c r="I1319" s="133" t="s">
        <v>1363</v>
      </c>
      <c r="J1319" s="158">
        <v>0</v>
      </c>
    </row>
    <row r="1320" spans="1:10" ht="15.75" hidden="1" customHeight="1">
      <c r="A1320" s="133" t="s">
        <v>2</v>
      </c>
      <c r="B1320" s="203" t="s">
        <v>4105</v>
      </c>
      <c r="C1320" s="133" t="s">
        <v>4809</v>
      </c>
      <c r="D1320" s="133" t="s">
        <v>477</v>
      </c>
      <c r="E1320" s="158">
        <v>20</v>
      </c>
      <c r="F1320" s="158">
        <v>0</v>
      </c>
      <c r="G1320" s="158">
        <v>0</v>
      </c>
      <c r="H1320" s="133" t="s">
        <v>4893</v>
      </c>
      <c r="I1320" s="133" t="s">
        <v>548</v>
      </c>
      <c r="J1320" s="158">
        <v>1</v>
      </c>
    </row>
    <row r="1321" spans="1:10" ht="15.75" hidden="1" customHeight="1">
      <c r="A1321" s="133" t="s">
        <v>2</v>
      </c>
      <c r="B1321" s="203" t="s">
        <v>4105</v>
      </c>
      <c r="C1321" s="133" t="s">
        <v>4521</v>
      </c>
      <c r="D1321" s="133" t="s">
        <v>477</v>
      </c>
      <c r="E1321" s="158">
        <v>100</v>
      </c>
      <c r="F1321" s="158">
        <v>0</v>
      </c>
      <c r="G1321" s="158">
        <v>0</v>
      </c>
      <c r="H1321" s="133" t="s">
        <v>4894</v>
      </c>
      <c r="I1321" s="133" t="s">
        <v>548</v>
      </c>
      <c r="J1321" s="158">
        <v>0</v>
      </c>
    </row>
    <row r="1322" spans="1:10" ht="15.75" hidden="1" customHeight="1">
      <c r="A1322" s="133" t="s">
        <v>2</v>
      </c>
      <c r="B1322" s="203" t="s">
        <v>4105</v>
      </c>
      <c r="C1322" s="133" t="s">
        <v>2372</v>
      </c>
      <c r="D1322" s="133" t="s">
        <v>477</v>
      </c>
      <c r="E1322" s="158">
        <v>50</v>
      </c>
      <c r="F1322" s="158">
        <v>0</v>
      </c>
      <c r="G1322" s="158">
        <v>0</v>
      </c>
      <c r="H1322" s="133" t="s">
        <v>4895</v>
      </c>
      <c r="I1322" s="133" t="s">
        <v>548</v>
      </c>
      <c r="J1322" s="158">
        <v>0</v>
      </c>
    </row>
    <row r="1323" spans="1:10" ht="15.75" hidden="1" customHeight="1">
      <c r="A1323" s="133" t="s">
        <v>2</v>
      </c>
      <c r="B1323" s="203" t="s">
        <v>4105</v>
      </c>
      <c r="C1323" s="133" t="s">
        <v>708</v>
      </c>
      <c r="D1323" s="133" t="s">
        <v>477</v>
      </c>
      <c r="E1323" s="158">
        <v>3</v>
      </c>
      <c r="F1323" s="158">
        <v>0</v>
      </c>
      <c r="G1323" s="158">
        <v>0</v>
      </c>
      <c r="H1323" s="133" t="s">
        <v>709</v>
      </c>
      <c r="I1323" s="133" t="s">
        <v>548</v>
      </c>
      <c r="J1323" s="277">
        <v>1</v>
      </c>
    </row>
    <row r="1324" spans="1:10" ht="15.75" hidden="1" customHeight="1">
      <c r="A1324" s="133" t="s">
        <v>2</v>
      </c>
      <c r="B1324" s="203" t="s">
        <v>4105</v>
      </c>
      <c r="C1324" s="133" t="s">
        <v>2399</v>
      </c>
      <c r="D1324" s="133" t="s">
        <v>477</v>
      </c>
      <c r="E1324" s="158">
        <v>4</v>
      </c>
      <c r="F1324" s="158">
        <v>0</v>
      </c>
      <c r="G1324" s="158">
        <v>0</v>
      </c>
      <c r="H1324" s="133" t="s">
        <v>2400</v>
      </c>
      <c r="I1324" s="133" t="s">
        <v>548</v>
      </c>
      <c r="J1324" s="277">
        <v>1</v>
      </c>
    </row>
    <row r="1325" spans="1:10" ht="15.75" hidden="1" customHeight="1">
      <c r="A1325" s="133" t="s">
        <v>2</v>
      </c>
      <c r="B1325" s="203" t="s">
        <v>4105</v>
      </c>
      <c r="C1325" s="133" t="s">
        <v>4896</v>
      </c>
      <c r="D1325" s="133" t="s">
        <v>481</v>
      </c>
      <c r="E1325" s="158">
        <v>9</v>
      </c>
      <c r="F1325" s="158">
        <v>11</v>
      </c>
      <c r="G1325" s="158">
        <v>2</v>
      </c>
      <c r="H1325" s="133" t="s">
        <v>4897</v>
      </c>
      <c r="I1325" s="133" t="s">
        <v>615</v>
      </c>
      <c r="J1325" s="158">
        <v>0</v>
      </c>
    </row>
    <row r="1326" spans="1:10" ht="15.75" hidden="1" customHeight="1">
      <c r="A1326" s="133" t="s">
        <v>2</v>
      </c>
      <c r="B1326" s="203" t="s">
        <v>4105</v>
      </c>
      <c r="C1326" s="133" t="s">
        <v>4898</v>
      </c>
      <c r="D1326" s="133" t="s">
        <v>481</v>
      </c>
      <c r="E1326" s="158">
        <v>9</v>
      </c>
      <c r="F1326" s="158">
        <v>11</v>
      </c>
      <c r="G1326" s="158">
        <v>2</v>
      </c>
      <c r="H1326" s="133" t="s">
        <v>4899</v>
      </c>
      <c r="I1326" s="133" t="s">
        <v>615</v>
      </c>
      <c r="J1326" s="158">
        <v>0</v>
      </c>
    </row>
    <row r="1327" spans="1:10" ht="15.75" hidden="1" customHeight="1">
      <c r="A1327" s="133" t="s">
        <v>2</v>
      </c>
      <c r="B1327" s="203" t="s">
        <v>4105</v>
      </c>
      <c r="C1327" s="133" t="s">
        <v>4900</v>
      </c>
      <c r="D1327" s="133" t="s">
        <v>481</v>
      </c>
      <c r="E1327" s="158">
        <v>9</v>
      </c>
      <c r="F1327" s="158">
        <v>11</v>
      </c>
      <c r="G1327" s="158">
        <v>2</v>
      </c>
      <c r="H1327" s="133" t="s">
        <v>4901</v>
      </c>
      <c r="I1327" s="133" t="s">
        <v>615</v>
      </c>
      <c r="J1327" s="158">
        <v>0</v>
      </c>
    </row>
    <row r="1328" spans="1:10" ht="15.75" hidden="1" customHeight="1">
      <c r="A1328" s="133" t="s">
        <v>2</v>
      </c>
      <c r="B1328" s="203" t="s">
        <v>4105</v>
      </c>
      <c r="C1328" s="133" t="s">
        <v>4902</v>
      </c>
      <c r="D1328" s="133" t="s">
        <v>481</v>
      </c>
      <c r="E1328" s="158">
        <v>9</v>
      </c>
      <c r="F1328" s="158">
        <v>11</v>
      </c>
      <c r="G1328" s="158">
        <v>2</v>
      </c>
      <c r="H1328" s="133" t="s">
        <v>1266</v>
      </c>
      <c r="I1328" s="133" t="s">
        <v>615</v>
      </c>
      <c r="J1328" s="158">
        <v>0</v>
      </c>
    </row>
    <row r="1329" spans="1:10" ht="15.75" hidden="1" customHeight="1">
      <c r="A1329" s="133" t="s">
        <v>2</v>
      </c>
      <c r="B1329" s="203" t="s">
        <v>4105</v>
      </c>
      <c r="C1329" s="133" t="s">
        <v>4903</v>
      </c>
      <c r="D1329" s="133" t="s">
        <v>481</v>
      </c>
      <c r="E1329" s="158">
        <v>9</v>
      </c>
      <c r="F1329" s="158">
        <v>11</v>
      </c>
      <c r="G1329" s="158">
        <v>2</v>
      </c>
      <c r="H1329" s="133" t="s">
        <v>1268</v>
      </c>
      <c r="I1329" s="133" t="s">
        <v>615</v>
      </c>
      <c r="J1329" s="158">
        <v>0</v>
      </c>
    </row>
    <row r="1330" spans="1:10" ht="15.75" hidden="1" customHeight="1">
      <c r="A1330" s="133" t="s">
        <v>2</v>
      </c>
      <c r="B1330" s="203" t="s">
        <v>4105</v>
      </c>
      <c r="C1330" s="133" t="s">
        <v>2410</v>
      </c>
      <c r="D1330" s="133" t="s">
        <v>477</v>
      </c>
      <c r="E1330" s="158">
        <v>20</v>
      </c>
      <c r="F1330" s="158">
        <v>0</v>
      </c>
      <c r="G1330" s="158">
        <v>0</v>
      </c>
      <c r="H1330" s="133" t="s">
        <v>4904</v>
      </c>
      <c r="I1330" s="133" t="s">
        <v>548</v>
      </c>
      <c r="J1330" s="158">
        <v>0</v>
      </c>
    </row>
    <row r="1331" spans="1:10" ht="15.75" hidden="1" customHeight="1">
      <c r="A1331" s="133" t="s">
        <v>2</v>
      </c>
      <c r="B1331" s="203" t="s">
        <v>4105</v>
      </c>
      <c r="C1331" s="133" t="s">
        <v>542</v>
      </c>
      <c r="D1331" s="133" t="s">
        <v>496</v>
      </c>
      <c r="E1331" s="158">
        <v>4</v>
      </c>
      <c r="F1331" s="158">
        <v>0</v>
      </c>
      <c r="G1331" s="158">
        <v>0</v>
      </c>
      <c r="H1331" s="133" t="s">
        <v>543</v>
      </c>
      <c r="I1331" s="133" t="s">
        <v>548</v>
      </c>
      <c r="J1331" s="158">
        <v>0</v>
      </c>
    </row>
    <row r="1332" spans="1:10" ht="15.75" hidden="1" customHeight="1">
      <c r="A1332" s="133" t="s">
        <v>2</v>
      </c>
      <c r="B1332" s="203" t="s">
        <v>4105</v>
      </c>
      <c r="C1332" s="133" t="s">
        <v>4905</v>
      </c>
      <c r="D1332" s="133" t="s">
        <v>481</v>
      </c>
      <c r="E1332" s="158">
        <v>9</v>
      </c>
      <c r="F1332" s="158">
        <v>11</v>
      </c>
      <c r="G1332" s="158">
        <v>2</v>
      </c>
      <c r="H1332" s="133" t="s">
        <v>4906</v>
      </c>
      <c r="I1332" s="133" t="s">
        <v>615</v>
      </c>
      <c r="J1332" s="158">
        <v>0</v>
      </c>
    </row>
    <row r="1333" spans="1:10" ht="15.75" hidden="1" customHeight="1">
      <c r="A1333" s="133" t="s">
        <v>2</v>
      </c>
      <c r="B1333" s="203" t="s">
        <v>4105</v>
      </c>
      <c r="C1333" s="133" t="s">
        <v>4907</v>
      </c>
      <c r="D1333" s="133" t="s">
        <v>481</v>
      </c>
      <c r="E1333" s="158">
        <v>9</v>
      </c>
      <c r="F1333" s="158">
        <v>11</v>
      </c>
      <c r="G1333" s="158">
        <v>2</v>
      </c>
      <c r="H1333" s="133" t="s">
        <v>4908</v>
      </c>
      <c r="I1333" s="133" t="s">
        <v>615</v>
      </c>
      <c r="J1333" s="158">
        <v>0</v>
      </c>
    </row>
    <row r="1334" spans="1:10" ht="15.75" hidden="1" customHeight="1">
      <c r="A1334" s="133" t="s">
        <v>2</v>
      </c>
      <c r="B1334" s="203" t="s">
        <v>4105</v>
      </c>
      <c r="C1334" s="133" t="s">
        <v>4909</v>
      </c>
      <c r="D1334" s="133" t="s">
        <v>481</v>
      </c>
      <c r="E1334" s="158">
        <v>9</v>
      </c>
      <c r="F1334" s="158">
        <v>11</v>
      </c>
      <c r="G1334" s="158">
        <v>2</v>
      </c>
      <c r="H1334" s="133" t="s">
        <v>4910</v>
      </c>
      <c r="I1334" s="133" t="s">
        <v>615</v>
      </c>
      <c r="J1334" s="158">
        <v>0</v>
      </c>
    </row>
    <row r="1335" spans="1:10" ht="15.75" hidden="1" customHeight="1">
      <c r="A1335" s="133" t="s">
        <v>2</v>
      </c>
      <c r="B1335" s="203" t="s">
        <v>4105</v>
      </c>
      <c r="C1335" s="133" t="s">
        <v>4911</v>
      </c>
      <c r="D1335" s="133" t="s">
        <v>477</v>
      </c>
      <c r="E1335" s="158">
        <v>2</v>
      </c>
      <c r="F1335" s="158">
        <v>0</v>
      </c>
      <c r="G1335" s="158">
        <v>0</v>
      </c>
      <c r="H1335" s="133" t="s">
        <v>4912</v>
      </c>
      <c r="I1335" s="133" t="s">
        <v>548</v>
      </c>
      <c r="J1335" s="158">
        <v>0</v>
      </c>
    </row>
    <row r="1336" spans="1:10" ht="15.75" hidden="1" customHeight="1">
      <c r="A1336" s="133" t="s">
        <v>2</v>
      </c>
      <c r="B1336" s="203" t="s">
        <v>4105</v>
      </c>
      <c r="C1336" s="133" t="s">
        <v>432</v>
      </c>
      <c r="D1336" s="133" t="s">
        <v>477</v>
      </c>
      <c r="E1336" s="158">
        <v>12</v>
      </c>
      <c r="F1336" s="158">
        <v>0</v>
      </c>
      <c r="G1336" s="158">
        <v>0</v>
      </c>
      <c r="H1336" s="133" t="s">
        <v>4913</v>
      </c>
      <c r="I1336" s="133" t="s">
        <v>548</v>
      </c>
      <c r="J1336" s="158">
        <v>0</v>
      </c>
    </row>
    <row r="1337" spans="1:10" ht="15.75" hidden="1" customHeight="1">
      <c r="A1337" s="133" t="s">
        <v>2</v>
      </c>
      <c r="B1337" s="203" t="s">
        <v>4105</v>
      </c>
      <c r="C1337" s="133" t="s">
        <v>164</v>
      </c>
      <c r="D1337" s="133" t="s">
        <v>477</v>
      </c>
      <c r="E1337" s="158">
        <v>225</v>
      </c>
      <c r="F1337" s="158">
        <v>0</v>
      </c>
      <c r="G1337" s="158">
        <v>0</v>
      </c>
      <c r="H1337" s="133" t="s">
        <v>4914</v>
      </c>
      <c r="I1337" s="133" t="s">
        <v>548</v>
      </c>
      <c r="J1337" s="158">
        <v>0</v>
      </c>
    </row>
    <row r="1338" spans="1:10" ht="15.75" hidden="1" customHeight="1">
      <c r="A1338" s="133" t="s">
        <v>2</v>
      </c>
      <c r="B1338" s="203" t="s">
        <v>4105</v>
      </c>
      <c r="C1338" s="133" t="s">
        <v>4915</v>
      </c>
      <c r="D1338" s="133" t="s">
        <v>477</v>
      </c>
      <c r="E1338" s="158">
        <v>200</v>
      </c>
      <c r="F1338" s="158">
        <v>0</v>
      </c>
      <c r="G1338" s="158">
        <v>0</v>
      </c>
      <c r="H1338" s="133"/>
      <c r="I1338" s="133" t="s">
        <v>548</v>
      </c>
      <c r="J1338" s="158">
        <v>0</v>
      </c>
    </row>
    <row r="1339" spans="1:10" ht="15.75" hidden="1" customHeight="1">
      <c r="A1339" s="133" t="s">
        <v>2</v>
      </c>
      <c r="B1339" s="203" t="s">
        <v>4105</v>
      </c>
      <c r="C1339" s="133" t="s">
        <v>1230</v>
      </c>
      <c r="D1339" s="133" t="s">
        <v>481</v>
      </c>
      <c r="E1339" s="158">
        <v>5</v>
      </c>
      <c r="F1339" s="158">
        <v>6</v>
      </c>
      <c r="G1339" s="158">
        <v>4</v>
      </c>
      <c r="H1339" s="133" t="s">
        <v>4916</v>
      </c>
      <c r="I1339" s="133" t="s">
        <v>615</v>
      </c>
      <c r="J1339" s="158">
        <v>0</v>
      </c>
    </row>
    <row r="1340" spans="1:10" ht="15.75" hidden="1" customHeight="1">
      <c r="A1340" s="133" t="s">
        <v>2</v>
      </c>
      <c r="B1340" s="203" t="s">
        <v>4105</v>
      </c>
      <c r="C1340" s="133" t="s">
        <v>1232</v>
      </c>
      <c r="D1340" s="133" t="s">
        <v>481</v>
      </c>
      <c r="E1340" s="158">
        <v>9</v>
      </c>
      <c r="F1340" s="158">
        <v>11</v>
      </c>
      <c r="G1340" s="158">
        <v>2</v>
      </c>
      <c r="H1340" s="133" t="s">
        <v>4917</v>
      </c>
      <c r="I1340" s="133" t="s">
        <v>615</v>
      </c>
      <c r="J1340" s="158">
        <v>0</v>
      </c>
    </row>
    <row r="1341" spans="1:10" ht="15.75" hidden="1" customHeight="1">
      <c r="A1341" s="133" t="s">
        <v>2</v>
      </c>
      <c r="B1341" s="203" t="s">
        <v>4105</v>
      </c>
      <c r="C1341" s="133" t="s">
        <v>1234</v>
      </c>
      <c r="D1341" s="133" t="s">
        <v>481</v>
      </c>
      <c r="E1341" s="158">
        <v>5</v>
      </c>
      <c r="F1341" s="158">
        <v>6</v>
      </c>
      <c r="G1341" s="158">
        <v>4</v>
      </c>
      <c r="H1341" s="133" t="s">
        <v>4918</v>
      </c>
      <c r="I1341" s="133" t="s">
        <v>615</v>
      </c>
      <c r="J1341" s="158">
        <v>0</v>
      </c>
    </row>
    <row r="1342" spans="1:10" ht="15.75" hidden="1" customHeight="1">
      <c r="A1342" s="133" t="s">
        <v>2</v>
      </c>
      <c r="B1342" s="203" t="s">
        <v>4105</v>
      </c>
      <c r="C1342" s="133" t="s">
        <v>1236</v>
      </c>
      <c r="D1342" s="133" t="s">
        <v>481</v>
      </c>
      <c r="E1342" s="158">
        <v>9</v>
      </c>
      <c r="F1342" s="158">
        <v>11</v>
      </c>
      <c r="G1342" s="158">
        <v>2</v>
      </c>
      <c r="H1342" s="133" t="s">
        <v>4919</v>
      </c>
      <c r="I1342" s="133" t="s">
        <v>615</v>
      </c>
      <c r="J1342" s="158">
        <v>0</v>
      </c>
    </row>
    <row r="1343" spans="1:10" ht="15.75" hidden="1" customHeight="1">
      <c r="A1343" s="133" t="s">
        <v>2</v>
      </c>
      <c r="B1343" s="203" t="s">
        <v>4105</v>
      </c>
      <c r="C1343" s="133" t="s">
        <v>4920</v>
      </c>
      <c r="D1343" s="133" t="s">
        <v>484</v>
      </c>
      <c r="E1343" s="158">
        <v>4</v>
      </c>
      <c r="F1343" s="158">
        <v>10</v>
      </c>
      <c r="G1343" s="158">
        <v>0</v>
      </c>
      <c r="H1343" s="133" t="s">
        <v>4921</v>
      </c>
      <c r="I1343" s="133" t="s">
        <v>615</v>
      </c>
      <c r="J1343" s="158">
        <v>0</v>
      </c>
    </row>
    <row r="1344" spans="1:10" ht="15.75" hidden="1" customHeight="1">
      <c r="A1344" s="133" t="s">
        <v>2</v>
      </c>
      <c r="B1344" s="203" t="s">
        <v>4105</v>
      </c>
      <c r="C1344" s="133" t="s">
        <v>4922</v>
      </c>
      <c r="D1344" s="133" t="s">
        <v>484</v>
      </c>
      <c r="E1344" s="158">
        <v>4</v>
      </c>
      <c r="F1344" s="158">
        <v>10</v>
      </c>
      <c r="G1344" s="158">
        <v>0</v>
      </c>
      <c r="H1344" s="133" t="s">
        <v>4923</v>
      </c>
      <c r="I1344" s="133" t="s">
        <v>615</v>
      </c>
      <c r="J1344" s="158">
        <v>0</v>
      </c>
    </row>
    <row r="1345" spans="1:10" ht="15.75" hidden="1" customHeight="1">
      <c r="A1345" s="133" t="s">
        <v>2</v>
      </c>
      <c r="B1345" s="203" t="s">
        <v>4105</v>
      </c>
      <c r="C1345" s="133" t="s">
        <v>2408</v>
      </c>
      <c r="D1345" s="133" t="s">
        <v>477</v>
      </c>
      <c r="E1345" s="158">
        <v>3</v>
      </c>
      <c r="F1345" s="158">
        <v>0</v>
      </c>
      <c r="G1345" s="158">
        <v>0</v>
      </c>
      <c r="H1345" s="133" t="s">
        <v>4924</v>
      </c>
      <c r="I1345" s="133" t="s">
        <v>548</v>
      </c>
      <c r="J1345" s="158">
        <v>0</v>
      </c>
    </row>
    <row r="1346" spans="1:10" ht="15.75" hidden="1" customHeight="1">
      <c r="A1346" s="133" t="s">
        <v>2</v>
      </c>
      <c r="B1346" s="203" t="s">
        <v>4105</v>
      </c>
      <c r="C1346" s="133" t="s">
        <v>658</v>
      </c>
      <c r="D1346" s="133" t="s">
        <v>481</v>
      </c>
      <c r="E1346" s="158">
        <v>5</v>
      </c>
      <c r="F1346" s="158">
        <v>5</v>
      </c>
      <c r="G1346" s="158">
        <v>2</v>
      </c>
      <c r="H1346" s="133"/>
      <c r="I1346" s="133" t="s">
        <v>615</v>
      </c>
      <c r="J1346" s="158">
        <v>0</v>
      </c>
    </row>
    <row r="1347" spans="1:10" ht="15.75" hidden="1" customHeight="1">
      <c r="A1347" s="133" t="s">
        <v>2</v>
      </c>
      <c r="B1347" s="203" t="s">
        <v>4105</v>
      </c>
      <c r="C1347" s="133" t="s">
        <v>523</v>
      </c>
      <c r="D1347" s="133" t="s">
        <v>477</v>
      </c>
      <c r="E1347" s="158">
        <v>8</v>
      </c>
      <c r="F1347" s="158">
        <v>0</v>
      </c>
      <c r="G1347" s="158">
        <v>0</v>
      </c>
      <c r="H1347" s="133" t="s">
        <v>1550</v>
      </c>
      <c r="I1347" s="133" t="s">
        <v>548</v>
      </c>
      <c r="J1347" s="158">
        <v>0</v>
      </c>
    </row>
    <row r="1348" spans="1:10" ht="15.75" hidden="1" customHeight="1">
      <c r="A1348" s="133" t="s">
        <v>2</v>
      </c>
      <c r="B1348" s="203" t="s">
        <v>4105</v>
      </c>
      <c r="C1348" s="133" t="s">
        <v>669</v>
      </c>
      <c r="D1348" s="133" t="s">
        <v>496</v>
      </c>
      <c r="E1348" s="158">
        <v>4</v>
      </c>
      <c r="F1348" s="158">
        <v>0</v>
      </c>
      <c r="G1348" s="158">
        <v>0</v>
      </c>
      <c r="H1348" s="133" t="s">
        <v>1551</v>
      </c>
      <c r="I1348" s="133" t="s">
        <v>548</v>
      </c>
      <c r="J1348" s="158">
        <v>0</v>
      </c>
    </row>
    <row r="1349" spans="1:10" ht="15.75" hidden="1" customHeight="1">
      <c r="A1349" s="133" t="s">
        <v>2</v>
      </c>
      <c r="B1349" s="203" t="s">
        <v>4105</v>
      </c>
      <c r="C1349" s="133" t="s">
        <v>670</v>
      </c>
      <c r="D1349" s="133" t="s">
        <v>477</v>
      </c>
      <c r="E1349" s="158">
        <v>8</v>
      </c>
      <c r="F1349" s="158">
        <v>0</v>
      </c>
      <c r="G1349" s="158">
        <v>0</v>
      </c>
      <c r="H1349" s="133" t="s">
        <v>1587</v>
      </c>
      <c r="I1349" s="133" t="s">
        <v>548</v>
      </c>
      <c r="J1349" s="158">
        <v>0</v>
      </c>
    </row>
    <row r="1350" spans="1:10" ht="15.75" hidden="1" customHeight="1">
      <c r="A1350" s="133" t="s">
        <v>2</v>
      </c>
      <c r="B1350" s="203" t="s">
        <v>4105</v>
      </c>
      <c r="C1350" s="133" t="s">
        <v>215</v>
      </c>
      <c r="D1350" s="133" t="s">
        <v>496</v>
      </c>
      <c r="E1350" s="158">
        <v>4</v>
      </c>
      <c r="F1350" s="158">
        <v>0</v>
      </c>
      <c r="G1350" s="158">
        <v>0</v>
      </c>
      <c r="H1350" s="133" t="s">
        <v>1586</v>
      </c>
      <c r="I1350" s="133" t="s">
        <v>548</v>
      </c>
      <c r="J1350" s="158">
        <v>0</v>
      </c>
    </row>
    <row r="1351" spans="1:10" ht="15.75" hidden="1" customHeight="1">
      <c r="A1351" s="133" t="s">
        <v>2</v>
      </c>
      <c r="B1351" s="203" t="s">
        <v>4105</v>
      </c>
      <c r="C1351" s="133" t="s">
        <v>4925</v>
      </c>
      <c r="D1351" s="133" t="s">
        <v>477</v>
      </c>
      <c r="E1351" s="158">
        <v>20</v>
      </c>
      <c r="F1351" s="158">
        <v>0</v>
      </c>
      <c r="G1351" s="158">
        <v>0</v>
      </c>
      <c r="H1351" s="133" t="s">
        <v>4926</v>
      </c>
      <c r="I1351" s="133" t="s">
        <v>548</v>
      </c>
      <c r="J1351" s="158">
        <v>0</v>
      </c>
    </row>
    <row r="1352" spans="1:10" ht="15.75" hidden="1" customHeight="1">
      <c r="A1352" s="133" t="s">
        <v>2</v>
      </c>
      <c r="B1352" s="203" t="s">
        <v>4105</v>
      </c>
      <c r="C1352" s="133" t="s">
        <v>4202</v>
      </c>
      <c r="D1352" s="133" t="s">
        <v>477</v>
      </c>
      <c r="E1352" s="158">
        <v>20</v>
      </c>
      <c r="F1352" s="158">
        <v>0</v>
      </c>
      <c r="G1352" s="158">
        <v>0</v>
      </c>
      <c r="H1352" s="133" t="s">
        <v>4927</v>
      </c>
      <c r="I1352" s="133" t="s">
        <v>548</v>
      </c>
      <c r="J1352" s="158">
        <v>0</v>
      </c>
    </row>
    <row r="1353" spans="1:10" ht="15.75" hidden="1" customHeight="1">
      <c r="A1353" s="133" t="s">
        <v>2</v>
      </c>
      <c r="B1353" s="203" t="s">
        <v>4105</v>
      </c>
      <c r="C1353" s="133" t="s">
        <v>369</v>
      </c>
      <c r="D1353" s="133" t="s">
        <v>477</v>
      </c>
      <c r="E1353" s="158">
        <v>20</v>
      </c>
      <c r="F1353" s="158">
        <v>0</v>
      </c>
      <c r="G1353" s="158">
        <v>0</v>
      </c>
      <c r="H1353" s="133" t="s">
        <v>1264</v>
      </c>
      <c r="I1353" s="133" t="s">
        <v>548</v>
      </c>
      <c r="J1353" s="158">
        <v>0</v>
      </c>
    </row>
    <row r="1354" spans="1:10" ht="15.75" hidden="1" customHeight="1">
      <c r="A1354" s="133" t="s">
        <v>2</v>
      </c>
      <c r="B1354" s="203" t="s">
        <v>4105</v>
      </c>
      <c r="C1354" s="133" t="s">
        <v>2290</v>
      </c>
      <c r="D1354" s="133" t="s">
        <v>477</v>
      </c>
      <c r="E1354" s="158">
        <v>100</v>
      </c>
      <c r="F1354" s="158">
        <v>0</v>
      </c>
      <c r="G1354" s="158">
        <v>0</v>
      </c>
      <c r="H1354" s="133" t="s">
        <v>2864</v>
      </c>
      <c r="I1354" s="133" t="s">
        <v>548</v>
      </c>
      <c r="J1354" s="158">
        <v>0</v>
      </c>
    </row>
    <row r="1355" spans="1:10" ht="15.75" hidden="1" customHeight="1">
      <c r="A1355" s="133" t="s">
        <v>2</v>
      </c>
      <c r="B1355" s="203" t="s">
        <v>4105</v>
      </c>
      <c r="C1355" s="133" t="s">
        <v>1273</v>
      </c>
      <c r="D1355" s="133" t="s">
        <v>477</v>
      </c>
      <c r="E1355" s="158">
        <v>20</v>
      </c>
      <c r="F1355" s="158">
        <v>0</v>
      </c>
      <c r="G1355" s="158">
        <v>0</v>
      </c>
      <c r="H1355" s="133" t="s">
        <v>2865</v>
      </c>
      <c r="I1355" s="133" t="s">
        <v>548</v>
      </c>
      <c r="J1355" s="158">
        <v>0</v>
      </c>
    </row>
    <row r="1356" spans="1:10" ht="15.75" hidden="1" customHeight="1">
      <c r="A1356" s="133" t="s">
        <v>2</v>
      </c>
      <c r="B1356" s="203" t="s">
        <v>4105</v>
      </c>
      <c r="C1356" s="133" t="s">
        <v>4208</v>
      </c>
      <c r="D1356" s="133" t="s">
        <v>477</v>
      </c>
      <c r="E1356" s="158">
        <v>100</v>
      </c>
      <c r="F1356" s="158">
        <v>0</v>
      </c>
      <c r="G1356" s="158">
        <v>0</v>
      </c>
      <c r="H1356" s="133" t="s">
        <v>2866</v>
      </c>
      <c r="I1356" s="133" t="s">
        <v>548</v>
      </c>
      <c r="J1356" s="158">
        <v>0</v>
      </c>
    </row>
    <row r="1357" spans="1:10" ht="15.75" hidden="1" customHeight="1">
      <c r="A1357" s="133" t="s">
        <v>2</v>
      </c>
      <c r="B1357" s="203" t="s">
        <v>4105</v>
      </c>
      <c r="C1357" s="133" t="s">
        <v>814</v>
      </c>
      <c r="D1357" s="133" t="s">
        <v>477</v>
      </c>
      <c r="E1357" s="158">
        <v>100</v>
      </c>
      <c r="F1357" s="158">
        <v>0</v>
      </c>
      <c r="G1357" s="158">
        <v>0</v>
      </c>
      <c r="H1357" s="133" t="s">
        <v>3463</v>
      </c>
      <c r="I1357" s="133" t="s">
        <v>548</v>
      </c>
      <c r="J1357" s="158">
        <v>0</v>
      </c>
    </row>
    <row r="1358" spans="1:10" ht="15.75" hidden="1" customHeight="1">
      <c r="A1358" s="133" t="s">
        <v>2</v>
      </c>
      <c r="B1358" s="203" t="s">
        <v>4105</v>
      </c>
      <c r="C1358" s="133" t="s">
        <v>816</v>
      </c>
      <c r="D1358" s="133" t="s">
        <v>477</v>
      </c>
      <c r="E1358" s="158">
        <v>100</v>
      </c>
      <c r="F1358" s="158">
        <v>0</v>
      </c>
      <c r="G1358" s="158">
        <v>0</v>
      </c>
      <c r="H1358" s="133" t="s">
        <v>4928</v>
      </c>
      <c r="I1358" s="133" t="s">
        <v>548</v>
      </c>
      <c r="J1358" s="158">
        <v>0</v>
      </c>
    </row>
    <row r="1359" spans="1:10" ht="15.75" hidden="1" customHeight="1">
      <c r="A1359" s="133" t="s">
        <v>2</v>
      </c>
      <c r="B1359" s="133" t="s">
        <v>4111</v>
      </c>
      <c r="C1359" s="133" t="s">
        <v>1163</v>
      </c>
      <c r="D1359" s="133" t="s">
        <v>477</v>
      </c>
      <c r="E1359" s="158">
        <v>20</v>
      </c>
      <c r="F1359" s="158">
        <v>0</v>
      </c>
      <c r="G1359" s="158">
        <v>0</v>
      </c>
      <c r="H1359" s="133" t="s">
        <v>1556</v>
      </c>
      <c r="I1359" s="133" t="s">
        <v>548</v>
      </c>
      <c r="J1359" s="158">
        <v>0</v>
      </c>
    </row>
    <row r="1360" spans="1:10" ht="15.75" hidden="1" customHeight="1">
      <c r="A1360" s="133" t="s">
        <v>2</v>
      </c>
      <c r="B1360" s="133" t="s">
        <v>4111</v>
      </c>
      <c r="C1360" s="133" t="s">
        <v>292</v>
      </c>
      <c r="D1360" s="133" t="s">
        <v>484</v>
      </c>
      <c r="E1360" s="158">
        <v>4</v>
      </c>
      <c r="F1360" s="158">
        <v>10</v>
      </c>
      <c r="G1360" s="158">
        <v>0</v>
      </c>
      <c r="H1360" s="133" t="s">
        <v>4929</v>
      </c>
      <c r="I1360" s="133" t="s">
        <v>615</v>
      </c>
      <c r="J1360" s="158">
        <v>0</v>
      </c>
    </row>
    <row r="1361" spans="1:10" ht="15.75" hidden="1" customHeight="1">
      <c r="A1361" s="133" t="s">
        <v>2</v>
      </c>
      <c r="B1361" s="133" t="s">
        <v>4111</v>
      </c>
      <c r="C1361" s="133" t="s">
        <v>257</v>
      </c>
      <c r="D1361" s="133" t="s">
        <v>477</v>
      </c>
      <c r="E1361" s="158">
        <v>20</v>
      </c>
      <c r="F1361" s="158">
        <v>0</v>
      </c>
      <c r="G1361" s="158">
        <v>0</v>
      </c>
      <c r="H1361" s="133" t="s">
        <v>1130</v>
      </c>
      <c r="I1361" s="133" t="s">
        <v>548</v>
      </c>
      <c r="J1361" s="158">
        <v>0</v>
      </c>
    </row>
    <row r="1362" spans="1:10" ht="15.75" hidden="1" customHeight="1">
      <c r="A1362" s="133" t="s">
        <v>2</v>
      </c>
      <c r="B1362" s="133" t="s">
        <v>4111</v>
      </c>
      <c r="C1362" s="133" t="s">
        <v>2321</v>
      </c>
      <c r="D1362" s="133" t="s">
        <v>477</v>
      </c>
      <c r="E1362" s="158">
        <v>100</v>
      </c>
      <c r="F1362" s="158">
        <v>0</v>
      </c>
      <c r="G1362" s="158">
        <v>0</v>
      </c>
      <c r="H1362" s="133" t="s">
        <v>4930</v>
      </c>
      <c r="I1362" s="133" t="s">
        <v>548</v>
      </c>
      <c r="J1362" s="158">
        <v>0</v>
      </c>
    </row>
    <row r="1363" spans="1:10" ht="15.75" hidden="1" customHeight="1">
      <c r="A1363" s="133" t="s">
        <v>2</v>
      </c>
      <c r="B1363" s="133" t="s">
        <v>4111</v>
      </c>
      <c r="C1363" s="133" t="s">
        <v>4931</v>
      </c>
      <c r="D1363" s="133" t="s">
        <v>484</v>
      </c>
      <c r="E1363" s="158">
        <v>4</v>
      </c>
      <c r="F1363" s="158">
        <v>10</v>
      </c>
      <c r="G1363" s="158">
        <v>0</v>
      </c>
      <c r="H1363" s="133" t="s">
        <v>4932</v>
      </c>
      <c r="I1363" s="133" t="s">
        <v>615</v>
      </c>
      <c r="J1363" s="158">
        <v>0</v>
      </c>
    </row>
    <row r="1364" spans="1:10" ht="15.75" hidden="1" customHeight="1">
      <c r="A1364" s="133" t="s">
        <v>2</v>
      </c>
      <c r="B1364" s="133" t="s">
        <v>4111</v>
      </c>
      <c r="C1364" s="133" t="s">
        <v>2415</v>
      </c>
      <c r="D1364" s="133" t="s">
        <v>484</v>
      </c>
      <c r="E1364" s="158">
        <v>4</v>
      </c>
      <c r="F1364" s="158">
        <v>10</v>
      </c>
      <c r="G1364" s="158">
        <v>0</v>
      </c>
      <c r="H1364" s="133" t="s">
        <v>4933</v>
      </c>
      <c r="I1364" s="133" t="s">
        <v>615</v>
      </c>
      <c r="J1364" s="158">
        <v>0</v>
      </c>
    </row>
    <row r="1365" spans="1:10" ht="15.75" hidden="1" customHeight="1">
      <c r="A1365" s="133" t="s">
        <v>2</v>
      </c>
      <c r="B1365" s="133" t="s">
        <v>4111</v>
      </c>
      <c r="C1365" s="133" t="s">
        <v>4784</v>
      </c>
      <c r="D1365" s="133" t="s">
        <v>484</v>
      </c>
      <c r="E1365" s="158">
        <v>4</v>
      </c>
      <c r="F1365" s="158">
        <v>10</v>
      </c>
      <c r="G1365" s="158">
        <v>0</v>
      </c>
      <c r="H1365" s="133"/>
      <c r="I1365" s="133" t="s">
        <v>615</v>
      </c>
      <c r="J1365" s="158">
        <v>0</v>
      </c>
    </row>
    <row r="1366" spans="1:10" ht="15.75" hidden="1" customHeight="1">
      <c r="A1366" s="133" t="s">
        <v>2</v>
      </c>
      <c r="B1366" s="133" t="s">
        <v>4111</v>
      </c>
      <c r="C1366" s="133" t="s">
        <v>1137</v>
      </c>
      <c r="D1366" s="133" t="s">
        <v>481</v>
      </c>
      <c r="E1366" s="158">
        <v>9</v>
      </c>
      <c r="F1366" s="158">
        <v>11</v>
      </c>
      <c r="G1366" s="158">
        <v>2</v>
      </c>
      <c r="H1366" s="133" t="s">
        <v>4934</v>
      </c>
      <c r="I1366" s="133" t="s">
        <v>615</v>
      </c>
      <c r="J1366" s="158">
        <v>0</v>
      </c>
    </row>
    <row r="1367" spans="1:10" ht="15.75" hidden="1" customHeight="1">
      <c r="A1367" s="133" t="s">
        <v>2</v>
      </c>
      <c r="B1367" s="133" t="s">
        <v>4111</v>
      </c>
      <c r="C1367" s="133" t="s">
        <v>1141</v>
      </c>
      <c r="D1367" s="133" t="s">
        <v>477</v>
      </c>
      <c r="E1367" s="158">
        <v>7</v>
      </c>
      <c r="F1367" s="158">
        <v>0</v>
      </c>
      <c r="G1367" s="158">
        <v>0</v>
      </c>
      <c r="H1367" s="133"/>
      <c r="I1367" s="133" t="s">
        <v>548</v>
      </c>
      <c r="J1367" s="158">
        <v>0</v>
      </c>
    </row>
    <row r="1368" spans="1:10" ht="15.75" hidden="1" customHeight="1">
      <c r="A1368" s="133" t="s">
        <v>2</v>
      </c>
      <c r="B1368" s="133" t="s">
        <v>4111</v>
      </c>
      <c r="C1368" s="133" t="s">
        <v>4523</v>
      </c>
      <c r="D1368" s="133" t="s">
        <v>477</v>
      </c>
      <c r="E1368" s="158">
        <v>20</v>
      </c>
      <c r="F1368" s="158">
        <v>0</v>
      </c>
      <c r="G1368" s="158">
        <v>0</v>
      </c>
      <c r="H1368" s="133" t="s">
        <v>4786</v>
      </c>
      <c r="I1368" s="133" t="s">
        <v>548</v>
      </c>
      <c r="J1368" s="158">
        <v>0</v>
      </c>
    </row>
    <row r="1369" spans="1:10" ht="15.75" hidden="1" customHeight="1">
      <c r="A1369" s="133" t="s">
        <v>2</v>
      </c>
      <c r="B1369" s="133" t="s">
        <v>4111</v>
      </c>
      <c r="C1369" s="133" t="s">
        <v>2342</v>
      </c>
      <c r="D1369" s="133" t="s">
        <v>481</v>
      </c>
      <c r="E1369" s="158">
        <v>9</v>
      </c>
      <c r="F1369" s="158">
        <v>11</v>
      </c>
      <c r="G1369" s="158">
        <v>2</v>
      </c>
      <c r="H1369" s="133" t="s">
        <v>4935</v>
      </c>
      <c r="I1369" s="133" t="s">
        <v>615</v>
      </c>
      <c r="J1369" s="158">
        <v>0</v>
      </c>
    </row>
    <row r="1370" spans="1:10" ht="15.75" hidden="1" customHeight="1">
      <c r="A1370" s="133" t="s">
        <v>2</v>
      </c>
      <c r="B1370" s="133" t="s">
        <v>4111</v>
      </c>
      <c r="C1370" s="133" t="s">
        <v>3384</v>
      </c>
      <c r="D1370" s="133" t="s">
        <v>484</v>
      </c>
      <c r="E1370" s="158">
        <v>4</v>
      </c>
      <c r="F1370" s="158">
        <v>10</v>
      </c>
      <c r="G1370" s="158">
        <v>0</v>
      </c>
      <c r="H1370" s="133" t="s">
        <v>4787</v>
      </c>
      <c r="I1370" s="133" t="s">
        <v>615</v>
      </c>
      <c r="J1370" s="158">
        <v>0</v>
      </c>
    </row>
    <row r="1371" spans="1:10" ht="15.75" hidden="1" customHeight="1">
      <c r="A1371" s="133" t="s">
        <v>2</v>
      </c>
      <c r="B1371" s="133" t="s">
        <v>4111</v>
      </c>
      <c r="C1371" s="133" t="s">
        <v>1194</v>
      </c>
      <c r="D1371" s="133" t="s">
        <v>481</v>
      </c>
      <c r="E1371" s="158">
        <v>5</v>
      </c>
      <c r="F1371" s="158">
        <v>6</v>
      </c>
      <c r="G1371" s="158">
        <v>4</v>
      </c>
      <c r="H1371" s="133" t="s">
        <v>4936</v>
      </c>
      <c r="I1371" s="133" t="s">
        <v>615</v>
      </c>
      <c r="J1371" s="158">
        <v>0</v>
      </c>
    </row>
    <row r="1372" spans="1:10" ht="15.75" hidden="1" customHeight="1">
      <c r="A1372" s="133" t="s">
        <v>2</v>
      </c>
      <c r="B1372" s="133" t="s">
        <v>4111</v>
      </c>
      <c r="C1372" s="133" t="s">
        <v>1195</v>
      </c>
      <c r="D1372" s="133" t="s">
        <v>481</v>
      </c>
      <c r="E1372" s="158">
        <v>9</v>
      </c>
      <c r="F1372" s="158">
        <v>11</v>
      </c>
      <c r="G1372" s="158">
        <v>2</v>
      </c>
      <c r="H1372" s="133" t="s">
        <v>4937</v>
      </c>
      <c r="I1372" s="133" t="s">
        <v>615</v>
      </c>
      <c r="J1372" s="158">
        <v>0</v>
      </c>
    </row>
    <row r="1373" spans="1:10" ht="15.75" hidden="1" customHeight="1">
      <c r="A1373" s="133" t="s">
        <v>2</v>
      </c>
      <c r="B1373" s="133" t="s">
        <v>4111</v>
      </c>
      <c r="C1373" s="133" t="s">
        <v>164</v>
      </c>
      <c r="D1373" s="133" t="s">
        <v>477</v>
      </c>
      <c r="E1373" s="158">
        <v>100</v>
      </c>
      <c r="F1373" s="158">
        <v>0</v>
      </c>
      <c r="G1373" s="158">
        <v>0</v>
      </c>
      <c r="H1373" s="133" t="s">
        <v>4938</v>
      </c>
      <c r="I1373" s="133" t="s">
        <v>615</v>
      </c>
      <c r="J1373" s="158">
        <v>0</v>
      </c>
    </row>
    <row r="1374" spans="1:10" ht="15.75" hidden="1" customHeight="1">
      <c r="A1374" s="133" t="s">
        <v>2</v>
      </c>
      <c r="B1374" s="133" t="s">
        <v>4111</v>
      </c>
      <c r="C1374" s="133" t="s">
        <v>1206</v>
      </c>
      <c r="D1374" s="133" t="s">
        <v>477</v>
      </c>
      <c r="E1374" s="158">
        <v>3</v>
      </c>
      <c r="F1374" s="158">
        <v>0</v>
      </c>
      <c r="G1374" s="158">
        <v>0</v>
      </c>
      <c r="H1374" s="133" t="s">
        <v>4939</v>
      </c>
      <c r="I1374" s="133" t="s">
        <v>548</v>
      </c>
      <c r="J1374" s="158">
        <v>0</v>
      </c>
    </row>
    <row r="1375" spans="1:10" ht="15.75" hidden="1" customHeight="1">
      <c r="A1375" s="133" t="s">
        <v>2</v>
      </c>
      <c r="B1375" s="133" t="s">
        <v>4111</v>
      </c>
      <c r="C1375" s="133" t="s">
        <v>1145</v>
      </c>
      <c r="D1375" s="133" t="s">
        <v>484</v>
      </c>
      <c r="E1375" s="158">
        <v>4</v>
      </c>
      <c r="F1375" s="158">
        <v>10</v>
      </c>
      <c r="G1375" s="158">
        <v>0</v>
      </c>
      <c r="H1375" s="133" t="s">
        <v>4940</v>
      </c>
      <c r="I1375" s="133" t="s">
        <v>615</v>
      </c>
      <c r="J1375" s="158">
        <v>0</v>
      </c>
    </row>
    <row r="1376" spans="1:10" ht="15.75" hidden="1" customHeight="1">
      <c r="A1376" s="133" t="s">
        <v>2</v>
      </c>
      <c r="B1376" s="133" t="s">
        <v>4111</v>
      </c>
      <c r="C1376" s="133" t="s">
        <v>523</v>
      </c>
      <c r="D1376" s="133" t="s">
        <v>477</v>
      </c>
      <c r="E1376" s="158">
        <v>8</v>
      </c>
      <c r="F1376" s="158">
        <v>0</v>
      </c>
      <c r="G1376" s="158">
        <v>0</v>
      </c>
      <c r="H1376" s="133" t="s">
        <v>1550</v>
      </c>
      <c r="I1376" s="133" t="s">
        <v>548</v>
      </c>
      <c r="J1376" s="158">
        <v>0</v>
      </c>
    </row>
    <row r="1377" spans="1:10" ht="15.75" hidden="1" customHeight="1">
      <c r="A1377" s="133" t="s">
        <v>2</v>
      </c>
      <c r="B1377" s="133" t="s">
        <v>4111</v>
      </c>
      <c r="C1377" s="133" t="s">
        <v>669</v>
      </c>
      <c r="D1377" s="133" t="s">
        <v>496</v>
      </c>
      <c r="E1377" s="158">
        <v>4</v>
      </c>
      <c r="F1377" s="158">
        <v>0</v>
      </c>
      <c r="G1377" s="158">
        <v>0</v>
      </c>
      <c r="H1377" s="133" t="s">
        <v>1551</v>
      </c>
      <c r="I1377" s="133" t="s">
        <v>548</v>
      </c>
      <c r="J1377" s="158">
        <v>0</v>
      </c>
    </row>
    <row r="1378" spans="1:10" ht="15.75" hidden="1" customHeight="1">
      <c r="A1378" s="133" t="s">
        <v>2</v>
      </c>
      <c r="B1378" s="133" t="s">
        <v>4111</v>
      </c>
      <c r="C1378" s="133" t="s">
        <v>670</v>
      </c>
      <c r="D1378" s="133" t="s">
        <v>477</v>
      </c>
      <c r="E1378" s="158">
        <v>8</v>
      </c>
      <c r="F1378" s="158">
        <v>0</v>
      </c>
      <c r="G1378" s="158">
        <v>0</v>
      </c>
      <c r="H1378" s="133" t="s">
        <v>1587</v>
      </c>
      <c r="I1378" s="133" t="s">
        <v>548</v>
      </c>
      <c r="J1378" s="158">
        <v>0</v>
      </c>
    </row>
    <row r="1379" spans="1:10" ht="15.75" hidden="1" customHeight="1">
      <c r="A1379" s="133" t="s">
        <v>2</v>
      </c>
      <c r="B1379" s="133" t="s">
        <v>4111</v>
      </c>
      <c r="C1379" s="133" t="s">
        <v>215</v>
      </c>
      <c r="D1379" s="133" t="s">
        <v>496</v>
      </c>
      <c r="E1379" s="158">
        <v>4</v>
      </c>
      <c r="F1379" s="158">
        <v>0</v>
      </c>
      <c r="G1379" s="158">
        <v>0</v>
      </c>
      <c r="H1379" s="133" t="s">
        <v>1586</v>
      </c>
      <c r="I1379" s="133" t="s">
        <v>548</v>
      </c>
      <c r="J1379" s="158">
        <v>0</v>
      </c>
    </row>
    <row r="1380" spans="1:10" ht="15.75" hidden="1" customHeight="1">
      <c r="A1380" s="133" t="s">
        <v>2</v>
      </c>
      <c r="B1380" s="133" t="s">
        <v>4111</v>
      </c>
      <c r="C1380" s="133" t="s">
        <v>4941</v>
      </c>
      <c r="D1380" s="133" t="s">
        <v>484</v>
      </c>
      <c r="E1380" s="158">
        <v>4</v>
      </c>
      <c r="F1380" s="158">
        <v>10</v>
      </c>
      <c r="G1380" s="158">
        <v>0</v>
      </c>
      <c r="H1380" s="133"/>
      <c r="I1380" s="133" t="s">
        <v>615</v>
      </c>
      <c r="J1380" s="158">
        <v>0</v>
      </c>
    </row>
    <row r="1381" spans="1:10" ht="15.75" hidden="1" customHeight="1">
      <c r="A1381" s="133" t="s">
        <v>2</v>
      </c>
      <c r="B1381" s="133" t="s">
        <v>4111</v>
      </c>
      <c r="C1381" s="133" t="s">
        <v>4942</v>
      </c>
      <c r="D1381" s="133" t="s">
        <v>484</v>
      </c>
      <c r="E1381" s="158">
        <v>4</v>
      </c>
      <c r="F1381" s="158">
        <v>10</v>
      </c>
      <c r="G1381" s="158">
        <v>0</v>
      </c>
      <c r="H1381" s="133"/>
      <c r="I1381" s="133" t="s">
        <v>615</v>
      </c>
      <c r="J1381" s="158">
        <v>0</v>
      </c>
    </row>
    <row r="1382" spans="1:10" ht="15.75" hidden="1" customHeight="1">
      <c r="A1382" s="133" t="s">
        <v>2</v>
      </c>
      <c r="B1382" s="133" t="s">
        <v>4111</v>
      </c>
      <c r="C1382" s="133" t="s">
        <v>814</v>
      </c>
      <c r="D1382" s="133" t="s">
        <v>477</v>
      </c>
      <c r="E1382" s="158">
        <v>100</v>
      </c>
      <c r="F1382" s="158">
        <v>0</v>
      </c>
      <c r="G1382" s="158">
        <v>0</v>
      </c>
      <c r="H1382" s="133" t="s">
        <v>3463</v>
      </c>
      <c r="I1382" s="133" t="s">
        <v>548</v>
      </c>
      <c r="J1382" s="158">
        <v>0</v>
      </c>
    </row>
    <row r="1383" spans="1:10" ht="15.75" hidden="1" customHeight="1">
      <c r="A1383" s="133" t="s">
        <v>2</v>
      </c>
      <c r="B1383" s="133" t="s">
        <v>4111</v>
      </c>
      <c r="C1383" s="133" t="s">
        <v>816</v>
      </c>
      <c r="D1383" s="133" t="s">
        <v>477</v>
      </c>
      <c r="E1383" s="158">
        <v>100</v>
      </c>
      <c r="F1383" s="158">
        <v>0</v>
      </c>
      <c r="G1383" s="158">
        <v>0</v>
      </c>
      <c r="H1383" s="133" t="s">
        <v>4928</v>
      </c>
      <c r="I1383" s="133" t="s">
        <v>548</v>
      </c>
      <c r="J1383" s="158">
        <v>0</v>
      </c>
    </row>
    <row r="1384" spans="1:10" ht="15.75" hidden="1" customHeight="1">
      <c r="A1384" s="133" t="s">
        <v>2</v>
      </c>
      <c r="B1384" s="133" t="s">
        <v>4118</v>
      </c>
      <c r="C1384" s="133" t="s">
        <v>4124</v>
      </c>
      <c r="D1384" s="133" t="s">
        <v>477</v>
      </c>
      <c r="E1384" s="158">
        <v>20</v>
      </c>
      <c r="F1384" s="158">
        <v>0</v>
      </c>
      <c r="G1384" s="158">
        <v>0</v>
      </c>
      <c r="H1384" s="133" t="s">
        <v>4943</v>
      </c>
      <c r="I1384" s="133"/>
      <c r="J1384" s="158">
        <v>0</v>
      </c>
    </row>
    <row r="1385" spans="1:10" ht="15.75" hidden="1" customHeight="1">
      <c r="A1385" s="133" t="s">
        <v>2</v>
      </c>
      <c r="B1385" s="133" t="s">
        <v>4118</v>
      </c>
      <c r="C1385" s="133" t="s">
        <v>4944</v>
      </c>
      <c r="D1385" s="133" t="s">
        <v>477</v>
      </c>
      <c r="E1385" s="158">
        <v>20</v>
      </c>
      <c r="F1385" s="158">
        <v>0</v>
      </c>
      <c r="G1385" s="158">
        <v>0</v>
      </c>
      <c r="H1385" s="133" t="s">
        <v>4945</v>
      </c>
      <c r="I1385" s="133"/>
      <c r="J1385" s="158">
        <v>0</v>
      </c>
    </row>
    <row r="1386" spans="1:10" ht="15.75" hidden="1" customHeight="1">
      <c r="A1386" s="133" t="s">
        <v>2</v>
      </c>
      <c r="B1386" s="133" t="s">
        <v>4118</v>
      </c>
      <c r="C1386" s="133" t="s">
        <v>4946</v>
      </c>
      <c r="D1386" s="133" t="s">
        <v>1974</v>
      </c>
      <c r="E1386" s="158">
        <v>3</v>
      </c>
      <c r="F1386" s="158">
        <v>10</v>
      </c>
      <c r="G1386" s="158">
        <v>0</v>
      </c>
      <c r="H1386" s="133" t="s">
        <v>4947</v>
      </c>
      <c r="I1386" s="133"/>
      <c r="J1386" s="158">
        <v>0</v>
      </c>
    </row>
    <row r="1387" spans="1:10" ht="15.75" hidden="1" customHeight="1">
      <c r="A1387" s="133" t="s">
        <v>2</v>
      </c>
      <c r="B1387" s="133" t="s">
        <v>4118</v>
      </c>
      <c r="C1387" s="133" t="s">
        <v>4948</v>
      </c>
      <c r="D1387" s="133" t="s">
        <v>477</v>
      </c>
      <c r="E1387" s="158">
        <v>255</v>
      </c>
      <c r="F1387" s="158">
        <v>0</v>
      </c>
      <c r="G1387" s="158">
        <v>0</v>
      </c>
      <c r="H1387" s="133" t="s">
        <v>4949</v>
      </c>
      <c r="I1387" s="133"/>
      <c r="J1387" s="158">
        <v>0</v>
      </c>
    </row>
    <row r="1388" spans="1:10" ht="15.75" hidden="1" customHeight="1">
      <c r="A1388" s="133" t="s">
        <v>2</v>
      </c>
      <c r="B1388" s="133" t="s">
        <v>4118</v>
      </c>
      <c r="C1388" s="133" t="s">
        <v>3720</v>
      </c>
      <c r="D1388" s="133" t="s">
        <v>477</v>
      </c>
      <c r="E1388" s="158">
        <v>20</v>
      </c>
      <c r="F1388" s="158">
        <v>0</v>
      </c>
      <c r="G1388" s="158">
        <v>0</v>
      </c>
      <c r="H1388" s="133" t="s">
        <v>4816</v>
      </c>
      <c r="I1388" s="133"/>
      <c r="J1388" s="158">
        <v>0</v>
      </c>
    </row>
    <row r="1389" spans="1:10" ht="15.75" hidden="1" customHeight="1">
      <c r="A1389" s="133" t="s">
        <v>2</v>
      </c>
      <c r="B1389" s="133" t="s">
        <v>4118</v>
      </c>
      <c r="C1389" s="133" t="s">
        <v>4317</v>
      </c>
      <c r="D1389" s="133" t="s">
        <v>477</v>
      </c>
      <c r="E1389" s="158">
        <v>100</v>
      </c>
      <c r="F1389" s="158">
        <v>0</v>
      </c>
      <c r="G1389" s="158">
        <v>0</v>
      </c>
      <c r="H1389" s="133" t="s">
        <v>4817</v>
      </c>
      <c r="I1389" s="133"/>
      <c r="J1389" s="158">
        <v>0</v>
      </c>
    </row>
    <row r="1390" spans="1:10" ht="15.75" hidden="1" customHeight="1">
      <c r="A1390" s="133" t="s">
        <v>2</v>
      </c>
      <c r="B1390" s="133" t="s">
        <v>4118</v>
      </c>
      <c r="C1390" s="133" t="s">
        <v>4152</v>
      </c>
      <c r="D1390" s="133" t="s">
        <v>477</v>
      </c>
      <c r="E1390" s="158">
        <v>20</v>
      </c>
      <c r="F1390" s="158">
        <v>0</v>
      </c>
      <c r="G1390" s="158">
        <v>0</v>
      </c>
      <c r="H1390" s="133" t="s">
        <v>4950</v>
      </c>
      <c r="I1390" s="133"/>
      <c r="J1390" s="158">
        <v>0</v>
      </c>
    </row>
    <row r="1391" spans="1:10" ht="15.75" hidden="1" customHeight="1">
      <c r="A1391" s="133" t="s">
        <v>2</v>
      </c>
      <c r="B1391" s="133" t="s">
        <v>4118</v>
      </c>
      <c r="C1391" s="133" t="s">
        <v>4951</v>
      </c>
      <c r="D1391" s="133" t="s">
        <v>477</v>
      </c>
      <c r="E1391" s="158">
        <v>20</v>
      </c>
      <c r="F1391" s="158">
        <v>0</v>
      </c>
      <c r="G1391" s="158">
        <v>0</v>
      </c>
      <c r="H1391" s="133" t="s">
        <v>4952</v>
      </c>
      <c r="I1391" s="133"/>
      <c r="J1391" s="158">
        <v>0</v>
      </c>
    </row>
    <row r="1392" spans="1:10" ht="15.75" hidden="1" customHeight="1">
      <c r="A1392" s="133" t="s">
        <v>2</v>
      </c>
      <c r="B1392" s="133" t="s">
        <v>4118</v>
      </c>
      <c r="C1392" s="133" t="s">
        <v>369</v>
      </c>
      <c r="D1392" s="133" t="s">
        <v>477</v>
      </c>
      <c r="E1392" s="158">
        <v>20</v>
      </c>
      <c r="F1392" s="158">
        <v>0</v>
      </c>
      <c r="G1392" s="158">
        <v>0</v>
      </c>
      <c r="H1392" s="133" t="s">
        <v>1264</v>
      </c>
      <c r="I1392" s="133"/>
      <c r="J1392" s="158">
        <v>0</v>
      </c>
    </row>
    <row r="1393" spans="1:10" ht="15.75" hidden="1" customHeight="1">
      <c r="A1393" s="133" t="s">
        <v>2</v>
      </c>
      <c r="B1393" s="133" t="s">
        <v>4118</v>
      </c>
      <c r="C1393" s="133" t="s">
        <v>2290</v>
      </c>
      <c r="D1393" s="133" t="s">
        <v>477</v>
      </c>
      <c r="E1393" s="158">
        <v>100</v>
      </c>
      <c r="F1393" s="158">
        <v>0</v>
      </c>
      <c r="G1393" s="158">
        <v>0</v>
      </c>
      <c r="H1393" s="133" t="s">
        <v>2864</v>
      </c>
      <c r="I1393" s="133"/>
      <c r="J1393" s="158">
        <v>0</v>
      </c>
    </row>
    <row r="1394" spans="1:10" ht="15.75" hidden="1" customHeight="1">
      <c r="A1394" s="133" t="s">
        <v>2</v>
      </c>
      <c r="B1394" s="133" t="s">
        <v>4118</v>
      </c>
      <c r="C1394" s="133" t="s">
        <v>793</v>
      </c>
      <c r="D1394" s="133" t="s">
        <v>477</v>
      </c>
      <c r="E1394" s="158">
        <v>20</v>
      </c>
      <c r="F1394" s="158">
        <v>0</v>
      </c>
      <c r="G1394" s="158">
        <v>0</v>
      </c>
      <c r="H1394" s="133"/>
      <c r="I1394" s="133"/>
      <c r="J1394" s="158">
        <v>0</v>
      </c>
    </row>
    <row r="1395" spans="1:10" ht="15.75" hidden="1" customHeight="1">
      <c r="A1395" s="133" t="s">
        <v>2</v>
      </c>
      <c r="B1395" s="133" t="s">
        <v>4118</v>
      </c>
      <c r="C1395" s="133" t="s">
        <v>3438</v>
      </c>
      <c r="D1395" s="133" t="s">
        <v>477</v>
      </c>
      <c r="E1395" s="158">
        <v>100</v>
      </c>
      <c r="F1395" s="158">
        <v>0</v>
      </c>
      <c r="G1395" s="158">
        <v>0</v>
      </c>
      <c r="H1395" s="133"/>
      <c r="I1395" s="133"/>
      <c r="J1395" s="158">
        <v>0</v>
      </c>
    </row>
    <row r="1396" spans="1:10" ht="15.75" hidden="1" customHeight="1">
      <c r="A1396" s="133" t="s">
        <v>2</v>
      </c>
      <c r="B1396" s="133" t="s">
        <v>4118</v>
      </c>
      <c r="C1396" s="133" t="s">
        <v>2284</v>
      </c>
      <c r="D1396" s="133" t="s">
        <v>477</v>
      </c>
      <c r="E1396" s="158">
        <v>20</v>
      </c>
      <c r="F1396" s="158">
        <v>0</v>
      </c>
      <c r="G1396" s="158">
        <v>0</v>
      </c>
      <c r="H1396" s="133" t="s">
        <v>2285</v>
      </c>
      <c r="I1396" s="133"/>
      <c r="J1396" s="158">
        <v>0</v>
      </c>
    </row>
    <row r="1397" spans="1:10" ht="15.75" hidden="1" customHeight="1">
      <c r="A1397" s="133" t="s">
        <v>2</v>
      </c>
      <c r="B1397" s="133" t="s">
        <v>4118</v>
      </c>
      <c r="C1397" s="133" t="s">
        <v>4953</v>
      </c>
      <c r="D1397" s="133" t="s">
        <v>477</v>
      </c>
      <c r="E1397" s="158">
        <v>100</v>
      </c>
      <c r="F1397" s="158">
        <v>0</v>
      </c>
      <c r="G1397" s="158">
        <v>0</v>
      </c>
      <c r="H1397" s="133" t="s">
        <v>4954</v>
      </c>
      <c r="I1397" s="133"/>
      <c r="J1397" s="158">
        <v>0</v>
      </c>
    </row>
    <row r="1398" spans="1:10" ht="15.75" hidden="1" customHeight="1">
      <c r="A1398" s="133" t="s">
        <v>2</v>
      </c>
      <c r="B1398" s="133" t="s">
        <v>4118</v>
      </c>
      <c r="C1398" s="133" t="s">
        <v>4879</v>
      </c>
      <c r="D1398" s="133" t="s">
        <v>477</v>
      </c>
      <c r="E1398" s="158">
        <v>20</v>
      </c>
      <c r="F1398" s="158">
        <v>0</v>
      </c>
      <c r="G1398" s="158">
        <v>0</v>
      </c>
      <c r="H1398" s="133" t="s">
        <v>4955</v>
      </c>
      <c r="I1398" s="133"/>
      <c r="J1398" s="158">
        <v>0</v>
      </c>
    </row>
    <row r="1399" spans="1:10" ht="15.75" hidden="1" customHeight="1">
      <c r="A1399" s="133" t="s">
        <v>2</v>
      </c>
      <c r="B1399" s="133" t="s">
        <v>4118</v>
      </c>
      <c r="C1399" s="133" t="s">
        <v>4880</v>
      </c>
      <c r="D1399" s="133" t="s">
        <v>1974</v>
      </c>
      <c r="E1399" s="158">
        <v>3</v>
      </c>
      <c r="F1399" s="158">
        <v>10</v>
      </c>
      <c r="G1399" s="158">
        <v>0</v>
      </c>
      <c r="H1399" s="133" t="s">
        <v>4956</v>
      </c>
      <c r="I1399" s="133"/>
      <c r="J1399" s="158">
        <v>0</v>
      </c>
    </row>
    <row r="1400" spans="1:10" ht="15.75" hidden="1" customHeight="1">
      <c r="A1400" s="133" t="s">
        <v>2</v>
      </c>
      <c r="B1400" s="133" t="s">
        <v>4118</v>
      </c>
      <c r="C1400" s="133" t="s">
        <v>4881</v>
      </c>
      <c r="D1400" s="133" t="s">
        <v>477</v>
      </c>
      <c r="E1400" s="158">
        <v>20</v>
      </c>
      <c r="F1400" s="158">
        <v>0</v>
      </c>
      <c r="G1400" s="158">
        <v>0</v>
      </c>
      <c r="H1400" s="133" t="s">
        <v>4957</v>
      </c>
      <c r="I1400" s="133"/>
      <c r="J1400" s="158">
        <v>0</v>
      </c>
    </row>
    <row r="1401" spans="1:10" ht="15.75" hidden="1" customHeight="1">
      <c r="A1401" s="133" t="s">
        <v>2</v>
      </c>
      <c r="B1401" s="133" t="s">
        <v>4118</v>
      </c>
      <c r="C1401" s="133" t="s">
        <v>4958</v>
      </c>
      <c r="D1401" s="133" t="s">
        <v>477</v>
      </c>
      <c r="E1401" s="158">
        <v>20</v>
      </c>
      <c r="F1401" s="158">
        <v>0</v>
      </c>
      <c r="G1401" s="158">
        <v>0</v>
      </c>
      <c r="H1401" s="133" t="s">
        <v>4959</v>
      </c>
      <c r="I1401" s="133"/>
      <c r="J1401" s="158">
        <v>0</v>
      </c>
    </row>
    <row r="1402" spans="1:10" ht="15.75" hidden="1" customHeight="1">
      <c r="A1402" s="133" t="s">
        <v>2</v>
      </c>
      <c r="B1402" s="133" t="s">
        <v>4118</v>
      </c>
      <c r="C1402" s="133" t="s">
        <v>4960</v>
      </c>
      <c r="D1402" s="133" t="s">
        <v>477</v>
      </c>
      <c r="E1402" s="158">
        <v>20</v>
      </c>
      <c r="F1402" s="158">
        <v>0</v>
      </c>
      <c r="G1402" s="158">
        <v>0</v>
      </c>
      <c r="H1402" s="133" t="s">
        <v>4961</v>
      </c>
      <c r="I1402" s="133"/>
      <c r="J1402" s="158">
        <v>0</v>
      </c>
    </row>
    <row r="1403" spans="1:10" ht="15.75" hidden="1" customHeight="1">
      <c r="A1403" s="133" t="s">
        <v>2</v>
      </c>
      <c r="B1403" s="133" t="s">
        <v>4118</v>
      </c>
      <c r="C1403" s="133" t="s">
        <v>4649</v>
      </c>
      <c r="D1403" s="133" t="s">
        <v>484</v>
      </c>
      <c r="E1403" s="158">
        <v>4</v>
      </c>
      <c r="F1403" s="158">
        <v>10</v>
      </c>
      <c r="G1403" s="158">
        <v>0</v>
      </c>
      <c r="H1403" s="133" t="s">
        <v>4804</v>
      </c>
      <c r="I1403" s="133"/>
      <c r="J1403" s="158">
        <v>0</v>
      </c>
    </row>
    <row r="1404" spans="1:10" ht="15.75" hidden="1" customHeight="1">
      <c r="A1404" s="133" t="s">
        <v>2</v>
      </c>
      <c r="B1404" s="133" t="s">
        <v>4118</v>
      </c>
      <c r="C1404" s="133" t="s">
        <v>658</v>
      </c>
      <c r="D1404" s="133" t="s">
        <v>481</v>
      </c>
      <c r="E1404" s="158">
        <v>5</v>
      </c>
      <c r="F1404" s="158">
        <v>9</v>
      </c>
      <c r="G1404" s="158">
        <v>2</v>
      </c>
      <c r="H1404" s="133" t="s">
        <v>4820</v>
      </c>
      <c r="I1404" s="133"/>
      <c r="J1404" s="158">
        <v>0</v>
      </c>
    </row>
    <row r="1405" spans="1:10" ht="15.75" hidden="1" customHeight="1">
      <c r="A1405" s="133" t="s">
        <v>2</v>
      </c>
      <c r="B1405" s="133" t="s">
        <v>4118</v>
      </c>
      <c r="C1405" s="133" t="s">
        <v>1243</v>
      </c>
      <c r="D1405" s="133" t="s">
        <v>481</v>
      </c>
      <c r="E1405" s="158">
        <v>5</v>
      </c>
      <c r="F1405" s="158">
        <v>9</v>
      </c>
      <c r="G1405" s="158">
        <v>2</v>
      </c>
      <c r="H1405" s="133" t="s">
        <v>4821</v>
      </c>
      <c r="I1405" s="133"/>
      <c r="J1405" s="158">
        <v>0</v>
      </c>
    </row>
    <row r="1406" spans="1:10" ht="15.75" hidden="1" customHeight="1">
      <c r="A1406" s="133" t="s">
        <v>2</v>
      </c>
      <c r="B1406" s="133" t="s">
        <v>4118</v>
      </c>
      <c r="C1406" s="133" t="s">
        <v>663</v>
      </c>
      <c r="D1406" s="133" t="s">
        <v>481</v>
      </c>
      <c r="E1406" s="158">
        <v>5</v>
      </c>
      <c r="F1406" s="158">
        <v>9</v>
      </c>
      <c r="G1406" s="158">
        <v>2</v>
      </c>
      <c r="H1406" s="133" t="s">
        <v>4822</v>
      </c>
      <c r="I1406" s="133"/>
      <c r="J1406" s="158">
        <v>0</v>
      </c>
    </row>
    <row r="1407" spans="1:10" ht="15.75" hidden="1" customHeight="1">
      <c r="A1407" s="133" t="s">
        <v>2</v>
      </c>
      <c r="B1407" s="133" t="s">
        <v>4118</v>
      </c>
      <c r="C1407" s="133" t="s">
        <v>4610</v>
      </c>
      <c r="D1407" s="133" t="s">
        <v>481</v>
      </c>
      <c r="E1407" s="158">
        <v>5</v>
      </c>
      <c r="F1407" s="158">
        <v>9</v>
      </c>
      <c r="G1407" s="158">
        <v>2</v>
      </c>
      <c r="H1407" s="133" t="s">
        <v>4823</v>
      </c>
      <c r="I1407" s="133"/>
      <c r="J1407" s="158">
        <v>0</v>
      </c>
    </row>
    <row r="1408" spans="1:10" ht="15.75" hidden="1" customHeight="1">
      <c r="A1408" s="133" t="s">
        <v>2</v>
      </c>
      <c r="B1408" s="133" t="s">
        <v>4118</v>
      </c>
      <c r="C1408" s="133" t="s">
        <v>4650</v>
      </c>
      <c r="D1408" s="133" t="s">
        <v>481</v>
      </c>
      <c r="E1408" s="158">
        <v>5</v>
      </c>
      <c r="F1408" s="158">
        <v>9</v>
      </c>
      <c r="G1408" s="158">
        <v>2</v>
      </c>
      <c r="H1408" s="133" t="s">
        <v>4824</v>
      </c>
      <c r="I1408" s="133"/>
      <c r="J1408" s="158">
        <v>0</v>
      </c>
    </row>
    <row r="1409" spans="1:10" ht="15.75" hidden="1" customHeight="1">
      <c r="A1409" s="133" t="s">
        <v>2</v>
      </c>
      <c r="B1409" s="133" t="s">
        <v>4118</v>
      </c>
      <c r="C1409" s="133" t="s">
        <v>669</v>
      </c>
      <c r="D1409" s="133" t="s">
        <v>538</v>
      </c>
      <c r="E1409" s="158">
        <v>8</v>
      </c>
      <c r="F1409" s="158">
        <v>0</v>
      </c>
      <c r="G1409" s="158">
        <v>0</v>
      </c>
      <c r="H1409" s="133" t="s">
        <v>3461</v>
      </c>
      <c r="I1409" s="133"/>
      <c r="J1409" s="158">
        <v>0</v>
      </c>
    </row>
    <row r="1410" spans="1:10" ht="15.75" hidden="1" customHeight="1">
      <c r="A1410" s="133" t="s">
        <v>2</v>
      </c>
      <c r="B1410" s="133" t="s">
        <v>4118</v>
      </c>
      <c r="C1410" s="133" t="s">
        <v>523</v>
      </c>
      <c r="D1410" s="133" t="s">
        <v>477</v>
      </c>
      <c r="E1410" s="158">
        <v>20</v>
      </c>
      <c r="F1410" s="158">
        <v>0</v>
      </c>
      <c r="G1410" s="158">
        <v>0</v>
      </c>
      <c r="H1410" s="133" t="s">
        <v>3462</v>
      </c>
      <c r="I1410" s="133"/>
      <c r="J1410" s="158">
        <v>0</v>
      </c>
    </row>
    <row r="1411" spans="1:10" ht="15.75" hidden="1" customHeight="1">
      <c r="A1411" s="133" t="s">
        <v>2</v>
      </c>
      <c r="B1411" s="133" t="s">
        <v>4118</v>
      </c>
      <c r="C1411" s="133" t="s">
        <v>814</v>
      </c>
      <c r="D1411" s="133" t="s">
        <v>477</v>
      </c>
      <c r="E1411" s="158">
        <v>100</v>
      </c>
      <c r="F1411" s="158">
        <v>0</v>
      </c>
      <c r="G1411" s="158">
        <v>0</v>
      </c>
      <c r="H1411" s="133" t="s">
        <v>3463</v>
      </c>
      <c r="I1411" s="133"/>
      <c r="J1411" s="158">
        <v>0</v>
      </c>
    </row>
    <row r="1412" spans="1:10" ht="15.75" hidden="1" customHeight="1">
      <c r="A1412" s="133" t="s">
        <v>2</v>
      </c>
      <c r="B1412" s="133" t="s">
        <v>4118</v>
      </c>
      <c r="C1412" s="133" t="s">
        <v>215</v>
      </c>
      <c r="D1412" s="133" t="s">
        <v>538</v>
      </c>
      <c r="E1412" s="158">
        <v>8</v>
      </c>
      <c r="F1412" s="158">
        <v>0</v>
      </c>
      <c r="G1412" s="158">
        <v>0</v>
      </c>
      <c r="H1412" s="133" t="s">
        <v>3464</v>
      </c>
      <c r="I1412" s="133"/>
      <c r="J1412" s="158">
        <v>0</v>
      </c>
    </row>
    <row r="1413" spans="1:10" ht="15.75" hidden="1" customHeight="1">
      <c r="A1413" s="133" t="s">
        <v>2</v>
      </c>
      <c r="B1413" s="133" t="s">
        <v>4118</v>
      </c>
      <c r="C1413" s="133" t="s">
        <v>670</v>
      </c>
      <c r="D1413" s="133" t="s">
        <v>477</v>
      </c>
      <c r="E1413" s="158">
        <v>20</v>
      </c>
      <c r="F1413" s="158">
        <v>0</v>
      </c>
      <c r="G1413" s="158">
        <v>0</v>
      </c>
      <c r="H1413" s="133" t="s">
        <v>3465</v>
      </c>
      <c r="I1413" s="133"/>
      <c r="J1413" s="158">
        <v>0</v>
      </c>
    </row>
    <row r="1414" spans="1:10" ht="15.75" hidden="1" customHeight="1">
      <c r="A1414" s="133" t="s">
        <v>2</v>
      </c>
      <c r="B1414" s="133" t="s">
        <v>4118</v>
      </c>
      <c r="C1414" s="133" t="s">
        <v>816</v>
      </c>
      <c r="D1414" s="133" t="s">
        <v>477</v>
      </c>
      <c r="E1414" s="158">
        <v>100</v>
      </c>
      <c r="F1414" s="158">
        <v>0</v>
      </c>
      <c r="G1414" s="158">
        <v>0</v>
      </c>
      <c r="H1414" s="133" t="s">
        <v>3466</v>
      </c>
      <c r="I1414" s="133"/>
      <c r="J1414" s="158">
        <v>0</v>
      </c>
    </row>
    <row r="1415" spans="1:10" ht="15.75" hidden="1" customHeight="1">
      <c r="A1415" s="133" t="s">
        <v>2</v>
      </c>
      <c r="B1415" s="133" t="s">
        <v>4118</v>
      </c>
      <c r="C1415" s="133" t="s">
        <v>1265</v>
      </c>
      <c r="D1415" s="133" t="s">
        <v>481</v>
      </c>
      <c r="E1415" s="158">
        <v>5</v>
      </c>
      <c r="F1415" s="158">
        <v>9</v>
      </c>
      <c r="G1415" s="158">
        <v>2</v>
      </c>
      <c r="H1415" s="133" t="s">
        <v>4826</v>
      </c>
      <c r="I1415" s="133"/>
      <c r="J1415" s="158">
        <v>0</v>
      </c>
    </row>
    <row r="1416" spans="1:10" ht="15.75" hidden="1" customHeight="1">
      <c r="A1416" s="133" t="s">
        <v>2</v>
      </c>
      <c r="B1416" s="133" t="s">
        <v>4118</v>
      </c>
      <c r="C1416" s="133" t="s">
        <v>1267</v>
      </c>
      <c r="D1416" s="133" t="s">
        <v>481</v>
      </c>
      <c r="E1416" s="158">
        <v>5</v>
      </c>
      <c r="F1416" s="158">
        <v>9</v>
      </c>
      <c r="G1416" s="158">
        <v>2</v>
      </c>
      <c r="H1416" s="133" t="s">
        <v>4827</v>
      </c>
      <c r="I1416" s="133"/>
      <c r="J1416" s="158">
        <v>0</v>
      </c>
    </row>
    <row r="1417" spans="1:10" ht="15.75" hidden="1" customHeight="1">
      <c r="A1417" s="133" t="s">
        <v>2</v>
      </c>
      <c r="B1417" s="133" t="s">
        <v>4125</v>
      </c>
      <c r="C1417" s="133" t="s">
        <v>4124</v>
      </c>
      <c r="D1417" s="133" t="s">
        <v>477</v>
      </c>
      <c r="E1417" s="158">
        <v>20</v>
      </c>
      <c r="F1417" s="158">
        <v>0</v>
      </c>
      <c r="G1417" s="158">
        <v>0</v>
      </c>
      <c r="H1417" s="133" t="s">
        <v>4943</v>
      </c>
      <c r="I1417" s="133"/>
      <c r="J1417" s="158">
        <v>0</v>
      </c>
    </row>
    <row r="1418" spans="1:10" ht="15.75" hidden="1" customHeight="1">
      <c r="A1418" s="133" t="s">
        <v>2</v>
      </c>
      <c r="B1418" s="133" t="s">
        <v>4125</v>
      </c>
      <c r="C1418" s="133" t="s">
        <v>292</v>
      </c>
      <c r="D1418" s="133" t="s">
        <v>484</v>
      </c>
      <c r="E1418" s="158">
        <v>4</v>
      </c>
      <c r="F1418" s="158">
        <v>10</v>
      </c>
      <c r="G1418" s="158">
        <v>0</v>
      </c>
      <c r="H1418" s="133" t="s">
        <v>4962</v>
      </c>
      <c r="I1418" s="133"/>
      <c r="J1418" s="158">
        <v>0</v>
      </c>
    </row>
    <row r="1419" spans="1:10" ht="15.75" hidden="1" customHeight="1">
      <c r="A1419" s="133" t="s">
        <v>2</v>
      </c>
      <c r="B1419" s="133" t="s">
        <v>4125</v>
      </c>
      <c r="C1419" s="133" t="s">
        <v>257</v>
      </c>
      <c r="D1419" s="133" t="s">
        <v>477</v>
      </c>
      <c r="E1419" s="158">
        <v>20</v>
      </c>
      <c r="F1419" s="158">
        <v>0</v>
      </c>
      <c r="G1419" s="158">
        <v>0</v>
      </c>
      <c r="H1419" s="133" t="s">
        <v>1130</v>
      </c>
      <c r="I1419" s="133"/>
      <c r="J1419" s="158">
        <v>0</v>
      </c>
    </row>
    <row r="1420" spans="1:10" ht="15.75" hidden="1" customHeight="1">
      <c r="A1420" s="133" t="s">
        <v>2</v>
      </c>
      <c r="B1420" s="133" t="s">
        <v>4125</v>
      </c>
      <c r="C1420" s="133" t="s">
        <v>3441</v>
      </c>
      <c r="D1420" s="133" t="s">
        <v>477</v>
      </c>
      <c r="E1420" s="158">
        <v>100</v>
      </c>
      <c r="F1420" s="158">
        <v>0</v>
      </c>
      <c r="G1420" s="158">
        <v>0</v>
      </c>
      <c r="H1420" s="133" t="s">
        <v>1132</v>
      </c>
      <c r="I1420" s="133"/>
      <c r="J1420" s="158">
        <v>0</v>
      </c>
    </row>
    <row r="1421" spans="1:10" ht="15.75" hidden="1" customHeight="1">
      <c r="A1421" s="133" t="s">
        <v>2</v>
      </c>
      <c r="B1421" s="133" t="s">
        <v>4125</v>
      </c>
      <c r="C1421" s="133" t="s">
        <v>1141</v>
      </c>
      <c r="D1421" s="133" t="s">
        <v>477</v>
      </c>
      <c r="E1421" s="158">
        <v>20</v>
      </c>
      <c r="F1421" s="158">
        <v>0</v>
      </c>
      <c r="G1421" s="158">
        <v>0</v>
      </c>
      <c r="H1421" s="133" t="s">
        <v>3442</v>
      </c>
      <c r="I1421" s="133"/>
      <c r="J1421" s="158">
        <v>0</v>
      </c>
    </row>
    <row r="1422" spans="1:10" ht="15.75" hidden="1" customHeight="1">
      <c r="A1422" s="133" t="s">
        <v>2</v>
      </c>
      <c r="B1422" s="133" t="s">
        <v>4125</v>
      </c>
      <c r="C1422" s="133" t="s">
        <v>2415</v>
      </c>
      <c r="D1422" s="133" t="s">
        <v>484</v>
      </c>
      <c r="E1422" s="158">
        <v>4</v>
      </c>
      <c r="F1422" s="158">
        <v>10</v>
      </c>
      <c r="G1422" s="158">
        <v>0</v>
      </c>
      <c r="H1422" s="133" t="s">
        <v>2416</v>
      </c>
      <c r="I1422" s="133"/>
      <c r="J1422" s="158">
        <v>0</v>
      </c>
    </row>
    <row r="1423" spans="1:10" ht="15.75" hidden="1" customHeight="1">
      <c r="A1423" s="133" t="s">
        <v>2</v>
      </c>
      <c r="B1423" s="133" t="s">
        <v>4125</v>
      </c>
      <c r="C1423" s="133" t="s">
        <v>4859</v>
      </c>
      <c r="D1423" s="133" t="s">
        <v>484</v>
      </c>
      <c r="E1423" s="158">
        <v>4</v>
      </c>
      <c r="F1423" s="158">
        <v>10</v>
      </c>
      <c r="G1423" s="158">
        <v>0</v>
      </c>
      <c r="H1423" s="133" t="s">
        <v>4963</v>
      </c>
      <c r="I1423" s="133"/>
      <c r="J1423" s="158">
        <v>0</v>
      </c>
    </row>
    <row r="1424" spans="1:10" ht="15.75" hidden="1" customHeight="1">
      <c r="A1424" s="133" t="s">
        <v>2</v>
      </c>
      <c r="B1424" s="133" t="s">
        <v>4125</v>
      </c>
      <c r="C1424" s="133" t="s">
        <v>4784</v>
      </c>
      <c r="D1424" s="133" t="s">
        <v>484</v>
      </c>
      <c r="E1424" s="158">
        <v>4</v>
      </c>
      <c r="F1424" s="158">
        <v>10</v>
      </c>
      <c r="G1424" s="158">
        <v>0</v>
      </c>
      <c r="H1424" s="133" t="s">
        <v>4964</v>
      </c>
      <c r="I1424" s="133"/>
      <c r="J1424" s="158">
        <v>0</v>
      </c>
    </row>
    <row r="1425" spans="1:10" ht="15.75" hidden="1" customHeight="1">
      <c r="A1425" s="133" t="s">
        <v>2</v>
      </c>
      <c r="B1425" s="133" t="s">
        <v>4125</v>
      </c>
      <c r="C1425" s="133" t="s">
        <v>4523</v>
      </c>
      <c r="D1425" s="133" t="s">
        <v>477</v>
      </c>
      <c r="E1425" s="158">
        <v>20</v>
      </c>
      <c r="F1425" s="158">
        <v>0</v>
      </c>
      <c r="G1425" s="158">
        <v>0</v>
      </c>
      <c r="H1425" s="133" t="s">
        <v>4786</v>
      </c>
      <c r="I1425" s="133"/>
      <c r="J1425" s="158">
        <v>0</v>
      </c>
    </row>
    <row r="1426" spans="1:10" ht="15.75" hidden="1" customHeight="1">
      <c r="A1426" s="133" t="s">
        <v>2</v>
      </c>
      <c r="B1426" s="133" t="s">
        <v>4125</v>
      </c>
      <c r="C1426" s="133" t="s">
        <v>3384</v>
      </c>
      <c r="D1426" s="133" t="s">
        <v>484</v>
      </c>
      <c r="E1426" s="158">
        <v>4</v>
      </c>
      <c r="F1426" s="158">
        <v>10</v>
      </c>
      <c r="G1426" s="158">
        <v>0</v>
      </c>
      <c r="H1426" s="133" t="s">
        <v>4787</v>
      </c>
      <c r="I1426" s="133"/>
      <c r="J1426" s="158">
        <v>0</v>
      </c>
    </row>
    <row r="1427" spans="1:10" ht="15.75" hidden="1" customHeight="1">
      <c r="A1427" s="133" t="s">
        <v>2</v>
      </c>
      <c r="B1427" s="133" t="s">
        <v>4125</v>
      </c>
      <c r="C1427" s="133" t="s">
        <v>1145</v>
      </c>
      <c r="D1427" s="133" t="s">
        <v>484</v>
      </c>
      <c r="E1427" s="158">
        <v>4</v>
      </c>
      <c r="F1427" s="158">
        <v>10</v>
      </c>
      <c r="G1427" s="158">
        <v>0</v>
      </c>
      <c r="H1427" s="133" t="s">
        <v>4533</v>
      </c>
      <c r="I1427" s="133"/>
      <c r="J1427" s="158">
        <v>0</v>
      </c>
    </row>
    <row r="1428" spans="1:10" ht="15.75" hidden="1" customHeight="1">
      <c r="A1428" s="133" t="s">
        <v>2</v>
      </c>
      <c r="B1428" s="133" t="s">
        <v>4125</v>
      </c>
      <c r="C1428" s="133" t="s">
        <v>1137</v>
      </c>
      <c r="D1428" s="133" t="s">
        <v>481</v>
      </c>
      <c r="E1428" s="158">
        <v>5</v>
      </c>
      <c r="F1428" s="158">
        <v>9</v>
      </c>
      <c r="G1428" s="158">
        <v>2</v>
      </c>
      <c r="H1428" s="133" t="s">
        <v>4524</v>
      </c>
      <c r="I1428" s="133"/>
      <c r="J1428" s="158">
        <v>0</v>
      </c>
    </row>
    <row r="1429" spans="1:10" ht="15.75" hidden="1" customHeight="1">
      <c r="A1429" s="133" t="s">
        <v>2</v>
      </c>
      <c r="B1429" s="133" t="s">
        <v>4125</v>
      </c>
      <c r="C1429" s="133" t="s">
        <v>4565</v>
      </c>
      <c r="D1429" s="133" t="s">
        <v>481</v>
      </c>
      <c r="E1429" s="158">
        <v>5</v>
      </c>
      <c r="F1429" s="158">
        <v>9</v>
      </c>
      <c r="G1429" s="158">
        <v>2</v>
      </c>
      <c r="H1429" s="133" t="s">
        <v>4788</v>
      </c>
      <c r="I1429" s="133"/>
      <c r="J1429" s="158">
        <v>0</v>
      </c>
    </row>
    <row r="1430" spans="1:10" ht="15.75" hidden="1" customHeight="1">
      <c r="A1430" s="133" t="s">
        <v>2</v>
      </c>
      <c r="B1430" s="133" t="s">
        <v>4125</v>
      </c>
      <c r="C1430" s="133" t="s">
        <v>4965</v>
      </c>
      <c r="D1430" s="133" t="s">
        <v>477</v>
      </c>
      <c r="E1430" s="158">
        <v>20</v>
      </c>
      <c r="F1430" s="158">
        <v>0</v>
      </c>
      <c r="G1430" s="158">
        <v>0</v>
      </c>
      <c r="H1430" s="133" t="s">
        <v>4966</v>
      </c>
      <c r="I1430" s="133"/>
      <c r="J1430" s="158">
        <v>0</v>
      </c>
    </row>
    <row r="1431" spans="1:10" ht="15.75" hidden="1" customHeight="1">
      <c r="A1431" s="133" t="s">
        <v>2</v>
      </c>
      <c r="B1431" s="133" t="s">
        <v>4125</v>
      </c>
      <c r="C1431" s="133" t="s">
        <v>1217</v>
      </c>
      <c r="D1431" s="133" t="s">
        <v>477</v>
      </c>
      <c r="E1431" s="158">
        <v>20</v>
      </c>
      <c r="F1431" s="158">
        <v>0</v>
      </c>
      <c r="G1431" s="158">
        <v>0</v>
      </c>
      <c r="H1431" s="133" t="s">
        <v>4789</v>
      </c>
      <c r="I1431" s="133"/>
      <c r="J1431" s="158">
        <v>0</v>
      </c>
    </row>
    <row r="1432" spans="1:10" ht="15.75" hidden="1" customHeight="1">
      <c r="A1432" s="133" t="s">
        <v>2</v>
      </c>
      <c r="B1432" s="133" t="s">
        <v>4125</v>
      </c>
      <c r="C1432" s="133" t="s">
        <v>2342</v>
      </c>
      <c r="D1432" s="133" t="s">
        <v>481</v>
      </c>
      <c r="E1432" s="158">
        <v>5</v>
      </c>
      <c r="F1432" s="158">
        <v>9</v>
      </c>
      <c r="G1432" s="158">
        <v>2</v>
      </c>
      <c r="H1432" s="133" t="s">
        <v>4967</v>
      </c>
      <c r="I1432" s="133"/>
      <c r="J1432" s="158">
        <v>0</v>
      </c>
    </row>
    <row r="1433" spans="1:10" ht="15.75" hidden="1" customHeight="1">
      <c r="A1433" s="133" t="s">
        <v>2</v>
      </c>
      <c r="B1433" s="133" t="s">
        <v>4125</v>
      </c>
      <c r="C1433" s="133" t="s">
        <v>1206</v>
      </c>
      <c r="D1433" s="133" t="s">
        <v>477</v>
      </c>
      <c r="E1433" s="158">
        <v>20</v>
      </c>
      <c r="F1433" s="158">
        <v>0</v>
      </c>
      <c r="G1433" s="158">
        <v>0</v>
      </c>
      <c r="H1433" s="133" t="s">
        <v>4968</v>
      </c>
      <c r="I1433" s="133"/>
      <c r="J1433" s="158">
        <v>0</v>
      </c>
    </row>
    <row r="1434" spans="1:10" ht="15.75" hidden="1" customHeight="1">
      <c r="A1434" s="133" t="s">
        <v>2</v>
      </c>
      <c r="B1434" s="133" t="s">
        <v>4125</v>
      </c>
      <c r="C1434" s="133" t="s">
        <v>4969</v>
      </c>
      <c r="D1434" s="133" t="s">
        <v>481</v>
      </c>
      <c r="E1434" s="158">
        <v>5</v>
      </c>
      <c r="F1434" s="158">
        <v>9</v>
      </c>
      <c r="G1434" s="158">
        <v>2</v>
      </c>
      <c r="H1434" s="133"/>
      <c r="I1434" s="133"/>
      <c r="J1434" s="158">
        <v>0</v>
      </c>
    </row>
    <row r="1435" spans="1:10" ht="15.75" hidden="1" customHeight="1">
      <c r="A1435" s="133" t="s">
        <v>2</v>
      </c>
      <c r="B1435" s="133" t="s">
        <v>4125</v>
      </c>
      <c r="C1435" s="133" t="s">
        <v>4654</v>
      </c>
      <c r="D1435" s="133" t="s">
        <v>477</v>
      </c>
      <c r="E1435" s="158">
        <v>20</v>
      </c>
      <c r="F1435" s="158">
        <v>0</v>
      </c>
      <c r="G1435" s="158">
        <v>0</v>
      </c>
      <c r="H1435" s="133" t="s">
        <v>4970</v>
      </c>
      <c r="I1435" s="133" t="s">
        <v>548</v>
      </c>
      <c r="J1435" s="158">
        <v>0</v>
      </c>
    </row>
    <row r="1436" spans="1:10" ht="15.75" hidden="1" customHeight="1">
      <c r="A1436" s="133" t="s">
        <v>2</v>
      </c>
      <c r="B1436" s="133" t="s">
        <v>4125</v>
      </c>
      <c r="C1436" s="133" t="s">
        <v>1208</v>
      </c>
      <c r="D1436" s="133" t="s">
        <v>484</v>
      </c>
      <c r="E1436" s="158">
        <v>4</v>
      </c>
      <c r="F1436" s="158">
        <v>10</v>
      </c>
      <c r="G1436" s="158">
        <v>0</v>
      </c>
      <c r="H1436" s="133" t="s">
        <v>1209</v>
      </c>
      <c r="I1436" s="133" t="s">
        <v>1210</v>
      </c>
      <c r="J1436" s="158">
        <v>0</v>
      </c>
    </row>
    <row r="1437" spans="1:10" ht="15.75" hidden="1" customHeight="1">
      <c r="A1437" s="133" t="s">
        <v>2</v>
      </c>
      <c r="B1437" s="133" t="s">
        <v>4125</v>
      </c>
      <c r="C1437" s="133" t="s">
        <v>3501</v>
      </c>
      <c r="D1437" s="133" t="s">
        <v>538</v>
      </c>
      <c r="E1437" s="158">
        <v>8</v>
      </c>
      <c r="F1437" s="158">
        <v>0</v>
      </c>
      <c r="G1437" s="158">
        <v>0</v>
      </c>
      <c r="H1437" s="98"/>
      <c r="I1437" s="133"/>
      <c r="J1437" s="158">
        <v>0</v>
      </c>
    </row>
    <row r="1438" spans="1:10" ht="15.75" hidden="1" customHeight="1">
      <c r="A1438" s="133" t="s">
        <v>2</v>
      </c>
      <c r="B1438" s="133" t="s">
        <v>4125</v>
      </c>
      <c r="C1438" s="133" t="s">
        <v>465</v>
      </c>
      <c r="D1438" s="133" t="s">
        <v>538</v>
      </c>
      <c r="E1438" s="158">
        <v>8</v>
      </c>
      <c r="F1438" s="158">
        <v>0</v>
      </c>
      <c r="G1438" s="158">
        <v>0</v>
      </c>
      <c r="H1438" s="98"/>
      <c r="I1438" s="133"/>
      <c r="J1438" s="158">
        <v>0</v>
      </c>
    </row>
    <row r="1439" spans="1:10" ht="15.75" hidden="1" customHeight="1">
      <c r="A1439" s="133" t="s">
        <v>2</v>
      </c>
      <c r="B1439" s="133" t="s">
        <v>4132</v>
      </c>
      <c r="C1439" s="133" t="s">
        <v>4138</v>
      </c>
      <c r="D1439" s="133" t="s">
        <v>477</v>
      </c>
      <c r="E1439" s="158">
        <v>20</v>
      </c>
      <c r="F1439" s="158">
        <v>0</v>
      </c>
      <c r="G1439" s="158">
        <v>0</v>
      </c>
      <c r="H1439" s="98" t="s">
        <v>4971</v>
      </c>
      <c r="I1439" s="133"/>
      <c r="J1439" s="158">
        <v>0</v>
      </c>
    </row>
    <row r="1440" spans="1:10" ht="15.75" hidden="1" customHeight="1">
      <c r="A1440" s="133" t="s">
        <v>2</v>
      </c>
      <c r="B1440" s="133" t="s">
        <v>4132</v>
      </c>
      <c r="C1440" s="133" t="s">
        <v>4972</v>
      </c>
      <c r="D1440" s="133" t="s">
        <v>477</v>
      </c>
      <c r="E1440" s="158">
        <v>20</v>
      </c>
      <c r="F1440" s="158">
        <v>0</v>
      </c>
      <c r="G1440" s="158">
        <v>0</v>
      </c>
      <c r="H1440" s="98" t="s">
        <v>4973</v>
      </c>
      <c r="I1440" s="133"/>
      <c r="J1440" s="158">
        <v>0</v>
      </c>
    </row>
    <row r="1441" spans="1:10" ht="15.75" hidden="1" customHeight="1">
      <c r="A1441" s="133" t="s">
        <v>2</v>
      </c>
      <c r="B1441" s="133" t="s">
        <v>4132</v>
      </c>
      <c r="C1441" s="133" t="s">
        <v>4974</v>
      </c>
      <c r="D1441" s="133" t="s">
        <v>1974</v>
      </c>
      <c r="E1441" s="158">
        <v>3</v>
      </c>
      <c r="F1441" s="158">
        <v>10</v>
      </c>
      <c r="G1441" s="158">
        <v>0</v>
      </c>
      <c r="H1441" s="98" t="s">
        <v>4975</v>
      </c>
      <c r="I1441" s="133"/>
      <c r="J1441" s="158">
        <v>0</v>
      </c>
    </row>
    <row r="1442" spans="1:10" ht="15.75" hidden="1" customHeight="1">
      <c r="A1442" s="133" t="s">
        <v>2</v>
      </c>
      <c r="B1442" s="133" t="s">
        <v>4132</v>
      </c>
      <c r="C1442" s="133" t="s">
        <v>4976</v>
      </c>
      <c r="D1442" s="133" t="s">
        <v>477</v>
      </c>
      <c r="E1442" s="158">
        <v>255</v>
      </c>
      <c r="F1442" s="158">
        <v>0</v>
      </c>
      <c r="G1442" s="158">
        <v>0</v>
      </c>
      <c r="H1442" s="98" t="s">
        <v>4949</v>
      </c>
      <c r="I1442" s="133"/>
      <c r="J1442" s="158">
        <v>0</v>
      </c>
    </row>
    <row r="1443" spans="1:10" ht="15.75" hidden="1" customHeight="1">
      <c r="A1443" s="133" t="s">
        <v>2</v>
      </c>
      <c r="B1443" s="133" t="s">
        <v>4132</v>
      </c>
      <c r="C1443" s="133" t="s">
        <v>708</v>
      </c>
      <c r="D1443" s="133" t="s">
        <v>477</v>
      </c>
      <c r="E1443" s="158">
        <v>20</v>
      </c>
      <c r="F1443" s="158">
        <v>0</v>
      </c>
      <c r="G1443" s="158">
        <v>0</v>
      </c>
      <c r="H1443" s="98" t="s">
        <v>1253</v>
      </c>
      <c r="I1443" s="133"/>
      <c r="J1443" s="158">
        <v>0</v>
      </c>
    </row>
    <row r="1444" spans="1:10" ht="15.75" hidden="1" customHeight="1">
      <c r="A1444" s="133" t="s">
        <v>2</v>
      </c>
      <c r="B1444" s="133" t="s">
        <v>4132</v>
      </c>
      <c r="C1444" s="133" t="s">
        <v>2399</v>
      </c>
      <c r="D1444" s="133" t="s">
        <v>477</v>
      </c>
      <c r="E1444" s="158">
        <v>20</v>
      </c>
      <c r="F1444" s="158">
        <v>0</v>
      </c>
      <c r="G1444" s="158">
        <v>0</v>
      </c>
      <c r="H1444" s="98" t="s">
        <v>2400</v>
      </c>
      <c r="I1444" s="133"/>
      <c r="J1444" s="158">
        <v>0</v>
      </c>
    </row>
    <row r="1445" spans="1:10" ht="15.75" hidden="1" customHeight="1">
      <c r="A1445" s="133" t="s">
        <v>2</v>
      </c>
      <c r="B1445" s="133" t="s">
        <v>4132</v>
      </c>
      <c r="C1445" s="133" t="s">
        <v>4649</v>
      </c>
      <c r="D1445" s="133" t="s">
        <v>484</v>
      </c>
      <c r="E1445" s="158">
        <v>4</v>
      </c>
      <c r="F1445" s="158">
        <v>10</v>
      </c>
      <c r="G1445" s="158">
        <v>0</v>
      </c>
      <c r="H1445" s="98" t="s">
        <v>4804</v>
      </c>
      <c r="I1445" s="133"/>
      <c r="J1445" s="158">
        <v>0</v>
      </c>
    </row>
    <row r="1446" spans="1:10" ht="15.75" hidden="1" customHeight="1">
      <c r="A1446" s="133" t="s">
        <v>2</v>
      </c>
      <c r="B1446" s="133" t="s">
        <v>4132</v>
      </c>
      <c r="C1446" s="133" t="s">
        <v>4977</v>
      </c>
      <c r="D1446" s="133" t="s">
        <v>484</v>
      </c>
      <c r="E1446" s="158">
        <v>4</v>
      </c>
      <c r="F1446" s="158">
        <v>10</v>
      </c>
      <c r="G1446" s="158">
        <v>0</v>
      </c>
      <c r="H1446" s="98" t="s">
        <v>4978</v>
      </c>
      <c r="I1446" s="133"/>
      <c r="J1446" s="158">
        <v>0</v>
      </c>
    </row>
    <row r="1447" spans="1:10" ht="15.75" hidden="1" customHeight="1">
      <c r="A1447" s="133" t="s">
        <v>2</v>
      </c>
      <c r="B1447" s="133" t="s">
        <v>4132</v>
      </c>
      <c r="C1447" s="133" t="s">
        <v>4920</v>
      </c>
      <c r="D1447" s="133" t="s">
        <v>484</v>
      </c>
      <c r="E1447" s="158">
        <v>4</v>
      </c>
      <c r="F1447" s="158">
        <v>10</v>
      </c>
      <c r="G1447" s="158">
        <v>0</v>
      </c>
      <c r="H1447" s="98" t="s">
        <v>4979</v>
      </c>
      <c r="I1447" s="133"/>
      <c r="J1447" s="158">
        <v>0</v>
      </c>
    </row>
    <row r="1448" spans="1:10" ht="15.75" hidden="1" customHeight="1">
      <c r="A1448" s="133" t="s">
        <v>2</v>
      </c>
      <c r="B1448" s="133" t="s">
        <v>4132</v>
      </c>
      <c r="C1448" s="133" t="s">
        <v>4980</v>
      </c>
      <c r="D1448" s="133" t="s">
        <v>477</v>
      </c>
      <c r="E1448" s="158">
        <v>20</v>
      </c>
      <c r="F1448" s="158">
        <v>0</v>
      </c>
      <c r="G1448" s="158">
        <v>0</v>
      </c>
      <c r="H1448" s="98" t="s">
        <v>4981</v>
      </c>
      <c r="I1448" s="133"/>
      <c r="J1448" s="158">
        <v>0</v>
      </c>
    </row>
    <row r="1449" spans="1:10" ht="15.75" hidden="1" customHeight="1">
      <c r="A1449" s="133" t="s">
        <v>2</v>
      </c>
      <c r="B1449" s="133" t="s">
        <v>4132</v>
      </c>
      <c r="C1449" s="133" t="s">
        <v>4982</v>
      </c>
      <c r="D1449" s="133" t="s">
        <v>1974</v>
      </c>
      <c r="E1449" s="158">
        <v>3</v>
      </c>
      <c r="F1449" s="158">
        <v>10</v>
      </c>
      <c r="G1449" s="158">
        <v>0</v>
      </c>
      <c r="H1449" s="98" t="s">
        <v>4983</v>
      </c>
      <c r="I1449" s="133"/>
      <c r="J1449" s="158">
        <v>0</v>
      </c>
    </row>
    <row r="1450" spans="1:10" ht="15.75" hidden="1" customHeight="1">
      <c r="A1450" s="133" t="s">
        <v>2</v>
      </c>
      <c r="B1450" s="133" t="s">
        <v>4132</v>
      </c>
      <c r="C1450" s="133" t="s">
        <v>4984</v>
      </c>
      <c r="D1450" s="133" t="s">
        <v>477</v>
      </c>
      <c r="E1450" s="158">
        <v>20</v>
      </c>
      <c r="F1450" s="158">
        <v>0</v>
      </c>
      <c r="G1450" s="158">
        <v>0</v>
      </c>
      <c r="H1450" s="98" t="s">
        <v>4985</v>
      </c>
      <c r="I1450" s="133"/>
      <c r="J1450" s="158">
        <v>0</v>
      </c>
    </row>
    <row r="1451" spans="1:10" ht="15.75" hidden="1" customHeight="1">
      <c r="A1451" s="133" t="s">
        <v>2</v>
      </c>
      <c r="B1451" s="133" t="s">
        <v>4132</v>
      </c>
      <c r="C1451" s="133" t="s">
        <v>4951</v>
      </c>
      <c r="D1451" s="133" t="s">
        <v>477</v>
      </c>
      <c r="E1451" s="158">
        <v>20</v>
      </c>
      <c r="F1451" s="158">
        <v>0</v>
      </c>
      <c r="G1451" s="158">
        <v>0</v>
      </c>
      <c r="H1451" s="98" t="s">
        <v>4952</v>
      </c>
      <c r="I1451" s="133"/>
      <c r="J1451" s="158">
        <v>0</v>
      </c>
    </row>
    <row r="1452" spans="1:10" ht="15.75" hidden="1" customHeight="1">
      <c r="A1452" s="133" t="s">
        <v>2</v>
      </c>
      <c r="B1452" s="133" t="s">
        <v>4132</v>
      </c>
      <c r="C1452" s="133" t="s">
        <v>4986</v>
      </c>
      <c r="D1452" s="133" t="s">
        <v>1974</v>
      </c>
      <c r="E1452" s="158">
        <v>3</v>
      </c>
      <c r="F1452" s="158">
        <v>10</v>
      </c>
      <c r="G1452" s="158">
        <v>0</v>
      </c>
      <c r="H1452" s="98" t="s">
        <v>4987</v>
      </c>
      <c r="I1452" s="133"/>
      <c r="J1452" s="158">
        <v>0</v>
      </c>
    </row>
    <row r="1453" spans="1:10" ht="15.75" hidden="1" customHeight="1">
      <c r="A1453" s="133" t="s">
        <v>2</v>
      </c>
      <c r="B1453" s="133" t="s">
        <v>4132</v>
      </c>
      <c r="C1453" s="133" t="s">
        <v>2284</v>
      </c>
      <c r="D1453" s="133" t="s">
        <v>477</v>
      </c>
      <c r="E1453" s="158">
        <v>20</v>
      </c>
      <c r="F1453" s="158">
        <v>0</v>
      </c>
      <c r="G1453" s="158">
        <v>0</v>
      </c>
      <c r="H1453" s="98" t="s">
        <v>2285</v>
      </c>
      <c r="I1453" s="133"/>
      <c r="J1453" s="158">
        <v>0</v>
      </c>
    </row>
    <row r="1454" spans="1:10" ht="15.75" hidden="1" customHeight="1">
      <c r="A1454" s="133" t="s">
        <v>2</v>
      </c>
      <c r="B1454" s="133" t="s">
        <v>4132</v>
      </c>
      <c r="C1454" s="133" t="s">
        <v>4953</v>
      </c>
      <c r="D1454" s="133" t="s">
        <v>477</v>
      </c>
      <c r="E1454" s="158">
        <v>100</v>
      </c>
      <c r="F1454" s="158">
        <v>0</v>
      </c>
      <c r="G1454" s="158">
        <v>0</v>
      </c>
      <c r="H1454" s="98" t="s">
        <v>4954</v>
      </c>
      <c r="I1454" s="133"/>
      <c r="J1454" s="158">
        <v>0</v>
      </c>
    </row>
    <row r="1455" spans="1:10" ht="15.75" hidden="1" customHeight="1">
      <c r="A1455" s="133" t="s">
        <v>2</v>
      </c>
      <c r="B1455" s="133" t="s">
        <v>4132</v>
      </c>
      <c r="C1455" s="133" t="s">
        <v>369</v>
      </c>
      <c r="D1455" s="133" t="s">
        <v>477</v>
      </c>
      <c r="E1455" s="158">
        <v>20</v>
      </c>
      <c r="F1455" s="158">
        <v>0</v>
      </c>
      <c r="G1455" s="158">
        <v>0</v>
      </c>
      <c r="H1455" s="133" t="s">
        <v>1264</v>
      </c>
      <c r="I1455" s="133"/>
      <c r="J1455" s="158">
        <v>0</v>
      </c>
    </row>
    <row r="1456" spans="1:10" ht="15.75" hidden="1" customHeight="1">
      <c r="A1456" s="133" t="s">
        <v>2</v>
      </c>
      <c r="B1456" s="133" t="s">
        <v>4132</v>
      </c>
      <c r="C1456" s="133" t="s">
        <v>2290</v>
      </c>
      <c r="D1456" s="133" t="s">
        <v>477</v>
      </c>
      <c r="E1456" s="158">
        <v>100</v>
      </c>
      <c r="F1456" s="158">
        <v>0</v>
      </c>
      <c r="G1456" s="158">
        <v>0</v>
      </c>
      <c r="H1456" s="133" t="s">
        <v>2864</v>
      </c>
      <c r="I1456" s="133"/>
      <c r="J1456" s="158">
        <v>0</v>
      </c>
    </row>
    <row r="1457" spans="1:10" ht="15.75" hidden="1" customHeight="1">
      <c r="A1457" s="133" t="s">
        <v>2</v>
      </c>
      <c r="B1457" s="133" t="s">
        <v>4132</v>
      </c>
      <c r="C1457" s="133" t="s">
        <v>793</v>
      </c>
      <c r="D1457" s="133" t="s">
        <v>477</v>
      </c>
      <c r="E1457" s="158">
        <v>20</v>
      </c>
      <c r="F1457" s="158">
        <v>0</v>
      </c>
      <c r="G1457" s="158">
        <v>0</v>
      </c>
      <c r="H1457" s="133" t="s">
        <v>3437</v>
      </c>
      <c r="I1457" s="133"/>
      <c r="J1457" s="158">
        <v>0</v>
      </c>
    </row>
    <row r="1458" spans="1:10" ht="15.75" hidden="1" customHeight="1">
      <c r="A1458" s="133" t="s">
        <v>2</v>
      </c>
      <c r="B1458" s="133" t="s">
        <v>4132</v>
      </c>
      <c r="C1458" s="133" t="s">
        <v>3438</v>
      </c>
      <c r="D1458" s="133" t="s">
        <v>477</v>
      </c>
      <c r="E1458" s="158">
        <v>100</v>
      </c>
      <c r="F1458" s="158">
        <v>0</v>
      </c>
      <c r="G1458" s="158">
        <v>0</v>
      </c>
      <c r="H1458" s="133" t="s">
        <v>3439</v>
      </c>
      <c r="I1458" s="133"/>
      <c r="J1458" s="158">
        <v>0</v>
      </c>
    </row>
    <row r="1459" spans="1:10" ht="15.75" hidden="1" customHeight="1">
      <c r="A1459" s="133" t="s">
        <v>2</v>
      </c>
      <c r="B1459" s="133" t="s">
        <v>4132</v>
      </c>
      <c r="C1459" s="133" t="s">
        <v>658</v>
      </c>
      <c r="D1459" s="133" t="s">
        <v>481</v>
      </c>
      <c r="E1459" s="158">
        <v>5</v>
      </c>
      <c r="F1459" s="158">
        <v>9</v>
      </c>
      <c r="G1459" s="158">
        <v>2</v>
      </c>
      <c r="H1459" s="133" t="s">
        <v>4820</v>
      </c>
      <c r="I1459" s="133"/>
      <c r="J1459" s="158">
        <v>0</v>
      </c>
    </row>
    <row r="1460" spans="1:10" ht="15.75" hidden="1" customHeight="1">
      <c r="A1460" s="133" t="s">
        <v>2</v>
      </c>
      <c r="B1460" s="133" t="s">
        <v>4132</v>
      </c>
      <c r="C1460" s="133" t="s">
        <v>1243</v>
      </c>
      <c r="D1460" s="133" t="s">
        <v>481</v>
      </c>
      <c r="E1460" s="158">
        <v>5</v>
      </c>
      <c r="F1460" s="158">
        <v>9</v>
      </c>
      <c r="G1460" s="158">
        <v>2</v>
      </c>
      <c r="H1460" s="133" t="s">
        <v>4821</v>
      </c>
      <c r="I1460" s="133"/>
      <c r="J1460" s="158">
        <v>0</v>
      </c>
    </row>
    <row r="1461" spans="1:10" ht="15.75" hidden="1" customHeight="1">
      <c r="A1461" s="133" t="s">
        <v>2</v>
      </c>
      <c r="B1461" s="133" t="s">
        <v>4132</v>
      </c>
      <c r="C1461" s="133" t="s">
        <v>663</v>
      </c>
      <c r="D1461" s="133" t="s">
        <v>481</v>
      </c>
      <c r="E1461" s="158">
        <v>5</v>
      </c>
      <c r="F1461" s="158">
        <v>9</v>
      </c>
      <c r="G1461" s="158">
        <v>2</v>
      </c>
      <c r="H1461" s="133" t="s">
        <v>4822</v>
      </c>
      <c r="I1461" s="133"/>
      <c r="J1461" s="158">
        <v>0</v>
      </c>
    </row>
    <row r="1462" spans="1:10" ht="15.75" hidden="1" customHeight="1">
      <c r="A1462" s="133" t="s">
        <v>2</v>
      </c>
      <c r="B1462" s="133" t="s">
        <v>4132</v>
      </c>
      <c r="C1462" s="133" t="s">
        <v>4610</v>
      </c>
      <c r="D1462" s="133" t="s">
        <v>481</v>
      </c>
      <c r="E1462" s="158">
        <v>5</v>
      </c>
      <c r="F1462" s="158">
        <v>9</v>
      </c>
      <c r="G1462" s="158">
        <v>2</v>
      </c>
      <c r="H1462" s="133" t="s">
        <v>4823</v>
      </c>
      <c r="I1462" s="133"/>
      <c r="J1462" s="158">
        <v>0</v>
      </c>
    </row>
    <row r="1463" spans="1:10" ht="15.75" hidden="1" customHeight="1">
      <c r="A1463" s="133" t="s">
        <v>2</v>
      </c>
      <c r="B1463" s="133" t="s">
        <v>4132</v>
      </c>
      <c r="C1463" s="133" t="s">
        <v>4650</v>
      </c>
      <c r="D1463" s="133" t="s">
        <v>481</v>
      </c>
      <c r="E1463" s="158">
        <v>5</v>
      </c>
      <c r="F1463" s="158">
        <v>9</v>
      </c>
      <c r="G1463" s="158">
        <v>2</v>
      </c>
      <c r="H1463" s="133" t="s">
        <v>4824</v>
      </c>
      <c r="I1463" s="133"/>
      <c r="J1463" s="158">
        <v>0</v>
      </c>
    </row>
    <row r="1464" spans="1:10" ht="15.75" hidden="1" customHeight="1">
      <c r="A1464" s="133" t="s">
        <v>2</v>
      </c>
      <c r="B1464" s="133" t="s">
        <v>4132</v>
      </c>
      <c r="C1464" s="133" t="s">
        <v>4988</v>
      </c>
      <c r="D1464" s="133" t="s">
        <v>477</v>
      </c>
      <c r="E1464" s="158">
        <v>20</v>
      </c>
      <c r="F1464" s="158">
        <v>0</v>
      </c>
      <c r="G1464" s="158">
        <v>0</v>
      </c>
      <c r="H1464" s="133" t="s">
        <v>4989</v>
      </c>
      <c r="I1464" s="133"/>
      <c r="J1464" s="158">
        <v>0</v>
      </c>
    </row>
    <row r="1465" spans="1:10" ht="15.75" hidden="1" customHeight="1">
      <c r="A1465" s="133" t="s">
        <v>2</v>
      </c>
      <c r="B1465" s="133" t="s">
        <v>4132</v>
      </c>
      <c r="C1465" s="133" t="s">
        <v>2410</v>
      </c>
      <c r="D1465" s="133" t="s">
        <v>477</v>
      </c>
      <c r="E1465" s="158">
        <v>20</v>
      </c>
      <c r="F1465" s="158">
        <v>0</v>
      </c>
      <c r="G1465" s="158">
        <v>0</v>
      </c>
      <c r="H1465" s="133" t="s">
        <v>4990</v>
      </c>
      <c r="I1465" s="133"/>
      <c r="J1465" s="158">
        <v>0</v>
      </c>
    </row>
    <row r="1466" spans="1:10" ht="15.75" hidden="1" customHeight="1">
      <c r="A1466" s="133" t="s">
        <v>2</v>
      </c>
      <c r="B1466" s="133" t="s">
        <v>4132</v>
      </c>
      <c r="C1466" s="133" t="s">
        <v>542</v>
      </c>
      <c r="D1466" s="133" t="s">
        <v>1974</v>
      </c>
      <c r="E1466" s="158">
        <v>3</v>
      </c>
      <c r="F1466" s="158">
        <v>10</v>
      </c>
      <c r="G1466" s="158">
        <v>0</v>
      </c>
      <c r="H1466" s="133" t="s">
        <v>4991</v>
      </c>
      <c r="I1466" s="133"/>
      <c r="J1466" s="158">
        <v>0</v>
      </c>
    </row>
    <row r="1467" spans="1:10" ht="15.75" hidden="1" customHeight="1">
      <c r="A1467" s="133" t="s">
        <v>2</v>
      </c>
      <c r="B1467" s="133" t="s">
        <v>4132</v>
      </c>
      <c r="C1467" s="133" t="s">
        <v>4905</v>
      </c>
      <c r="D1467" s="133" t="s">
        <v>481</v>
      </c>
      <c r="E1467" s="158">
        <v>5</v>
      </c>
      <c r="F1467" s="158">
        <v>9</v>
      </c>
      <c r="G1467" s="158">
        <v>2</v>
      </c>
      <c r="H1467" s="133" t="s">
        <v>4992</v>
      </c>
      <c r="I1467" s="133"/>
      <c r="J1467" s="158">
        <v>0</v>
      </c>
    </row>
    <row r="1468" spans="1:10" ht="15.75" hidden="1" customHeight="1">
      <c r="A1468" s="133" t="s">
        <v>2</v>
      </c>
      <c r="B1468" s="133" t="s">
        <v>4132</v>
      </c>
      <c r="C1468" s="133" t="s">
        <v>4907</v>
      </c>
      <c r="D1468" s="133" t="s">
        <v>481</v>
      </c>
      <c r="E1468" s="158">
        <v>5</v>
      </c>
      <c r="F1468" s="158">
        <v>9</v>
      </c>
      <c r="G1468" s="158">
        <v>2</v>
      </c>
      <c r="H1468" s="133" t="s">
        <v>4993</v>
      </c>
      <c r="I1468" s="133"/>
      <c r="J1468" s="158">
        <v>0</v>
      </c>
    </row>
    <row r="1469" spans="1:10" ht="15.75" hidden="1" customHeight="1">
      <c r="A1469" s="133" t="s">
        <v>2</v>
      </c>
      <c r="B1469" s="133" t="s">
        <v>4132</v>
      </c>
      <c r="C1469" s="133" t="s">
        <v>4909</v>
      </c>
      <c r="D1469" s="133" t="s">
        <v>481</v>
      </c>
      <c r="E1469" s="158">
        <v>5</v>
      </c>
      <c r="F1469" s="158">
        <v>9</v>
      </c>
      <c r="G1469" s="158">
        <v>2</v>
      </c>
      <c r="H1469" s="133" t="s">
        <v>4994</v>
      </c>
      <c r="I1469" s="133"/>
      <c r="J1469" s="158">
        <v>0</v>
      </c>
    </row>
    <row r="1470" spans="1:10" ht="15.75" hidden="1" customHeight="1">
      <c r="A1470" s="133" t="s">
        <v>2</v>
      </c>
      <c r="B1470" s="133" t="s">
        <v>4132</v>
      </c>
      <c r="C1470" s="133" t="s">
        <v>4995</v>
      </c>
      <c r="D1470" s="133" t="s">
        <v>477</v>
      </c>
      <c r="E1470" s="158">
        <v>20</v>
      </c>
      <c r="F1470" s="158">
        <v>0</v>
      </c>
      <c r="G1470" s="158">
        <v>0</v>
      </c>
      <c r="H1470" s="133" t="s">
        <v>4996</v>
      </c>
      <c r="I1470" s="133"/>
      <c r="J1470" s="158">
        <v>0</v>
      </c>
    </row>
    <row r="1471" spans="1:10" ht="15.75" hidden="1" customHeight="1">
      <c r="A1471" s="133" t="s">
        <v>2</v>
      </c>
      <c r="B1471" s="133" t="s">
        <v>4132</v>
      </c>
      <c r="C1471" s="133" t="s">
        <v>669</v>
      </c>
      <c r="D1471" s="133" t="s">
        <v>538</v>
      </c>
      <c r="E1471" s="158">
        <v>8</v>
      </c>
      <c r="F1471" s="158">
        <v>0</v>
      </c>
      <c r="G1471" s="158">
        <v>0</v>
      </c>
      <c r="H1471" s="133" t="s">
        <v>3461</v>
      </c>
      <c r="I1471" s="133"/>
      <c r="J1471" s="158">
        <v>0</v>
      </c>
    </row>
    <row r="1472" spans="1:10" ht="15.75" hidden="1" customHeight="1">
      <c r="A1472" s="133" t="s">
        <v>2</v>
      </c>
      <c r="B1472" s="133" t="s">
        <v>4132</v>
      </c>
      <c r="C1472" s="133" t="s">
        <v>523</v>
      </c>
      <c r="D1472" s="133" t="s">
        <v>477</v>
      </c>
      <c r="E1472" s="158">
        <v>20</v>
      </c>
      <c r="F1472" s="158">
        <v>0</v>
      </c>
      <c r="G1472" s="158">
        <v>0</v>
      </c>
      <c r="H1472" s="133" t="s">
        <v>3462</v>
      </c>
      <c r="I1472" s="133"/>
      <c r="J1472" s="158">
        <v>0</v>
      </c>
    </row>
    <row r="1473" spans="1:10" ht="15.75" hidden="1" customHeight="1">
      <c r="A1473" s="133" t="s">
        <v>2</v>
      </c>
      <c r="B1473" s="133" t="s">
        <v>4132</v>
      </c>
      <c r="C1473" s="133" t="s">
        <v>814</v>
      </c>
      <c r="D1473" s="133" t="s">
        <v>477</v>
      </c>
      <c r="E1473" s="158">
        <v>100</v>
      </c>
      <c r="F1473" s="158">
        <v>0</v>
      </c>
      <c r="G1473" s="158">
        <v>0</v>
      </c>
      <c r="H1473" s="133" t="s">
        <v>3463</v>
      </c>
      <c r="I1473" s="133"/>
      <c r="J1473" s="158">
        <v>0</v>
      </c>
    </row>
    <row r="1474" spans="1:10" ht="15.75" hidden="1" customHeight="1">
      <c r="A1474" s="133" t="s">
        <v>2</v>
      </c>
      <c r="B1474" s="133" t="s">
        <v>4132</v>
      </c>
      <c r="C1474" s="133" t="s">
        <v>215</v>
      </c>
      <c r="D1474" s="133" t="s">
        <v>538</v>
      </c>
      <c r="E1474" s="158">
        <v>8</v>
      </c>
      <c r="F1474" s="158">
        <v>0</v>
      </c>
      <c r="G1474" s="158">
        <v>0</v>
      </c>
      <c r="H1474" s="133" t="s">
        <v>3464</v>
      </c>
      <c r="I1474" s="133"/>
      <c r="J1474" s="158">
        <v>0</v>
      </c>
    </row>
    <row r="1475" spans="1:10" ht="15.75" hidden="1" customHeight="1">
      <c r="A1475" s="133" t="s">
        <v>2</v>
      </c>
      <c r="B1475" s="133" t="s">
        <v>4132</v>
      </c>
      <c r="C1475" s="133" t="s">
        <v>670</v>
      </c>
      <c r="D1475" s="133" t="s">
        <v>477</v>
      </c>
      <c r="E1475" s="158">
        <v>20</v>
      </c>
      <c r="F1475" s="158">
        <v>0</v>
      </c>
      <c r="G1475" s="158">
        <v>0</v>
      </c>
      <c r="H1475" s="133" t="s">
        <v>3465</v>
      </c>
      <c r="I1475" s="133"/>
      <c r="J1475" s="158">
        <v>0</v>
      </c>
    </row>
    <row r="1476" spans="1:10" ht="15.75" hidden="1" customHeight="1">
      <c r="A1476" s="133" t="s">
        <v>2</v>
      </c>
      <c r="B1476" s="133" t="s">
        <v>4132</v>
      </c>
      <c r="C1476" s="133" t="s">
        <v>816</v>
      </c>
      <c r="D1476" s="133" t="s">
        <v>477</v>
      </c>
      <c r="E1476" s="158">
        <v>100</v>
      </c>
      <c r="F1476" s="158">
        <v>0</v>
      </c>
      <c r="G1476" s="158">
        <v>0</v>
      </c>
      <c r="H1476" s="133" t="s">
        <v>3466</v>
      </c>
      <c r="I1476" s="133"/>
      <c r="J1476" s="158">
        <v>0</v>
      </c>
    </row>
    <row r="1477" spans="1:10" ht="15.75" hidden="1" customHeight="1">
      <c r="A1477" s="133" t="s">
        <v>2</v>
      </c>
      <c r="B1477" s="133" t="s">
        <v>4132</v>
      </c>
      <c r="C1477" s="133" t="s">
        <v>1265</v>
      </c>
      <c r="D1477" s="133" t="s">
        <v>481</v>
      </c>
      <c r="E1477" s="158">
        <v>5</v>
      </c>
      <c r="F1477" s="158">
        <v>9</v>
      </c>
      <c r="G1477" s="158">
        <v>2</v>
      </c>
      <c r="H1477" s="133" t="s">
        <v>4826</v>
      </c>
      <c r="I1477" s="133"/>
      <c r="J1477" s="158">
        <v>0</v>
      </c>
    </row>
    <row r="1478" spans="1:10" ht="15.75" hidden="1" customHeight="1">
      <c r="A1478" s="133" t="s">
        <v>2</v>
      </c>
      <c r="B1478" s="133" t="s">
        <v>4132</v>
      </c>
      <c r="C1478" s="133" t="s">
        <v>1267</v>
      </c>
      <c r="D1478" s="133" t="s">
        <v>481</v>
      </c>
      <c r="E1478" s="158">
        <v>5</v>
      </c>
      <c r="F1478" s="158">
        <v>9</v>
      </c>
      <c r="G1478" s="158">
        <v>2</v>
      </c>
      <c r="H1478" s="133" t="s">
        <v>4827</v>
      </c>
      <c r="I1478" s="133"/>
      <c r="J1478" s="158">
        <v>0</v>
      </c>
    </row>
    <row r="1479" spans="1:10" ht="15.75" hidden="1" customHeight="1">
      <c r="A1479" s="133" t="s">
        <v>2</v>
      </c>
      <c r="B1479" s="133" t="s">
        <v>4132</v>
      </c>
      <c r="C1479" s="133" t="s">
        <v>4997</v>
      </c>
      <c r="D1479" s="133" t="s">
        <v>538</v>
      </c>
      <c r="E1479" s="158">
        <v>8</v>
      </c>
      <c r="F1479" s="158">
        <v>0</v>
      </c>
      <c r="G1479" s="158">
        <v>0</v>
      </c>
      <c r="H1479" s="133" t="s">
        <v>4299</v>
      </c>
      <c r="I1479" s="133"/>
      <c r="J1479" s="158">
        <v>0</v>
      </c>
    </row>
    <row r="1480" spans="1:10" ht="15.75" hidden="1" customHeight="1">
      <c r="A1480" s="133" t="s">
        <v>2</v>
      </c>
      <c r="B1480" s="133" t="s">
        <v>4132</v>
      </c>
      <c r="C1480" s="133" t="s">
        <v>4998</v>
      </c>
      <c r="D1480" s="133" t="s">
        <v>477</v>
      </c>
      <c r="E1480" s="158">
        <v>20</v>
      </c>
      <c r="F1480" s="158">
        <v>0</v>
      </c>
      <c r="G1480" s="158">
        <v>0</v>
      </c>
      <c r="H1480" s="133" t="s">
        <v>4999</v>
      </c>
      <c r="I1480" s="133" t="s">
        <v>596</v>
      </c>
      <c r="J1480" s="158">
        <v>0</v>
      </c>
    </row>
    <row r="1481" spans="1:10" ht="15.75" hidden="1" customHeight="1">
      <c r="A1481" s="133" t="s">
        <v>2</v>
      </c>
      <c r="B1481" s="133" t="s">
        <v>4139</v>
      </c>
      <c r="C1481" s="133" t="s">
        <v>4138</v>
      </c>
      <c r="D1481" s="133" t="s">
        <v>477</v>
      </c>
      <c r="E1481" s="158">
        <v>20</v>
      </c>
      <c r="F1481" s="158">
        <v>0</v>
      </c>
      <c r="G1481" s="158">
        <v>0</v>
      </c>
      <c r="H1481" s="133" t="s">
        <v>4971</v>
      </c>
      <c r="I1481" s="133"/>
      <c r="J1481" s="158">
        <v>0</v>
      </c>
    </row>
    <row r="1482" spans="1:10" ht="15.75" hidden="1" customHeight="1">
      <c r="A1482" s="133" t="s">
        <v>2</v>
      </c>
      <c r="B1482" s="133" t="s">
        <v>4139</v>
      </c>
      <c r="C1482" s="133" t="s">
        <v>292</v>
      </c>
      <c r="D1482" s="133" t="s">
        <v>484</v>
      </c>
      <c r="E1482" s="158">
        <v>4</v>
      </c>
      <c r="F1482" s="158">
        <v>10</v>
      </c>
      <c r="G1482" s="158">
        <v>0</v>
      </c>
      <c r="H1482" s="133" t="s">
        <v>5000</v>
      </c>
      <c r="I1482" s="133"/>
      <c r="J1482" s="158">
        <v>0</v>
      </c>
    </row>
    <row r="1483" spans="1:10" ht="15.75" hidden="1" customHeight="1">
      <c r="A1483" s="133" t="s">
        <v>2</v>
      </c>
      <c r="B1483" s="133" t="s">
        <v>4139</v>
      </c>
      <c r="C1483" s="133" t="s">
        <v>4654</v>
      </c>
      <c r="D1483" s="133" t="s">
        <v>477</v>
      </c>
      <c r="E1483" s="158">
        <v>20</v>
      </c>
      <c r="F1483" s="158">
        <v>0</v>
      </c>
      <c r="G1483" s="158">
        <v>0</v>
      </c>
      <c r="H1483" s="133" t="s">
        <v>5001</v>
      </c>
      <c r="I1483" s="133"/>
      <c r="J1483" s="158">
        <v>0</v>
      </c>
    </row>
    <row r="1484" spans="1:10" ht="15.75" hidden="1" customHeight="1">
      <c r="A1484" s="133" t="s">
        <v>2</v>
      </c>
      <c r="B1484" s="133" t="s">
        <v>4139</v>
      </c>
      <c r="C1484" s="133" t="s">
        <v>5002</v>
      </c>
      <c r="D1484" s="133" t="s">
        <v>484</v>
      </c>
      <c r="E1484" s="158">
        <v>4</v>
      </c>
      <c r="F1484" s="158">
        <v>10</v>
      </c>
      <c r="G1484" s="158">
        <v>0</v>
      </c>
      <c r="H1484" s="133" t="s">
        <v>5003</v>
      </c>
      <c r="I1484" s="133"/>
      <c r="J1484" s="158">
        <v>0</v>
      </c>
    </row>
    <row r="1485" spans="1:10" ht="15.75" hidden="1" customHeight="1">
      <c r="A1485" s="133" t="s">
        <v>2</v>
      </c>
      <c r="B1485" s="133" t="s">
        <v>4139</v>
      </c>
      <c r="C1485" s="133" t="s">
        <v>257</v>
      </c>
      <c r="D1485" s="133" t="s">
        <v>477</v>
      </c>
      <c r="E1485" s="158">
        <v>20</v>
      </c>
      <c r="F1485" s="158">
        <v>0</v>
      </c>
      <c r="G1485" s="158">
        <v>0</v>
      </c>
      <c r="H1485" s="133" t="s">
        <v>1130</v>
      </c>
      <c r="I1485" s="133"/>
      <c r="J1485" s="158">
        <v>0</v>
      </c>
    </row>
    <row r="1486" spans="1:10" ht="15.75" hidden="1" customHeight="1">
      <c r="A1486" s="133" t="s">
        <v>2</v>
      </c>
      <c r="B1486" s="133" t="s">
        <v>4139</v>
      </c>
      <c r="C1486" s="133" t="s">
        <v>3441</v>
      </c>
      <c r="D1486" s="133" t="s">
        <v>477</v>
      </c>
      <c r="E1486" s="158">
        <v>100</v>
      </c>
      <c r="F1486" s="158">
        <v>0</v>
      </c>
      <c r="G1486" s="158">
        <v>0</v>
      </c>
      <c r="H1486" s="133" t="s">
        <v>1132</v>
      </c>
      <c r="I1486" s="133"/>
      <c r="J1486" s="158">
        <v>0</v>
      </c>
    </row>
    <row r="1487" spans="1:10" ht="15.75" hidden="1" customHeight="1">
      <c r="A1487" s="133" t="s">
        <v>2</v>
      </c>
      <c r="B1487" s="133" t="s">
        <v>4139</v>
      </c>
      <c r="C1487" s="133" t="s">
        <v>1141</v>
      </c>
      <c r="D1487" s="133" t="s">
        <v>477</v>
      </c>
      <c r="E1487" s="158">
        <v>20</v>
      </c>
      <c r="F1487" s="158">
        <v>0</v>
      </c>
      <c r="G1487" s="158">
        <v>0</v>
      </c>
      <c r="H1487" s="133" t="s">
        <v>3442</v>
      </c>
      <c r="I1487" s="133"/>
      <c r="J1487" s="158">
        <v>0</v>
      </c>
    </row>
    <row r="1488" spans="1:10" ht="15.75" hidden="1" customHeight="1">
      <c r="A1488" s="133" t="s">
        <v>2</v>
      </c>
      <c r="B1488" s="133" t="s">
        <v>4139</v>
      </c>
      <c r="C1488" s="133" t="s">
        <v>4931</v>
      </c>
      <c r="D1488" s="133" t="s">
        <v>484</v>
      </c>
      <c r="E1488" s="158">
        <v>4</v>
      </c>
      <c r="F1488" s="158">
        <v>10</v>
      </c>
      <c r="G1488" s="158">
        <v>0</v>
      </c>
      <c r="H1488" s="133" t="s">
        <v>5004</v>
      </c>
      <c r="I1488" s="133"/>
      <c r="J1488" s="158">
        <v>0</v>
      </c>
    </row>
    <row r="1489" spans="1:10" ht="15.75" hidden="1" customHeight="1">
      <c r="A1489" s="133" t="s">
        <v>2</v>
      </c>
      <c r="B1489" s="133" t="s">
        <v>4139</v>
      </c>
      <c r="C1489" s="133" t="s">
        <v>4784</v>
      </c>
      <c r="D1489" s="133" t="s">
        <v>484</v>
      </c>
      <c r="E1489" s="158">
        <v>4</v>
      </c>
      <c r="F1489" s="158">
        <v>10</v>
      </c>
      <c r="G1489" s="158">
        <v>0</v>
      </c>
      <c r="H1489" s="133" t="s">
        <v>5005</v>
      </c>
      <c r="I1489" s="133"/>
      <c r="J1489" s="158">
        <v>0</v>
      </c>
    </row>
    <row r="1490" spans="1:10" ht="15.75" hidden="1" customHeight="1">
      <c r="A1490" s="133" t="s">
        <v>2</v>
      </c>
      <c r="B1490" s="133" t="s">
        <v>4139</v>
      </c>
      <c r="C1490" s="133" t="s">
        <v>2415</v>
      </c>
      <c r="D1490" s="133" t="s">
        <v>484</v>
      </c>
      <c r="E1490" s="158">
        <v>4</v>
      </c>
      <c r="F1490" s="158">
        <v>10</v>
      </c>
      <c r="G1490" s="158">
        <v>0</v>
      </c>
      <c r="H1490" s="133" t="s">
        <v>5006</v>
      </c>
      <c r="I1490" s="133"/>
      <c r="J1490" s="158">
        <v>0</v>
      </c>
    </row>
    <row r="1491" spans="1:10" ht="15.75" hidden="1" customHeight="1">
      <c r="A1491" s="133" t="s">
        <v>2</v>
      </c>
      <c r="B1491" s="133" t="s">
        <v>4139</v>
      </c>
      <c r="C1491" s="133" t="s">
        <v>1206</v>
      </c>
      <c r="D1491" s="133" t="s">
        <v>477</v>
      </c>
      <c r="E1491" s="158">
        <v>20</v>
      </c>
      <c r="F1491" s="158">
        <v>0</v>
      </c>
      <c r="G1491" s="158">
        <v>0</v>
      </c>
      <c r="H1491" s="133" t="s">
        <v>4968</v>
      </c>
      <c r="I1491" s="133"/>
      <c r="J1491" s="158">
        <v>0</v>
      </c>
    </row>
    <row r="1492" spans="1:10" ht="15.75" hidden="1" customHeight="1">
      <c r="A1492" s="133" t="s">
        <v>2</v>
      </c>
      <c r="B1492" s="133" t="s">
        <v>4139</v>
      </c>
      <c r="C1492" s="133" t="s">
        <v>4523</v>
      </c>
      <c r="D1492" s="133" t="s">
        <v>477</v>
      </c>
      <c r="E1492" s="158">
        <v>20</v>
      </c>
      <c r="F1492" s="158">
        <v>0</v>
      </c>
      <c r="G1492" s="158">
        <v>0</v>
      </c>
      <c r="H1492" s="133" t="s">
        <v>4786</v>
      </c>
      <c r="I1492" s="133"/>
      <c r="J1492" s="158">
        <v>0</v>
      </c>
    </row>
    <row r="1493" spans="1:10" ht="15.75" hidden="1" customHeight="1">
      <c r="A1493" s="133" t="s">
        <v>2</v>
      </c>
      <c r="B1493" s="133" t="s">
        <v>4139</v>
      </c>
      <c r="C1493" s="133" t="s">
        <v>5007</v>
      </c>
      <c r="D1493" s="133" t="s">
        <v>477</v>
      </c>
      <c r="E1493" s="158">
        <v>255</v>
      </c>
      <c r="F1493" s="158">
        <v>0</v>
      </c>
      <c r="G1493" s="158">
        <v>0</v>
      </c>
      <c r="H1493" s="133" t="s">
        <v>5008</v>
      </c>
      <c r="I1493" s="133"/>
      <c r="J1493" s="158">
        <v>0</v>
      </c>
    </row>
    <row r="1494" spans="1:10" ht="15.75" hidden="1" customHeight="1">
      <c r="A1494" s="133" t="s">
        <v>2</v>
      </c>
      <c r="B1494" s="133" t="s">
        <v>4139</v>
      </c>
      <c r="C1494" s="133" t="s">
        <v>3384</v>
      </c>
      <c r="D1494" s="133" t="s">
        <v>484</v>
      </c>
      <c r="E1494" s="158">
        <v>4</v>
      </c>
      <c r="F1494" s="158">
        <v>10</v>
      </c>
      <c r="G1494" s="158">
        <v>0</v>
      </c>
      <c r="H1494" s="133" t="s">
        <v>4787</v>
      </c>
      <c r="I1494" s="133"/>
      <c r="J1494" s="158">
        <v>0</v>
      </c>
    </row>
    <row r="1495" spans="1:10" ht="15.75" hidden="1" customHeight="1">
      <c r="A1495" s="133" t="s">
        <v>2</v>
      </c>
      <c r="B1495" s="133" t="s">
        <v>4139</v>
      </c>
      <c r="C1495" s="133" t="s">
        <v>1145</v>
      </c>
      <c r="D1495" s="133" t="s">
        <v>484</v>
      </c>
      <c r="E1495" s="158">
        <v>4</v>
      </c>
      <c r="F1495" s="158">
        <v>10</v>
      </c>
      <c r="G1495" s="158">
        <v>0</v>
      </c>
      <c r="H1495" s="133" t="s">
        <v>4533</v>
      </c>
      <c r="I1495" s="133"/>
      <c r="J1495" s="158">
        <v>0</v>
      </c>
    </row>
    <row r="1496" spans="1:10" ht="15.75" hidden="1" customHeight="1">
      <c r="A1496" s="133" t="s">
        <v>2</v>
      </c>
      <c r="B1496" s="133" t="s">
        <v>4139</v>
      </c>
      <c r="C1496" s="133" t="s">
        <v>1137</v>
      </c>
      <c r="D1496" s="133" t="s">
        <v>481</v>
      </c>
      <c r="E1496" s="158">
        <v>5</v>
      </c>
      <c r="F1496" s="158">
        <v>9</v>
      </c>
      <c r="G1496" s="158">
        <v>2</v>
      </c>
      <c r="H1496" s="133" t="s">
        <v>4524</v>
      </c>
      <c r="I1496" s="133"/>
      <c r="J1496" s="158">
        <v>0</v>
      </c>
    </row>
    <row r="1497" spans="1:10" ht="15.75" hidden="1" customHeight="1">
      <c r="A1497" s="133" t="s">
        <v>2</v>
      </c>
      <c r="B1497" s="133" t="s">
        <v>4139</v>
      </c>
      <c r="C1497" s="133" t="s">
        <v>4565</v>
      </c>
      <c r="D1497" s="133" t="s">
        <v>481</v>
      </c>
      <c r="E1497" s="158">
        <v>5</v>
      </c>
      <c r="F1497" s="158">
        <v>9</v>
      </c>
      <c r="G1497" s="158">
        <v>2</v>
      </c>
      <c r="H1497" s="133" t="s">
        <v>4788</v>
      </c>
      <c r="I1497" s="133"/>
      <c r="J1497" s="158">
        <v>0</v>
      </c>
    </row>
    <row r="1498" spans="1:10" ht="15.75" hidden="1" customHeight="1">
      <c r="A1498" s="133" t="s">
        <v>2</v>
      </c>
      <c r="B1498" s="133" t="s">
        <v>4139</v>
      </c>
      <c r="C1498" s="133" t="s">
        <v>2342</v>
      </c>
      <c r="D1498" s="133" t="s">
        <v>481</v>
      </c>
      <c r="E1498" s="158">
        <v>5</v>
      </c>
      <c r="F1498" s="158">
        <v>9</v>
      </c>
      <c r="G1498" s="158">
        <v>2</v>
      </c>
      <c r="H1498" s="133" t="s">
        <v>4967</v>
      </c>
      <c r="I1498" s="133"/>
      <c r="J1498" s="158">
        <v>0</v>
      </c>
    </row>
    <row r="1499" spans="1:10" ht="15.75" hidden="1" customHeight="1">
      <c r="A1499" s="133" t="s">
        <v>2</v>
      </c>
      <c r="B1499" s="133" t="s">
        <v>4139</v>
      </c>
      <c r="C1499" s="133" t="s">
        <v>1194</v>
      </c>
      <c r="D1499" s="133" t="s">
        <v>481</v>
      </c>
      <c r="E1499" s="158">
        <v>5</v>
      </c>
      <c r="F1499" s="158">
        <v>9</v>
      </c>
      <c r="G1499" s="158">
        <v>2</v>
      </c>
      <c r="H1499" s="133" t="s">
        <v>2419</v>
      </c>
      <c r="I1499" s="133"/>
      <c r="J1499" s="158">
        <v>0</v>
      </c>
    </row>
    <row r="1500" spans="1:10" ht="15.75" hidden="1" customHeight="1">
      <c r="A1500" s="133" t="s">
        <v>2</v>
      </c>
      <c r="B1500" s="133" t="s">
        <v>4139</v>
      </c>
      <c r="C1500" s="133" t="s">
        <v>1195</v>
      </c>
      <c r="D1500" s="133" t="s">
        <v>481</v>
      </c>
      <c r="E1500" s="158">
        <v>5</v>
      </c>
      <c r="F1500" s="158">
        <v>9</v>
      </c>
      <c r="G1500" s="158">
        <v>2</v>
      </c>
      <c r="H1500" s="133" t="s">
        <v>5009</v>
      </c>
      <c r="I1500" s="133"/>
      <c r="J1500" s="158">
        <v>0</v>
      </c>
    </row>
    <row r="1501" spans="1:10" ht="15.75" hidden="1" customHeight="1">
      <c r="A1501" s="133" t="s">
        <v>2</v>
      </c>
      <c r="B1501" s="133" t="s">
        <v>4139</v>
      </c>
      <c r="C1501" s="133" t="s">
        <v>1208</v>
      </c>
      <c r="D1501" s="133" t="s">
        <v>484</v>
      </c>
      <c r="E1501" s="158">
        <v>4</v>
      </c>
      <c r="F1501" s="158">
        <v>10</v>
      </c>
      <c r="G1501" s="158">
        <v>0</v>
      </c>
      <c r="H1501" s="133" t="s">
        <v>1209</v>
      </c>
      <c r="I1501" s="133" t="s">
        <v>1210</v>
      </c>
      <c r="J1501" s="158">
        <v>0</v>
      </c>
    </row>
    <row r="1502" spans="1:10" ht="15.75" hidden="1" customHeight="1">
      <c r="A1502" s="133" t="s">
        <v>2</v>
      </c>
      <c r="B1502" s="133" t="s">
        <v>4139</v>
      </c>
      <c r="C1502" s="133" t="s">
        <v>3501</v>
      </c>
      <c r="D1502" s="133" t="s">
        <v>538</v>
      </c>
      <c r="E1502" s="158">
        <v>8</v>
      </c>
      <c r="F1502" s="158">
        <v>0</v>
      </c>
      <c r="G1502" s="158">
        <v>0</v>
      </c>
      <c r="H1502" s="98"/>
      <c r="I1502" s="133"/>
      <c r="J1502" s="158">
        <v>0</v>
      </c>
    </row>
    <row r="1503" spans="1:10" ht="15.75" hidden="1" customHeight="1">
      <c r="A1503" s="133" t="s">
        <v>2</v>
      </c>
      <c r="B1503" s="133" t="s">
        <v>4139</v>
      </c>
      <c r="C1503" s="133" t="s">
        <v>465</v>
      </c>
      <c r="D1503" s="133" t="s">
        <v>538</v>
      </c>
      <c r="E1503" s="158">
        <v>8</v>
      </c>
      <c r="F1503" s="158">
        <v>0</v>
      </c>
      <c r="G1503" s="158">
        <v>0</v>
      </c>
      <c r="H1503" s="98"/>
      <c r="I1503" s="133"/>
      <c r="J1503" s="158">
        <v>0</v>
      </c>
    </row>
    <row r="1504" spans="1:10" ht="15.75" hidden="1" customHeight="1">
      <c r="A1504" s="133" t="s">
        <v>2</v>
      </c>
      <c r="B1504" s="133" t="s">
        <v>4146</v>
      </c>
      <c r="C1504" s="133" t="s">
        <v>4152</v>
      </c>
      <c r="D1504" s="133" t="s">
        <v>477</v>
      </c>
      <c r="E1504" s="158">
        <v>20</v>
      </c>
      <c r="F1504" s="158">
        <v>0</v>
      </c>
      <c r="G1504" s="158">
        <v>0</v>
      </c>
      <c r="H1504" s="98" t="s">
        <v>4950</v>
      </c>
      <c r="I1504" s="133"/>
      <c r="J1504" s="158">
        <v>0</v>
      </c>
    </row>
    <row r="1505" spans="1:10" ht="15.75" hidden="1" customHeight="1">
      <c r="A1505" s="133" t="s">
        <v>2</v>
      </c>
      <c r="B1505" s="133" t="s">
        <v>4146</v>
      </c>
      <c r="C1505" s="133" t="s">
        <v>5010</v>
      </c>
      <c r="D1505" s="133" t="s">
        <v>477</v>
      </c>
      <c r="E1505" s="158">
        <v>20</v>
      </c>
      <c r="F1505" s="158">
        <v>0</v>
      </c>
      <c r="G1505" s="158">
        <v>0</v>
      </c>
      <c r="H1505" s="98" t="s">
        <v>4945</v>
      </c>
      <c r="I1505" s="133"/>
      <c r="J1505" s="158">
        <v>0</v>
      </c>
    </row>
    <row r="1506" spans="1:10" ht="15.75" hidden="1" customHeight="1">
      <c r="A1506" s="133" t="s">
        <v>2</v>
      </c>
      <c r="B1506" s="133" t="s">
        <v>4146</v>
      </c>
      <c r="C1506" s="133" t="s">
        <v>5011</v>
      </c>
      <c r="D1506" s="133" t="s">
        <v>1974</v>
      </c>
      <c r="E1506" s="158">
        <v>3</v>
      </c>
      <c r="F1506" s="158">
        <v>10</v>
      </c>
      <c r="G1506" s="158">
        <v>0</v>
      </c>
      <c r="H1506" s="98" t="s">
        <v>5012</v>
      </c>
      <c r="I1506" s="133"/>
      <c r="J1506" s="158">
        <v>0</v>
      </c>
    </row>
    <row r="1507" spans="1:10" ht="15.75" hidden="1" customHeight="1">
      <c r="A1507" s="133" t="s">
        <v>2</v>
      </c>
      <c r="B1507" s="133" t="s">
        <v>4146</v>
      </c>
      <c r="C1507" s="133" t="s">
        <v>5013</v>
      </c>
      <c r="D1507" s="133" t="s">
        <v>477</v>
      </c>
      <c r="E1507" s="158">
        <v>255</v>
      </c>
      <c r="F1507" s="158">
        <v>0</v>
      </c>
      <c r="G1507" s="158">
        <v>0</v>
      </c>
      <c r="H1507" s="98" t="s">
        <v>4799</v>
      </c>
      <c r="I1507" s="133"/>
      <c r="J1507" s="158">
        <v>0</v>
      </c>
    </row>
    <row r="1508" spans="1:10" ht="15.75" hidden="1" customHeight="1">
      <c r="A1508" s="133" t="s">
        <v>2</v>
      </c>
      <c r="B1508" s="133" t="s">
        <v>4146</v>
      </c>
      <c r="C1508" s="133" t="s">
        <v>4649</v>
      </c>
      <c r="D1508" s="133" t="s">
        <v>484</v>
      </c>
      <c r="E1508" s="158">
        <v>4</v>
      </c>
      <c r="F1508" s="158">
        <v>10</v>
      </c>
      <c r="G1508" s="158">
        <v>0</v>
      </c>
      <c r="H1508" s="98" t="s">
        <v>4804</v>
      </c>
      <c r="I1508" s="133"/>
      <c r="J1508" s="158">
        <v>0</v>
      </c>
    </row>
    <row r="1509" spans="1:10" ht="15.75" hidden="1" customHeight="1">
      <c r="A1509" s="133" t="s">
        <v>2</v>
      </c>
      <c r="B1509" s="133" t="s">
        <v>4146</v>
      </c>
      <c r="C1509" s="133" t="s">
        <v>4124</v>
      </c>
      <c r="D1509" s="133" t="s">
        <v>477</v>
      </c>
      <c r="E1509" s="158">
        <v>20</v>
      </c>
      <c r="F1509" s="158">
        <v>0</v>
      </c>
      <c r="G1509" s="158">
        <v>0</v>
      </c>
      <c r="H1509" s="98" t="s">
        <v>5014</v>
      </c>
      <c r="I1509" s="133"/>
      <c r="J1509" s="158">
        <v>0</v>
      </c>
    </row>
    <row r="1510" spans="1:10" ht="15.75" hidden="1" customHeight="1">
      <c r="A1510" s="133" t="s">
        <v>2</v>
      </c>
      <c r="B1510" s="133" t="s">
        <v>4146</v>
      </c>
      <c r="C1510" s="133" t="s">
        <v>2284</v>
      </c>
      <c r="D1510" s="133" t="s">
        <v>477</v>
      </c>
      <c r="E1510" s="158">
        <v>20</v>
      </c>
      <c r="F1510" s="158">
        <v>0</v>
      </c>
      <c r="G1510" s="158">
        <v>0</v>
      </c>
      <c r="H1510" s="98" t="s">
        <v>2285</v>
      </c>
      <c r="I1510" s="133"/>
      <c r="J1510" s="158">
        <v>0</v>
      </c>
    </row>
    <row r="1511" spans="1:10" ht="15.75" hidden="1" customHeight="1">
      <c r="A1511" s="133" t="s">
        <v>2</v>
      </c>
      <c r="B1511" s="133" t="s">
        <v>4146</v>
      </c>
      <c r="C1511" s="133" t="s">
        <v>4953</v>
      </c>
      <c r="D1511" s="133" t="s">
        <v>477</v>
      </c>
      <c r="E1511" s="158">
        <v>100</v>
      </c>
      <c r="F1511" s="158">
        <v>0</v>
      </c>
      <c r="G1511" s="158">
        <v>0</v>
      </c>
      <c r="H1511" s="98" t="s">
        <v>4954</v>
      </c>
      <c r="I1511" s="133"/>
      <c r="J1511" s="158">
        <v>0</v>
      </c>
    </row>
    <row r="1512" spans="1:10" ht="15.75" hidden="1" customHeight="1">
      <c r="A1512" s="133" t="s">
        <v>2</v>
      </c>
      <c r="B1512" s="133" t="s">
        <v>4146</v>
      </c>
      <c r="C1512" s="133" t="s">
        <v>5015</v>
      </c>
      <c r="D1512" s="133" t="s">
        <v>1974</v>
      </c>
      <c r="E1512" s="158">
        <v>3</v>
      </c>
      <c r="F1512" s="158">
        <v>10</v>
      </c>
      <c r="G1512" s="158">
        <v>0</v>
      </c>
      <c r="H1512" s="98" t="s">
        <v>5016</v>
      </c>
      <c r="I1512" s="133"/>
      <c r="J1512" s="158">
        <v>0</v>
      </c>
    </row>
    <row r="1513" spans="1:10" ht="15.75" hidden="1" customHeight="1">
      <c r="A1513" s="133" t="s">
        <v>2</v>
      </c>
      <c r="B1513" s="133" t="s">
        <v>4146</v>
      </c>
      <c r="C1513" s="133" t="s">
        <v>369</v>
      </c>
      <c r="D1513" s="133" t="s">
        <v>477</v>
      </c>
      <c r="E1513" s="158">
        <v>20</v>
      </c>
      <c r="F1513" s="158">
        <v>0</v>
      </c>
      <c r="G1513" s="158">
        <v>0</v>
      </c>
      <c r="H1513" s="98" t="s">
        <v>5017</v>
      </c>
      <c r="I1513" s="133"/>
      <c r="J1513" s="158">
        <v>0</v>
      </c>
    </row>
    <row r="1514" spans="1:10" ht="15.75" hidden="1" customHeight="1">
      <c r="A1514" s="133" t="s">
        <v>2</v>
      </c>
      <c r="B1514" s="133" t="s">
        <v>4146</v>
      </c>
      <c r="C1514" s="133" t="s">
        <v>2290</v>
      </c>
      <c r="D1514" s="133" t="s">
        <v>477</v>
      </c>
      <c r="E1514" s="158">
        <v>100</v>
      </c>
      <c r="F1514" s="158">
        <v>0</v>
      </c>
      <c r="G1514" s="158">
        <v>0</v>
      </c>
      <c r="H1514" s="98" t="s">
        <v>5018</v>
      </c>
      <c r="I1514" s="133"/>
      <c r="J1514" s="158">
        <v>0</v>
      </c>
    </row>
    <row r="1515" spans="1:10" ht="15.75" hidden="1" customHeight="1">
      <c r="A1515" s="133" t="s">
        <v>2</v>
      </c>
      <c r="B1515" s="133" t="s">
        <v>4146</v>
      </c>
      <c r="C1515" s="133" t="s">
        <v>793</v>
      </c>
      <c r="D1515" s="133" t="s">
        <v>477</v>
      </c>
      <c r="E1515" s="158">
        <v>20</v>
      </c>
      <c r="F1515" s="158">
        <v>0</v>
      </c>
      <c r="G1515" s="158">
        <v>0</v>
      </c>
      <c r="H1515" s="98" t="s">
        <v>3437</v>
      </c>
      <c r="I1515" s="133"/>
      <c r="J1515" s="158">
        <v>0</v>
      </c>
    </row>
    <row r="1516" spans="1:10" ht="15.75" hidden="1" customHeight="1">
      <c r="A1516" s="133" t="s">
        <v>2</v>
      </c>
      <c r="B1516" s="133" t="s">
        <v>4146</v>
      </c>
      <c r="C1516" s="133" t="s">
        <v>3438</v>
      </c>
      <c r="D1516" s="133" t="s">
        <v>477</v>
      </c>
      <c r="E1516" s="158">
        <v>100</v>
      </c>
      <c r="F1516" s="158">
        <v>0</v>
      </c>
      <c r="G1516" s="158">
        <v>0</v>
      </c>
      <c r="H1516" s="98" t="s">
        <v>3439</v>
      </c>
      <c r="I1516" s="133"/>
      <c r="J1516" s="158">
        <v>0</v>
      </c>
    </row>
    <row r="1517" spans="1:10" ht="15.75" hidden="1" customHeight="1">
      <c r="A1517" s="133" t="s">
        <v>2</v>
      </c>
      <c r="B1517" s="133" t="s">
        <v>4146</v>
      </c>
      <c r="C1517" s="133" t="s">
        <v>658</v>
      </c>
      <c r="D1517" s="133" t="s">
        <v>481</v>
      </c>
      <c r="E1517" s="158">
        <v>5</v>
      </c>
      <c r="F1517" s="158">
        <v>9</v>
      </c>
      <c r="G1517" s="158">
        <v>2</v>
      </c>
      <c r="H1517" s="98" t="s">
        <v>4820</v>
      </c>
      <c r="I1517" s="133"/>
      <c r="J1517" s="158">
        <v>0</v>
      </c>
    </row>
    <row r="1518" spans="1:10" ht="15.75" hidden="1" customHeight="1">
      <c r="A1518" s="133" t="s">
        <v>2</v>
      </c>
      <c r="B1518" s="133" t="s">
        <v>4146</v>
      </c>
      <c r="C1518" s="133" t="s">
        <v>1243</v>
      </c>
      <c r="D1518" s="133" t="s">
        <v>481</v>
      </c>
      <c r="E1518" s="158">
        <v>5</v>
      </c>
      <c r="F1518" s="158">
        <v>9</v>
      </c>
      <c r="G1518" s="158">
        <v>2</v>
      </c>
      <c r="H1518" s="98" t="s">
        <v>4821</v>
      </c>
      <c r="I1518" s="133"/>
      <c r="J1518" s="158">
        <v>0</v>
      </c>
    </row>
    <row r="1519" spans="1:10" ht="15.75" hidden="1" customHeight="1">
      <c r="A1519" s="133" t="s">
        <v>2</v>
      </c>
      <c r="B1519" s="133" t="s">
        <v>4146</v>
      </c>
      <c r="C1519" s="133" t="s">
        <v>663</v>
      </c>
      <c r="D1519" s="133" t="s">
        <v>481</v>
      </c>
      <c r="E1519" s="158">
        <v>5</v>
      </c>
      <c r="F1519" s="158">
        <v>9</v>
      </c>
      <c r="G1519" s="158">
        <v>2</v>
      </c>
      <c r="H1519" s="98" t="s">
        <v>4822</v>
      </c>
      <c r="I1519" s="133"/>
      <c r="J1519" s="158">
        <v>0</v>
      </c>
    </row>
    <row r="1520" spans="1:10" ht="15.75" hidden="1" customHeight="1">
      <c r="A1520" s="133" t="s">
        <v>2</v>
      </c>
      <c r="B1520" s="133" t="s">
        <v>4146</v>
      </c>
      <c r="C1520" s="133" t="s">
        <v>4610</v>
      </c>
      <c r="D1520" s="133" t="s">
        <v>481</v>
      </c>
      <c r="E1520" s="158">
        <v>5</v>
      </c>
      <c r="F1520" s="158">
        <v>9</v>
      </c>
      <c r="G1520" s="158">
        <v>2</v>
      </c>
      <c r="H1520" s="98" t="s">
        <v>4823</v>
      </c>
      <c r="I1520" s="133"/>
      <c r="J1520" s="158">
        <v>0</v>
      </c>
    </row>
    <row r="1521" spans="1:10" ht="15.75" hidden="1" customHeight="1">
      <c r="A1521" s="133" t="s">
        <v>2</v>
      </c>
      <c r="B1521" s="133" t="s">
        <v>4146</v>
      </c>
      <c r="C1521" s="133" t="s">
        <v>4650</v>
      </c>
      <c r="D1521" s="133" t="s">
        <v>481</v>
      </c>
      <c r="E1521" s="158">
        <v>5</v>
      </c>
      <c r="F1521" s="158">
        <v>9</v>
      </c>
      <c r="G1521" s="158">
        <v>2</v>
      </c>
      <c r="H1521" s="98" t="s">
        <v>4824</v>
      </c>
      <c r="I1521" s="133"/>
      <c r="J1521" s="158">
        <v>0</v>
      </c>
    </row>
    <row r="1522" spans="1:10" ht="15.75" hidden="1" customHeight="1">
      <c r="A1522" s="133" t="s">
        <v>2</v>
      </c>
      <c r="B1522" s="133" t="s">
        <v>4146</v>
      </c>
      <c r="C1522" s="133" t="s">
        <v>669</v>
      </c>
      <c r="D1522" s="133" t="s">
        <v>538</v>
      </c>
      <c r="E1522" s="158">
        <v>8</v>
      </c>
      <c r="F1522" s="158">
        <v>0</v>
      </c>
      <c r="G1522" s="158">
        <v>0</v>
      </c>
      <c r="H1522" s="133" t="s">
        <v>3461</v>
      </c>
      <c r="I1522" s="133"/>
      <c r="J1522" s="158">
        <v>0</v>
      </c>
    </row>
    <row r="1523" spans="1:10" ht="15.75" hidden="1" customHeight="1">
      <c r="A1523" s="133" t="s">
        <v>2</v>
      </c>
      <c r="B1523" s="133" t="s">
        <v>4146</v>
      </c>
      <c r="C1523" s="133" t="s">
        <v>523</v>
      </c>
      <c r="D1523" s="133" t="s">
        <v>477</v>
      </c>
      <c r="E1523" s="158">
        <v>20</v>
      </c>
      <c r="F1523" s="158">
        <v>0</v>
      </c>
      <c r="G1523" s="158">
        <v>0</v>
      </c>
      <c r="H1523" s="133" t="s">
        <v>3462</v>
      </c>
      <c r="I1523" s="133"/>
      <c r="J1523" s="158">
        <v>0</v>
      </c>
    </row>
    <row r="1524" spans="1:10" ht="15.75" hidden="1" customHeight="1">
      <c r="A1524" s="133" t="s">
        <v>2</v>
      </c>
      <c r="B1524" s="133" t="s">
        <v>4146</v>
      </c>
      <c r="C1524" s="133" t="s">
        <v>814</v>
      </c>
      <c r="D1524" s="133" t="s">
        <v>477</v>
      </c>
      <c r="E1524" s="158">
        <v>100</v>
      </c>
      <c r="F1524" s="158">
        <v>0</v>
      </c>
      <c r="G1524" s="158">
        <v>0</v>
      </c>
      <c r="H1524" s="133" t="s">
        <v>3463</v>
      </c>
      <c r="I1524" s="133"/>
      <c r="J1524" s="158">
        <v>0</v>
      </c>
    </row>
    <row r="1525" spans="1:10" ht="15.75" hidden="1" customHeight="1">
      <c r="A1525" s="133" t="s">
        <v>2</v>
      </c>
      <c r="B1525" s="133" t="s">
        <v>4146</v>
      </c>
      <c r="C1525" s="133" t="s">
        <v>215</v>
      </c>
      <c r="D1525" s="133" t="s">
        <v>538</v>
      </c>
      <c r="E1525" s="158">
        <v>8</v>
      </c>
      <c r="F1525" s="158">
        <v>0</v>
      </c>
      <c r="G1525" s="158">
        <v>0</v>
      </c>
      <c r="H1525" s="133" t="s">
        <v>3464</v>
      </c>
      <c r="I1525" s="133"/>
      <c r="J1525" s="158">
        <v>0</v>
      </c>
    </row>
    <row r="1526" spans="1:10" ht="15.75" hidden="1" customHeight="1">
      <c r="A1526" s="133" t="s">
        <v>2</v>
      </c>
      <c r="B1526" s="133" t="s">
        <v>4146</v>
      </c>
      <c r="C1526" s="133" t="s">
        <v>670</v>
      </c>
      <c r="D1526" s="133" t="s">
        <v>477</v>
      </c>
      <c r="E1526" s="158">
        <v>20</v>
      </c>
      <c r="F1526" s="158">
        <v>0</v>
      </c>
      <c r="G1526" s="158">
        <v>0</v>
      </c>
      <c r="H1526" s="133" t="s">
        <v>3465</v>
      </c>
      <c r="I1526" s="133"/>
      <c r="J1526" s="158">
        <v>0</v>
      </c>
    </row>
    <row r="1527" spans="1:10" ht="15.75" hidden="1" customHeight="1">
      <c r="A1527" s="133" t="s">
        <v>2</v>
      </c>
      <c r="B1527" s="133" t="s">
        <v>4146</v>
      </c>
      <c r="C1527" s="133" t="s">
        <v>816</v>
      </c>
      <c r="D1527" s="133" t="s">
        <v>477</v>
      </c>
      <c r="E1527" s="158">
        <v>100</v>
      </c>
      <c r="F1527" s="158">
        <v>0</v>
      </c>
      <c r="G1527" s="158">
        <v>0</v>
      </c>
      <c r="H1527" s="133" t="s">
        <v>4825</v>
      </c>
      <c r="I1527" s="133"/>
      <c r="J1527" s="158">
        <v>0</v>
      </c>
    </row>
    <row r="1528" spans="1:10" ht="15.75" hidden="1" customHeight="1">
      <c r="A1528" s="133" t="s">
        <v>2</v>
      </c>
      <c r="B1528" s="133" t="s">
        <v>4146</v>
      </c>
      <c r="C1528" s="133" t="s">
        <v>5019</v>
      </c>
      <c r="D1528" s="133" t="s">
        <v>477</v>
      </c>
      <c r="E1528" s="158">
        <v>20</v>
      </c>
      <c r="F1528" s="158">
        <v>0</v>
      </c>
      <c r="G1528" s="158">
        <v>0</v>
      </c>
      <c r="H1528" s="133"/>
      <c r="I1528" s="133"/>
      <c r="J1528" s="158">
        <v>0</v>
      </c>
    </row>
    <row r="1529" spans="1:10" ht="15.75" hidden="1" customHeight="1">
      <c r="A1529" s="133" t="s">
        <v>2</v>
      </c>
      <c r="B1529" s="133" t="s">
        <v>4146</v>
      </c>
      <c r="C1529" s="133" t="s">
        <v>1265</v>
      </c>
      <c r="D1529" s="133" t="s">
        <v>481</v>
      </c>
      <c r="E1529" s="158">
        <v>5</v>
      </c>
      <c r="F1529" s="158">
        <v>9</v>
      </c>
      <c r="G1529" s="158">
        <v>2</v>
      </c>
      <c r="H1529" s="133" t="s">
        <v>4826</v>
      </c>
      <c r="I1529" s="133"/>
      <c r="J1529" s="158">
        <v>0</v>
      </c>
    </row>
    <row r="1530" spans="1:10" ht="15.75" hidden="1" customHeight="1">
      <c r="A1530" s="133" t="s">
        <v>2</v>
      </c>
      <c r="B1530" s="133" t="s">
        <v>4146</v>
      </c>
      <c r="C1530" s="133" t="s">
        <v>1267</v>
      </c>
      <c r="D1530" s="133" t="s">
        <v>481</v>
      </c>
      <c r="E1530" s="158">
        <v>5</v>
      </c>
      <c r="F1530" s="158">
        <v>9</v>
      </c>
      <c r="G1530" s="158">
        <v>2</v>
      </c>
      <c r="H1530" s="133" t="s">
        <v>4827</v>
      </c>
      <c r="I1530" s="133"/>
      <c r="J1530" s="158">
        <v>0</v>
      </c>
    </row>
    <row r="1531" spans="1:10" ht="15.75" hidden="1" customHeight="1">
      <c r="A1531" s="133" t="s">
        <v>2</v>
      </c>
      <c r="B1531" s="133" t="s">
        <v>4146</v>
      </c>
      <c r="C1531" s="133" t="s">
        <v>1101</v>
      </c>
      <c r="D1531" s="133" t="s">
        <v>477</v>
      </c>
      <c r="E1531" s="158">
        <v>20</v>
      </c>
      <c r="F1531" s="158">
        <v>0</v>
      </c>
      <c r="G1531" s="158">
        <v>0</v>
      </c>
      <c r="H1531" s="133"/>
      <c r="I1531" s="133"/>
      <c r="J1531" s="158">
        <v>0</v>
      </c>
    </row>
    <row r="1532" spans="1:10" ht="15.75" hidden="1" customHeight="1">
      <c r="A1532" s="133" t="s">
        <v>2</v>
      </c>
      <c r="B1532" s="133" t="s">
        <v>4146</v>
      </c>
      <c r="C1532" s="133" t="s">
        <v>3720</v>
      </c>
      <c r="D1532" s="133" t="s">
        <v>477</v>
      </c>
      <c r="E1532" s="158">
        <v>20</v>
      </c>
      <c r="F1532" s="158">
        <v>0</v>
      </c>
      <c r="G1532" s="158">
        <v>0</v>
      </c>
      <c r="H1532" s="133"/>
      <c r="I1532" s="133"/>
      <c r="J1532" s="158">
        <v>0</v>
      </c>
    </row>
    <row r="1533" spans="1:10" ht="15.75" hidden="1" customHeight="1">
      <c r="A1533" s="133" t="s">
        <v>2</v>
      </c>
      <c r="B1533" s="133" t="s">
        <v>4146</v>
      </c>
      <c r="C1533" s="133" t="s">
        <v>4317</v>
      </c>
      <c r="D1533" s="133" t="s">
        <v>477</v>
      </c>
      <c r="E1533" s="158">
        <v>100</v>
      </c>
      <c r="F1533" s="158">
        <v>0</v>
      </c>
      <c r="G1533" s="158">
        <v>0</v>
      </c>
      <c r="H1533" s="133"/>
      <c r="I1533" s="133"/>
      <c r="J1533" s="158">
        <v>0</v>
      </c>
    </row>
    <row r="1534" spans="1:10" ht="15.75" hidden="1" customHeight="1">
      <c r="A1534" s="133" t="s">
        <v>2</v>
      </c>
      <c r="B1534" s="133" t="s">
        <v>4146</v>
      </c>
      <c r="C1534" s="133" t="s">
        <v>2402</v>
      </c>
      <c r="D1534" s="133" t="s">
        <v>1974</v>
      </c>
      <c r="E1534" s="158">
        <v>3</v>
      </c>
      <c r="F1534" s="158">
        <v>10</v>
      </c>
      <c r="G1534" s="158">
        <v>0</v>
      </c>
      <c r="H1534" s="133" t="s">
        <v>5020</v>
      </c>
      <c r="I1534" s="133" t="s">
        <v>1363</v>
      </c>
      <c r="J1534" s="158">
        <v>0</v>
      </c>
    </row>
    <row r="1535" spans="1:10" ht="15.75" hidden="1" customHeight="1">
      <c r="A1535" s="133" t="s">
        <v>2</v>
      </c>
      <c r="B1535" s="133" t="s">
        <v>4146</v>
      </c>
      <c r="C1535" s="133" t="s">
        <v>5021</v>
      </c>
      <c r="D1535" s="133" t="s">
        <v>1974</v>
      </c>
      <c r="E1535" s="158">
        <v>3</v>
      </c>
      <c r="F1535" s="158">
        <v>10</v>
      </c>
      <c r="G1535" s="158">
        <v>0</v>
      </c>
      <c r="H1535" s="133" t="s">
        <v>5022</v>
      </c>
      <c r="I1535" s="133" t="s">
        <v>1363</v>
      </c>
      <c r="J1535" s="158">
        <v>0</v>
      </c>
    </row>
    <row r="1536" spans="1:10" ht="15.75" hidden="1" customHeight="1">
      <c r="A1536" s="133" t="s">
        <v>2</v>
      </c>
      <c r="B1536" s="133" t="s">
        <v>4153</v>
      </c>
      <c r="C1536" s="133" t="s">
        <v>4152</v>
      </c>
      <c r="D1536" s="133" t="s">
        <v>477</v>
      </c>
      <c r="E1536" s="158">
        <v>20</v>
      </c>
      <c r="F1536" s="158">
        <v>0</v>
      </c>
      <c r="G1536" s="158">
        <v>0</v>
      </c>
      <c r="H1536" s="133" t="s">
        <v>4950</v>
      </c>
      <c r="I1536" s="133"/>
      <c r="J1536" s="158">
        <v>0</v>
      </c>
    </row>
    <row r="1537" spans="1:10" ht="15.75" hidden="1" customHeight="1">
      <c r="A1537" s="133" t="s">
        <v>2</v>
      </c>
      <c r="B1537" s="133" t="s">
        <v>4153</v>
      </c>
      <c r="C1537" s="133" t="s">
        <v>292</v>
      </c>
      <c r="D1537" s="133" t="s">
        <v>484</v>
      </c>
      <c r="E1537" s="158">
        <v>4</v>
      </c>
      <c r="F1537" s="158">
        <v>10</v>
      </c>
      <c r="G1537" s="158">
        <v>0</v>
      </c>
      <c r="H1537" s="133" t="s">
        <v>5023</v>
      </c>
      <c r="I1537" s="133"/>
      <c r="J1537" s="158">
        <v>0</v>
      </c>
    </row>
    <row r="1538" spans="1:10" ht="15.75" hidden="1" customHeight="1">
      <c r="A1538" s="133" t="s">
        <v>2</v>
      </c>
      <c r="B1538" s="133" t="s">
        <v>4153</v>
      </c>
      <c r="C1538" s="133" t="s">
        <v>257</v>
      </c>
      <c r="D1538" s="133" t="s">
        <v>477</v>
      </c>
      <c r="E1538" s="158">
        <v>20</v>
      </c>
      <c r="F1538" s="158">
        <v>0</v>
      </c>
      <c r="G1538" s="158">
        <v>0</v>
      </c>
      <c r="H1538" s="133" t="s">
        <v>1130</v>
      </c>
      <c r="I1538" s="133"/>
      <c r="J1538" s="158">
        <v>0</v>
      </c>
    </row>
    <row r="1539" spans="1:10" ht="15.75" hidden="1" customHeight="1">
      <c r="A1539" s="133" t="s">
        <v>2</v>
      </c>
      <c r="B1539" s="133" t="s">
        <v>4153</v>
      </c>
      <c r="C1539" s="133" t="s">
        <v>3441</v>
      </c>
      <c r="D1539" s="133" t="s">
        <v>477</v>
      </c>
      <c r="E1539" s="158">
        <v>100</v>
      </c>
      <c r="F1539" s="158">
        <v>0</v>
      </c>
      <c r="G1539" s="158">
        <v>0</v>
      </c>
      <c r="H1539" s="133" t="s">
        <v>1132</v>
      </c>
      <c r="I1539" s="133"/>
      <c r="J1539" s="158">
        <v>0</v>
      </c>
    </row>
    <row r="1540" spans="1:10" ht="15.75" hidden="1" customHeight="1">
      <c r="A1540" s="133" t="s">
        <v>2</v>
      </c>
      <c r="B1540" s="133" t="s">
        <v>4153</v>
      </c>
      <c r="C1540" s="133" t="s">
        <v>1141</v>
      </c>
      <c r="D1540" s="133" t="s">
        <v>477</v>
      </c>
      <c r="E1540" s="158">
        <v>20</v>
      </c>
      <c r="F1540" s="158">
        <v>0</v>
      </c>
      <c r="G1540" s="158">
        <v>0</v>
      </c>
      <c r="H1540" s="133" t="s">
        <v>3442</v>
      </c>
      <c r="I1540" s="133"/>
      <c r="J1540" s="158">
        <v>0</v>
      </c>
    </row>
    <row r="1541" spans="1:10" ht="15.75" hidden="1" customHeight="1">
      <c r="A1541" s="133" t="s">
        <v>2</v>
      </c>
      <c r="B1541" s="133" t="s">
        <v>4153</v>
      </c>
      <c r="C1541" s="133" t="s">
        <v>2415</v>
      </c>
      <c r="D1541" s="133" t="s">
        <v>484</v>
      </c>
      <c r="E1541" s="158">
        <v>4</v>
      </c>
      <c r="F1541" s="158">
        <v>10</v>
      </c>
      <c r="G1541" s="158">
        <v>0</v>
      </c>
      <c r="H1541" s="133" t="s">
        <v>2416</v>
      </c>
      <c r="I1541" s="133"/>
      <c r="J1541" s="158">
        <v>0</v>
      </c>
    </row>
    <row r="1542" spans="1:10" ht="15.75" hidden="1" customHeight="1">
      <c r="A1542" s="133" t="s">
        <v>2</v>
      </c>
      <c r="B1542" s="133" t="s">
        <v>4153</v>
      </c>
      <c r="C1542" s="133" t="s">
        <v>4523</v>
      </c>
      <c r="D1542" s="133" t="s">
        <v>477</v>
      </c>
      <c r="E1542" s="158">
        <v>20</v>
      </c>
      <c r="F1542" s="158">
        <v>0</v>
      </c>
      <c r="G1542" s="158">
        <v>0</v>
      </c>
      <c r="H1542" s="133" t="s">
        <v>4786</v>
      </c>
      <c r="I1542" s="133"/>
      <c r="J1542" s="158">
        <v>0</v>
      </c>
    </row>
    <row r="1543" spans="1:10" ht="15.75" hidden="1" customHeight="1">
      <c r="A1543" s="133" t="s">
        <v>2</v>
      </c>
      <c r="B1543" s="133" t="s">
        <v>4153</v>
      </c>
      <c r="C1543" s="133" t="s">
        <v>3384</v>
      </c>
      <c r="D1543" s="133" t="s">
        <v>484</v>
      </c>
      <c r="E1543" s="158">
        <v>4</v>
      </c>
      <c r="F1543" s="158">
        <v>10</v>
      </c>
      <c r="G1543" s="158">
        <v>0</v>
      </c>
      <c r="H1543" s="133" t="s">
        <v>4787</v>
      </c>
      <c r="I1543" s="133"/>
      <c r="J1543" s="158">
        <v>0</v>
      </c>
    </row>
    <row r="1544" spans="1:10" ht="15.75" hidden="1" customHeight="1">
      <c r="A1544" s="133" t="s">
        <v>2</v>
      </c>
      <c r="B1544" s="133" t="s">
        <v>4153</v>
      </c>
      <c r="C1544" s="133" t="s">
        <v>1145</v>
      </c>
      <c r="D1544" s="133" t="s">
        <v>484</v>
      </c>
      <c r="E1544" s="158">
        <v>4</v>
      </c>
      <c r="F1544" s="158">
        <v>10</v>
      </c>
      <c r="G1544" s="158">
        <v>0</v>
      </c>
      <c r="H1544" s="133" t="s">
        <v>4533</v>
      </c>
      <c r="I1544" s="133"/>
      <c r="J1544" s="158">
        <v>0</v>
      </c>
    </row>
    <row r="1545" spans="1:10" ht="15.75" hidden="1" customHeight="1">
      <c r="A1545" s="133" t="s">
        <v>2</v>
      </c>
      <c r="B1545" s="133" t="s">
        <v>4153</v>
      </c>
      <c r="C1545" s="133" t="s">
        <v>1137</v>
      </c>
      <c r="D1545" s="133" t="s">
        <v>481</v>
      </c>
      <c r="E1545" s="158">
        <v>5</v>
      </c>
      <c r="F1545" s="158">
        <v>9</v>
      </c>
      <c r="G1545" s="158">
        <v>2</v>
      </c>
      <c r="H1545" s="133" t="s">
        <v>4524</v>
      </c>
      <c r="I1545" s="133"/>
      <c r="J1545" s="158">
        <v>0</v>
      </c>
    </row>
    <row r="1546" spans="1:10" ht="15.75" hidden="1" customHeight="1">
      <c r="A1546" s="133" t="s">
        <v>2</v>
      </c>
      <c r="B1546" s="133" t="s">
        <v>4153</v>
      </c>
      <c r="C1546" s="133" t="s">
        <v>4565</v>
      </c>
      <c r="D1546" s="133" t="s">
        <v>481</v>
      </c>
      <c r="E1546" s="158">
        <v>5</v>
      </c>
      <c r="F1546" s="158">
        <v>9</v>
      </c>
      <c r="G1546" s="158">
        <v>2</v>
      </c>
      <c r="H1546" s="133" t="s">
        <v>4788</v>
      </c>
      <c r="I1546" s="133"/>
      <c r="J1546" s="158">
        <v>0</v>
      </c>
    </row>
    <row r="1547" spans="1:10" ht="15.75" hidden="1" customHeight="1">
      <c r="A1547" s="133" t="s">
        <v>2</v>
      </c>
      <c r="B1547" s="133" t="s">
        <v>4153</v>
      </c>
      <c r="C1547" s="133" t="s">
        <v>5024</v>
      </c>
      <c r="D1547" s="133" t="s">
        <v>484</v>
      </c>
      <c r="E1547" s="158">
        <v>4</v>
      </c>
      <c r="F1547" s="158">
        <v>10</v>
      </c>
      <c r="G1547" s="158">
        <v>0</v>
      </c>
      <c r="H1547" s="133" t="s">
        <v>5025</v>
      </c>
      <c r="I1547" s="133"/>
      <c r="J1547" s="158">
        <v>0</v>
      </c>
    </row>
    <row r="1548" spans="1:10" ht="15.75" hidden="1" customHeight="1">
      <c r="A1548" s="133" t="s">
        <v>2</v>
      </c>
      <c r="B1548" s="133" t="s">
        <v>4153</v>
      </c>
      <c r="C1548" s="133" t="s">
        <v>1217</v>
      </c>
      <c r="D1548" s="133" t="s">
        <v>477</v>
      </c>
      <c r="E1548" s="158">
        <v>20</v>
      </c>
      <c r="F1548" s="158">
        <v>0</v>
      </c>
      <c r="G1548" s="158">
        <v>0</v>
      </c>
      <c r="H1548" s="133"/>
      <c r="I1548" s="133"/>
      <c r="J1548" s="158">
        <v>0</v>
      </c>
    </row>
    <row r="1549" spans="1:10" ht="15.75" hidden="1" customHeight="1">
      <c r="A1549" s="133" t="s">
        <v>2</v>
      </c>
      <c r="B1549" s="133" t="s">
        <v>4153</v>
      </c>
      <c r="C1549" s="133" t="s">
        <v>4965</v>
      </c>
      <c r="D1549" s="133" t="s">
        <v>477</v>
      </c>
      <c r="E1549" s="158">
        <v>20</v>
      </c>
      <c r="F1549" s="158">
        <v>0</v>
      </c>
      <c r="G1549" s="158">
        <v>0</v>
      </c>
      <c r="H1549" s="133" t="s">
        <v>5026</v>
      </c>
      <c r="I1549" s="133"/>
      <c r="J1549" s="158">
        <v>0</v>
      </c>
    </row>
    <row r="1550" spans="1:10" ht="15.75" hidden="1" customHeight="1">
      <c r="A1550" s="133" t="s">
        <v>2</v>
      </c>
      <c r="B1550" s="133" t="s">
        <v>4153</v>
      </c>
      <c r="C1550" s="133" t="s">
        <v>1206</v>
      </c>
      <c r="D1550" s="133" t="s">
        <v>477</v>
      </c>
      <c r="E1550" s="158">
        <v>20</v>
      </c>
      <c r="F1550" s="158">
        <v>0</v>
      </c>
      <c r="G1550" s="158">
        <v>0</v>
      </c>
      <c r="H1550" s="133"/>
      <c r="I1550" s="133"/>
      <c r="J1550" s="158">
        <v>0</v>
      </c>
    </row>
    <row r="1551" spans="1:10" ht="15.75" hidden="1" customHeight="1">
      <c r="A1551" s="133" t="s">
        <v>2</v>
      </c>
      <c r="B1551" s="133" t="s">
        <v>4153</v>
      </c>
      <c r="C1551" s="133" t="s">
        <v>4654</v>
      </c>
      <c r="D1551" s="133" t="s">
        <v>477</v>
      </c>
      <c r="E1551" s="158">
        <v>20</v>
      </c>
      <c r="F1551" s="158">
        <v>0</v>
      </c>
      <c r="G1551" s="158">
        <v>0</v>
      </c>
      <c r="H1551" s="133" t="s">
        <v>4970</v>
      </c>
      <c r="I1551" s="133" t="s">
        <v>548</v>
      </c>
      <c r="J1551" s="158">
        <v>0</v>
      </c>
    </row>
    <row r="1552" spans="1:10" ht="15.75" hidden="1" customHeight="1">
      <c r="A1552" s="133" t="s">
        <v>2</v>
      </c>
      <c r="B1552" s="133" t="s">
        <v>4153</v>
      </c>
      <c r="C1552" s="133" t="s">
        <v>1208</v>
      </c>
      <c r="D1552" s="133" t="s">
        <v>484</v>
      </c>
      <c r="E1552" s="158">
        <v>4</v>
      </c>
      <c r="F1552" s="158">
        <v>10</v>
      </c>
      <c r="G1552" s="158">
        <v>0</v>
      </c>
      <c r="H1552" s="98" t="s">
        <v>1209</v>
      </c>
      <c r="I1552" s="133" t="s">
        <v>1210</v>
      </c>
      <c r="J1552" s="158">
        <v>0</v>
      </c>
    </row>
    <row r="1553" spans="1:10" ht="15.75" hidden="1" customHeight="1">
      <c r="A1553" s="133" t="s">
        <v>2</v>
      </c>
      <c r="B1553" s="133" t="s">
        <v>4153</v>
      </c>
      <c r="C1553" s="133" t="s">
        <v>3501</v>
      </c>
      <c r="D1553" s="133" t="s">
        <v>538</v>
      </c>
      <c r="E1553" s="158">
        <v>8</v>
      </c>
      <c r="F1553" s="158">
        <v>0</v>
      </c>
      <c r="G1553" s="158">
        <v>0</v>
      </c>
      <c r="H1553" s="98"/>
      <c r="I1553" s="133"/>
      <c r="J1553" s="158">
        <v>0</v>
      </c>
    </row>
    <row r="1554" spans="1:10" ht="15.75" hidden="1" customHeight="1">
      <c r="A1554" s="133" t="s">
        <v>2</v>
      </c>
      <c r="B1554" s="133" t="s">
        <v>4153</v>
      </c>
      <c r="C1554" s="133" t="s">
        <v>465</v>
      </c>
      <c r="D1554" s="133" t="s">
        <v>538</v>
      </c>
      <c r="E1554" s="158">
        <v>8</v>
      </c>
      <c r="F1554" s="158">
        <v>0</v>
      </c>
      <c r="G1554" s="158">
        <v>0</v>
      </c>
      <c r="H1554" s="98"/>
      <c r="I1554" s="133"/>
      <c r="J1554" s="158">
        <v>0</v>
      </c>
    </row>
    <row r="1555" spans="1:10" ht="15.75" hidden="1" customHeight="1">
      <c r="A1555" s="133" t="s">
        <v>2</v>
      </c>
      <c r="B1555" s="133" t="s">
        <v>4160</v>
      </c>
      <c r="C1555" s="133" t="s">
        <v>4166</v>
      </c>
      <c r="D1555" s="133" t="s">
        <v>477</v>
      </c>
      <c r="E1555" s="158">
        <v>20</v>
      </c>
      <c r="F1555" s="158">
        <v>0</v>
      </c>
      <c r="G1555" s="158">
        <v>0</v>
      </c>
      <c r="H1555" s="98" t="s">
        <v>5027</v>
      </c>
      <c r="I1555" s="133"/>
      <c r="J1555" s="158">
        <v>0</v>
      </c>
    </row>
    <row r="1556" spans="1:10" ht="15.75" hidden="1" customHeight="1">
      <c r="A1556" s="133" t="s">
        <v>2</v>
      </c>
      <c r="B1556" s="133" t="s">
        <v>4160</v>
      </c>
      <c r="C1556" s="133" t="s">
        <v>5028</v>
      </c>
      <c r="D1556" s="133" t="s">
        <v>477</v>
      </c>
      <c r="E1556" s="158">
        <v>20</v>
      </c>
      <c r="F1556" s="158">
        <v>0</v>
      </c>
      <c r="G1556" s="158">
        <v>0</v>
      </c>
      <c r="H1556" s="133" t="s">
        <v>5029</v>
      </c>
      <c r="I1556" s="133"/>
      <c r="J1556" s="158">
        <v>0</v>
      </c>
    </row>
    <row r="1557" spans="1:10" ht="15.75" hidden="1" customHeight="1">
      <c r="A1557" s="133" t="s">
        <v>2</v>
      </c>
      <c r="B1557" s="133" t="s">
        <v>4160</v>
      </c>
      <c r="C1557" s="133" t="s">
        <v>5030</v>
      </c>
      <c r="D1557" s="133" t="s">
        <v>1974</v>
      </c>
      <c r="E1557" s="158">
        <v>3</v>
      </c>
      <c r="F1557" s="158">
        <v>10</v>
      </c>
      <c r="G1557" s="158">
        <v>0</v>
      </c>
      <c r="H1557" s="133" t="s">
        <v>5031</v>
      </c>
      <c r="I1557" s="133"/>
      <c r="J1557" s="158">
        <v>0</v>
      </c>
    </row>
    <row r="1558" spans="1:10" ht="15.75" hidden="1" customHeight="1">
      <c r="A1558" s="133" t="s">
        <v>2</v>
      </c>
      <c r="B1558" s="133" t="s">
        <v>4160</v>
      </c>
      <c r="C1558" s="133" t="s">
        <v>5032</v>
      </c>
      <c r="D1558" s="133" t="s">
        <v>477</v>
      </c>
      <c r="E1558" s="158">
        <v>20</v>
      </c>
      <c r="F1558" s="158">
        <v>0</v>
      </c>
      <c r="G1558" s="158">
        <v>0</v>
      </c>
      <c r="H1558" s="133" t="s">
        <v>5033</v>
      </c>
      <c r="I1558" s="133"/>
      <c r="J1558" s="158">
        <v>0</v>
      </c>
    </row>
    <row r="1559" spans="1:10" ht="15.75" hidden="1" customHeight="1">
      <c r="A1559" s="133" t="s">
        <v>2</v>
      </c>
      <c r="B1559" s="133" t="s">
        <v>4160</v>
      </c>
      <c r="C1559" s="133" t="s">
        <v>5034</v>
      </c>
      <c r="D1559" s="133" t="s">
        <v>477</v>
      </c>
      <c r="E1559" s="158">
        <v>255</v>
      </c>
      <c r="F1559" s="158">
        <v>0</v>
      </c>
      <c r="G1559" s="158">
        <v>0</v>
      </c>
      <c r="H1559" s="133" t="s">
        <v>4799</v>
      </c>
      <c r="I1559" s="133"/>
      <c r="J1559" s="158">
        <v>0</v>
      </c>
    </row>
    <row r="1560" spans="1:10" ht="15.75" hidden="1" customHeight="1">
      <c r="A1560" s="133" t="s">
        <v>2</v>
      </c>
      <c r="B1560" s="133" t="s">
        <v>4160</v>
      </c>
      <c r="C1560" s="133" t="s">
        <v>4649</v>
      </c>
      <c r="D1560" s="133" t="s">
        <v>484</v>
      </c>
      <c r="E1560" s="158">
        <v>4</v>
      </c>
      <c r="F1560" s="158">
        <v>10</v>
      </c>
      <c r="G1560" s="158">
        <v>0</v>
      </c>
      <c r="H1560" s="133" t="s">
        <v>4804</v>
      </c>
      <c r="I1560" s="133"/>
      <c r="J1560" s="158">
        <v>0</v>
      </c>
    </row>
    <row r="1561" spans="1:10" ht="15.75" hidden="1" customHeight="1">
      <c r="A1561" s="133" t="s">
        <v>2</v>
      </c>
      <c r="B1561" s="133" t="s">
        <v>4160</v>
      </c>
      <c r="C1561" s="133" t="s">
        <v>5035</v>
      </c>
      <c r="D1561" s="133" t="s">
        <v>477</v>
      </c>
      <c r="E1561" s="158">
        <v>20</v>
      </c>
      <c r="F1561" s="158">
        <v>0</v>
      </c>
      <c r="G1561" s="158">
        <v>0</v>
      </c>
      <c r="H1561" s="133" t="s">
        <v>5036</v>
      </c>
      <c r="I1561" s="133"/>
      <c r="J1561" s="158">
        <v>0</v>
      </c>
    </row>
    <row r="1562" spans="1:10" ht="15.75" hidden="1" customHeight="1">
      <c r="A1562" s="133" t="s">
        <v>2</v>
      </c>
      <c r="B1562" s="133" t="s">
        <v>4160</v>
      </c>
      <c r="C1562" s="133" t="s">
        <v>5037</v>
      </c>
      <c r="D1562" s="133" t="s">
        <v>1974</v>
      </c>
      <c r="E1562" s="158">
        <v>3</v>
      </c>
      <c r="F1562" s="158">
        <v>10</v>
      </c>
      <c r="G1562" s="158">
        <v>0</v>
      </c>
      <c r="H1562" s="133" t="s">
        <v>5038</v>
      </c>
      <c r="I1562" s="133"/>
      <c r="J1562" s="158">
        <v>0</v>
      </c>
    </row>
    <row r="1563" spans="1:10" ht="15.75" hidden="1" customHeight="1">
      <c r="A1563" s="133" t="s">
        <v>2</v>
      </c>
      <c r="B1563" s="133" t="s">
        <v>4160</v>
      </c>
      <c r="C1563" s="133" t="s">
        <v>5039</v>
      </c>
      <c r="D1563" s="133" t="s">
        <v>477</v>
      </c>
      <c r="E1563" s="158">
        <v>20</v>
      </c>
      <c r="F1563" s="158">
        <v>0</v>
      </c>
      <c r="G1563" s="158">
        <v>0</v>
      </c>
      <c r="H1563" s="133" t="s">
        <v>5040</v>
      </c>
      <c r="I1563" s="133"/>
      <c r="J1563" s="158">
        <v>0</v>
      </c>
    </row>
    <row r="1564" spans="1:10" ht="15.75" hidden="1" customHeight="1">
      <c r="A1564" s="133" t="s">
        <v>2</v>
      </c>
      <c r="B1564" s="133" t="s">
        <v>4160</v>
      </c>
      <c r="C1564" s="133" t="s">
        <v>5041</v>
      </c>
      <c r="D1564" s="133" t="s">
        <v>477</v>
      </c>
      <c r="E1564" s="158">
        <v>20</v>
      </c>
      <c r="F1564" s="158">
        <v>0</v>
      </c>
      <c r="G1564" s="158">
        <v>0</v>
      </c>
      <c r="H1564" s="133" t="s">
        <v>5042</v>
      </c>
      <c r="I1564" s="133"/>
      <c r="J1564" s="158">
        <v>0</v>
      </c>
    </row>
    <row r="1565" spans="1:10" ht="15.75" hidden="1" customHeight="1">
      <c r="A1565" s="133" t="s">
        <v>2</v>
      </c>
      <c r="B1565" s="133" t="s">
        <v>4160</v>
      </c>
      <c r="C1565" s="133" t="s">
        <v>5043</v>
      </c>
      <c r="D1565" s="133" t="s">
        <v>477</v>
      </c>
      <c r="E1565" s="158">
        <v>20</v>
      </c>
      <c r="F1565" s="158">
        <v>0</v>
      </c>
      <c r="G1565" s="158">
        <v>0</v>
      </c>
      <c r="H1565" s="133" t="s">
        <v>5044</v>
      </c>
      <c r="I1565" s="133"/>
      <c r="J1565" s="158">
        <v>0</v>
      </c>
    </row>
    <row r="1566" spans="1:10" ht="15.75" hidden="1" customHeight="1">
      <c r="A1566" s="133" t="s">
        <v>2</v>
      </c>
      <c r="B1566" s="133" t="s">
        <v>4160</v>
      </c>
      <c r="C1566" s="133" t="s">
        <v>5045</v>
      </c>
      <c r="D1566" s="133" t="s">
        <v>1974</v>
      </c>
      <c r="E1566" s="158">
        <v>3</v>
      </c>
      <c r="F1566" s="158">
        <v>10</v>
      </c>
      <c r="G1566" s="158">
        <v>0</v>
      </c>
      <c r="H1566" s="133" t="s">
        <v>5046</v>
      </c>
      <c r="I1566" s="133"/>
      <c r="J1566" s="158">
        <v>0</v>
      </c>
    </row>
    <row r="1567" spans="1:10" ht="15.75" hidden="1" customHeight="1">
      <c r="A1567" s="133" t="s">
        <v>2</v>
      </c>
      <c r="B1567" s="133" t="s">
        <v>4160</v>
      </c>
      <c r="C1567" s="133" t="s">
        <v>5047</v>
      </c>
      <c r="D1567" s="133" t="s">
        <v>477</v>
      </c>
      <c r="E1567" s="158">
        <v>20</v>
      </c>
      <c r="F1567" s="158">
        <v>0</v>
      </c>
      <c r="G1567" s="158">
        <v>0</v>
      </c>
      <c r="H1567" s="133" t="s">
        <v>5048</v>
      </c>
      <c r="I1567" s="133"/>
      <c r="J1567" s="158">
        <v>0</v>
      </c>
    </row>
    <row r="1568" spans="1:10" ht="15.75" hidden="1" customHeight="1">
      <c r="A1568" s="133" t="s">
        <v>2</v>
      </c>
      <c r="B1568" s="133" t="s">
        <v>4160</v>
      </c>
      <c r="C1568" s="133" t="s">
        <v>5049</v>
      </c>
      <c r="D1568" s="133" t="s">
        <v>477</v>
      </c>
      <c r="E1568" s="158">
        <v>20</v>
      </c>
      <c r="F1568" s="158">
        <v>0</v>
      </c>
      <c r="G1568" s="158">
        <v>0</v>
      </c>
      <c r="H1568" s="133" t="s">
        <v>5050</v>
      </c>
      <c r="I1568" s="133"/>
      <c r="J1568" s="158">
        <v>0</v>
      </c>
    </row>
    <row r="1569" spans="1:10" ht="15.75" hidden="1" customHeight="1">
      <c r="A1569" s="133" t="s">
        <v>2</v>
      </c>
      <c r="B1569" s="133" t="s">
        <v>4160</v>
      </c>
      <c r="C1569" s="133" t="s">
        <v>5051</v>
      </c>
      <c r="D1569" s="133" t="s">
        <v>477</v>
      </c>
      <c r="E1569" s="158">
        <v>100</v>
      </c>
      <c r="F1569" s="158">
        <v>0</v>
      </c>
      <c r="G1569" s="158">
        <v>0</v>
      </c>
      <c r="H1569" s="133" t="s">
        <v>5052</v>
      </c>
      <c r="I1569" s="133"/>
      <c r="J1569" s="158">
        <v>0</v>
      </c>
    </row>
    <row r="1570" spans="1:10" ht="15.75" hidden="1" customHeight="1">
      <c r="A1570" s="133" t="s">
        <v>2</v>
      </c>
      <c r="B1570" s="133" t="s">
        <v>4160</v>
      </c>
      <c r="C1570" s="133" t="s">
        <v>5053</v>
      </c>
      <c r="D1570" s="133" t="s">
        <v>477</v>
      </c>
      <c r="E1570" s="158">
        <v>20</v>
      </c>
      <c r="F1570" s="158">
        <v>0</v>
      </c>
      <c r="G1570" s="158">
        <v>0</v>
      </c>
      <c r="H1570" s="133"/>
      <c r="I1570" s="133"/>
      <c r="J1570" s="158">
        <v>0</v>
      </c>
    </row>
    <row r="1571" spans="1:10" ht="15.75" hidden="1" customHeight="1">
      <c r="A1571" s="133" t="s">
        <v>2</v>
      </c>
      <c r="B1571" s="133" t="s">
        <v>4160</v>
      </c>
      <c r="C1571" s="133" t="s">
        <v>5054</v>
      </c>
      <c r="D1571" s="133" t="s">
        <v>477</v>
      </c>
      <c r="E1571" s="158">
        <v>100</v>
      </c>
      <c r="F1571" s="158">
        <v>0</v>
      </c>
      <c r="G1571" s="158">
        <v>0</v>
      </c>
      <c r="H1571" s="133"/>
      <c r="I1571" s="133"/>
      <c r="J1571" s="158">
        <v>0</v>
      </c>
    </row>
    <row r="1572" spans="1:10" ht="15.75" hidden="1" customHeight="1">
      <c r="A1572" s="133" t="s">
        <v>2</v>
      </c>
      <c r="B1572" s="133" t="s">
        <v>4160</v>
      </c>
      <c r="C1572" s="133" t="s">
        <v>5055</v>
      </c>
      <c r="D1572" s="133" t="s">
        <v>477</v>
      </c>
      <c r="E1572" s="158">
        <v>20</v>
      </c>
      <c r="F1572" s="158">
        <v>0</v>
      </c>
      <c r="G1572" s="158">
        <v>0</v>
      </c>
      <c r="H1572" s="133" t="s">
        <v>5056</v>
      </c>
      <c r="I1572" s="133"/>
      <c r="J1572" s="158">
        <v>0</v>
      </c>
    </row>
    <row r="1573" spans="1:10" ht="15.75" hidden="1" customHeight="1">
      <c r="A1573" s="133" t="s">
        <v>2</v>
      </c>
      <c r="B1573" s="133" t="s">
        <v>4160</v>
      </c>
      <c r="C1573" s="133" t="s">
        <v>5057</v>
      </c>
      <c r="D1573" s="133" t="s">
        <v>477</v>
      </c>
      <c r="E1573" s="158">
        <v>100</v>
      </c>
      <c r="F1573" s="158">
        <v>0</v>
      </c>
      <c r="G1573" s="158">
        <v>0</v>
      </c>
      <c r="H1573" s="133" t="s">
        <v>5058</v>
      </c>
      <c r="I1573" s="133"/>
      <c r="J1573" s="158">
        <v>0</v>
      </c>
    </row>
    <row r="1574" spans="1:10" ht="15.75" hidden="1" customHeight="1">
      <c r="A1574" s="133" t="s">
        <v>2</v>
      </c>
      <c r="B1574" s="133" t="s">
        <v>4160</v>
      </c>
      <c r="C1574" s="133" t="s">
        <v>5059</v>
      </c>
      <c r="D1574" s="133" t="s">
        <v>477</v>
      </c>
      <c r="E1574" s="158">
        <v>20</v>
      </c>
      <c r="F1574" s="158">
        <v>0</v>
      </c>
      <c r="G1574" s="158">
        <v>0</v>
      </c>
      <c r="H1574" s="133"/>
      <c r="I1574" s="133"/>
      <c r="J1574" s="158">
        <v>0</v>
      </c>
    </row>
    <row r="1575" spans="1:10" ht="15.75" hidden="1" customHeight="1">
      <c r="A1575" s="133" t="s">
        <v>2</v>
      </c>
      <c r="B1575" s="133" t="s">
        <v>4160</v>
      </c>
      <c r="C1575" s="133" t="s">
        <v>5060</v>
      </c>
      <c r="D1575" s="133" t="s">
        <v>477</v>
      </c>
      <c r="E1575" s="158">
        <v>100</v>
      </c>
      <c r="F1575" s="158">
        <v>0</v>
      </c>
      <c r="G1575" s="158">
        <v>0</v>
      </c>
      <c r="H1575" s="133"/>
      <c r="I1575" s="133"/>
      <c r="J1575" s="158">
        <v>0</v>
      </c>
    </row>
    <row r="1576" spans="1:10" ht="15.75" hidden="1" customHeight="1">
      <c r="A1576" s="133" t="s">
        <v>2</v>
      </c>
      <c r="B1576" s="133" t="s">
        <v>4160</v>
      </c>
      <c r="C1576" s="133" t="s">
        <v>669</v>
      </c>
      <c r="D1576" s="133" t="s">
        <v>538</v>
      </c>
      <c r="E1576" s="158">
        <v>8</v>
      </c>
      <c r="F1576" s="158">
        <v>0</v>
      </c>
      <c r="G1576" s="158">
        <v>0</v>
      </c>
      <c r="H1576" s="133" t="s">
        <v>3461</v>
      </c>
      <c r="I1576" s="133"/>
      <c r="J1576" s="158">
        <v>0</v>
      </c>
    </row>
    <row r="1577" spans="1:10" ht="15.75" hidden="1" customHeight="1">
      <c r="A1577" s="133" t="s">
        <v>2</v>
      </c>
      <c r="B1577" s="133" t="s">
        <v>4160</v>
      </c>
      <c r="C1577" s="133" t="s">
        <v>523</v>
      </c>
      <c r="D1577" s="133" t="s">
        <v>477</v>
      </c>
      <c r="E1577" s="158">
        <v>20</v>
      </c>
      <c r="F1577" s="158">
        <v>0</v>
      </c>
      <c r="G1577" s="158">
        <v>0</v>
      </c>
      <c r="H1577" s="133" t="s">
        <v>3462</v>
      </c>
      <c r="I1577" s="133"/>
      <c r="J1577" s="158">
        <v>0</v>
      </c>
    </row>
    <row r="1578" spans="1:10" ht="15.75" hidden="1" customHeight="1">
      <c r="A1578" s="133" t="s">
        <v>2</v>
      </c>
      <c r="B1578" s="133" t="s">
        <v>4160</v>
      </c>
      <c r="C1578" s="133" t="s">
        <v>814</v>
      </c>
      <c r="D1578" s="133" t="s">
        <v>477</v>
      </c>
      <c r="E1578" s="158">
        <v>100</v>
      </c>
      <c r="F1578" s="158">
        <v>0</v>
      </c>
      <c r="G1578" s="158">
        <v>0</v>
      </c>
      <c r="H1578" s="133" t="s">
        <v>3463</v>
      </c>
      <c r="I1578" s="133"/>
      <c r="J1578" s="158">
        <v>0</v>
      </c>
    </row>
    <row r="1579" spans="1:10" ht="15.75" hidden="1" customHeight="1">
      <c r="A1579" s="133" t="s">
        <v>2</v>
      </c>
      <c r="B1579" s="133" t="s">
        <v>4160</v>
      </c>
      <c r="C1579" s="133" t="s">
        <v>215</v>
      </c>
      <c r="D1579" s="133" t="s">
        <v>538</v>
      </c>
      <c r="E1579" s="158">
        <v>8</v>
      </c>
      <c r="F1579" s="158">
        <v>0</v>
      </c>
      <c r="G1579" s="158">
        <v>0</v>
      </c>
      <c r="H1579" s="133" t="s">
        <v>3464</v>
      </c>
      <c r="I1579" s="133"/>
      <c r="J1579" s="158">
        <v>0</v>
      </c>
    </row>
    <row r="1580" spans="1:10" ht="15.75" hidden="1" customHeight="1">
      <c r="A1580" s="133" t="s">
        <v>2</v>
      </c>
      <c r="B1580" s="133" t="s">
        <v>4160</v>
      </c>
      <c r="C1580" s="133" t="s">
        <v>670</v>
      </c>
      <c r="D1580" s="133" t="s">
        <v>477</v>
      </c>
      <c r="E1580" s="158">
        <v>20</v>
      </c>
      <c r="F1580" s="158">
        <v>0</v>
      </c>
      <c r="G1580" s="158">
        <v>0</v>
      </c>
      <c r="H1580" s="133" t="s">
        <v>3465</v>
      </c>
      <c r="I1580" s="133"/>
      <c r="J1580" s="158">
        <v>0</v>
      </c>
    </row>
    <row r="1581" spans="1:10" ht="15.75" hidden="1" customHeight="1">
      <c r="A1581" s="133" t="s">
        <v>2</v>
      </c>
      <c r="B1581" s="133" t="s">
        <v>4160</v>
      </c>
      <c r="C1581" s="133" t="s">
        <v>816</v>
      </c>
      <c r="D1581" s="133" t="s">
        <v>477</v>
      </c>
      <c r="E1581" s="158">
        <v>100</v>
      </c>
      <c r="F1581" s="158">
        <v>0</v>
      </c>
      <c r="G1581" s="158">
        <v>0</v>
      </c>
      <c r="H1581" s="133" t="s">
        <v>4825</v>
      </c>
      <c r="I1581" s="133"/>
      <c r="J1581" s="158">
        <v>0</v>
      </c>
    </row>
    <row r="1582" spans="1:10" ht="15.75" hidden="1" customHeight="1">
      <c r="A1582" s="133" t="s">
        <v>2</v>
      </c>
      <c r="B1582" s="133" t="s">
        <v>4160</v>
      </c>
      <c r="C1582" s="133" t="s">
        <v>658</v>
      </c>
      <c r="D1582" s="133" t="s">
        <v>481</v>
      </c>
      <c r="E1582" s="158">
        <v>5</v>
      </c>
      <c r="F1582" s="158">
        <v>9</v>
      </c>
      <c r="G1582" s="158">
        <v>2</v>
      </c>
      <c r="H1582" s="133" t="s">
        <v>4820</v>
      </c>
      <c r="I1582" s="133"/>
      <c r="J1582" s="158">
        <v>0</v>
      </c>
    </row>
    <row r="1583" spans="1:10" ht="15.75" hidden="1" customHeight="1">
      <c r="A1583" s="133" t="s">
        <v>2</v>
      </c>
      <c r="B1583" s="133" t="s">
        <v>4160</v>
      </c>
      <c r="C1583" s="133" t="s">
        <v>1243</v>
      </c>
      <c r="D1583" s="133" t="s">
        <v>481</v>
      </c>
      <c r="E1583" s="158">
        <v>5</v>
      </c>
      <c r="F1583" s="158">
        <v>9</v>
      </c>
      <c r="G1583" s="158">
        <v>2</v>
      </c>
      <c r="H1583" s="133" t="s">
        <v>4821</v>
      </c>
      <c r="I1583" s="133"/>
      <c r="J1583" s="158">
        <v>0</v>
      </c>
    </row>
    <row r="1584" spans="1:10" ht="15.75" hidden="1" customHeight="1">
      <c r="A1584" s="133" t="s">
        <v>2</v>
      </c>
      <c r="B1584" s="133" t="s">
        <v>4160</v>
      </c>
      <c r="C1584" s="133" t="s">
        <v>663</v>
      </c>
      <c r="D1584" s="133" t="s">
        <v>481</v>
      </c>
      <c r="E1584" s="158">
        <v>5</v>
      </c>
      <c r="F1584" s="158">
        <v>9</v>
      </c>
      <c r="G1584" s="158">
        <v>2</v>
      </c>
      <c r="H1584" s="133" t="s">
        <v>4822</v>
      </c>
      <c r="I1584" s="133"/>
      <c r="J1584" s="158">
        <v>0</v>
      </c>
    </row>
    <row r="1585" spans="1:10" ht="15.75" hidden="1" customHeight="1">
      <c r="A1585" s="133" t="s">
        <v>2</v>
      </c>
      <c r="B1585" s="133" t="s">
        <v>4160</v>
      </c>
      <c r="C1585" s="133" t="s">
        <v>4610</v>
      </c>
      <c r="D1585" s="133" t="s">
        <v>481</v>
      </c>
      <c r="E1585" s="158">
        <v>5</v>
      </c>
      <c r="F1585" s="158">
        <v>9</v>
      </c>
      <c r="G1585" s="158">
        <v>2</v>
      </c>
      <c r="H1585" s="133" t="s">
        <v>4823</v>
      </c>
      <c r="I1585" s="133"/>
      <c r="J1585" s="158">
        <v>0</v>
      </c>
    </row>
    <row r="1586" spans="1:10" ht="15.75" hidden="1" customHeight="1">
      <c r="A1586" s="133" t="s">
        <v>2</v>
      </c>
      <c r="B1586" s="133" t="s">
        <v>4160</v>
      </c>
      <c r="C1586" s="133" t="s">
        <v>1265</v>
      </c>
      <c r="D1586" s="133" t="s">
        <v>481</v>
      </c>
      <c r="E1586" s="158">
        <v>5</v>
      </c>
      <c r="F1586" s="158">
        <v>9</v>
      </c>
      <c r="G1586" s="158">
        <v>2</v>
      </c>
      <c r="H1586" s="133" t="s">
        <v>4826</v>
      </c>
      <c r="I1586" s="133"/>
      <c r="J1586" s="158">
        <v>0</v>
      </c>
    </row>
    <row r="1587" spans="1:10" ht="15.75" hidden="1" customHeight="1">
      <c r="A1587" s="133" t="s">
        <v>2</v>
      </c>
      <c r="B1587" s="133" t="s">
        <v>4160</v>
      </c>
      <c r="C1587" s="133" t="s">
        <v>1267</v>
      </c>
      <c r="D1587" s="133" t="s">
        <v>481</v>
      </c>
      <c r="E1587" s="158">
        <v>5</v>
      </c>
      <c r="F1587" s="158">
        <v>9</v>
      </c>
      <c r="G1587" s="158">
        <v>2</v>
      </c>
      <c r="H1587" s="133" t="s">
        <v>4827</v>
      </c>
      <c r="I1587" s="133"/>
      <c r="J1587" s="158">
        <v>0</v>
      </c>
    </row>
    <row r="1588" spans="1:10" ht="15.75" hidden="1" customHeight="1">
      <c r="A1588" s="133" t="s">
        <v>2</v>
      </c>
      <c r="B1588" s="133" t="s">
        <v>4167</v>
      </c>
      <c r="C1588" s="133" t="s">
        <v>4166</v>
      </c>
      <c r="D1588" s="133" t="s">
        <v>477</v>
      </c>
      <c r="E1588" s="158">
        <v>20</v>
      </c>
      <c r="F1588" s="158">
        <v>0</v>
      </c>
      <c r="G1588" s="158">
        <v>0</v>
      </c>
      <c r="H1588" s="133" t="s">
        <v>5027</v>
      </c>
      <c r="I1588" s="133"/>
      <c r="J1588" s="158">
        <v>0</v>
      </c>
    </row>
    <row r="1589" spans="1:10" ht="15.75" hidden="1" customHeight="1">
      <c r="A1589" s="133" t="s">
        <v>2</v>
      </c>
      <c r="B1589" s="133" t="s">
        <v>4167</v>
      </c>
      <c r="C1589" s="133" t="s">
        <v>292</v>
      </c>
      <c r="D1589" s="133" t="s">
        <v>484</v>
      </c>
      <c r="E1589" s="158">
        <v>4</v>
      </c>
      <c r="F1589" s="158">
        <v>10</v>
      </c>
      <c r="G1589" s="158">
        <v>0</v>
      </c>
      <c r="H1589" s="133" t="s">
        <v>5061</v>
      </c>
      <c r="I1589" s="133"/>
      <c r="J1589" s="158">
        <v>0</v>
      </c>
    </row>
    <row r="1590" spans="1:10" ht="15.75" hidden="1" customHeight="1">
      <c r="A1590" s="133" t="s">
        <v>2</v>
      </c>
      <c r="B1590" s="133" t="s">
        <v>4167</v>
      </c>
      <c r="C1590" s="133" t="s">
        <v>257</v>
      </c>
      <c r="D1590" s="133" t="s">
        <v>477</v>
      </c>
      <c r="E1590" s="158">
        <v>20</v>
      </c>
      <c r="F1590" s="158">
        <v>0</v>
      </c>
      <c r="G1590" s="158">
        <v>0</v>
      </c>
      <c r="H1590" s="133" t="s">
        <v>1130</v>
      </c>
      <c r="I1590" s="133"/>
      <c r="J1590" s="158">
        <v>0</v>
      </c>
    </row>
    <row r="1591" spans="1:10" ht="15.75" hidden="1" customHeight="1">
      <c r="A1591" s="133" t="s">
        <v>2</v>
      </c>
      <c r="B1591" s="133" t="s">
        <v>4167</v>
      </c>
      <c r="C1591" s="133" t="s">
        <v>3441</v>
      </c>
      <c r="D1591" s="133" t="s">
        <v>477</v>
      </c>
      <c r="E1591" s="158">
        <v>100</v>
      </c>
      <c r="F1591" s="158">
        <v>0</v>
      </c>
      <c r="G1591" s="158">
        <v>0</v>
      </c>
      <c r="H1591" s="133" t="s">
        <v>1132</v>
      </c>
      <c r="I1591" s="133"/>
      <c r="J1591" s="158">
        <v>0</v>
      </c>
    </row>
    <row r="1592" spans="1:10" ht="15.75" hidden="1" customHeight="1">
      <c r="A1592" s="133" t="s">
        <v>2</v>
      </c>
      <c r="B1592" s="133" t="s">
        <v>4167</v>
      </c>
      <c r="C1592" s="133" t="s">
        <v>1141</v>
      </c>
      <c r="D1592" s="133" t="s">
        <v>477</v>
      </c>
      <c r="E1592" s="158">
        <v>20</v>
      </c>
      <c r="F1592" s="158">
        <v>0</v>
      </c>
      <c r="G1592" s="158">
        <v>0</v>
      </c>
      <c r="H1592" s="133" t="s">
        <v>3442</v>
      </c>
      <c r="I1592" s="133"/>
      <c r="J1592" s="158">
        <v>0</v>
      </c>
    </row>
    <row r="1593" spans="1:10" ht="15.75" hidden="1" customHeight="1">
      <c r="A1593" s="133" t="s">
        <v>2</v>
      </c>
      <c r="B1593" s="133" t="s">
        <v>4167</v>
      </c>
      <c r="C1593" s="133" t="s">
        <v>2415</v>
      </c>
      <c r="D1593" s="133" t="s">
        <v>484</v>
      </c>
      <c r="E1593" s="158">
        <v>4</v>
      </c>
      <c r="F1593" s="158">
        <v>10</v>
      </c>
      <c r="G1593" s="158">
        <v>0</v>
      </c>
      <c r="H1593" s="133" t="s">
        <v>2416</v>
      </c>
      <c r="I1593" s="133"/>
      <c r="J1593" s="158">
        <v>0</v>
      </c>
    </row>
    <row r="1594" spans="1:10" ht="15.75" hidden="1" customHeight="1">
      <c r="A1594" s="133" t="s">
        <v>2</v>
      </c>
      <c r="B1594" s="133" t="s">
        <v>4167</v>
      </c>
      <c r="C1594" s="133" t="s">
        <v>4523</v>
      </c>
      <c r="D1594" s="133" t="s">
        <v>477</v>
      </c>
      <c r="E1594" s="158">
        <v>20</v>
      </c>
      <c r="F1594" s="158">
        <v>0</v>
      </c>
      <c r="G1594" s="158">
        <v>0</v>
      </c>
      <c r="H1594" s="133" t="s">
        <v>4786</v>
      </c>
      <c r="I1594" s="133"/>
      <c r="J1594" s="158">
        <v>0</v>
      </c>
    </row>
    <row r="1595" spans="1:10" ht="15.75" hidden="1" customHeight="1">
      <c r="A1595" s="133" t="s">
        <v>2</v>
      </c>
      <c r="B1595" s="133" t="s">
        <v>4167</v>
      </c>
      <c r="C1595" s="133" t="s">
        <v>3384</v>
      </c>
      <c r="D1595" s="133" t="s">
        <v>484</v>
      </c>
      <c r="E1595" s="158">
        <v>4</v>
      </c>
      <c r="F1595" s="158">
        <v>10</v>
      </c>
      <c r="G1595" s="158">
        <v>0</v>
      </c>
      <c r="H1595" s="133" t="s">
        <v>4787</v>
      </c>
      <c r="I1595" s="133"/>
      <c r="J1595" s="158">
        <v>0</v>
      </c>
    </row>
    <row r="1596" spans="1:10" ht="15.75" hidden="1" customHeight="1">
      <c r="A1596" s="133" t="s">
        <v>2</v>
      </c>
      <c r="B1596" s="133" t="s">
        <v>4167</v>
      </c>
      <c r="C1596" s="133" t="s">
        <v>1145</v>
      </c>
      <c r="D1596" s="133" t="s">
        <v>484</v>
      </c>
      <c r="E1596" s="158">
        <v>4</v>
      </c>
      <c r="F1596" s="158">
        <v>10</v>
      </c>
      <c r="G1596" s="158">
        <v>0</v>
      </c>
      <c r="H1596" s="133" t="s">
        <v>4533</v>
      </c>
      <c r="I1596" s="133"/>
      <c r="J1596" s="158">
        <v>0</v>
      </c>
    </row>
    <row r="1597" spans="1:10" ht="15.75" hidden="1" customHeight="1">
      <c r="A1597" s="133" t="s">
        <v>2</v>
      </c>
      <c r="B1597" s="133" t="s">
        <v>4167</v>
      </c>
      <c r="C1597" s="133" t="s">
        <v>1137</v>
      </c>
      <c r="D1597" s="133" t="s">
        <v>481</v>
      </c>
      <c r="E1597" s="158">
        <v>5</v>
      </c>
      <c r="F1597" s="158">
        <v>9</v>
      </c>
      <c r="G1597" s="158">
        <v>2</v>
      </c>
      <c r="H1597" s="133" t="s">
        <v>4524</v>
      </c>
      <c r="I1597" s="133"/>
      <c r="J1597" s="158">
        <v>0</v>
      </c>
    </row>
    <row r="1598" spans="1:10" ht="15.75" hidden="1" customHeight="1">
      <c r="A1598" s="133" t="s">
        <v>2</v>
      </c>
      <c r="B1598" s="133" t="s">
        <v>4167</v>
      </c>
      <c r="C1598" s="133" t="s">
        <v>4565</v>
      </c>
      <c r="D1598" s="133" t="s">
        <v>481</v>
      </c>
      <c r="E1598" s="158">
        <v>5</v>
      </c>
      <c r="F1598" s="158">
        <v>9</v>
      </c>
      <c r="G1598" s="158">
        <v>2</v>
      </c>
      <c r="H1598" s="133" t="s">
        <v>4788</v>
      </c>
      <c r="I1598" s="133"/>
      <c r="J1598" s="158">
        <v>0</v>
      </c>
    </row>
    <row r="1599" spans="1:10" ht="15.75" hidden="1" customHeight="1">
      <c r="A1599" s="133" t="s">
        <v>2</v>
      </c>
      <c r="B1599" s="133" t="s">
        <v>4167</v>
      </c>
      <c r="C1599" s="133" t="s">
        <v>1208</v>
      </c>
      <c r="D1599" s="133" t="s">
        <v>484</v>
      </c>
      <c r="E1599" s="158">
        <v>4</v>
      </c>
      <c r="F1599" s="158">
        <v>10</v>
      </c>
      <c r="G1599" s="158">
        <v>0</v>
      </c>
      <c r="H1599" s="133" t="s">
        <v>1209</v>
      </c>
      <c r="I1599" s="133" t="s">
        <v>1210</v>
      </c>
      <c r="J1599" s="158">
        <v>0</v>
      </c>
    </row>
    <row r="1600" spans="1:10" ht="15.75" hidden="1" customHeight="1">
      <c r="A1600" s="133" t="s">
        <v>2</v>
      </c>
      <c r="B1600" s="133" t="s">
        <v>4167</v>
      </c>
      <c r="C1600" s="133" t="s">
        <v>3501</v>
      </c>
      <c r="D1600" s="133" t="s">
        <v>538</v>
      </c>
      <c r="E1600" s="158">
        <v>8</v>
      </c>
      <c r="F1600" s="158">
        <v>0</v>
      </c>
      <c r="G1600" s="158">
        <v>0</v>
      </c>
      <c r="H1600" s="98"/>
      <c r="I1600" s="133"/>
      <c r="J1600" s="158">
        <v>0</v>
      </c>
    </row>
    <row r="1601" spans="1:11" ht="15.75" hidden="1" customHeight="1">
      <c r="A1601" s="133" t="s">
        <v>2</v>
      </c>
      <c r="B1601" s="133" t="s">
        <v>4167</v>
      </c>
      <c r="C1601" s="133" t="s">
        <v>465</v>
      </c>
      <c r="D1601" s="133" t="s">
        <v>538</v>
      </c>
      <c r="E1601" s="158">
        <v>8</v>
      </c>
      <c r="F1601" s="158">
        <v>0</v>
      </c>
      <c r="G1601" s="158">
        <v>0</v>
      </c>
      <c r="H1601" s="98"/>
      <c r="I1601" s="133"/>
      <c r="J1601" s="158">
        <v>0</v>
      </c>
    </row>
    <row r="1602" spans="1:11" ht="15.75" customHeight="1">
      <c r="A1602" s="161" t="s">
        <v>2</v>
      </c>
      <c r="B1602" s="166" t="s">
        <v>4101</v>
      </c>
      <c r="C1602" s="161" t="s">
        <v>793</v>
      </c>
      <c r="D1602" s="161" t="s">
        <v>477</v>
      </c>
      <c r="E1602" s="162">
        <v>20</v>
      </c>
      <c r="F1602" s="162"/>
      <c r="G1602" s="162"/>
      <c r="H1602" s="161"/>
      <c r="I1602" s="161"/>
      <c r="J1602" s="162">
        <v>0</v>
      </c>
      <c r="K1602" s="164" t="s">
        <v>2318</v>
      </c>
    </row>
    <row r="1603" spans="1:11" ht="15.75" customHeight="1">
      <c r="A1603" s="161" t="s">
        <v>2</v>
      </c>
      <c r="B1603" s="166" t="s">
        <v>4101</v>
      </c>
      <c r="C1603" s="161" t="s">
        <v>3438</v>
      </c>
      <c r="D1603" s="161" t="s">
        <v>477</v>
      </c>
      <c r="E1603" s="162">
        <v>100</v>
      </c>
      <c r="F1603" s="162"/>
      <c r="G1603" s="162"/>
      <c r="H1603" s="161"/>
      <c r="I1603" s="161"/>
      <c r="J1603" s="162">
        <v>0</v>
      </c>
      <c r="K1603" s="164" t="s">
        <v>2318</v>
      </c>
    </row>
    <row r="1604" spans="1:11" ht="15.75" customHeight="1">
      <c r="A1604" s="161" t="s">
        <v>2</v>
      </c>
      <c r="B1604" s="166" t="s">
        <v>4101</v>
      </c>
      <c r="C1604" s="161" t="s">
        <v>5062</v>
      </c>
      <c r="D1604" s="161" t="s">
        <v>477</v>
      </c>
      <c r="E1604" s="162">
        <v>20</v>
      </c>
      <c r="F1604" s="162"/>
      <c r="G1604" s="162"/>
      <c r="H1604" s="161"/>
      <c r="I1604" s="161"/>
      <c r="J1604" s="162">
        <v>0</v>
      </c>
      <c r="K1604" s="164" t="s">
        <v>2318</v>
      </c>
    </row>
    <row r="1605" spans="1:11" ht="15.75" customHeight="1">
      <c r="A1605" s="161" t="s">
        <v>2</v>
      </c>
      <c r="B1605" s="166" t="s">
        <v>4101</v>
      </c>
      <c r="C1605" s="161" t="s">
        <v>2569</v>
      </c>
      <c r="D1605" s="161" t="s">
        <v>477</v>
      </c>
      <c r="E1605" s="162">
        <v>20</v>
      </c>
      <c r="F1605" s="162"/>
      <c r="G1605" s="162"/>
      <c r="H1605" s="161"/>
      <c r="I1605" s="161"/>
      <c r="J1605" s="162">
        <v>0</v>
      </c>
      <c r="K1605" s="164" t="s">
        <v>2318</v>
      </c>
    </row>
    <row r="1606" spans="1:11" ht="15.75" customHeight="1">
      <c r="A1606" s="161" t="s">
        <v>2</v>
      </c>
      <c r="B1606" s="166" t="s">
        <v>4101</v>
      </c>
      <c r="C1606" s="161" t="s">
        <v>5063</v>
      </c>
      <c r="D1606" s="161" t="s">
        <v>477</v>
      </c>
      <c r="E1606" s="162">
        <v>20</v>
      </c>
      <c r="F1606" s="162"/>
      <c r="G1606" s="162"/>
      <c r="H1606" s="161"/>
      <c r="I1606" s="161"/>
      <c r="J1606" s="162">
        <v>0</v>
      </c>
      <c r="K1606" s="164" t="s">
        <v>2318</v>
      </c>
    </row>
    <row r="1607" spans="1:11" ht="15.75" customHeight="1">
      <c r="A1607" s="161" t="s">
        <v>2</v>
      </c>
      <c r="B1607" s="166" t="s">
        <v>4101</v>
      </c>
      <c r="C1607" s="161" t="s">
        <v>369</v>
      </c>
      <c r="D1607" s="161" t="s">
        <v>477</v>
      </c>
      <c r="E1607" s="162">
        <v>20</v>
      </c>
      <c r="F1607" s="162"/>
      <c r="G1607" s="162"/>
      <c r="H1607" s="161"/>
      <c r="I1607" s="161"/>
      <c r="J1607" s="162">
        <v>0</v>
      </c>
      <c r="K1607" s="164" t="s">
        <v>2318</v>
      </c>
    </row>
    <row r="1608" spans="1:11" ht="15.75" customHeight="1">
      <c r="A1608" s="161" t="s">
        <v>2</v>
      </c>
      <c r="B1608" s="166" t="s">
        <v>4101</v>
      </c>
      <c r="C1608" s="161" t="s">
        <v>2290</v>
      </c>
      <c r="D1608" s="161" t="s">
        <v>477</v>
      </c>
      <c r="E1608" s="162">
        <v>100</v>
      </c>
      <c r="F1608" s="162"/>
      <c r="G1608" s="162"/>
      <c r="H1608" s="161"/>
      <c r="I1608" s="161"/>
      <c r="J1608" s="162">
        <v>0</v>
      </c>
      <c r="K1608" s="164" t="s">
        <v>2318</v>
      </c>
    </row>
    <row r="1609" spans="1:11" ht="15.75" customHeight="1">
      <c r="A1609" s="161" t="s">
        <v>2</v>
      </c>
      <c r="B1609" s="166" t="s">
        <v>4101</v>
      </c>
      <c r="C1609" s="161" t="s">
        <v>5064</v>
      </c>
      <c r="D1609" s="161" t="s">
        <v>477</v>
      </c>
      <c r="E1609" s="162">
        <v>20</v>
      </c>
      <c r="F1609" s="162"/>
      <c r="G1609" s="162"/>
      <c r="H1609" s="161"/>
      <c r="I1609" s="161"/>
      <c r="J1609" s="162">
        <v>0</v>
      </c>
      <c r="K1609" s="164" t="s">
        <v>2318</v>
      </c>
    </row>
    <row r="1610" spans="1:11" ht="15.75" customHeight="1">
      <c r="A1610" s="161" t="s">
        <v>2</v>
      </c>
      <c r="B1610" s="166" t="s">
        <v>4101</v>
      </c>
      <c r="C1610" s="161" t="s">
        <v>669</v>
      </c>
      <c r="D1610" s="284" t="s">
        <v>477</v>
      </c>
      <c r="E1610" s="162">
        <v>8</v>
      </c>
      <c r="F1610" s="162"/>
      <c r="G1610" s="162"/>
      <c r="H1610" s="161"/>
      <c r="I1610" s="161"/>
      <c r="J1610" s="162">
        <v>0</v>
      </c>
      <c r="K1610" s="164" t="s">
        <v>13160</v>
      </c>
    </row>
    <row r="1611" spans="1:11" ht="15.75" customHeight="1">
      <c r="A1611" s="161" t="s">
        <v>2</v>
      </c>
      <c r="B1611" s="166" t="s">
        <v>4101</v>
      </c>
      <c r="C1611" s="161" t="s">
        <v>523</v>
      </c>
      <c r="D1611" s="161" t="s">
        <v>477</v>
      </c>
      <c r="E1611" s="162">
        <v>20</v>
      </c>
      <c r="F1611" s="162"/>
      <c r="G1611" s="162"/>
      <c r="H1611" s="161"/>
      <c r="I1611" s="161"/>
      <c r="J1611" s="162">
        <v>0</v>
      </c>
      <c r="K1611" s="164" t="s">
        <v>2318</v>
      </c>
    </row>
    <row r="1612" spans="1:11" ht="15.75" customHeight="1">
      <c r="A1612" s="161" t="s">
        <v>2</v>
      </c>
      <c r="B1612" s="166" t="s">
        <v>4101</v>
      </c>
      <c r="C1612" s="161" t="s">
        <v>814</v>
      </c>
      <c r="D1612" s="161" t="s">
        <v>477</v>
      </c>
      <c r="E1612" s="162">
        <v>100</v>
      </c>
      <c r="F1612" s="162"/>
      <c r="G1612" s="162"/>
      <c r="H1612" s="161"/>
      <c r="I1612" s="161"/>
      <c r="J1612" s="162">
        <v>0</v>
      </c>
      <c r="K1612" s="164" t="s">
        <v>2318</v>
      </c>
    </row>
    <row r="1613" spans="1:11" ht="15.75" customHeight="1">
      <c r="A1613" s="161" t="s">
        <v>2</v>
      </c>
      <c r="B1613" s="166" t="s">
        <v>4101</v>
      </c>
      <c r="C1613" s="161" t="s">
        <v>215</v>
      </c>
      <c r="D1613" s="284" t="s">
        <v>477</v>
      </c>
      <c r="E1613" s="162">
        <v>8</v>
      </c>
      <c r="F1613" s="162"/>
      <c r="G1613" s="162"/>
      <c r="H1613" s="161"/>
      <c r="I1613" s="161"/>
      <c r="J1613" s="162">
        <v>0</v>
      </c>
      <c r="K1613" s="164" t="s">
        <v>13160</v>
      </c>
    </row>
    <row r="1614" spans="1:11" ht="15.75" customHeight="1">
      <c r="A1614" s="161" t="s">
        <v>2</v>
      </c>
      <c r="B1614" s="166" t="s">
        <v>4101</v>
      </c>
      <c r="C1614" s="161" t="s">
        <v>670</v>
      </c>
      <c r="D1614" s="161" t="s">
        <v>477</v>
      </c>
      <c r="E1614" s="162">
        <v>20</v>
      </c>
      <c r="F1614" s="162"/>
      <c r="G1614" s="162"/>
      <c r="H1614" s="161"/>
      <c r="I1614" s="161"/>
      <c r="J1614" s="162">
        <v>0</v>
      </c>
      <c r="K1614" s="164" t="s">
        <v>2318</v>
      </c>
    </row>
    <row r="1615" spans="1:11" ht="15.75" customHeight="1">
      <c r="A1615" s="161" t="s">
        <v>2</v>
      </c>
      <c r="B1615" s="166" t="s">
        <v>4101</v>
      </c>
      <c r="C1615" s="161" t="s">
        <v>816</v>
      </c>
      <c r="D1615" s="161" t="s">
        <v>477</v>
      </c>
      <c r="E1615" s="162">
        <v>100</v>
      </c>
      <c r="F1615" s="162"/>
      <c r="G1615" s="162"/>
      <c r="H1615" s="161"/>
      <c r="I1615" s="161"/>
      <c r="J1615" s="162">
        <v>0</v>
      </c>
      <c r="K1615" s="164" t="s">
        <v>2318</v>
      </c>
    </row>
    <row r="1616" spans="1:11" ht="15.75" customHeight="1">
      <c r="A1616" s="161" t="s">
        <v>2</v>
      </c>
      <c r="B1616" s="166" t="s">
        <v>4101</v>
      </c>
      <c r="C1616" s="161" t="s">
        <v>4300</v>
      </c>
      <c r="D1616" s="161" t="s">
        <v>477</v>
      </c>
      <c r="E1616" s="162">
        <v>20</v>
      </c>
      <c r="F1616" s="162"/>
      <c r="G1616" s="162"/>
      <c r="H1616" s="161"/>
      <c r="I1616" s="161"/>
      <c r="J1616" s="162">
        <v>0</v>
      </c>
      <c r="K1616" s="164" t="s">
        <v>2318</v>
      </c>
    </row>
    <row r="1617" spans="1:11" ht="15.75" customHeight="1">
      <c r="A1617" s="161" t="s">
        <v>2</v>
      </c>
      <c r="B1617" s="166" t="s">
        <v>4101</v>
      </c>
      <c r="C1617" s="161" t="s">
        <v>5065</v>
      </c>
      <c r="D1617" s="161" t="s">
        <v>477</v>
      </c>
      <c r="E1617" s="162">
        <v>20</v>
      </c>
      <c r="F1617" s="162"/>
      <c r="G1617" s="162"/>
      <c r="H1617" s="161"/>
      <c r="I1617" s="161"/>
      <c r="J1617" s="162">
        <v>0</v>
      </c>
      <c r="K1617" s="164" t="s">
        <v>2318</v>
      </c>
    </row>
    <row r="1618" spans="1:11" ht="15.75" customHeight="1">
      <c r="A1618" s="161" t="s">
        <v>2</v>
      </c>
      <c r="B1618" s="166" t="s">
        <v>4101</v>
      </c>
      <c r="C1618" s="161" t="s">
        <v>5066</v>
      </c>
      <c r="D1618" s="161" t="s">
        <v>477</v>
      </c>
      <c r="E1618" s="162">
        <v>20</v>
      </c>
      <c r="F1618" s="162"/>
      <c r="G1618" s="162"/>
      <c r="H1618" s="161"/>
      <c r="I1618" s="161"/>
      <c r="J1618" s="162">
        <v>0</v>
      </c>
      <c r="K1618" s="164" t="s">
        <v>2318</v>
      </c>
    </row>
    <row r="1619" spans="1:11" ht="15.75" customHeight="1">
      <c r="A1619" s="133"/>
      <c r="B1619" s="133"/>
      <c r="C1619" s="133"/>
      <c r="D1619" s="133"/>
      <c r="E1619" s="158"/>
      <c r="F1619" s="158"/>
      <c r="G1619" s="158"/>
      <c r="H1619" s="133"/>
      <c r="I1619" s="133"/>
      <c r="J1619" s="133"/>
    </row>
    <row r="1620" spans="1:11" ht="15.75" customHeight="1">
      <c r="A1620" s="133"/>
      <c r="B1620" s="133"/>
      <c r="C1620" s="133"/>
      <c r="D1620" s="133"/>
      <c r="E1620" s="158"/>
      <c r="F1620" s="158"/>
      <c r="G1620" s="158"/>
      <c r="H1620" s="133"/>
      <c r="I1620" s="133"/>
      <c r="J1620" s="133"/>
    </row>
    <row r="1621" spans="1:11" ht="15.75" customHeight="1">
      <c r="A1621" s="133"/>
      <c r="B1621" s="133"/>
      <c r="C1621" s="133"/>
      <c r="D1621" s="133"/>
      <c r="E1621" s="158"/>
      <c r="F1621" s="158"/>
      <c r="G1621" s="158"/>
      <c r="H1621" s="133"/>
      <c r="I1621" s="133"/>
      <c r="J1621" s="158"/>
    </row>
    <row r="1622" spans="1:11" ht="15.75" customHeight="1">
      <c r="A1622" s="133"/>
      <c r="B1622" s="133"/>
      <c r="C1622" s="133"/>
      <c r="D1622" s="133"/>
      <c r="E1622" s="158"/>
      <c r="F1622" s="158"/>
      <c r="G1622" s="158"/>
      <c r="H1622" s="133"/>
      <c r="I1622" s="133"/>
      <c r="J1622" s="158"/>
    </row>
    <row r="1623" spans="1:11" ht="15.75" customHeight="1">
      <c r="A1623" s="133"/>
      <c r="B1623" s="133"/>
      <c r="C1623" s="133"/>
      <c r="D1623" s="133"/>
      <c r="E1623" s="158"/>
      <c r="F1623" s="158"/>
      <c r="G1623" s="158"/>
      <c r="H1623" s="133"/>
      <c r="I1623" s="133"/>
      <c r="J1623" s="158"/>
    </row>
    <row r="1624" spans="1:11" ht="15.75" customHeight="1">
      <c r="A1624" s="133"/>
      <c r="B1624" s="133"/>
      <c r="C1624" s="133"/>
      <c r="D1624" s="133"/>
      <c r="E1624" s="158"/>
      <c r="F1624" s="158"/>
      <c r="G1624" s="158"/>
      <c r="H1624" s="133"/>
      <c r="I1624" s="133"/>
      <c r="J1624" s="158"/>
    </row>
    <row r="1625" spans="1:11" ht="15.75" customHeight="1">
      <c r="A1625" s="133"/>
      <c r="B1625" s="133"/>
      <c r="C1625" s="133"/>
      <c r="D1625" s="133"/>
      <c r="E1625" s="158"/>
      <c r="F1625" s="158"/>
      <c r="G1625" s="158"/>
      <c r="H1625" s="133"/>
      <c r="I1625" s="133"/>
      <c r="J1625" s="158"/>
    </row>
    <row r="1626" spans="1:11" ht="15.75" customHeight="1">
      <c r="A1626" s="133"/>
      <c r="B1626" s="133"/>
      <c r="C1626" s="133"/>
      <c r="D1626" s="133"/>
      <c r="E1626" s="158"/>
      <c r="F1626" s="158"/>
      <c r="G1626" s="158"/>
      <c r="H1626" s="133"/>
      <c r="I1626" s="133"/>
      <c r="J1626" s="158"/>
    </row>
    <row r="1627" spans="1:11" ht="15.75" customHeight="1">
      <c r="A1627" s="133"/>
      <c r="B1627" s="133"/>
      <c r="C1627" s="133"/>
      <c r="D1627" s="133"/>
      <c r="E1627" s="158"/>
      <c r="F1627" s="158"/>
      <c r="G1627" s="158"/>
      <c r="H1627" s="133"/>
      <c r="I1627" s="133"/>
      <c r="J1627" s="158"/>
    </row>
    <row r="1628" spans="1:11" ht="15.75" customHeight="1">
      <c r="A1628" s="133"/>
      <c r="B1628" s="133"/>
      <c r="C1628" s="133"/>
      <c r="D1628" s="133"/>
      <c r="E1628" s="158"/>
      <c r="F1628" s="158"/>
      <c r="G1628" s="158"/>
      <c r="H1628" s="133"/>
      <c r="I1628" s="133"/>
      <c r="J1628" s="158"/>
    </row>
    <row r="1629" spans="1:11" ht="15.75" customHeight="1">
      <c r="A1629" s="133"/>
      <c r="B1629" s="133"/>
      <c r="C1629" s="133"/>
      <c r="D1629" s="133"/>
      <c r="E1629" s="158"/>
      <c r="F1629" s="158"/>
      <c r="G1629" s="158"/>
      <c r="H1629" s="133"/>
      <c r="I1629" s="133"/>
      <c r="J1629" s="158"/>
    </row>
    <row r="1630" spans="1:11" ht="15.75" customHeight="1">
      <c r="A1630" s="133"/>
      <c r="B1630" s="133"/>
      <c r="C1630" s="133"/>
      <c r="D1630" s="133"/>
      <c r="E1630" s="158"/>
      <c r="F1630" s="158"/>
      <c r="G1630" s="158"/>
      <c r="H1630" s="133"/>
      <c r="I1630" s="133"/>
      <c r="J1630" s="158"/>
    </row>
    <row r="1631" spans="1:11" ht="15.75" customHeight="1">
      <c r="A1631" s="133"/>
      <c r="B1631" s="133"/>
      <c r="C1631" s="133"/>
      <c r="D1631" s="133"/>
      <c r="E1631" s="158"/>
      <c r="F1631" s="158"/>
      <c r="G1631" s="158"/>
      <c r="H1631" s="133"/>
      <c r="I1631" s="133"/>
      <c r="J1631" s="158"/>
    </row>
    <row r="1632" spans="1:11" ht="15.75" customHeight="1">
      <c r="A1632" s="133"/>
      <c r="B1632" s="133"/>
      <c r="C1632" s="133"/>
      <c r="D1632" s="133"/>
      <c r="E1632" s="158"/>
      <c r="F1632" s="158"/>
      <c r="G1632" s="158"/>
      <c r="H1632" s="133"/>
      <c r="I1632" s="133"/>
      <c r="J1632" s="158"/>
    </row>
    <row r="1633" spans="1:10" ht="15.75" customHeight="1">
      <c r="A1633" s="133"/>
      <c r="B1633" s="133"/>
      <c r="C1633" s="133"/>
      <c r="D1633" s="133"/>
      <c r="E1633" s="158"/>
      <c r="F1633" s="158"/>
      <c r="G1633" s="158"/>
      <c r="H1633" s="133"/>
      <c r="I1633" s="133"/>
      <c r="J1633" s="158"/>
    </row>
    <row r="1634" spans="1:10" ht="15.75" customHeight="1">
      <c r="A1634" s="133"/>
      <c r="B1634" s="133"/>
      <c r="C1634" s="133"/>
      <c r="D1634" s="133"/>
      <c r="E1634" s="158"/>
      <c r="F1634" s="158"/>
      <c r="G1634" s="158"/>
      <c r="H1634" s="133"/>
      <c r="I1634" s="133"/>
      <c r="J1634" s="158"/>
    </row>
    <row r="1635" spans="1:10" ht="15.75" customHeight="1">
      <c r="A1635" s="133"/>
      <c r="B1635" s="133"/>
      <c r="C1635" s="133"/>
      <c r="D1635" s="133"/>
      <c r="E1635" s="158"/>
      <c r="F1635" s="158"/>
      <c r="G1635" s="158"/>
      <c r="H1635" s="133"/>
      <c r="I1635" s="133"/>
      <c r="J1635" s="158"/>
    </row>
    <row r="1636" spans="1:10" ht="15.75" customHeight="1">
      <c r="A1636" s="133"/>
      <c r="B1636" s="133"/>
      <c r="C1636" s="133"/>
      <c r="D1636" s="133"/>
      <c r="E1636" s="158"/>
      <c r="F1636" s="158"/>
      <c r="G1636" s="158"/>
      <c r="H1636" s="133"/>
      <c r="I1636" s="133"/>
      <c r="J1636" s="158"/>
    </row>
    <row r="1637" spans="1:10" ht="15.75" customHeight="1">
      <c r="A1637" s="133"/>
      <c r="B1637" s="133"/>
      <c r="C1637" s="133"/>
      <c r="D1637" s="133"/>
      <c r="E1637" s="158"/>
      <c r="F1637" s="158"/>
      <c r="G1637" s="158"/>
      <c r="H1637" s="133"/>
      <c r="I1637" s="133"/>
      <c r="J1637" s="158"/>
    </row>
    <row r="1638" spans="1:10" ht="15.75" customHeight="1">
      <c r="A1638" s="133"/>
      <c r="B1638" s="133"/>
      <c r="C1638" s="133"/>
      <c r="D1638" s="133"/>
      <c r="E1638" s="158"/>
      <c r="F1638" s="158"/>
      <c r="G1638" s="158"/>
      <c r="H1638" s="133"/>
      <c r="I1638" s="133"/>
      <c r="J1638" s="158"/>
    </row>
    <row r="1639" spans="1:10" ht="15.75" customHeight="1">
      <c r="A1639" s="133"/>
      <c r="B1639" s="133"/>
      <c r="C1639" s="133"/>
      <c r="D1639" s="133"/>
      <c r="E1639" s="158"/>
      <c r="F1639" s="158"/>
      <c r="G1639" s="158"/>
      <c r="H1639" s="133"/>
      <c r="I1639" s="133"/>
      <c r="J1639" s="158"/>
    </row>
    <row r="1640" spans="1:10" ht="15.75" customHeight="1">
      <c r="A1640" s="133"/>
      <c r="B1640" s="133"/>
      <c r="C1640" s="133"/>
      <c r="D1640" s="133"/>
      <c r="E1640" s="158"/>
      <c r="F1640" s="158"/>
      <c r="G1640" s="158"/>
      <c r="H1640" s="133"/>
      <c r="I1640" s="133"/>
      <c r="J1640" s="158"/>
    </row>
    <row r="1641" spans="1:10" ht="15.75" customHeight="1">
      <c r="A1641" s="133"/>
      <c r="B1641" s="133"/>
      <c r="C1641" s="133"/>
      <c r="D1641" s="133"/>
      <c r="E1641" s="158"/>
      <c r="F1641" s="158"/>
      <c r="G1641" s="158"/>
      <c r="H1641" s="133"/>
      <c r="I1641" s="133"/>
      <c r="J1641" s="158"/>
    </row>
    <row r="1642" spans="1:10" ht="15.75" customHeight="1">
      <c r="A1642" s="133"/>
      <c r="B1642" s="133"/>
      <c r="C1642" s="133"/>
      <c r="D1642" s="133"/>
      <c r="E1642" s="158"/>
      <c r="F1642" s="158"/>
      <c r="G1642" s="158"/>
      <c r="H1642" s="133"/>
      <c r="I1642" s="133"/>
      <c r="J1642" s="158"/>
    </row>
    <row r="1643" spans="1:10" ht="15.75" customHeight="1">
      <c r="A1643" s="133"/>
      <c r="B1643" s="133"/>
      <c r="C1643" s="133"/>
      <c r="D1643" s="133"/>
      <c r="E1643" s="158"/>
      <c r="F1643" s="158"/>
      <c r="G1643" s="158"/>
      <c r="H1643" s="133"/>
      <c r="I1643" s="133"/>
      <c r="J1643" s="158"/>
    </row>
    <row r="1644" spans="1:10" ht="15.75" customHeight="1">
      <c r="A1644" s="133"/>
      <c r="B1644" s="133"/>
      <c r="C1644" s="133"/>
      <c r="D1644" s="133"/>
      <c r="E1644" s="158"/>
      <c r="F1644" s="158"/>
      <c r="G1644" s="158"/>
      <c r="H1644" s="133"/>
      <c r="I1644" s="133"/>
      <c r="J1644" s="158"/>
    </row>
    <row r="1645" spans="1:10" ht="15.75" customHeight="1">
      <c r="A1645" s="133"/>
      <c r="B1645" s="133"/>
      <c r="C1645" s="133"/>
      <c r="D1645" s="133"/>
      <c r="E1645" s="158"/>
      <c r="F1645" s="158"/>
      <c r="G1645" s="158"/>
      <c r="H1645" s="133"/>
      <c r="I1645" s="133"/>
      <c r="J1645" s="158"/>
    </row>
    <row r="1646" spans="1:10" ht="15.75" customHeight="1">
      <c r="A1646" s="133"/>
      <c r="B1646" s="133"/>
      <c r="C1646" s="133"/>
      <c r="D1646" s="133"/>
      <c r="E1646" s="158"/>
      <c r="F1646" s="158"/>
      <c r="G1646" s="158"/>
      <c r="H1646" s="133"/>
      <c r="I1646" s="133"/>
      <c r="J1646" s="158"/>
    </row>
    <row r="1647" spans="1:10" ht="15.75" customHeight="1">
      <c r="A1647" s="133"/>
      <c r="B1647" s="133"/>
      <c r="C1647" s="133"/>
      <c r="D1647" s="133"/>
      <c r="E1647" s="158"/>
      <c r="F1647" s="158"/>
      <c r="G1647" s="158"/>
      <c r="H1647" s="133"/>
      <c r="I1647" s="133"/>
      <c r="J1647" s="158"/>
    </row>
    <row r="1648" spans="1:10" ht="15.75" customHeight="1">
      <c r="A1648" s="133"/>
      <c r="B1648" s="133"/>
      <c r="C1648" s="133"/>
      <c r="D1648" s="133"/>
      <c r="E1648" s="158"/>
      <c r="F1648" s="158"/>
      <c r="G1648" s="158"/>
      <c r="H1648" s="133"/>
      <c r="I1648" s="133"/>
      <c r="J1648" s="158"/>
    </row>
    <row r="1649" spans="1:10" ht="15.75" customHeight="1">
      <c r="A1649" s="133"/>
      <c r="B1649" s="133"/>
      <c r="C1649" s="133"/>
      <c r="D1649" s="133"/>
      <c r="E1649" s="158"/>
      <c r="F1649" s="158"/>
      <c r="G1649" s="158"/>
      <c r="H1649" s="133"/>
      <c r="I1649" s="133"/>
      <c r="J1649" s="158"/>
    </row>
    <row r="1650" spans="1:10" ht="15.75" customHeight="1">
      <c r="A1650" s="133"/>
      <c r="B1650" s="133"/>
      <c r="C1650" s="133"/>
      <c r="D1650" s="133"/>
      <c r="E1650" s="158"/>
      <c r="F1650" s="158"/>
      <c r="G1650" s="158"/>
      <c r="H1650" s="133"/>
      <c r="I1650" s="133"/>
      <c r="J1650" s="158"/>
    </row>
    <row r="1651" spans="1:10" ht="15.75" customHeight="1">
      <c r="A1651" s="133"/>
      <c r="B1651" s="133"/>
      <c r="C1651" s="133"/>
      <c r="D1651" s="133"/>
      <c r="E1651" s="158"/>
      <c r="F1651" s="158"/>
      <c r="G1651" s="158"/>
      <c r="H1651" s="133"/>
      <c r="I1651" s="133"/>
      <c r="J1651" s="158"/>
    </row>
    <row r="1652" spans="1:10" ht="15.75" customHeight="1">
      <c r="A1652" s="133"/>
      <c r="B1652" s="133"/>
      <c r="C1652" s="133"/>
      <c r="D1652" s="133"/>
      <c r="E1652" s="158"/>
      <c r="F1652" s="158"/>
      <c r="G1652" s="158"/>
      <c r="H1652" s="133"/>
      <c r="I1652" s="133"/>
      <c r="J1652" s="158"/>
    </row>
    <row r="1653" spans="1:10" ht="15.75" customHeight="1">
      <c r="A1653" s="133"/>
      <c r="B1653" s="133"/>
      <c r="C1653" s="133"/>
      <c r="D1653" s="133"/>
      <c r="E1653" s="158"/>
      <c r="F1653" s="158"/>
      <c r="G1653" s="158"/>
      <c r="H1653" s="133"/>
      <c r="I1653" s="133"/>
      <c r="J1653" s="158"/>
    </row>
    <row r="1654" spans="1:10" ht="15.75" customHeight="1">
      <c r="A1654" s="133"/>
      <c r="B1654" s="133"/>
      <c r="C1654" s="133"/>
      <c r="D1654" s="133"/>
      <c r="E1654" s="158"/>
      <c r="F1654" s="158"/>
      <c r="G1654" s="158"/>
      <c r="H1654" s="133"/>
      <c r="I1654" s="133"/>
      <c r="J1654" s="158"/>
    </row>
    <row r="1655" spans="1:10" ht="15.75" customHeight="1">
      <c r="A1655" s="133"/>
      <c r="B1655" s="133"/>
      <c r="C1655" s="133"/>
      <c r="D1655" s="133"/>
      <c r="E1655" s="158"/>
      <c r="F1655" s="158"/>
      <c r="G1655" s="158"/>
      <c r="H1655" s="133"/>
      <c r="I1655" s="133"/>
      <c r="J1655" s="158"/>
    </row>
    <row r="1656" spans="1:10" ht="15.75" customHeight="1">
      <c r="A1656" s="133"/>
      <c r="B1656" s="133"/>
      <c r="C1656" s="133"/>
      <c r="D1656" s="133"/>
      <c r="E1656" s="158"/>
      <c r="F1656" s="158"/>
      <c r="G1656" s="158"/>
      <c r="H1656" s="133"/>
      <c r="I1656" s="133"/>
      <c r="J1656" s="158"/>
    </row>
    <row r="1657" spans="1:10" ht="15.75" customHeight="1">
      <c r="A1657" s="133"/>
      <c r="B1657" s="133"/>
      <c r="C1657" s="133"/>
      <c r="D1657" s="133"/>
      <c r="E1657" s="158"/>
      <c r="F1657" s="158"/>
      <c r="G1657" s="158"/>
      <c r="H1657" s="133"/>
      <c r="I1657" s="133"/>
      <c r="J1657" s="158"/>
    </row>
    <row r="1658" spans="1:10" ht="15.75" customHeight="1">
      <c r="A1658" s="133"/>
      <c r="B1658" s="133"/>
      <c r="C1658" s="133"/>
      <c r="D1658" s="133"/>
      <c r="E1658" s="158"/>
      <c r="F1658" s="158"/>
      <c r="G1658" s="158"/>
      <c r="H1658" s="133"/>
      <c r="I1658" s="133"/>
      <c r="J1658" s="158"/>
    </row>
    <row r="1659" spans="1:10" ht="15.75" customHeight="1">
      <c r="A1659" s="133"/>
      <c r="B1659" s="133"/>
      <c r="C1659" s="133"/>
      <c r="D1659" s="133"/>
      <c r="E1659" s="158"/>
      <c r="F1659" s="158"/>
      <c r="G1659" s="158"/>
      <c r="H1659" s="133"/>
      <c r="I1659" s="133"/>
      <c r="J1659" s="158"/>
    </row>
    <row r="1660" spans="1:10" ht="15.75" customHeight="1">
      <c r="A1660" s="133"/>
      <c r="B1660" s="133"/>
      <c r="C1660" s="133"/>
      <c r="D1660" s="133"/>
      <c r="E1660" s="158"/>
      <c r="F1660" s="158"/>
      <c r="G1660" s="158"/>
      <c r="H1660" s="133"/>
      <c r="I1660" s="133"/>
      <c r="J1660" s="158"/>
    </row>
    <row r="1661" spans="1:10" ht="15.75" customHeight="1">
      <c r="A1661" s="133"/>
      <c r="B1661" s="133"/>
      <c r="C1661" s="133"/>
      <c r="D1661" s="133"/>
      <c r="E1661" s="158"/>
      <c r="F1661" s="158"/>
      <c r="G1661" s="158"/>
      <c r="H1661" s="133"/>
      <c r="I1661" s="133"/>
      <c r="J1661" s="158"/>
    </row>
    <row r="1662" spans="1:10" ht="15.75" customHeight="1">
      <c r="A1662" s="133"/>
      <c r="B1662" s="133"/>
      <c r="C1662" s="133"/>
      <c r="D1662" s="133"/>
      <c r="E1662" s="158"/>
      <c r="F1662" s="158"/>
      <c r="G1662" s="158"/>
      <c r="H1662" s="133"/>
      <c r="I1662" s="133"/>
      <c r="J1662" s="158"/>
    </row>
    <row r="1663" spans="1:10" ht="15.75" customHeight="1">
      <c r="A1663" s="133"/>
      <c r="B1663" s="133"/>
      <c r="C1663" s="133"/>
      <c r="D1663" s="133"/>
      <c r="E1663" s="158"/>
      <c r="F1663" s="158"/>
      <c r="G1663" s="158"/>
      <c r="H1663" s="133"/>
      <c r="I1663" s="133"/>
      <c r="J1663" s="158"/>
    </row>
    <row r="1664" spans="1:10" ht="15.75" customHeight="1">
      <c r="A1664" s="133"/>
      <c r="B1664" s="133"/>
      <c r="C1664" s="133"/>
      <c r="D1664" s="133"/>
      <c r="E1664" s="158"/>
      <c r="F1664" s="158"/>
      <c r="G1664" s="158"/>
      <c r="H1664" s="133"/>
      <c r="I1664" s="133"/>
      <c r="J1664" s="158"/>
    </row>
    <row r="1665" spans="1:10" ht="15.75" customHeight="1">
      <c r="A1665" s="133"/>
      <c r="B1665" s="133"/>
      <c r="C1665" s="133"/>
      <c r="D1665" s="133"/>
      <c r="E1665" s="158"/>
      <c r="F1665" s="158"/>
      <c r="G1665" s="158"/>
      <c r="H1665" s="133"/>
      <c r="I1665" s="133"/>
      <c r="J1665" s="158"/>
    </row>
    <row r="1666" spans="1:10" ht="15.75" customHeight="1">
      <c r="A1666" s="133"/>
      <c r="B1666" s="133"/>
      <c r="C1666" s="133"/>
      <c r="D1666" s="133"/>
      <c r="E1666" s="158"/>
      <c r="F1666" s="158"/>
      <c r="G1666" s="158"/>
      <c r="H1666" s="133"/>
      <c r="I1666" s="133"/>
      <c r="J1666" s="158"/>
    </row>
    <row r="1667" spans="1:10" ht="15.75" customHeight="1">
      <c r="A1667" s="133"/>
      <c r="B1667" s="133"/>
      <c r="C1667" s="133"/>
      <c r="D1667" s="133"/>
      <c r="E1667" s="158"/>
      <c r="F1667" s="158"/>
      <c r="G1667" s="158"/>
      <c r="H1667" s="133"/>
      <c r="I1667" s="133"/>
      <c r="J1667" s="158"/>
    </row>
    <row r="1668" spans="1:10" ht="15.75" customHeight="1">
      <c r="A1668" s="133"/>
      <c r="B1668" s="133"/>
      <c r="C1668" s="133"/>
      <c r="D1668" s="133"/>
      <c r="E1668" s="158"/>
      <c r="F1668" s="158"/>
      <c r="G1668" s="158"/>
      <c r="H1668" s="133"/>
      <c r="I1668" s="133"/>
      <c r="J1668" s="158"/>
    </row>
    <row r="1669" spans="1:10" ht="15.75" customHeight="1">
      <c r="A1669" s="133"/>
      <c r="B1669" s="133"/>
      <c r="C1669" s="133"/>
      <c r="D1669" s="133"/>
      <c r="E1669" s="158"/>
      <c r="F1669" s="158"/>
      <c r="G1669" s="158"/>
      <c r="H1669" s="133"/>
      <c r="I1669" s="133"/>
      <c r="J1669" s="158"/>
    </row>
    <row r="1670" spans="1:10" ht="15.75" customHeight="1">
      <c r="A1670" s="133"/>
      <c r="B1670" s="133"/>
      <c r="C1670" s="133"/>
      <c r="D1670" s="133"/>
      <c r="E1670" s="158"/>
      <c r="F1670" s="158"/>
      <c r="G1670" s="158"/>
      <c r="H1670" s="133"/>
      <c r="I1670" s="133"/>
      <c r="J1670" s="158"/>
    </row>
    <row r="1671" spans="1:10" ht="15.75" customHeight="1">
      <c r="A1671" s="133"/>
      <c r="B1671" s="133"/>
      <c r="C1671" s="133"/>
      <c r="D1671" s="133"/>
      <c r="E1671" s="158"/>
      <c r="F1671" s="158"/>
      <c r="G1671" s="158"/>
      <c r="H1671" s="133"/>
      <c r="I1671" s="133"/>
      <c r="J1671" s="158"/>
    </row>
    <row r="1672" spans="1:10" ht="15.75" customHeight="1">
      <c r="A1672" s="133"/>
      <c r="B1672" s="133"/>
      <c r="C1672" s="133"/>
      <c r="D1672" s="133"/>
      <c r="E1672" s="158"/>
      <c r="F1672" s="158"/>
      <c r="G1672" s="158"/>
      <c r="H1672" s="133"/>
      <c r="I1672" s="133"/>
      <c r="J1672" s="158"/>
    </row>
    <row r="1673" spans="1:10" ht="15.75" customHeight="1">
      <c r="A1673" s="133"/>
      <c r="B1673" s="133"/>
      <c r="C1673" s="133"/>
      <c r="D1673" s="133"/>
      <c r="E1673" s="158"/>
      <c r="F1673" s="158"/>
      <c r="G1673" s="158"/>
      <c r="H1673" s="133"/>
      <c r="I1673" s="133"/>
      <c r="J1673" s="158"/>
    </row>
    <row r="1674" spans="1:10" ht="15.75" customHeight="1">
      <c r="A1674" s="133"/>
      <c r="B1674" s="133"/>
      <c r="C1674" s="133"/>
      <c r="D1674" s="133"/>
      <c r="E1674" s="158"/>
      <c r="F1674" s="158"/>
      <c r="G1674" s="158"/>
      <c r="H1674" s="133"/>
      <c r="I1674" s="133"/>
      <c r="J1674" s="158"/>
    </row>
    <row r="1675" spans="1:10" ht="15.75" customHeight="1">
      <c r="A1675" s="133"/>
      <c r="B1675" s="133"/>
      <c r="C1675" s="133"/>
      <c r="D1675" s="133"/>
      <c r="E1675" s="158"/>
      <c r="F1675" s="158"/>
      <c r="G1675" s="158"/>
      <c r="H1675" s="133"/>
      <c r="I1675" s="133"/>
      <c r="J1675" s="158"/>
    </row>
    <row r="1676" spans="1:10" ht="15.75" customHeight="1">
      <c r="A1676" s="133"/>
      <c r="B1676" s="133"/>
      <c r="C1676" s="133"/>
      <c r="D1676" s="133"/>
      <c r="E1676" s="158"/>
      <c r="F1676" s="158"/>
      <c r="G1676" s="158"/>
      <c r="H1676" s="133"/>
      <c r="I1676" s="133"/>
      <c r="J1676" s="158"/>
    </row>
    <row r="1677" spans="1:10" ht="15.75" customHeight="1">
      <c r="A1677" s="133"/>
      <c r="B1677" s="133"/>
      <c r="C1677" s="133"/>
      <c r="D1677" s="133"/>
      <c r="E1677" s="158"/>
      <c r="F1677" s="158"/>
      <c r="G1677" s="158"/>
      <c r="H1677" s="133"/>
      <c r="I1677" s="133"/>
      <c r="J1677" s="158"/>
    </row>
    <row r="1678" spans="1:10" ht="15.75" customHeight="1">
      <c r="A1678" s="133"/>
      <c r="B1678" s="133"/>
      <c r="C1678" s="133"/>
      <c r="D1678" s="133"/>
      <c r="E1678" s="158"/>
      <c r="F1678" s="158"/>
      <c r="G1678" s="158"/>
      <c r="H1678" s="133"/>
      <c r="I1678" s="133"/>
      <c r="J1678" s="158"/>
    </row>
    <row r="1679" spans="1:10" ht="15.75" customHeight="1">
      <c r="A1679" s="133"/>
      <c r="B1679" s="133"/>
      <c r="C1679" s="133"/>
      <c r="D1679" s="133"/>
      <c r="E1679" s="158"/>
      <c r="F1679" s="158"/>
      <c r="G1679" s="158"/>
      <c r="H1679" s="133"/>
      <c r="I1679" s="133"/>
      <c r="J1679" s="158"/>
    </row>
    <row r="1680" spans="1:10" ht="15.75" customHeight="1">
      <c r="A1680" s="133"/>
      <c r="B1680" s="133"/>
      <c r="C1680" s="133"/>
      <c r="D1680" s="133"/>
      <c r="E1680" s="158"/>
      <c r="F1680" s="158"/>
      <c r="G1680" s="158"/>
      <c r="H1680" s="133"/>
      <c r="I1680" s="133"/>
      <c r="J1680" s="158"/>
    </row>
    <row r="1681" spans="1:10" ht="15.75" customHeight="1">
      <c r="A1681" s="133"/>
      <c r="B1681" s="133"/>
      <c r="C1681" s="133"/>
      <c r="D1681" s="133"/>
      <c r="E1681" s="158"/>
      <c r="F1681" s="158"/>
      <c r="G1681" s="158"/>
      <c r="H1681" s="133"/>
      <c r="I1681" s="133"/>
      <c r="J1681" s="158"/>
    </row>
    <row r="1682" spans="1:10" ht="15.75" customHeight="1">
      <c r="A1682" s="133"/>
      <c r="B1682" s="133"/>
      <c r="C1682" s="133"/>
      <c r="D1682" s="133"/>
      <c r="E1682" s="158"/>
      <c r="F1682" s="158"/>
      <c r="G1682" s="158"/>
      <c r="H1682" s="133"/>
      <c r="I1682" s="133"/>
      <c r="J1682" s="158"/>
    </row>
    <row r="1683" spans="1:10" ht="15.75" customHeight="1">
      <c r="A1683" s="133"/>
      <c r="B1683" s="133"/>
      <c r="C1683" s="133"/>
      <c r="D1683" s="133"/>
      <c r="E1683" s="158"/>
      <c r="F1683" s="158"/>
      <c r="G1683" s="158"/>
      <c r="H1683" s="133"/>
      <c r="I1683" s="133"/>
      <c r="J1683" s="158"/>
    </row>
    <row r="1684" spans="1:10" ht="15.75" customHeight="1">
      <c r="A1684" s="133"/>
      <c r="B1684" s="133"/>
      <c r="C1684" s="133"/>
      <c r="D1684" s="133"/>
      <c r="E1684" s="158"/>
      <c r="F1684" s="158"/>
      <c r="G1684" s="158"/>
      <c r="H1684" s="133"/>
      <c r="I1684" s="133"/>
      <c r="J1684" s="158"/>
    </row>
    <row r="1685" spans="1:10" ht="15.75" customHeight="1">
      <c r="A1685" s="133"/>
      <c r="B1685" s="133"/>
      <c r="C1685" s="133"/>
      <c r="D1685" s="133"/>
      <c r="E1685" s="158"/>
      <c r="F1685" s="158"/>
      <c r="G1685" s="158"/>
      <c r="H1685" s="133"/>
      <c r="I1685" s="133"/>
      <c r="J1685" s="158"/>
    </row>
    <row r="1686" spans="1:10" ht="15.75" customHeight="1">
      <c r="A1686" s="133"/>
      <c r="B1686" s="133"/>
      <c r="C1686" s="133"/>
      <c r="D1686" s="133"/>
      <c r="E1686" s="158"/>
      <c r="F1686" s="158"/>
      <c r="G1686" s="158"/>
      <c r="H1686" s="133"/>
      <c r="I1686" s="133"/>
      <c r="J1686" s="158"/>
    </row>
    <row r="1687" spans="1:10" ht="15.75" customHeight="1">
      <c r="A1687" s="133"/>
      <c r="B1687" s="133"/>
      <c r="C1687" s="133"/>
      <c r="D1687" s="133"/>
      <c r="E1687" s="158"/>
      <c r="F1687" s="158"/>
      <c r="G1687" s="158"/>
      <c r="H1687" s="133"/>
      <c r="I1687" s="133"/>
      <c r="J1687" s="158"/>
    </row>
    <row r="1688" spans="1:10" ht="15.75" customHeight="1">
      <c r="A1688" s="133"/>
      <c r="B1688" s="133"/>
      <c r="C1688" s="133"/>
      <c r="D1688" s="133"/>
      <c r="E1688" s="158"/>
      <c r="F1688" s="158"/>
      <c r="G1688" s="158"/>
      <c r="H1688" s="133"/>
      <c r="I1688" s="133"/>
      <c r="J1688" s="158"/>
    </row>
    <row r="1689" spans="1:10" ht="15.75" customHeight="1">
      <c r="A1689" s="133"/>
      <c r="B1689" s="133"/>
      <c r="C1689" s="133"/>
      <c r="D1689" s="133"/>
      <c r="E1689" s="158"/>
      <c r="F1689" s="158"/>
      <c r="G1689" s="158"/>
      <c r="H1689" s="133"/>
      <c r="I1689" s="133"/>
      <c r="J1689" s="158"/>
    </row>
    <row r="1690" spans="1:10" ht="15.75" customHeight="1">
      <c r="A1690" s="133"/>
      <c r="B1690" s="133"/>
      <c r="C1690" s="133"/>
      <c r="D1690" s="133"/>
      <c r="E1690" s="158"/>
      <c r="F1690" s="158"/>
      <c r="G1690" s="158"/>
      <c r="H1690" s="133"/>
      <c r="I1690" s="133"/>
      <c r="J1690" s="158"/>
    </row>
    <row r="1691" spans="1:10" ht="15.75" customHeight="1">
      <c r="A1691" s="133"/>
      <c r="B1691" s="133"/>
      <c r="C1691" s="133"/>
      <c r="D1691" s="133"/>
      <c r="E1691" s="158"/>
      <c r="F1691" s="158"/>
      <c r="G1691" s="158"/>
      <c r="H1691" s="133"/>
      <c r="I1691" s="133"/>
      <c r="J1691" s="158"/>
    </row>
    <row r="1692" spans="1:10" ht="15.75" customHeight="1">
      <c r="A1692" s="133"/>
      <c r="B1692" s="133"/>
      <c r="C1692" s="133"/>
      <c r="D1692" s="133"/>
      <c r="E1692" s="158"/>
      <c r="F1692" s="158"/>
      <c r="G1692" s="158"/>
      <c r="H1692" s="133"/>
      <c r="I1692" s="133"/>
      <c r="J1692" s="158"/>
    </row>
    <row r="1693" spans="1:10" ht="15.75" customHeight="1">
      <c r="A1693" s="133"/>
      <c r="B1693" s="133"/>
      <c r="C1693" s="133"/>
      <c r="D1693" s="133"/>
      <c r="E1693" s="158"/>
      <c r="F1693" s="158"/>
      <c r="G1693" s="158"/>
      <c r="H1693" s="133"/>
      <c r="I1693" s="133"/>
      <c r="J1693" s="158"/>
    </row>
    <row r="1694" spans="1:10" ht="15.75" customHeight="1">
      <c r="A1694" s="133"/>
      <c r="B1694" s="133"/>
      <c r="C1694" s="133"/>
      <c r="D1694" s="133"/>
      <c r="E1694" s="158"/>
      <c r="F1694" s="158"/>
      <c r="G1694" s="158"/>
      <c r="H1694" s="133"/>
      <c r="I1694" s="133"/>
      <c r="J1694" s="158"/>
    </row>
    <row r="1695" spans="1:10" ht="15.75" customHeight="1">
      <c r="A1695" s="133"/>
      <c r="B1695" s="133"/>
      <c r="C1695" s="133"/>
      <c r="D1695" s="133"/>
      <c r="E1695" s="158"/>
      <c r="F1695" s="158"/>
      <c r="G1695" s="158"/>
      <c r="H1695" s="133"/>
      <c r="I1695" s="133"/>
      <c r="J1695" s="158"/>
    </row>
    <row r="1696" spans="1:10" ht="15.75" customHeight="1">
      <c r="A1696" s="133"/>
      <c r="B1696" s="133"/>
      <c r="C1696" s="133"/>
      <c r="D1696" s="133"/>
      <c r="E1696" s="158"/>
      <c r="F1696" s="158"/>
      <c r="G1696" s="158"/>
      <c r="H1696" s="133"/>
      <c r="I1696" s="133"/>
      <c r="J1696" s="158"/>
    </row>
    <row r="1697" spans="1:10" ht="15.75" customHeight="1">
      <c r="A1697" s="133"/>
      <c r="B1697" s="133"/>
      <c r="C1697" s="133"/>
      <c r="D1697" s="133"/>
      <c r="E1697" s="158"/>
      <c r="F1697" s="158"/>
      <c r="G1697" s="158"/>
      <c r="H1697" s="133"/>
      <c r="I1697" s="133"/>
      <c r="J1697" s="158"/>
    </row>
    <row r="1698" spans="1:10" ht="15.75" customHeight="1">
      <c r="A1698" s="133"/>
      <c r="B1698" s="133"/>
      <c r="C1698" s="133"/>
      <c r="D1698" s="133"/>
      <c r="E1698" s="158"/>
      <c r="F1698" s="158"/>
      <c r="G1698" s="158"/>
      <c r="H1698" s="133"/>
      <c r="I1698" s="133"/>
      <c r="J1698" s="158"/>
    </row>
    <row r="1699" spans="1:10" ht="15.75" customHeight="1">
      <c r="A1699" s="133"/>
      <c r="B1699" s="133"/>
      <c r="C1699" s="133"/>
      <c r="D1699" s="133"/>
      <c r="E1699" s="158"/>
      <c r="F1699" s="158"/>
      <c r="G1699" s="158"/>
      <c r="H1699" s="133"/>
      <c r="I1699" s="133"/>
      <c r="J1699" s="158"/>
    </row>
    <row r="1700" spans="1:10" ht="15.75" customHeight="1">
      <c r="A1700" s="133"/>
      <c r="B1700" s="133"/>
      <c r="C1700" s="133"/>
      <c r="D1700" s="133"/>
      <c r="E1700" s="158"/>
      <c r="F1700" s="158"/>
      <c r="G1700" s="158"/>
      <c r="H1700" s="133"/>
      <c r="I1700" s="133"/>
      <c r="J1700" s="158"/>
    </row>
    <row r="1701" spans="1:10" ht="15.75" customHeight="1">
      <c r="A1701" s="133"/>
      <c r="B1701" s="133"/>
      <c r="C1701" s="133"/>
      <c r="D1701" s="133"/>
      <c r="E1701" s="158"/>
      <c r="F1701" s="158"/>
      <c r="G1701" s="158"/>
      <c r="H1701" s="133"/>
      <c r="I1701" s="133"/>
      <c r="J1701" s="158"/>
    </row>
    <row r="1702" spans="1:10" ht="15.75" customHeight="1">
      <c r="A1702" s="133"/>
      <c r="B1702" s="133"/>
      <c r="C1702" s="133"/>
      <c r="D1702" s="133"/>
      <c r="E1702" s="158"/>
      <c r="F1702" s="158"/>
      <c r="G1702" s="158"/>
      <c r="H1702" s="133"/>
      <c r="I1702" s="133"/>
      <c r="J1702" s="158"/>
    </row>
    <row r="1703" spans="1:10" ht="15.75" customHeight="1">
      <c r="A1703" s="133"/>
      <c r="B1703" s="133"/>
      <c r="C1703" s="133"/>
      <c r="D1703" s="133"/>
      <c r="E1703" s="158"/>
      <c r="F1703" s="158"/>
      <c r="G1703" s="158"/>
      <c r="H1703" s="133"/>
      <c r="I1703" s="133"/>
      <c r="J1703" s="158"/>
    </row>
    <row r="1704" spans="1:10" ht="15.75" customHeight="1">
      <c r="A1704" s="133"/>
      <c r="B1704" s="133"/>
      <c r="C1704" s="133"/>
      <c r="D1704" s="133"/>
      <c r="E1704" s="158"/>
      <c r="F1704" s="158"/>
      <c r="G1704" s="158"/>
      <c r="H1704" s="133"/>
      <c r="I1704" s="133"/>
      <c r="J1704" s="158"/>
    </row>
    <row r="1705" spans="1:10" ht="15.75" customHeight="1">
      <c r="A1705" s="133"/>
      <c r="B1705" s="133"/>
      <c r="C1705" s="133"/>
      <c r="D1705" s="133"/>
      <c r="E1705" s="158"/>
      <c r="F1705" s="158"/>
      <c r="G1705" s="158"/>
      <c r="H1705" s="133"/>
      <c r="I1705" s="133"/>
      <c r="J1705" s="158"/>
    </row>
    <row r="1706" spans="1:10" ht="15.75" customHeight="1">
      <c r="A1706" s="133"/>
      <c r="B1706" s="133"/>
      <c r="C1706" s="133"/>
      <c r="D1706" s="133"/>
      <c r="E1706" s="158"/>
      <c r="F1706" s="158"/>
      <c r="G1706" s="158"/>
      <c r="H1706" s="133"/>
      <c r="I1706" s="133"/>
      <c r="J1706" s="158"/>
    </row>
    <row r="1707" spans="1:10" ht="15.75" customHeight="1">
      <c r="A1707" s="133"/>
      <c r="B1707" s="133"/>
      <c r="C1707" s="133"/>
      <c r="D1707" s="133"/>
      <c r="E1707" s="158"/>
      <c r="F1707" s="158"/>
      <c r="G1707" s="158"/>
      <c r="H1707" s="133"/>
      <c r="I1707" s="133"/>
      <c r="J1707" s="158"/>
    </row>
    <row r="1708" spans="1:10" ht="15.75" customHeight="1">
      <c r="A1708" s="133"/>
      <c r="B1708" s="133"/>
      <c r="C1708" s="133"/>
      <c r="D1708" s="133"/>
      <c r="E1708" s="158"/>
      <c r="F1708" s="158"/>
      <c r="G1708" s="158"/>
      <c r="H1708" s="133"/>
      <c r="I1708" s="133"/>
      <c r="J1708" s="158"/>
    </row>
    <row r="1709" spans="1:10" ht="15.75" customHeight="1">
      <c r="A1709" s="133"/>
      <c r="B1709" s="133"/>
      <c r="C1709" s="133"/>
      <c r="D1709" s="133"/>
      <c r="E1709" s="158"/>
      <c r="F1709" s="158"/>
      <c r="G1709" s="158"/>
      <c r="H1709" s="133"/>
      <c r="I1709" s="133"/>
      <c r="J1709" s="158"/>
    </row>
    <row r="1710" spans="1:10" ht="15.75" customHeight="1">
      <c r="A1710" s="133"/>
      <c r="B1710" s="133"/>
      <c r="C1710" s="133"/>
      <c r="D1710" s="133"/>
      <c r="E1710" s="158"/>
      <c r="F1710" s="158"/>
      <c r="G1710" s="158"/>
      <c r="H1710" s="133"/>
      <c r="I1710" s="133"/>
      <c r="J1710" s="158"/>
    </row>
    <row r="1711" spans="1:10" ht="15.75" customHeight="1">
      <c r="A1711" s="133"/>
      <c r="B1711" s="133"/>
      <c r="C1711" s="133"/>
      <c r="D1711" s="133"/>
      <c r="E1711" s="158"/>
      <c r="F1711" s="158"/>
      <c r="G1711" s="158"/>
      <c r="H1711" s="133"/>
      <c r="I1711" s="133"/>
      <c r="J1711" s="158"/>
    </row>
    <row r="1712" spans="1:10" ht="15.75" customHeight="1">
      <c r="A1712" s="133"/>
      <c r="B1712" s="133"/>
      <c r="C1712" s="133"/>
      <c r="D1712" s="133"/>
      <c r="E1712" s="158"/>
      <c r="F1712" s="158"/>
      <c r="G1712" s="158"/>
      <c r="H1712" s="133"/>
      <c r="I1712" s="133"/>
      <c r="J1712" s="158"/>
    </row>
    <row r="1713" spans="1:10" ht="15.75" customHeight="1">
      <c r="A1713" s="133"/>
      <c r="B1713" s="133"/>
      <c r="C1713" s="133"/>
      <c r="D1713" s="133"/>
      <c r="E1713" s="158"/>
      <c r="F1713" s="158"/>
      <c r="G1713" s="158"/>
      <c r="H1713" s="133"/>
      <c r="I1713" s="133"/>
      <c r="J1713" s="158"/>
    </row>
    <row r="1714" spans="1:10" ht="15.75" customHeight="1">
      <c r="A1714" s="133"/>
      <c r="B1714" s="133"/>
      <c r="C1714" s="133"/>
      <c r="D1714" s="133"/>
      <c r="E1714" s="158"/>
      <c r="F1714" s="158"/>
      <c r="G1714" s="158"/>
      <c r="H1714" s="133"/>
      <c r="I1714" s="133"/>
      <c r="J1714" s="158"/>
    </row>
    <row r="1715" spans="1:10" ht="15.75" customHeight="1">
      <c r="A1715" s="133"/>
      <c r="B1715" s="133"/>
      <c r="C1715" s="133"/>
      <c r="D1715" s="133"/>
      <c r="E1715" s="158"/>
      <c r="F1715" s="158"/>
      <c r="G1715" s="158"/>
      <c r="H1715" s="133"/>
      <c r="I1715" s="133"/>
      <c r="J1715" s="158"/>
    </row>
    <row r="1716" spans="1:10" ht="15.75" customHeight="1">
      <c r="A1716" s="133"/>
      <c r="B1716" s="133"/>
      <c r="C1716" s="133"/>
      <c r="D1716" s="133"/>
      <c r="E1716" s="158"/>
      <c r="F1716" s="158"/>
      <c r="G1716" s="158"/>
      <c r="H1716" s="133"/>
      <c r="I1716" s="133"/>
      <c r="J1716" s="158"/>
    </row>
    <row r="1717" spans="1:10" ht="15.75" customHeight="1">
      <c r="A1717" s="133"/>
      <c r="B1717" s="133"/>
      <c r="C1717" s="133"/>
      <c r="D1717" s="133"/>
      <c r="E1717" s="158"/>
      <c r="F1717" s="158"/>
      <c r="G1717" s="158"/>
      <c r="H1717" s="133"/>
      <c r="I1717" s="133"/>
      <c r="J1717" s="158"/>
    </row>
    <row r="1718" spans="1:10" ht="15.75" customHeight="1">
      <c r="A1718" s="133"/>
      <c r="B1718" s="133"/>
      <c r="C1718" s="133"/>
      <c r="D1718" s="133"/>
      <c r="E1718" s="158"/>
      <c r="F1718" s="158"/>
      <c r="G1718" s="158"/>
      <c r="H1718" s="133"/>
      <c r="I1718" s="133"/>
      <c r="J1718" s="158"/>
    </row>
    <row r="1719" spans="1:10" ht="15.75" customHeight="1">
      <c r="A1719" s="133"/>
      <c r="B1719" s="133"/>
      <c r="C1719" s="133"/>
      <c r="D1719" s="133"/>
      <c r="E1719" s="158"/>
      <c r="F1719" s="158"/>
      <c r="G1719" s="158"/>
      <c r="H1719" s="133"/>
      <c r="I1719" s="133"/>
      <c r="J1719" s="158"/>
    </row>
    <row r="1720" spans="1:10" ht="15.75" customHeight="1">
      <c r="A1720" s="133"/>
      <c r="B1720" s="133"/>
      <c r="C1720" s="133"/>
      <c r="D1720" s="133"/>
      <c r="E1720" s="158"/>
      <c r="F1720" s="158"/>
      <c r="G1720" s="158"/>
      <c r="H1720" s="133"/>
      <c r="I1720" s="133"/>
      <c r="J1720" s="158"/>
    </row>
    <row r="1721" spans="1:10" ht="15.75" customHeight="1">
      <c r="A1721" s="133"/>
      <c r="B1721" s="133"/>
      <c r="C1721" s="133"/>
      <c r="D1721" s="133"/>
      <c r="E1721" s="158"/>
      <c r="F1721" s="158"/>
      <c r="G1721" s="158"/>
      <c r="H1721" s="133"/>
      <c r="I1721" s="133"/>
      <c r="J1721" s="158"/>
    </row>
    <row r="1722" spans="1:10" ht="15.75" customHeight="1">
      <c r="A1722" s="133"/>
      <c r="B1722" s="133"/>
      <c r="C1722" s="133"/>
      <c r="D1722" s="133"/>
      <c r="E1722" s="158"/>
      <c r="F1722" s="158"/>
      <c r="G1722" s="158"/>
      <c r="H1722" s="133"/>
      <c r="I1722" s="133"/>
      <c r="J1722" s="158"/>
    </row>
    <row r="1723" spans="1:10" ht="15.75" customHeight="1">
      <c r="A1723" s="133"/>
      <c r="B1723" s="133"/>
      <c r="C1723" s="133"/>
      <c r="D1723" s="133"/>
      <c r="E1723" s="158"/>
      <c r="F1723" s="158"/>
      <c r="G1723" s="158"/>
      <c r="H1723" s="133"/>
      <c r="I1723" s="133"/>
      <c r="J1723" s="158"/>
    </row>
    <row r="1724" spans="1:10" ht="15.75" customHeight="1">
      <c r="A1724" s="133"/>
      <c r="B1724" s="133"/>
      <c r="C1724" s="133"/>
      <c r="D1724" s="133"/>
      <c r="E1724" s="158"/>
      <c r="F1724" s="158"/>
      <c r="G1724" s="158"/>
      <c r="H1724" s="133"/>
      <c r="I1724" s="133"/>
      <c r="J1724" s="158"/>
    </row>
    <row r="1725" spans="1:10" ht="15.75" customHeight="1">
      <c r="A1725" s="133"/>
      <c r="B1725" s="133"/>
      <c r="C1725" s="133"/>
      <c r="D1725" s="133"/>
      <c r="E1725" s="158"/>
      <c r="F1725" s="158"/>
      <c r="G1725" s="158"/>
      <c r="H1725" s="133"/>
      <c r="I1725" s="133"/>
      <c r="J1725" s="158"/>
    </row>
    <row r="1726" spans="1:10" ht="15.75" customHeight="1">
      <c r="A1726" s="133"/>
      <c r="B1726" s="133"/>
      <c r="C1726" s="133"/>
      <c r="D1726" s="133"/>
      <c r="E1726" s="158"/>
      <c r="F1726" s="158"/>
      <c r="G1726" s="158"/>
      <c r="H1726" s="133"/>
      <c r="I1726" s="133"/>
      <c r="J1726" s="158"/>
    </row>
    <row r="1727" spans="1:10" ht="15.75" customHeight="1">
      <c r="A1727" s="133"/>
      <c r="B1727" s="133"/>
      <c r="C1727" s="133"/>
      <c r="D1727" s="133"/>
      <c r="E1727" s="158"/>
      <c r="F1727" s="158"/>
      <c r="G1727" s="158"/>
      <c r="H1727" s="133"/>
      <c r="I1727" s="133"/>
      <c r="J1727" s="158"/>
    </row>
    <row r="1728" spans="1:10" ht="15.75" customHeight="1">
      <c r="A1728" s="133"/>
      <c r="B1728" s="133"/>
      <c r="C1728" s="133"/>
      <c r="D1728" s="133"/>
      <c r="E1728" s="158"/>
      <c r="F1728" s="158"/>
      <c r="G1728" s="158"/>
      <c r="H1728" s="133"/>
      <c r="I1728" s="133"/>
      <c r="J1728" s="158"/>
    </row>
    <row r="1729" spans="1:10" ht="15.75" customHeight="1">
      <c r="A1729" s="133"/>
      <c r="B1729" s="133"/>
      <c r="C1729" s="133"/>
      <c r="D1729" s="133"/>
      <c r="E1729" s="158"/>
      <c r="F1729" s="158"/>
      <c r="G1729" s="158"/>
      <c r="H1729" s="133"/>
      <c r="I1729" s="133"/>
      <c r="J1729" s="158"/>
    </row>
    <row r="1730" spans="1:10" ht="15.75" customHeight="1">
      <c r="A1730" s="133"/>
      <c r="B1730" s="133"/>
      <c r="C1730" s="133"/>
      <c r="D1730" s="133"/>
      <c r="E1730" s="158"/>
      <c r="F1730" s="158"/>
      <c r="G1730" s="158"/>
      <c r="H1730" s="133"/>
      <c r="I1730" s="133"/>
      <c r="J1730" s="158"/>
    </row>
    <row r="1731" spans="1:10" ht="15.75" customHeight="1">
      <c r="A1731" s="133"/>
      <c r="B1731" s="133"/>
      <c r="C1731" s="133"/>
      <c r="D1731" s="133"/>
      <c r="E1731" s="158"/>
      <c r="F1731" s="158"/>
      <c r="G1731" s="158"/>
      <c r="H1731" s="133"/>
      <c r="I1731" s="133"/>
      <c r="J1731" s="158"/>
    </row>
    <row r="1732" spans="1:10" ht="15.75" customHeight="1">
      <c r="A1732" s="133"/>
      <c r="B1732" s="133"/>
      <c r="C1732" s="133"/>
      <c r="D1732" s="133"/>
      <c r="E1732" s="158"/>
      <c r="F1732" s="158"/>
      <c r="G1732" s="158"/>
      <c r="H1732" s="133"/>
      <c r="I1732" s="133"/>
      <c r="J1732" s="158"/>
    </row>
    <row r="1733" spans="1:10" ht="15.75" customHeight="1">
      <c r="A1733" s="133"/>
      <c r="B1733" s="133"/>
      <c r="C1733" s="133"/>
      <c r="D1733" s="133"/>
      <c r="E1733" s="158"/>
      <c r="F1733" s="158"/>
      <c r="G1733" s="158"/>
      <c r="H1733" s="133"/>
      <c r="I1733" s="133"/>
      <c r="J1733" s="158"/>
    </row>
    <row r="1734" spans="1:10" ht="15.75" customHeight="1">
      <c r="A1734" s="133"/>
      <c r="B1734" s="133"/>
      <c r="C1734" s="133"/>
      <c r="D1734" s="133"/>
      <c r="E1734" s="158"/>
      <c r="F1734" s="158"/>
      <c r="G1734" s="158"/>
      <c r="H1734" s="133"/>
      <c r="I1734" s="133"/>
      <c r="J1734" s="158"/>
    </row>
    <row r="1735" spans="1:10" ht="15.75" customHeight="1">
      <c r="A1735" s="133"/>
      <c r="B1735" s="133"/>
      <c r="C1735" s="133"/>
      <c r="D1735" s="133"/>
      <c r="E1735" s="158"/>
      <c r="F1735" s="158"/>
      <c r="G1735" s="158"/>
      <c r="H1735" s="133"/>
      <c r="I1735" s="133"/>
      <c r="J1735" s="158"/>
    </row>
  </sheetData>
  <autoFilter ref="A1:J1618" xr:uid="{00000000-0009-0000-0000-000008000000}">
    <filterColumn colId="1">
      <filters>
        <filter val="TBStoreWarehouseMaster"/>
      </filters>
    </filterColumn>
  </autoFilter>
  <customSheetViews>
    <customSheetView guid="{D2464F85-EDE4-4567-AE99-72086A9419EC}" filter="1" showAutoFilter="1">
      <pageMargins left="0.7" right="0.7" top="0.75" bottom="0.75" header="0.3" footer="0.3"/>
      <autoFilter ref="A1:J1618" xr:uid="{D4ED427F-5302-994A-B95F-B4983BD0107B}"/>
    </customSheetView>
  </customSheetView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Pivot</vt:lpstr>
      <vt:lpstr>Esitmate_source</vt:lpstr>
      <vt:lpstr>TableSize-Officemate</vt:lpstr>
      <vt:lpstr>Field-Officemate</vt:lpstr>
      <vt:lpstr>TableSize-Mercury</vt:lpstr>
      <vt:lpstr>TableSize-TMS</vt:lpstr>
      <vt:lpstr>Field-Mercury</vt:lpstr>
      <vt:lpstr>TableSize-ERP</vt:lpstr>
      <vt:lpstr>Field-ERP</vt:lpstr>
      <vt:lpstr>TableSize-Franchise</vt:lpstr>
      <vt:lpstr>Field-TMS</vt:lpstr>
      <vt:lpstr>Field-Franchise</vt:lpstr>
      <vt:lpstr>TableSize-MDS</vt:lpstr>
      <vt:lpstr>Field-MDS</vt:lpstr>
      <vt:lpstr>TableSize-Epro</vt:lpstr>
      <vt:lpstr>Field-Epro</vt:lpstr>
      <vt:lpstr>TableSize-ESB</vt:lpstr>
      <vt:lpstr>Field-ESB</vt:lpstr>
      <vt:lpstr>OFM_TableSize-T1C</vt:lpstr>
      <vt:lpstr>OFM_Field-T1C</vt:lpstr>
      <vt:lpstr>TableSize-Saleforce</vt:lpstr>
      <vt:lpstr>Field-Salesforce</vt:lpstr>
      <vt:lpstr>TableSize-MongoDB</vt:lpstr>
      <vt:lpstr>Field-MongoDB</vt:lpstr>
      <vt:lpstr>TableSize-PIM</vt:lpstr>
      <vt:lpstr>Field-PIM</vt:lpstr>
      <vt:lpstr>B2S_Field-T1C</vt:lpstr>
      <vt:lpstr>B2S_TableSize-T1C</vt:lpstr>
      <vt:lpstr>B2S (Magento) Size</vt:lpstr>
      <vt:lpstr>Field-B2S(Mangento)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2022-03-11T12:57:30Z</dcterms:created>
  <dcterms:modified xsi:type="dcterms:W3CDTF">2022-04-21T04:49:42Z</dcterms:modified>
</cp:coreProperties>
</file>